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3.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4.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5.xml" ContentType="application/vnd.openxmlformats-officedocument.drawing+xml"/>
  <Override PartName="/xl/ctrlProps/ctrlProp42.xml" ContentType="application/vnd.ms-excel.controlproperties+xml"/>
  <Override PartName="/xl/ctrlProps/ctrlProp43.xml" ContentType="application/vnd.ms-excel.controlproperties+xml"/>
  <Override PartName="/xl/comments3.xml" ContentType="application/vnd.openxmlformats-officedocument.spreadsheetml.comments+xml"/>
  <Override PartName="/xl/drawings/drawing6.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7.xml" ContentType="application/vnd.openxmlformats-officedocument.drawing+xml"/>
  <Override PartName="/xl/ctrlProps/ctrlProp51.xml" ContentType="application/vnd.ms-excel.controlproperties+xml"/>
  <Override PartName="/xl/ctrlProps/ctrlProp52.xml" ContentType="application/vnd.ms-excel.controlproperties+xml"/>
  <Override PartName="/xl/drawings/drawing8.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9.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10.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6 Rules and RFAs/2026-204 SAIL Elderly Preservation/Exhibit A/"/>
    </mc:Choice>
  </mc:AlternateContent>
  <xr:revisionPtr revIDLastSave="45" documentId="8_{0A153D57-DED4-47D2-A7C2-43D36B1EC0F5}" xr6:coauthVersionLast="47" xr6:coauthVersionMax="47" xr10:uidLastSave="{950B7E71-2E90-4500-B113-30BC41CF9358}"/>
  <bookViews>
    <workbookView xWindow="25490" yWindow="-110" windowWidth="25820" windowHeight="13900" tabRatio="781" firstSheet="11" activeTab="11" xr2:uid="{00000000-000D-0000-FFFF-FFFF00000000}"/>
  </bookViews>
  <sheets>
    <sheet name="Data2" sheetId="19" state="veryHidden" r:id="rId1"/>
    <sheet name="Data3" sheetId="24" state="veryHidden" r:id="rId2"/>
    <sheet name="LGC Points" sheetId="49" state="veryHidden" r:id="rId3"/>
    <sheet name="LGAO Status" sheetId="18" state="veryHidden" r:id="rId4"/>
    <sheet name="Urban Infill or Mixed-Use" sheetId="41" state="veryHidden" r:id="rId5"/>
    <sheet name="URA" sheetId="36" state="veryHidden" r:id="rId6"/>
    <sheet name="Goals" sheetId="38" state="veryHidden" r:id="rId7"/>
    <sheet name="Developer Pref" sheetId="45" state="veryHidden" r:id="rId8"/>
    <sheet name="Services" sheetId="35" state="veryHidden" r:id="rId9"/>
    <sheet name="NPV Example" sheetId="48" state="veryHidden" r:id="rId10"/>
    <sheet name="Data1" sheetId="1" state="veryHidden" r:id="rId11"/>
    <sheet name="General Information" sheetId="2" r:id="rId12"/>
    <sheet name="Proposed Development Info" sheetId="3" r:id="rId13"/>
    <sheet name="Development Location" sheetId="4" r:id="rId14"/>
    <sheet name="Proximity, Mand.Dist., RECAP" sheetId="14" r:id="rId15"/>
    <sheet name="Units, Set-Asides, Bldgs" sheetId="5" r:id="rId16"/>
    <sheet name="Readiness to Proceed" sheetId="16" r:id="rId17"/>
    <sheet name="Construction Features" sheetId="7" r:id="rId18"/>
    <sheet name="Resident Programs" sheetId="47" r:id="rId19"/>
    <sheet name="Funding" sheetId="9" r:id="rId20"/>
    <sheet name="Pro Forma" sheetId="26" r:id="rId21"/>
    <sheet name="B. Other Information" sheetId="10" r:id="rId22"/>
    <sheet name="Certification" sheetId="20" r:id="rId23"/>
    <sheet name="Impact Scoring" sheetId="34" state="veryHidden" r:id="rId24"/>
  </sheets>
  <definedNames>
    <definedName name="_xlnm._FilterDatabase" localSheetId="1" hidden="1">Data3!$A$4:$O$72</definedName>
    <definedName name="ACC_Units_Currently">'Proposed Development Info'!$F$108</definedName>
    <definedName name="ACC_Units_Future">'Proposed Development Info'!$G$108</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_NonAcq">Data3!$N$305</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Pref'!$C$128</definedName>
    <definedName name="Aff_Housing_Completion_Dev02">'Developer Pref'!$C$129</definedName>
    <definedName name="Aff_Housing_Completion_Dev03">'Developer Pref'!$C$130</definedName>
    <definedName name="Aff_Housing_Completion_Dev04">'Developer Pref'!$C$131</definedName>
    <definedName name="Aff_Housing_Completion_Dev05">'Developer Pref'!$C$132</definedName>
    <definedName name="Aff_Housing_Completion_Dev06">'Developer Pref'!$C$133</definedName>
    <definedName name="Aff_Housing_Completion_Dev07">'Developer Pref'!$C$134</definedName>
    <definedName name="Aff_Housing_Completion_Dev08">'Developer Pref'!$C$135</definedName>
    <definedName name="Aff_Housing_Completion_Dev09">'Developer Pref'!$C$136</definedName>
    <definedName name="Aff_Housing_Completion_Dev10">'Developer Pref'!$C$137</definedName>
    <definedName name="Aff_Housing_Completion_Dev11">'Developer Pref'!$C$138</definedName>
    <definedName name="Aff_Housing_Completion_Location01">'Developer Pref'!$H$128</definedName>
    <definedName name="Aff_Housing_Completion_Location02">'Developer Pref'!$H$129</definedName>
    <definedName name="Aff_Housing_Completion_Location03">'Developer Pref'!$H$130</definedName>
    <definedName name="Aff_Housing_Completion_Location04">'Developer Pref'!$H$131</definedName>
    <definedName name="Aff_Housing_Completion_Location05">'Developer Pref'!$H$132</definedName>
    <definedName name="Aff_Housing_Completion_Location06">'Developer Pref'!$H$133</definedName>
    <definedName name="Aff_Housing_Completion_Location07">'Developer Pref'!$H$134</definedName>
    <definedName name="Aff_Housing_Completion_Location08">'Developer Pref'!$H$135</definedName>
    <definedName name="Aff_Housing_Completion_Location09">'Developer Pref'!$H$136</definedName>
    <definedName name="Aff_Housing_Completion_Location10">'Developer Pref'!$H$137</definedName>
    <definedName name="Aff_Housing_Completion_Location11">'Developer Pref'!$H$138</definedName>
    <definedName name="Aff_Housing_Control_Dev01">'Developer Pref'!$C$143</definedName>
    <definedName name="Aff_Housing_Control_Dev02">'Developer Pref'!$C$144</definedName>
    <definedName name="Aff_Housing_Control_Dev03">'Developer Pref'!$C$145</definedName>
    <definedName name="Aff_Housing_Control_Dev04">'Developer Pref'!$C$146</definedName>
    <definedName name="Aff_Housing_Control_Dev05">'Developer Pref'!$C$147</definedName>
    <definedName name="Aff_Housing_Control_Dev06">'Developer Pref'!$C$148</definedName>
    <definedName name="Aff_Housing_Control_Dev07">'Developer Pref'!$C$149</definedName>
    <definedName name="Aff_Housing_Control_Dev08">'Developer Pref'!$C$150</definedName>
    <definedName name="Aff_Housing_Control_Dev09">'Developer Pref'!$C$151</definedName>
    <definedName name="Aff_Housing_Control_Dev10">'Developer Pref'!$C$152</definedName>
    <definedName name="Aff_Housing_Control_Dev11">'Developer Pref'!$C$153</definedName>
    <definedName name="Aff_Housing_Control_Location01">'Developer Pref'!$H$143</definedName>
    <definedName name="Aff_Housing_Control_Location02">'Developer Pref'!$H$144</definedName>
    <definedName name="Aff_Housing_Control_Location03">'Developer Pref'!$H$145</definedName>
    <definedName name="Aff_Housing_Control_Location04">'Developer Pref'!$H$146</definedName>
    <definedName name="Aff_Housing_Control_Location05">'Developer Pref'!$H$147</definedName>
    <definedName name="Aff_Housing_Control_Location06">'Developer Pref'!$H$148</definedName>
    <definedName name="Aff_Housing_Control_Location07">'Developer Pref'!$H$149</definedName>
    <definedName name="Aff_Housing_Control_Location08">'Developer Pref'!$H$150</definedName>
    <definedName name="Aff_Housing_Control_Location09">'Developer Pref'!$H$151</definedName>
    <definedName name="Aff_Housing_Control_Location10">'Developer Pref'!$H$152</definedName>
    <definedName name="Aff_Housing_Control_Location11">'Developer Pref'!$H$153</definedName>
    <definedName name="Affordability_Expiration_Period_Met">'Proposed Development Info'!$I$95</definedName>
    <definedName name="Affordable_Units_of_Occupied">'Proposed Development Info'!$H$22</definedName>
    <definedName name="Age_of_Development">Data1!$D$285</definedName>
    <definedName name="Aggregate_Basis">'Pro Forma'!$L$452</definedName>
    <definedName name="AIT_HC_SA_Percent">'Units, Set-Asides, Bldgs'!$G$84</definedName>
    <definedName name="All_NC_Units">Data1!$B$399</definedName>
    <definedName name="All_Rehab_Units">Data1!$B$400</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Information'!$F$293</definedName>
    <definedName name="Authorized_Contact_City">'General Information'!$F$294</definedName>
    <definedName name="Authorized_Contact_EMail">'General Information'!$F$298</definedName>
    <definedName name="Authorized_Contact_First_Name">'General Information'!$F$290</definedName>
    <definedName name="Authorized_Contact_Last_Name">'General Information'!$F$291</definedName>
    <definedName name="Authorized_Contact_Middle_Initial">'General Information'!$H$290</definedName>
    <definedName name="Authorized_Contact_Phone">'General Information'!$F$297</definedName>
    <definedName name="Authorized_Contact_Phone_Ext">'General Information'!$H$297</definedName>
    <definedName name="Authorized_Contact_State">'General Information'!$F$295</definedName>
    <definedName name="Authorized_Contact_Zip">'General Information'!$F$296</definedName>
    <definedName name="avg_AMI_HC_Units_in_AIT_chart">'Units, Set-Asides, Bldgs'!$I$86</definedName>
    <definedName name="Boost_Points">'Proximity, Mand.Dist., RECAP'!$I$10</definedName>
    <definedName name="Build_Cost_Allo_DF">'Pro Forma'!$L$354</definedName>
    <definedName name="Building_Acq_elig">'Pro Forma'!$H$101</definedName>
    <definedName name="Building_Acq_inelig">'Pro Forma'!$K$101</definedName>
    <definedName name="Building_Acq_total">'Pro Forma'!$N$101</definedName>
    <definedName name="Calc_BusRapid">Data1!$D$533</definedName>
    <definedName name="Calc_BusStop1">Data1!$D$529</definedName>
    <definedName name="Calc_BusStop2">Data1!$D$530</definedName>
    <definedName name="Calc_BusStop3">Data1!$D$531</definedName>
    <definedName name="Calc_BusTransfer">Data1!$D$532</definedName>
    <definedName name="Calc_Rail">Data1!$D$534</definedName>
    <definedName name="CDBG_DR_Dev_Request_Amount">Funding!$I$262</definedName>
    <definedName name="CDBG_DR_Land_Request_Amount">Funding!$I$244</definedName>
    <definedName name="Cert_Signature">Certification!$K$43</definedName>
    <definedName name="Cert_Title_of_Signature">Certification!$C$45</definedName>
    <definedName name="Comment_GAO_Number1">Funding!$G$349</definedName>
    <definedName name="Comment_GAO_Number2">Funding!$G$350</definedName>
    <definedName name="Comment_GAO_Number3">Funding!$G$351</definedName>
    <definedName name="Comment_GCExp_DB_1">'General Information'!$F$207</definedName>
    <definedName name="Comment_GCExp_DB_2">'General Information'!$F$218</definedName>
    <definedName name="Comment_GCExp_Development_1_complete">'General Information'!$C$209</definedName>
    <definedName name="Comment_GCExp_Development_2_complete">'General Information'!$C$220</definedName>
    <definedName name="Comment_GCExp_Units_1">'General Information'!$G$205</definedName>
    <definedName name="Comment_GCExp_Units_2">'General Information'!$G$216</definedName>
    <definedName name="Comment_QCT_number_metro">Funding!$G$342</definedName>
    <definedName name="Comment_QCT_number_nonmetro">Funding!$G$343</definedName>
    <definedName name="Comment_RA_Level">'Proposed Development Info'!$E$114</definedName>
    <definedName name="Comment_SADDA_ZCTA_1">Funding!$G$327</definedName>
    <definedName name="Comment_SADDA_ZCTA_2">Funding!$G$328</definedName>
    <definedName name="Comment_SADDA_ZCTA_3">Funding!$G$329</definedName>
    <definedName name="Comment_UnitMix_0Bedroom">'Units, Set-Asides, Bldgs'!$D$126</definedName>
    <definedName name="Comment_UnitMix_1Bedroom">'Units, Set-Asides, Bldgs'!$D$127</definedName>
    <definedName name="Comment_UnitMix_3Bedroom">'Units, Set-Asides, Bldgs'!$D$128</definedName>
    <definedName name="Comment_UnitMix_MaxBedroom">'Units, Set-Asides, Bldgs'!$D$129</definedName>
    <definedName name="Comment_UnitMix_NumberOfUnits">'Units, Set-Asides, Bldgs'!$D$125:$K$125</definedName>
    <definedName name="Community_Based_Board">'General Information'!$C$286</definedName>
    <definedName name="community_service_points_achieved">'Proximity, Mand.Dist., RECAP'!$H$98</definedName>
    <definedName name="Company_Of_Authorized_Contact_Person">'General Information'!$F$292</definedName>
    <definedName name="Company_Of_Operational_Contact_Person">'General Information'!$F$305</definedName>
    <definedName name="Competitive_HC_Request_Amount">Funding!$I$299</definedName>
    <definedName name="Compliance_Period">'Units, Set-Asides, Bldgs'!$K$148</definedName>
    <definedName name="Constr_Commenced">'Proposed Development Info'!$I$168</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Forma'!$L$381</definedName>
    <definedName name="ConstrFeaturesDeductQual">Funding!$I$536</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Data1!$B$821</definedName>
    <definedName name="Demographic">'General Information'!$F$32</definedName>
    <definedName name="Demographic_2">'General Information'!$F$39</definedName>
    <definedName name="Demographic_Area_of_Opp_boost">Funding!$E$372</definedName>
    <definedName name="Demographic_Area_of_Opp_boost_qualified">Data1!$B$829</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Exp_Funding_Pref_Eligible">'Developer Pref'!$I$172</definedName>
    <definedName name="Dev_Exp_Opt1_Points">'Developer Pref'!$O$164</definedName>
    <definedName name="Dev_Exp_Opt2_Points">'Developer Pref'!$O$167</definedName>
    <definedName name="Dev_Exp_Opt3_Points">'Developer Pref'!$O$170</definedName>
    <definedName name="Dev_Exp_Total_Points">'Developer Pref'!$I$171</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Pref'!$J$156</definedName>
    <definedName name="DevCat_PHA_DOT_or_Rehabbed">'Proposed Development Info'!$I$66</definedName>
    <definedName name="DevCat_Preference_met">'Proposed Development Info'!$F$118</definedName>
    <definedName name="DevCat_Qualifications_Met">Data1!$D$252</definedName>
    <definedName name="DevCat_Redev_FinProgram">'Proposed Development Info'!$I$64</definedName>
    <definedName name="DevCat_Test_HardCosts">Data1!$D$250</definedName>
    <definedName name="DevCat_Test_NonProfit">Data1!$D$251</definedName>
    <definedName name="DevCat_Test_QualBasis">Data1!$D$249</definedName>
    <definedName name="DevCat_Test_RehabExps">Data1!$D$248</definedName>
    <definedName name="DevCat_Test_Units">Data1!$D$247</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City">'General Information'!$F$171</definedName>
    <definedName name="DevExp_fifth_Dev_name">'General Information'!$F$170</definedName>
    <definedName name="DevExp_fifth_Dev_Principal">'General Information'!$F$173</definedName>
    <definedName name="DevExp_fifth_Dev_program">'General Information'!$F$174</definedName>
    <definedName name="DevExp_fifth_Dev_State">'General Information'!$F$172</definedName>
    <definedName name="DevExp_fifth_Dev_units">'General Information'!$F$176</definedName>
    <definedName name="DevExp_fifth_Dev_year">'General Information'!$F$177</definedName>
    <definedName name="DevExp_fifth_Other_program">'General Information'!$F$175</definedName>
    <definedName name="DevExp_first_Dev_City">'General Information'!$F$131</definedName>
    <definedName name="DevExp_first_Dev_name">'General Information'!$F$130</definedName>
    <definedName name="DevExp_first_Dev_Principal">'General Information'!$F$133</definedName>
    <definedName name="DevExp_first_Dev_program">'General Information'!$F$134</definedName>
    <definedName name="DevExp_first_Dev_State">'General Information'!$F$132</definedName>
    <definedName name="DevExp_first_Dev_units">'General Information'!$F$136</definedName>
    <definedName name="DevExp_first_Dev_year">'General Information'!$F$137</definedName>
    <definedName name="DevExp_first_Other_program">'General Information'!$F$135</definedName>
    <definedName name="DevExp_fourth_Dev_City">'General Information'!$F$161</definedName>
    <definedName name="DevExp_fourth_Dev_name">'General Information'!$F$160</definedName>
    <definedName name="DevExp_fourth_Dev_Principal">'General Information'!$F$163</definedName>
    <definedName name="DevExp_fourth_Dev_program">'General Information'!$F$164</definedName>
    <definedName name="DevExp_fourth_Dev_State">'General Information'!$F$162</definedName>
    <definedName name="DevExp_fourth_Dev_units">'General Information'!$F$166</definedName>
    <definedName name="DevExp_fourth_Dev_year">'General Information'!$F$167</definedName>
    <definedName name="DevExp_fourth_Other_program">'General Information'!$F$165</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Information'!$G$123</definedName>
    <definedName name="DevExp_natural_person_additional">'General Information'!$G$125</definedName>
    <definedName name="DevExp_natural_person_entity">'General Information'!$G$124</definedName>
    <definedName name="DevExp_Natural_Person_Meets">'General Information'!$E$118</definedName>
    <definedName name="DevExp_PrgmMinDevs_Count">Data1!$H$128</definedName>
    <definedName name="DevExp_PrgmMinDevs_Score">Data1!$G$128</definedName>
    <definedName name="DevExp_second_Dev_City">'General Information'!$F$141</definedName>
    <definedName name="DevExp_second_Dev_name">'General Information'!$F$140</definedName>
    <definedName name="DevExp_second_Dev_Principal">'General Information'!$F$143</definedName>
    <definedName name="DevExp_second_Dev_program">'General Information'!$F$144</definedName>
    <definedName name="DevExp_second_Dev_State">'General Information'!$F$142</definedName>
    <definedName name="DevExp_second_Dev_units">'General Information'!$F$146</definedName>
    <definedName name="DevExp_second_Dev_year">'General Information'!$F$147</definedName>
    <definedName name="DevExp_second_Other_program">'General Information'!$F$145</definedName>
    <definedName name="DevExp_third_Dev_City">'General Information'!$F$151</definedName>
    <definedName name="DevExp_third_Dev_name">'General Information'!$F$150</definedName>
    <definedName name="DevExp_third_Dev_Principal">'General Information'!$F$153</definedName>
    <definedName name="DevExp_third_Dev_program">'General Information'!$F$154</definedName>
    <definedName name="DevExp_third_Dev_State">'General Information'!$F$152</definedName>
    <definedName name="DevExp_third_Dev_units">'General Information'!$F$156</definedName>
    <definedName name="DevExp_third_Dev_year">'General Information'!$F$157</definedName>
    <definedName name="DevExp_third_Other_program">'General Information'!$F$155</definedName>
    <definedName name="DevType">'Proposed Development Info'!$C$124</definedName>
    <definedName name="DevType_met">'Proposed Development Info'!$F$122</definedName>
    <definedName name="DevTypeLevMulti">'Proposed Development Info'!$I$161</definedName>
    <definedName name="DLP_latitude">'Development Location'!$H$28</definedName>
    <definedName name="DLP_longitude">'Development Location'!$H$29</definedName>
    <definedName name="DLP_proper_format">'Development Location'!$J$27</definedName>
    <definedName name="DonationOfLand">Funding!$I$487</definedName>
    <definedName name="DS_100Percent_NC_Units">Data1!$B$245</definedName>
    <definedName name="DS_2023_County_GAOs">Data2!$BC$13:$BC$513</definedName>
    <definedName name="DS_2023_County_QCTs">Data2!$BA$13:$BA$235</definedName>
    <definedName name="DS_2023_GAO_Counties">Data2!$AY$13:$AY$2950</definedName>
    <definedName name="DS_2023_GAO_QCTs">Data2!$AX$13:$AY$2950</definedName>
    <definedName name="DS_2023_GAO_QCTs_Sorted">Data2!$BN$13:$BN$2950</definedName>
    <definedName name="DS_2023_Metro_QCT_Counties">Data2!$AS$13:$AS$814</definedName>
    <definedName name="DS_2023_Metro_QCTs">Data2!$AR$13:$AS$814</definedName>
    <definedName name="DS_2023_Metro_QCTs_Sorted">Data2!$BH$13:$BI$814</definedName>
    <definedName name="DS_2023_NonMetro_DDAs">Data2!$AP$13:$AP$35</definedName>
    <definedName name="DS_2023_NonMetro_QCT_Counties">Data2!$AV$13:$AV$48</definedName>
    <definedName name="DS_2023_NonMetro_QCTs">Data2!$AU$13:$AV$48</definedName>
    <definedName name="DS_2023_NonMetro_QCTs_Sorted">Data2!$BK$13:$BL$48</definedName>
    <definedName name="DS_2023_ZCTAs">Data2!$AM$13:$AN$365</definedName>
    <definedName name="DS_2023_ZCTAs_Sorted">Data2!$BE$13:$BF$365</definedName>
    <definedName name="DS_2024_County_GAOs">Data2!$CG$13:$CG$513</definedName>
    <definedName name="DS_2024_County_QCTs">Data2!$CE$13:$CE$722</definedName>
    <definedName name="DS_2024_GAO_Counties">Data2!$CC$13:$CC$2943</definedName>
    <definedName name="DS_2024_GAO_QCTs">Data2!$CB$13:$CC$2944</definedName>
    <definedName name="DS_2024_GAO_QCTs_Sorted">Data2!$CR$13:$CR$2943</definedName>
    <definedName name="DS_2024_Metro_QCT_Counties">Data2!$BW$13:$BW$4972</definedName>
    <definedName name="DS_2024_Metro_QCTs">Data2!$BV$13:$BW$4972</definedName>
    <definedName name="DS_2024_Metro_QCTs_Sorted">Data2!$CL$13:$CM$4972</definedName>
    <definedName name="DS_2024_NonMetro_DDAs">Data2!$BT$13:$BT$35</definedName>
    <definedName name="DS_2024_NonMetro_QCT_Counties">Data2!$BZ$13:$BZ$212</definedName>
    <definedName name="DS_2024_NonMetro_QCTs">Data2!$BY$13:$BZ$212</definedName>
    <definedName name="DS_2024_NonMetro_QCTs_Sorted">Data2!$CO$13:$CP$212</definedName>
    <definedName name="DS_2024_ZCTAs">Data2!$BQ$13:$BR$410</definedName>
    <definedName name="DS_2024_ZCTAs_Sorted">Data2!$CI$13:$CJ$410</definedName>
    <definedName name="DS_2025_County_GAOs">Data2!$DK$13:$DK$400</definedName>
    <definedName name="DS_2025_County_QCTs">Data2!$DI$13:$DI$175</definedName>
    <definedName name="DS_2025_GAO_Counties">Data2!$DG$13:$DG$2835</definedName>
    <definedName name="DS_2025_GAO_QCTs">Data2!$DF$13:$DG$2838</definedName>
    <definedName name="DS_2025_GAO_QCTs_Sorted">Data2!$DV$13:$DV$2835</definedName>
    <definedName name="DS_2025_Metro_QCT_Counties">Data2!$DA$13:$DA$4972</definedName>
    <definedName name="DS_2025_Metro_QCTs">Data2!$CZ$13:$DA$4972</definedName>
    <definedName name="DS_2025_Metro_QCTs_Sorted">Data2!$DP$13:$DP$4972</definedName>
    <definedName name="DS_2025_NonMetro_DDAs">Data2!$CX$13:$CX$35</definedName>
    <definedName name="DS_2025_NonMetro_QCT_Counties">Data2!$DD$13:$DD$250</definedName>
    <definedName name="DS_2025_NonMetro_QCTs">Data2!$DC$13:$DD$250</definedName>
    <definedName name="DS_2025_NonMetro_QCTs_Sorted">Data2!$DS$13:$DS$250</definedName>
    <definedName name="DS_2025_ZCTAs">Data2!$CU$13:$CV$450</definedName>
    <definedName name="DS_2025_ZCTAs_Sorted">Data2!$DM$13:$DN$450</definedName>
    <definedName name="DS_2026_2F_GAO_Counties">Data2!$M$13:$M$2813</definedName>
    <definedName name="DS_2026_2F_GAO_CTs">Data2!$L$13:$M$2813</definedName>
    <definedName name="DS_2026_2F_GAO_CTs_Sorted">Data2!$AG$13:$AG$2813</definedName>
    <definedName name="DS_2026_3F_GAO_Counties">Data2!$P$14:$P$2813</definedName>
    <definedName name="DS_2026_3F_GAO_CTs">Data2!$O$14:$P$2813</definedName>
    <definedName name="DS_2026_3F_GAO_CTs_Sorted">Data2!$AJ$13:$AJ$2813</definedName>
    <definedName name="DS_2026_County_2F_GAOs">Data2!$T$13:$T$398</definedName>
    <definedName name="DS_2026_County_3F_GAOs">Data2!$V$13:$V$398</definedName>
    <definedName name="DS_2026_County_QCTs">Data2!$R$13:$R$174</definedName>
    <definedName name="DS_2026_Metro_QCT_Counties">Data2!$G$13:$G$829</definedName>
    <definedName name="DS_2026_Metro_QCTs">Data2!$F$13:$G$829</definedName>
    <definedName name="DS_2026_Metro_QCTs_Sorted">Data2!$AA$13:$AB$829</definedName>
    <definedName name="DS_2026_NonMetro_DDAs">Data2!$D$13:$D$26</definedName>
    <definedName name="DS_2026_NonMetro_QCT_Counties">Data2!$J$13:$J$44</definedName>
    <definedName name="DS_2026_NonMetro_QCTs">Data2!$I$13:$J$44</definedName>
    <definedName name="DS_2026_NonMetro_QCTs_Sorted">Data2!$AD$13:$AE$44</definedName>
    <definedName name="DS_2026_ZCTAs">Data2!$A$13:$B$418</definedName>
    <definedName name="DS_2026_ZCTAs_Sorted">Data2!$X$13:$Y$418</definedName>
    <definedName name="DS_Absolute_Min_Units_1">Data1!$P$618</definedName>
    <definedName name="DS_Absolute_Min_Units_214">Data1!$P$619</definedName>
    <definedName name="DS_Act_Num_ELI_AIT">Data1!$N$673</definedName>
    <definedName name="DS_Act_Num_ELI_NonAIT">Data1!$M$673</definedName>
    <definedName name="DS_Act_Perc_ELI_NonAIT">Data1!$I$673</definedName>
    <definedName name="DS_Add_On_1_Y">Data3!$F$341</definedName>
    <definedName name="DS_Adj_Perc_ELI">'Units, Set-Asides, Bldgs'!$I$50:$K$58</definedName>
    <definedName name="DS_AMI_List">Data1!$F$919:$F$933</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asis_Boost_Pres">Data1!$B$296</definedName>
    <definedName name="DS_Basis_Boost_Rehab">Data1!$B$328</definedName>
    <definedName name="DS_Bond_ADDON">Data3!$G$341</definedName>
    <definedName name="DS_BS_ML_1">Data1!$H$504</definedName>
    <definedName name="DS_BS_ML_2">Data1!$H$505</definedName>
    <definedName name="DS_BS_ML_3">Data1!$H$506</definedName>
    <definedName name="DS_BS_ML_4">Data1!$H$507</definedName>
    <definedName name="DS_BS_ML_5">Data1!$H$508</definedName>
    <definedName name="DS_BS_S_1">Data1!$G$504</definedName>
    <definedName name="DS_BS_S_2">Data1!$G$505</definedName>
    <definedName name="DS_BS_S_3">Data1!$G$506</definedName>
    <definedName name="DS_BS_S_4">Data1!$G$507</definedName>
    <definedName name="DS_BS_S_5">Data1!$G$508</definedName>
    <definedName name="DS_BS_Score1_1">Data1!$I$504</definedName>
    <definedName name="DS_BS_Score1_2">Data1!$I$505</definedName>
    <definedName name="DS_BS_Score1_3">Data1!$I$506</definedName>
    <definedName name="DS_BS_Score1_4">Data1!$I$507</definedName>
    <definedName name="DS_BS_Score1_5">Data1!$I$508</definedName>
    <definedName name="DS_BS_Score2_1">Data1!$J$504</definedName>
    <definedName name="DS_BS_Score2_2">Data1!$J$505</definedName>
    <definedName name="DS_BS_Score2_3">Data1!$J$506</definedName>
    <definedName name="DS_BS_Score2_4">Data1!$J$507</definedName>
    <definedName name="DS_BS_Score2_5">Data1!$J$508</definedName>
    <definedName name="DS_BS_Score3ML_1">Data1!$L$504</definedName>
    <definedName name="DS_BS_Score3ML_2">Data1!$L$505</definedName>
    <definedName name="DS_BS_Score3ML_3">Data1!$L$506</definedName>
    <definedName name="DS_BS_Score3ML_4">Data1!$L$507</definedName>
    <definedName name="DS_BS_Score3ML_5">Data1!$L$508</definedName>
    <definedName name="DS_BS_Score3S_1">Data1!$K$504</definedName>
    <definedName name="DS_BS_Score3S_2">Data1!$K$505</definedName>
    <definedName name="DS_BS_Score3S_3">Data1!$K$506</definedName>
    <definedName name="DS_BS_Score3S_4">Data1!$K$507</definedName>
    <definedName name="DS_BS_Score3S_5">Data1!$K$508</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Data1!$B$742</definedName>
    <definedName name="DS_Comment_Min_ElderlyALF_SA_a">Data1!$B$728</definedName>
    <definedName name="DS_Comment_Min_ElderlyALF_SA_b">Data1!$B$738</definedName>
    <definedName name="DS_Comment_Min_ELI_SA_a">Data1!$B$730</definedName>
    <definedName name="DS_Comment_Min_ELI_SA_b">Data1!$B$741</definedName>
    <definedName name="DS_Comment_Min_IRS_and_Loan_SA_a">Data1!$B$725</definedName>
    <definedName name="DS_Comment_Min_IRS_and_Loan_SA_b">Data1!$B$735</definedName>
    <definedName name="DS_Comment_Min_IRS_NonProfit_SA_a">Data1!$B$726</definedName>
    <definedName name="DS_Comment_Min_IRS_NonProfit_SA_b">Data1!$B$736</definedName>
    <definedName name="DS_Comment_Min_Max_Workforce_SA_a">Data1!$B$727</definedName>
    <definedName name="DS_Comment_Min_Max_Workforce_SA_b">Data1!$B$737</definedName>
    <definedName name="DS_Comment_Min_RFA_SA_a">Data1!$B$729</definedName>
    <definedName name="DS_Comment_Min_RFA_SA_b1">Data1!$B$739</definedName>
    <definedName name="DS_Comment_Min_RFA_SA_b2">Data1!$B$740</definedName>
    <definedName name="DS_Comment_Min_SS_Below_50Percent_SA_a">Data1!$B$731</definedName>
    <definedName name="DS_Comment_Min_SS_Below_50Percent_SA_b">Data1!$B$743</definedName>
    <definedName name="DS_Comment_Total_Units_a">Data1!$B$724</definedName>
    <definedName name="DS_Comment_Total_Units_b">Data1!$B$734</definedName>
    <definedName name="DS_Constr_Feat_Multiplier">Data3!$G$346</definedName>
    <definedName name="DS_Counties_DataNames">Data1!$A$405:$A$471</definedName>
    <definedName name="DS_Counties_DDMenu">Data1!$F$404:$F$471</definedName>
    <definedName name="DS_Counties_Sequence">Data1!$C$405:$C$471</definedName>
    <definedName name="DS_County_Classification_Active">Data1!$J$403</definedName>
    <definedName name="DS_County_Sizes">Data1!$A$405:$K$471</definedName>
    <definedName name="DS_CountyData">Data3!$A$5:$P$72</definedName>
    <definedName name="DS_Davis_Bacon_Multiplier">Data3!$G$348</definedName>
    <definedName name="DS_Demo_DataNames">Data1!$A$20:$A$33</definedName>
    <definedName name="DS_Demo_DDMenu">Data1!$F$19:$F$33</definedName>
    <definedName name="DS_Demo_Multiplier">Data3!$G$343</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Data1!$H$238</definedName>
    <definedName name="DS_DevCat_Note_02">Data1!$H$239</definedName>
    <definedName name="DS_DevCat_Note_03">Data1!$H$240</definedName>
    <definedName name="DS_DevCat_Note_04">Data1!$H$241</definedName>
    <definedName name="DS_DevCat_Note_05">Data1!$H$242</definedName>
    <definedName name="DS_DevCat_Note_06">Data1!$H$243</definedName>
    <definedName name="DS_DevCat_Note_07">Data1!$H$244</definedName>
    <definedName name="DS_DevCat_Note_08">Data1!$H$245</definedName>
    <definedName name="DS_DevCat_Note_09">Data1!$H$246</definedName>
    <definedName name="DS_DevCat_Note_10">Data1!$H$247</definedName>
    <definedName name="DS_DevCat_Note_11">Data1!$H$248</definedName>
    <definedName name="DS_DevCat_Note_12">Data1!$H$249</definedName>
    <definedName name="DS_DevCat_Note_13">Data1!$H$250</definedName>
    <definedName name="DS_DevCat_Note_14">Data1!$H$251</definedName>
    <definedName name="DS_DevCat_Note_15">Data1!$H$252</definedName>
    <definedName name="DS_DevCat_Note_16">Data1!$H$253</definedName>
    <definedName name="DS_DevCat_Note_R1">Data1!$H$254</definedName>
    <definedName name="DS_DevCat_Note_R2">Data1!$H$255</definedName>
    <definedName name="DS_DevCat_Note_R3">Data1!$H$256</definedName>
    <definedName name="DS_DevCat_Q_Basis_Pres_1">Data1!$G$300</definedName>
    <definedName name="DS_DevCat_Q_Basis_Rehab_1">Data1!$G$332</definedName>
    <definedName name="DS_DevCat_Qual_Letter">Data1!$P$263</definedName>
    <definedName name="DS_DevCat_R_Exp_Pres_1">Data1!$G$293</definedName>
    <definedName name="DS_DevCat_R_Exp_Rehab_1">Data1!$G$325</definedName>
    <definedName name="DS_DevCat_Rule_Def">Data1!$R$312</definedName>
    <definedName name="DS_DevCat_Sequence">Data1!$C$230:$C$236</definedName>
    <definedName name="DS_DevCat_Units_NC_1">Data1!$G$258</definedName>
    <definedName name="DS_DevCat_Units_Pres_1">Data1!$G$282</definedName>
    <definedName name="DS_DevCat_Units_Redev_1">Data1!$G$266</definedName>
    <definedName name="DS_DevCat_Units_Rehab_1">Data1!$G$315</definedName>
    <definedName name="DS_DevCatMatch">Data1!$E$398</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'Developer Pref'!$P$49:$P$52</definedName>
    <definedName name="DS_DevExpProgs_DataNames">Data1!$A$72:$A$115</definedName>
    <definedName name="DS_DevExpProgs_DDMenu">Data1!$F$71:$F$115</definedName>
    <definedName name="DS_DevExpProgs_Sequence">Data1!$C$72:$C$115</definedName>
    <definedName name="DS_DevSubCat_DataNames">Data1!$A$239:$A$241</definedName>
    <definedName name="DS_DevSubCat_DDMenu">Data1!$F$238:$F$241</definedName>
    <definedName name="DS_DevSubCat_Sequence">Data1!$C$239:$C$241</definedName>
    <definedName name="DS_DevType_DataNames">Data1!$A$377:$A$388</definedName>
    <definedName name="DS_DevType_DDMenu">Data1!$F$376:$F$388</definedName>
    <definedName name="DS_DevType_Sequence">Data1!$C$377:$C$388</definedName>
    <definedName name="DS_Dollar_PU_ODR_Active">Data3!$I$250</definedName>
    <definedName name="DS_Elderly_ALF_Multiplier">Data3!$G$342</definedName>
    <definedName name="DS_ELI_Data">Data3!$A$5:$N$72</definedName>
    <definedName name="DS_ELI_Funding_Total">'Units, Set-Asides, Bldgs'!$K$142</definedName>
    <definedName name="DS_ELI_PD">Data3!$C$105</definedName>
    <definedName name="DS_ELI_UnitLimit">Data1!$B$717</definedName>
    <definedName name="DS_ELI_UnitLimit_Exception">Data1!$B$719</definedName>
    <definedName name="DS_ELI_UnitLimit_Exception_Goal">Data1!$B$720</definedName>
    <definedName name="DS_ELI_UnitLimit_Exception_Goal_Met">Data1!$F$720</definedName>
    <definedName name="DS_ELI_UnitLimit_Units">Data1!$B$718</definedName>
    <definedName name="DS_ExcelCheckbox_After_School">Data1!$B$802</definedName>
    <definedName name="DS_ExcelCheckBox_AtLeast80">Data1!$B$38</definedName>
    <definedName name="DS_ExcelCheckbox_cabinets">Data1!$B$784</definedName>
    <definedName name="DS_ExcelCheckbox_Computer_Training">Data1!$B$809</definedName>
    <definedName name="DS_ExcelCheckbox_Coordination_Exp_3rd_party">Data1!$B$796</definedName>
    <definedName name="DS_ExcelCheckbox_Daily_Activities">Data1!$B$810</definedName>
    <definedName name="DS_ExcelCheckBox_DC_Impaired">Data1!$B$40</definedName>
    <definedName name="DS_ExcelCheckBox_DC_Not_Impaired">Data1!$B$42</definedName>
    <definedName name="DS_ExcelCheckBox_DevCat_CorpPortfolio">Data1!$B$351</definedName>
    <definedName name="DS_ExcelCheckBox_DevCat_RDPortfolio">Data1!$B$352</definedName>
    <definedName name="DS_ExcelCheckbox_dual_flush">Data1!$B$780</definedName>
    <definedName name="DS_ExcelCheckbox_Employment_Assistance_general">Data1!$B$804</definedName>
    <definedName name="DS_ExcelCheckbox_ES_roof_coating">Data1!$B$782</definedName>
    <definedName name="DS_ExcelCheckbox_ES_roof_materials">Data1!$B$783</definedName>
    <definedName name="DS_ExcelCheckbox_ExpApplicant">Data1!$B$797</definedName>
    <definedName name="DS_ExcelCheckbox_Financial_Counseling">Data1!$B$805</definedName>
    <definedName name="DS_ExcelCheckbox_FinMgmt">Data1!$B$808</definedName>
    <definedName name="DS_ExcelCheckbox_flooring">Data1!$B$785</definedName>
    <definedName name="DS_ExcelCheckBox_Goal_1">Data1!$B$888</definedName>
    <definedName name="DS_ExcelCheckBox_Goal_2">Data1!$B$889</definedName>
    <definedName name="DS_ExcelCheckBox_Goal_3">Data1!$B$890</definedName>
    <definedName name="DS_ExcelCheckBox_Goal_4">Data1!$B$891</definedName>
    <definedName name="DS_ExcelCheckBox_Goal_5">Data1!$B$892</definedName>
    <definedName name="DS_ExcelCheckbox_Health_Wellness">Data1!$B$803</definedName>
    <definedName name="DS_ExcelCheckbox_Homeownership_seminar">Data1!$B$806</definedName>
    <definedName name="DS_ExcelCheckbox_Housekeeping">Data1!$B$811</definedName>
    <definedName name="DS_ExcelCheckbox_Humidistat">Data1!$B$779</definedName>
    <definedName name="DS_ExcelCheckBox_LessThan80">Data1!$B$37</definedName>
    <definedName name="DS_ExcelCheckbox_LGAO_NoPref">Data1!$B$865</definedName>
    <definedName name="DS_ExcelCheckbox_LGAO_Prior_App_1YR">Data1!$B$864</definedName>
    <definedName name="DS_ExcelCheckbox_LGAO_Prior_App_2YR">Data1!$B$863</definedName>
    <definedName name="DS_ExcelCheckbox_light_pavement">Data1!$B$781</definedName>
    <definedName name="DS_ExcelCheckbox_MixedUse_Comm">Data1!$B$868</definedName>
    <definedName name="DS_ExcelCheckbox_MixedUse_Inst">Data1!$B$869</definedName>
    <definedName name="DS_ExcelCheckBox_Op1_Dev1_50">'Developer Pref'!$Q$13</definedName>
    <definedName name="DS_ExcelCheckBox_Op1_Dev1_Complex">'Developer Pref'!$Q$16</definedName>
    <definedName name="DS_ExcelCheckBox_Op1_Dev1_MI">'Developer Pref'!$Q$14</definedName>
    <definedName name="DS_ExcelCheckBox_Op1_Dev1_MU">'Developer Pref'!$Q$15</definedName>
    <definedName name="DS_ExcelCheckBox_Op1_Dev2_50">'Developer Pref'!$Q$17</definedName>
    <definedName name="DS_ExcelCheckBox_Op1_Dev2_Complex">'Developer Pref'!$Q$20</definedName>
    <definedName name="DS_ExcelCheckBox_Op1_Dev2_MI">'Developer Pref'!$Q$18</definedName>
    <definedName name="DS_ExcelCheckBox_Op1_Dev2_MU">'Developer Pref'!$Q$19</definedName>
    <definedName name="DS_ExcelCheckBox_Op1_Dev3_50">'Developer Pref'!$Q$21</definedName>
    <definedName name="DS_ExcelCheckBox_Op1_Dev3_Complex">'Developer Pref'!$Q$24</definedName>
    <definedName name="DS_ExcelCheckBox_Op1_Dev3_MI">'Developer Pref'!$Q$22</definedName>
    <definedName name="DS_ExcelCheckBox_Op1_Dev3_MU">'Developer Pref'!$Q$23</definedName>
    <definedName name="DS_ExcelCheckBox_Op1_Dev4_50">'Developer Pref'!$Q$25</definedName>
    <definedName name="DS_ExcelCheckBox_Op1_Dev4_Complex">'Developer Pref'!$Q$28</definedName>
    <definedName name="DS_ExcelCheckBox_Op1_Dev4_MI">'Developer Pref'!$Q$26</definedName>
    <definedName name="DS_ExcelCheckBox_Op1_Dev4_MU">'Developer Pref'!$Q$27</definedName>
    <definedName name="DS_ExcelCheckBox_Op1_Dev5_50">'Developer Pref'!$Q$29</definedName>
    <definedName name="DS_ExcelCheckBox_Op1_Dev5_Complex">'Developer Pref'!$Q$32</definedName>
    <definedName name="DS_ExcelCheckBox_Op1_Dev5_MI">'Developer Pref'!$Q$30</definedName>
    <definedName name="DS_ExcelCheckBox_Op1_Dev5_MU">'Developer Pref'!$Q$31</definedName>
    <definedName name="DS_ExcelCheckBox_Op2_Dev1_50">'Developer Pref'!$Q$74</definedName>
    <definedName name="DS_ExcelCheckBox_Op2_Dev1_MI">'Developer Pref'!$Q$75</definedName>
    <definedName name="DS_ExcelCheckBox_Op2_Dev2_50">'Developer Pref'!$Q$76</definedName>
    <definedName name="DS_ExcelCheckBox_Op2_Dev2_MI">'Developer Pref'!$Q$77</definedName>
    <definedName name="DS_ExcelCheckBox_Op2_Dev3_50">'Developer Pref'!$Q$78</definedName>
    <definedName name="DS_ExcelCheckBox_Op2_Dev3_MI">'Developer Pref'!$Q$79</definedName>
    <definedName name="DS_ExcelCheckBox_Op2_Dev4_50">'Developer Pref'!$Q$80</definedName>
    <definedName name="DS_ExcelCheckBox_Op2_Dev4_MI">'Developer Pref'!$Q$81</definedName>
    <definedName name="DS_ExcelCheckBox_Op2_Dev5_50">'Developer Pref'!$Q$82</definedName>
    <definedName name="DS_ExcelCheckBox_Op2_Dev5_MI">'Developer Pref'!$Q$83</definedName>
    <definedName name="DS_ExcelCheckBox_RD514_516">Data1!$B$833</definedName>
    <definedName name="DS_ExcelCheckBox_RD515">Data1!$B$834</definedName>
    <definedName name="DS_ExcelCheckBox_RD538">Data1!$B$835</definedName>
    <definedName name="DS_ExcelCheckbox_Resident_checkin">Data1!$B$812</definedName>
    <definedName name="DS_ExcelCheckbox_SEER_for_AC">Data1!$B$786</definedName>
    <definedName name="DS_ExcelCheckbox_sensors">Data1!$B$793</definedName>
    <definedName name="DS_ExcelCheckBox_SSI">Data1!$B$41</definedName>
    <definedName name="DS_ExcelCheckBox_Survivors">Data1!$B$44</definedName>
    <definedName name="DS_ExcelCheckbox_thermostat">Data1!$B$778</definedName>
    <definedName name="DS_ExcelCheckbox_UrbanInfill">Data1!$B$870</definedName>
    <definedName name="DS_ExcelCheckbox_windows">Data1!$B$787</definedName>
    <definedName name="DS_ExcelCheckbox_Yards">Data1!$B$792</definedName>
    <definedName name="DS_ExcelCheckBox_YouthAgingOut">Data1!$B$43</definedName>
    <definedName name="DS_FF_DataNames">Data1!$A$626:$A$627</definedName>
    <definedName name="DS_FF_DDMenu">Data1!$F$625:$F$627</definedName>
    <definedName name="DS_FF_Sequence">Data1!$C$626:$C$627</definedName>
    <definedName name="DS_FHFC_9HC_Amt">Data3!$C$290</definedName>
    <definedName name="DS_FHFC_9HC_Label">Data3!$D$290</definedName>
    <definedName name="DS_FHFC_9HC_Max_Amt">Data3!$E$290</definedName>
    <definedName name="DS_FHFC_9HC_Name">Data3!$B$290</definedName>
    <definedName name="DS_FHFC_Min_Hard_Cost_Met_Pres">Data1!$B$305</definedName>
    <definedName name="DS_FHFC_Min_Hard_Cost_Met_Rehab">Data1!$B$337</definedName>
    <definedName name="DS_FHFC_Min_Pres_Costs_PU">Data1!$B$302</definedName>
    <definedName name="DS_FHFC_Min_Rehab_Costs_PU">Data1!$B$334</definedName>
    <definedName name="DS_FHFC_NonHC">Data1!$A$633</definedName>
    <definedName name="DS_FHFC_NonHC_Table">Data1!$B$653</definedName>
    <definedName name="DS_FHFC_Source_1_Amt">Data3!$C$285</definedName>
    <definedName name="DS_FHFC_Source_1_Label">Data3!$D$285</definedName>
    <definedName name="DS_FHFC_Source_1_Max_Amt">Data3!$E$285</definedName>
    <definedName name="DS_FHFC_Source_1_Name">Data3!$B$285</definedName>
    <definedName name="DS_FHFC_Source_2_Amt">Data3!$C$286</definedName>
    <definedName name="DS_FHFC_Source_2_Label">Data3!$D$286</definedName>
    <definedName name="DS_FHFC_Source_2_Max_Amt">Data3!$E$286</definedName>
    <definedName name="DS_FHFC_Source_2_Name">Data3!$B$286</definedName>
    <definedName name="DS_FHFC_Source_3_Amt">Data3!$C$287</definedName>
    <definedName name="DS_FHFC_Source_3_Label">Data3!$D$287</definedName>
    <definedName name="DS_FHFC_Source_3_Max_Amt">Data3!$E$287</definedName>
    <definedName name="DS_FHFC_Source_3_Name">Data3!$B$287</definedName>
    <definedName name="DS_FHFC_Source_4_Amt">Data3!$C$288</definedName>
    <definedName name="DS_FHFC_Source_4_Label">Data3!$D$288</definedName>
    <definedName name="DS_FHFC_Source_4_Max_Amt">Data3!$E$288</definedName>
    <definedName name="DS_FHFC_Source_4_Name">Data3!$B$288</definedName>
    <definedName name="DS_FLJobs_CDBG_DR">Data3!$G$232</definedName>
    <definedName name="DS_FLJobs_Grant">Data3!$G$230</definedName>
    <definedName name="DS_FLJobs_HC">Data3!$G$224</definedName>
    <definedName name="DS_FLJobs_HOME">Data3!$G$228</definedName>
    <definedName name="DS_FLJobs_HOME_ARP">Data3!$G$229</definedName>
    <definedName name="DS_FLJobs_MFAR">Data3!$G$219</definedName>
    <definedName name="DS_FLJobs_MFNC">Data3!$G$218</definedName>
    <definedName name="DS_FLJobs_MFRO">Data3!$G$221</definedName>
    <definedName name="DS_FLJobs_Min_Score1">Data3!$G$216</definedName>
    <definedName name="DS_FLJobs_Min_Score2">Data3!$G$217</definedName>
    <definedName name="DS_FLJobs_MP_HC">Data3!$G$222</definedName>
    <definedName name="DS_FLJobs_NHTF">Data3!$G$231</definedName>
    <definedName name="DS_FLJobs_RRLP">Data3!$G$227</definedName>
    <definedName name="DS_FLJobs_SAIL">Data3!$G$226</definedName>
    <definedName name="DS_FLJobs_SFNC">Data3!$G$220</definedName>
    <definedName name="DS_FLJobs_Workforce">Data3!$G$225</definedName>
    <definedName name="DS_Gap_AMI_Auto">Data1!$B$660</definedName>
    <definedName name="DS_Gap_AMI_Auto_YN">Data1!$C$660</definedName>
    <definedName name="DS_Gap_AMI_AutoAvg_AIT">Data1!$B$662</definedName>
    <definedName name="DS_Gap_AMI_Max">Data1!$B$661</definedName>
    <definedName name="DS_Gap_Max_SA_Perc">Data1!$B$664</definedName>
    <definedName name="DS_Gap_Min_SA_ALF">Data1!$B$665</definedName>
    <definedName name="DS_Gap_Min_SA_Perc">Data1!$B$663</definedName>
    <definedName name="DS_Gap_Name1">Data1!$B$658</definedName>
    <definedName name="DS_Gap_Name2">Data1!$B$659</definedName>
    <definedName name="DS_Gap1_YN">Data1!$B$656</definedName>
    <definedName name="DS_Gap2_YN">Data1!$B$657</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Data1!$H$519</definedName>
    <definedName name="DS_GMP_ML_2">Data1!$H$520</definedName>
    <definedName name="DS_GMP_ML_3">Data1!$H$521</definedName>
    <definedName name="DS_GMP_ML_4">Data1!$H$522</definedName>
    <definedName name="DS_GMP_ML_5">Data1!$H$523</definedName>
    <definedName name="DS_GMP_ML_6">Data1!$H$524</definedName>
    <definedName name="DS_GMP_ML_7">Data1!$H$525</definedName>
    <definedName name="DS_GMP_ML_8">Data1!$H$526</definedName>
    <definedName name="DS_GMP_S_1">Data1!$G$519</definedName>
    <definedName name="DS_GMP_S_2">Data1!$G$520</definedName>
    <definedName name="DS_GMP_S_3">Data1!$G$521</definedName>
    <definedName name="DS_GMP_S_4">Data1!$G$522</definedName>
    <definedName name="DS_GMP_S_5">Data1!$G$523</definedName>
    <definedName name="DS_GMP_S_6">Data1!$G$524</definedName>
    <definedName name="DS_GMP_S_7">Data1!$G$525</definedName>
    <definedName name="DS_GMP_S_8">Data1!$G$526</definedName>
    <definedName name="DS_GMP_Score_1">Data1!$I$519</definedName>
    <definedName name="DS_GMP_Score_2">Data1!$I$520</definedName>
    <definedName name="DS_GMP_Score_3">Data1!$I$521</definedName>
    <definedName name="DS_GMP_Score_4">Data1!$I$522</definedName>
    <definedName name="DS_GMP_Score_5">Data1!$I$523</definedName>
    <definedName name="DS_GMP_Score_6">Data1!$I$524</definedName>
    <definedName name="DS_GMP_Score_7">Data1!$I$525</definedName>
    <definedName name="DS_GMP_Score_8">Data1!$I$526</definedName>
    <definedName name="DS_GMPPS_Distance_Rank">Data1!$B$535</definedName>
    <definedName name="DS_GMPPS_Score_Rank">Data1!$C$535</definedName>
    <definedName name="DS_Goals_DataNames">Data1!$A$873:$A$885</definedName>
    <definedName name="DS_Goals_DDMenu">Data1!$F$872:$F$885</definedName>
    <definedName name="DS_Goals_Sequence">Data1!$C$873:$C$885</definedName>
    <definedName name="DS_Grant_PD">Data3!$C$163</definedName>
    <definedName name="DS_Green_DataNames">Data1!$A$771:$A$774</definedName>
    <definedName name="DS_Green_DDMenu">Data1!$F$770:$F$774</definedName>
    <definedName name="DS_Green_Sequence">Data1!$C$771:$C$774</definedName>
    <definedName name="DS_HC_Funding">Data1!$B$244</definedName>
    <definedName name="DS_HC_Min_SA_Perc">Data1!$B$636</definedName>
    <definedName name="DS_HC_PFNCGAE">Data3!$F$321</definedName>
    <definedName name="DS_HC_PFNCGAW">Data3!$F$322</definedName>
    <definedName name="DS_HC_PFNCHRE">Data3!$F$323</definedName>
    <definedName name="DS_HC_PFNCMRE">Data3!$F$324</definedName>
    <definedName name="DS_HC_PFNCMRW">Data3!$F$325</definedName>
    <definedName name="DS_HC_PFRCGA">Data3!$F$326</definedName>
    <definedName name="DS_HC_PFRCNG">Data3!$F$327</definedName>
    <definedName name="DS_HC_SFNCGAE">Data3!$F$328</definedName>
    <definedName name="DS_HC_SFNCGAW">Data3!$F$329</definedName>
    <definedName name="DS_HC_SFNCHRE">Data3!$F$330</definedName>
    <definedName name="DS_HC_SFNCMRE">Data3!$F$331</definedName>
    <definedName name="DS_HC_SFNCMRW">Data3!$F$332</definedName>
    <definedName name="DS_HC_SFRCGA">Data3!$F$333</definedName>
    <definedName name="DS_HC_SFRCNG">Data3!$F$334</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Data3!$D$277</definedName>
    <definedName name="DS_HOMEARPRQST">Data3!$C$277</definedName>
    <definedName name="DS_HUDBoostYear_DDMenu">Data1!$F$818:$F$822</definedName>
    <definedName name="DS_IRC_Adj_Basis_Bldg_Pres">Data1!$B$291</definedName>
    <definedName name="DS_IRC_Adj_Basis_Bldg_Rehab">Data1!$B$323</definedName>
    <definedName name="DS_IRC_Min_AB_Bldg_Met_Pres">Data1!$B$294</definedName>
    <definedName name="DS_IRC_Min_AB_Bldg_Met_Rehab">Data1!$B$326</definedName>
    <definedName name="DS_IRC_Min_Adj_Basis_Bldg_Pres">Data1!$B$292</definedName>
    <definedName name="DS_IRC_Min_Adj_Basis_Bldg_Rehab">Data1!$B$324</definedName>
    <definedName name="DS_IRC_Min_Cost_Bldg_Pres">Data1!$B$289</definedName>
    <definedName name="DS_IRC_Min_Cost_Bldg_Rehab">Data1!$B$321</definedName>
    <definedName name="DS_IRC_Min_Pres_Costs_PU">Data1!$B$295</definedName>
    <definedName name="DS_IRC_Min_Rehab_Costs_PU">Data1!$B$327</definedName>
    <definedName name="DS_IRC_Qual_Basis_Pres">Data1!$B$301</definedName>
    <definedName name="DS_IRC_Qual_Basis_Rehab">Data1!$B$333</definedName>
    <definedName name="DS_IRC_Rehab_Costs_Pres">Data1!$B$290</definedName>
    <definedName name="DS_IRC_Rehab_Costs_Rehab">Data1!$B$322</definedName>
    <definedName name="DS_IRS_2050">Data1!$A$630</definedName>
    <definedName name="DS_IRS_4060">Data1!$A$631</definedName>
    <definedName name="DS_IRS_AIT">Data1!$A$632</definedName>
    <definedName name="DS_IssueDate">Data1!$E$8</definedName>
    <definedName name="DS_KeysLocation_DDMenu">Data1!$F$473:$F$475</definedName>
    <definedName name="DS_LDA_Counties">Data1!$A$405:$R$471</definedName>
    <definedName name="DS_LDA_County_List">Data1!$L$462:$L$471</definedName>
    <definedName name="DS_LDA_Designation">Data1!$M$405:$M$471</definedName>
    <definedName name="DS_LDA_Listed">Data1!$R$405:$R$471</definedName>
    <definedName name="DS_Lev_MP_Bedrooms">Data3!$G$206</definedName>
    <definedName name="DS_Lev_MP_Broward">Data3!$G$205</definedName>
    <definedName name="DS_Lev_MP_ESS">Data3!$G$208</definedName>
    <definedName name="DS_Lev_MP_GA">Data3!$G$211</definedName>
    <definedName name="DS_Lev_MP_HC">Data3!$G$203</definedName>
    <definedName name="DS_Lev_MP_HR">Data3!$G$209</definedName>
    <definedName name="DS_Lev_MP_Loan">Data3!$G$204</definedName>
    <definedName name="DS_Lev_MP_MR">Data3!$G$210</definedName>
    <definedName name="DS_Lev_MP_Oth">Data3!$G$212</definedName>
    <definedName name="DS_Lev_MP_PHA">Data3!$G$207</definedName>
    <definedName name="DS_LGC_Type_DDMenu">Data1!$G$850:$G$853</definedName>
    <definedName name="DS_Limiting_DevCat_Menu">Data3!$N$76:$N$77</definedName>
    <definedName name="DS_LL_DevExpPrgms_Active">Data1!$B$118</definedName>
    <definedName name="DS_Loan_Min_SA_Perc">Data1!$B$651</definedName>
    <definedName name="DS_Loan_Name">Data1!$B$650</definedName>
    <definedName name="DS_Managing_DDMenu">Data1!$F$218:$F$220</definedName>
    <definedName name="DS_Mand_distance_auto">Data1!$B$582</definedName>
    <definedName name="DS_Mandadory_Distance_Calc">Data2!$EP$13:$EP$76</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Combo_Units">Data1!$P$620</definedName>
    <definedName name="DS_Max_Dollar_PU_ODR">Data3!$G$250</definedName>
    <definedName name="DS_Max_NHTF">Data3!$C$320:$N$334</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Data3!$G$249</definedName>
    <definedName name="DS_Max_Units_1">Data1!$G$587</definedName>
    <definedName name="DS_Max_Units_2">Data1!$H$587</definedName>
    <definedName name="DS_MaxDevFeeAcq_Percent">Data3!$G$242</definedName>
    <definedName name="DS_MaxDevFeeNonAcq_Percent">Data3!$G$241</definedName>
    <definedName name="DS_MaxDevFeeODR_Percent">Data3!$G$248</definedName>
    <definedName name="DS_MaxGCFee">Data3!$G$237</definedName>
    <definedName name="DS_MaxHCCNC">Data3!$G$238</definedName>
    <definedName name="DS_MaxHCCR">Data3!$G$239</definedName>
    <definedName name="DS_MaxSCC">Data3!$G$240</definedName>
    <definedName name="DS_MaxUnits_AR_1">Data1!$B$612</definedName>
    <definedName name="DS_MaxUnits_AR_2">Data1!$K$612</definedName>
    <definedName name="DS_MaxUnits_Default_1">Data1!$B$616</definedName>
    <definedName name="DS_MaxUnits_Default_2">Data1!$K$616</definedName>
    <definedName name="DS_MaxUnits_E_NonOccRehab_1">Data1!$B$606</definedName>
    <definedName name="DS_MaxUnits_E_NonOccRehab_2">Data1!$K$606</definedName>
    <definedName name="DS_MaxUnits_E_OccRehab_1">Data1!$B$605</definedName>
    <definedName name="DS_MaxUnits_E_OccRehab_2">Data1!$K$605</definedName>
    <definedName name="DS_MaxUnits_Fam_1">Data1!$B$610</definedName>
    <definedName name="DS_MaxUnits_Fam_2">Data1!$K$610</definedName>
    <definedName name="DS_MaxUnits_General_Large_1">Data1!$B$615</definedName>
    <definedName name="DS_MaxUnits_General_Large_2">Data1!$K$615</definedName>
    <definedName name="DS_MaxUnits_General_Medium_1">Data1!$B$614</definedName>
    <definedName name="DS_MaxUnits_General_Medium_2">Data1!$K$614</definedName>
    <definedName name="DS_MaxUnits_General_Small_1">Data1!$B$613</definedName>
    <definedName name="DS_MaxUnits_General_Small_2">Data1!$K$613</definedName>
    <definedName name="DS_MaxUnits_NC_1">Data1!$B$611</definedName>
    <definedName name="DS_MaxUnits_NC_2">Data1!$K$611</definedName>
    <definedName name="DS_MaxUnits_NC_ALF_1">Data1!$B$602</definedName>
    <definedName name="DS_MaxUnits_NC_ALF_2">Data1!$K$602</definedName>
    <definedName name="DS_MaxUnits_NC_E_BMD_1">Data1!$B$608</definedName>
    <definedName name="DS_MaxUnits_NC_E_BMD_2">Data1!$K$608</definedName>
    <definedName name="DS_MaxUnits_NC_E_NonBMD_1">Data1!$B$609</definedName>
    <definedName name="DS_MaxUnits_NC_E_NonBMD_2">Data1!$K$609</definedName>
    <definedName name="DS_MaxUnits_NC_F_MMRB_1">Data1!$B$604</definedName>
    <definedName name="DS_MaxUnits_NC_F_MMRB_2">Data1!$K$604</definedName>
    <definedName name="DS_MaxUnits_NotNC_ALF_1">Data1!$B$603</definedName>
    <definedName name="DS_MaxUnits_NotNC_ALF_2">Data1!$K$603</definedName>
    <definedName name="DS_MaxUnits_PDC_1">Data1!$B$601</definedName>
    <definedName name="DS_MaxUnits_PDC_2">Data1!$K$601</definedName>
    <definedName name="DS_MaxUnits_PDD_1">Data1!$B$600</definedName>
    <definedName name="DS_MaxUnits_PDD_2">Data1!$K$600</definedName>
    <definedName name="DS_MaxUnits_Pres_1">Data1!$B$607</definedName>
    <definedName name="DS_MaxUnits_Pres_2">Data1!$K$607</definedName>
    <definedName name="DS_MDCounty_DDMenu">Data1!$F$477:$F$479</definedName>
    <definedName name="DS_Menu_Programs">'Developer Pref'!$P$94:$P$110</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Data1!$A$483:$A$501</definedName>
    <definedName name="DS_Military_DDMenu">Data1!$F$482:$F$501</definedName>
    <definedName name="DS_Military_Region">Data1!$E$483:$E$501</definedName>
    <definedName name="DS_Military_Sequence">Data1!$C$483:$C$501</definedName>
    <definedName name="DS_Min_50_NoHC_AIT">Data1!$B$709</definedName>
    <definedName name="DS_Min_50_NoHC_NonAIT">Data1!$B$693</definedName>
    <definedName name="DS_Min_ARP_Req_Units">Data3!$J$132</definedName>
    <definedName name="DS_Min_ARP_Req_Units_Active">Data3!$I$132</definedName>
    <definedName name="DS_Min_Below50_AIT_SS">Data1!$B$708</definedName>
    <definedName name="DS_Min_Below50_NonAIT_SS">Data1!$B$692</definedName>
    <definedName name="DS_Min_ELI_AIT_HC_Buy_NSS">Data1!$B$699</definedName>
    <definedName name="DS_Min_ELI_AIT_HC_Buy_SS">Data1!$B$707</definedName>
    <definedName name="DS_Min_ELI_AIT_HC_NSS">Data1!$B$698</definedName>
    <definedName name="DS_Min_ELI_AIT_HC_SS">Data1!$B$706</definedName>
    <definedName name="DS_Min_ELI_AIT_NoHC_Buy_NSS">Data1!$B$701</definedName>
    <definedName name="DS_Min_ELI_AIT_NoHC_NSS">Data1!$B$700</definedName>
    <definedName name="DS_Min_ELI_LDA">Data1!$B$714</definedName>
    <definedName name="DS_Min_ELI_NonAIT_HC_Buy_NSS">Data1!$B$683</definedName>
    <definedName name="DS_Min_ELI_NonAIT_HC_Buy_SS">Data1!$B$691</definedName>
    <definedName name="DS_Min_ELI_NonAIT_HC_NSS">Data1!$B$682</definedName>
    <definedName name="DS_Min_ELI_NonAIT_HC_SS">Data1!$B$690</definedName>
    <definedName name="DS_Min_ELI_NonAIT_NoHC_Buy_NSS">Data1!$B$685</definedName>
    <definedName name="DS_Min_ELI_NonAIT_NoHC_NSS">Data1!$B$684</definedName>
    <definedName name="DS_Min_NHTF_Req_Units">Data3!$J$149</definedName>
    <definedName name="DS_Min_NHTF_Req_Units_Active">Data3!$I$149</definedName>
    <definedName name="DS_Min_Units_1">Data1!$G$585</definedName>
    <definedName name="DS_Min_Units_2">Data1!$H$585</definedName>
    <definedName name="DS_Min_Units_2Large_1">Data1!$B$592</definedName>
    <definedName name="DS_Min_Units_2Large_2">Data1!$K$592</definedName>
    <definedName name="DS_Min_Units_6Large_1">Data1!$B$591</definedName>
    <definedName name="DS_Min_Units_6Large_2">Data1!$K$591</definedName>
    <definedName name="DS_Min_Units_AR_1">Data1!$B$595</definedName>
    <definedName name="DS_Min_Units_AR_2">Data1!$K$595</definedName>
    <definedName name="DS_Min_Units_Bonds_1">Data1!$B$593</definedName>
    <definedName name="DS_Min_Units_Bonds_2">Data1!$K$593</definedName>
    <definedName name="DS_Min_Units_Default_1">Data1!$B$599</definedName>
    <definedName name="DS_Min_Units_Default_2">Data1!$K$599</definedName>
    <definedName name="DS_Min_Units_General_Large_1">Data1!$B$598</definedName>
    <definedName name="DS_Min_Units_General_Large_2">Data1!$K$598</definedName>
    <definedName name="DS_Min_Units_General_Medium_1">Data1!$B$597</definedName>
    <definedName name="DS_Min_Units_General_Medium_2">Data1!$K$597</definedName>
    <definedName name="DS_Min_Units_General_Small_1">Data1!$B$596</definedName>
    <definedName name="DS_Min_Units_General_Small_2">Data1!$K$596</definedName>
    <definedName name="DS_Min_Units_Keys_1">Data1!$B$587</definedName>
    <definedName name="DS_Min_Units_Keys_2">Data1!$K$587</definedName>
    <definedName name="DS_Min_Units_NC_1">Data1!$B$594</definedName>
    <definedName name="DS_Min_Units_NC_2">Data1!$K$594</definedName>
    <definedName name="DS_Min_Units_No_MiamiDade_1">Data1!$B$588</definedName>
    <definedName name="DS_Min_Units_No_MiamiDade_2">Data1!$K$588</definedName>
    <definedName name="DS_Min_Units_PDC_1">Data1!$B$586</definedName>
    <definedName name="DS_Min_Units_PDC_2">Data1!$K$586</definedName>
    <definedName name="DS_Min_Units_PDD_1">Data1!$B$585</definedName>
    <definedName name="DS_Min_Units_PDD_2">Data1!$K$585</definedName>
    <definedName name="DS_Min_Units_Pinellas_1">Data1!$B$590</definedName>
    <definedName name="DS_Min_Units_Pinellas_2">Data1!$K$590</definedName>
    <definedName name="DS_Min_Units_So_MiamiDade_1">Data1!$B$589</definedName>
    <definedName name="DS_Min_Units_So_MiamiDade_2">Data1!$K$589</definedName>
    <definedName name="DS_Minimum_ELI">Data1!$G$675</definedName>
    <definedName name="DS_MinIRS_DataNames">Data1!$A$630:$A$633</definedName>
    <definedName name="DS_MinIRS_DDMenu">Data1!$F$629:$F$633</definedName>
    <definedName name="DS_MinIRS_Sequence">Data1!$C$630:$C$633</definedName>
    <definedName name="DS_Multiplier_1_Y">Data3!$F$342</definedName>
    <definedName name="DS_Multiplier_2_Y">Data3!$F$343</definedName>
    <definedName name="DS_Multiplier_3_Y">Data3!$F$344</definedName>
    <definedName name="DS_Multiplier_4_Y">Data3!$F$345</definedName>
    <definedName name="DS_Multiplier_5_Y">Data3!$F$346</definedName>
    <definedName name="DS_Multiplier_6_Y">Data3!$F$347</definedName>
    <definedName name="DS_Multiplier_7_Y">Data3!$F$348</definedName>
    <definedName name="DS_Multiplier_8_Y">Data3!$F$350</definedName>
    <definedName name="DS_Multiplier_9_Y">Data3!$F$351</definedName>
    <definedName name="DS_N_Keys_Multiplier">Data3!$G$350</definedName>
    <definedName name="DS_NC_NP_Req">Data1!$B$255</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tes_New_Construction">Data1!$G$260</definedName>
    <definedName name="DS_Notes_Preservation">Data1!$G$309</definedName>
    <definedName name="DS_Notes_Redevelopment">Data1!$G$276</definedName>
    <definedName name="DS_Notes_Rehabilitation">Data1!$G$338</definedName>
    <definedName name="DS_NSS_HC_ELI_Purchase">Data1!$B$677</definedName>
    <definedName name="DS_NSS_NoHC_ELI_Purchase">Data1!$B$679</definedName>
    <definedName name="DS_Num_of_GAOs">Data1!$C$825</definedName>
    <definedName name="DS_NumOf_LDA_Counties">Data1!$L$460</definedName>
    <definedName name="DS_Occ_DataNames">Data1!$A$619:$A$621</definedName>
    <definedName name="DS_Occ_DDMenu">Data1!$F$618:$F$621</definedName>
    <definedName name="DS_Occ_Sequence">Data1!$C$619:$C$621</definedName>
    <definedName name="DS_Operational_Contact_Full_Name">Data1!$F$227</definedName>
    <definedName name="DS_PDDDC_51_Multiplier">Data3!$G$344</definedName>
    <definedName name="DS_PDDDC_81_Multiplier">Data3!$G$345</definedName>
    <definedName name="DS_PFNCGAE">Data3!$J$321</definedName>
    <definedName name="DS_PFNCGAW">Data3!$J$322</definedName>
    <definedName name="DS_PFNCHRE">Data3!$J$323</definedName>
    <definedName name="DS_PFNCMRE">Data3!$J$324</definedName>
    <definedName name="DS_PFNCMRW">Data3!$J$325</definedName>
    <definedName name="DS_PFRCGA">Data3!$J$326</definedName>
    <definedName name="DS_PFRCNG">Data3!$J$327</definedName>
    <definedName name="DS_PHA_Multiplier">Data3!$G$347</definedName>
    <definedName name="DS_Preserv_MinAge_Per_RFA">Data1!$E$285</definedName>
    <definedName name="DS_Preserv_MinAge_Per_Rule">Data1!$E$284</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Data3!$A$253:$A$269</definedName>
    <definedName name="DS_ProAppSource_Sequence">Data3!$G$253:$G$269</definedName>
    <definedName name="DS_ProAppSources_DDMenu">Data3!$J$252:$J$269</definedName>
    <definedName name="DS_Prox_List">Data2!$EJ$13:$EM$75</definedName>
    <definedName name="DS_Prox_List_Demo">Data2!$EK$13:$EK$76</definedName>
    <definedName name="DS_Proximity_DDMenu">Data2!$EJ$12:$EJ$76</definedName>
    <definedName name="DS_Proximity_List_DataNames">Data2!$EJ$13:$EJ$76</definedName>
    <definedName name="DS_Proximity_List_PublishNames">Data2!$EV$13:$EV$76</definedName>
    <definedName name="DS_Proximity_List_Sequence">Data2!$ET$13:$ET$76</definedName>
    <definedName name="DS_PS_ML_1">Data1!$H$528</definedName>
    <definedName name="DS_PS_ML_2">Data1!$H$529</definedName>
    <definedName name="DS_PS_ML_3">Data1!$H$530</definedName>
    <definedName name="DS_PS_ML_4">Data1!$H$531</definedName>
    <definedName name="DS_PS_ML_5">Data1!$H$532</definedName>
    <definedName name="DS_PS_ML_6">Data1!$H$533</definedName>
    <definedName name="DS_PS_ML_7">Data1!$H$534</definedName>
    <definedName name="DS_PS_S_1">Data1!$G$528</definedName>
    <definedName name="DS_PS_S_2">Data1!$G$529</definedName>
    <definedName name="DS_PS_S_3">Data1!$G$530</definedName>
    <definedName name="DS_PS_S_4">Data1!$G$531</definedName>
    <definedName name="DS_PS_S_5">Data1!$G$532</definedName>
    <definedName name="DS_PS_S_6">Data1!$G$533</definedName>
    <definedName name="DS_PS_S_7">Data1!$G$534</definedName>
    <definedName name="DS_PS_Score_1">Data1!$I$528</definedName>
    <definedName name="DS_PS_Score_2">Data1!$I$529</definedName>
    <definedName name="DS_PS_Score_3">Data1!$I$530</definedName>
    <definedName name="DS_PS_Score_4">Data1!$I$531</definedName>
    <definedName name="DS_PS_Score_5">Data1!$I$532</definedName>
    <definedName name="DS_PS_Score_6">Data1!$I$533</definedName>
    <definedName name="DS_PS_Score_7">Data1!$I$534</definedName>
    <definedName name="DS_PU_Constr_Fund_Pref_Dollar">Data1!$F$847</definedName>
    <definedName name="DS_QB_Rehab_Costs_HC_Units_Pres">Data1!$B$300</definedName>
    <definedName name="DS_QB_Rehab_Costs_HC_Units_Rehab">Data1!$B$332</definedName>
    <definedName name="DS_QB_Rehab_Costs_Pres">Data1!$B$299</definedName>
    <definedName name="DS_QB_Rehab_Costs_Rehab">Data1!$B$331</definedName>
    <definedName name="DS_QualFin_DDMenu">Data1!$F$837:$F$844</definedName>
    <definedName name="DS_Qualifying_FAFP_Basis">Data1!$B$839</definedName>
    <definedName name="DS_Qualifying_FAFP_Basis_Code">Data1!$E$839</definedName>
    <definedName name="DS_Qualifying_FAFP_Percent">Data1!$B$838</definedName>
    <definedName name="DS_RA_Source_DataNames">Data1!$A$355:$A$361</definedName>
    <definedName name="DS_RA_Source_DDMenu">Data1!$F$354:$F$361</definedName>
    <definedName name="DS_RA_Source_Sequence">Data1!$C$355:$C$361</definedName>
    <definedName name="DS_RBR_ML_1">Data1!$H$510</definedName>
    <definedName name="DS_RBR_ML_2">Data1!$H$511</definedName>
    <definedName name="DS_RBR_ML_3">Data1!$H$512</definedName>
    <definedName name="DS_RBR_ML_4">Data1!$H$513</definedName>
    <definedName name="DS_RBR_ML_5">Data1!$H$514</definedName>
    <definedName name="DS_RBR_ML_6">Data1!$H$515</definedName>
    <definedName name="DS_RBR_ML_7">Data1!$H$516</definedName>
    <definedName name="DS_RBR_ML_8">Data1!$H$517</definedName>
    <definedName name="DS_RBR_S_1">Data1!$G$510</definedName>
    <definedName name="DS_RBR_S_2">Data1!$G$511</definedName>
    <definedName name="DS_RBR_S_3">Data1!$G$512</definedName>
    <definedName name="DS_RBR_S_4">Data1!$G$513</definedName>
    <definedName name="DS_RBR_S_5">Data1!$G$514</definedName>
    <definedName name="DS_RBR_S_6">Data1!$G$515</definedName>
    <definedName name="DS_RBR_S_7">Data1!$G$516</definedName>
    <definedName name="DS_RBR_S_8">Data1!$G$517</definedName>
    <definedName name="DS_RBR_Score_1">Data1!$I$510</definedName>
    <definedName name="DS_RBR_Score_2">Data1!$I$511</definedName>
    <definedName name="DS_RBR_Score_3">Data1!$I$512</definedName>
    <definedName name="DS_RBR_Score_4">Data1!$I$513</definedName>
    <definedName name="DS_RBR_Score_5">Data1!$I$514</definedName>
    <definedName name="DS_RBR_Score_6">Data1!$I$515</definedName>
    <definedName name="DS_RBR_Score_7">Data1!$I$516</definedName>
    <definedName name="DS_RBR_Score_8">Data1!$I$517</definedName>
    <definedName name="DS_Redev_MinAge">Data1!$E$268</definedName>
    <definedName name="DS_RedevCat_DOT_DDMenu">Data1!$G$340:$G$342</definedName>
    <definedName name="DS_RedevCat_Financing_DataNames">Data1!$A$341:$A$348</definedName>
    <definedName name="DS_RedevCat_Financing_DDMenu">Data1!$F$340:$F$348</definedName>
    <definedName name="DS_RedevCat_Financing_Sequence">Data1!$C$341:$C$348</definedName>
    <definedName name="DS_Request_Maximum">Data1!$F$816</definedName>
    <definedName name="DS_Request_Minimum">Data1!$F$815</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Data3!$G$351</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Data1!$F$404</definedName>
    <definedName name="DS_Serv_DataNames">Data1!$A$941:$A$944</definedName>
    <definedName name="DS_Serv_DDMenu">Data1!$F$940:$F$944</definedName>
    <definedName name="DS_Serv_Sequence">Data1!$C$941:$C$944</definedName>
    <definedName name="DS_SetAside_Percent_Pres">Data1!$B$297</definedName>
    <definedName name="DS_SetAside_Percent_Rehab">Data1!$B$329</definedName>
    <definedName name="DS_SFNCGAE">Data3!$J$328</definedName>
    <definedName name="DS_SFNCGAW">Data3!$J$329</definedName>
    <definedName name="DS_SFNCHRE">Data3!$J$330</definedName>
    <definedName name="DS_SFNCMRE">Data3!$J$331</definedName>
    <definedName name="DS_SFNCMRW">Data3!$J$332</definedName>
    <definedName name="DS_SFRCGA">Data3!$J$333</definedName>
    <definedName name="DS_SFRCNG">Data3!$J$334</definedName>
    <definedName name="DS_SS_ELI_Purchase">Data1!$B$678</definedName>
    <definedName name="DS_States_DataNames">Data1!$A$160:$A$211</definedName>
    <definedName name="DS_States_DDMenu">Data1!$F$159:$F$211</definedName>
    <definedName name="DS_States_Sequence">Data1!$C$160:$C$211</definedName>
    <definedName name="DS_SunRail_DataNames">Data1!$A$550:$A$567</definedName>
    <definedName name="DS_SunRail_DDMenu">Data1!$F$549:$F$566</definedName>
    <definedName name="DS_SunRail_Sequence">Data1!$D$550:$D$566</definedName>
    <definedName name="DS_TabHeader">Data1!$A$4</definedName>
    <definedName name="DS_TableA_Whole_Nos">Data1!$B$638</definedName>
    <definedName name="DS_TabLeftFooter">Data1!$A$7</definedName>
    <definedName name="DS_Tier_DataNames">Data1!$A$155:$A$156</definedName>
    <definedName name="DS_Tier_DDMenu">Data1!$F$154:$F$156</definedName>
    <definedName name="DS_Tier_Level">Data3!$J$371</definedName>
    <definedName name="DS_Tier_Sequence">Data1!$C$155:$C$156</definedName>
    <definedName name="DS_Unit_Limit_Menu">Data1!$I$591:$I$592</definedName>
    <definedName name="DS_Unit_Min_Descr">Data1!$P$621</definedName>
    <definedName name="DS_Units_for_Max">Data1!$P$623</definedName>
    <definedName name="DS_Units_for_Min">Data1!$P$624</definedName>
    <definedName name="DS_UnitTypeMatch">Data1!$C$398</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Earned_HUD_Boost">Data1!$D$822</definedName>
    <definedName name="Earned_QAP_Boost">Data1!$D$828</definedName>
    <definedName name="Effective_Fee">Data3!$J$247</definedName>
    <definedName name="Effective_Total_HOME_Match">Funding!$I$514</definedName>
    <definedName name="eighty_AMI_AIT_Units">'Units, Set-Asides, Bldgs'!$F$77</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MMRB_TE_Request_Amount">Funding!$I$407</definedName>
    <definedName name="Eligible_MMRB_TT_Request_Amount">Funding!$I$418</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Data3!$G$354</definedName>
    <definedName name="Escalated_DF">'Pro Forma'!$L$340</definedName>
    <definedName name="ESS_Constr_Pref">'Proposed Development Info'!$C$131</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Mgmt_Elderly">'Resident Programs'!$A$16</definedName>
    <definedName name="ExcelCheckbox_Financial_Mgmt_Fam">'Resident Programs'!$A$8</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Opp">'Resident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'LGAO Status'!$A$41</definedName>
    <definedName name="ExcelCheckbox_LGAO_Prior_App_1YR">'LGAO Status'!$A$39</definedName>
    <definedName name="ExcelCheckbox_LGAO_Prior_App_2YR">'LGAO Status'!$A$37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Pref'!$A$21</definedName>
    <definedName name="ExcelCheckBox_Op1_Dev1_Complex">'Developer Pref'!$G$22</definedName>
    <definedName name="ExcelCheckBox_Op1_Dev1_MI">'Developer Pref'!$G$21</definedName>
    <definedName name="ExcelCheckBox_Op1_Dev1_MU">'Developer Pref'!$A$22</definedName>
    <definedName name="ExcelCheckBox_Op1_Dev2_50">'Developer Pref'!$A$33</definedName>
    <definedName name="ExcelCheckBox_Op1_Dev2_Complex">'Developer Pref'!$G$34</definedName>
    <definedName name="ExcelCheckBox_Op1_Dev2_MI">'Developer Pref'!$G$33</definedName>
    <definedName name="ExcelCheckBox_Op1_Dev2_MU">'Developer Pref'!$A$34</definedName>
    <definedName name="ExcelCheckBox_Op1_Dev3_50">'Developer Pref'!$A$45</definedName>
    <definedName name="ExcelCheckBox_Op1_Dev3_Complex">'Developer Pref'!$G$46</definedName>
    <definedName name="ExcelCheckBox_Op1_Dev3_MI">'Developer Pref'!$G$45</definedName>
    <definedName name="ExcelCheckBox_Op1_Dev3_MU">'Developer Pref'!$A$46</definedName>
    <definedName name="ExcelCheckBox_Op1_Dev4_50">'Developer Pref'!$A$57</definedName>
    <definedName name="ExcelCheckBox_Op1_Dev4_Complex">'Developer Pref'!$G$58</definedName>
    <definedName name="ExcelCheckBox_Op1_Dev4_MI">'Developer Pref'!$G$57</definedName>
    <definedName name="ExcelCheckBox_Op1_Dev4_MU">'Developer Pref'!$A$58</definedName>
    <definedName name="ExcelCheckBox_Op1_Dev5_50">'Developer Pref'!$A$69</definedName>
    <definedName name="ExcelCheckBox_Op1_Dev5_Complex">'Developer Pref'!$G$70</definedName>
    <definedName name="ExcelCheckBox_Op1_Dev5_MI">'Developer Pref'!$G$69</definedName>
    <definedName name="ExcelCheckBox_Op1_Dev5_MU">'Developer Pref'!$A$70</definedName>
    <definedName name="ExcelCheckBox_Op2_Dev1_50">'Developer Pref'!$A$81</definedName>
    <definedName name="ExcelCheckBox_Op2_Dev1_MI">'Developer Pref'!$G$81</definedName>
    <definedName name="ExcelCheckBox_Op2_Dev2_50">'Developer Pref'!$A$91</definedName>
    <definedName name="ExcelCheckBox_Op2_Dev2_MI">'Developer Pref'!$G$91</definedName>
    <definedName name="ExcelCheckBox_Op2_Dev3_50">'Developer Pref'!$A$101</definedName>
    <definedName name="ExcelCheckBox_Op2_Dev3_MI">'Developer Pref'!$G$101</definedName>
    <definedName name="ExcelCheckBox_Op2_Dev4_50">'Developer Pref'!$A$111</definedName>
    <definedName name="ExcelCheckBox_Op2_Dev4_MI">'Developer Pref'!$G$111</definedName>
    <definedName name="ExcelCheckBox_Op2_Dev5_50">'Developer Pref'!$A$121</definedName>
    <definedName name="ExcelCheckBox_Op2_Dev5_MI">'Developer Pref'!$G$121</definedName>
    <definedName name="ExcelCheckBox_RD514_516">Funding!$C$449</definedName>
    <definedName name="ExcelCheckBox_RD515">Funding!$C$450</definedName>
    <definedName name="ExcelCheckBox_RD538">Funding!$C$451</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'General Information'!$N$2</definedName>
    <definedName name="Existing_App_Number">'Proposed Development Info'!$I$89</definedName>
    <definedName name="Existing_Units">'Units, Set-Asides, Bldgs'!$K$28</definedName>
    <definedName name="expected_PIS_date">'Proposed Development Info'!$H$132</definedName>
    <definedName name="FarmFish_Waivers">'Proposed Development Info'!$I$81</definedName>
    <definedName name="Federal_Funding_Exp_Pref">'General Information'!$E$192</definedName>
    <definedName name="Fee_Pmt_Information">'B. Other Information'!$A$8</definedName>
    <definedName name="FF_Demo_Commitment">'Units, Set-Asides, Bldgs'!$C$43</definedName>
    <definedName name="FHFC_9HC_Adj_Rqst_Amt">Data3!$F$290</definedName>
    <definedName name="FHFC_9HC_Adj_Rqst_Label">Data3!$M$290</definedName>
    <definedName name="FHFC_Costs_Fees_Eligible">'Pro Forma'!$H$78</definedName>
    <definedName name="FHFC_Costs_Fees_ineligible">'Pro Forma'!$K$78</definedName>
    <definedName name="FHFC_Costs_Fees_total">'Pro Forma'!$N$78</definedName>
    <definedName name="FHFC_Source_1_Adj_Rqst_Amt">Data3!$F$285</definedName>
    <definedName name="FHFC_Source_1_Adj_Rqst_Label">Data3!$M$285</definedName>
    <definedName name="FHFC_Source_2_Adj_Rqst_Amt">Data3!$F$286</definedName>
    <definedName name="FHFC_Source_2_Adj_Rqst_Label">Data3!$M$286</definedName>
    <definedName name="FHFC_Source_3_Adj_Rqst_Amt">Data3!$F$287</definedName>
    <definedName name="FHFC_Source_3_Adj_Rqst_Label">Data3!$M$287</definedName>
    <definedName name="FHFC_Source_4_Adj_Rqst_Amt">Data3!$F$288</definedName>
    <definedName name="FHFC_Source_4_Adj_Rqst_Label">Data3!$M$288</definedName>
    <definedName name="fifty_AMI_AIT_Units">'Units, Set-Asides, Bldgs'!$F$74</definedName>
    <definedName name="fifty_AMI_HC">'Units, Set-Asides, Bldgs'!$G$57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ive_Bed_Total_Units">'Units, Set-Asides, Bldgs'!$H$122</definedName>
    <definedName name="FL_Keys_Goal_Prox_Score">'Proximity, Mand.Dist., RECAP'!$H$119</definedName>
    <definedName name="FLJobs_Score">Data3!$G$233</definedName>
    <definedName name="FLKeys_N_S">'Development Location'!$H$5</definedName>
    <definedName name="forty_AMI_AIT_Units">'Units, Set-Asides, Bldgs'!$F$73</definedName>
    <definedName name="forty_AMI_HC">'Units, Set-Asides, Bldgs'!$G$55</definedName>
    <definedName name="fortyfive_AMI_HC">'Units, Set-Asides, Bldgs'!$G$56</definedName>
    <definedName name="Four_Bed_Four_Bath_Total_Units">'Units, Set-Asides, Bldgs'!$H$121</definedName>
    <definedName name="Four_Bed_One_and_half_Bath_Total_Units">'Units, Set-Asides, Bldgs'!$H$116</definedName>
    <definedName name="Four_Bed_One_Bath_Total_Units">'Units, Set-Asides, Bldgs'!$H$115</definedName>
    <definedName name="Four_Bed_Three_and_half_Bath_Total_Units">'Units, Set-Asides, Bldgs'!$H$120</definedName>
    <definedName name="Four_Bed_Three_Bath_Total_Units">'Units, Set-Asides, Bldgs'!$H$119</definedName>
    <definedName name="Four_Bed_Two_and_half_Bath_Total_Units">'Units, Set-Asides, Bldgs'!$H$118</definedName>
    <definedName name="Four_Bed_Two_Bath_Total_Units">'Units, Set-Asides, Bldgs'!$H$117</definedName>
    <definedName name="GAO_Number1">Funding!$E$349</definedName>
    <definedName name="GAO_Number2">Funding!$E$350</definedName>
    <definedName name="GAO_Number3">Funding!$E$351</definedName>
    <definedName name="Garden_ESS_AR_units">'Proposed Development Info'!$H$147</definedName>
    <definedName name="Garden_ESS_NC_units">'Proposed Development Info'!$H$138</definedName>
    <definedName name="Garden_ESS_Rehab_units">'Proposed Development Info'!$H$154</definedName>
    <definedName name="Garden_non_ESS_AR_units">'Proposed Development Info'!$H$148</definedName>
    <definedName name="Garden_non_ESS_NC_units">'Proposed Development Info'!$H$139</definedName>
    <definedName name="Garden_non_ESS_Rehab_units">'Proposed Development Info'!$H$155</definedName>
    <definedName name="GCExp_Davis_Bacon_1">'General Information'!$E$207</definedName>
    <definedName name="GCExp_Davis_Bacon_2">'General Information'!$E$218</definedName>
    <definedName name="GCExp_Development_Total_Units_1">'General Information'!$F$205</definedName>
    <definedName name="GCExp_Development_Total_Units_2">'General Information'!$F$216</definedName>
    <definedName name="GCExp_Location_of_Development_1">'General Information'!$F$202</definedName>
    <definedName name="GCExp_Location_of_Development_2">'General Information'!$F$213</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Information'!$F$201</definedName>
    <definedName name="GCExp_Name_of_Development_2">'General Information'!$F$212</definedName>
    <definedName name="GCExp_Other_Program_1">'General Information'!$F$204</definedName>
    <definedName name="GCExp_Other_Program_2">'General Information'!$F$215</definedName>
    <definedName name="GCExp_Selected_Program_1">'General Information'!$F$203</definedName>
    <definedName name="GCExp_Selected_Program_2">'General Information'!$F$214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Data1!$B$825</definedName>
    <definedName name="Geo_Area_of_Opp_boost_qualified_comment">Funding!$G$347</definedName>
    <definedName name="GeoAofO_SADDA_Goal">Funding!$E$379</definedName>
    <definedName name="GeoAofO_SADDA_Goal_EntireSite">Funding!$E$381</definedName>
    <definedName name="govt_app">URA!$F$22</definedName>
    <definedName name="Grant_Request_Amount">Funding!$I$209</definedName>
    <definedName name="Greatest_distance_for_PBS">Data1!$B$543</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Forma'!$L$306</definedName>
    <definedName name="Hard_Cost_PU_F_AR">'Pro Forma'!$L$305</definedName>
    <definedName name="Hard_Cost_PU_F_NC">'Pro Forma'!$L$304</definedName>
    <definedName name="Hard_n_Soft_Costs">'Pro Forma'!$L$312</definedName>
    <definedName name="Hard_Soft_Costs_AOMult">'Pro Forma'!$L$326</definedName>
    <definedName name="HardCC_DollarMax">'Pro Forma'!$V$63</definedName>
    <definedName name="HardCC_Pass">'Pro Forma'!$Q$64</definedName>
    <definedName name="HardCC_PercentMax">'Pro Forma'!$Q$63</definedName>
    <definedName name="HCC_DollarMax">'Pro Forma'!$F$65</definedName>
    <definedName name="HFA_TE_Rqst">Funding!#REF!</definedName>
    <definedName name="HFA_Total_Rqst">Funding!$I$427</definedName>
    <definedName name="HFA_TT_Rqst">Funding!#REF!</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Funding!$I$502</definedName>
    <definedName name="HOME_Match_Source_1_Face">Funding!$G$502</definedName>
    <definedName name="HOME_Match_Source_1_Name">Funding!$C$502</definedName>
    <definedName name="HOME_Match_Source_1_NPV">Funding!$H$502</definedName>
    <definedName name="HOME_Match_Source_2_Amount">Funding!$I$503</definedName>
    <definedName name="HOME_Match_Source_2_Face">Funding!$G$503</definedName>
    <definedName name="HOME_Match_Source_2_Name">Funding!$C$503</definedName>
    <definedName name="HOME_Match_Source_2_NPV">Funding!$H$503</definedName>
    <definedName name="HOME_Match_Source_3_Amount">Funding!$I$504</definedName>
    <definedName name="HOME_Match_Source_3_Face">Funding!$G$504</definedName>
    <definedName name="HOME_Match_Source_3_Name">Funding!$C$504</definedName>
    <definedName name="HOME_Match_Source_3_NPV">Funding!$H$504</definedName>
    <definedName name="HOME_Match_Source_4_Amount">Funding!$I$505</definedName>
    <definedName name="HOME_Match_Source_4_Face">Funding!$G$505</definedName>
    <definedName name="HOME_Match_Source_4_Name">Funding!$C$505</definedName>
    <definedName name="HOME_Match_Source_4_NPV">Funding!$H$505</definedName>
    <definedName name="HOME_Match_Source_5_Amount">Funding!$I$506</definedName>
    <definedName name="HOME_Match_Source_5_Face">Funding!$G$506</definedName>
    <definedName name="HOME_Match_Source_5_Name">Funding!$C$506</definedName>
    <definedName name="HOME_Match_Source_5_NPV">Funding!$H$506</definedName>
    <definedName name="HOME_Request_Amount">Funding!$I$133</definedName>
    <definedName name="Homeless_Region">'Development Location'!$G$9</definedName>
    <definedName name="HR_ESS_AR_units">'Proposed Development Info'!$H$151</definedName>
    <definedName name="HR_ESS_NC_units">'Proposed Development Info'!$H$142</definedName>
    <definedName name="HR_ESS_Rehab_units">'Proposed Development Info'!$H$158</definedName>
    <definedName name="HUD_CNI_Goal">Funding!$D$532</definedName>
    <definedName name="In_Corporation_Portfolio">'Proposed Development Info'!$I$87</definedName>
    <definedName name="Inclusive_of_ELI">Data3!$G$223</definedName>
    <definedName name="Insurances_eligible">'Pro Forma'!$H$74</definedName>
    <definedName name="Insurances_ineligible">'Pro Forma'!$K$74</definedName>
    <definedName name="Insurances_total">'Pro Forma'!$N$74</definedName>
    <definedName name="Is_HC_ELI_at_least_30Percent">Data1!$B$571</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'LGAO Status'!$B$19</definedName>
    <definedName name="LG_Name1_Type">'LGAO Status'!$J$19</definedName>
    <definedName name="LG_Name2">'LGAO Status'!$B$20</definedName>
    <definedName name="LG_Name2_Type">'LGAO Status'!$J$20</definedName>
    <definedName name="LG_Name3">'LGAO Status'!$B$21</definedName>
    <definedName name="LG_Name3_Type">'LGAO Status'!$J$21</definedName>
    <definedName name="LG_Name4">'LGAO Status'!$B$22</definedName>
    <definedName name="LG_Name4_Type">'LGAO Status'!$J$22</definedName>
    <definedName name="LG_Name5">'LGAO Status'!$B$23</definedName>
    <definedName name="LG_Name5_Type">'LGAO Status'!$J$23</definedName>
    <definedName name="LGAO_Designation">'LGAO Status'!$J$29</definedName>
    <definedName name="LGAO_Designation_Prox_Score">'Proximity, Mand.Dist., RECAP'!$H$103</definedName>
    <definedName name="LGAO_Grant_Face">'LGAO Status'!$G$12</definedName>
    <definedName name="LGAO_Loan_Forgive_Face">'LGAO Status'!$G$10</definedName>
    <definedName name="LGAO_Loan_Repaid_Face">'LGAO Status'!$G$11</definedName>
    <definedName name="LGAO_Min_Amt">Data1!$B$860</definedName>
    <definedName name="LGAO_Number">Funding!$E$366</definedName>
    <definedName name="LGAO_Number_qualified">Data1!$B$827</definedName>
    <definedName name="LGAO_Number_qualified_Comment">Funding!$G$366</definedName>
    <definedName name="LGAO_Points_Earned">Data1!$B$858</definedName>
    <definedName name="LGAO_Prior_App_Number_1YR">'LGAO Status'!$J$39</definedName>
    <definedName name="LGAO_Prior_App_Number_2YR">'LGAO Status'!$J$37</definedName>
    <definedName name="LGAO_Revite_Prox_Score">'Proximity, Mand.Dist., RECAP'!$H$121</definedName>
    <definedName name="LGAO_Total_Face">'LGAO Status'!$G$14</definedName>
    <definedName name="LGC_FD_Face">'LGC Points'!$G$18</definedName>
    <definedName name="LGC_FD_NPV">'LGC Points'!$H$18</definedName>
    <definedName name="LGC_FD_ValueOfContribution">'LGC Points'!$I$18</definedName>
    <definedName name="LGC_FW_Cash_Face">'LGC Points'!$G$15</definedName>
    <definedName name="LGC_FW_Cash_ValueOfContribution">'LGC Points'!$I$15</definedName>
    <definedName name="LGC_FW_NonCash_Face">'LGC Points'!$G$17</definedName>
    <definedName name="LGC_FW_NonCash_ValueOfContribution">'LGC Points'!$I$17</definedName>
    <definedName name="LGC_Grant_Face">'LGC Points'!$G$14</definedName>
    <definedName name="LGC_Grant_ValueOfContribution">'LGC Points'!$I$14</definedName>
    <definedName name="LGC_Loan_Forgive_Face">'LGC Points'!$G$12</definedName>
    <definedName name="LGC_Loan_Forgive_ValueOfContribution">'LGC Points'!$I$12</definedName>
    <definedName name="LGC_Loan_Repaid_Face">'LGC Points'!$G$13</definedName>
    <definedName name="LGC_Loan_Repaid_ValueOfContribution">'LGC Points'!$I$13</definedName>
    <definedName name="LGC_Loana_Repaid_NPV">'LGC Points'!$H$13</definedName>
    <definedName name="LGC_Points_Earned">Data1!$B$857</definedName>
    <definedName name="LGC_Points_Min_Amt">Data1!$B$859</definedName>
    <definedName name="LGC_Total_Face">'LGC Points'!$G$20</definedName>
    <definedName name="LGC_Total_NPV">'LGC Points'!$H$20</definedName>
    <definedName name="LGC_Total_ValueOfContribution">'LGC Points'!$I$20</definedName>
    <definedName name="Link_Classification">'General Information'!$F$18</definedName>
    <definedName name="List_of_Named_Ranges">#REF!</definedName>
    <definedName name="Local_govt_contribution">'LGC Points'!$J$4</definedName>
    <definedName name="LocalHFA_App_Year">Funding!$E$317</definedName>
    <definedName name="Low_HOME_Rent_Units">Funding!$I$158</definedName>
    <definedName name="Mand_dist_30PercentELI">Data1!$B$574</definedName>
    <definedName name="Mand_distance">'Proximity, Mand.Dist., RECAP'!$B$55</definedName>
    <definedName name="Market_AIT_Units">'Units, Set-Asides, Bldgs'!$F$83</definedName>
    <definedName name="Market_AMI_NonAIT">'Units, Set-Asides, Bldgs'!$G$64</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C_AR">Data3!$H$303</definedName>
    <definedName name="Max_HC_NC">Data3!$H$302</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SC">Data3!$H$304</definedName>
    <definedName name="Max_TBD">Funding!$I$273</definedName>
    <definedName name="Max_TDC_Component">'Pro Forma'!$L$364</definedName>
    <definedName name="Max_Tot_DF">'Pro Forma'!$L$360</definedName>
    <definedName name="Max_Workforce">Funding!$I$13</definedName>
    <definedName name="Maximum_DevCost">'Pro Forma'!$L$334</definedName>
    <definedName name="Maximum_DevCost_PU">'Pro Forma'!$L$328</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Information'!$O$247:$O$253</definedName>
    <definedName name="MgmtExp_Address">'General Information'!$F$248</definedName>
    <definedName name="MgmtExp_City">'General Information'!$F$249</definedName>
    <definedName name="MgmtExp_Contact_First_Name">'General Information'!$F$245</definedName>
    <definedName name="MgmtExp_Contact_Last_Name">'General Information'!$F$246</definedName>
    <definedName name="MgmtExp_Contact_Middle_Initial">'General Information'!$H$245</definedName>
    <definedName name="MgmtExp_Email">'General Information'!$F$253</definedName>
    <definedName name="MgmtExp_Experienced_entity">'General Information'!$G$256</definedName>
    <definedName name="MgmtExp_first_currently_or_formerly_managed">'General Information'!$F$261</definedName>
    <definedName name="MgmtExp_first_Dev_name">'General Information'!$F$259</definedName>
    <definedName name="MgmtExp_first_location">'General Information'!$F$260</definedName>
    <definedName name="MgmtExp_first_MixedUse">'General Information'!$F$264</definedName>
    <definedName name="MgmtExp_first_other_program">'General Information'!$F$263</definedName>
    <definedName name="MgmtExp_first_selected_program">'General Information'!$F$262</definedName>
    <definedName name="MgmtExp_first_time">'General Information'!$F$266</definedName>
    <definedName name="MgmtExp_first_units">'General Information'!$F$265</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Information'!$F$252</definedName>
    <definedName name="MgmtExp_Phone_ext">'General Information'!$H$252</definedName>
    <definedName name="MgmtExp_second_currently_or_formerly_managed">'General Information'!$F$272</definedName>
    <definedName name="MgmtExp_second_Dev_name">'General Information'!$F$270</definedName>
    <definedName name="MgmtExp_second_location">'General Information'!$F$271</definedName>
    <definedName name="MgmtExp_second_MixedUse">'General Information'!$F$275</definedName>
    <definedName name="MgmtExp_second_other_program">'General Information'!$F$274</definedName>
    <definedName name="MgmtExp_second_selected_program">'General Information'!$F$273</definedName>
    <definedName name="MgmtExp_second_time">'General Information'!$F$277</definedName>
    <definedName name="MgmtExp_second_units">'General Information'!$F$276</definedName>
    <definedName name="MgmtExp_State">'General Information'!$F$250</definedName>
    <definedName name="MgmtExp_Zip_Code">'General Information'!$F$251</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Bldgs'!$C$35</definedName>
    <definedName name="MixedUse_Description">'Urban Infill or Mixed-Use'!$B$11</definedName>
    <definedName name="MMRB_AIT_SetAside">'Units, Set-Asides, Bldgs'!$K$92</definedName>
    <definedName name="MMRB_Funding_Pref">Funding!$I$424</definedName>
    <definedName name="MMRB_Max_Basis_Limit">Funding!$I$401</definedName>
    <definedName name="MMRB_Max_TE_Request_Limit">Funding!$I$403</definedName>
    <definedName name="MMRB_Min_TT_Request_Limit">Funding!$I$414</definedName>
    <definedName name="MMRB_TE_Request_Amount">Funding!$I$405</definedName>
    <definedName name="MMRB_TE_Rqst">Funding!#REF!</definedName>
    <definedName name="MMRB_Total_Constr_Source">Funding!$I$420</definedName>
    <definedName name="MMRB_Total_Perm_Amt">Funding!$I$387</definedName>
    <definedName name="MMRB_Total_Rqst">Funding!#REF!</definedName>
    <definedName name="MMRB_TT_Request_Amount">Funding!$I$416</definedName>
    <definedName name="MMRB_TT_Rqst">Funding!#REF!</definedName>
    <definedName name="MR_ESS_AR_units">'Proposed Development Info'!$H$149</definedName>
    <definedName name="MR_ESS_NC_units">'Proposed Development Info'!$H$140</definedName>
    <definedName name="MR_ESS_Rehab_units">'Proposed Development Info'!$H$156</definedName>
    <definedName name="MR_non_ESS_AR_units">'Proposed Development Info'!$H$150</definedName>
    <definedName name="MR_Non_ESS_NC_units">'Proposed Development Info'!$H$141</definedName>
    <definedName name="MR_non_ESS_Rehab_units">'Proposed Development Info'!$H$157</definedName>
    <definedName name="Multiphase_firstphase">Funding!$E$313</definedName>
    <definedName name="Multiphase_subsequent">Funding!$E$320</definedName>
    <definedName name="Multiphase_subsequent_qualified">Data1!$B$819</definedName>
    <definedName name="Multiplier_1">Data3!$L$342</definedName>
    <definedName name="Multiplier_1_Value">Data3!$M$342</definedName>
    <definedName name="Multiplier_2">Data3!$L$343</definedName>
    <definedName name="Multiplier_2_Value">Data3!$M$343</definedName>
    <definedName name="Multiplier_3">Data3!$L$344</definedName>
    <definedName name="Multiplier_3_Value">Data3!$M$344</definedName>
    <definedName name="Name_of_Applicant">'General Information'!$F$71</definedName>
    <definedName name="Name_of_CHDO">'General Information'!$E$98</definedName>
    <definedName name="Name_of_Developer_1">'General Information'!$D$109</definedName>
    <definedName name="Name_of_Developer_2">'General Information'!$D$110</definedName>
    <definedName name="Name_of_Developer_3">'General Information'!$D$111</definedName>
    <definedName name="Name_of_Linked_Development">'Proposed Development Info'!$G$7</definedName>
    <definedName name="Name_of_Mgmt_Co">'General Information'!$F$247</definedName>
    <definedName name="Name_of_proposed_Development">'Proposed Development Info'!$G$3</definedName>
    <definedName name="NC_TDC_Multiplier">Data3!$E$302</definedName>
    <definedName name="NC_Unit_Count">'Proposed Development Info'!$H$138:$H$146</definedName>
    <definedName name="Net_TDC">'Pro Forma'!$L$385</definedName>
    <definedName name="New_Development_Land">'Proposed Development Info'!$H$34</definedName>
    <definedName name="NHTF_Additional_Units">Funding!$I$230</definedName>
    <definedName name="NHTF_Commit">Funding!$H$214</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Bldgs'!$G$65</definedName>
    <definedName name="NonProfit_Applicant">'General Information'!$D$79</definedName>
    <definedName name="NonProfit_DevFee_Percentage">'General Information'!$H$90</definedName>
    <definedName name="NR_Optional_CF">Data1!$H$902</definedName>
    <definedName name="NR_Optional_DL">Data1!$H$898</definedName>
    <definedName name="NR_Optional_Fund">Data1!$H$905</definedName>
    <definedName name="NR_Optional_GI">Data1!$H$895</definedName>
    <definedName name="NR_Optional_HOME">Data1!$H$911</definedName>
    <definedName name="NR_Optional_PDI">Data1!$H$897</definedName>
    <definedName name="NR_Optional_Prox">Data1!$H$899</definedName>
    <definedName name="NR_Optional_RP">Data1!$H$904</definedName>
    <definedName name="NR_Optional_Serv">Data1!$H$903</definedName>
    <definedName name="NR_Optional_USAB">Data1!$H$900</definedName>
    <definedName name="NR_Required_CF">Data1!$G$902</definedName>
    <definedName name="NR_Required_DL">Data1!$G$898</definedName>
    <definedName name="NR_Required_Fund">Data1!$G$905</definedName>
    <definedName name="NR_Required_GI">Data1!$G$895</definedName>
    <definedName name="NR_Required_HOME">Data1!$G$911</definedName>
    <definedName name="NR_Required_PDI">Data1!$G$897</definedName>
    <definedName name="NR_Required_Prox">Data1!$G$899</definedName>
    <definedName name="NR_Required_RP">Data1!$G$904</definedName>
    <definedName name="NR_Required_Serv">Data1!$G$903</definedName>
    <definedName name="NR_Required_USAB">Data1!$G$900</definedName>
    <definedName name="number_of_PBS">Data1!$B$542</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Bldgs'!$H$106</definedName>
    <definedName name="One_P1_Related_App_Limitation">'General Information'!$G$137</definedName>
    <definedName name="One_type_of_transit">'Proximity, Mand.Dist., RECAP'!$E$31</definedName>
    <definedName name="Op1_Dev1_Completed">'Developer Pref'!$H$17</definedName>
    <definedName name="Op1_Dev1_DevName">'Developer Pref'!$H$13</definedName>
    <definedName name="Op1_Dev1_Location">'Developer Pref'!$H$14</definedName>
    <definedName name="Op1_Dev1_Principal">'Developer Pref'!$H$18</definedName>
    <definedName name="Op1_Dev1_Program">'Developer Pref'!$H$15</definedName>
    <definedName name="Op1_Dev1_Units">'Developer Pref'!$H$16</definedName>
    <definedName name="Op1_Dev2_Completed">'Developer Pref'!$H$29</definedName>
    <definedName name="Op1_Dev2_DevName">'Developer Pref'!$H$25</definedName>
    <definedName name="Op1_Dev2_Location">'Developer Pref'!$H$26</definedName>
    <definedName name="Op1_Dev2_Principal">'Developer Pref'!$H$30</definedName>
    <definedName name="Op1_Dev2_Program">'Developer Pref'!$H$27</definedName>
    <definedName name="Op1_Dev2_Units">'Developer Pref'!$H$28</definedName>
    <definedName name="Op1_Dev3_Completed">'Developer Pref'!$H$41</definedName>
    <definedName name="Op1_Dev3_DevName">'Developer Pref'!$H$37</definedName>
    <definedName name="Op1_Dev3_Location">'Developer Pref'!$H$38</definedName>
    <definedName name="Op1_Dev3_Principal">'Developer Pref'!$H$42</definedName>
    <definedName name="Op1_Dev3_Program">'Developer Pref'!$H$39</definedName>
    <definedName name="Op1_Dev3_Units">'Developer Pref'!$H$40</definedName>
    <definedName name="Op1_Dev4_Completed">'Developer Pref'!$H$53</definedName>
    <definedName name="Op1_Dev4_DevName">'Developer Pref'!$H$49</definedName>
    <definedName name="Op1_Dev4_Location">'Developer Pref'!$H$50</definedName>
    <definedName name="Op1_Dev4_Principal">'Developer Pref'!$H$54</definedName>
    <definedName name="Op1_Dev4_Program">'Developer Pref'!$H$51</definedName>
    <definedName name="Op1_Dev4_Units">'Developer Pref'!$H$52</definedName>
    <definedName name="Op1_Dev5_Completed">'Developer Pref'!$H$65</definedName>
    <definedName name="Op1_Dev5_DevName">'Developer Pref'!$H$61</definedName>
    <definedName name="Op1_Dev5_Location">'Developer Pref'!$H$62</definedName>
    <definedName name="Op1_Dev5_Principal">'Developer Pref'!$H$66</definedName>
    <definedName name="Op1_Dev5_Program">'Developer Pref'!$H$63</definedName>
    <definedName name="Op1_Dev5_Units">'Developer Pref'!$H$64</definedName>
    <definedName name="Op1_Name_of_Developer1">'Developer Pref'!$H$6</definedName>
    <definedName name="Op1_Name_of_Developer2">'Developer Pref'!$H$9</definedName>
    <definedName name="Op1_Name_of_Principal1">'Developer Pref'!$H$5</definedName>
    <definedName name="Op1_Name_of_Principal2">'Developer Pref'!$H$8</definedName>
    <definedName name="Op2_Dev1_Completed">'Developer Pref'!$H$77</definedName>
    <definedName name="Op2_Dev1_DevName">'Developer Pref'!$H$74</definedName>
    <definedName name="Op2_Dev1_Location">'Developer Pref'!$H$75</definedName>
    <definedName name="Op2_Dev1_Principal">'Developer Pref'!$H$78</definedName>
    <definedName name="Op2_Dev1_Units">'Developer Pref'!$H$76</definedName>
    <definedName name="Op2_Dev2_Completed">'Developer Pref'!$H$87</definedName>
    <definedName name="Op2_Dev2_DevName">'Developer Pref'!$H$84</definedName>
    <definedName name="Op2_Dev2_Location">'Developer Pref'!$H$85</definedName>
    <definedName name="Op2_Dev2_Principal">'Developer Pref'!$H$88</definedName>
    <definedName name="Op2_Dev2_Units">'Developer Pref'!$H$86</definedName>
    <definedName name="Op2_Dev3_Completed">'Developer Pref'!$H$97</definedName>
    <definedName name="Op2_Dev3_DevName">'Developer Pref'!$H$94</definedName>
    <definedName name="Op2_Dev3_Location">'Developer Pref'!$H$95</definedName>
    <definedName name="Op2_Dev3_Principal">'Developer Pref'!$H$98</definedName>
    <definedName name="Op2_Dev3_Units">'Developer Pref'!$H$96</definedName>
    <definedName name="Op2_Dev4_Completed">'Developer Pref'!$H$107</definedName>
    <definedName name="Op2_Dev4_DevName">'Developer Pref'!$H$104</definedName>
    <definedName name="Op2_Dev4_Location">'Developer Pref'!$H$105</definedName>
    <definedName name="Op2_Dev4_Principal">'Developer Pref'!$H$108</definedName>
    <definedName name="Op2_Dev4_Units">'Developer Pref'!$H$106</definedName>
    <definedName name="Op2_Dev5_Completed">'Developer Pref'!$H$117</definedName>
    <definedName name="Op2_Dev5_DevName">'Developer Pref'!$H$114</definedName>
    <definedName name="Op2_Dev5_Location">'Developer Pref'!$H$115</definedName>
    <definedName name="Op2_Dev5_Principal">'Developer Pref'!$H$118</definedName>
    <definedName name="Op2_Dev5_Units">'Developer Pref'!$H$116</definedName>
    <definedName name="Op3_Dev1_Principal">'Developer Pref'!$H$158</definedName>
    <definedName name="Operational_Contact_Address">'General Information'!$F$306</definedName>
    <definedName name="Operational_Contact_City">'General Information'!$F$307</definedName>
    <definedName name="Operational_Contact_EMail">'General Information'!$F$311</definedName>
    <definedName name="Operational_Contact_First_Name">'General Information'!$F$303</definedName>
    <definedName name="Operational_Contact_Last_Name">'General Information'!$F$304</definedName>
    <definedName name="Operational_Contact_Middle_Initial">'General Information'!$H$303</definedName>
    <definedName name="Operational_Contact_Phone">'General Information'!$F$310</definedName>
    <definedName name="Operational_Contact_Phone_Ext">'General Information'!$H$310</definedName>
    <definedName name="Operational_Contact_State">'General Information'!$F$308</definedName>
    <definedName name="Operational_Contact_Zip_Code">'General Information'!$F$309</definedName>
    <definedName name="Other_eligible">'Pro Forma'!$H$103</definedName>
    <definedName name="Other_ESS_AR_units">'Proposed Development Info'!$H$152</definedName>
    <definedName name="Other_ESS_NC_units">'Proposed Development Info'!$H$145</definedName>
    <definedName name="Other_ESS_Rehab_units">'Proposed Development Info'!$H$159</definedName>
    <definedName name="Other_Federal_assist_units_currently">'Proposed Development Info'!$F$109</definedName>
    <definedName name="Other_Federal_assist_units_currently_identified">'Proposed Development Info'!$F$110</definedName>
    <definedName name="Other_Federal_assist_units_future">'Proposed Development Info'!$G$109</definedName>
    <definedName name="Other_Federal_assist_units_future_identified">'Proposed Development Info'!$G$110</definedName>
    <definedName name="Other_ineligible">'Pro Forma'!$K$103</definedName>
    <definedName name="Other_non_ESS_AR_units">'Proposed Development Info'!$H$153</definedName>
    <definedName name="Other_Non_ESS_NC_units">'Proposed Development Info'!$H$146</definedName>
    <definedName name="Other_non_ESS_Rehab_units">'Proposed Development Info'!$H$160</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Info'!$F$107</definedName>
    <definedName name="PBRA_Units_Future">'Proposed Development Info'!$G$107</definedName>
    <definedName name="pct_units_in_NonAIT_setaside_chart">'Units, Set-Asides, Bldgs'!$G$66</definedName>
    <definedName name="Percent_Credits_Purchased">'Pro Forma'!$L$436</definedName>
    <definedName name="Percent_HOME_Assisted_Units">Funding!$I$512</definedName>
    <definedName name="Percentage_HOME_Match_Funds">Funding!$I$518</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Area_of_Opp_boost">Funding!$E$375</definedName>
    <definedName name="Permit_Ready_Area_of_Opp_boost_qualified">Data1!$B$830</definedName>
    <definedName name="Permit_Ready_Area_of_Opp_boost_qualified_comment">Funding!$G$375</definedName>
    <definedName name="Permit_Ready_Goal">'Readiness to Proceed'!$N$10</definedName>
    <definedName name="PermSource_Use_Ratio">'Pro Forma'!$M$278</definedName>
    <definedName name="Perpetuity_Election">'Units, Set-Asides, Bldgs'!$K$150</definedName>
    <definedName name="PerUnitConstFundingPref">Funding!$I$493</definedName>
    <definedName name="PHA">Funding!$E$529</definedName>
    <definedName name="PHA_Area_of_Opp_boost">Funding!$E$369</definedName>
    <definedName name="PHA_Area_of_Opp_boost_qualified">Data1!$B$828</definedName>
    <definedName name="PHA_Area_of_Opp_boost_qualified_comment">Funding!$G$369</definedName>
    <definedName name="PHA_as_Principal">Funding!$D$526</definedName>
    <definedName name="PHA_land_lease">Funding!$D$523</definedName>
    <definedName name="PHA_Name">Funding!$D$529</definedName>
    <definedName name="PHA_or_RD_points_achieved">'Proximity, Mand.Dist., RECAP'!$H$99</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Funding!$G$436</definedName>
    <definedName name="PLP_File_number">Funding!$G$435</definedName>
    <definedName name="Pres_def">'Proposed Development Info'!$D$118</definedName>
    <definedName name="Pres_Dev_Goal_Qualifying">'Proposed Development Info'!$I$83</definedName>
    <definedName name="Previous_App_Name">'Proposed Development Info'!$H$91</definedName>
    <definedName name="previous_EHCL_award">Funding!$H$444</definedName>
    <definedName name="previous_EHCL_File_number">Funding!$G$444</definedName>
    <definedName name="previous_HOME_award">Funding!$H$442</definedName>
    <definedName name="previous_HOME_File_number">Funding!$G$442</definedName>
    <definedName name="previous_MMRB_award">Funding!$H$443</definedName>
    <definedName name="previous_MMRB_File_number">Funding!$G$443</definedName>
    <definedName name="previous_SAIL_award">Funding!$H$441</definedName>
    <definedName name="previous_SAIL_File_number">Funding!$G$441</definedName>
    <definedName name="_xlnm.Print_Area" localSheetId="21">'B. Other Information'!$A$1:$J$19</definedName>
    <definedName name="_xlnm.Print_Area" localSheetId="22">Certification!$A$3:$M$48</definedName>
    <definedName name="_xlnm.Print_Area" localSheetId="17">'Construction Features'!$A$1:$I$38</definedName>
    <definedName name="_xlnm.Print_Area" localSheetId="7">'Developer Pref'!$A$1:$L$173</definedName>
    <definedName name="_xlnm.Print_Area" localSheetId="13">'Development Location'!$A$1:$J$55</definedName>
    <definedName name="_xlnm.Print_Area" localSheetId="19">Funding!$A$3:$I$615</definedName>
    <definedName name="_xlnm.Print_Area" localSheetId="11">'General Information'!$A$1:$H$312</definedName>
    <definedName name="_xlnm.Print_Area" localSheetId="6">Goals!$A$1:$K$14</definedName>
    <definedName name="_xlnm.Print_Area" localSheetId="3">'LGAO Status'!$A$1:$J$43</definedName>
    <definedName name="_xlnm.Print_Area" localSheetId="2">'LGC Points'!$A$1:$J$24</definedName>
    <definedName name="_xlnm.Print_Area" localSheetId="20">'Pro Forma'!$A$1:$P$458</definedName>
    <definedName name="_xlnm.Print_Area" localSheetId="12">'Proposed Development Info'!$A$3:$I$179</definedName>
    <definedName name="_xlnm.Print_Area" localSheetId="14">'Proximity, Mand.Dist., RECAP'!$A$1:$I$122</definedName>
    <definedName name="_xlnm.Print_Area" localSheetId="16">'Readiness to Proceed'!$A$1:$O$17</definedName>
    <definedName name="_xlnm.Print_Area" localSheetId="8">Services!$A$3:$H$42</definedName>
    <definedName name="_xlnm.Print_Area" localSheetId="15">'Units, Set-Asides, Bldgs'!$A$1:$K$167</definedName>
    <definedName name="_xlnm.Print_Area" localSheetId="5">URA!$A$2:$I$26</definedName>
    <definedName name="_xlnm.Print_Area" localSheetId="4">'Urban Infill or Mixed-Use'!$A$1:$J$18</definedName>
    <definedName name="_xlnm.Print_Titles" localSheetId="22">Certification!$1:$2</definedName>
    <definedName name="_xlnm.Print_Titles" localSheetId="19">Funding!$1:$2</definedName>
    <definedName name="_xlnm.Print_Titles" localSheetId="12">'Proposed Development Info'!$1:$2</definedName>
    <definedName name="_xlnm.Print_Titles" localSheetId="8">Services!$1:$2</definedName>
    <definedName name="_xlnm.Print_Titles" localSheetId="5">URA!$1:$2</definedName>
    <definedName name="Priority_Level">'General Information'!$D$231</definedName>
    <definedName name="Priority1_Related_First">'General Information'!$D$234</definedName>
    <definedName name="Priority1_Related_Second">'General Information'!$D$235</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Certification!$N$43</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Data1!$B$822</definedName>
    <definedName name="Qualified_Fin_Assist_Pref_Met">Funding!$I$489</definedName>
    <definedName name="Qualify_as_CHDO">'General Information'!$E$96</definedName>
    <definedName name="RA_Hist_Pref">Funding!$I$540</definedName>
    <definedName name="RA_Level">Data1!$F$365</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hab_Acq_Fee">Data3!$G$246</definedName>
    <definedName name="Rehab_TDC_Multiplier">Data3!$E$303</definedName>
    <definedName name="Rehab_Unit_Count">'Proposed Development Info'!$H$147:$H$160</definedName>
    <definedName name="Rental_Assistance_Units">Funding!$I$543</definedName>
    <definedName name="residential_buildings">'Units, Set-Asides, Bldgs'!$H$145</definedName>
    <definedName name="RRLP_Base_Request_Amount">Funding!$I$97</definedName>
    <definedName name="RRLP_ELI_Request_Amount">Funding!$I$107</definedName>
    <definedName name="S_Nickname">Data3!$H$273</definedName>
    <definedName name="SADDA_ZCTA_1">Funding!$E$327</definedName>
    <definedName name="SADDA_ZCTA_2">Funding!$E$328</definedName>
    <definedName name="SADDA_ZCTA_3">Funding!$E$329</definedName>
    <definedName name="SAIL_CorpPortfolio_AppNumber">'Proposed Development Info'!$I$78</definedName>
    <definedName name="SAIL_Request_Amount">Funding!$I$55</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Information'!$G$73</definedName>
    <definedName name="Set_Aside_Units_1">'Units, Set-Asides, Bldgs'!$K$12</definedName>
    <definedName name="Set_Aside_Units_2">'Units, Set-Asides, Bldgs'!$K$18</definedName>
    <definedName name="Set_Asides_from_Charts">Data1!$G$590</definedName>
    <definedName name="seventy_AMI_AIT_Units">'Units, Set-Asides, Bldgs'!$F$76</definedName>
    <definedName name="SiF_ESS_NC_Units">'Proposed Development Info'!$H$143</definedName>
    <definedName name="SiF_Non_ESS_NC_Units">'Proposed Development Info'!$H$144</definedName>
    <definedName name="sixty_AMI_AIT_Units">'Units, Set-Asides, Bldgs'!$F$75</definedName>
    <definedName name="sixty_AMI_HC">'Units, Set-Asides, Bldgs'!$G$58</definedName>
    <definedName name="Small_Area_DDA">Funding!$E$325</definedName>
    <definedName name="Small_Area_DDA_qualified">Data1!$B$820</definedName>
    <definedName name="SS_Compliance_Period">'Units, Set-Asides, Bldgs'!$K$160</definedName>
    <definedName name="SS_Conversion_Option">'Units, Set-Asides, Bldgs'!$K$164</definedName>
    <definedName name="SS_Higher_Percentage">Funding!$I$470</definedName>
    <definedName name="SS_Waive_the_Option">'Units, Set-Asides, Bldgs'!$K$162</definedName>
    <definedName name="SS_Waiver_Option">'Units, Set-Asides, Bldgs'!$K$166</definedName>
    <definedName name="SunRail_Goal">'Proximity, Mand.Dist., RECAP'!$D$37</definedName>
    <definedName name="Sunrail_Level">'Proximity, Mand.Dist., RECAP'!$H$37</definedName>
    <definedName name="SunRail_Name">'Proximity, Mand.Dist., RECAP'!$D$40</definedName>
    <definedName name="SunRail_Prox_Score">'Proximity, Mand.Dist., RECAP'!$H$113</definedName>
    <definedName name="Sunrail_Stations">Data1!$A$550:$G$566</definedName>
    <definedName name="Supp_Srv_Fund_Pref">Funding!$I$550</definedName>
    <definedName name="Supp_Srvc_Fund">Funding!$I$553</definedName>
    <definedName name="TB_90Pct_TDC">Data3!$J$365</definedName>
    <definedName name="TB_Corp_Fund_PSAU">Data3!$J$366</definedName>
    <definedName name="TB_Extra_1">Data3!$J$373</definedName>
    <definedName name="TB_Extra_2">Data3!$J$374</definedName>
    <definedName name="TB_Extra_3">Data3!$J$375</definedName>
    <definedName name="TB_Extra_4">Data3!$J$376</definedName>
    <definedName name="TB_Extra_5">Data3!$J$377</definedName>
    <definedName name="TB_FL_JobCreat_Pref_Met">Data3!$J$361</definedName>
    <definedName name="TB_HOME_Match_Pct">Data3!$J$370</definedName>
    <definedName name="TB_HOME_PctMax">Data3!$J$369</definedName>
    <definedName name="TB_Leveraging_Level">Data3!$J$372</definedName>
    <definedName name="TB_PUConst_Pref_Met">Data3!$J$363</definedName>
    <definedName name="TB_QFA_Pref_Met">Data3!$J$362</definedName>
    <definedName name="TB_Request_Percent_TDC">Data3!$J$368</definedName>
    <definedName name="TB_Request_PSAU">Data3!$J$367</definedName>
    <definedName name="TB_SAIL_Per_SAU">Data3!$J$364</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Bldgs'!$F$72</definedName>
    <definedName name="thirty_AMI_HC">'Units, Set-Asides, Bldgs'!$G$52</definedName>
    <definedName name="thirtyfive_AMI_HC">'Units, Set-Asides, Bldgs'!$G$54</definedName>
    <definedName name="thirtythree_AMI_HC">'Units, Set-Asides, Bldgs'!$G$53</definedName>
    <definedName name="Three_Bed_One_and_half_Bath_Total_Units">'Units, Set-Asides, Bldgs'!$H$111</definedName>
    <definedName name="Three_Bed_One_Bath_Total_Units">'Units, Set-Asides, Bldgs'!$H$110</definedName>
    <definedName name="Three_Bed_Three_Bath_Total_Units">'Units, Set-Asides, Bldgs'!$H$114</definedName>
    <definedName name="Three_Bed_Two_and_half_Bath_Total_Units">'Units, Set-Asides, Bldgs'!$H$113</definedName>
    <definedName name="Three_Bed_Two_Bath_Total_Units">'Units, Set-Asides, Bldgs'!$H$112</definedName>
    <definedName name="Tier_Level">'General Information'!$D$238</definedName>
    <definedName name="Total_AIT_Chart_Units">'Units, Set-Asides, Bldgs'!$F$85</definedName>
    <definedName name="Total_Cash_Funding">Funding!$I$481</definedName>
    <definedName name="Total_Cash_Funding_Met">Funding!$I$483</definedName>
    <definedName name="Total_Cash_Funding_Min">Funding!$I$482</definedName>
    <definedName name="Total_CDBG_DR_Assisted_Units">Funding!$H$257</definedName>
    <definedName name="Total_Corp_Funding">Funding!$I$603</definedName>
    <definedName name="Total_Corp_Funding_PSAU">Funding!$I$604</definedName>
    <definedName name="Total_Eligible_SAIL_Request_Amount">Data3!$E$273</definedName>
    <definedName name="Total_Existing_Units">URA!$F$7</definedName>
    <definedName name="total_HC_units_AIT">'Units, Set-Asides, Bldgs'!$F$84</definedName>
    <definedName name="total_HC_units_NonAIT">'Units, Set-Asides, Bldgs'!$F$65</definedName>
    <definedName name="Total_HOME_Assisted_Units">Funding!$H$126</definedName>
    <definedName name="Total_HOME_Match">Funding!$I$508</definedName>
    <definedName name="Total_NonGrant_Mtg">'Pro Forma'!$X$272</definedName>
    <definedName name="Total_Percent_RA_Units_Currently">'Proposed Development Info'!$F$112</definedName>
    <definedName name="Total_Percent_RA_Units_Future">'Proposed Development Info'!$G$112</definedName>
    <definedName name="total_proximity_points_achieved">'Proximity, Mand.Dist., RECAP'!$H$101</definedName>
    <definedName name="total_proximity_points_min_met">'Proximity, Mand.Dist., RECAP'!$H$107</definedName>
    <definedName name="total_proximity_points_pref_met">'Proximity, Mand.Dist., RECAP'!$H$109</definedName>
    <definedName name="total_proximity_points_without_boost">'Proximity, Mand.Dist., RECAP'!$H$111</definedName>
    <definedName name="Total_RA_Units_Currently">'Proposed Development Info'!$F$111</definedName>
    <definedName name="Total_RA_Units_Future">'Proposed Development Info'!$G$111</definedName>
    <definedName name="Total_Units">'Units, Set-Asides, Bldgs'!$K$3</definedName>
    <definedName name="Total_Units_1">'Units, Set-Asides, Bldgs'!$K$10</definedName>
    <definedName name="Total_Units_2">'Units, Set-Asides, Bldgs'!$K$16</definedName>
    <definedName name="total_units_in_NonAIT_setaside_chart">'Units, Set-Asides, Bldgs'!$F$66</definedName>
    <definedName name="total_units_in_unit_desc_chart">'Proposed Development Info'!$H$161</definedName>
    <definedName name="Total_Units_of_Occupied">'Proposed Development Info'!$H$20</definedName>
    <definedName name="Track_Funding">Data3!$G$273:$H$280</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RECAP'!$H$97</definedName>
    <definedName name="transit_points_min_met">'Proximity, Mand.Dist., RECAP'!$H$105</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Bldgs'!$F$71</definedName>
    <definedName name="twentyeight_AMI_HC">'Units, Set-Asides, Bldgs'!$G$51</definedName>
    <definedName name="twentyfive_AMI_HC">'Units, Set-Asides, Bldgs'!$G$50</definedName>
    <definedName name="Two_Bed_One_and_half_Bath_Total_Units">'Units, Set-Asides, Bldgs'!$H$108</definedName>
    <definedName name="Two_Bed_One_Bath_Total_Units">'Units, Set-Asides, Bldgs'!$H$107</definedName>
    <definedName name="Two_Bed_Two_Bath_Total_Units">'Units, Set-Asides, Bldgs'!$H$109</definedName>
    <definedName name="Unit_Count">'Pro Forma'!$G$306</definedName>
    <definedName name="Unit_Max_Limit_Basis">Data1!$G$592</definedName>
    <definedName name="Unit_Min_Limit_Basis">Data1!$G$591</definedName>
    <definedName name="UnitMix_Score_Comment">Data1!$C$768</definedName>
    <definedName name="UnitMix_Score_Response">Data1!$B$768</definedName>
    <definedName name="Urban_Center_Area_of_Opp_boost">Funding!$G$362</definedName>
    <definedName name="Urban_Center_Area_of_Opp_boost_qualified">Data1!$B$826</definedName>
    <definedName name="Urban_Metro_Prox_Score">'Proximity, Mand.Dist., RECAP'!$H$117</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Information'!$H$66</definedName>
    <definedName name="What_Is_HC_ELI_commitment">Data1!$C$571</definedName>
    <definedName name="Workforce_100_AIT_Units">'Units, Set-Asides, Bldgs'!$F$80</definedName>
    <definedName name="Workforce_110_AIT_Units">'Units, Set-Asides, Bldgs'!$F$81</definedName>
    <definedName name="Workforce_120_AIT_Units">'Units, Set-Asides, Bldgs'!$F$82</definedName>
    <definedName name="Workforce_80_AIT_Units">'Units, Set-Asides, Bldgs'!$F$78</definedName>
    <definedName name="Workforce_90_AIT_Units">'Units, Set-Asides, Bldgs'!$F$79</definedName>
    <definedName name="Workforce_AMI_100_NonAIT">'Units, Set-Asides, Bldgs'!$G$61</definedName>
    <definedName name="Workforce_AMI_110_NonAIT">'Units, Set-Asides, Bldgs'!$G$62</definedName>
    <definedName name="Workforce_AMI_120_NonAIT">'Units, Set-Asides, Bldgs'!$G$63</definedName>
    <definedName name="Workforce_AMI_80_NonAIT">'Units, Set-Asides, Bldgs'!$G$59</definedName>
    <definedName name="Workforce_AMI_90_NonAIT">'Units, Set-Asides, Bldgs'!$G$60</definedName>
    <definedName name="Workforce_Request_Amount">Funding!$I$15</definedName>
    <definedName name="year_built">'Proposed Development Info'!$F$104</definedName>
    <definedName name="Year_Built_of_Occupied">'Proposed Development Info'!$H$26</definedName>
    <definedName name="Youth_Aging_Out_Goal">'General Information'!$H$60</definedName>
    <definedName name="Zero_Bed_One_Bath_Total_Units">'Units, Set-Asides, Bldgs'!$H$105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4" i="1" l="1"/>
  <c r="G104" i="3"/>
  <c r="D285" i="1"/>
  <c r="B284" i="1" s="1"/>
  <c r="C97" i="3" l="1"/>
  <c r="C66" i="3"/>
  <c r="C21" i="14"/>
  <c r="H244" i="26" l="1"/>
  <c r="C73" i="3"/>
  <c r="C71" i="3"/>
  <c r="C69" i="3"/>
  <c r="G375" i="1"/>
  <c r="C59" i="3" l="1"/>
  <c r="B313" i="1"/>
  <c r="B321" i="1"/>
  <c r="B334" i="1"/>
  <c r="B327" i="1"/>
  <c r="O93" i="3" l="1"/>
  <c r="O85" i="3" l="1"/>
  <c r="L206" i="24" l="1"/>
  <c r="K206" i="24"/>
  <c r="C20" i="1" l="1"/>
  <c r="D176" i="3" l="1"/>
  <c r="P288" i="9" l="1"/>
  <c r="H288" i="9"/>
  <c r="E340" i="9"/>
  <c r="E333" i="9"/>
  <c r="I397" i="9"/>
  <c r="I95" i="9" l="1"/>
  <c r="D403" i="9"/>
  <c r="N62" i="2" l="1"/>
  <c r="N58" i="2"/>
  <c r="D428" i="9"/>
  <c r="E398" i="9"/>
  <c r="G351" i="9" l="1"/>
  <c r="G350" i="9"/>
  <c r="G349" i="9"/>
  <c r="C194" i="24" l="1"/>
  <c r="H32" i="9"/>
  <c r="Q166" i="5"/>
  <c r="Q164" i="5"/>
  <c r="Q160" i="5"/>
  <c r="C167" i="5"/>
  <c r="O170" i="45" l="1"/>
  <c r="N73" i="2"/>
  <c r="N64" i="2"/>
  <c r="R158" i="45"/>
  <c r="C596" i="9" l="1"/>
  <c r="A3" i="47"/>
  <c r="J27" i="4"/>
  <c r="M129" i="1"/>
  <c r="L129" i="1"/>
  <c r="K129" i="1"/>
  <c r="J129" i="1"/>
  <c r="I129" i="1"/>
  <c r="I130" i="1" l="1"/>
  <c r="J130" i="1"/>
  <c r="K130" i="1"/>
  <c r="L130" i="1"/>
  <c r="M130" i="1"/>
  <c r="B547" i="1" l="1"/>
  <c r="D181" i="2" l="1"/>
  <c r="D39" i="18" l="1"/>
  <c r="O76" i="14" l="1"/>
  <c r="O74" i="14"/>
  <c r="O7" i="4"/>
  <c r="D37" i="18"/>
  <c r="R117" i="45" l="1"/>
  <c r="R107" i="45"/>
  <c r="R97" i="45"/>
  <c r="C117" i="45"/>
  <c r="C107" i="45"/>
  <c r="R87" i="45"/>
  <c r="C97" i="45"/>
  <c r="R77" i="45"/>
  <c r="C87" i="45"/>
  <c r="R65" i="45"/>
  <c r="C77" i="45"/>
  <c r="C65" i="45"/>
  <c r="R53" i="45"/>
  <c r="R41" i="45"/>
  <c r="C53" i="45"/>
  <c r="R29" i="45"/>
  <c r="C41" i="45"/>
  <c r="C29" i="45"/>
  <c r="C17" i="45"/>
  <c r="R17" i="45"/>
  <c r="H6" i="45"/>
  <c r="H5" i="45"/>
  <c r="H103" i="14" l="1"/>
  <c r="B545" i="1"/>
  <c r="R118" i="45"/>
  <c r="R108" i="45"/>
  <c r="R98" i="45"/>
  <c r="R88" i="45"/>
  <c r="R78" i="45"/>
  <c r="R66" i="45"/>
  <c r="R54" i="45"/>
  <c r="R42" i="45"/>
  <c r="R30" i="45"/>
  <c r="R18" i="45"/>
  <c r="C170" i="45"/>
  <c r="R116" i="45"/>
  <c r="R115" i="45"/>
  <c r="R114" i="45"/>
  <c r="R106" i="45"/>
  <c r="R105" i="45"/>
  <c r="R104" i="45"/>
  <c r="R96" i="45"/>
  <c r="R95" i="45"/>
  <c r="R94" i="45"/>
  <c r="R86" i="45"/>
  <c r="R85" i="45"/>
  <c r="R84" i="45"/>
  <c r="R76" i="45"/>
  <c r="R75" i="45"/>
  <c r="R74" i="45"/>
  <c r="R64" i="45"/>
  <c r="R63" i="45"/>
  <c r="R62" i="45"/>
  <c r="R61" i="45"/>
  <c r="R52" i="45"/>
  <c r="R51" i="45"/>
  <c r="R50" i="45"/>
  <c r="R49" i="45"/>
  <c r="R40" i="45"/>
  <c r="R39" i="45"/>
  <c r="R38" i="45"/>
  <c r="R37" i="45"/>
  <c r="R28" i="45"/>
  <c r="R27" i="45"/>
  <c r="R26" i="45"/>
  <c r="R25" i="45"/>
  <c r="R15" i="45"/>
  <c r="R16" i="45"/>
  <c r="R14" i="45"/>
  <c r="R13" i="45"/>
  <c r="G121" i="45"/>
  <c r="A121" i="45"/>
  <c r="A111" i="45"/>
  <c r="G111" i="45"/>
  <c r="G101" i="45"/>
  <c r="A101" i="45"/>
  <c r="A70" i="45"/>
  <c r="G70" i="45"/>
  <c r="G69" i="45"/>
  <c r="A69" i="45"/>
  <c r="B153" i="45"/>
  <c r="B152" i="45"/>
  <c r="B151" i="45"/>
  <c r="B150" i="45"/>
  <c r="B149" i="45"/>
  <c r="B148" i="45"/>
  <c r="B147" i="45"/>
  <c r="B146" i="45"/>
  <c r="B145" i="45"/>
  <c r="B144" i="45"/>
  <c r="B143" i="45"/>
  <c r="B138" i="45"/>
  <c r="B137" i="45"/>
  <c r="B136" i="45"/>
  <c r="B135" i="45"/>
  <c r="B134" i="45"/>
  <c r="B133" i="45"/>
  <c r="B132" i="45"/>
  <c r="B131" i="45"/>
  <c r="B130" i="45"/>
  <c r="B129" i="45"/>
  <c r="B128" i="45"/>
  <c r="P167" i="45" l="1"/>
  <c r="P164" i="45"/>
  <c r="Q123" i="1" a="1"/>
  <c r="Q123" i="1" s="1"/>
  <c r="Q122" i="1" a="1"/>
  <c r="Q122" i="1" s="1"/>
  <c r="Q121" i="1" a="1"/>
  <c r="Q121" i="1" s="1"/>
  <c r="Q120" i="1" a="1"/>
  <c r="Q120" i="1" s="1"/>
  <c r="O122" i="5"/>
  <c r="O84" i="14"/>
  <c r="O78" i="14"/>
  <c r="EK98" i="19"/>
  <c r="EK95" i="19"/>
  <c r="EK97" i="19"/>
  <c r="I76" i="14"/>
  <c r="O116" i="3"/>
  <c r="O83" i="3"/>
  <c r="O76" i="3"/>
  <c r="D280" i="2"/>
  <c r="D281" i="2"/>
  <c r="D282" i="2"/>
  <c r="N190" i="2"/>
  <c r="M141" i="2"/>
  <c r="M151" i="2"/>
  <c r="M161" i="2"/>
  <c r="M171" i="2"/>
  <c r="N233" i="2"/>
  <c r="M131" i="2"/>
  <c r="D116" i="2"/>
  <c r="N90" i="2"/>
  <c r="N93" i="2"/>
  <c r="N117" i="2"/>
  <c r="O167" i="45" l="1"/>
  <c r="O164" i="45"/>
  <c r="C165" i="45" s="1"/>
  <c r="G379" i="9"/>
  <c r="C94" i="5"/>
  <c r="C167" i="45" l="1"/>
  <c r="C168" i="45"/>
  <c r="C164" i="45"/>
  <c r="I172" i="45"/>
  <c r="I171" i="45"/>
  <c r="G302" i="26"/>
  <c r="I242" i="24"/>
  <c r="I241" i="24"/>
  <c r="J349" i="24"/>
  <c r="EK76" i="19"/>
  <c r="EK75" i="19"/>
  <c r="EK74" i="19"/>
  <c r="EK73" i="19"/>
  <c r="EK72" i="19"/>
  <c r="EK71" i="19"/>
  <c r="EK70" i="19"/>
  <c r="EK69" i="19"/>
  <c r="EK68" i="19"/>
  <c r="EK67" i="19"/>
  <c r="EK66" i="19"/>
  <c r="EK65" i="19"/>
  <c r="EK64" i="19"/>
  <c r="EK63" i="19"/>
  <c r="EK62" i="19"/>
  <c r="EK61" i="19"/>
  <c r="EK60" i="19"/>
  <c r="EK59" i="19"/>
  <c r="EK58" i="19"/>
  <c r="EK57" i="19"/>
  <c r="EK56" i="19"/>
  <c r="EK55" i="19"/>
  <c r="EK54" i="19"/>
  <c r="EK53" i="19"/>
  <c r="EK52" i="19"/>
  <c r="EK51" i="19"/>
  <c r="EK50" i="19"/>
  <c r="EK49" i="19"/>
  <c r="EK48" i="19"/>
  <c r="EK47" i="19"/>
  <c r="EK46" i="19"/>
  <c r="EK45" i="19"/>
  <c r="EK44" i="19"/>
  <c r="EK43" i="19"/>
  <c r="EK42" i="19"/>
  <c r="EK41" i="19"/>
  <c r="EK40" i="19"/>
  <c r="EK39" i="19"/>
  <c r="EK38" i="19"/>
  <c r="EK37" i="19"/>
  <c r="EK36" i="19"/>
  <c r="EK35" i="19"/>
  <c r="EK34" i="19"/>
  <c r="EK33" i="19"/>
  <c r="EK32" i="19"/>
  <c r="EK31" i="19"/>
  <c r="EK30" i="19"/>
  <c r="EK29" i="19"/>
  <c r="EK28" i="19"/>
  <c r="EK27" i="19"/>
  <c r="EK26" i="19"/>
  <c r="EK25" i="19"/>
  <c r="EK24" i="19"/>
  <c r="EK23" i="19"/>
  <c r="EK22" i="19"/>
  <c r="EK21" i="19"/>
  <c r="EK20" i="19"/>
  <c r="EK19" i="19"/>
  <c r="EK18" i="19"/>
  <c r="EK17" i="19"/>
  <c r="EK16" i="19"/>
  <c r="EK15" i="19"/>
  <c r="EK14" i="19"/>
  <c r="EK13" i="19"/>
  <c r="EO7" i="19"/>
  <c r="Q624" i="1"/>
  <c r="Q623" i="1"/>
  <c r="Q621" i="1"/>
  <c r="Q620" i="1"/>
  <c r="Q619" i="1"/>
  <c r="Q618" i="1"/>
  <c r="Q625" i="1" s="1"/>
  <c r="M620" i="1"/>
  <c r="M619" i="1"/>
  <c r="M623" i="1"/>
  <c r="P623" i="1"/>
  <c r="P621" i="1"/>
  <c r="P624" i="1"/>
  <c r="M621" i="1"/>
  <c r="M618" i="1"/>
  <c r="M624" i="1"/>
  <c r="Q598" i="1"/>
  <c r="Q616" i="1"/>
  <c r="O302" i="26" l="1"/>
  <c r="Q602" i="1"/>
  <c r="Q601" i="1" l="1"/>
  <c r="Q599" i="1"/>
  <c r="Q586" i="1" a="1"/>
  <c r="Q586" i="1" s="1"/>
  <c r="S753" i="1" l="1"/>
  <c r="S752" i="1"/>
  <c r="C591" i="9"/>
  <c r="O129" i="3"/>
  <c r="O99" i="3"/>
  <c r="O55" i="3"/>
  <c r="F754" i="1"/>
  <c r="F753" i="1"/>
  <c r="G753" i="1" s="1"/>
  <c r="G256" i="24" l="1"/>
  <c r="G254" i="24"/>
  <c r="J82" i="5" l="1"/>
  <c r="J81" i="5"/>
  <c r="J80" i="5"/>
  <c r="J79" i="5"/>
  <c r="J78" i="5"/>
  <c r="N401" i="1"/>
  <c r="A51" i="4" a="1"/>
  <c r="A51" i="4" s="1"/>
  <c r="I49" i="4"/>
  <c r="G242" i="24"/>
  <c r="H68" i="14"/>
  <c r="P528" i="9" l="1"/>
  <c r="A727" i="1"/>
  <c r="A644" i="1"/>
  <c r="A643" i="1"/>
  <c r="A642" i="1"/>
  <c r="Q47" i="5" l="1"/>
  <c r="N4" i="2"/>
  <c r="O140" i="5"/>
  <c r="G140" i="5"/>
  <c r="J140" i="5"/>
  <c r="Q84" i="5"/>
  <c r="Q90" i="5" l="1"/>
  <c r="C657" i="1" l="1"/>
  <c r="D251" i="1" l="1"/>
  <c r="C252" i="1" l="1"/>
  <c r="B705" i="1"/>
  <c r="B697" i="1"/>
  <c r="B689" i="1"/>
  <c r="B681" i="1"/>
  <c r="G375" i="9"/>
  <c r="O177" i="3" l="1"/>
  <c r="O176" i="3"/>
  <c r="O175" i="3"/>
  <c r="O174" i="3"/>
  <c r="M177" i="3"/>
  <c r="M176" i="3"/>
  <c r="M175" i="3"/>
  <c r="M174" i="3"/>
  <c r="O131" i="3"/>
  <c r="B130" i="3"/>
  <c r="B129" i="3"/>
  <c r="Q152" i="5"/>
  <c r="C172" i="3" l="1"/>
  <c r="I690" i="1"/>
  <c r="I682" i="1"/>
  <c r="B662" i="1"/>
  <c r="G663" i="1" l="1"/>
  <c r="I662" i="1"/>
  <c r="O172" i="3"/>
  <c r="F268" i="1" l="1"/>
  <c r="D269" i="1"/>
  <c r="N15" i="49" l="1"/>
  <c r="G20" i="49"/>
  <c r="C15" i="49"/>
  <c r="P279" i="9"/>
  <c r="N180" i="2"/>
  <c r="H121" i="14" l="1"/>
  <c r="H119" i="14"/>
  <c r="H113" i="14"/>
  <c r="E66" i="14"/>
  <c r="N42" i="18" l="1"/>
  <c r="C10" i="48" l="1"/>
  <c r="P5" i="49"/>
  <c r="P489" i="9"/>
  <c r="B448" i="9"/>
  <c r="C303" i="9"/>
  <c r="C310" i="9"/>
  <c r="C299" i="9"/>
  <c r="M346" i="9"/>
  <c r="P239" i="9"/>
  <c r="P205" i="9"/>
  <c r="P166" i="9"/>
  <c r="P183" i="9"/>
  <c r="P230" i="9"/>
  <c r="P226" i="9"/>
  <c r="L226" i="9"/>
  <c r="P179" i="9"/>
  <c r="P116" i="9"/>
  <c r="P101" i="9"/>
  <c r="P69" i="9"/>
  <c r="P59" i="9"/>
  <c r="P21" i="9"/>
  <c r="P4" i="9"/>
  <c r="P4" i="49" l="1"/>
  <c r="A4" i="49"/>
  <c r="A6" i="49"/>
  <c r="L520" i="9"/>
  <c r="P312" i="9"/>
  <c r="P283" i="9"/>
  <c r="L279" i="9"/>
  <c r="G232" i="24"/>
  <c r="C248" i="9"/>
  <c r="P215" i="9"/>
  <c r="G231" i="24"/>
  <c r="G230" i="24"/>
  <c r="P173" i="9"/>
  <c r="L179" i="9"/>
  <c r="G229" i="24" s="1"/>
  <c r="G228" i="24"/>
  <c r="G227" i="24"/>
  <c r="H75" i="9"/>
  <c r="H76" i="9"/>
  <c r="L19" i="9"/>
  <c r="C65" i="9"/>
  <c r="G226" i="24"/>
  <c r="C55" i="9"/>
  <c r="G225" i="24"/>
  <c r="B4" i="9"/>
  <c r="B19" i="9" s="1"/>
  <c r="L166" i="9" l="1"/>
  <c r="D319" i="9" a="1"/>
  <c r="D319" i="9" s="1"/>
  <c r="D324" i="9" l="1" a="1"/>
  <c r="D324" i="9" s="1"/>
  <c r="G14" i="18"/>
  <c r="I18" i="49"/>
  <c r="I17" i="49"/>
  <c r="I15" i="49"/>
  <c r="I14" i="49"/>
  <c r="I13" i="49"/>
  <c r="I12" i="49"/>
  <c r="H20" i="49"/>
  <c r="B4" i="49"/>
  <c r="B3" i="49"/>
  <c r="R645" i="48"/>
  <c r="R644" i="48"/>
  <c r="R643" i="48"/>
  <c r="V640" i="48"/>
  <c r="N640" i="48"/>
  <c r="V639" i="48"/>
  <c r="N639" i="48"/>
  <c r="V638" i="48"/>
  <c r="N638" i="48"/>
  <c r="V637" i="48"/>
  <c r="N637" i="48"/>
  <c r="V636" i="48"/>
  <c r="N636" i="48"/>
  <c r="V635" i="48"/>
  <c r="N635" i="48"/>
  <c r="V634" i="48"/>
  <c r="N634" i="48"/>
  <c r="C634" i="48"/>
  <c r="V633" i="48"/>
  <c r="N633" i="48"/>
  <c r="V632" i="48"/>
  <c r="N632" i="48"/>
  <c r="V631" i="48"/>
  <c r="N631" i="48"/>
  <c r="V630" i="48"/>
  <c r="N630" i="48"/>
  <c r="V629" i="48"/>
  <c r="T629" i="48"/>
  <c r="N629" i="48"/>
  <c r="V628" i="48"/>
  <c r="N628" i="48"/>
  <c r="V627" i="48"/>
  <c r="N627" i="48"/>
  <c r="V626" i="48"/>
  <c r="T626" i="48"/>
  <c r="N626" i="48"/>
  <c r="V625" i="48"/>
  <c r="N625" i="48"/>
  <c r="V624" i="48"/>
  <c r="N624" i="48"/>
  <c r="V623" i="48"/>
  <c r="N623" i="48"/>
  <c r="V622" i="48"/>
  <c r="N622" i="48"/>
  <c r="V621" i="48"/>
  <c r="N621" i="48"/>
  <c r="V620" i="48"/>
  <c r="N620" i="48"/>
  <c r="I620" i="48"/>
  <c r="V619" i="48"/>
  <c r="N619" i="48"/>
  <c r="V618" i="48"/>
  <c r="N618" i="48"/>
  <c r="V617" i="48"/>
  <c r="N617" i="48"/>
  <c r="V616" i="48"/>
  <c r="N616" i="48"/>
  <c r="V615" i="48"/>
  <c r="N615" i="48"/>
  <c r="V614" i="48"/>
  <c r="N614" i="48"/>
  <c r="V613" i="48"/>
  <c r="N613" i="48"/>
  <c r="V612" i="48"/>
  <c r="N612" i="48"/>
  <c r="V611" i="48"/>
  <c r="N611" i="48"/>
  <c r="V610" i="48"/>
  <c r="N610" i="48"/>
  <c r="V609" i="48"/>
  <c r="N609" i="48"/>
  <c r="V608" i="48"/>
  <c r="N608" i="48"/>
  <c r="V607" i="48"/>
  <c r="T607" i="48"/>
  <c r="N607" i="48"/>
  <c r="V606" i="48"/>
  <c r="N606" i="48"/>
  <c r="V605" i="48"/>
  <c r="N605" i="48"/>
  <c r="V604" i="48"/>
  <c r="N604" i="48"/>
  <c r="I604" i="48"/>
  <c r="V603" i="48"/>
  <c r="N603" i="48"/>
  <c r="V602" i="48"/>
  <c r="N602" i="48"/>
  <c r="V601" i="48"/>
  <c r="N601" i="48"/>
  <c r="V600" i="48"/>
  <c r="N600" i="48"/>
  <c r="V599" i="48"/>
  <c r="N599" i="48"/>
  <c r="V598" i="48"/>
  <c r="N598" i="48"/>
  <c r="V597" i="48"/>
  <c r="N597" i="48"/>
  <c r="V596" i="48"/>
  <c r="N596" i="48"/>
  <c r="V595" i="48"/>
  <c r="N595" i="48"/>
  <c r="I595" i="48"/>
  <c r="V594" i="48"/>
  <c r="N594" i="48"/>
  <c r="V593" i="48"/>
  <c r="N593" i="48"/>
  <c r="V592" i="48"/>
  <c r="N592" i="48"/>
  <c r="V591" i="48"/>
  <c r="N591" i="48"/>
  <c r="V590" i="48"/>
  <c r="N590" i="48"/>
  <c r="V589" i="48"/>
  <c r="T589" i="48"/>
  <c r="N589" i="48"/>
  <c r="V588" i="48"/>
  <c r="N588" i="48"/>
  <c r="V587" i="48"/>
  <c r="N587" i="48"/>
  <c r="V586" i="48"/>
  <c r="N586" i="48"/>
  <c r="I586" i="48"/>
  <c r="V585" i="48"/>
  <c r="N585" i="48"/>
  <c r="V584" i="48"/>
  <c r="N584" i="48"/>
  <c r="V583" i="48"/>
  <c r="N583" i="48"/>
  <c r="V582" i="48"/>
  <c r="N582" i="48"/>
  <c r="V581" i="48"/>
  <c r="N581" i="48"/>
  <c r="V580" i="48"/>
  <c r="N580" i="48"/>
  <c r="V579" i="48"/>
  <c r="N579" i="48"/>
  <c r="I579" i="48"/>
  <c r="V578" i="48"/>
  <c r="N578" i="48"/>
  <c r="V577" i="48"/>
  <c r="N577" i="48"/>
  <c r="V576" i="48"/>
  <c r="N576" i="48"/>
  <c r="V575" i="48"/>
  <c r="N575" i="48"/>
  <c r="V574" i="48"/>
  <c r="T574" i="48"/>
  <c r="P574" i="48"/>
  <c r="N574" i="48"/>
  <c r="V573" i="48"/>
  <c r="N573" i="48"/>
  <c r="V572" i="48"/>
  <c r="N572" i="48"/>
  <c r="V571" i="48"/>
  <c r="N571" i="48"/>
  <c r="I571" i="48"/>
  <c r="V570" i="48"/>
  <c r="N570" i="48"/>
  <c r="V569" i="48"/>
  <c r="N569" i="48"/>
  <c r="V568" i="48"/>
  <c r="N568" i="48"/>
  <c r="V567" i="48"/>
  <c r="N567" i="48"/>
  <c r="V566" i="48"/>
  <c r="T566" i="48"/>
  <c r="N566" i="48"/>
  <c r="V565" i="48"/>
  <c r="N565" i="48"/>
  <c r="V564" i="48"/>
  <c r="N564" i="48"/>
  <c r="V563" i="48"/>
  <c r="N563" i="48"/>
  <c r="V562" i="48"/>
  <c r="N562" i="48"/>
  <c r="V561" i="48"/>
  <c r="N561" i="48"/>
  <c r="V560" i="48"/>
  <c r="N560" i="48"/>
  <c r="I560" i="48"/>
  <c r="V559" i="48"/>
  <c r="N559" i="48"/>
  <c r="V558" i="48"/>
  <c r="N558" i="48"/>
  <c r="I558" i="48"/>
  <c r="V557" i="48"/>
  <c r="N557" i="48"/>
  <c r="V556" i="48"/>
  <c r="N556" i="48"/>
  <c r="V555" i="48"/>
  <c r="N555" i="48"/>
  <c r="V554" i="48"/>
  <c r="N554" i="48"/>
  <c r="V553" i="48"/>
  <c r="N553" i="48"/>
  <c r="V552" i="48"/>
  <c r="T552" i="48"/>
  <c r="N552" i="48"/>
  <c r="V551" i="48"/>
  <c r="N551" i="48"/>
  <c r="V550" i="48"/>
  <c r="N550" i="48"/>
  <c r="V549" i="48"/>
  <c r="T549" i="48"/>
  <c r="N549" i="48"/>
  <c r="V548" i="48"/>
  <c r="N548" i="48"/>
  <c r="V547" i="48"/>
  <c r="N547" i="48"/>
  <c r="V546" i="48"/>
  <c r="N546" i="48"/>
  <c r="I546" i="48"/>
  <c r="V545" i="48"/>
  <c r="N545" i="48"/>
  <c r="V544" i="48"/>
  <c r="N544" i="48"/>
  <c r="I544" i="48"/>
  <c r="V543" i="48"/>
  <c r="T543" i="48"/>
  <c r="N543" i="48"/>
  <c r="V542" i="48"/>
  <c r="N542" i="48"/>
  <c r="V541" i="48"/>
  <c r="N541" i="48"/>
  <c r="V540" i="48"/>
  <c r="N540" i="48"/>
  <c r="V539" i="48"/>
  <c r="N539" i="48"/>
  <c r="I539" i="48"/>
  <c r="V538" i="48"/>
  <c r="N538" i="48"/>
  <c r="V537" i="48"/>
  <c r="N537" i="48"/>
  <c r="V536" i="48"/>
  <c r="T536" i="48"/>
  <c r="N536" i="48"/>
  <c r="V535" i="48"/>
  <c r="N535" i="48"/>
  <c r="V534" i="48"/>
  <c r="N534" i="48"/>
  <c r="V533" i="48"/>
  <c r="N533" i="48"/>
  <c r="V532" i="48"/>
  <c r="N532" i="48"/>
  <c r="V531" i="48"/>
  <c r="N531" i="48"/>
  <c r="V530" i="48"/>
  <c r="N530" i="48"/>
  <c r="V529" i="48"/>
  <c r="N529" i="48"/>
  <c r="V528" i="48"/>
  <c r="N528" i="48"/>
  <c r="V527" i="48"/>
  <c r="N527" i="48"/>
  <c r="V526" i="48"/>
  <c r="N526" i="48"/>
  <c r="I526" i="48"/>
  <c r="V525" i="48"/>
  <c r="N525" i="48"/>
  <c r="V524" i="48"/>
  <c r="N524" i="48"/>
  <c r="V523" i="48"/>
  <c r="N523" i="48"/>
  <c r="V522" i="48"/>
  <c r="N522" i="48"/>
  <c r="V521" i="48"/>
  <c r="N521" i="48"/>
  <c r="V520" i="48"/>
  <c r="N520" i="48"/>
  <c r="V519" i="48"/>
  <c r="N519" i="48"/>
  <c r="V518" i="48"/>
  <c r="N518" i="48"/>
  <c r="V517" i="48"/>
  <c r="N517" i="48"/>
  <c r="V516" i="48"/>
  <c r="N516" i="48"/>
  <c r="V515" i="48"/>
  <c r="N515" i="48"/>
  <c r="V514" i="48"/>
  <c r="N514" i="48"/>
  <c r="V513" i="48"/>
  <c r="N513" i="48"/>
  <c r="V512" i="48"/>
  <c r="N512" i="48"/>
  <c r="V511" i="48"/>
  <c r="T511" i="48"/>
  <c r="N511" i="48"/>
  <c r="V510" i="48"/>
  <c r="N510" i="48"/>
  <c r="V509" i="48"/>
  <c r="N509" i="48"/>
  <c r="V508" i="48"/>
  <c r="N508" i="48"/>
  <c r="V507" i="48"/>
  <c r="N507" i="48"/>
  <c r="V506" i="48"/>
  <c r="N506" i="48"/>
  <c r="V505" i="48"/>
  <c r="N505" i="48"/>
  <c r="V504" i="48"/>
  <c r="T504" i="48"/>
  <c r="N504" i="48"/>
  <c r="V503" i="48"/>
  <c r="N503" i="48"/>
  <c r="V502" i="48"/>
  <c r="N502" i="48"/>
  <c r="V501" i="48"/>
  <c r="N501" i="48"/>
  <c r="V500" i="48"/>
  <c r="N500" i="48"/>
  <c r="V499" i="48"/>
  <c r="N499" i="48"/>
  <c r="I499" i="48"/>
  <c r="V498" i="48"/>
  <c r="N498" i="48"/>
  <c r="V497" i="48"/>
  <c r="N497" i="48"/>
  <c r="I497" i="48"/>
  <c r="V496" i="48"/>
  <c r="T496" i="48"/>
  <c r="N496" i="48"/>
  <c r="V495" i="48"/>
  <c r="N495" i="48"/>
  <c r="V494" i="48"/>
  <c r="N494" i="48"/>
  <c r="V493" i="48"/>
  <c r="N493" i="48"/>
  <c r="I493" i="48"/>
  <c r="V492" i="48"/>
  <c r="N492" i="48"/>
  <c r="V491" i="48"/>
  <c r="N491" i="48"/>
  <c r="V490" i="48"/>
  <c r="N490" i="48"/>
  <c r="V489" i="48"/>
  <c r="N489" i="48"/>
  <c r="V488" i="48"/>
  <c r="N488" i="48"/>
  <c r="V487" i="48"/>
  <c r="N487" i="48"/>
  <c r="I487" i="48"/>
  <c r="C487" i="48"/>
  <c r="V486" i="48"/>
  <c r="N486" i="48"/>
  <c r="V485" i="48"/>
  <c r="N485" i="48"/>
  <c r="V484" i="48"/>
  <c r="N484" i="48"/>
  <c r="I484" i="48"/>
  <c r="V483" i="48"/>
  <c r="N483" i="48"/>
  <c r="V482" i="48"/>
  <c r="N482" i="48"/>
  <c r="V481" i="48"/>
  <c r="N481" i="48"/>
  <c r="I481" i="48"/>
  <c r="V480" i="48"/>
  <c r="N480" i="48"/>
  <c r="V479" i="48"/>
  <c r="N479" i="48"/>
  <c r="V478" i="48"/>
  <c r="T478" i="48"/>
  <c r="N478" i="48"/>
  <c r="V477" i="48"/>
  <c r="N477" i="48"/>
  <c r="V476" i="48"/>
  <c r="N476" i="48"/>
  <c r="I476" i="48"/>
  <c r="V475" i="48"/>
  <c r="N475" i="48"/>
  <c r="I475" i="48"/>
  <c r="V474" i="48"/>
  <c r="N474" i="48"/>
  <c r="V473" i="48"/>
  <c r="N473" i="48"/>
  <c r="V472" i="48"/>
  <c r="T472" i="48"/>
  <c r="N472" i="48"/>
  <c r="V471" i="48"/>
  <c r="N471" i="48"/>
  <c r="V470" i="48"/>
  <c r="N470" i="48"/>
  <c r="V469" i="48"/>
  <c r="N469" i="48"/>
  <c r="V468" i="48"/>
  <c r="N468" i="48"/>
  <c r="V467" i="48"/>
  <c r="N467" i="48"/>
  <c r="I467" i="48"/>
  <c r="V466" i="48"/>
  <c r="N466" i="48"/>
  <c r="I466" i="48"/>
  <c r="V465" i="48"/>
  <c r="N465" i="48"/>
  <c r="V464" i="48"/>
  <c r="N464" i="48"/>
  <c r="V463" i="48"/>
  <c r="P463" i="48"/>
  <c r="N463" i="48"/>
  <c r="V462" i="48"/>
  <c r="N462" i="48"/>
  <c r="V461" i="48"/>
  <c r="N461" i="48"/>
  <c r="V460" i="48"/>
  <c r="N460" i="48"/>
  <c r="V459" i="48"/>
  <c r="N459" i="48"/>
  <c r="V458" i="48"/>
  <c r="N458" i="48"/>
  <c r="V457" i="48"/>
  <c r="N457" i="48"/>
  <c r="V456" i="48"/>
  <c r="N456" i="48"/>
  <c r="V455" i="48"/>
  <c r="N455" i="48"/>
  <c r="V454" i="48"/>
  <c r="N454" i="48"/>
  <c r="I454" i="48"/>
  <c r="V453" i="48"/>
  <c r="N453" i="48"/>
  <c r="V452" i="48"/>
  <c r="N452" i="48"/>
  <c r="V451" i="48"/>
  <c r="N451" i="48"/>
  <c r="V450" i="48"/>
  <c r="T450" i="48"/>
  <c r="N450" i="48"/>
  <c r="V449" i="48"/>
  <c r="N449" i="48"/>
  <c r="V448" i="48"/>
  <c r="T448" i="48"/>
  <c r="N448" i="48"/>
  <c r="V447" i="48"/>
  <c r="N447" i="48"/>
  <c r="V446" i="48"/>
  <c r="N446" i="48"/>
  <c r="I446" i="48"/>
  <c r="V445" i="48"/>
  <c r="N445" i="48"/>
  <c r="V444" i="48"/>
  <c r="N444" i="48"/>
  <c r="I444" i="48"/>
  <c r="V443" i="48"/>
  <c r="N443" i="48"/>
  <c r="C443" i="48"/>
  <c r="V442" i="48"/>
  <c r="N442" i="48"/>
  <c r="V441" i="48"/>
  <c r="N441" i="48"/>
  <c r="I441" i="48"/>
  <c r="V440" i="48"/>
  <c r="T440" i="48"/>
  <c r="N440" i="48"/>
  <c r="V439" i="48"/>
  <c r="N439" i="48"/>
  <c r="V438" i="48"/>
  <c r="N438" i="48"/>
  <c r="I438" i="48"/>
  <c r="V437" i="48"/>
  <c r="N437" i="48"/>
  <c r="V436" i="48"/>
  <c r="T436" i="48"/>
  <c r="N436" i="48"/>
  <c r="V435" i="48"/>
  <c r="N435" i="48"/>
  <c r="V434" i="48"/>
  <c r="T434" i="48"/>
  <c r="N434" i="48"/>
  <c r="V433" i="48"/>
  <c r="N433" i="48"/>
  <c r="V432" i="48"/>
  <c r="N432" i="48"/>
  <c r="V431" i="48"/>
  <c r="N431" i="48"/>
  <c r="I431" i="48"/>
  <c r="V430" i="48"/>
  <c r="N430" i="48"/>
  <c r="V429" i="48"/>
  <c r="N429" i="48"/>
  <c r="C429" i="48"/>
  <c r="V428" i="48"/>
  <c r="N428" i="48"/>
  <c r="V427" i="48"/>
  <c r="N427" i="48"/>
  <c r="V426" i="48"/>
  <c r="N426" i="48"/>
  <c r="V425" i="48"/>
  <c r="N425" i="48"/>
  <c r="V424" i="48"/>
  <c r="N424" i="48"/>
  <c r="I424" i="48"/>
  <c r="V423" i="48"/>
  <c r="N423" i="48"/>
  <c r="V422" i="48"/>
  <c r="N422" i="48"/>
  <c r="V421" i="48"/>
  <c r="N421" i="48"/>
  <c r="V420" i="48"/>
  <c r="N420" i="48"/>
  <c r="I420" i="48"/>
  <c r="V419" i="48"/>
  <c r="N419" i="48"/>
  <c r="V418" i="48"/>
  <c r="N418" i="48"/>
  <c r="V417" i="48"/>
  <c r="N417" i="48"/>
  <c r="V416" i="48"/>
  <c r="N416" i="48"/>
  <c r="V415" i="48"/>
  <c r="P415" i="48"/>
  <c r="N415" i="48"/>
  <c r="V414" i="48"/>
  <c r="N414" i="48"/>
  <c r="V413" i="48"/>
  <c r="N413" i="48"/>
  <c r="I413" i="48"/>
  <c r="V412" i="48"/>
  <c r="T412" i="48"/>
  <c r="N412" i="48"/>
  <c r="V411" i="48"/>
  <c r="N411" i="48"/>
  <c r="V410" i="48"/>
  <c r="N410" i="48"/>
  <c r="V409" i="48"/>
  <c r="N409" i="48"/>
  <c r="V408" i="48"/>
  <c r="N408" i="48"/>
  <c r="V407" i="48"/>
  <c r="N407" i="48"/>
  <c r="V406" i="48"/>
  <c r="N406" i="48"/>
  <c r="I406" i="48"/>
  <c r="V405" i="48"/>
  <c r="N405" i="48"/>
  <c r="V404" i="48"/>
  <c r="N404" i="48"/>
  <c r="V403" i="48"/>
  <c r="N403" i="48"/>
  <c r="I403" i="48"/>
  <c r="V402" i="48"/>
  <c r="N402" i="48"/>
  <c r="V401" i="48"/>
  <c r="N401" i="48"/>
  <c r="V400" i="48"/>
  <c r="T400" i="48"/>
  <c r="N400" i="48"/>
  <c r="V399" i="48"/>
  <c r="N399" i="48"/>
  <c r="I399" i="48"/>
  <c r="V398" i="48"/>
  <c r="N398" i="48"/>
  <c r="V397" i="48"/>
  <c r="N397" i="48"/>
  <c r="V396" i="48"/>
  <c r="T396" i="48"/>
  <c r="N396" i="48"/>
  <c r="V395" i="48"/>
  <c r="T395" i="48"/>
  <c r="N395" i="48"/>
  <c r="V394" i="48"/>
  <c r="T394" i="48"/>
  <c r="N394" i="48"/>
  <c r="V393" i="48"/>
  <c r="T393" i="48"/>
  <c r="P393" i="48"/>
  <c r="N393" i="48"/>
  <c r="V392" i="48"/>
  <c r="N392" i="48"/>
  <c r="V391" i="48"/>
  <c r="T391" i="48"/>
  <c r="N391" i="48"/>
  <c r="I391" i="48"/>
  <c r="U391" i="48" s="1"/>
  <c r="V390" i="48"/>
  <c r="N390" i="48"/>
  <c r="V389" i="48"/>
  <c r="N389" i="48"/>
  <c r="I389" i="48"/>
  <c r="V388" i="48"/>
  <c r="N388" i="48"/>
  <c r="V387" i="48"/>
  <c r="T387" i="48"/>
  <c r="N387" i="48"/>
  <c r="V386" i="48"/>
  <c r="P386" i="48"/>
  <c r="N386" i="48"/>
  <c r="V385" i="48"/>
  <c r="N385" i="48"/>
  <c r="V384" i="48"/>
  <c r="N384" i="48"/>
  <c r="I384" i="48"/>
  <c r="V383" i="48"/>
  <c r="N383" i="48"/>
  <c r="V382" i="48"/>
  <c r="P382" i="48"/>
  <c r="N382" i="48"/>
  <c r="V381" i="48"/>
  <c r="N381" i="48"/>
  <c r="V380" i="48"/>
  <c r="N380" i="48"/>
  <c r="C380" i="48"/>
  <c r="V379" i="48"/>
  <c r="N379" i="48"/>
  <c r="V378" i="48"/>
  <c r="N378" i="48"/>
  <c r="I378" i="48"/>
  <c r="V377" i="48"/>
  <c r="N377" i="48"/>
  <c r="V376" i="48"/>
  <c r="N376" i="48"/>
  <c r="V375" i="48"/>
  <c r="N375" i="48"/>
  <c r="C375" i="48"/>
  <c r="V374" i="48"/>
  <c r="N374" i="48"/>
  <c r="I374" i="48"/>
  <c r="V373" i="48"/>
  <c r="N373" i="48"/>
  <c r="V372" i="48"/>
  <c r="N372" i="48"/>
  <c r="I372" i="48"/>
  <c r="V371" i="48"/>
  <c r="N371" i="48"/>
  <c r="I371" i="48"/>
  <c r="V370" i="48"/>
  <c r="N370" i="48"/>
  <c r="I370" i="48"/>
  <c r="V369" i="48"/>
  <c r="N369" i="48"/>
  <c r="V368" i="48"/>
  <c r="N368" i="48"/>
  <c r="I368" i="48"/>
  <c r="V367" i="48"/>
  <c r="N367" i="48"/>
  <c r="I367" i="48"/>
  <c r="V366" i="48"/>
  <c r="N366" i="48"/>
  <c r="V365" i="48"/>
  <c r="N365" i="48"/>
  <c r="V364" i="48"/>
  <c r="N364" i="48"/>
  <c r="V363" i="48"/>
  <c r="N363" i="48"/>
  <c r="I363" i="48"/>
  <c r="V362" i="48"/>
  <c r="N362" i="48"/>
  <c r="V361" i="48"/>
  <c r="T361" i="48"/>
  <c r="U361" i="48" s="1"/>
  <c r="N361" i="48"/>
  <c r="I361" i="48"/>
  <c r="V360" i="48"/>
  <c r="N360" i="48"/>
  <c r="V359" i="48"/>
  <c r="N359" i="48"/>
  <c r="I359" i="48"/>
  <c r="V358" i="48"/>
  <c r="N358" i="48"/>
  <c r="V357" i="48"/>
  <c r="N357" i="48"/>
  <c r="V356" i="48"/>
  <c r="N356" i="48"/>
  <c r="I356" i="48"/>
  <c r="V355" i="48"/>
  <c r="N355" i="48"/>
  <c r="V354" i="48"/>
  <c r="T354" i="48"/>
  <c r="N354" i="48"/>
  <c r="V353" i="48"/>
  <c r="N353" i="48"/>
  <c r="V352" i="48"/>
  <c r="N352" i="48"/>
  <c r="C352" i="48"/>
  <c r="V351" i="48"/>
  <c r="N351" i="48"/>
  <c r="V350" i="48"/>
  <c r="N350" i="48"/>
  <c r="V349" i="48"/>
  <c r="N349" i="48"/>
  <c r="V348" i="48"/>
  <c r="T348" i="48"/>
  <c r="P348" i="48"/>
  <c r="N348" i="48"/>
  <c r="V347" i="48"/>
  <c r="N347" i="48"/>
  <c r="I347" i="48"/>
  <c r="V346" i="48"/>
  <c r="N346" i="48"/>
  <c r="I346" i="48"/>
  <c r="V345" i="48"/>
  <c r="N345" i="48"/>
  <c r="I345" i="48"/>
  <c r="C345" i="48"/>
  <c r="V344" i="48"/>
  <c r="N344" i="48"/>
  <c r="V343" i="48"/>
  <c r="N343" i="48"/>
  <c r="V342" i="48"/>
  <c r="N342" i="48"/>
  <c r="V341" i="48"/>
  <c r="T341" i="48"/>
  <c r="N341" i="48"/>
  <c r="C341" i="48"/>
  <c r="V340" i="48"/>
  <c r="N340" i="48"/>
  <c r="V339" i="48"/>
  <c r="N339" i="48"/>
  <c r="I339" i="48"/>
  <c r="V338" i="48"/>
  <c r="N338" i="48"/>
  <c r="I338" i="48"/>
  <c r="C338" i="48"/>
  <c r="V337" i="48"/>
  <c r="N337" i="48"/>
  <c r="V336" i="48"/>
  <c r="N336" i="48"/>
  <c r="I336" i="48"/>
  <c r="V335" i="48"/>
  <c r="T335" i="48"/>
  <c r="N335" i="48"/>
  <c r="V334" i="48"/>
  <c r="N334" i="48"/>
  <c r="V333" i="48"/>
  <c r="N333" i="48"/>
  <c r="V332" i="48"/>
  <c r="N332" i="48"/>
  <c r="I332" i="48"/>
  <c r="V331" i="48"/>
  <c r="N331" i="48"/>
  <c r="I331" i="48"/>
  <c r="V330" i="48"/>
  <c r="N330" i="48"/>
  <c r="I330" i="48"/>
  <c r="V329" i="48"/>
  <c r="N329" i="48"/>
  <c r="V328" i="48"/>
  <c r="T328" i="48"/>
  <c r="N328" i="48"/>
  <c r="V327" i="48"/>
  <c r="N327" i="48"/>
  <c r="C327" i="48"/>
  <c r="V326" i="48"/>
  <c r="T326" i="48"/>
  <c r="N326" i="48"/>
  <c r="V325" i="48"/>
  <c r="N325" i="48"/>
  <c r="V324" i="48"/>
  <c r="N324" i="48"/>
  <c r="I324" i="48"/>
  <c r="V323" i="48"/>
  <c r="N323" i="48"/>
  <c r="I323" i="48"/>
  <c r="V322" i="48"/>
  <c r="N322" i="48"/>
  <c r="V321" i="48"/>
  <c r="T321" i="48"/>
  <c r="N321" i="48"/>
  <c r="V320" i="48"/>
  <c r="N320" i="48"/>
  <c r="V319" i="48"/>
  <c r="N319" i="48"/>
  <c r="V318" i="48"/>
  <c r="N318" i="48"/>
  <c r="V317" i="48"/>
  <c r="N317" i="48"/>
  <c r="I317" i="48"/>
  <c r="V316" i="48"/>
  <c r="N316" i="48"/>
  <c r="I316" i="48"/>
  <c r="V315" i="48"/>
  <c r="N315" i="48"/>
  <c r="I315" i="48"/>
  <c r="V314" i="48"/>
  <c r="T314" i="48"/>
  <c r="N314" i="48"/>
  <c r="V313" i="48"/>
  <c r="N313" i="48"/>
  <c r="V312" i="48"/>
  <c r="N312" i="48"/>
  <c r="V311" i="48"/>
  <c r="N311" i="48"/>
  <c r="V310" i="48"/>
  <c r="N310" i="48"/>
  <c r="V309" i="48"/>
  <c r="N309" i="48"/>
  <c r="I309" i="48"/>
  <c r="V308" i="48"/>
  <c r="N308" i="48"/>
  <c r="V307" i="48"/>
  <c r="N307" i="48"/>
  <c r="V306" i="48"/>
  <c r="N306" i="48"/>
  <c r="V305" i="48"/>
  <c r="N305" i="48"/>
  <c r="I305" i="48"/>
  <c r="V304" i="48"/>
  <c r="N304" i="48"/>
  <c r="V303" i="48"/>
  <c r="N303" i="48"/>
  <c r="V302" i="48"/>
  <c r="N302" i="48"/>
  <c r="I302" i="48"/>
  <c r="V301" i="48"/>
  <c r="N301" i="48"/>
  <c r="V300" i="48"/>
  <c r="N300" i="48"/>
  <c r="I300" i="48"/>
  <c r="V299" i="48"/>
  <c r="N299" i="48"/>
  <c r="V298" i="48"/>
  <c r="N298" i="48"/>
  <c r="I298" i="48"/>
  <c r="V297" i="48"/>
  <c r="N297" i="48"/>
  <c r="V296" i="48"/>
  <c r="N296" i="48"/>
  <c r="I296" i="48"/>
  <c r="V295" i="48"/>
  <c r="N295" i="48"/>
  <c r="V294" i="48"/>
  <c r="N294" i="48"/>
  <c r="V293" i="48"/>
  <c r="N293" i="48"/>
  <c r="V292" i="48"/>
  <c r="T292" i="48"/>
  <c r="P292" i="48"/>
  <c r="N292" i="48"/>
  <c r="V291" i="48"/>
  <c r="N291" i="48"/>
  <c r="I291" i="48"/>
  <c r="V290" i="48"/>
  <c r="N290" i="48"/>
  <c r="V289" i="48"/>
  <c r="N289" i="48"/>
  <c r="I289" i="48"/>
  <c r="V288" i="48"/>
  <c r="N288" i="48"/>
  <c r="I288" i="48"/>
  <c r="V287" i="48"/>
  <c r="N287" i="48"/>
  <c r="I287" i="48"/>
  <c r="V286" i="48"/>
  <c r="N286" i="48"/>
  <c r="V285" i="48"/>
  <c r="T285" i="48"/>
  <c r="N285" i="48"/>
  <c r="V284" i="48"/>
  <c r="T284" i="48"/>
  <c r="N284" i="48"/>
  <c r="V283" i="48"/>
  <c r="N283" i="48"/>
  <c r="V282" i="48"/>
  <c r="N282" i="48"/>
  <c r="V281" i="48"/>
  <c r="N281" i="48"/>
  <c r="V280" i="48"/>
  <c r="N280" i="48"/>
  <c r="I280" i="48"/>
  <c r="V279" i="48"/>
  <c r="N279" i="48"/>
  <c r="V278" i="48"/>
  <c r="T278" i="48"/>
  <c r="N278" i="48"/>
  <c r="V277" i="48"/>
  <c r="N277" i="48"/>
  <c r="V276" i="48"/>
  <c r="N276" i="48"/>
  <c r="V275" i="48"/>
  <c r="P275" i="48"/>
  <c r="N275" i="48"/>
  <c r="V274" i="48"/>
  <c r="P274" i="48"/>
  <c r="N274" i="48"/>
  <c r="V273" i="48"/>
  <c r="N273" i="48"/>
  <c r="I273" i="48"/>
  <c r="V272" i="48"/>
  <c r="N272" i="48"/>
  <c r="V271" i="48"/>
  <c r="T271" i="48"/>
  <c r="N271" i="48"/>
  <c r="V270" i="48"/>
  <c r="N270" i="48"/>
  <c r="I270" i="48"/>
  <c r="V269" i="48"/>
  <c r="N269" i="48"/>
  <c r="V268" i="48"/>
  <c r="N268" i="48"/>
  <c r="I268" i="48"/>
  <c r="V267" i="48"/>
  <c r="P267" i="48"/>
  <c r="N267" i="48"/>
  <c r="V266" i="48"/>
  <c r="N266" i="48"/>
  <c r="I266" i="48"/>
  <c r="V265" i="48"/>
  <c r="N265" i="48"/>
  <c r="V264" i="48"/>
  <c r="N264" i="48"/>
  <c r="C264" i="48"/>
  <c r="V263" i="48"/>
  <c r="N263" i="48"/>
  <c r="V262" i="48"/>
  <c r="N262" i="48"/>
  <c r="V261" i="48"/>
  <c r="N261" i="48"/>
  <c r="I261" i="48"/>
  <c r="V260" i="48"/>
  <c r="N260" i="48"/>
  <c r="I260" i="48"/>
  <c r="V259" i="48"/>
  <c r="N259" i="48"/>
  <c r="V258" i="48"/>
  <c r="N258" i="48"/>
  <c r="V257" i="48"/>
  <c r="N257" i="48"/>
  <c r="V256" i="48"/>
  <c r="T256" i="48"/>
  <c r="N256" i="48"/>
  <c r="V255" i="48"/>
  <c r="N255" i="48"/>
  <c r="I255" i="48"/>
  <c r="V254" i="48"/>
  <c r="N254" i="48"/>
  <c r="V253" i="48"/>
  <c r="N253" i="48"/>
  <c r="V252" i="48"/>
  <c r="N252" i="48"/>
  <c r="V251" i="48"/>
  <c r="T251" i="48"/>
  <c r="P251" i="48"/>
  <c r="N251" i="48"/>
  <c r="V250" i="48"/>
  <c r="N250" i="48"/>
  <c r="V249" i="48"/>
  <c r="N249" i="48"/>
  <c r="I249" i="48"/>
  <c r="V248" i="48"/>
  <c r="N248" i="48"/>
  <c r="I248" i="48"/>
  <c r="V247" i="48"/>
  <c r="N247" i="48"/>
  <c r="V246" i="48"/>
  <c r="N246" i="48"/>
  <c r="V245" i="48"/>
  <c r="N245" i="48"/>
  <c r="I245" i="48"/>
  <c r="V244" i="48"/>
  <c r="N244" i="48"/>
  <c r="I244" i="48"/>
  <c r="V243" i="48"/>
  <c r="N243" i="48"/>
  <c r="V242" i="48"/>
  <c r="T242" i="48"/>
  <c r="N242" i="48"/>
  <c r="I242" i="48"/>
  <c r="U242" i="48" s="1"/>
  <c r="V241" i="48"/>
  <c r="N241" i="48"/>
  <c r="V240" i="48"/>
  <c r="N240" i="48"/>
  <c r="I240" i="48"/>
  <c r="V239" i="48"/>
  <c r="N239" i="48"/>
  <c r="I239" i="48"/>
  <c r="V238" i="48"/>
  <c r="N238" i="48"/>
  <c r="V237" i="48"/>
  <c r="N237" i="48"/>
  <c r="I237" i="48"/>
  <c r="C237" i="48"/>
  <c r="V236" i="48"/>
  <c r="N236" i="48"/>
  <c r="V235" i="48"/>
  <c r="T235" i="48"/>
  <c r="N235" i="48"/>
  <c r="V234" i="48"/>
  <c r="N234" i="48"/>
  <c r="I234" i="48"/>
  <c r="V233" i="48"/>
  <c r="N233" i="48"/>
  <c r="V232" i="48"/>
  <c r="N232" i="48"/>
  <c r="I232" i="48"/>
  <c r="V231" i="48"/>
  <c r="N231" i="48"/>
  <c r="I231" i="48"/>
  <c r="V230" i="48"/>
  <c r="T230" i="48"/>
  <c r="N230" i="48"/>
  <c r="V229" i="48"/>
  <c r="T229" i="48"/>
  <c r="P229" i="48"/>
  <c r="N229" i="48"/>
  <c r="V228" i="48"/>
  <c r="N228" i="48"/>
  <c r="I228" i="48"/>
  <c r="V227" i="48"/>
  <c r="N227" i="48"/>
  <c r="V226" i="48"/>
  <c r="N226" i="48"/>
  <c r="I226" i="48"/>
  <c r="V225" i="48"/>
  <c r="N225" i="48"/>
  <c r="V224" i="48"/>
  <c r="P224" i="48"/>
  <c r="N224" i="48"/>
  <c r="V223" i="48"/>
  <c r="N223" i="48"/>
  <c r="I223" i="48"/>
  <c r="V222" i="48"/>
  <c r="T222" i="48"/>
  <c r="N222" i="48"/>
  <c r="V221" i="48"/>
  <c r="P221" i="48"/>
  <c r="N221" i="48"/>
  <c r="I221" i="48"/>
  <c r="V220" i="48"/>
  <c r="N220" i="48"/>
  <c r="I220" i="48"/>
  <c r="V219" i="48"/>
  <c r="N219" i="48"/>
  <c r="V218" i="48"/>
  <c r="N218" i="48"/>
  <c r="C218" i="48"/>
  <c r="V217" i="48"/>
  <c r="N217" i="48"/>
  <c r="V216" i="48"/>
  <c r="N216" i="48"/>
  <c r="I216" i="48"/>
  <c r="V215" i="48"/>
  <c r="N215" i="48"/>
  <c r="V214" i="48"/>
  <c r="T214" i="48"/>
  <c r="N214" i="48"/>
  <c r="V213" i="48"/>
  <c r="T213" i="48"/>
  <c r="N213" i="48"/>
  <c r="I213" i="48"/>
  <c r="U213" i="48" s="1"/>
  <c r="V212" i="48"/>
  <c r="N212" i="48"/>
  <c r="I212" i="48"/>
  <c r="V211" i="48"/>
  <c r="T211" i="48"/>
  <c r="N211" i="48"/>
  <c r="V210" i="48"/>
  <c r="T210" i="48"/>
  <c r="P210" i="48"/>
  <c r="N210" i="48"/>
  <c r="V209" i="48"/>
  <c r="T209" i="48"/>
  <c r="N209" i="48"/>
  <c r="V208" i="48"/>
  <c r="T208" i="48"/>
  <c r="N208" i="48"/>
  <c r="C208" i="48"/>
  <c r="V207" i="48"/>
  <c r="N207" i="48"/>
  <c r="V206" i="48"/>
  <c r="N206" i="48"/>
  <c r="V205" i="48"/>
  <c r="T205" i="48"/>
  <c r="N205" i="48"/>
  <c r="V204" i="48"/>
  <c r="T204" i="48"/>
  <c r="P204" i="48"/>
  <c r="N204" i="48"/>
  <c r="V203" i="48"/>
  <c r="T203" i="48"/>
  <c r="P203" i="48"/>
  <c r="N203" i="48"/>
  <c r="V202" i="48"/>
  <c r="N202" i="48"/>
  <c r="C202" i="48"/>
  <c r="V201" i="48"/>
  <c r="N201" i="48"/>
  <c r="V200" i="48"/>
  <c r="T200" i="48"/>
  <c r="N200" i="48"/>
  <c r="C200" i="48"/>
  <c r="V199" i="48"/>
  <c r="N199" i="48"/>
  <c r="V198" i="48"/>
  <c r="T198" i="48"/>
  <c r="P198" i="48"/>
  <c r="N198" i="48"/>
  <c r="V197" i="48"/>
  <c r="T197" i="48"/>
  <c r="N197" i="48"/>
  <c r="I197" i="48"/>
  <c r="V196" i="48"/>
  <c r="N196" i="48"/>
  <c r="V195" i="48"/>
  <c r="N195" i="48"/>
  <c r="V194" i="48"/>
  <c r="N194" i="48"/>
  <c r="V193" i="48"/>
  <c r="N193" i="48"/>
  <c r="V192" i="48"/>
  <c r="N192" i="48"/>
  <c r="V191" i="48"/>
  <c r="N191" i="48"/>
  <c r="V190" i="48"/>
  <c r="N190" i="48"/>
  <c r="V189" i="48"/>
  <c r="N189" i="48"/>
  <c r="V188" i="48"/>
  <c r="N188" i="48"/>
  <c r="V187" i="48"/>
  <c r="N187" i="48"/>
  <c r="V186" i="48"/>
  <c r="N186" i="48"/>
  <c r="V185" i="48"/>
  <c r="N185" i="48"/>
  <c r="V184" i="48"/>
  <c r="N184" i="48"/>
  <c r="V183" i="48"/>
  <c r="N183" i="48"/>
  <c r="V182" i="48"/>
  <c r="N182" i="48"/>
  <c r="V181" i="48"/>
  <c r="N181" i="48"/>
  <c r="V180" i="48"/>
  <c r="N180" i="48"/>
  <c r="V179" i="48"/>
  <c r="N179" i="48"/>
  <c r="V178" i="48"/>
  <c r="N178" i="48"/>
  <c r="V177" i="48"/>
  <c r="N177" i="48"/>
  <c r="V176" i="48"/>
  <c r="N176" i="48"/>
  <c r="V175" i="48"/>
  <c r="N175" i="48"/>
  <c r="V174" i="48"/>
  <c r="N174" i="48"/>
  <c r="V173" i="48"/>
  <c r="N173" i="48"/>
  <c r="V172" i="48"/>
  <c r="N172" i="48"/>
  <c r="V171" i="48"/>
  <c r="N171" i="48"/>
  <c r="V170" i="48"/>
  <c r="N170" i="48"/>
  <c r="V169" i="48"/>
  <c r="N169" i="48"/>
  <c r="V168" i="48"/>
  <c r="N168" i="48"/>
  <c r="V167" i="48"/>
  <c r="N167" i="48"/>
  <c r="V166" i="48"/>
  <c r="N166" i="48"/>
  <c r="V165" i="48"/>
  <c r="N165" i="48"/>
  <c r="V164" i="48"/>
  <c r="N164" i="48"/>
  <c r="V163" i="48"/>
  <c r="N163" i="48"/>
  <c r="V162" i="48"/>
  <c r="N162" i="48"/>
  <c r="V161" i="48"/>
  <c r="N161" i="48"/>
  <c r="V160" i="48"/>
  <c r="N160" i="48"/>
  <c r="V159" i="48"/>
  <c r="N159" i="48"/>
  <c r="V158" i="48"/>
  <c r="N158" i="48"/>
  <c r="V157" i="48"/>
  <c r="N157" i="48"/>
  <c r="V156" i="48"/>
  <c r="N156" i="48"/>
  <c r="V155" i="48"/>
  <c r="N155" i="48"/>
  <c r="V154" i="48"/>
  <c r="N154" i="48"/>
  <c r="V153" i="48"/>
  <c r="N153" i="48"/>
  <c r="V152" i="48"/>
  <c r="N152" i="48"/>
  <c r="V151" i="48"/>
  <c r="N151" i="48"/>
  <c r="V150" i="48"/>
  <c r="N150" i="48"/>
  <c r="V149" i="48"/>
  <c r="N149" i="48"/>
  <c r="V148" i="48"/>
  <c r="N148" i="48"/>
  <c r="V147" i="48"/>
  <c r="N147" i="48"/>
  <c r="V146" i="48"/>
  <c r="N146" i="48"/>
  <c r="V145" i="48"/>
  <c r="N145" i="48"/>
  <c r="V144" i="48"/>
  <c r="N144" i="48"/>
  <c r="V143" i="48"/>
  <c r="N143" i="48"/>
  <c r="V142" i="48"/>
  <c r="N142" i="48"/>
  <c r="V141" i="48"/>
  <c r="N141" i="48"/>
  <c r="V140" i="48"/>
  <c r="N140" i="48"/>
  <c r="V139" i="48"/>
  <c r="P139" i="48"/>
  <c r="N139" i="48"/>
  <c r="V138" i="48"/>
  <c r="N138" i="48"/>
  <c r="J138" i="48"/>
  <c r="I138" i="48"/>
  <c r="V137" i="48"/>
  <c r="N137" i="48"/>
  <c r="J137" i="48"/>
  <c r="I137" i="48"/>
  <c r="V136" i="48"/>
  <c r="N136" i="48"/>
  <c r="V135" i="48"/>
  <c r="N135" i="48"/>
  <c r="V134" i="48"/>
  <c r="N134" i="48"/>
  <c r="V133" i="48"/>
  <c r="N133" i="48"/>
  <c r="V132" i="48"/>
  <c r="N132" i="48"/>
  <c r="V131" i="48"/>
  <c r="N131" i="48"/>
  <c r="V130" i="48"/>
  <c r="N130" i="48"/>
  <c r="V129" i="48"/>
  <c r="N129" i="48"/>
  <c r="V128" i="48"/>
  <c r="N128" i="48"/>
  <c r="V127" i="48"/>
  <c r="N127" i="48"/>
  <c r="V126" i="48"/>
  <c r="N126" i="48"/>
  <c r="V125" i="48"/>
  <c r="N125" i="48"/>
  <c r="V124" i="48"/>
  <c r="N124" i="48"/>
  <c r="V123" i="48"/>
  <c r="N123" i="48"/>
  <c r="V122" i="48"/>
  <c r="N122" i="48"/>
  <c r="V121" i="48"/>
  <c r="N121" i="48"/>
  <c r="V120" i="48"/>
  <c r="N120" i="48"/>
  <c r="V119" i="48"/>
  <c r="N119" i="48"/>
  <c r="V118" i="48"/>
  <c r="N118" i="48"/>
  <c r="V117" i="48"/>
  <c r="N117" i="48"/>
  <c r="V116" i="48"/>
  <c r="N116" i="48"/>
  <c r="V115" i="48"/>
  <c r="N115" i="48"/>
  <c r="V114" i="48"/>
  <c r="N114" i="48"/>
  <c r="V113" i="48"/>
  <c r="N113" i="48"/>
  <c r="V112" i="48"/>
  <c r="N112" i="48"/>
  <c r="V111" i="48"/>
  <c r="N111" i="48"/>
  <c r="V110" i="48"/>
  <c r="N110" i="48"/>
  <c r="V109" i="48"/>
  <c r="N109" i="48"/>
  <c r="V108" i="48"/>
  <c r="N108" i="48"/>
  <c r="V107" i="48"/>
  <c r="N107" i="48"/>
  <c r="V106" i="48"/>
  <c r="N106" i="48"/>
  <c r="V105" i="48"/>
  <c r="N105" i="48"/>
  <c r="V104" i="48"/>
  <c r="N104" i="48"/>
  <c r="V103" i="48"/>
  <c r="N103" i="48"/>
  <c r="V102" i="48"/>
  <c r="N102" i="48"/>
  <c r="V101" i="48"/>
  <c r="N101" i="48"/>
  <c r="V100" i="48"/>
  <c r="N100" i="48"/>
  <c r="V99" i="48"/>
  <c r="N99" i="48"/>
  <c r="V98" i="48"/>
  <c r="N98" i="48"/>
  <c r="V97" i="48"/>
  <c r="N97" i="48"/>
  <c r="V96" i="48"/>
  <c r="N96" i="48"/>
  <c r="V95" i="48"/>
  <c r="N95" i="48"/>
  <c r="V94" i="48"/>
  <c r="N94" i="48"/>
  <c r="V93" i="48"/>
  <c r="N93" i="48"/>
  <c r="V92" i="48"/>
  <c r="N92" i="48"/>
  <c r="V91" i="48"/>
  <c r="N91" i="48"/>
  <c r="V90" i="48"/>
  <c r="N90" i="48"/>
  <c r="V89" i="48"/>
  <c r="N89" i="48"/>
  <c r="V88" i="48"/>
  <c r="N88" i="48"/>
  <c r="V87" i="48"/>
  <c r="P87" i="48"/>
  <c r="N87" i="48"/>
  <c r="V86" i="48"/>
  <c r="N86" i="48"/>
  <c r="V85" i="48"/>
  <c r="N85" i="48"/>
  <c r="V84" i="48"/>
  <c r="N84" i="48"/>
  <c r="V83" i="48"/>
  <c r="N83" i="48"/>
  <c r="V82" i="48"/>
  <c r="N82" i="48"/>
  <c r="V81" i="48"/>
  <c r="N81" i="48"/>
  <c r="V80" i="48"/>
  <c r="N80" i="48"/>
  <c r="V79" i="48"/>
  <c r="N79" i="48"/>
  <c r="V78" i="48"/>
  <c r="N78" i="48"/>
  <c r="J78" i="48"/>
  <c r="J79" i="48" s="1"/>
  <c r="V77" i="48"/>
  <c r="N77" i="48"/>
  <c r="J77" i="48"/>
  <c r="V76" i="48"/>
  <c r="N76" i="48"/>
  <c r="V75" i="48"/>
  <c r="N75" i="48"/>
  <c r="V74" i="48"/>
  <c r="N74" i="48"/>
  <c r="V73" i="48"/>
  <c r="P73" i="48"/>
  <c r="N73" i="48"/>
  <c r="V72" i="48"/>
  <c r="N72" i="48"/>
  <c r="V71" i="48"/>
  <c r="N71" i="48"/>
  <c r="V70" i="48"/>
  <c r="N70" i="48"/>
  <c r="V69" i="48"/>
  <c r="N69" i="48"/>
  <c r="V68" i="48"/>
  <c r="N68" i="48"/>
  <c r="V67" i="48"/>
  <c r="N67" i="48"/>
  <c r="V66" i="48"/>
  <c r="N66" i="48"/>
  <c r="V65" i="48"/>
  <c r="N65" i="48"/>
  <c r="V64" i="48"/>
  <c r="N64" i="48"/>
  <c r="V63" i="48"/>
  <c r="N63" i="48"/>
  <c r="V62" i="48"/>
  <c r="N62" i="48"/>
  <c r="V61" i="48"/>
  <c r="N61" i="48"/>
  <c r="V60" i="48"/>
  <c r="N60" i="48"/>
  <c r="V59" i="48"/>
  <c r="N59" i="48"/>
  <c r="V58" i="48"/>
  <c r="N58" i="48"/>
  <c r="V57" i="48"/>
  <c r="N57" i="48"/>
  <c r="V56" i="48"/>
  <c r="N56" i="48"/>
  <c r="V55" i="48"/>
  <c r="N55" i="48"/>
  <c r="V54" i="48"/>
  <c r="N54" i="48"/>
  <c r="V53" i="48"/>
  <c r="N53" i="48"/>
  <c r="V52" i="48"/>
  <c r="P52" i="48"/>
  <c r="N52" i="48"/>
  <c r="V51" i="48"/>
  <c r="N51" i="48"/>
  <c r="V50" i="48"/>
  <c r="N50" i="48"/>
  <c r="V49" i="48"/>
  <c r="N49" i="48"/>
  <c r="V48" i="48"/>
  <c r="N48" i="48"/>
  <c r="V47" i="48"/>
  <c r="N47" i="48"/>
  <c r="V46" i="48"/>
  <c r="N46" i="48"/>
  <c r="V45" i="48"/>
  <c r="N45" i="48"/>
  <c r="V44" i="48"/>
  <c r="N44" i="48"/>
  <c r="V43" i="48"/>
  <c r="N43" i="48"/>
  <c r="V42" i="48"/>
  <c r="N42" i="48"/>
  <c r="V41" i="48"/>
  <c r="N41" i="48"/>
  <c r="V40" i="48"/>
  <c r="N40" i="48"/>
  <c r="V39" i="48"/>
  <c r="N39" i="48"/>
  <c r="V38" i="48"/>
  <c r="N38" i="48"/>
  <c r="V37" i="48"/>
  <c r="N37" i="48"/>
  <c r="V36" i="48"/>
  <c r="N36" i="48"/>
  <c r="V35" i="48"/>
  <c r="N35" i="48"/>
  <c r="V34" i="48"/>
  <c r="N34" i="48"/>
  <c r="V33" i="48"/>
  <c r="N33" i="48"/>
  <c r="V32" i="48"/>
  <c r="N32" i="48"/>
  <c r="V31" i="48"/>
  <c r="N31" i="48"/>
  <c r="V30" i="48"/>
  <c r="N30" i="48"/>
  <c r="V29" i="48"/>
  <c r="N29" i="48"/>
  <c r="V28" i="48"/>
  <c r="N28" i="48"/>
  <c r="V27" i="48"/>
  <c r="N27" i="48"/>
  <c r="V26" i="48"/>
  <c r="N26" i="48"/>
  <c r="V25" i="48"/>
  <c r="N25" i="48"/>
  <c r="V24" i="48"/>
  <c r="N24" i="48"/>
  <c r="V23" i="48"/>
  <c r="P23" i="48"/>
  <c r="N23" i="48"/>
  <c r="V22" i="48"/>
  <c r="N22" i="48"/>
  <c r="V21" i="48"/>
  <c r="N21" i="48"/>
  <c r="V20" i="48"/>
  <c r="N20" i="48"/>
  <c r="V19" i="48"/>
  <c r="N19" i="48"/>
  <c r="V18" i="48"/>
  <c r="N18" i="48"/>
  <c r="V17" i="48"/>
  <c r="N17" i="48"/>
  <c r="V16" i="48"/>
  <c r="R16" i="48"/>
  <c r="N16" i="48"/>
  <c r="J16" i="48"/>
  <c r="E16" i="48"/>
  <c r="D16" i="48"/>
  <c r="R9" i="48"/>
  <c r="C11" i="48" s="1"/>
  <c r="I9" i="48"/>
  <c r="I10" i="48" s="1"/>
  <c r="C9" i="48"/>
  <c r="I8" i="48"/>
  <c r="R7" i="48"/>
  <c r="C7" i="48"/>
  <c r="C324" i="48" s="1"/>
  <c r="I6" i="48"/>
  <c r="C6" i="48"/>
  <c r="R5" i="48"/>
  <c r="I5" i="48"/>
  <c r="I4" i="48"/>
  <c r="I3" i="48"/>
  <c r="I20" i="49" l="1"/>
  <c r="J9" i="49"/>
  <c r="I8" i="18"/>
  <c r="I11" i="48"/>
  <c r="P79" i="48"/>
  <c r="P39" i="48"/>
  <c r="P37" i="48"/>
  <c r="P24" i="48"/>
  <c r="P22" i="48"/>
  <c r="P119" i="48"/>
  <c r="P106" i="48"/>
  <c r="P30" i="48"/>
  <c r="P184" i="48"/>
  <c r="P78" i="48"/>
  <c r="P76" i="48"/>
  <c r="P71" i="48"/>
  <c r="P29" i="48"/>
  <c r="P89" i="48"/>
  <c r="R17" i="48"/>
  <c r="R18" i="48" s="1"/>
  <c r="P154" i="48"/>
  <c r="P147" i="48"/>
  <c r="P120" i="48"/>
  <c r="U228" i="48"/>
  <c r="U499" i="48"/>
  <c r="U384" i="48"/>
  <c r="U288" i="48"/>
  <c r="P102" i="48"/>
  <c r="P17" i="48"/>
  <c r="P127" i="48"/>
  <c r="Q208" i="48"/>
  <c r="J80" i="48"/>
  <c r="P86" i="48"/>
  <c r="Q429" i="48"/>
  <c r="U560" i="48"/>
  <c r="P216" i="48"/>
  <c r="C255" i="48"/>
  <c r="Q255" i="48" s="1"/>
  <c r="P284" i="48"/>
  <c r="C298" i="48"/>
  <c r="Q298" i="48" s="1"/>
  <c r="Q264" i="48"/>
  <c r="Q380" i="48"/>
  <c r="U475" i="48"/>
  <c r="Q237" i="48"/>
  <c r="U248" i="48"/>
  <c r="Q338" i="48"/>
  <c r="U346" i="48"/>
  <c r="C638" i="48"/>
  <c r="Q638" i="48" s="1"/>
  <c r="P634" i="48"/>
  <c r="C631" i="48"/>
  <c r="Q631" i="48" s="1"/>
  <c r="P627" i="48"/>
  <c r="C624" i="48"/>
  <c r="P620" i="48"/>
  <c r="C617" i="48"/>
  <c r="P613" i="48"/>
  <c r="C610" i="48"/>
  <c r="Q610" i="48" s="1"/>
  <c r="P606" i="48"/>
  <c r="C603" i="48"/>
  <c r="Q603" i="48" s="1"/>
  <c r="P599" i="48"/>
  <c r="C596" i="48"/>
  <c r="Q596" i="48" s="1"/>
  <c r="P592" i="48"/>
  <c r="C589" i="48"/>
  <c r="Q589" i="48" s="1"/>
  <c r="P585" i="48"/>
  <c r="C582" i="48"/>
  <c r="P578" i="48"/>
  <c r="C575" i="48"/>
  <c r="P571" i="48"/>
  <c r="C568" i="48"/>
  <c r="P564" i="48"/>
  <c r="C561" i="48"/>
  <c r="P557" i="48"/>
  <c r="C554" i="48"/>
  <c r="Q554" i="48" s="1"/>
  <c r="P550" i="48"/>
  <c r="C547" i="48"/>
  <c r="P636" i="48"/>
  <c r="C630" i="48"/>
  <c r="Q630" i="48" s="1"/>
  <c r="P624" i="48"/>
  <c r="C618" i="48"/>
  <c r="P611" i="48"/>
  <c r="C606" i="48"/>
  <c r="P587" i="48"/>
  <c r="C581" i="48"/>
  <c r="P575" i="48"/>
  <c r="C569" i="48"/>
  <c r="P562" i="48"/>
  <c r="C557" i="48"/>
  <c r="Q557" i="48" s="1"/>
  <c r="P635" i="48"/>
  <c r="C629" i="48"/>
  <c r="P623" i="48"/>
  <c r="P622" i="48"/>
  <c r="C616" i="48"/>
  <c r="P610" i="48"/>
  <c r="C604" i="48"/>
  <c r="P597" i="48"/>
  <c r="C592" i="48"/>
  <c r="P573" i="48"/>
  <c r="C567" i="48"/>
  <c r="Q567" i="48" s="1"/>
  <c r="P561" i="48"/>
  <c r="C555" i="48"/>
  <c r="Q555" i="48" s="1"/>
  <c r="P640" i="48"/>
  <c r="P639" i="48"/>
  <c r="P630" i="48"/>
  <c r="C627" i="48"/>
  <c r="Q627" i="48" s="1"/>
  <c r="C590" i="48"/>
  <c r="Q590" i="48" s="1"/>
  <c r="P559" i="48"/>
  <c r="C635" i="48"/>
  <c r="P632" i="48"/>
  <c r="P631" i="48"/>
  <c r="P614" i="48"/>
  <c r="C608" i="48"/>
  <c r="C607" i="48"/>
  <c r="P598" i="48"/>
  <c r="C591" i="48"/>
  <c r="P579" i="48"/>
  <c r="P560" i="48"/>
  <c r="P542" i="48"/>
  <c r="C534" i="48"/>
  <c r="Q534" i="48" s="1"/>
  <c r="C636" i="48"/>
  <c r="Q636" i="48" s="1"/>
  <c r="C628" i="48"/>
  <c r="C619" i="48"/>
  <c r="C609" i="48"/>
  <c r="C615" i="48"/>
  <c r="P612" i="48"/>
  <c r="C611" i="48"/>
  <c r="Q611" i="48" s="1"/>
  <c r="P604" i="48"/>
  <c r="P600" i="48"/>
  <c r="C598" i="48"/>
  <c r="Q598" i="48" s="1"/>
  <c r="P588" i="48"/>
  <c r="C573" i="48"/>
  <c r="Q573" i="48" s="1"/>
  <c r="P558" i="48"/>
  <c r="C532" i="48"/>
  <c r="Q532" i="48" s="1"/>
  <c r="P523" i="48"/>
  <c r="C515" i="48"/>
  <c r="P507" i="48"/>
  <c r="C499" i="48"/>
  <c r="P637" i="48"/>
  <c r="C622" i="48"/>
  <c r="P609" i="48"/>
  <c r="P595" i="48"/>
  <c r="P589" i="48"/>
  <c r="P583" i="48"/>
  <c r="C580" i="48"/>
  <c r="Q580" i="48" s="1"/>
  <c r="P551" i="48"/>
  <c r="C529" i="48"/>
  <c r="P625" i="48"/>
  <c r="C601" i="48"/>
  <c r="Q601" i="48" s="1"/>
  <c r="C571" i="48"/>
  <c r="P567" i="48"/>
  <c r="P555" i="48"/>
  <c r="C553" i="48"/>
  <c r="C621" i="48"/>
  <c r="Q621" i="48" s="1"/>
  <c r="C588" i="48"/>
  <c r="P556" i="48"/>
  <c r="C548" i="48"/>
  <c r="Q548" i="48" s="1"/>
  <c r="P544" i="48"/>
  <c r="P537" i="48"/>
  <c r="P521" i="48"/>
  <c r="P520" i="48"/>
  <c r="P517" i="48"/>
  <c r="P512" i="48"/>
  <c r="P511" i="48"/>
  <c r="C633" i="48"/>
  <c r="C626" i="48"/>
  <c r="C614" i="48"/>
  <c r="C594" i="48"/>
  <c r="P586" i="48"/>
  <c r="P566" i="48"/>
  <c r="P553" i="48"/>
  <c r="C552" i="48"/>
  <c r="C541" i="48"/>
  <c r="Q541" i="48" s="1"/>
  <c r="P538" i="48"/>
  <c r="C530" i="48"/>
  <c r="Q530" i="48" s="1"/>
  <c r="P522" i="48"/>
  <c r="P516" i="48"/>
  <c r="P515" i="48"/>
  <c r="P514" i="48"/>
  <c r="P513" i="48"/>
  <c r="P508" i="48"/>
  <c r="P490" i="48"/>
  <c r="C483" i="48"/>
  <c r="Q483" i="48" s="1"/>
  <c r="P475" i="48"/>
  <c r="C472" i="48"/>
  <c r="P468" i="48"/>
  <c r="C465" i="48"/>
  <c r="Q465" i="48" s="1"/>
  <c r="P461" i="48"/>
  <c r="P617" i="48"/>
  <c r="P615" i="48"/>
  <c r="C585" i="48"/>
  <c r="Q585" i="48" s="1"/>
  <c r="P580" i="48"/>
  <c r="P577" i="48"/>
  <c r="C572" i="48"/>
  <c r="P570" i="48"/>
  <c r="C559" i="48"/>
  <c r="Q559" i="48" s="1"/>
  <c r="C549" i="48"/>
  <c r="C542" i="48"/>
  <c r="P539" i="48"/>
  <c r="P525" i="48"/>
  <c r="P524" i="48"/>
  <c r="C613" i="48"/>
  <c r="Q613" i="48" s="1"/>
  <c r="C600" i="48"/>
  <c r="Q600" i="48" s="1"/>
  <c r="C584" i="48"/>
  <c r="C570" i="48"/>
  <c r="Q570" i="48" s="1"/>
  <c r="P543" i="48"/>
  <c r="P519" i="48"/>
  <c r="C516" i="48"/>
  <c r="C511" i="48"/>
  <c r="C502" i="48"/>
  <c r="C474" i="48"/>
  <c r="Q474" i="48" s="1"/>
  <c r="P467" i="48"/>
  <c r="C462" i="48"/>
  <c r="Q462" i="48" s="1"/>
  <c r="P603" i="48"/>
  <c r="C563" i="48"/>
  <c r="Q563" i="48" s="1"/>
  <c r="P552" i="48"/>
  <c r="P547" i="48"/>
  <c r="C531" i="48"/>
  <c r="Q531" i="48" s="1"/>
  <c r="P528" i="48"/>
  <c r="C623" i="48"/>
  <c r="P601" i="48"/>
  <c r="C546" i="48"/>
  <c r="C539" i="48"/>
  <c r="C535" i="48"/>
  <c r="C517" i="48"/>
  <c r="C503" i="48"/>
  <c r="C460" i="48"/>
  <c r="Q460" i="48" s="1"/>
  <c r="C625" i="48"/>
  <c r="P594" i="48"/>
  <c r="P590" i="48"/>
  <c r="C587" i="48"/>
  <c r="Q587" i="48" s="1"/>
  <c r="P581" i="48"/>
  <c r="P576" i="48"/>
  <c r="P533" i="48"/>
  <c r="C527" i="48"/>
  <c r="C523" i="48"/>
  <c r="C512" i="48"/>
  <c r="C504" i="48"/>
  <c r="C471" i="48"/>
  <c r="Q471" i="48" s="1"/>
  <c r="P465" i="48"/>
  <c r="C459" i="48"/>
  <c r="Q459" i="48" s="1"/>
  <c r="P455" i="48"/>
  <c r="C452" i="48"/>
  <c r="Q452" i="48" s="1"/>
  <c r="P448" i="48"/>
  <c r="C445" i="48"/>
  <c r="Q445" i="48" s="1"/>
  <c r="P441" i="48"/>
  <c r="C438" i="48"/>
  <c r="Q438" i="48" s="1"/>
  <c r="P434" i="48"/>
  <c r="C431" i="48"/>
  <c r="P427" i="48"/>
  <c r="C424" i="48"/>
  <c r="P420" i="48"/>
  <c r="C417" i="48"/>
  <c r="P413" i="48"/>
  <c r="C410" i="48"/>
  <c r="P406" i="48"/>
  <c r="C403" i="48"/>
  <c r="P399" i="48"/>
  <c r="C396" i="48"/>
  <c r="Q396" i="48" s="1"/>
  <c r="P392" i="48"/>
  <c r="C389" i="48"/>
  <c r="Q389" i="48" s="1"/>
  <c r="P385" i="48"/>
  <c r="C593" i="48"/>
  <c r="C562" i="48"/>
  <c r="C526" i="48"/>
  <c r="C508" i="48"/>
  <c r="Q508" i="48" s="1"/>
  <c r="P491" i="48"/>
  <c r="C482" i="48"/>
  <c r="C461" i="48"/>
  <c r="P456" i="48"/>
  <c r="P381" i="48"/>
  <c r="C378" i="48"/>
  <c r="Q378" i="48" s="1"/>
  <c r="P374" i="48"/>
  <c r="C371" i="48"/>
  <c r="Q371" i="48" s="1"/>
  <c r="P367" i="48"/>
  <c r="C364" i="48"/>
  <c r="P360" i="48"/>
  <c r="C357" i="48"/>
  <c r="P353" i="48"/>
  <c r="C350" i="48"/>
  <c r="Q350" i="48" s="1"/>
  <c r="P346" i="48"/>
  <c r="C343" i="48"/>
  <c r="P339" i="48"/>
  <c r="C336" i="48"/>
  <c r="P332" i="48"/>
  <c r="C329" i="48"/>
  <c r="Q329" i="48" s="1"/>
  <c r="P325" i="48"/>
  <c r="C322" i="48"/>
  <c r="Q322" i="48" s="1"/>
  <c r="P318" i="48"/>
  <c r="C315" i="48"/>
  <c r="P311" i="48"/>
  <c r="C308" i="48"/>
  <c r="P304" i="48"/>
  <c r="C301" i="48"/>
  <c r="Q301" i="48" s="1"/>
  <c r="P297" i="48"/>
  <c r="C294" i="48"/>
  <c r="P290" i="48"/>
  <c r="C287" i="48"/>
  <c r="Q287" i="48" s="1"/>
  <c r="P283" i="48"/>
  <c r="C280" i="48"/>
  <c r="P276" i="48"/>
  <c r="C273" i="48"/>
  <c r="Q273" i="48" s="1"/>
  <c r="P269" i="48"/>
  <c r="C266" i="48"/>
  <c r="P262" i="48"/>
  <c r="C259" i="48"/>
  <c r="P255" i="48"/>
  <c r="C252" i="48"/>
  <c r="P248" i="48"/>
  <c r="C245" i="48"/>
  <c r="Q245" i="48" s="1"/>
  <c r="P241" i="48"/>
  <c r="C238" i="48"/>
  <c r="Q238" i="48" s="1"/>
  <c r="P234" i="48"/>
  <c r="C231" i="48"/>
  <c r="P227" i="48"/>
  <c r="C224" i="48"/>
  <c r="Q224" i="48" s="1"/>
  <c r="P220" i="48"/>
  <c r="C217" i="48"/>
  <c r="P213" i="48"/>
  <c r="P638" i="48"/>
  <c r="P626" i="48"/>
  <c r="C579" i="48"/>
  <c r="P572" i="48"/>
  <c r="C566" i="48"/>
  <c r="Q566" i="48" s="1"/>
  <c r="C543" i="48"/>
  <c r="Q543" i="48" s="1"/>
  <c r="P534" i="48"/>
  <c r="C519" i="48"/>
  <c r="Q519" i="48" s="1"/>
  <c r="P506" i="48"/>
  <c r="C505" i="48"/>
  <c r="Q505" i="48" s="1"/>
  <c r="C495" i="48"/>
  <c r="Q495" i="48" s="1"/>
  <c r="P476" i="48"/>
  <c r="C463" i="48"/>
  <c r="Q463" i="48" s="1"/>
  <c r="P633" i="48"/>
  <c r="C595" i="48"/>
  <c r="C564" i="48"/>
  <c r="P548" i="48"/>
  <c r="C545" i="48"/>
  <c r="Q545" i="48" s="1"/>
  <c r="P532" i="48"/>
  <c r="P527" i="48"/>
  <c r="P498" i="48"/>
  <c r="P492" i="48"/>
  <c r="P487" i="48"/>
  <c r="Q487" i="48" s="1"/>
  <c r="P458" i="48"/>
  <c r="C612" i="48"/>
  <c r="Q612" i="48" s="1"/>
  <c r="P593" i="48"/>
  <c r="P565" i="48"/>
  <c r="C560" i="48"/>
  <c r="C550" i="48"/>
  <c r="C525" i="48"/>
  <c r="C521" i="48"/>
  <c r="P509" i="48"/>
  <c r="C506" i="48"/>
  <c r="P504" i="48"/>
  <c r="P501" i="48"/>
  <c r="C500" i="48"/>
  <c r="Q500" i="48" s="1"/>
  <c r="C491" i="48"/>
  <c r="Q491" i="48" s="1"/>
  <c r="C488" i="48"/>
  <c r="Q488" i="48" s="1"/>
  <c r="P486" i="48"/>
  <c r="P477" i="48"/>
  <c r="C475" i="48"/>
  <c r="P473" i="48"/>
  <c r="P469" i="48"/>
  <c r="P462" i="48"/>
  <c r="C456" i="48"/>
  <c r="P452" i="48"/>
  <c r="P443" i="48"/>
  <c r="Q443" i="48" s="1"/>
  <c r="C425" i="48"/>
  <c r="C416" i="48"/>
  <c r="Q416" i="48" s="1"/>
  <c r="C408" i="48"/>
  <c r="Q408" i="48" s="1"/>
  <c r="P403" i="48"/>
  <c r="P394" i="48"/>
  <c r="C214" i="48"/>
  <c r="Q214" i="48" s="1"/>
  <c r="P132" i="48"/>
  <c r="P621" i="48"/>
  <c r="P618" i="48"/>
  <c r="P545" i="48"/>
  <c r="C537" i="48"/>
  <c r="P535" i="48"/>
  <c r="P495" i="48"/>
  <c r="C494" i="48"/>
  <c r="Q494" i="48" s="1"/>
  <c r="P480" i="48"/>
  <c r="C479" i="48"/>
  <c r="Q479" i="48" s="1"/>
  <c r="P453" i="48"/>
  <c r="C449" i="48"/>
  <c r="Q449" i="48" s="1"/>
  <c r="P444" i="48"/>
  <c r="C441" i="48"/>
  <c r="C433" i="48"/>
  <c r="P428" i="48"/>
  <c r="P412" i="48"/>
  <c r="P404" i="48"/>
  <c r="C400" i="48"/>
  <c r="P395" i="48"/>
  <c r="C392" i="48"/>
  <c r="C384" i="48"/>
  <c r="Q384" i="48" s="1"/>
  <c r="P582" i="48"/>
  <c r="P569" i="48"/>
  <c r="P526" i="48"/>
  <c r="C497" i="48"/>
  <c r="Q497" i="48" s="1"/>
  <c r="C485" i="48"/>
  <c r="Q485" i="48" s="1"/>
  <c r="P483" i="48"/>
  <c r="C468" i="48"/>
  <c r="P459" i="48"/>
  <c r="C457" i="48"/>
  <c r="C450" i="48"/>
  <c r="Q450" i="48" s="1"/>
  <c r="P445" i="48"/>
  <c r="P436" i="48"/>
  <c r="C418" i="48"/>
  <c r="Q418" i="48" s="1"/>
  <c r="C409" i="48"/>
  <c r="Q409" i="48" s="1"/>
  <c r="C401" i="48"/>
  <c r="Q401" i="48" s="1"/>
  <c r="P396" i="48"/>
  <c r="P387" i="48"/>
  <c r="P584" i="48"/>
  <c r="C565" i="48"/>
  <c r="Q565" i="48" s="1"/>
  <c r="P554" i="48"/>
  <c r="C533" i="48"/>
  <c r="Q533" i="48" s="1"/>
  <c r="P493" i="48"/>
  <c r="C476" i="48"/>
  <c r="P466" i="48"/>
  <c r="P454" i="48"/>
  <c r="P446" i="48"/>
  <c r="C442" i="48"/>
  <c r="P437" i="48"/>
  <c r="C434" i="48"/>
  <c r="Q434" i="48" s="1"/>
  <c r="C426" i="48"/>
  <c r="Q426" i="48" s="1"/>
  <c r="P421" i="48"/>
  <c r="P405" i="48"/>
  <c r="P397" i="48"/>
  <c r="C393" i="48"/>
  <c r="Q393" i="48" s="1"/>
  <c r="P388" i="48"/>
  <c r="C385" i="48"/>
  <c r="Q385" i="48" s="1"/>
  <c r="C212" i="48"/>
  <c r="P208" i="48"/>
  <c r="C205" i="48"/>
  <c r="P201" i="48"/>
  <c r="C198" i="48"/>
  <c r="Q198" i="48" s="1"/>
  <c r="P194" i="48"/>
  <c r="P187" i="48"/>
  <c r="P180" i="48"/>
  <c r="P173" i="48"/>
  <c r="P166" i="48"/>
  <c r="P159" i="48"/>
  <c r="P152" i="48"/>
  <c r="P145" i="48"/>
  <c r="P138" i="48"/>
  <c r="P607" i="48"/>
  <c r="C520" i="48"/>
  <c r="Q520" i="48" s="1"/>
  <c r="P510" i="48"/>
  <c r="P496" i="48"/>
  <c r="P464" i="48"/>
  <c r="P457" i="48"/>
  <c r="P451" i="48"/>
  <c r="P409" i="48"/>
  <c r="C399" i="48"/>
  <c r="P378" i="48"/>
  <c r="C376" i="48"/>
  <c r="Q376" i="48" s="1"/>
  <c r="P368" i="48"/>
  <c r="P352" i="48"/>
  <c r="Q352" i="48" s="1"/>
  <c r="P336" i="48"/>
  <c r="P328" i="48"/>
  <c r="P319" i="48"/>
  <c r="P303" i="48"/>
  <c r="P287" i="48"/>
  <c r="P279" i="48"/>
  <c r="P270" i="48"/>
  <c r="C551" i="48"/>
  <c r="C522" i="48"/>
  <c r="P478" i="48"/>
  <c r="C473" i="48"/>
  <c r="Q473" i="48" s="1"/>
  <c r="C436" i="48"/>
  <c r="Q436" i="48" s="1"/>
  <c r="C632" i="48"/>
  <c r="Q632" i="48" s="1"/>
  <c r="P628" i="48"/>
  <c r="C597" i="48"/>
  <c r="Q597" i="48" s="1"/>
  <c r="C540" i="48"/>
  <c r="Q540" i="48" s="1"/>
  <c r="P484" i="48"/>
  <c r="P482" i="48"/>
  <c r="P471" i="48"/>
  <c r="P460" i="48"/>
  <c r="C454" i="48"/>
  <c r="C451" i="48"/>
  <c r="Q451" i="48" s="1"/>
  <c r="P440" i="48"/>
  <c r="C439" i="48"/>
  <c r="P431" i="48"/>
  <c r="C430" i="48"/>
  <c r="Q430" i="48" s="1"/>
  <c r="C421" i="48"/>
  <c r="C412" i="48"/>
  <c r="Q412" i="48" s="1"/>
  <c r="C397" i="48"/>
  <c r="C394" i="48"/>
  <c r="Q394" i="48" s="1"/>
  <c r="P389" i="48"/>
  <c r="C388" i="48"/>
  <c r="Q388" i="48" s="1"/>
  <c r="P383" i="48"/>
  <c r="C381" i="48"/>
  <c r="P379" i="48"/>
  <c r="P369" i="48"/>
  <c r="P361" i="48"/>
  <c r="P345" i="48"/>
  <c r="Q345" i="48" s="1"/>
  <c r="P329" i="48"/>
  <c r="P321" i="48"/>
  <c r="P312" i="48"/>
  <c r="P296" i="48"/>
  <c r="P280" i="48"/>
  <c r="P272" i="48"/>
  <c r="C578" i="48"/>
  <c r="Q578" i="48" s="1"/>
  <c r="P503" i="48"/>
  <c r="C498" i="48"/>
  <c r="C490" i="48"/>
  <c r="P474" i="48"/>
  <c r="C466" i="48"/>
  <c r="P449" i="48"/>
  <c r="P422" i="48"/>
  <c r="P419" i="48"/>
  <c r="P416" i="48"/>
  <c r="C415" i="48"/>
  <c r="Q415" i="48" s="1"/>
  <c r="P407" i="48"/>
  <c r="P398" i="48"/>
  <c r="C372" i="48"/>
  <c r="Q372" i="48" s="1"/>
  <c r="C366" i="48"/>
  <c r="Q366" i="48" s="1"/>
  <c r="P362" i="48"/>
  <c r="C358" i="48"/>
  <c r="C342" i="48"/>
  <c r="C334" i="48"/>
  <c r="C333" i="48"/>
  <c r="P330" i="48"/>
  <c r="C325" i="48"/>
  <c r="C317" i="48"/>
  <c r="P313" i="48"/>
  <c r="C309" i="48"/>
  <c r="C293" i="48"/>
  <c r="Q293" i="48" s="1"/>
  <c r="C285" i="48"/>
  <c r="C284" i="48"/>
  <c r="Q284" i="48" s="1"/>
  <c r="P281" i="48"/>
  <c r="C276" i="48"/>
  <c r="Q276" i="48" s="1"/>
  <c r="C268" i="48"/>
  <c r="P264" i="48"/>
  <c r="C260" i="48"/>
  <c r="C244" i="48"/>
  <c r="C236" i="48"/>
  <c r="Q236" i="48" s="1"/>
  <c r="C235" i="48"/>
  <c r="P232" i="48"/>
  <c r="C227" i="48"/>
  <c r="C219" i="48"/>
  <c r="Q219" i="48" s="1"/>
  <c r="P215" i="48"/>
  <c r="P75" i="48"/>
  <c r="P68" i="48"/>
  <c r="C538" i="48"/>
  <c r="C514" i="48"/>
  <c r="Q514" i="48" s="1"/>
  <c r="C467" i="48"/>
  <c r="C444" i="48"/>
  <c r="P430" i="48"/>
  <c r="C402" i="48"/>
  <c r="C387" i="48"/>
  <c r="P372" i="48"/>
  <c r="P355" i="48"/>
  <c r="P341" i="48"/>
  <c r="Q341" i="48" s="1"/>
  <c r="C339" i="48"/>
  <c r="Q339" i="48" s="1"/>
  <c r="P333" i="48"/>
  <c r="C321" i="48"/>
  <c r="Q321" i="48" s="1"/>
  <c r="P315" i="48"/>
  <c r="C310" i="48"/>
  <c r="P308" i="48"/>
  <c r="C303" i="48"/>
  <c r="P301" i="48"/>
  <c r="P286" i="48"/>
  <c r="C233" i="48"/>
  <c r="Q233" i="48" s="1"/>
  <c r="P219" i="48"/>
  <c r="P211" i="48"/>
  <c r="P167" i="48"/>
  <c r="P165" i="48"/>
  <c r="P164" i="48"/>
  <c r="P162" i="48"/>
  <c r="P121" i="48"/>
  <c r="P105" i="48"/>
  <c r="P88" i="48"/>
  <c r="P61" i="48"/>
  <c r="P54" i="48"/>
  <c r="P47" i="48"/>
  <c r="P40" i="48"/>
  <c r="P605" i="48"/>
  <c r="P540" i="48"/>
  <c r="P500" i="48"/>
  <c r="C478" i="48"/>
  <c r="Q478" i="48" s="1"/>
  <c r="C469" i="48"/>
  <c r="Q469" i="48" s="1"/>
  <c r="P447" i="48"/>
  <c r="C440" i="48"/>
  <c r="Q440" i="48" s="1"/>
  <c r="P390" i="48"/>
  <c r="P375" i="48"/>
  <c r="Q375" i="48" s="1"/>
  <c r="C368" i="48"/>
  <c r="C332" i="48"/>
  <c r="P326" i="48"/>
  <c r="P323" i="48"/>
  <c r="C300" i="48"/>
  <c r="Q300" i="48" s="1"/>
  <c r="C296" i="48"/>
  <c r="P294" i="48"/>
  <c r="C281" i="48"/>
  <c r="C278" i="48"/>
  <c r="C270" i="48"/>
  <c r="Q270" i="48" s="1"/>
  <c r="P259" i="48"/>
  <c r="C256" i="48"/>
  <c r="Q256" i="48" s="1"/>
  <c r="C251" i="48"/>
  <c r="Q251" i="48" s="1"/>
  <c r="C239" i="48"/>
  <c r="Q239" i="48" s="1"/>
  <c r="P236" i="48"/>
  <c r="C228" i="48"/>
  <c r="C223" i="48"/>
  <c r="P212" i="48"/>
  <c r="C576" i="48"/>
  <c r="P568" i="48"/>
  <c r="C544" i="48"/>
  <c r="P502" i="48"/>
  <c r="C493" i="48"/>
  <c r="Q493" i="48" s="1"/>
  <c r="C480" i="48"/>
  <c r="Q480" i="48" s="1"/>
  <c r="C464" i="48"/>
  <c r="Q464" i="48" s="1"/>
  <c r="P410" i="48"/>
  <c r="C383" i="48"/>
  <c r="Q383" i="48" s="1"/>
  <c r="C377" i="48"/>
  <c r="Q377" i="48" s="1"/>
  <c r="C374" i="48"/>
  <c r="P366" i="48"/>
  <c r="C361" i="48"/>
  <c r="C351" i="48"/>
  <c r="P349" i="48"/>
  <c r="C347" i="48"/>
  <c r="Q347" i="48" s="1"/>
  <c r="P298" i="48"/>
  <c r="C274" i="48"/>
  <c r="Q274" i="48" s="1"/>
  <c r="P268" i="48"/>
  <c r="C262" i="48"/>
  <c r="Q262" i="48" s="1"/>
  <c r="C257" i="48"/>
  <c r="Q257" i="48" s="1"/>
  <c r="P242" i="48"/>
  <c r="P231" i="48"/>
  <c r="C229" i="48"/>
  <c r="Q229" i="48" s="1"/>
  <c r="P214" i="48"/>
  <c r="C602" i="48"/>
  <c r="C583" i="48"/>
  <c r="C558" i="48"/>
  <c r="P531" i="48"/>
  <c r="C432" i="48"/>
  <c r="P426" i="48"/>
  <c r="P417" i="48"/>
  <c r="C407" i="48"/>
  <c r="C398" i="48"/>
  <c r="P370" i="48"/>
  <c r="C365" i="48"/>
  <c r="Q365" i="48" s="1"/>
  <c r="P363" i="48"/>
  <c r="P359" i="48"/>
  <c r="P356" i="48"/>
  <c r="C354" i="48"/>
  <c r="Q354" i="48" s="1"/>
  <c r="C344" i="48"/>
  <c r="C340" i="48"/>
  <c r="P338" i="48"/>
  <c r="P316" i="48"/>
  <c r="C314" i="48"/>
  <c r="C307" i="48"/>
  <c r="P305" i="48"/>
  <c r="C289" i="48"/>
  <c r="C271" i="48"/>
  <c r="Q271" i="48" s="1"/>
  <c r="C267" i="48"/>
  <c r="Q267" i="48" s="1"/>
  <c r="P265" i="48"/>
  <c r="P260" i="48"/>
  <c r="P254" i="48"/>
  <c r="C246" i="48"/>
  <c r="Q246" i="48" s="1"/>
  <c r="P243" i="48"/>
  <c r="C240" i="48"/>
  <c r="P237" i="48"/>
  <c r="C234" i="48"/>
  <c r="P226" i="48"/>
  <c r="C204" i="48"/>
  <c r="Q204" i="48" s="1"/>
  <c r="C203" i="48"/>
  <c r="Q203" i="48" s="1"/>
  <c r="C199" i="48"/>
  <c r="P175" i="48"/>
  <c r="P170" i="48"/>
  <c r="P133" i="48"/>
  <c r="P118" i="48"/>
  <c r="P117" i="48"/>
  <c r="P101" i="48"/>
  <c r="P85" i="48"/>
  <c r="P70" i="48"/>
  <c r="C577" i="48"/>
  <c r="Q577" i="48" s="1"/>
  <c r="C536" i="48"/>
  <c r="Q536" i="48" s="1"/>
  <c r="C501" i="48"/>
  <c r="C489" i="48"/>
  <c r="P450" i="48"/>
  <c r="C428" i="48"/>
  <c r="Q428" i="48" s="1"/>
  <c r="P414" i="48"/>
  <c r="C405" i="48"/>
  <c r="C391" i="48"/>
  <c r="C386" i="48"/>
  <c r="Q386" i="48" s="1"/>
  <c r="C370" i="48"/>
  <c r="P344" i="48"/>
  <c r="P335" i="48"/>
  <c r="C316" i="48"/>
  <c r="Q316" i="48" s="1"/>
  <c r="P299" i="48"/>
  <c r="P285" i="48"/>
  <c r="C261" i="48"/>
  <c r="P249" i="48"/>
  <c r="P246" i="48"/>
  <c r="P233" i="48"/>
  <c r="P230" i="48"/>
  <c r="P225" i="48"/>
  <c r="C221" i="48"/>
  <c r="Q221" i="48" s="1"/>
  <c r="C216" i="48"/>
  <c r="C209" i="48"/>
  <c r="Q209" i="48" s="1"/>
  <c r="P205" i="48"/>
  <c r="P199" i="48"/>
  <c r="C197" i="48"/>
  <c r="Q197" i="48" s="1"/>
  <c r="P185" i="48"/>
  <c r="P177" i="48"/>
  <c r="P171" i="48"/>
  <c r="P155" i="48"/>
  <c r="P141" i="48"/>
  <c r="P135" i="48"/>
  <c r="P130" i="48"/>
  <c r="P123" i="48"/>
  <c r="P122" i="48"/>
  <c r="P108" i="48"/>
  <c r="P94" i="48"/>
  <c r="P80" i="48"/>
  <c r="P62" i="48"/>
  <c r="P60" i="48"/>
  <c r="P58" i="48"/>
  <c r="P57" i="48"/>
  <c r="P56" i="48"/>
  <c r="P55" i="48"/>
  <c r="P53" i="48"/>
  <c r="P51" i="48"/>
  <c r="P50" i="48"/>
  <c r="P49" i="48"/>
  <c r="P48" i="48"/>
  <c r="P36" i="48"/>
  <c r="P124" i="48"/>
  <c r="P109" i="48"/>
  <c r="P96" i="48"/>
  <c r="P95" i="48"/>
  <c r="P81" i="48"/>
  <c r="P63" i="48"/>
  <c r="P28" i="48"/>
  <c r="P21" i="48"/>
  <c r="P46" i="48"/>
  <c r="P144" i="48"/>
  <c r="P126" i="48"/>
  <c r="P112" i="48"/>
  <c r="P98" i="48"/>
  <c r="P69" i="48"/>
  <c r="P320" i="48"/>
  <c r="C211" i="48"/>
  <c r="P160" i="48"/>
  <c r="P33" i="48"/>
  <c r="P26" i="48"/>
  <c r="P541" i="48"/>
  <c r="P530" i="48"/>
  <c r="P499" i="48"/>
  <c r="C404" i="48"/>
  <c r="Q404" i="48" s="1"/>
  <c r="C379" i="48"/>
  <c r="Q379" i="48" s="1"/>
  <c r="P343" i="48"/>
  <c r="P309" i="48"/>
  <c r="P300" i="48"/>
  <c r="C297" i="48"/>
  <c r="P291" i="48"/>
  <c r="C290" i="48"/>
  <c r="C279" i="48"/>
  <c r="Q279" i="48" s="1"/>
  <c r="P266" i="48"/>
  <c r="C206" i="48"/>
  <c r="Q206" i="48" s="1"/>
  <c r="P195" i="48"/>
  <c r="C518" i="48"/>
  <c r="Q518" i="48" s="1"/>
  <c r="C477" i="48"/>
  <c r="C455" i="48"/>
  <c r="Q455" i="48" s="1"/>
  <c r="P351" i="48"/>
  <c r="P324" i="48"/>
  <c r="Q324" i="48" s="1"/>
  <c r="C323" i="48"/>
  <c r="Q323" i="48" s="1"/>
  <c r="P310" i="48"/>
  <c r="P288" i="48"/>
  <c r="C248" i="48"/>
  <c r="C232" i="48"/>
  <c r="P206" i="48"/>
  <c r="P192" i="48"/>
  <c r="P191" i="48"/>
  <c r="P178" i="48"/>
  <c r="P149" i="48"/>
  <c r="P35" i="48"/>
  <c r="P619" i="48"/>
  <c r="C605" i="48"/>
  <c r="P596" i="48"/>
  <c r="P563" i="48"/>
  <c r="P546" i="48"/>
  <c r="C528" i="48"/>
  <c r="C524" i="48"/>
  <c r="C510" i="48"/>
  <c r="C435" i="48"/>
  <c r="P425" i="48"/>
  <c r="P423" i="48"/>
  <c r="P400" i="48"/>
  <c r="C395" i="48"/>
  <c r="Q395" i="48" s="1"/>
  <c r="P377" i="48"/>
  <c r="P373" i="48"/>
  <c r="P371" i="48"/>
  <c r="C337" i="48"/>
  <c r="P331" i="48"/>
  <c r="C330" i="48"/>
  <c r="Q330" i="48" s="1"/>
  <c r="P317" i="48"/>
  <c r="P306" i="48"/>
  <c r="C305" i="48"/>
  <c r="Q305" i="48" s="1"/>
  <c r="P257" i="48"/>
  <c r="P244" i="48"/>
  <c r="C243" i="48"/>
  <c r="Q243" i="48" s="1"/>
  <c r="C210" i="48"/>
  <c r="Q210" i="48" s="1"/>
  <c r="P200" i="48"/>
  <c r="Q200" i="48" s="1"/>
  <c r="P193" i="48"/>
  <c r="P186" i="48"/>
  <c r="P172" i="48"/>
  <c r="P157" i="48"/>
  <c r="P156" i="48"/>
  <c r="P150" i="48"/>
  <c r="P136" i="48"/>
  <c r="P110" i="48"/>
  <c r="P82" i="48"/>
  <c r="P66" i="48"/>
  <c r="P64" i="48"/>
  <c r="C637" i="48"/>
  <c r="Q637" i="48" s="1"/>
  <c r="P488" i="48"/>
  <c r="C486" i="48"/>
  <c r="P479" i="48"/>
  <c r="P442" i="48"/>
  <c r="P439" i="48"/>
  <c r="C437" i="48"/>
  <c r="Q437" i="48" s="1"/>
  <c r="P432" i="48"/>
  <c r="C414" i="48"/>
  <c r="P358" i="48"/>
  <c r="C355" i="48"/>
  <c r="P347" i="48"/>
  <c r="C346" i="48"/>
  <c r="P340" i="48"/>
  <c r="C328" i="48"/>
  <c r="C312" i="48"/>
  <c r="P295" i="48"/>
  <c r="C269" i="48"/>
  <c r="P252" i="48"/>
  <c r="P239" i="48"/>
  <c r="C230" i="48"/>
  <c r="Q230" i="48" s="1"/>
  <c r="P228" i="48"/>
  <c r="P223" i="48"/>
  <c r="P207" i="48"/>
  <c r="P179" i="48"/>
  <c r="P158" i="48"/>
  <c r="P143" i="48"/>
  <c r="P142" i="48"/>
  <c r="P131" i="48"/>
  <c r="P125" i="48"/>
  <c r="P97" i="48"/>
  <c r="P83" i="48"/>
  <c r="P67" i="48"/>
  <c r="P65" i="48"/>
  <c r="P45" i="48"/>
  <c r="P34" i="48"/>
  <c r="P27" i="48"/>
  <c r="P20" i="48"/>
  <c r="C17" i="48"/>
  <c r="Q17" i="48" s="1"/>
  <c r="C513" i="48"/>
  <c r="Q513" i="48" s="1"/>
  <c r="P497" i="48"/>
  <c r="P494" i="48"/>
  <c r="P481" i="48"/>
  <c r="P470" i="48"/>
  <c r="C447" i="48"/>
  <c r="C423" i="48"/>
  <c r="P402" i="48"/>
  <c r="C362" i="48"/>
  <c r="C326" i="48"/>
  <c r="Q326" i="48" s="1"/>
  <c r="P322" i="48"/>
  <c r="C319" i="48"/>
  <c r="P302" i="48"/>
  <c r="C292" i="48"/>
  <c r="Q292" i="48" s="1"/>
  <c r="C283" i="48"/>
  <c r="Q283" i="48" s="1"/>
  <c r="C254" i="48"/>
  <c r="Q254" i="48" s="1"/>
  <c r="C222" i="48"/>
  <c r="P151" i="48"/>
  <c r="P137" i="48"/>
  <c r="P111" i="48"/>
  <c r="P99" i="48"/>
  <c r="P84" i="48"/>
  <c r="P608" i="48"/>
  <c r="P591" i="48"/>
  <c r="C509" i="48"/>
  <c r="Q509" i="48" s="1"/>
  <c r="P485" i="48"/>
  <c r="P429" i="48"/>
  <c r="P418" i="48"/>
  <c r="P411" i="48"/>
  <c r="C390" i="48"/>
  <c r="C369" i="48"/>
  <c r="Q369" i="48" s="1"/>
  <c r="P365" i="48"/>
  <c r="C353" i="48"/>
  <c r="Q353" i="48" s="1"/>
  <c r="C349" i="48"/>
  <c r="Q349" i="48" s="1"/>
  <c r="C335" i="48"/>
  <c r="P277" i="48"/>
  <c r="P250" i="48"/>
  <c r="C225" i="48"/>
  <c r="Q225" i="48" s="1"/>
  <c r="P218" i="48"/>
  <c r="P181" i="48"/>
  <c r="P113" i="48"/>
  <c r="P100" i="48"/>
  <c r="P44" i="48"/>
  <c r="P19" i="48"/>
  <c r="C640" i="48"/>
  <c r="Q640" i="48" s="1"/>
  <c r="P327" i="48"/>
  <c r="Q327" i="48" s="1"/>
  <c r="C299" i="48"/>
  <c r="P293" i="48"/>
  <c r="C272" i="48"/>
  <c r="C265" i="48"/>
  <c r="P263" i="48"/>
  <c r="P247" i="48"/>
  <c r="C241" i="48"/>
  <c r="P202" i="48"/>
  <c r="Q202" i="48" s="1"/>
  <c r="P549" i="48"/>
  <c r="C367" i="48"/>
  <c r="P314" i="48"/>
  <c r="P235" i="48"/>
  <c r="C213" i="48"/>
  <c r="Q213" i="48" s="1"/>
  <c r="P189" i="48"/>
  <c r="P148" i="48"/>
  <c r="P146" i="48"/>
  <c r="P107" i="48"/>
  <c r="P77" i="48"/>
  <c r="P32" i="48"/>
  <c r="P25" i="48"/>
  <c r="P18" i="48"/>
  <c r="P115" i="48"/>
  <c r="P59" i="48"/>
  <c r="P90" i="48"/>
  <c r="P42" i="48"/>
  <c r="C470" i="48"/>
  <c r="Q470" i="48" s="1"/>
  <c r="C413" i="48"/>
  <c r="Q413" i="48" s="1"/>
  <c r="C382" i="48"/>
  <c r="Q382" i="48" s="1"/>
  <c r="C427" i="48"/>
  <c r="Q427" i="48" s="1"/>
  <c r="C331" i="48"/>
  <c r="C288" i="48"/>
  <c r="Q288" i="48" s="1"/>
  <c r="P282" i="48"/>
  <c r="C277" i="48"/>
  <c r="P271" i="48"/>
  <c r="C263" i="48"/>
  <c r="Q263" i="48" s="1"/>
  <c r="C253" i="48"/>
  <c r="P222" i="48"/>
  <c r="C220" i="48"/>
  <c r="P217" i="48"/>
  <c r="C201" i="48"/>
  <c r="Q201" i="48" s="1"/>
  <c r="P153" i="48"/>
  <c r="C599" i="48"/>
  <c r="P505" i="48"/>
  <c r="C448" i="48"/>
  <c r="P433" i="48"/>
  <c r="C420" i="48"/>
  <c r="Q420" i="48" s="1"/>
  <c r="C302" i="48"/>
  <c r="C250" i="48"/>
  <c r="C620" i="48"/>
  <c r="Q620" i="48" s="1"/>
  <c r="C574" i="48"/>
  <c r="Q574" i="48" s="1"/>
  <c r="P529" i="48"/>
  <c r="P489" i="48"/>
  <c r="C406" i="48"/>
  <c r="C311" i="48"/>
  <c r="Q311" i="48" s="1"/>
  <c r="C291" i="48"/>
  <c r="P273" i="48"/>
  <c r="C258" i="48"/>
  <c r="P169" i="48"/>
  <c r="P357" i="48"/>
  <c r="C492" i="48"/>
  <c r="Q492" i="48" s="1"/>
  <c r="P472" i="48"/>
  <c r="C318" i="48"/>
  <c r="C295" i="48"/>
  <c r="Q295" i="48" s="1"/>
  <c r="P278" i="48"/>
  <c r="P261" i="48"/>
  <c r="P209" i="48"/>
  <c r="P168" i="48"/>
  <c r="C639" i="48"/>
  <c r="C586" i="48"/>
  <c r="Q586" i="48" s="1"/>
  <c r="P536" i="48"/>
  <c r="C484" i="48"/>
  <c r="C453" i="48"/>
  <c r="C446" i="48"/>
  <c r="Q446" i="48" s="1"/>
  <c r="P438" i="48"/>
  <c r="P435" i="48"/>
  <c r="P424" i="48"/>
  <c r="C411" i="48"/>
  <c r="Q411" i="48" s="1"/>
  <c r="C359" i="48"/>
  <c r="P350" i="48"/>
  <c r="C348" i="48"/>
  <c r="Q348" i="48" s="1"/>
  <c r="P342" i="48"/>
  <c r="P337" i="48"/>
  <c r="P602" i="48"/>
  <c r="C286" i="48"/>
  <c r="Q286" i="48" s="1"/>
  <c r="C275" i="48"/>
  <c r="Q275" i="48" s="1"/>
  <c r="C249" i="48"/>
  <c r="Q249" i="48" s="1"/>
  <c r="P245" i="48"/>
  <c r="P43" i="48"/>
  <c r="P38" i="48"/>
  <c r="P31" i="48"/>
  <c r="C556" i="48"/>
  <c r="Q556" i="48" s="1"/>
  <c r="C422" i="48"/>
  <c r="Q422" i="48" s="1"/>
  <c r="P391" i="48"/>
  <c r="P364" i="48"/>
  <c r="P258" i="48"/>
  <c r="P240" i="48"/>
  <c r="P161" i="48"/>
  <c r="P518" i="48"/>
  <c r="P408" i="48"/>
  <c r="P307" i="48"/>
  <c r="C304" i="48"/>
  <c r="Q304" i="48" s="1"/>
  <c r="P289" i="48"/>
  <c r="C282" i="48"/>
  <c r="Q282" i="48" s="1"/>
  <c r="P182" i="48"/>
  <c r="P103" i="48"/>
  <c r="P93" i="48"/>
  <c r="C496" i="48"/>
  <c r="Q496" i="48" s="1"/>
  <c r="C458" i="48"/>
  <c r="P401" i="48"/>
  <c r="C363" i="48"/>
  <c r="C320" i="48"/>
  <c r="Q320" i="48" s="1"/>
  <c r="C313" i="48"/>
  <c r="Q313" i="48" s="1"/>
  <c r="C306" i="48"/>
  <c r="Q306" i="48" s="1"/>
  <c r="C247" i="48"/>
  <c r="Q247" i="48" s="1"/>
  <c r="C242" i="48"/>
  <c r="P190" i="48"/>
  <c r="P134" i="48"/>
  <c r="C419" i="48"/>
  <c r="P384" i="48"/>
  <c r="C373" i="48"/>
  <c r="Q373" i="48" s="1"/>
  <c r="P256" i="48"/>
  <c r="P253" i="48"/>
  <c r="P176" i="48"/>
  <c r="P116" i="48"/>
  <c r="P92" i="48"/>
  <c r="P380" i="48"/>
  <c r="P354" i="48"/>
  <c r="P238" i="48"/>
  <c r="C207" i="48"/>
  <c r="Q207" i="48" s="1"/>
  <c r="P197" i="48"/>
  <c r="P183" i="48"/>
  <c r="P140" i="48"/>
  <c r="P129" i="48"/>
  <c r="P128" i="48"/>
  <c r="C215" i="48"/>
  <c r="P376" i="48"/>
  <c r="P616" i="48"/>
  <c r="P74" i="48"/>
  <c r="P163" i="48"/>
  <c r="C226" i="48"/>
  <c r="Q226" i="48" s="1"/>
  <c r="P334" i="48"/>
  <c r="C360" i="48"/>
  <c r="Q360" i="48" s="1"/>
  <c r="P629" i="48"/>
  <c r="Q218" i="48"/>
  <c r="Q634" i="48"/>
  <c r="P41" i="48"/>
  <c r="P72" i="48"/>
  <c r="P91" i="48"/>
  <c r="P104" i="48"/>
  <c r="P114" i="48"/>
  <c r="P174" i="48"/>
  <c r="P188" i="48"/>
  <c r="U212" i="48"/>
  <c r="C356" i="48"/>
  <c r="Q356" i="48" s="1"/>
  <c r="U466" i="48"/>
  <c r="C481" i="48"/>
  <c r="C507" i="48"/>
  <c r="Q507" i="48" s="1"/>
  <c r="I139" i="48"/>
  <c r="J139" i="48"/>
  <c r="U309" i="48"/>
  <c r="T196" i="48"/>
  <c r="U216" i="48"/>
  <c r="U237" i="48"/>
  <c r="D17" i="48"/>
  <c r="J17" i="48"/>
  <c r="I17" i="48"/>
  <c r="U323" i="48"/>
  <c r="U487" i="48"/>
  <c r="U221" i="48"/>
  <c r="U356" i="48"/>
  <c r="U374" i="48"/>
  <c r="U137" i="48"/>
  <c r="U245" i="48"/>
  <c r="U197" i="48"/>
  <c r="U399" i="48"/>
  <c r="U544" i="48"/>
  <c r="U620" i="48"/>
  <c r="U305" i="48"/>
  <c r="U372" i="48"/>
  <c r="U339" i="48"/>
  <c r="U579" i="48"/>
  <c r="U595" i="48"/>
  <c r="U244" i="48"/>
  <c r="U260" i="48"/>
  <c r="U546" i="48"/>
  <c r="T41" i="48"/>
  <c r="T71" i="48"/>
  <c r="T87" i="48"/>
  <c r="U249" i="48"/>
  <c r="I375" i="48"/>
  <c r="T385" i="48"/>
  <c r="T392" i="48"/>
  <c r="I404" i="48"/>
  <c r="I416" i="48"/>
  <c r="U416" i="48" s="1"/>
  <c r="T420" i="48"/>
  <c r="U420" i="48" s="1"/>
  <c r="I425" i="48"/>
  <c r="T427" i="48"/>
  <c r="T456" i="48"/>
  <c r="T523" i="48"/>
  <c r="T639" i="48"/>
  <c r="I636" i="48"/>
  <c r="T632" i="48"/>
  <c r="I629" i="48"/>
  <c r="U629" i="48" s="1"/>
  <c r="T625" i="48"/>
  <c r="I622" i="48"/>
  <c r="T618" i="48"/>
  <c r="I615" i="48"/>
  <c r="U615" i="48" s="1"/>
  <c r="T611" i="48"/>
  <c r="I608" i="48"/>
  <c r="U608" i="48" s="1"/>
  <c r="T604" i="48"/>
  <c r="I601" i="48"/>
  <c r="T597" i="48"/>
  <c r="I594" i="48"/>
  <c r="T590" i="48"/>
  <c r="I587" i="48"/>
  <c r="T583" i="48"/>
  <c r="I580" i="48"/>
  <c r="T576" i="48"/>
  <c r="I573" i="48"/>
  <c r="U573" i="48" s="1"/>
  <c r="T569" i="48"/>
  <c r="I566" i="48"/>
  <c r="U566" i="48" s="1"/>
  <c r="T562" i="48"/>
  <c r="I559" i="48"/>
  <c r="U559" i="48" s="1"/>
  <c r="T555" i="48"/>
  <c r="I552" i="48"/>
  <c r="U552" i="48" s="1"/>
  <c r="T548" i="48"/>
  <c r="I545" i="48"/>
  <c r="I640" i="48"/>
  <c r="I639" i="48"/>
  <c r="U639" i="48" s="1"/>
  <c r="T633" i="48"/>
  <c r="I627" i="48"/>
  <c r="U627" i="48" s="1"/>
  <c r="T608" i="48"/>
  <c r="I603" i="48"/>
  <c r="U603" i="48" s="1"/>
  <c r="T596" i="48"/>
  <c r="I590" i="48"/>
  <c r="U590" i="48" s="1"/>
  <c r="T584" i="48"/>
  <c r="I578" i="48"/>
  <c r="T559" i="48"/>
  <c r="I554" i="48"/>
  <c r="T547" i="48"/>
  <c r="I626" i="48"/>
  <c r="U626" i="48" s="1"/>
  <c r="T620" i="48"/>
  <c r="I614" i="48"/>
  <c r="U614" i="48" s="1"/>
  <c r="I638" i="48"/>
  <c r="U638" i="48" s="1"/>
  <c r="T631" i="48"/>
  <c r="I625" i="48"/>
  <c r="U625" i="48" s="1"/>
  <c r="T619" i="48"/>
  <c r="I613" i="48"/>
  <c r="U613" i="48" s="1"/>
  <c r="T594" i="48"/>
  <c r="I589" i="48"/>
  <c r="U589" i="48" s="1"/>
  <c r="T582" i="48"/>
  <c r="I576" i="48"/>
  <c r="T570" i="48"/>
  <c r="I564" i="48"/>
  <c r="I637" i="48"/>
  <c r="T623" i="48"/>
  <c r="I612" i="48"/>
  <c r="I611" i="48"/>
  <c r="I610" i="48"/>
  <c r="U610" i="48" s="1"/>
  <c r="T602" i="48"/>
  <c r="I592" i="48"/>
  <c r="U592" i="48" s="1"/>
  <c r="T561" i="48"/>
  <c r="I553" i="48"/>
  <c r="T640" i="48"/>
  <c r="I628" i="48"/>
  <c r="T624" i="48"/>
  <c r="I621" i="48"/>
  <c r="T616" i="48"/>
  <c r="T603" i="48"/>
  <c r="I593" i="48"/>
  <c r="U593" i="48" s="1"/>
  <c r="I574" i="48"/>
  <c r="U574" i="48" s="1"/>
  <c r="T565" i="48"/>
  <c r="T564" i="48"/>
  <c r="T563" i="48"/>
  <c r="I555" i="48"/>
  <c r="U555" i="48" s="1"/>
  <c r="I551" i="48"/>
  <c r="U551" i="48" s="1"/>
  <c r="I550" i="48"/>
  <c r="U550" i="48" s="1"/>
  <c r="I549" i="48"/>
  <c r="U549" i="48" s="1"/>
  <c r="I548" i="48"/>
  <c r="U548" i="48" s="1"/>
  <c r="T537" i="48"/>
  <c r="T634" i="48"/>
  <c r="I633" i="48"/>
  <c r="T627" i="48"/>
  <c r="T613" i="48"/>
  <c r="T609" i="48"/>
  <c r="T605" i="48"/>
  <c r="T577" i="48"/>
  <c r="I556" i="48"/>
  <c r="U556" i="48" s="1"/>
  <c r="I527" i="48"/>
  <c r="U527" i="48" s="1"/>
  <c r="T519" i="48"/>
  <c r="I511" i="48"/>
  <c r="U511" i="48" s="1"/>
  <c r="T502" i="48"/>
  <c r="I495" i="48"/>
  <c r="I619" i="48"/>
  <c r="T617" i="48"/>
  <c r="T606" i="48"/>
  <c r="T601" i="48"/>
  <c r="I600" i="48"/>
  <c r="I588" i="48"/>
  <c r="I581" i="48"/>
  <c r="I569" i="48"/>
  <c r="T544" i="48"/>
  <c r="T538" i="48"/>
  <c r="T535" i="48"/>
  <c r="T534" i="48"/>
  <c r="T533" i="48"/>
  <c r="I525" i="48"/>
  <c r="I635" i="48"/>
  <c r="I632" i="48"/>
  <c r="T615" i="48"/>
  <c r="I606" i="48"/>
  <c r="U606" i="48" s="1"/>
  <c r="T593" i="48"/>
  <c r="I584" i="48"/>
  <c r="T557" i="48"/>
  <c r="I631" i="48"/>
  <c r="U631" i="48" s="1"/>
  <c r="T622" i="48"/>
  <c r="T612" i="48"/>
  <c r="I591" i="48"/>
  <c r="U591" i="48" s="1"/>
  <c r="I585" i="48"/>
  <c r="U585" i="48" s="1"/>
  <c r="I582" i="48"/>
  <c r="U582" i="48" s="1"/>
  <c r="I565" i="48"/>
  <c r="I562" i="48"/>
  <c r="T546" i="48"/>
  <c r="I533" i="48"/>
  <c r="T525" i="48"/>
  <c r="T573" i="48"/>
  <c r="I572" i="48"/>
  <c r="T567" i="48"/>
  <c r="T554" i="48"/>
  <c r="T550" i="48"/>
  <c r="T539" i="48"/>
  <c r="U539" i="48" s="1"/>
  <c r="I534" i="48"/>
  <c r="T526" i="48"/>
  <c r="U526" i="48" s="1"/>
  <c r="T486" i="48"/>
  <c r="I478" i="48"/>
  <c r="U478" i="48" s="1"/>
  <c r="T473" i="48"/>
  <c r="I470" i="48"/>
  <c r="T466" i="48"/>
  <c r="I463" i="48"/>
  <c r="T459" i="48"/>
  <c r="T637" i="48"/>
  <c r="I634" i="48"/>
  <c r="U634" i="48" s="1"/>
  <c r="T610" i="48"/>
  <c r="T587" i="48"/>
  <c r="T540" i="48"/>
  <c r="I536" i="48"/>
  <c r="U536" i="48" s="1"/>
  <c r="T528" i="48"/>
  <c r="I521" i="48"/>
  <c r="U521" i="48" s="1"/>
  <c r="I520" i="48"/>
  <c r="U520" i="48" s="1"/>
  <c r="I519" i="48"/>
  <c r="I518" i="48"/>
  <c r="I510" i="48"/>
  <c r="I507" i="48"/>
  <c r="U507" i="48" s="1"/>
  <c r="I506" i="48"/>
  <c r="I505" i="48"/>
  <c r="I504" i="48"/>
  <c r="U504" i="48" s="1"/>
  <c r="I503" i="48"/>
  <c r="I502" i="48"/>
  <c r="I501" i="48"/>
  <c r="U501" i="48" s="1"/>
  <c r="I617" i="48"/>
  <c r="U617" i="48" s="1"/>
  <c r="T571" i="48"/>
  <c r="U571" i="48" s="1"/>
  <c r="I531" i="48"/>
  <c r="U531" i="48" s="1"/>
  <c r="T529" i="48"/>
  <c r="I523" i="48"/>
  <c r="U523" i="48" s="1"/>
  <c r="T520" i="48"/>
  <c r="I512" i="48"/>
  <c r="T508" i="48"/>
  <c r="I471" i="48"/>
  <c r="U471" i="48" s="1"/>
  <c r="T464" i="48"/>
  <c r="I609" i="48"/>
  <c r="U609" i="48" s="1"/>
  <c r="I607" i="48"/>
  <c r="U607" i="48" s="1"/>
  <c r="T581" i="48"/>
  <c r="I575" i="48"/>
  <c r="U575" i="48" s="1"/>
  <c r="I561" i="48"/>
  <c r="U561" i="48" s="1"/>
  <c r="T541" i="48"/>
  <c r="T514" i="48"/>
  <c r="T509" i="48"/>
  <c r="T638" i="48"/>
  <c r="T614" i="48"/>
  <c r="T599" i="48"/>
  <c r="I596" i="48"/>
  <c r="T592" i="48"/>
  <c r="T588" i="48"/>
  <c r="I568" i="48"/>
  <c r="I543" i="48"/>
  <c r="U543" i="48" s="1"/>
  <c r="I540" i="48"/>
  <c r="I524" i="48"/>
  <c r="U524" i="48" s="1"/>
  <c r="T499" i="48"/>
  <c r="T498" i="48"/>
  <c r="T497" i="48"/>
  <c r="U497" i="48" s="1"/>
  <c r="T492" i="48"/>
  <c r="T489" i="48"/>
  <c r="T488" i="48"/>
  <c r="T487" i="48"/>
  <c r="T484" i="48"/>
  <c r="U484" i="48" s="1"/>
  <c r="T483" i="48"/>
  <c r="T475" i="48"/>
  <c r="I469" i="48"/>
  <c r="U469" i="48" s="1"/>
  <c r="T462" i="48"/>
  <c r="T636" i="48"/>
  <c r="T630" i="48"/>
  <c r="I605" i="48"/>
  <c r="U605" i="48" s="1"/>
  <c r="I583" i="48"/>
  <c r="U583" i="48" s="1"/>
  <c r="I532" i="48"/>
  <c r="U532" i="48" s="1"/>
  <c r="T521" i="48"/>
  <c r="T515" i="48"/>
  <c r="I513" i="48"/>
  <c r="T510" i="48"/>
  <c r="T501" i="48"/>
  <c r="T500" i="48"/>
  <c r="T491" i="48"/>
  <c r="T490" i="48"/>
  <c r="T474" i="48"/>
  <c r="I468" i="48"/>
  <c r="U468" i="48" s="1"/>
  <c r="I457" i="48"/>
  <c r="U457" i="48" s="1"/>
  <c r="T453" i="48"/>
  <c r="I450" i="48"/>
  <c r="U450" i="48" s="1"/>
  <c r="T446" i="48"/>
  <c r="U446" i="48" s="1"/>
  <c r="I443" i="48"/>
  <c r="T439" i="48"/>
  <c r="I436" i="48"/>
  <c r="U436" i="48" s="1"/>
  <c r="T432" i="48"/>
  <c r="I429" i="48"/>
  <c r="T425" i="48"/>
  <c r="I422" i="48"/>
  <c r="U422" i="48" s="1"/>
  <c r="T418" i="48"/>
  <c r="I415" i="48"/>
  <c r="U415" i="48" s="1"/>
  <c r="T411" i="48"/>
  <c r="I408" i="48"/>
  <c r="U408" i="48" s="1"/>
  <c r="T404" i="48"/>
  <c r="I401" i="48"/>
  <c r="T397" i="48"/>
  <c r="I394" i="48"/>
  <c r="U394" i="48" s="1"/>
  <c r="T390" i="48"/>
  <c r="I387" i="48"/>
  <c r="U387" i="48" s="1"/>
  <c r="T383" i="48"/>
  <c r="I624" i="48"/>
  <c r="U624" i="48" s="1"/>
  <c r="I616" i="48"/>
  <c r="U616" i="48" s="1"/>
  <c r="T572" i="48"/>
  <c r="T532" i="48"/>
  <c r="T527" i="48"/>
  <c r="I516" i="48"/>
  <c r="I490" i="48"/>
  <c r="U490" i="48" s="1"/>
  <c r="T467" i="48"/>
  <c r="U467" i="48" s="1"/>
  <c r="T379" i="48"/>
  <c r="I376" i="48"/>
  <c r="U376" i="48" s="1"/>
  <c r="T372" i="48"/>
  <c r="I369" i="48"/>
  <c r="T365" i="48"/>
  <c r="I362" i="48"/>
  <c r="T358" i="48"/>
  <c r="I355" i="48"/>
  <c r="U355" i="48" s="1"/>
  <c r="T351" i="48"/>
  <c r="I348" i="48"/>
  <c r="U348" i="48" s="1"/>
  <c r="T344" i="48"/>
  <c r="I341" i="48"/>
  <c r="U341" i="48" s="1"/>
  <c r="T337" i="48"/>
  <c r="I334" i="48"/>
  <c r="U334" i="48" s="1"/>
  <c r="T330" i="48"/>
  <c r="U330" i="48" s="1"/>
  <c r="I327" i="48"/>
  <c r="U327" i="48" s="1"/>
  <c r="T323" i="48"/>
  <c r="I320" i="48"/>
  <c r="T316" i="48"/>
  <c r="U316" i="48" s="1"/>
  <c r="I313" i="48"/>
  <c r="T309" i="48"/>
  <c r="I306" i="48"/>
  <c r="T302" i="48"/>
  <c r="U302" i="48" s="1"/>
  <c r="I299" i="48"/>
  <c r="T295" i="48"/>
  <c r="I292" i="48"/>
  <c r="U292" i="48" s="1"/>
  <c r="T288" i="48"/>
  <c r="I285" i="48"/>
  <c r="U285" i="48" s="1"/>
  <c r="T281" i="48"/>
  <c r="I278" i="48"/>
  <c r="U278" i="48" s="1"/>
  <c r="T274" i="48"/>
  <c r="I271" i="48"/>
  <c r="U271" i="48" s="1"/>
  <c r="T267" i="48"/>
  <c r="I264" i="48"/>
  <c r="T260" i="48"/>
  <c r="I257" i="48"/>
  <c r="U257" i="48" s="1"/>
  <c r="T253" i="48"/>
  <c r="I250" i="48"/>
  <c r="T246" i="48"/>
  <c r="I243" i="48"/>
  <c r="U243" i="48" s="1"/>
  <c r="T239" i="48"/>
  <c r="U239" i="48" s="1"/>
  <c r="I236" i="48"/>
  <c r="U236" i="48" s="1"/>
  <c r="T232" i="48"/>
  <c r="U232" i="48" s="1"/>
  <c r="I229" i="48"/>
  <c r="U229" i="48" s="1"/>
  <c r="T225" i="48"/>
  <c r="I222" i="48"/>
  <c r="U222" i="48" s="1"/>
  <c r="T218" i="48"/>
  <c r="I215" i="48"/>
  <c r="I599" i="48"/>
  <c r="U599" i="48" s="1"/>
  <c r="T585" i="48"/>
  <c r="I541" i="48"/>
  <c r="T530" i="48"/>
  <c r="I529" i="48"/>
  <c r="U529" i="48" s="1"/>
  <c r="I514" i="48"/>
  <c r="T493" i="48"/>
  <c r="U493" i="48" s="1"/>
  <c r="I485" i="48"/>
  <c r="U485" i="48" s="1"/>
  <c r="T481" i="48"/>
  <c r="U481" i="48" s="1"/>
  <c r="I473" i="48"/>
  <c r="U473" i="48" s="1"/>
  <c r="I472" i="48"/>
  <c r="U472" i="48" s="1"/>
  <c r="T469" i="48"/>
  <c r="T468" i="48"/>
  <c r="I570" i="48"/>
  <c r="T512" i="48"/>
  <c r="I509" i="48"/>
  <c r="U509" i="48" s="1"/>
  <c r="I496" i="48"/>
  <c r="U496" i="48" s="1"/>
  <c r="I491" i="48"/>
  <c r="U491" i="48" s="1"/>
  <c r="I474" i="48"/>
  <c r="U474" i="48" s="1"/>
  <c r="I465" i="48"/>
  <c r="U465" i="48" s="1"/>
  <c r="T460" i="48"/>
  <c r="I456" i="48"/>
  <c r="U456" i="48" s="1"/>
  <c r="I630" i="48"/>
  <c r="U630" i="48" s="1"/>
  <c r="T621" i="48"/>
  <c r="I517" i="48"/>
  <c r="T513" i="48"/>
  <c r="T507" i="48"/>
  <c r="T480" i="48"/>
  <c r="I479" i="48"/>
  <c r="U479" i="48" s="1"/>
  <c r="T470" i="48"/>
  <c r="I442" i="48"/>
  <c r="U442" i="48" s="1"/>
  <c r="T438" i="48"/>
  <c r="U438" i="48" s="1"/>
  <c r="I434" i="48"/>
  <c r="U434" i="48" s="1"/>
  <c r="T429" i="48"/>
  <c r="I426" i="48"/>
  <c r="U426" i="48" s="1"/>
  <c r="T421" i="48"/>
  <c r="I418" i="48"/>
  <c r="U418" i="48" s="1"/>
  <c r="I417" i="48"/>
  <c r="U417" i="48" s="1"/>
  <c r="I409" i="48"/>
  <c r="U409" i="48" s="1"/>
  <c r="T405" i="48"/>
  <c r="I393" i="48"/>
  <c r="U393" i="48" s="1"/>
  <c r="T389" i="48"/>
  <c r="U389" i="48" s="1"/>
  <c r="I385" i="48"/>
  <c r="T130" i="48"/>
  <c r="I557" i="48"/>
  <c r="U557" i="48" s="1"/>
  <c r="I489" i="48"/>
  <c r="U489" i="48" s="1"/>
  <c r="I482" i="48"/>
  <c r="U482" i="48" s="1"/>
  <c r="I461" i="48"/>
  <c r="U461" i="48" s="1"/>
  <c r="T454" i="48"/>
  <c r="U454" i="48" s="1"/>
  <c r="T430" i="48"/>
  <c r="T413" i="48"/>
  <c r="T635" i="48"/>
  <c r="T598" i="48"/>
  <c r="T579" i="48"/>
  <c r="T522" i="48"/>
  <c r="I492" i="48"/>
  <c r="U492" i="48" s="1"/>
  <c r="I486" i="48"/>
  <c r="T463" i="48"/>
  <c r="I458" i="48"/>
  <c r="U458" i="48" s="1"/>
  <c r="I451" i="48"/>
  <c r="U451" i="48" s="1"/>
  <c r="T447" i="48"/>
  <c r="I435" i="48"/>
  <c r="T431" i="48"/>
  <c r="U431" i="48" s="1"/>
  <c r="I427" i="48"/>
  <c r="U427" i="48" s="1"/>
  <c r="T422" i="48"/>
  <c r="I419" i="48"/>
  <c r="T414" i="48"/>
  <c r="I411" i="48"/>
  <c r="I410" i="48"/>
  <c r="I402" i="48"/>
  <c r="U402" i="48" s="1"/>
  <c r="T398" i="48"/>
  <c r="I386" i="48"/>
  <c r="U386" i="48" s="1"/>
  <c r="T382" i="48"/>
  <c r="T377" i="48"/>
  <c r="T376" i="48"/>
  <c r="T375" i="48"/>
  <c r="T370" i="48"/>
  <c r="U370" i="48" s="1"/>
  <c r="T369" i="48"/>
  <c r="T368" i="48"/>
  <c r="U368" i="48" s="1"/>
  <c r="I618" i="48"/>
  <c r="T595" i="48"/>
  <c r="I577" i="48"/>
  <c r="T551" i="48"/>
  <c r="T542" i="48"/>
  <c r="I535" i="48"/>
  <c r="T524" i="48"/>
  <c r="T518" i="48"/>
  <c r="I515" i="48"/>
  <c r="U515" i="48" s="1"/>
  <c r="I498" i="48"/>
  <c r="I477" i="48"/>
  <c r="T423" i="48"/>
  <c r="T406" i="48"/>
  <c r="U406" i="48" s="1"/>
  <c r="T381" i="48"/>
  <c r="T380" i="48"/>
  <c r="T378" i="48"/>
  <c r="U378" i="48" s="1"/>
  <c r="T374" i="48"/>
  <c r="T373" i="48"/>
  <c r="T371" i="48"/>
  <c r="U371" i="48" s="1"/>
  <c r="T367" i="48"/>
  <c r="U367" i="48" s="1"/>
  <c r="T366" i="48"/>
  <c r="T364" i="48"/>
  <c r="T360" i="48"/>
  <c r="T359" i="48"/>
  <c r="U359" i="48" s="1"/>
  <c r="T357" i="48"/>
  <c r="T353" i="48"/>
  <c r="T352" i="48"/>
  <c r="T350" i="48"/>
  <c r="T346" i="48"/>
  <c r="T345" i="48"/>
  <c r="U345" i="48" s="1"/>
  <c r="T343" i="48"/>
  <c r="T339" i="48"/>
  <c r="T338" i="48"/>
  <c r="U338" i="48" s="1"/>
  <c r="T336" i="48"/>
  <c r="U336" i="48" s="1"/>
  <c r="T332" i="48"/>
  <c r="U332" i="48" s="1"/>
  <c r="T331" i="48"/>
  <c r="U331" i="48" s="1"/>
  <c r="T329" i="48"/>
  <c r="T325" i="48"/>
  <c r="T324" i="48"/>
  <c r="U324" i="48" s="1"/>
  <c r="T322" i="48"/>
  <c r="T318" i="48"/>
  <c r="T317" i="48"/>
  <c r="U317" i="48" s="1"/>
  <c r="T315" i="48"/>
  <c r="U315" i="48" s="1"/>
  <c r="T311" i="48"/>
  <c r="T310" i="48"/>
  <c r="T308" i="48"/>
  <c r="T304" i="48"/>
  <c r="T303" i="48"/>
  <c r="T301" i="48"/>
  <c r="T297" i="48"/>
  <c r="T296" i="48"/>
  <c r="U296" i="48" s="1"/>
  <c r="T294" i="48"/>
  <c r="T290" i="48"/>
  <c r="T289" i="48"/>
  <c r="U289" i="48" s="1"/>
  <c r="T287" i="48"/>
  <c r="U287" i="48" s="1"/>
  <c r="T283" i="48"/>
  <c r="T282" i="48"/>
  <c r="T280" i="48"/>
  <c r="U280" i="48" s="1"/>
  <c r="T276" i="48"/>
  <c r="T275" i="48"/>
  <c r="T273" i="48"/>
  <c r="U273" i="48" s="1"/>
  <c r="T269" i="48"/>
  <c r="T268" i="48"/>
  <c r="U268" i="48" s="1"/>
  <c r="T266" i="48"/>
  <c r="U266" i="48" s="1"/>
  <c r="T262" i="48"/>
  <c r="T261" i="48"/>
  <c r="U261" i="48" s="1"/>
  <c r="T259" i="48"/>
  <c r="T255" i="48"/>
  <c r="U255" i="48" s="1"/>
  <c r="T254" i="48"/>
  <c r="T252" i="48"/>
  <c r="T248" i="48"/>
  <c r="T247" i="48"/>
  <c r="T245" i="48"/>
  <c r="T241" i="48"/>
  <c r="T240" i="48"/>
  <c r="U240" i="48" s="1"/>
  <c r="T238" i="48"/>
  <c r="T234" i="48"/>
  <c r="U234" i="48" s="1"/>
  <c r="T233" i="48"/>
  <c r="T231" i="48"/>
  <c r="U231" i="48" s="1"/>
  <c r="T227" i="48"/>
  <c r="T226" i="48"/>
  <c r="U226" i="48" s="1"/>
  <c r="T224" i="48"/>
  <c r="T220" i="48"/>
  <c r="U220" i="48" s="1"/>
  <c r="T219" i="48"/>
  <c r="T217" i="48"/>
  <c r="I210" i="48"/>
  <c r="U210" i="48" s="1"/>
  <c r="T206" i="48"/>
  <c r="I203" i="48"/>
  <c r="U203" i="48" s="1"/>
  <c r="T199" i="48"/>
  <c r="T192" i="48"/>
  <c r="T185" i="48"/>
  <c r="T178" i="48"/>
  <c r="T171" i="48"/>
  <c r="T164" i="48"/>
  <c r="T150" i="48"/>
  <c r="T143" i="48"/>
  <c r="T136" i="48"/>
  <c r="T628" i="48"/>
  <c r="T578" i="48"/>
  <c r="I563" i="48"/>
  <c r="U563" i="48" s="1"/>
  <c r="T545" i="48"/>
  <c r="I522" i="48"/>
  <c r="I500" i="48"/>
  <c r="T482" i="48"/>
  <c r="T455" i="48"/>
  <c r="T452" i="48"/>
  <c r="T449" i="48"/>
  <c r="I445" i="48"/>
  <c r="I439" i="48"/>
  <c r="U439" i="48" s="1"/>
  <c r="I433" i="48"/>
  <c r="I430" i="48"/>
  <c r="T428" i="48"/>
  <c r="T419" i="48"/>
  <c r="T410" i="48"/>
  <c r="T407" i="48"/>
  <c r="I397" i="48"/>
  <c r="I388" i="48"/>
  <c r="T362" i="48"/>
  <c r="I350" i="48"/>
  <c r="I342" i="48"/>
  <c r="I333" i="48"/>
  <c r="T313" i="48"/>
  <c r="I301" i="48"/>
  <c r="U301" i="48" s="1"/>
  <c r="I293" i="48"/>
  <c r="U293" i="48" s="1"/>
  <c r="I284" i="48"/>
  <c r="U284" i="48" s="1"/>
  <c r="T264" i="48"/>
  <c r="I597" i="48"/>
  <c r="U597" i="48" s="1"/>
  <c r="T553" i="48"/>
  <c r="T517" i="48"/>
  <c r="I448" i="48"/>
  <c r="U448" i="48" s="1"/>
  <c r="T443" i="48"/>
  <c r="T437" i="48"/>
  <c r="T575" i="48"/>
  <c r="T556" i="48"/>
  <c r="I537" i="48"/>
  <c r="U537" i="48" s="1"/>
  <c r="I530" i="48"/>
  <c r="T505" i="48"/>
  <c r="T503" i="48"/>
  <c r="I494" i="48"/>
  <c r="U494" i="48" s="1"/>
  <c r="I488" i="48"/>
  <c r="U488" i="48" s="1"/>
  <c r="I480" i="48"/>
  <c r="U480" i="48" s="1"/>
  <c r="T476" i="48"/>
  <c r="U476" i="48" s="1"/>
  <c r="T401" i="48"/>
  <c r="I400" i="48"/>
  <c r="U400" i="48" s="1"/>
  <c r="I382" i="48"/>
  <c r="I373" i="48"/>
  <c r="T355" i="48"/>
  <c r="I343" i="48"/>
  <c r="U343" i="48" s="1"/>
  <c r="I335" i="48"/>
  <c r="U335" i="48" s="1"/>
  <c r="I326" i="48"/>
  <c r="U326" i="48" s="1"/>
  <c r="T306" i="48"/>
  <c r="I294" i="48"/>
  <c r="I286" i="48"/>
  <c r="U286" i="48" s="1"/>
  <c r="I277" i="48"/>
  <c r="T568" i="48"/>
  <c r="T558" i="48"/>
  <c r="U558" i="48" s="1"/>
  <c r="I464" i="48"/>
  <c r="U464" i="48" s="1"/>
  <c r="I462" i="48"/>
  <c r="T458" i="48"/>
  <c r="I428" i="48"/>
  <c r="T417" i="48"/>
  <c r="I360" i="48"/>
  <c r="T356" i="48"/>
  <c r="I352" i="48"/>
  <c r="T347" i="48"/>
  <c r="U347" i="48" s="1"/>
  <c r="I344" i="48"/>
  <c r="U344" i="48" s="1"/>
  <c r="I311" i="48"/>
  <c r="U311" i="48" s="1"/>
  <c r="T307" i="48"/>
  <c r="I303" i="48"/>
  <c r="U303" i="48" s="1"/>
  <c r="T298" i="48"/>
  <c r="U298" i="48" s="1"/>
  <c r="I295" i="48"/>
  <c r="U295" i="48" s="1"/>
  <c r="I262" i="48"/>
  <c r="T258" i="48"/>
  <c r="I254" i="48"/>
  <c r="T249" i="48"/>
  <c r="I246" i="48"/>
  <c r="T73" i="48"/>
  <c r="T66" i="48"/>
  <c r="T516" i="48"/>
  <c r="I508" i="48"/>
  <c r="U508" i="48" s="1"/>
  <c r="T495" i="48"/>
  <c r="T451" i="48"/>
  <c r="T426" i="48"/>
  <c r="I407" i="48"/>
  <c r="T403" i="48"/>
  <c r="U403" i="48" s="1"/>
  <c r="I398" i="48"/>
  <c r="I383" i="48"/>
  <c r="U383" i="48" s="1"/>
  <c r="I380" i="48"/>
  <c r="U380" i="48" s="1"/>
  <c r="I365" i="48"/>
  <c r="U365" i="48" s="1"/>
  <c r="I354" i="48"/>
  <c r="U354" i="48" s="1"/>
  <c r="I351" i="48"/>
  <c r="U351" i="48" s="1"/>
  <c r="I329" i="48"/>
  <c r="U329" i="48" s="1"/>
  <c r="I325" i="48"/>
  <c r="U325" i="48" s="1"/>
  <c r="T319" i="48"/>
  <c r="I314" i="48"/>
  <c r="U314" i="48" s="1"/>
  <c r="I307" i="48"/>
  <c r="T272" i="48"/>
  <c r="I267" i="48"/>
  <c r="T243" i="48"/>
  <c r="T237" i="48"/>
  <c r="I218" i="48"/>
  <c r="U218" i="48" s="1"/>
  <c r="I204" i="48"/>
  <c r="U204" i="48" s="1"/>
  <c r="I202" i="48"/>
  <c r="I201" i="48"/>
  <c r="I200" i="48"/>
  <c r="U200" i="48" s="1"/>
  <c r="I199" i="48"/>
  <c r="U199" i="48" s="1"/>
  <c r="I198" i="48"/>
  <c r="U198" i="48" s="1"/>
  <c r="T176" i="48"/>
  <c r="T134" i="48"/>
  <c r="T117" i="48"/>
  <c r="T100" i="48"/>
  <c r="T84" i="48"/>
  <c r="I77" i="48"/>
  <c r="T59" i="48"/>
  <c r="T52" i="48"/>
  <c r="T45" i="48"/>
  <c r="T38" i="48"/>
  <c r="I602" i="48"/>
  <c r="U602" i="48" s="1"/>
  <c r="I547" i="48"/>
  <c r="U547" i="48" s="1"/>
  <c r="I483" i="48"/>
  <c r="U483" i="48" s="1"/>
  <c r="I432" i="48"/>
  <c r="U432" i="48" s="1"/>
  <c r="T424" i="48"/>
  <c r="U424" i="48" s="1"/>
  <c r="I414" i="48"/>
  <c r="U414" i="48" s="1"/>
  <c r="I405" i="48"/>
  <c r="I396" i="48"/>
  <c r="U396" i="48" s="1"/>
  <c r="I377" i="48"/>
  <c r="I358" i="48"/>
  <c r="U358" i="48" s="1"/>
  <c r="T342" i="48"/>
  <c r="I340" i="48"/>
  <c r="T334" i="48"/>
  <c r="I304" i="48"/>
  <c r="U304" i="48" s="1"/>
  <c r="I297" i="48"/>
  <c r="U297" i="48" s="1"/>
  <c r="T291" i="48"/>
  <c r="U291" i="48" s="1"/>
  <c r="I282" i="48"/>
  <c r="U282" i="48" s="1"/>
  <c r="I252" i="48"/>
  <c r="U252" i="48" s="1"/>
  <c r="I224" i="48"/>
  <c r="T215" i="48"/>
  <c r="I598" i="48"/>
  <c r="T560" i="48"/>
  <c r="T485" i="48"/>
  <c r="T461" i="48"/>
  <c r="I455" i="48"/>
  <c r="U455" i="48" s="1"/>
  <c r="I453" i="48"/>
  <c r="T445" i="48"/>
  <c r="T441" i="48"/>
  <c r="U441" i="48" s="1"/>
  <c r="T435" i="48"/>
  <c r="T433" i="48"/>
  <c r="I423" i="48"/>
  <c r="U423" i="48" s="1"/>
  <c r="T415" i="48"/>
  <c r="I412" i="48"/>
  <c r="U412" i="48" s="1"/>
  <c r="T408" i="48"/>
  <c r="I392" i="48"/>
  <c r="T384" i="48"/>
  <c r="T363" i="48"/>
  <c r="U363" i="48" s="1"/>
  <c r="I337" i="48"/>
  <c r="T327" i="48"/>
  <c r="I322" i="48"/>
  <c r="I318" i="48"/>
  <c r="T312" i="48"/>
  <c r="T305" i="48"/>
  <c r="I275" i="48"/>
  <c r="U275" i="48" s="1"/>
  <c r="T265" i="48"/>
  <c r="I263" i="48"/>
  <c r="I258" i="48"/>
  <c r="U258" i="48" s="1"/>
  <c r="I247" i="48"/>
  <c r="U247" i="48" s="1"/>
  <c r="T244" i="48"/>
  <c r="I241" i="48"/>
  <c r="U241" i="48" s="1"/>
  <c r="I230" i="48"/>
  <c r="U230" i="48" s="1"/>
  <c r="I211" i="48"/>
  <c r="U211" i="48" s="1"/>
  <c r="I209" i="48"/>
  <c r="U209" i="48" s="1"/>
  <c r="I208" i="48"/>
  <c r="U208" i="48" s="1"/>
  <c r="I207" i="48"/>
  <c r="I206" i="48"/>
  <c r="U206" i="48" s="1"/>
  <c r="T586" i="48"/>
  <c r="U586" i="48" s="1"/>
  <c r="I528" i="48"/>
  <c r="U528" i="48" s="1"/>
  <c r="T477" i="48"/>
  <c r="I459" i="48"/>
  <c r="I449" i="48"/>
  <c r="I421" i="48"/>
  <c r="T399" i="48"/>
  <c r="T388" i="48"/>
  <c r="T386" i="48"/>
  <c r="T320" i="48"/>
  <c r="T299" i="48"/>
  <c r="I290" i="48"/>
  <c r="I279" i="48"/>
  <c r="I253" i="48"/>
  <c r="U253" i="48" s="1"/>
  <c r="T250" i="48"/>
  <c r="I235" i="48"/>
  <c r="U235" i="48" s="1"/>
  <c r="I225" i="48"/>
  <c r="U225" i="48" s="1"/>
  <c r="T221" i="48"/>
  <c r="I219" i="48"/>
  <c r="U219" i="48" s="1"/>
  <c r="T216" i="48"/>
  <c r="T188" i="48"/>
  <c r="T186" i="48"/>
  <c r="T184" i="48"/>
  <c r="T140" i="48"/>
  <c r="T139" i="48"/>
  <c r="T137" i="48"/>
  <c r="T113" i="48"/>
  <c r="T67" i="48"/>
  <c r="T18" i="48"/>
  <c r="T25" i="48"/>
  <c r="T32" i="48"/>
  <c r="T42" i="48"/>
  <c r="T70" i="48"/>
  <c r="I78" i="48"/>
  <c r="I79" i="48"/>
  <c r="T85" i="48"/>
  <c r="T114" i="48"/>
  <c r="T115" i="48"/>
  <c r="T127" i="48"/>
  <c r="T161" i="48"/>
  <c r="T180" i="48"/>
  <c r="T181" i="48"/>
  <c r="T195" i="48"/>
  <c r="T202" i="48"/>
  <c r="I205" i="48"/>
  <c r="U205" i="48" s="1"/>
  <c r="T212" i="48"/>
  <c r="I217" i="48"/>
  <c r="U217" i="48" s="1"/>
  <c r="I233" i="48"/>
  <c r="U233" i="48" s="1"/>
  <c r="T263" i="48"/>
  <c r="I265" i="48"/>
  <c r="I272" i="48"/>
  <c r="U272" i="48" s="1"/>
  <c r="I274" i="48"/>
  <c r="I281" i="48"/>
  <c r="T286" i="48"/>
  <c r="T293" i="48"/>
  <c r="T300" i="48"/>
  <c r="U300" i="48" s="1"/>
  <c r="I308" i="48"/>
  <c r="U308" i="48" s="1"/>
  <c r="I310" i="48"/>
  <c r="U310" i="48" s="1"/>
  <c r="I349" i="48"/>
  <c r="I390" i="48"/>
  <c r="U390" i="48" s="1"/>
  <c r="I538" i="48"/>
  <c r="U538" i="48" s="1"/>
  <c r="I542" i="48"/>
  <c r="U542" i="48" s="1"/>
  <c r="I567" i="48"/>
  <c r="U567" i="48" s="1"/>
  <c r="T68" i="48"/>
  <c r="T160" i="48"/>
  <c r="T187" i="48"/>
  <c r="T194" i="48"/>
  <c r="T201" i="48"/>
  <c r="I238" i="48"/>
  <c r="U238" i="48" s="1"/>
  <c r="T270" i="48"/>
  <c r="U270" i="48" s="1"/>
  <c r="T277" i="48"/>
  <c r="I364" i="48"/>
  <c r="U364" i="48" s="1"/>
  <c r="I379" i="48"/>
  <c r="I381" i="48"/>
  <c r="U381" i="48" s="1"/>
  <c r="T444" i="48"/>
  <c r="U444" i="48" s="1"/>
  <c r="I452" i="48"/>
  <c r="T465" i="48"/>
  <c r="T494" i="48"/>
  <c r="T506" i="48"/>
  <c r="T531" i="48"/>
  <c r="T580" i="48"/>
  <c r="T591" i="48"/>
  <c r="T600" i="48"/>
  <c r="I623" i="48"/>
  <c r="U623" i="48" s="1"/>
  <c r="S644" i="48"/>
  <c r="S643" i="48"/>
  <c r="S642" i="48"/>
  <c r="S645" i="48"/>
  <c r="T179" i="48"/>
  <c r="T236" i="48"/>
  <c r="I269" i="48"/>
  <c r="U269" i="48" s="1"/>
  <c r="I276" i="48"/>
  <c r="U276" i="48" s="1"/>
  <c r="T279" i="48"/>
  <c r="I283" i="48"/>
  <c r="U283" i="48" s="1"/>
  <c r="I319" i="48"/>
  <c r="I353" i="48"/>
  <c r="U353" i="48" s="1"/>
  <c r="I437" i="48"/>
  <c r="U437" i="48" s="1"/>
  <c r="I447" i="48"/>
  <c r="T471" i="48"/>
  <c r="T479" i="48"/>
  <c r="U413" i="48"/>
  <c r="U604" i="48"/>
  <c r="I80" i="48"/>
  <c r="T86" i="48"/>
  <c r="T101" i="48"/>
  <c r="T116" i="48"/>
  <c r="T132" i="48"/>
  <c r="T138" i="48"/>
  <c r="U138" i="48" s="1"/>
  <c r="T152" i="48"/>
  <c r="T19" i="48"/>
  <c r="T44" i="48"/>
  <c r="T98" i="48"/>
  <c r="T99" i="48"/>
  <c r="T131" i="48"/>
  <c r="T82" i="48"/>
  <c r="T83" i="48"/>
  <c r="T126" i="48"/>
  <c r="T158" i="48"/>
  <c r="T172" i="48"/>
  <c r="T207" i="48"/>
  <c r="I214" i="48"/>
  <c r="U214" i="48" s="1"/>
  <c r="T223" i="48"/>
  <c r="U223" i="48" s="1"/>
  <c r="I227" i="48"/>
  <c r="T228" i="48"/>
  <c r="I251" i="48"/>
  <c r="U251" i="48" s="1"/>
  <c r="I256" i="48"/>
  <c r="U256" i="48" s="1"/>
  <c r="T257" i="48"/>
  <c r="I259" i="48"/>
  <c r="I312" i="48"/>
  <c r="I321" i="48"/>
  <c r="U321" i="48" s="1"/>
  <c r="I328" i="48"/>
  <c r="U328" i="48" s="1"/>
  <c r="T333" i="48"/>
  <c r="T340" i="48"/>
  <c r="T349" i="48"/>
  <c r="I357" i="48"/>
  <c r="U357" i="48" s="1"/>
  <c r="I366" i="48"/>
  <c r="U366" i="48" s="1"/>
  <c r="I395" i="48"/>
  <c r="U395" i="48" s="1"/>
  <c r="T402" i="48"/>
  <c r="T409" i="48"/>
  <c r="T416" i="48"/>
  <c r="I440" i="48"/>
  <c r="U440" i="48" s="1"/>
  <c r="T442" i="48"/>
  <c r="T457" i="48"/>
  <c r="I460" i="48"/>
  <c r="Q250" i="48" l="1"/>
  <c r="Q397" i="48"/>
  <c r="Q280" i="48"/>
  <c r="U318" i="48"/>
  <c r="U502" i="48"/>
  <c r="U622" i="48"/>
  <c r="J140" i="48"/>
  <c r="Q484" i="48"/>
  <c r="Q269" i="48"/>
  <c r="Q477" i="48"/>
  <c r="Q398" i="48"/>
  <c r="U290" i="48"/>
  <c r="U453" i="48"/>
  <c r="U202" i="48"/>
  <c r="I140" i="48"/>
  <c r="U140" i="48" s="1"/>
  <c r="U375" i="48"/>
  <c r="U611" i="48"/>
  <c r="U401" i="48"/>
  <c r="U553" i="48"/>
  <c r="Q584" i="48"/>
  <c r="U319" i="48"/>
  <c r="U477" i="48"/>
  <c r="Q318" i="48"/>
  <c r="Q529" i="48"/>
  <c r="Q629" i="48"/>
  <c r="Q547" i="48"/>
  <c r="U277" i="48"/>
  <c r="U498" i="48"/>
  <c r="Q453" i="48"/>
  <c r="Q319" i="48"/>
  <c r="Q231" i="48"/>
  <c r="U207" i="48"/>
  <c r="U201" i="48"/>
  <c r="U514" i="48"/>
  <c r="Q363" i="48"/>
  <c r="Q367" i="48"/>
  <c r="Q435" i="48"/>
  <c r="Q289" i="48"/>
  <c r="Q403" i="48"/>
  <c r="U340" i="48"/>
  <c r="U294" i="48"/>
  <c r="U433" i="48"/>
  <c r="U569" i="48"/>
  <c r="Q220" i="48"/>
  <c r="Q510" i="48"/>
  <c r="Q370" i="48"/>
  <c r="Q407" i="48"/>
  <c r="Q421" i="48"/>
  <c r="Q336" i="48"/>
  <c r="Q625" i="48"/>
  <c r="Q552" i="48"/>
  <c r="Q591" i="48"/>
  <c r="U250" i="48"/>
  <c r="U299" i="48"/>
  <c r="U568" i="48"/>
  <c r="U581" i="48"/>
  <c r="U580" i="48"/>
  <c r="Q458" i="48"/>
  <c r="Q312" i="48"/>
  <c r="Q524" i="48"/>
  <c r="Q216" i="48"/>
  <c r="Q307" i="48"/>
  <c r="Q281" i="48"/>
  <c r="Q227" i="48"/>
  <c r="Q442" i="48"/>
  <c r="Q392" i="48"/>
  <c r="Q425" i="48"/>
  <c r="Q461" i="48"/>
  <c r="Q410" i="48"/>
  <c r="Q472" i="48"/>
  <c r="Q569" i="48"/>
  <c r="Q561" i="48"/>
  <c r="U312" i="48"/>
  <c r="U78" i="48"/>
  <c r="U530" i="48"/>
  <c r="U535" i="48"/>
  <c r="U486" i="48"/>
  <c r="U541" i="48"/>
  <c r="U505" i="48"/>
  <c r="U584" i="48"/>
  <c r="U588" i="48"/>
  <c r="Q448" i="48"/>
  <c r="Q241" i="48"/>
  <c r="Q391" i="48"/>
  <c r="Q314" i="48"/>
  <c r="Q544" i="48"/>
  <c r="Q387" i="48"/>
  <c r="Q317" i="48"/>
  <c r="Q294" i="48"/>
  <c r="Q343" i="48"/>
  <c r="Q482" i="48"/>
  <c r="Q503" i="48"/>
  <c r="Q542" i="48"/>
  <c r="Q607" i="48"/>
  <c r="U259" i="48"/>
  <c r="U377" i="48"/>
  <c r="U306" i="48"/>
  <c r="U640" i="48"/>
  <c r="U636" i="48"/>
  <c r="Q258" i="48"/>
  <c r="Q234" i="48"/>
  <c r="Q432" i="48"/>
  <c r="Q296" i="48"/>
  <c r="Q402" i="48"/>
  <c r="Q325" i="48"/>
  <c r="Q439" i="48"/>
  <c r="Q205" i="48"/>
  <c r="Q400" i="48"/>
  <c r="Q537" i="48"/>
  <c r="Q417" i="48"/>
  <c r="Q517" i="48"/>
  <c r="Q588" i="48"/>
  <c r="Q608" i="48"/>
  <c r="Q581" i="48"/>
  <c r="Q568" i="48"/>
  <c r="Q617" i="48"/>
  <c r="U246" i="48"/>
  <c r="U360" i="48"/>
  <c r="U342" i="48"/>
  <c r="U410" i="48"/>
  <c r="U385" i="48"/>
  <c r="U429" i="48"/>
  <c r="U596" i="48"/>
  <c r="U463" i="48"/>
  <c r="U637" i="48"/>
  <c r="Q599" i="48"/>
  <c r="Q390" i="48"/>
  <c r="Q346" i="48"/>
  <c r="Q522" i="48"/>
  <c r="Q456" i="48"/>
  <c r="Q521" i="48"/>
  <c r="Q579" i="48"/>
  <c r="Q252" i="48"/>
  <c r="Q504" i="48"/>
  <c r="Q535" i="48"/>
  <c r="Q502" i="48"/>
  <c r="Q594" i="48"/>
  <c r="Q622" i="48"/>
  <c r="Q592" i="48"/>
  <c r="T182" i="48"/>
  <c r="T146" i="48"/>
  <c r="T74" i="48"/>
  <c r="T24" i="48"/>
  <c r="T168" i="48"/>
  <c r="T153" i="48"/>
  <c r="T128" i="48"/>
  <c r="T31" i="48"/>
  <c r="T17" i="48"/>
  <c r="T135" i="48"/>
  <c r="T93" i="48"/>
  <c r="T29" i="48"/>
  <c r="T22" i="48"/>
  <c r="T120" i="48"/>
  <c r="T110" i="48"/>
  <c r="T103" i="48"/>
  <c r="T51" i="48"/>
  <c r="T39" i="48"/>
  <c r="T36" i="48"/>
  <c r="T108" i="48"/>
  <c r="T57" i="48"/>
  <c r="T54" i="48"/>
  <c r="T129" i="48"/>
  <c r="T88" i="48"/>
  <c r="T78" i="48"/>
  <c r="T183" i="48"/>
  <c r="T177" i="48"/>
  <c r="T175" i="48"/>
  <c r="T147" i="48"/>
  <c r="T124" i="48"/>
  <c r="T91" i="48"/>
  <c r="T79" i="48"/>
  <c r="T56" i="48"/>
  <c r="T95" i="48"/>
  <c r="T163" i="48"/>
  <c r="T154" i="48"/>
  <c r="T89" i="48"/>
  <c r="T77" i="48"/>
  <c r="T191" i="48"/>
  <c r="T141" i="48"/>
  <c r="T107" i="48"/>
  <c r="T75" i="48"/>
  <c r="T118" i="48"/>
  <c r="T142" i="48"/>
  <c r="T155" i="48"/>
  <c r="T122" i="48"/>
  <c r="T96" i="48"/>
  <c r="T60" i="48"/>
  <c r="T58" i="48"/>
  <c r="T49" i="48"/>
  <c r="T30" i="48"/>
  <c r="T156" i="48"/>
  <c r="T125" i="48"/>
  <c r="T119" i="48"/>
  <c r="T106" i="48"/>
  <c r="T76" i="48"/>
  <c r="T47" i="48"/>
  <c r="T170" i="48"/>
  <c r="T149" i="48"/>
  <c r="T62" i="48"/>
  <c r="T28" i="48"/>
  <c r="T190" i="48"/>
  <c r="T55" i="48"/>
  <c r="T34" i="48"/>
  <c r="T20" i="48"/>
  <c r="T162" i="48"/>
  <c r="T121" i="48"/>
  <c r="T64" i="48"/>
  <c r="T53" i="48"/>
  <c r="T90" i="48"/>
  <c r="T40" i="48"/>
  <c r="T123" i="48"/>
  <c r="T37" i="48"/>
  <c r="T27" i="48"/>
  <c r="T133" i="48"/>
  <c r="T102" i="48"/>
  <c r="T65" i="48"/>
  <c r="T35" i="48"/>
  <c r="T21" i="48"/>
  <c r="T46" i="48"/>
  <c r="T23" i="48"/>
  <c r="T169" i="48"/>
  <c r="T50" i="48"/>
  <c r="T105" i="48"/>
  <c r="T92" i="48"/>
  <c r="T94" i="48"/>
  <c r="T63" i="48"/>
  <c r="T193" i="48"/>
  <c r="T61" i="48"/>
  <c r="T165" i="48"/>
  <c r="T148" i="48"/>
  <c r="T109" i="48"/>
  <c r="T104" i="48"/>
  <c r="T48" i="48"/>
  <c r="T112" i="48"/>
  <c r="U80" i="48"/>
  <c r="T151" i="48"/>
  <c r="U452" i="48"/>
  <c r="T159" i="48"/>
  <c r="U281" i="48"/>
  <c r="T80" i="48"/>
  <c r="T189" i="48"/>
  <c r="U392" i="48"/>
  <c r="U598" i="48"/>
  <c r="U405" i="48"/>
  <c r="U267" i="48"/>
  <c r="U407" i="48"/>
  <c r="U350" i="48"/>
  <c r="T157" i="48"/>
  <c r="U577" i="48"/>
  <c r="U411" i="48"/>
  <c r="U570" i="48"/>
  <c r="U215" i="48"/>
  <c r="U264" i="48"/>
  <c r="U313" i="48"/>
  <c r="U362" i="48"/>
  <c r="U512" i="48"/>
  <c r="U510" i="48"/>
  <c r="U533" i="48"/>
  <c r="U633" i="48"/>
  <c r="U564" i="48"/>
  <c r="U545" i="48"/>
  <c r="U594" i="48"/>
  <c r="U17" i="48"/>
  <c r="Q481" i="48"/>
  <c r="Q291" i="48"/>
  <c r="Q277" i="48"/>
  <c r="Q265" i="48"/>
  <c r="Q337" i="48"/>
  <c r="Q232" i="48"/>
  <c r="Q290" i="48"/>
  <c r="Q240" i="48"/>
  <c r="Q340" i="48"/>
  <c r="Q558" i="48"/>
  <c r="Q351" i="48"/>
  <c r="Q444" i="48"/>
  <c r="Q244" i="48"/>
  <c r="Q333" i="48"/>
  <c r="Q466" i="48"/>
  <c r="Q551" i="48"/>
  <c r="Q212" i="48"/>
  <c r="Q476" i="48"/>
  <c r="Q457" i="48"/>
  <c r="Q525" i="48"/>
  <c r="Q564" i="48"/>
  <c r="Q526" i="48"/>
  <c r="Q424" i="48"/>
  <c r="Q512" i="48"/>
  <c r="Q539" i="48"/>
  <c r="Q511" i="48"/>
  <c r="Q614" i="48"/>
  <c r="Q553" i="48"/>
  <c r="Q615" i="48"/>
  <c r="Q606" i="48"/>
  <c r="Q575" i="48"/>
  <c r="Q624" i="48"/>
  <c r="D18" i="48"/>
  <c r="A17" i="48"/>
  <c r="A18" i="48" s="1"/>
  <c r="O18" i="48"/>
  <c r="O17" i="48"/>
  <c r="U435" i="48"/>
  <c r="U404" i="48"/>
  <c r="I81" i="48"/>
  <c r="J81" i="48"/>
  <c r="Q285" i="48"/>
  <c r="U430" i="48"/>
  <c r="E17" i="48"/>
  <c r="Q335" i="48"/>
  <c r="Q199" i="48"/>
  <c r="U139" i="48"/>
  <c r="Q278" i="48"/>
  <c r="Q309" i="48"/>
  <c r="Q362" i="48"/>
  <c r="U352" i="48"/>
  <c r="U572" i="48"/>
  <c r="U612" i="48"/>
  <c r="Q639" i="48"/>
  <c r="R19" i="48"/>
  <c r="R20" i="48" s="1"/>
  <c r="R21" i="48" s="1"/>
  <c r="R22" i="48" s="1"/>
  <c r="R23" i="48" s="1"/>
  <c r="R24" i="48" s="1"/>
  <c r="R25" i="48" s="1"/>
  <c r="R26" i="48" s="1"/>
  <c r="R27" i="48" s="1"/>
  <c r="R28" i="48" s="1"/>
  <c r="R29" i="48" s="1"/>
  <c r="R30" i="48" s="1"/>
  <c r="R31" i="48" s="1"/>
  <c r="R32" i="48" s="1"/>
  <c r="R33" i="48" s="1"/>
  <c r="R34" i="48" s="1"/>
  <c r="R35" i="48" s="1"/>
  <c r="R36" i="48" s="1"/>
  <c r="R37" i="48" s="1"/>
  <c r="R38" i="48" s="1"/>
  <c r="R39" i="48" s="1"/>
  <c r="R40" i="48" s="1"/>
  <c r="R41" i="48" s="1"/>
  <c r="R42" i="48" s="1"/>
  <c r="R43" i="48" s="1"/>
  <c r="R44" i="48" s="1"/>
  <c r="R45" i="48" s="1"/>
  <c r="R46" i="48" s="1"/>
  <c r="R47" i="48" s="1"/>
  <c r="R48" i="48" s="1"/>
  <c r="R49" i="48" s="1"/>
  <c r="R50" i="48" s="1"/>
  <c r="R51" i="48" s="1"/>
  <c r="R52" i="48" s="1"/>
  <c r="R53" i="48" s="1"/>
  <c r="R54" i="48" s="1"/>
  <c r="R55" i="48" s="1"/>
  <c r="R56" i="48" s="1"/>
  <c r="R57" i="48" s="1"/>
  <c r="R58" i="48" s="1"/>
  <c r="R59" i="48" s="1"/>
  <c r="R60" i="48" s="1"/>
  <c r="R61" i="48" s="1"/>
  <c r="R62" i="48" s="1"/>
  <c r="R63" i="48" s="1"/>
  <c r="R64" i="48" s="1"/>
  <c r="R65" i="48" s="1"/>
  <c r="R66" i="48" s="1"/>
  <c r="R67" i="48" s="1"/>
  <c r="R68" i="48" s="1"/>
  <c r="R69" i="48" s="1"/>
  <c r="R70" i="48" s="1"/>
  <c r="R71" i="48" s="1"/>
  <c r="R72" i="48" s="1"/>
  <c r="R73" i="48" s="1"/>
  <c r="R74" i="48" s="1"/>
  <c r="R75" i="48" s="1"/>
  <c r="R76" i="48" s="1"/>
  <c r="R77" i="48" s="1"/>
  <c r="R78" i="48" s="1"/>
  <c r="R79" i="48" s="1"/>
  <c r="R80" i="48" s="1"/>
  <c r="R81" i="48" s="1"/>
  <c r="R82" i="48" s="1"/>
  <c r="R83" i="48" s="1"/>
  <c r="R84" i="48" s="1"/>
  <c r="R85" i="48" s="1"/>
  <c r="R86" i="48" s="1"/>
  <c r="R87" i="48" s="1"/>
  <c r="R88" i="48" s="1"/>
  <c r="R89" i="48" s="1"/>
  <c r="R90" i="48" s="1"/>
  <c r="R91" i="48" s="1"/>
  <c r="R92" i="48" s="1"/>
  <c r="R93" i="48" s="1"/>
  <c r="R94" i="48" s="1"/>
  <c r="R95" i="48" s="1"/>
  <c r="R96" i="48" s="1"/>
  <c r="R97" i="48" s="1"/>
  <c r="R98" i="48" s="1"/>
  <c r="R99" i="48" s="1"/>
  <c r="R100" i="48" s="1"/>
  <c r="R101" i="48" s="1"/>
  <c r="R102" i="48" s="1"/>
  <c r="R103" i="48" s="1"/>
  <c r="R104" i="48" s="1"/>
  <c r="R105" i="48" s="1"/>
  <c r="R106" i="48" s="1"/>
  <c r="R107" i="48" s="1"/>
  <c r="R108" i="48" s="1"/>
  <c r="R109" i="48" s="1"/>
  <c r="R110" i="48" s="1"/>
  <c r="R111" i="48" s="1"/>
  <c r="R112" i="48" s="1"/>
  <c r="R113" i="48" s="1"/>
  <c r="R114" i="48" s="1"/>
  <c r="R115" i="48" s="1"/>
  <c r="R116" i="48" s="1"/>
  <c r="R117" i="48" s="1"/>
  <c r="R118" i="48" s="1"/>
  <c r="R119" i="48" s="1"/>
  <c r="R120" i="48" s="1"/>
  <c r="R121" i="48" s="1"/>
  <c r="R122" i="48" s="1"/>
  <c r="R123" i="48" s="1"/>
  <c r="R124" i="48" s="1"/>
  <c r="R125" i="48" s="1"/>
  <c r="R126" i="48" s="1"/>
  <c r="R127" i="48" s="1"/>
  <c r="R128" i="48" s="1"/>
  <c r="R129" i="48" s="1"/>
  <c r="R130" i="48" s="1"/>
  <c r="R131" i="48" s="1"/>
  <c r="R132" i="48" s="1"/>
  <c r="R133" i="48" s="1"/>
  <c r="R134" i="48" s="1"/>
  <c r="R135" i="48" s="1"/>
  <c r="R136" i="48" s="1"/>
  <c r="R137" i="48" s="1"/>
  <c r="R138" i="48" s="1"/>
  <c r="R139" i="48" s="1"/>
  <c r="R140" i="48" s="1"/>
  <c r="R141" i="48" s="1"/>
  <c r="R142" i="48" s="1"/>
  <c r="R143" i="48" s="1"/>
  <c r="R144" i="48" s="1"/>
  <c r="R145" i="48" s="1"/>
  <c r="R146" i="48" s="1"/>
  <c r="R147" i="48" s="1"/>
  <c r="R148" i="48" s="1"/>
  <c r="R149" i="48" s="1"/>
  <c r="R150" i="48" s="1"/>
  <c r="R151" i="48" s="1"/>
  <c r="R152" i="48" s="1"/>
  <c r="R153" i="48" s="1"/>
  <c r="R154" i="48" s="1"/>
  <c r="R155" i="48" s="1"/>
  <c r="R156" i="48" s="1"/>
  <c r="R157" i="48" s="1"/>
  <c r="R158" i="48" s="1"/>
  <c r="R159" i="48" s="1"/>
  <c r="R160" i="48" s="1"/>
  <c r="R161" i="48" s="1"/>
  <c r="R162" i="48" s="1"/>
  <c r="R163" i="48" s="1"/>
  <c r="R164" i="48" s="1"/>
  <c r="R165" i="48" s="1"/>
  <c r="R166" i="48" s="1"/>
  <c r="R167" i="48" s="1"/>
  <c r="R168" i="48" s="1"/>
  <c r="R169" i="48" s="1"/>
  <c r="R170" i="48" s="1"/>
  <c r="R171" i="48" s="1"/>
  <c r="R172" i="48" s="1"/>
  <c r="R173" i="48" s="1"/>
  <c r="R174" i="48" s="1"/>
  <c r="R175" i="48" s="1"/>
  <c r="R176" i="48" s="1"/>
  <c r="R177" i="48" s="1"/>
  <c r="R178" i="48" s="1"/>
  <c r="R179" i="48" s="1"/>
  <c r="R180" i="48" s="1"/>
  <c r="R181" i="48" s="1"/>
  <c r="R182" i="48" s="1"/>
  <c r="R183" i="48" s="1"/>
  <c r="R184" i="48" s="1"/>
  <c r="R185" i="48" s="1"/>
  <c r="R186" i="48" s="1"/>
  <c r="R187" i="48" s="1"/>
  <c r="R188" i="48" s="1"/>
  <c r="R189" i="48" s="1"/>
  <c r="R190" i="48" s="1"/>
  <c r="R191" i="48" s="1"/>
  <c r="R192" i="48" s="1"/>
  <c r="R193" i="48" s="1"/>
  <c r="R194" i="48" s="1"/>
  <c r="R195" i="48" s="1"/>
  <c r="U398" i="48"/>
  <c r="U333" i="48"/>
  <c r="U506" i="48"/>
  <c r="U587" i="48"/>
  <c r="Q235" i="48"/>
  <c r="Q399" i="48"/>
  <c r="Q447" i="48"/>
  <c r="Q576" i="48"/>
  <c r="T111" i="48"/>
  <c r="T33" i="48"/>
  <c r="T72" i="48"/>
  <c r="T144" i="48"/>
  <c r="U274" i="48"/>
  <c r="T167" i="48"/>
  <c r="T81" i="48"/>
  <c r="U421" i="48"/>
  <c r="T69" i="48"/>
  <c r="U254" i="48"/>
  <c r="U428" i="48"/>
  <c r="U373" i="48"/>
  <c r="U513" i="48"/>
  <c r="U518" i="48"/>
  <c r="U470" i="48"/>
  <c r="U632" i="48"/>
  <c r="U621" i="48"/>
  <c r="U554" i="48"/>
  <c r="T174" i="48"/>
  <c r="G17" i="48"/>
  <c r="G18" i="48" s="1"/>
  <c r="S17" i="48"/>
  <c r="S18" i="48" s="1"/>
  <c r="I18" i="48"/>
  <c r="U18" i="48" s="1"/>
  <c r="J18" i="48"/>
  <c r="Q215" i="48"/>
  <c r="Q359" i="48"/>
  <c r="Q272" i="48"/>
  <c r="Q355" i="48"/>
  <c r="Q605" i="48"/>
  <c r="Q248" i="48"/>
  <c r="Q344" i="48"/>
  <c r="Q583" i="48"/>
  <c r="Q361" i="48"/>
  <c r="Q223" i="48"/>
  <c r="Q303" i="48"/>
  <c r="Q467" i="48"/>
  <c r="Q260" i="48"/>
  <c r="Q334" i="48"/>
  <c r="Q454" i="48"/>
  <c r="Q550" i="48"/>
  <c r="Q595" i="48"/>
  <c r="Q259" i="48"/>
  <c r="Q308" i="48"/>
  <c r="Q357" i="48"/>
  <c r="Q562" i="48"/>
  <c r="Q523" i="48"/>
  <c r="Q546" i="48"/>
  <c r="Q516" i="48"/>
  <c r="Q572" i="48"/>
  <c r="Q626" i="48"/>
  <c r="Q499" i="48"/>
  <c r="Q609" i="48"/>
  <c r="Q604" i="48"/>
  <c r="U279" i="48"/>
  <c r="U516" i="48"/>
  <c r="Q302" i="48"/>
  <c r="U503" i="48"/>
  <c r="Q486" i="48"/>
  <c r="U460" i="48"/>
  <c r="U79" i="48"/>
  <c r="Q423" i="48"/>
  <c r="Q406" i="48"/>
  <c r="Q222" i="48"/>
  <c r="Q297" i="48"/>
  <c r="Q211" i="48"/>
  <c r="Q489" i="48"/>
  <c r="Q602" i="48"/>
  <c r="Q228" i="48"/>
  <c r="Q332" i="48"/>
  <c r="Q342" i="48"/>
  <c r="Q490" i="48"/>
  <c r="Q381" i="48"/>
  <c r="Q468" i="48"/>
  <c r="Q433" i="48"/>
  <c r="Q560" i="48"/>
  <c r="Q593" i="48"/>
  <c r="Q431" i="48"/>
  <c r="Q527" i="48"/>
  <c r="Q633" i="48"/>
  <c r="Q619" i="48"/>
  <c r="Q635" i="48"/>
  <c r="Q618" i="48"/>
  <c r="Q582" i="48"/>
  <c r="U534" i="48"/>
  <c r="U349" i="48"/>
  <c r="U540" i="48"/>
  <c r="U322" i="48"/>
  <c r="U337" i="48"/>
  <c r="U445" i="48"/>
  <c r="Q253" i="48"/>
  <c r="Q328" i="48"/>
  <c r="Q528" i="48"/>
  <c r="Q506" i="48"/>
  <c r="U600" i="48"/>
  <c r="Q419" i="48"/>
  <c r="C18" i="48"/>
  <c r="Q18" i="48" s="1"/>
  <c r="Q405" i="48"/>
  <c r="Q549" i="48"/>
  <c r="U449" i="48"/>
  <c r="U224" i="48"/>
  <c r="U307" i="48"/>
  <c r="U382" i="48"/>
  <c r="U388" i="48"/>
  <c r="U500" i="48"/>
  <c r="U618" i="48"/>
  <c r="U419" i="48"/>
  <c r="U320" i="48"/>
  <c r="U369" i="48"/>
  <c r="U519" i="48"/>
  <c r="U562" i="48"/>
  <c r="U635" i="48"/>
  <c r="U619" i="48"/>
  <c r="U576" i="48"/>
  <c r="U601" i="48"/>
  <c r="U227" i="48"/>
  <c r="T26" i="48"/>
  <c r="U447" i="48"/>
  <c r="U379" i="48"/>
  <c r="T43" i="48"/>
  <c r="U265" i="48"/>
  <c r="T97" i="48"/>
  <c r="U459" i="48"/>
  <c r="U263" i="48"/>
  <c r="U77" i="48"/>
  <c r="T173" i="48"/>
  <c r="U262" i="48"/>
  <c r="U462" i="48"/>
  <c r="U397" i="48"/>
  <c r="U522" i="48"/>
  <c r="U517" i="48"/>
  <c r="U443" i="48"/>
  <c r="U565" i="48"/>
  <c r="U525" i="48"/>
  <c r="U495" i="48"/>
  <c r="U628" i="48"/>
  <c r="U578" i="48"/>
  <c r="U425" i="48"/>
  <c r="T145" i="48"/>
  <c r="T166" i="48"/>
  <c r="Q242" i="48"/>
  <c r="Q331" i="48"/>
  <c r="Q299" i="48"/>
  <c r="Q414" i="48"/>
  <c r="Q261" i="48"/>
  <c r="Q501" i="48"/>
  <c r="Q374" i="48"/>
  <c r="Q368" i="48"/>
  <c r="Q310" i="48"/>
  <c r="Q538" i="48"/>
  <c r="Q268" i="48"/>
  <c r="Q358" i="48"/>
  <c r="Q498" i="48"/>
  <c r="Q441" i="48"/>
  <c r="Q475" i="48"/>
  <c r="Q217" i="48"/>
  <c r="Q266" i="48"/>
  <c r="Q315" i="48"/>
  <c r="Q364" i="48"/>
  <c r="Q623" i="48"/>
  <c r="Q571" i="48"/>
  <c r="Q515" i="48"/>
  <c r="Q628" i="48"/>
  <c r="Q616" i="48"/>
  <c r="D19" i="48" l="1"/>
  <c r="C19" i="48"/>
  <c r="Q19" i="48" s="1"/>
  <c r="J19" i="48"/>
  <c r="I19" i="48"/>
  <c r="U19" i="48" s="1"/>
  <c r="J82" i="48"/>
  <c r="I82" i="48"/>
  <c r="U82" i="48" s="1"/>
  <c r="P196" i="48"/>
  <c r="R196" i="48" s="1"/>
  <c r="R197" i="48" s="1"/>
  <c r="R198" i="48" s="1"/>
  <c r="R199" i="48" s="1"/>
  <c r="R200" i="48" s="1"/>
  <c r="R201" i="48" s="1"/>
  <c r="R202" i="48" s="1"/>
  <c r="R203" i="48" s="1"/>
  <c r="R204" i="48" s="1"/>
  <c r="R205" i="48" s="1"/>
  <c r="R206" i="48" s="1"/>
  <c r="R207" i="48" s="1"/>
  <c r="R208" i="48" s="1"/>
  <c r="R209" i="48" s="1"/>
  <c r="R210" i="48" s="1"/>
  <c r="R211" i="48" s="1"/>
  <c r="R212" i="48" s="1"/>
  <c r="R213" i="48" s="1"/>
  <c r="R214" i="48" s="1"/>
  <c r="R215" i="48" s="1"/>
  <c r="R216" i="48" s="1"/>
  <c r="R217" i="48" s="1"/>
  <c r="R218" i="48" s="1"/>
  <c r="R219" i="48" s="1"/>
  <c r="R220" i="48" s="1"/>
  <c r="R221" i="48" s="1"/>
  <c r="R222" i="48" s="1"/>
  <c r="R223" i="48" s="1"/>
  <c r="R224" i="48" s="1"/>
  <c r="R225" i="48" s="1"/>
  <c r="R226" i="48" s="1"/>
  <c r="R227" i="48" s="1"/>
  <c r="R228" i="48" s="1"/>
  <c r="R229" i="48" s="1"/>
  <c r="R230" i="48" s="1"/>
  <c r="R231" i="48" s="1"/>
  <c r="R232" i="48" s="1"/>
  <c r="R233" i="48" s="1"/>
  <c r="R234" i="48" s="1"/>
  <c r="R235" i="48" s="1"/>
  <c r="R236" i="48" s="1"/>
  <c r="R237" i="48" s="1"/>
  <c r="R238" i="48" s="1"/>
  <c r="R239" i="48" s="1"/>
  <c r="R240" i="48" s="1"/>
  <c r="R241" i="48" s="1"/>
  <c r="R242" i="48" s="1"/>
  <c r="R243" i="48" s="1"/>
  <c r="R244" i="48" s="1"/>
  <c r="R245" i="48" s="1"/>
  <c r="R246" i="48" s="1"/>
  <c r="R247" i="48" s="1"/>
  <c r="R248" i="48" s="1"/>
  <c r="R249" i="48" s="1"/>
  <c r="R250" i="48" s="1"/>
  <c r="R251" i="48" s="1"/>
  <c r="R252" i="48" s="1"/>
  <c r="R253" i="48" s="1"/>
  <c r="R254" i="48" s="1"/>
  <c r="R255" i="48" s="1"/>
  <c r="R256" i="48" s="1"/>
  <c r="R257" i="48" s="1"/>
  <c r="R258" i="48" s="1"/>
  <c r="R259" i="48" s="1"/>
  <c r="R260" i="48" s="1"/>
  <c r="R261" i="48" s="1"/>
  <c r="R262" i="48" s="1"/>
  <c r="R263" i="48" s="1"/>
  <c r="R264" i="48" s="1"/>
  <c r="R265" i="48" s="1"/>
  <c r="R266" i="48" s="1"/>
  <c r="R267" i="48" s="1"/>
  <c r="R268" i="48" s="1"/>
  <c r="R269" i="48" s="1"/>
  <c r="R270" i="48" s="1"/>
  <c r="R271" i="48" s="1"/>
  <c r="R272" i="48" s="1"/>
  <c r="R273" i="48" s="1"/>
  <c r="R274" i="48" s="1"/>
  <c r="R275" i="48" s="1"/>
  <c r="R276" i="48" s="1"/>
  <c r="R277" i="48" s="1"/>
  <c r="R278" i="48" s="1"/>
  <c r="R279" i="48" s="1"/>
  <c r="R280" i="48" s="1"/>
  <c r="R281" i="48" s="1"/>
  <c r="R282" i="48" s="1"/>
  <c r="R283" i="48" s="1"/>
  <c r="R284" i="48" s="1"/>
  <c r="R285" i="48" s="1"/>
  <c r="R286" i="48" s="1"/>
  <c r="R287" i="48" s="1"/>
  <c r="R288" i="48" s="1"/>
  <c r="R289" i="48" s="1"/>
  <c r="R290" i="48" s="1"/>
  <c r="R291" i="48" s="1"/>
  <c r="R292" i="48" s="1"/>
  <c r="R293" i="48" s="1"/>
  <c r="R294" i="48" s="1"/>
  <c r="R295" i="48" s="1"/>
  <c r="R296" i="48" s="1"/>
  <c r="R297" i="48" s="1"/>
  <c r="R298" i="48" s="1"/>
  <c r="R299" i="48" s="1"/>
  <c r="R300" i="48" s="1"/>
  <c r="R301" i="48" s="1"/>
  <c r="R302" i="48" s="1"/>
  <c r="R303" i="48" s="1"/>
  <c r="R304" i="48" s="1"/>
  <c r="R305" i="48" s="1"/>
  <c r="R306" i="48" s="1"/>
  <c r="R307" i="48" s="1"/>
  <c r="R308" i="48" s="1"/>
  <c r="R309" i="48" s="1"/>
  <c r="R310" i="48" s="1"/>
  <c r="R311" i="48" s="1"/>
  <c r="R312" i="48" s="1"/>
  <c r="R313" i="48" s="1"/>
  <c r="R314" i="48" s="1"/>
  <c r="R315" i="48" s="1"/>
  <c r="R316" i="48" s="1"/>
  <c r="R317" i="48" s="1"/>
  <c r="R318" i="48" s="1"/>
  <c r="R319" i="48" s="1"/>
  <c r="R320" i="48" s="1"/>
  <c r="R321" i="48" s="1"/>
  <c r="R322" i="48" s="1"/>
  <c r="R323" i="48" s="1"/>
  <c r="R324" i="48" s="1"/>
  <c r="R325" i="48" s="1"/>
  <c r="R326" i="48" s="1"/>
  <c r="R327" i="48" s="1"/>
  <c r="R328" i="48" s="1"/>
  <c r="R329" i="48" s="1"/>
  <c r="R330" i="48" s="1"/>
  <c r="R331" i="48" s="1"/>
  <c r="R332" i="48" s="1"/>
  <c r="R333" i="48" s="1"/>
  <c r="R334" i="48" s="1"/>
  <c r="R335" i="48" s="1"/>
  <c r="R336" i="48" s="1"/>
  <c r="R337" i="48" s="1"/>
  <c r="R338" i="48" s="1"/>
  <c r="R339" i="48" s="1"/>
  <c r="R340" i="48" s="1"/>
  <c r="R341" i="48" s="1"/>
  <c r="R342" i="48" s="1"/>
  <c r="R343" i="48" s="1"/>
  <c r="R344" i="48" s="1"/>
  <c r="R345" i="48" s="1"/>
  <c r="R346" i="48" s="1"/>
  <c r="R347" i="48" s="1"/>
  <c r="R348" i="48" s="1"/>
  <c r="R349" i="48" s="1"/>
  <c r="R350" i="48" s="1"/>
  <c r="R351" i="48" s="1"/>
  <c r="R352" i="48" s="1"/>
  <c r="R353" i="48" s="1"/>
  <c r="R354" i="48" s="1"/>
  <c r="R355" i="48" s="1"/>
  <c r="R356" i="48" s="1"/>
  <c r="R357" i="48" s="1"/>
  <c r="R358" i="48" s="1"/>
  <c r="R359" i="48" s="1"/>
  <c r="R360" i="48" s="1"/>
  <c r="R361" i="48" s="1"/>
  <c r="R362" i="48" s="1"/>
  <c r="R363" i="48" s="1"/>
  <c r="R364" i="48" s="1"/>
  <c r="R365" i="48" s="1"/>
  <c r="R366" i="48" s="1"/>
  <c r="R367" i="48" s="1"/>
  <c r="R368" i="48" s="1"/>
  <c r="R369" i="48" s="1"/>
  <c r="R370" i="48" s="1"/>
  <c r="R371" i="48" s="1"/>
  <c r="R372" i="48" s="1"/>
  <c r="R373" i="48" s="1"/>
  <c r="R374" i="48" s="1"/>
  <c r="R375" i="48" s="1"/>
  <c r="R376" i="48" s="1"/>
  <c r="R377" i="48" s="1"/>
  <c r="R378" i="48" s="1"/>
  <c r="R379" i="48" s="1"/>
  <c r="R380" i="48" s="1"/>
  <c r="R381" i="48" s="1"/>
  <c r="R382" i="48" s="1"/>
  <c r="R383" i="48" s="1"/>
  <c r="R384" i="48" s="1"/>
  <c r="R385" i="48" s="1"/>
  <c r="R386" i="48" s="1"/>
  <c r="R387" i="48" s="1"/>
  <c r="R388" i="48" s="1"/>
  <c r="R389" i="48" s="1"/>
  <c r="R390" i="48" s="1"/>
  <c r="R391" i="48" s="1"/>
  <c r="R392" i="48" s="1"/>
  <c r="R393" i="48" s="1"/>
  <c r="R394" i="48" s="1"/>
  <c r="R395" i="48" s="1"/>
  <c r="R396" i="48" s="1"/>
  <c r="R397" i="48" s="1"/>
  <c r="R398" i="48" s="1"/>
  <c r="R399" i="48" s="1"/>
  <c r="R400" i="48" s="1"/>
  <c r="R401" i="48" s="1"/>
  <c r="R402" i="48" s="1"/>
  <c r="R403" i="48" s="1"/>
  <c r="R404" i="48" s="1"/>
  <c r="R405" i="48" s="1"/>
  <c r="R406" i="48" s="1"/>
  <c r="R407" i="48" s="1"/>
  <c r="R408" i="48" s="1"/>
  <c r="R409" i="48" s="1"/>
  <c r="R410" i="48" s="1"/>
  <c r="R411" i="48" s="1"/>
  <c r="R412" i="48" s="1"/>
  <c r="R413" i="48" s="1"/>
  <c r="R414" i="48" s="1"/>
  <c r="R415" i="48" s="1"/>
  <c r="R416" i="48" s="1"/>
  <c r="R417" i="48" s="1"/>
  <c r="R418" i="48" s="1"/>
  <c r="R419" i="48" s="1"/>
  <c r="R420" i="48" s="1"/>
  <c r="R421" i="48" s="1"/>
  <c r="R422" i="48" s="1"/>
  <c r="R423" i="48" s="1"/>
  <c r="R424" i="48" s="1"/>
  <c r="R425" i="48" s="1"/>
  <c r="R426" i="48" s="1"/>
  <c r="R427" i="48" s="1"/>
  <c r="R428" i="48" s="1"/>
  <c r="R429" i="48" s="1"/>
  <c r="R430" i="48" s="1"/>
  <c r="R431" i="48" s="1"/>
  <c r="R432" i="48" s="1"/>
  <c r="R433" i="48" s="1"/>
  <c r="R434" i="48" s="1"/>
  <c r="R435" i="48" s="1"/>
  <c r="R436" i="48" s="1"/>
  <c r="R437" i="48" s="1"/>
  <c r="R438" i="48" s="1"/>
  <c r="R439" i="48" s="1"/>
  <c r="R440" i="48" s="1"/>
  <c r="R441" i="48" s="1"/>
  <c r="R442" i="48" s="1"/>
  <c r="R443" i="48" s="1"/>
  <c r="R444" i="48" s="1"/>
  <c r="R445" i="48" s="1"/>
  <c r="R446" i="48" s="1"/>
  <c r="R447" i="48" s="1"/>
  <c r="R448" i="48" s="1"/>
  <c r="R449" i="48" s="1"/>
  <c r="R450" i="48" s="1"/>
  <c r="R451" i="48" s="1"/>
  <c r="R452" i="48" s="1"/>
  <c r="R453" i="48" s="1"/>
  <c r="R454" i="48" s="1"/>
  <c r="R455" i="48" s="1"/>
  <c r="R456" i="48" s="1"/>
  <c r="R457" i="48" s="1"/>
  <c r="R458" i="48" s="1"/>
  <c r="R459" i="48" s="1"/>
  <c r="R460" i="48" s="1"/>
  <c r="R461" i="48" s="1"/>
  <c r="R462" i="48" s="1"/>
  <c r="R463" i="48" s="1"/>
  <c r="R464" i="48" s="1"/>
  <c r="R465" i="48" s="1"/>
  <c r="R466" i="48" s="1"/>
  <c r="R467" i="48" s="1"/>
  <c r="R468" i="48" s="1"/>
  <c r="R469" i="48" s="1"/>
  <c r="R470" i="48" s="1"/>
  <c r="R471" i="48" s="1"/>
  <c r="R472" i="48" s="1"/>
  <c r="R473" i="48" s="1"/>
  <c r="R474" i="48" s="1"/>
  <c r="R475" i="48" s="1"/>
  <c r="R476" i="48" s="1"/>
  <c r="R477" i="48" s="1"/>
  <c r="R478" i="48" s="1"/>
  <c r="R479" i="48" s="1"/>
  <c r="R480" i="48" s="1"/>
  <c r="R481" i="48" s="1"/>
  <c r="R482" i="48" s="1"/>
  <c r="R483" i="48" s="1"/>
  <c r="R484" i="48" s="1"/>
  <c r="R485" i="48" s="1"/>
  <c r="R486" i="48" s="1"/>
  <c r="R487" i="48" s="1"/>
  <c r="R488" i="48" s="1"/>
  <c r="R489" i="48" s="1"/>
  <c r="R490" i="48" s="1"/>
  <c r="R491" i="48" s="1"/>
  <c r="R492" i="48" s="1"/>
  <c r="R493" i="48" s="1"/>
  <c r="R494" i="48" s="1"/>
  <c r="R495" i="48" s="1"/>
  <c r="R496" i="48" s="1"/>
  <c r="R497" i="48" s="1"/>
  <c r="R498" i="48" s="1"/>
  <c r="R499" i="48" s="1"/>
  <c r="R500" i="48" s="1"/>
  <c r="R501" i="48" s="1"/>
  <c r="R502" i="48" s="1"/>
  <c r="R503" i="48" s="1"/>
  <c r="R504" i="48" s="1"/>
  <c r="R505" i="48" s="1"/>
  <c r="R506" i="48" s="1"/>
  <c r="R507" i="48" s="1"/>
  <c r="R508" i="48" s="1"/>
  <c r="R509" i="48" s="1"/>
  <c r="R510" i="48" s="1"/>
  <c r="R511" i="48" s="1"/>
  <c r="R512" i="48" s="1"/>
  <c r="R513" i="48" s="1"/>
  <c r="R514" i="48" s="1"/>
  <c r="R515" i="48" s="1"/>
  <c r="R516" i="48" s="1"/>
  <c r="R517" i="48" s="1"/>
  <c r="R518" i="48" s="1"/>
  <c r="R519" i="48" s="1"/>
  <c r="R520" i="48" s="1"/>
  <c r="R521" i="48" s="1"/>
  <c r="R522" i="48" s="1"/>
  <c r="R523" i="48" s="1"/>
  <c r="R524" i="48" s="1"/>
  <c r="R525" i="48" s="1"/>
  <c r="R526" i="48" s="1"/>
  <c r="R527" i="48" s="1"/>
  <c r="R528" i="48" s="1"/>
  <c r="R529" i="48" s="1"/>
  <c r="R530" i="48" s="1"/>
  <c r="R531" i="48" s="1"/>
  <c r="R532" i="48" s="1"/>
  <c r="R533" i="48" s="1"/>
  <c r="R534" i="48" s="1"/>
  <c r="R535" i="48" s="1"/>
  <c r="R536" i="48" s="1"/>
  <c r="R537" i="48" s="1"/>
  <c r="R538" i="48" s="1"/>
  <c r="R539" i="48" s="1"/>
  <c r="R540" i="48" s="1"/>
  <c r="R541" i="48" s="1"/>
  <c r="R542" i="48" s="1"/>
  <c r="R543" i="48" s="1"/>
  <c r="R544" i="48" s="1"/>
  <c r="R545" i="48" s="1"/>
  <c r="R546" i="48" s="1"/>
  <c r="R547" i="48" s="1"/>
  <c r="R548" i="48" s="1"/>
  <c r="R549" i="48" s="1"/>
  <c r="R550" i="48" s="1"/>
  <c r="R551" i="48" s="1"/>
  <c r="R552" i="48" s="1"/>
  <c r="R553" i="48" s="1"/>
  <c r="R554" i="48" s="1"/>
  <c r="R555" i="48" s="1"/>
  <c r="R556" i="48" s="1"/>
  <c r="R557" i="48" s="1"/>
  <c r="R558" i="48" s="1"/>
  <c r="R559" i="48" s="1"/>
  <c r="R560" i="48" s="1"/>
  <c r="R561" i="48" s="1"/>
  <c r="R562" i="48" s="1"/>
  <c r="R563" i="48" s="1"/>
  <c r="R564" i="48" s="1"/>
  <c r="R565" i="48" s="1"/>
  <c r="R566" i="48" s="1"/>
  <c r="R567" i="48" s="1"/>
  <c r="R568" i="48" s="1"/>
  <c r="R569" i="48" s="1"/>
  <c r="R570" i="48" s="1"/>
  <c r="R571" i="48" s="1"/>
  <c r="R572" i="48" s="1"/>
  <c r="R573" i="48" s="1"/>
  <c r="R574" i="48" s="1"/>
  <c r="R575" i="48" s="1"/>
  <c r="R576" i="48" s="1"/>
  <c r="R577" i="48" s="1"/>
  <c r="R578" i="48" s="1"/>
  <c r="R579" i="48" s="1"/>
  <c r="R580" i="48" s="1"/>
  <c r="R581" i="48" s="1"/>
  <c r="R582" i="48" s="1"/>
  <c r="R583" i="48" s="1"/>
  <c r="R584" i="48" s="1"/>
  <c r="R585" i="48" s="1"/>
  <c r="R586" i="48" s="1"/>
  <c r="R587" i="48" s="1"/>
  <c r="R588" i="48" s="1"/>
  <c r="R589" i="48" s="1"/>
  <c r="R590" i="48" s="1"/>
  <c r="R591" i="48" s="1"/>
  <c r="R592" i="48" s="1"/>
  <c r="R593" i="48" s="1"/>
  <c r="R594" i="48" s="1"/>
  <c r="R595" i="48" s="1"/>
  <c r="R596" i="48" s="1"/>
  <c r="R597" i="48" s="1"/>
  <c r="R598" i="48" s="1"/>
  <c r="R599" i="48" s="1"/>
  <c r="R600" i="48" s="1"/>
  <c r="R601" i="48" s="1"/>
  <c r="R602" i="48" s="1"/>
  <c r="R603" i="48" s="1"/>
  <c r="R604" i="48" s="1"/>
  <c r="R605" i="48" s="1"/>
  <c r="R606" i="48" s="1"/>
  <c r="R607" i="48" s="1"/>
  <c r="R608" i="48" s="1"/>
  <c r="R609" i="48" s="1"/>
  <c r="R610" i="48" s="1"/>
  <c r="R611" i="48" s="1"/>
  <c r="R612" i="48" s="1"/>
  <c r="R613" i="48" s="1"/>
  <c r="R614" i="48" s="1"/>
  <c r="R615" i="48" s="1"/>
  <c r="R616" i="48" s="1"/>
  <c r="R617" i="48" s="1"/>
  <c r="R618" i="48" s="1"/>
  <c r="R619" i="48" s="1"/>
  <c r="R620" i="48" s="1"/>
  <c r="R621" i="48" s="1"/>
  <c r="R622" i="48" s="1"/>
  <c r="R623" i="48" s="1"/>
  <c r="R624" i="48" s="1"/>
  <c r="R625" i="48" s="1"/>
  <c r="R626" i="48" s="1"/>
  <c r="R627" i="48" s="1"/>
  <c r="R628" i="48" s="1"/>
  <c r="R629" i="48" s="1"/>
  <c r="R630" i="48" s="1"/>
  <c r="R631" i="48" s="1"/>
  <c r="R632" i="48" s="1"/>
  <c r="R633" i="48" s="1"/>
  <c r="R634" i="48" s="1"/>
  <c r="R635" i="48" s="1"/>
  <c r="R636" i="48" s="1"/>
  <c r="R637" i="48" s="1"/>
  <c r="R638" i="48" s="1"/>
  <c r="R639" i="48" s="1"/>
  <c r="R640" i="48" s="1"/>
  <c r="U81" i="48"/>
  <c r="E18" i="48"/>
  <c r="J141" i="48"/>
  <c r="I141" i="48"/>
  <c r="U141" i="48" s="1"/>
  <c r="G19" i="48"/>
  <c r="J83" i="48" l="1"/>
  <c r="I83" i="48"/>
  <c r="U83" i="48" s="1"/>
  <c r="D20" i="48"/>
  <c r="C20" i="48"/>
  <c r="O19" i="48"/>
  <c r="J20" i="48"/>
  <c r="I20" i="48"/>
  <c r="S19" i="48"/>
  <c r="J142" i="48"/>
  <c r="I142" i="48"/>
  <c r="U142" i="48" s="1"/>
  <c r="E19" i="48"/>
  <c r="A19" i="48"/>
  <c r="U20" i="48" l="1"/>
  <c r="I21" i="48"/>
  <c r="U21" i="48" s="1"/>
  <c r="J21" i="48"/>
  <c r="S20" i="48"/>
  <c r="S21" i="48" s="1"/>
  <c r="Q20" i="48"/>
  <c r="C21" i="48"/>
  <c r="Q21" i="48" s="1"/>
  <c r="D21" i="48"/>
  <c r="O21" i="48" s="1"/>
  <c r="O20" i="48"/>
  <c r="G20" i="48"/>
  <c r="A20" i="48"/>
  <c r="E20" i="48"/>
  <c r="J84" i="48"/>
  <c r="I84" i="48"/>
  <c r="U84" i="48" s="1"/>
  <c r="J143" i="48"/>
  <c r="I143" i="48"/>
  <c r="U143" i="48" s="1"/>
  <c r="J22" i="48" l="1"/>
  <c r="S22" i="48"/>
  <c r="I22" i="48"/>
  <c r="J85" i="48"/>
  <c r="I85" i="48"/>
  <c r="U85" i="48" s="1"/>
  <c r="E21" i="48"/>
  <c r="D22" i="48"/>
  <c r="C22" i="48"/>
  <c r="Q22" i="48" s="1"/>
  <c r="J144" i="48"/>
  <c r="I144" i="48"/>
  <c r="U144" i="48" s="1"/>
  <c r="A21" i="48"/>
  <c r="G21" i="48"/>
  <c r="G22" i="48" s="1"/>
  <c r="I145" i="48" l="1"/>
  <c r="U145" i="48" s="1"/>
  <c r="J145" i="48"/>
  <c r="D23" i="48"/>
  <c r="C23" i="48"/>
  <c r="Q23" i="48" s="1"/>
  <c r="O22" i="48"/>
  <c r="O23" i="48" s="1"/>
  <c r="E22" i="48"/>
  <c r="J86" i="48"/>
  <c r="I86" i="48"/>
  <c r="U86" i="48" s="1"/>
  <c r="U22" i="48"/>
  <c r="A22" i="48"/>
  <c r="J23" i="48"/>
  <c r="S23" i="48"/>
  <c r="I23" i="48"/>
  <c r="U23" i="48" s="1"/>
  <c r="E23" i="48" l="1"/>
  <c r="J87" i="48"/>
  <c r="I87" i="48"/>
  <c r="U87" i="48" s="1"/>
  <c r="D24" i="48"/>
  <c r="C24" i="48"/>
  <c r="Q24" i="48" s="1"/>
  <c r="A23" i="48"/>
  <c r="A24" i="48" s="1"/>
  <c r="J146" i="48"/>
  <c r="I146" i="48"/>
  <c r="U146" i="48" s="1"/>
  <c r="J24" i="48"/>
  <c r="I24" i="48"/>
  <c r="U24" i="48" s="1"/>
  <c r="G23" i="48"/>
  <c r="E24" i="48" l="1"/>
  <c r="I25" i="48"/>
  <c r="U25" i="48" s="1"/>
  <c r="J25" i="48"/>
  <c r="J147" i="48"/>
  <c r="I147" i="48"/>
  <c r="U147" i="48" s="1"/>
  <c r="D25" i="48"/>
  <c r="C25" i="48"/>
  <c r="Q25" i="48" s="1"/>
  <c r="A25" i="48"/>
  <c r="O24" i="48"/>
  <c r="O25" i="48" s="1"/>
  <c r="G24" i="48"/>
  <c r="J88" i="48"/>
  <c r="I88" i="48"/>
  <c r="U88" i="48" s="1"/>
  <c r="S24" i="48"/>
  <c r="J89" i="48" l="1"/>
  <c r="I89" i="48"/>
  <c r="U89" i="48" s="1"/>
  <c r="J26" i="48"/>
  <c r="S26" i="48" s="1"/>
  <c r="I26" i="48"/>
  <c r="U26" i="48" s="1"/>
  <c r="D26" i="48"/>
  <c r="A26" i="48" s="1"/>
  <c r="C26" i="48"/>
  <c r="Q26" i="48" s="1"/>
  <c r="J148" i="48"/>
  <c r="I148" i="48"/>
  <c r="U148" i="48" s="1"/>
  <c r="E25" i="48"/>
  <c r="G25" i="48"/>
  <c r="S25" i="48"/>
  <c r="J90" i="48" l="1"/>
  <c r="I90" i="48"/>
  <c r="U90" i="48" s="1"/>
  <c r="J149" i="48"/>
  <c r="I149" i="48"/>
  <c r="U149" i="48" s="1"/>
  <c r="D27" i="48"/>
  <c r="O27" i="48" s="1"/>
  <c r="C27" i="48"/>
  <c r="Q27" i="48" s="1"/>
  <c r="O26" i="48"/>
  <c r="J27" i="48"/>
  <c r="I27" i="48"/>
  <c r="U27" i="48" s="1"/>
  <c r="G26" i="48"/>
  <c r="E26" i="48"/>
  <c r="I28" i="48" l="1"/>
  <c r="U28" i="48" s="1"/>
  <c r="J28" i="48"/>
  <c r="S27" i="48"/>
  <c r="S28" i="48" s="1"/>
  <c r="J91" i="48"/>
  <c r="I91" i="48"/>
  <c r="U91" i="48" s="1"/>
  <c r="E27" i="48"/>
  <c r="D28" i="48"/>
  <c r="C28" i="48"/>
  <c r="Q28" i="48" s="1"/>
  <c r="J150" i="48"/>
  <c r="I150" i="48"/>
  <c r="U150" i="48" s="1"/>
  <c r="G27" i="48"/>
  <c r="G28" i="48" s="1"/>
  <c r="A27" i="48"/>
  <c r="D29" i="48" l="1"/>
  <c r="C29" i="48"/>
  <c r="Q29" i="48" s="1"/>
  <c r="J151" i="48"/>
  <c r="I151" i="48"/>
  <c r="U151" i="48" s="1"/>
  <c r="J29" i="48"/>
  <c r="S29" i="48"/>
  <c r="I29" i="48"/>
  <c r="U29" i="48" s="1"/>
  <c r="O28" i="48"/>
  <c r="E28" i="48"/>
  <c r="J92" i="48"/>
  <c r="I92" i="48"/>
  <c r="U92" i="48" s="1"/>
  <c r="A28" i="48"/>
  <c r="A29" i="48" s="1"/>
  <c r="E29" i="48" l="1"/>
  <c r="E30" i="48" s="1"/>
  <c r="J93" i="48"/>
  <c r="I93" i="48"/>
  <c r="U93" i="48" s="1"/>
  <c r="J30" i="48"/>
  <c r="S30" i="48"/>
  <c r="I30" i="48"/>
  <c r="U30" i="48" s="1"/>
  <c r="G29" i="48"/>
  <c r="G30" i="48" s="1"/>
  <c r="J152" i="48"/>
  <c r="I152" i="48"/>
  <c r="U152" i="48" s="1"/>
  <c r="D30" i="48"/>
  <c r="O30" i="48"/>
  <c r="C30" i="48"/>
  <c r="Q30" i="48" s="1"/>
  <c r="O29" i="48"/>
  <c r="D31" i="48" l="1"/>
  <c r="O31" i="48"/>
  <c r="C31" i="48"/>
  <c r="Q31" i="48" s="1"/>
  <c r="A30" i="48"/>
  <c r="A31" i="48" s="1"/>
  <c r="J153" i="48"/>
  <c r="I153" i="48"/>
  <c r="U153" i="48" s="1"/>
  <c r="J31" i="48"/>
  <c r="S31" i="48" s="1"/>
  <c r="I31" i="48"/>
  <c r="U31" i="48" s="1"/>
  <c r="E31" i="48"/>
  <c r="G31" i="48"/>
  <c r="J94" i="48"/>
  <c r="I94" i="48"/>
  <c r="U94" i="48" s="1"/>
  <c r="J95" i="48" l="1"/>
  <c r="I95" i="48"/>
  <c r="U95" i="48" s="1"/>
  <c r="J32" i="48"/>
  <c r="I32" i="48"/>
  <c r="U32" i="48" s="1"/>
  <c r="J154" i="48"/>
  <c r="I154" i="48"/>
  <c r="U154" i="48" s="1"/>
  <c r="A32" i="48"/>
  <c r="D32" i="48"/>
  <c r="O32" i="48"/>
  <c r="C32" i="48"/>
  <c r="Q32" i="48" s="1"/>
  <c r="I33" i="48" l="1"/>
  <c r="U33" i="48" s="1"/>
  <c r="J33" i="48"/>
  <c r="J155" i="48"/>
  <c r="I155" i="48"/>
  <c r="U155" i="48" s="1"/>
  <c r="S32" i="48"/>
  <c r="G32" i="48"/>
  <c r="G33" i="48" s="1"/>
  <c r="E32" i="48"/>
  <c r="J96" i="48"/>
  <c r="I96" i="48"/>
  <c r="U96" i="48" s="1"/>
  <c r="D33" i="48"/>
  <c r="C33" i="48"/>
  <c r="Q33" i="48" s="1"/>
  <c r="E33" i="48" l="1"/>
  <c r="E34" i="48" s="1"/>
  <c r="D34" i="48"/>
  <c r="C34" i="48"/>
  <c r="Q34" i="48" s="1"/>
  <c r="J97" i="48"/>
  <c r="I97" i="48"/>
  <c r="U97" i="48" s="1"/>
  <c r="I156" i="48"/>
  <c r="U156" i="48" s="1"/>
  <c r="J156" i="48"/>
  <c r="J34" i="48"/>
  <c r="I34" i="48"/>
  <c r="U34" i="48" s="1"/>
  <c r="S33" i="48"/>
  <c r="O33" i="48"/>
  <c r="A33" i="48"/>
  <c r="A34" i="48" s="1"/>
  <c r="I35" i="48" l="1"/>
  <c r="U35" i="48" s="1"/>
  <c r="J35" i="48"/>
  <c r="J98" i="48"/>
  <c r="I98" i="48"/>
  <c r="U98" i="48" s="1"/>
  <c r="D35" i="48"/>
  <c r="O35" i="48" s="1"/>
  <c r="C35" i="48"/>
  <c r="Q35" i="48" s="1"/>
  <c r="S34" i="48"/>
  <c r="S35" i="48" s="1"/>
  <c r="J157" i="48"/>
  <c r="I157" i="48"/>
  <c r="U157" i="48" s="1"/>
  <c r="G34" i="48"/>
  <c r="G35" i="48" s="1"/>
  <c r="O34" i="48"/>
  <c r="E35" i="48" l="1"/>
  <c r="I158" i="48"/>
  <c r="U158" i="48" s="1"/>
  <c r="J158" i="48"/>
  <c r="D36" i="48"/>
  <c r="C36" i="48"/>
  <c r="Q36" i="48" s="1"/>
  <c r="J99" i="48"/>
  <c r="I99" i="48"/>
  <c r="U99" i="48" s="1"/>
  <c r="J36" i="48"/>
  <c r="S36" i="48"/>
  <c r="I36" i="48"/>
  <c r="U36" i="48" s="1"/>
  <c r="A35" i="48"/>
  <c r="A36" i="48" s="1"/>
  <c r="G36" i="48"/>
  <c r="E36" i="48" l="1"/>
  <c r="J37" i="48"/>
  <c r="S37" i="48"/>
  <c r="I37" i="48"/>
  <c r="U37" i="48" s="1"/>
  <c r="J100" i="48"/>
  <c r="I100" i="48"/>
  <c r="U100" i="48" s="1"/>
  <c r="D37" i="48"/>
  <c r="A37" i="48" s="1"/>
  <c r="C37" i="48"/>
  <c r="Q37" i="48" s="1"/>
  <c r="O36" i="48"/>
  <c r="I159" i="48"/>
  <c r="U159" i="48" s="1"/>
  <c r="J159" i="48"/>
  <c r="O37" i="48" l="1"/>
  <c r="D38" i="48"/>
  <c r="O38" i="48"/>
  <c r="C38" i="48"/>
  <c r="Q38" i="48" s="1"/>
  <c r="J101" i="48"/>
  <c r="I101" i="48"/>
  <c r="U101" i="48" s="1"/>
  <c r="J38" i="48"/>
  <c r="S38" i="48"/>
  <c r="I38" i="48"/>
  <c r="U38" i="48" s="1"/>
  <c r="J160" i="48"/>
  <c r="I160" i="48"/>
  <c r="U160" i="48" s="1"/>
  <c r="E37" i="48"/>
  <c r="G37" i="48"/>
  <c r="J102" i="48" l="1"/>
  <c r="I102" i="48"/>
  <c r="U102" i="48" s="1"/>
  <c r="J161" i="48"/>
  <c r="I161" i="48"/>
  <c r="U161" i="48" s="1"/>
  <c r="J39" i="48"/>
  <c r="I39" i="48"/>
  <c r="U39" i="48" s="1"/>
  <c r="G38" i="48"/>
  <c r="G39" i="48" s="1"/>
  <c r="D39" i="48"/>
  <c r="O39" i="48"/>
  <c r="C39" i="48"/>
  <c r="Q39" i="48" s="1"/>
  <c r="E38" i="48"/>
  <c r="A38" i="48"/>
  <c r="E39" i="48" l="1"/>
  <c r="D40" i="48"/>
  <c r="O40" i="48"/>
  <c r="C40" i="48"/>
  <c r="Q40" i="48" s="1"/>
  <c r="J40" i="48"/>
  <c r="I40" i="48"/>
  <c r="U40" i="48" s="1"/>
  <c r="S39" i="48"/>
  <c r="S40" i="48" s="1"/>
  <c r="J162" i="48"/>
  <c r="I162" i="48"/>
  <c r="U162" i="48" s="1"/>
  <c r="G40" i="48"/>
  <c r="A39" i="48"/>
  <c r="A40" i="48" s="1"/>
  <c r="I103" i="48"/>
  <c r="U103" i="48" s="1"/>
  <c r="J103" i="48"/>
  <c r="E40" i="48" l="1"/>
  <c r="G41" i="48"/>
  <c r="J104" i="48"/>
  <c r="I104" i="48"/>
  <c r="U104" i="48" s="1"/>
  <c r="J163" i="48"/>
  <c r="I163" i="48"/>
  <c r="U163" i="48" s="1"/>
  <c r="D41" i="48"/>
  <c r="O41" i="48"/>
  <c r="C41" i="48"/>
  <c r="Q41" i="48" s="1"/>
  <c r="J41" i="48"/>
  <c r="I41" i="48"/>
  <c r="U41" i="48" s="1"/>
  <c r="G42" i="48" l="1"/>
  <c r="J42" i="48"/>
  <c r="I42" i="48"/>
  <c r="U42" i="48" s="1"/>
  <c r="S41" i="48"/>
  <c r="D42" i="48"/>
  <c r="O42" i="48"/>
  <c r="C42" i="48"/>
  <c r="Q42" i="48" s="1"/>
  <c r="J164" i="48"/>
  <c r="I164" i="48"/>
  <c r="U164" i="48" s="1"/>
  <c r="J105" i="48"/>
  <c r="I105" i="48"/>
  <c r="U105" i="48" s="1"/>
  <c r="A41" i="48"/>
  <c r="A42" i="48" s="1"/>
  <c r="E41" i="48"/>
  <c r="J106" i="48" l="1"/>
  <c r="I106" i="48"/>
  <c r="U106" i="48" s="1"/>
  <c r="D43" i="48"/>
  <c r="C43" i="48"/>
  <c r="Q43" i="48" s="1"/>
  <c r="J43" i="48"/>
  <c r="I43" i="48"/>
  <c r="U43" i="48" s="1"/>
  <c r="J165" i="48"/>
  <c r="I165" i="48"/>
  <c r="U165" i="48" s="1"/>
  <c r="E42" i="48"/>
  <c r="S42" i="48"/>
  <c r="E43" i="48" l="1"/>
  <c r="J166" i="48"/>
  <c r="I166" i="48"/>
  <c r="U166" i="48" s="1"/>
  <c r="I44" i="48"/>
  <c r="U44" i="48" s="1"/>
  <c r="J44" i="48"/>
  <c r="S43" i="48"/>
  <c r="D44" i="48"/>
  <c r="C44" i="48"/>
  <c r="Q44" i="48" s="1"/>
  <c r="O43" i="48"/>
  <c r="G43" i="48"/>
  <c r="G44" i="48" s="1"/>
  <c r="A43" i="48"/>
  <c r="A44" i="48" s="1"/>
  <c r="J107" i="48"/>
  <c r="I107" i="48"/>
  <c r="U107" i="48" s="1"/>
  <c r="E44" i="48" l="1"/>
  <c r="D45" i="48"/>
  <c r="A45" i="48" s="1"/>
  <c r="C45" i="48"/>
  <c r="Q45" i="48" s="1"/>
  <c r="O44" i="48"/>
  <c r="J45" i="48"/>
  <c r="I45" i="48"/>
  <c r="U45" i="48" s="1"/>
  <c r="S44" i="48"/>
  <c r="J167" i="48"/>
  <c r="I167" i="48"/>
  <c r="U167" i="48" s="1"/>
  <c r="J108" i="48"/>
  <c r="I108" i="48"/>
  <c r="U108" i="48" s="1"/>
  <c r="J168" i="48" l="1"/>
  <c r="I168" i="48"/>
  <c r="U168" i="48" s="1"/>
  <c r="J46" i="48"/>
  <c r="I46" i="48"/>
  <c r="U46" i="48" s="1"/>
  <c r="S45" i="48"/>
  <c r="S46" i="48" s="1"/>
  <c r="E45" i="48"/>
  <c r="D46" i="48"/>
  <c r="O46" i="48" s="1"/>
  <c r="C46" i="48"/>
  <c r="Q46" i="48" s="1"/>
  <c r="O45" i="48"/>
  <c r="J109" i="48"/>
  <c r="I109" i="48"/>
  <c r="U109" i="48" s="1"/>
  <c r="G45" i="48"/>
  <c r="E46" i="48" l="1"/>
  <c r="G46" i="48"/>
  <c r="G47" i="48" s="1"/>
  <c r="D47" i="48"/>
  <c r="C47" i="48"/>
  <c r="Q47" i="48" s="1"/>
  <c r="I47" i="48"/>
  <c r="U47" i="48" s="1"/>
  <c r="J47" i="48"/>
  <c r="S47" i="48"/>
  <c r="J169" i="48"/>
  <c r="I169" i="48"/>
  <c r="U169" i="48" s="1"/>
  <c r="J110" i="48"/>
  <c r="I110" i="48"/>
  <c r="U110" i="48" s="1"/>
  <c r="A46" i="48"/>
  <c r="A47" i="48" s="1"/>
  <c r="E47" i="48" l="1"/>
  <c r="J111" i="48"/>
  <c r="I111" i="48"/>
  <c r="U111" i="48" s="1"/>
  <c r="J170" i="48"/>
  <c r="I170" i="48"/>
  <c r="U170" i="48" s="1"/>
  <c r="J48" i="48"/>
  <c r="G48" i="48" s="1"/>
  <c r="S48" i="48"/>
  <c r="I48" i="48"/>
  <c r="U48" i="48" s="1"/>
  <c r="O48" i="48"/>
  <c r="D48" i="48"/>
  <c r="C48" i="48"/>
  <c r="Q48" i="48" s="1"/>
  <c r="O47" i="48"/>
  <c r="E48" i="48" l="1"/>
  <c r="J112" i="48"/>
  <c r="I112" i="48"/>
  <c r="U112" i="48" s="1"/>
  <c r="J49" i="48"/>
  <c r="S49" i="48"/>
  <c r="I49" i="48"/>
  <c r="U49" i="48" s="1"/>
  <c r="J171" i="48"/>
  <c r="I171" i="48"/>
  <c r="U171" i="48" s="1"/>
  <c r="D49" i="48"/>
  <c r="O49" i="48"/>
  <c r="C49" i="48"/>
  <c r="Q49" i="48" s="1"/>
  <c r="A48" i="48"/>
  <c r="E49" i="48" l="1"/>
  <c r="D50" i="48"/>
  <c r="C50" i="48"/>
  <c r="Q50" i="48" s="1"/>
  <c r="I172" i="48"/>
  <c r="U172" i="48" s="1"/>
  <c r="J172" i="48"/>
  <c r="J50" i="48"/>
  <c r="S50" i="48"/>
  <c r="I50" i="48"/>
  <c r="U50" i="48" s="1"/>
  <c r="A49" i="48"/>
  <c r="A50" i="48" s="1"/>
  <c r="I113" i="48"/>
  <c r="U113" i="48" s="1"/>
  <c r="J113" i="48"/>
  <c r="G49" i="48"/>
  <c r="E50" i="48" l="1"/>
  <c r="J51" i="48"/>
  <c r="I51" i="48"/>
  <c r="U51" i="48" s="1"/>
  <c r="I173" i="48"/>
  <c r="U173" i="48" s="1"/>
  <c r="J173" i="48"/>
  <c r="I114" i="48"/>
  <c r="U114" i="48" s="1"/>
  <c r="J114" i="48"/>
  <c r="D51" i="48"/>
  <c r="O51" i="48" s="1"/>
  <c r="C51" i="48"/>
  <c r="Q51" i="48" s="1"/>
  <c r="G50" i="48"/>
  <c r="G51" i="48" s="1"/>
  <c r="O50" i="48"/>
  <c r="E51" i="48" l="1"/>
  <c r="I174" i="48"/>
  <c r="U174" i="48" s="1"/>
  <c r="J174" i="48"/>
  <c r="J52" i="48"/>
  <c r="I52" i="48"/>
  <c r="U52" i="48" s="1"/>
  <c r="S51" i="48"/>
  <c r="S52" i="48" s="1"/>
  <c r="D52" i="48"/>
  <c r="C52" i="48"/>
  <c r="Q52" i="48" s="1"/>
  <c r="J115" i="48"/>
  <c r="I115" i="48"/>
  <c r="U115" i="48" s="1"/>
  <c r="A51" i="48"/>
  <c r="D53" i="48" l="1"/>
  <c r="C53" i="48"/>
  <c r="Q53" i="48" s="1"/>
  <c r="O52" i="48"/>
  <c r="A52" i="48"/>
  <c r="A53" i="48" s="1"/>
  <c r="E52" i="48"/>
  <c r="J53" i="48"/>
  <c r="S53" i="48"/>
  <c r="I53" i="48"/>
  <c r="U53" i="48" s="1"/>
  <c r="G52" i="48"/>
  <c r="G53" i="48" s="1"/>
  <c r="J175" i="48"/>
  <c r="I175" i="48"/>
  <c r="U175" i="48" s="1"/>
  <c r="I116" i="48"/>
  <c r="U116" i="48" s="1"/>
  <c r="J116" i="48"/>
  <c r="E53" i="48" l="1"/>
  <c r="D54" i="48"/>
  <c r="C54" i="48"/>
  <c r="Q54" i="48" s="1"/>
  <c r="J176" i="48"/>
  <c r="I176" i="48"/>
  <c r="U176" i="48" s="1"/>
  <c r="J54" i="48"/>
  <c r="S54" i="48"/>
  <c r="I54" i="48"/>
  <c r="U54" i="48" s="1"/>
  <c r="A54" i="48"/>
  <c r="J117" i="48"/>
  <c r="I117" i="48"/>
  <c r="U117" i="48" s="1"/>
  <c r="O53" i="48"/>
  <c r="I118" i="48" l="1"/>
  <c r="U118" i="48" s="1"/>
  <c r="J118" i="48"/>
  <c r="J55" i="48"/>
  <c r="S55" i="48"/>
  <c r="I55" i="48"/>
  <c r="U55" i="48" s="1"/>
  <c r="C55" i="48"/>
  <c r="Q55" i="48" s="1"/>
  <c r="D55" i="48"/>
  <c r="E54" i="48"/>
  <c r="A55" i="48"/>
  <c r="J177" i="48"/>
  <c r="I177" i="48"/>
  <c r="U177" i="48" s="1"/>
  <c r="O54" i="48"/>
  <c r="G54" i="48"/>
  <c r="G55" i="48" s="1"/>
  <c r="J178" i="48" l="1"/>
  <c r="I178" i="48"/>
  <c r="U178" i="48" s="1"/>
  <c r="E55" i="48"/>
  <c r="D56" i="48"/>
  <c r="C56" i="48"/>
  <c r="Q56" i="48" s="1"/>
  <c r="J56" i="48"/>
  <c r="S56" i="48"/>
  <c r="I56" i="48"/>
  <c r="U56" i="48" s="1"/>
  <c r="A56" i="48"/>
  <c r="O55" i="48"/>
  <c r="O56" i="48" s="1"/>
  <c r="G56" i="48"/>
  <c r="J119" i="48"/>
  <c r="I119" i="48"/>
  <c r="U119" i="48" s="1"/>
  <c r="J120" i="48" l="1"/>
  <c r="I120" i="48"/>
  <c r="U120" i="48" s="1"/>
  <c r="J57" i="48"/>
  <c r="S57" i="48"/>
  <c r="I57" i="48"/>
  <c r="U57" i="48" s="1"/>
  <c r="D57" i="48"/>
  <c r="A57" i="48" s="1"/>
  <c r="C57" i="48"/>
  <c r="Q57" i="48" s="1"/>
  <c r="E56" i="48"/>
  <c r="J179" i="48"/>
  <c r="I179" i="48"/>
  <c r="U179" i="48" s="1"/>
  <c r="E57" i="48" l="1"/>
  <c r="J58" i="48"/>
  <c r="I58" i="48"/>
  <c r="U58" i="48" s="1"/>
  <c r="J121" i="48"/>
  <c r="I121" i="48"/>
  <c r="U121" i="48" s="1"/>
  <c r="D58" i="48"/>
  <c r="C58" i="48"/>
  <c r="Q58" i="48" s="1"/>
  <c r="O57" i="48"/>
  <c r="J180" i="48"/>
  <c r="I180" i="48"/>
  <c r="U180" i="48" s="1"/>
  <c r="G57" i="48"/>
  <c r="J59" i="48" l="1"/>
  <c r="I59" i="48"/>
  <c r="U59" i="48" s="1"/>
  <c r="S58" i="48"/>
  <c r="S59" i="48" s="1"/>
  <c r="E58" i="48"/>
  <c r="I181" i="48"/>
  <c r="U181" i="48" s="1"/>
  <c r="J181" i="48"/>
  <c r="D59" i="48"/>
  <c r="O59" i="48" s="1"/>
  <c r="C59" i="48"/>
  <c r="Q59" i="48" s="1"/>
  <c r="O58" i="48"/>
  <c r="J122" i="48"/>
  <c r="I122" i="48"/>
  <c r="U122" i="48" s="1"/>
  <c r="G58" i="48"/>
  <c r="G59" i="48" s="1"/>
  <c r="A58" i="48"/>
  <c r="A59" i="48" l="1"/>
  <c r="J123" i="48"/>
  <c r="I123" i="48"/>
  <c r="U123" i="48" s="1"/>
  <c r="D60" i="48"/>
  <c r="C60" i="48"/>
  <c r="Q60" i="48" s="1"/>
  <c r="J182" i="48"/>
  <c r="I182" i="48"/>
  <c r="U182" i="48" s="1"/>
  <c r="E59" i="48"/>
  <c r="G60" i="48"/>
  <c r="J60" i="48"/>
  <c r="S60" i="48" s="1"/>
  <c r="I60" i="48"/>
  <c r="U60" i="48" s="1"/>
  <c r="E60" i="48" l="1"/>
  <c r="J183" i="48"/>
  <c r="I183" i="48"/>
  <c r="U183" i="48" s="1"/>
  <c r="D61" i="48"/>
  <c r="C61" i="48"/>
  <c r="Q61" i="48" s="1"/>
  <c r="O60" i="48"/>
  <c r="J124" i="48"/>
  <c r="I124" i="48"/>
  <c r="U124" i="48" s="1"/>
  <c r="E61" i="48"/>
  <c r="J61" i="48"/>
  <c r="S61" i="48"/>
  <c r="I61" i="48"/>
  <c r="U61" i="48" s="1"/>
  <c r="A60" i="48"/>
  <c r="J125" i="48" l="1"/>
  <c r="I125" i="48"/>
  <c r="U125" i="48" s="1"/>
  <c r="D62" i="48"/>
  <c r="C62" i="48"/>
  <c r="Q62" i="48" s="1"/>
  <c r="J184" i="48"/>
  <c r="I184" i="48"/>
  <c r="U184" i="48" s="1"/>
  <c r="O61" i="48"/>
  <c r="A61" i="48"/>
  <c r="A62" i="48" s="1"/>
  <c r="J62" i="48"/>
  <c r="S62" i="48"/>
  <c r="I62" i="48"/>
  <c r="U62" i="48" s="1"/>
  <c r="G61" i="48"/>
  <c r="E62" i="48" l="1"/>
  <c r="J63" i="48"/>
  <c r="S63" i="48"/>
  <c r="I63" i="48"/>
  <c r="U63" i="48" s="1"/>
  <c r="J185" i="48"/>
  <c r="I185" i="48"/>
  <c r="U185" i="48" s="1"/>
  <c r="G62" i="48"/>
  <c r="G63" i="48" s="1"/>
  <c r="J126" i="48"/>
  <c r="I126" i="48"/>
  <c r="U126" i="48" s="1"/>
  <c r="D63" i="48"/>
  <c r="O63" i="48"/>
  <c r="C63" i="48"/>
  <c r="Q63" i="48" s="1"/>
  <c r="O62" i="48"/>
  <c r="E63" i="48" l="1"/>
  <c r="D64" i="48"/>
  <c r="C64" i="48"/>
  <c r="Q64" i="48" s="1"/>
  <c r="A63" i="48"/>
  <c r="A64" i="48" s="1"/>
  <c r="J127" i="48"/>
  <c r="I127" i="48"/>
  <c r="U127" i="48" s="1"/>
  <c r="J186" i="48"/>
  <c r="I186" i="48"/>
  <c r="U186" i="48" s="1"/>
  <c r="J64" i="48"/>
  <c r="I64" i="48"/>
  <c r="U64" i="48" s="1"/>
  <c r="E64" i="48" l="1"/>
  <c r="I65" i="48"/>
  <c r="U65" i="48" s="1"/>
  <c r="J65" i="48"/>
  <c r="D65" i="48"/>
  <c r="C65" i="48"/>
  <c r="Q65" i="48" s="1"/>
  <c r="O64" i="48"/>
  <c r="J187" i="48"/>
  <c r="I187" i="48"/>
  <c r="U187" i="48" s="1"/>
  <c r="J128" i="48"/>
  <c r="I128" i="48"/>
  <c r="U128" i="48" s="1"/>
  <c r="G64" i="48"/>
  <c r="G65" i="48" s="1"/>
  <c r="S64" i="48"/>
  <c r="J129" i="48" l="1"/>
  <c r="I129" i="48"/>
  <c r="U129" i="48" s="1"/>
  <c r="D66" i="48"/>
  <c r="C66" i="48"/>
  <c r="Q66" i="48" s="1"/>
  <c r="O65" i="48"/>
  <c r="O66" i="48" s="1"/>
  <c r="A65" i="48"/>
  <c r="A66" i="48" s="1"/>
  <c r="J66" i="48"/>
  <c r="G66" i="48" s="1"/>
  <c r="S66" i="48"/>
  <c r="I66" i="48"/>
  <c r="U66" i="48" s="1"/>
  <c r="E65" i="48"/>
  <c r="J188" i="48"/>
  <c r="I188" i="48"/>
  <c r="U188" i="48" s="1"/>
  <c r="S65" i="48"/>
  <c r="E66" i="48" l="1"/>
  <c r="J189" i="48"/>
  <c r="I189" i="48"/>
  <c r="U189" i="48" s="1"/>
  <c r="A67" i="48"/>
  <c r="J130" i="48"/>
  <c r="I130" i="48"/>
  <c r="U130" i="48" s="1"/>
  <c r="J67" i="48"/>
  <c r="S67" i="48" s="1"/>
  <c r="I67" i="48"/>
  <c r="U67" i="48" s="1"/>
  <c r="O67" i="48"/>
  <c r="D67" i="48"/>
  <c r="C67" i="48"/>
  <c r="Q67" i="48" s="1"/>
  <c r="E67" i="48" l="1"/>
  <c r="J131" i="48"/>
  <c r="I131" i="48"/>
  <c r="U131" i="48" s="1"/>
  <c r="J190" i="48"/>
  <c r="I190" i="48"/>
  <c r="U190" i="48" s="1"/>
  <c r="J68" i="48"/>
  <c r="I68" i="48"/>
  <c r="U68" i="48" s="1"/>
  <c r="D68" i="48"/>
  <c r="A68" i="48" s="1"/>
  <c r="C68" i="48"/>
  <c r="Q68" i="48" s="1"/>
  <c r="G67" i="48"/>
  <c r="O68" i="48" l="1"/>
  <c r="E68" i="48"/>
  <c r="J191" i="48"/>
  <c r="I191" i="48"/>
  <c r="U191" i="48" s="1"/>
  <c r="D69" i="48"/>
  <c r="C69" i="48"/>
  <c r="Q69" i="48" s="1"/>
  <c r="J69" i="48"/>
  <c r="I69" i="48"/>
  <c r="U69" i="48" s="1"/>
  <c r="S68" i="48"/>
  <c r="G68" i="48"/>
  <c r="G69" i="48" s="1"/>
  <c r="J132" i="48"/>
  <c r="I132" i="48"/>
  <c r="U132" i="48" s="1"/>
  <c r="J192" i="48" l="1"/>
  <c r="I192" i="48"/>
  <c r="U192" i="48" s="1"/>
  <c r="J70" i="48"/>
  <c r="I70" i="48"/>
  <c r="U70" i="48" s="1"/>
  <c r="S69" i="48"/>
  <c r="D70" i="48"/>
  <c r="C70" i="48"/>
  <c r="Q70" i="48" s="1"/>
  <c r="O69" i="48"/>
  <c r="E69" i="48"/>
  <c r="J133" i="48"/>
  <c r="I133" i="48"/>
  <c r="U133" i="48" s="1"/>
  <c r="A69" i="48"/>
  <c r="J134" i="48" l="1"/>
  <c r="I134" i="48"/>
  <c r="U134" i="48" s="1"/>
  <c r="E70" i="48"/>
  <c r="D71" i="48"/>
  <c r="C71" i="48"/>
  <c r="Q71" i="48" s="1"/>
  <c r="O70" i="48"/>
  <c r="A70" i="48"/>
  <c r="A71" i="48" s="1"/>
  <c r="J71" i="48"/>
  <c r="I71" i="48"/>
  <c r="U71" i="48" s="1"/>
  <c r="S70" i="48"/>
  <c r="G70" i="48"/>
  <c r="G71" i="48" s="1"/>
  <c r="J193" i="48"/>
  <c r="I193" i="48"/>
  <c r="U193" i="48" s="1"/>
  <c r="D72" i="48" l="1"/>
  <c r="A72" i="48" s="1"/>
  <c r="C72" i="48"/>
  <c r="Q72" i="48" s="1"/>
  <c r="J194" i="48"/>
  <c r="I194" i="48"/>
  <c r="U194" i="48" s="1"/>
  <c r="J72" i="48"/>
  <c r="I72" i="48"/>
  <c r="U72" i="48" s="1"/>
  <c r="S71" i="48"/>
  <c r="O71" i="48"/>
  <c r="O72" i="48" s="1"/>
  <c r="E71" i="48"/>
  <c r="E72" i="48" s="1"/>
  <c r="J135" i="48"/>
  <c r="I135" i="48"/>
  <c r="U135" i="48" s="1"/>
  <c r="J73" i="48" l="1"/>
  <c r="I73" i="48"/>
  <c r="U73" i="48" s="1"/>
  <c r="S72" i="48"/>
  <c r="J195" i="48"/>
  <c r="I195" i="48"/>
  <c r="U195" i="48" s="1"/>
  <c r="D73" i="48"/>
  <c r="C73" i="48"/>
  <c r="Q73" i="48" s="1"/>
  <c r="I136" i="48"/>
  <c r="U136" i="48" s="1"/>
  <c r="G72" i="48"/>
  <c r="G73" i="48" s="1"/>
  <c r="D74" i="48" l="1"/>
  <c r="C74" i="48"/>
  <c r="Q74" i="48" s="1"/>
  <c r="O73" i="48"/>
  <c r="O74" i="48" s="1"/>
  <c r="J196" i="48"/>
  <c r="I196" i="48"/>
  <c r="I74" i="48"/>
  <c r="U74" i="48" s="1"/>
  <c r="J74" i="48"/>
  <c r="S74" i="48" s="1"/>
  <c r="S73" i="48"/>
  <c r="E73" i="48"/>
  <c r="E74" i="48" s="1"/>
  <c r="G74" i="48"/>
  <c r="A73" i="48"/>
  <c r="A74" i="48" s="1"/>
  <c r="J75" i="48" l="1"/>
  <c r="S75" i="48"/>
  <c r="I75" i="48"/>
  <c r="U75" i="48" s="1"/>
  <c r="U196" i="48"/>
  <c r="J197" i="48"/>
  <c r="D75" i="48"/>
  <c r="O75" i="48"/>
  <c r="C75" i="48"/>
  <c r="Q75" i="48" s="1"/>
  <c r="D76" i="48" l="1"/>
  <c r="C76" i="48"/>
  <c r="Q76" i="48" s="1"/>
  <c r="J198" i="48"/>
  <c r="E75" i="48"/>
  <c r="A75" i="48"/>
  <c r="A76" i="48" s="1"/>
  <c r="S76" i="48"/>
  <c r="I76" i="48"/>
  <c r="G75" i="48"/>
  <c r="G76" i="48" s="1"/>
  <c r="G77" i="48" s="1"/>
  <c r="G78" i="48" s="1"/>
  <c r="G79" i="48" s="1"/>
  <c r="G80" i="48" s="1"/>
  <c r="G81" i="48" s="1"/>
  <c r="G82" i="48" s="1"/>
  <c r="G83" i="48" s="1"/>
  <c r="G84" i="48" s="1"/>
  <c r="G85" i="48" s="1"/>
  <c r="G86" i="48" s="1"/>
  <c r="G87" i="48" s="1"/>
  <c r="G88" i="48" s="1"/>
  <c r="G89" i="48" s="1"/>
  <c r="G90" i="48" s="1"/>
  <c r="G91" i="48" s="1"/>
  <c r="G92" i="48" s="1"/>
  <c r="G93" i="48" s="1"/>
  <c r="G94" i="48" s="1"/>
  <c r="G95" i="48" s="1"/>
  <c r="G96" i="48" s="1"/>
  <c r="G97" i="48" s="1"/>
  <c r="G98" i="48" s="1"/>
  <c r="G99" i="48" s="1"/>
  <c r="G100" i="48" s="1"/>
  <c r="G101" i="48" s="1"/>
  <c r="G102" i="48" s="1"/>
  <c r="G103" i="48" s="1"/>
  <c r="G104" i="48" s="1"/>
  <c r="G105" i="48" s="1"/>
  <c r="G106" i="48" s="1"/>
  <c r="G107" i="48" s="1"/>
  <c r="G108" i="48" s="1"/>
  <c r="G109" i="48" s="1"/>
  <c r="G110" i="48" s="1"/>
  <c r="G111" i="48" s="1"/>
  <c r="G112" i="48" s="1"/>
  <c r="G113" i="48" s="1"/>
  <c r="G114" i="48" s="1"/>
  <c r="G115" i="48" s="1"/>
  <c r="G116" i="48" s="1"/>
  <c r="G117" i="48" s="1"/>
  <c r="G118" i="48" s="1"/>
  <c r="G119" i="48" s="1"/>
  <c r="G120" i="48" s="1"/>
  <c r="G121" i="48" s="1"/>
  <c r="G122" i="48" s="1"/>
  <c r="G123" i="48" s="1"/>
  <c r="G124" i="48" s="1"/>
  <c r="G125" i="48" s="1"/>
  <c r="G126" i="48" s="1"/>
  <c r="G127" i="48" s="1"/>
  <c r="G128" i="48" s="1"/>
  <c r="G129" i="48" s="1"/>
  <c r="G130" i="48" s="1"/>
  <c r="G131" i="48" s="1"/>
  <c r="G132" i="48" s="1"/>
  <c r="G133" i="48" s="1"/>
  <c r="G134" i="48" s="1"/>
  <c r="G135" i="48" s="1"/>
  <c r="G136" i="48" s="1"/>
  <c r="G137" i="48" s="1"/>
  <c r="G138" i="48" s="1"/>
  <c r="G139" i="48" s="1"/>
  <c r="G140" i="48" s="1"/>
  <c r="G141" i="48" s="1"/>
  <c r="G142" i="48" s="1"/>
  <c r="G143" i="48" s="1"/>
  <c r="G144" i="48" s="1"/>
  <c r="G145" i="48" s="1"/>
  <c r="G146" i="48" s="1"/>
  <c r="G147" i="48" s="1"/>
  <c r="G148" i="48" s="1"/>
  <c r="G149" i="48" s="1"/>
  <c r="G150" i="48" s="1"/>
  <c r="G151" i="48" s="1"/>
  <c r="G152" i="48" s="1"/>
  <c r="G153" i="48" s="1"/>
  <c r="G154" i="48" s="1"/>
  <c r="G155" i="48" s="1"/>
  <c r="G156" i="48" s="1"/>
  <c r="G157" i="48" s="1"/>
  <c r="G158" i="48" s="1"/>
  <c r="G159" i="48" s="1"/>
  <c r="G160" i="48" s="1"/>
  <c r="G161" i="48" s="1"/>
  <c r="G162" i="48" s="1"/>
  <c r="G163" i="48" s="1"/>
  <c r="G164" i="48" s="1"/>
  <c r="G165" i="48" s="1"/>
  <c r="G166" i="48" s="1"/>
  <c r="G167" i="48" s="1"/>
  <c r="G168" i="48" s="1"/>
  <c r="G169" i="48" s="1"/>
  <c r="G170" i="48" s="1"/>
  <c r="G171" i="48" s="1"/>
  <c r="G172" i="48" s="1"/>
  <c r="G173" i="48" s="1"/>
  <c r="G174" i="48" s="1"/>
  <c r="G175" i="48" s="1"/>
  <c r="G176" i="48" s="1"/>
  <c r="G177" i="48" s="1"/>
  <c r="G178" i="48" s="1"/>
  <c r="G179" i="48" s="1"/>
  <c r="G180" i="48" s="1"/>
  <c r="G181" i="48" s="1"/>
  <c r="G182" i="48" s="1"/>
  <c r="G183" i="48" s="1"/>
  <c r="G184" i="48" s="1"/>
  <c r="G185" i="48" s="1"/>
  <c r="G186" i="48" s="1"/>
  <c r="G187" i="48" s="1"/>
  <c r="G188" i="48" s="1"/>
  <c r="G189" i="48" s="1"/>
  <c r="G190" i="48" s="1"/>
  <c r="G191" i="48" s="1"/>
  <c r="G192" i="48" s="1"/>
  <c r="G193" i="48" s="1"/>
  <c r="G194" i="48" s="1"/>
  <c r="G195" i="48" s="1"/>
  <c r="G196" i="48" s="1"/>
  <c r="G197" i="48" s="1"/>
  <c r="G198" i="48" s="1"/>
  <c r="E76" i="48" l="1"/>
  <c r="U76" i="48"/>
  <c r="U16" i="48" s="1"/>
  <c r="E670" i="48" s="1"/>
  <c r="I12" i="48"/>
  <c r="J199" i="48"/>
  <c r="S77" i="48"/>
  <c r="S78" i="48" s="1"/>
  <c r="S79" i="48" s="1"/>
  <c r="S80" i="48" s="1"/>
  <c r="S81" i="48" s="1"/>
  <c r="S82" i="48" s="1"/>
  <c r="S83" i="48" s="1"/>
  <c r="S84" i="48" s="1"/>
  <c r="S85" i="48" s="1"/>
  <c r="S86" i="48" s="1"/>
  <c r="S87" i="48" s="1"/>
  <c r="S88" i="48" s="1"/>
  <c r="S89" i="48" s="1"/>
  <c r="S90" i="48" s="1"/>
  <c r="S91" i="48" s="1"/>
  <c r="S92" i="48" s="1"/>
  <c r="S93" i="48" s="1"/>
  <c r="S94" i="48" s="1"/>
  <c r="S95" i="48" s="1"/>
  <c r="S96" i="48" s="1"/>
  <c r="S97" i="48" s="1"/>
  <c r="S98" i="48" s="1"/>
  <c r="S99" i="48" s="1"/>
  <c r="S100" i="48" s="1"/>
  <c r="S101" i="48" s="1"/>
  <c r="S102" i="48" s="1"/>
  <c r="S103" i="48" s="1"/>
  <c r="S104" i="48" s="1"/>
  <c r="S105" i="48" s="1"/>
  <c r="S106" i="48" s="1"/>
  <c r="S107" i="48" s="1"/>
  <c r="S108" i="48" s="1"/>
  <c r="S109" i="48" s="1"/>
  <c r="S110" i="48" s="1"/>
  <c r="S111" i="48" s="1"/>
  <c r="S112" i="48" s="1"/>
  <c r="S113" i="48" s="1"/>
  <c r="S114" i="48" s="1"/>
  <c r="S115" i="48" s="1"/>
  <c r="S116" i="48" s="1"/>
  <c r="S117" i="48" s="1"/>
  <c r="S118" i="48" s="1"/>
  <c r="S119" i="48" s="1"/>
  <c r="S120" i="48" s="1"/>
  <c r="S121" i="48" s="1"/>
  <c r="S122" i="48" s="1"/>
  <c r="S123" i="48" s="1"/>
  <c r="S124" i="48" s="1"/>
  <c r="S125" i="48" s="1"/>
  <c r="S126" i="48" s="1"/>
  <c r="S127" i="48" s="1"/>
  <c r="S128" i="48" s="1"/>
  <c r="S129" i="48" s="1"/>
  <c r="S130" i="48" s="1"/>
  <c r="S131" i="48" s="1"/>
  <c r="S132" i="48" s="1"/>
  <c r="S133" i="48" s="1"/>
  <c r="S134" i="48" s="1"/>
  <c r="S135" i="48" s="1"/>
  <c r="S136" i="48"/>
  <c r="S137" i="48" s="1"/>
  <c r="S138" i="48" s="1"/>
  <c r="S139" i="48" s="1"/>
  <c r="S140" i="48" s="1"/>
  <c r="S141" i="48" s="1"/>
  <c r="S142" i="48" s="1"/>
  <c r="S143" i="48" s="1"/>
  <c r="S144" i="48" s="1"/>
  <c r="S145" i="48" s="1"/>
  <c r="S146" i="48" s="1"/>
  <c r="S147" i="48" s="1"/>
  <c r="S148" i="48" s="1"/>
  <c r="S149" i="48" s="1"/>
  <c r="S150" i="48" s="1"/>
  <c r="S151" i="48" s="1"/>
  <c r="S152" i="48" s="1"/>
  <c r="S153" i="48" s="1"/>
  <c r="S154" i="48" s="1"/>
  <c r="S155" i="48" s="1"/>
  <c r="S156" i="48" s="1"/>
  <c r="S157" i="48" s="1"/>
  <c r="S158" i="48" s="1"/>
  <c r="S159" i="48" s="1"/>
  <c r="S160" i="48" s="1"/>
  <c r="S161" i="48" s="1"/>
  <c r="S162" i="48" s="1"/>
  <c r="S163" i="48" s="1"/>
  <c r="S164" i="48" s="1"/>
  <c r="S165" i="48" s="1"/>
  <c r="S166" i="48" s="1"/>
  <c r="S167" i="48" s="1"/>
  <c r="S168" i="48" s="1"/>
  <c r="S169" i="48" s="1"/>
  <c r="S170" i="48" s="1"/>
  <c r="S171" i="48" s="1"/>
  <c r="S172" i="48" s="1"/>
  <c r="S173" i="48" s="1"/>
  <c r="S174" i="48" s="1"/>
  <c r="S175" i="48" s="1"/>
  <c r="S176" i="48" s="1"/>
  <c r="S177" i="48" s="1"/>
  <c r="S178" i="48" s="1"/>
  <c r="S179" i="48" s="1"/>
  <c r="S180" i="48" s="1"/>
  <c r="S181" i="48" s="1"/>
  <c r="S182" i="48" s="1"/>
  <c r="S183" i="48" s="1"/>
  <c r="S184" i="48" s="1"/>
  <c r="S185" i="48" s="1"/>
  <c r="S186" i="48" s="1"/>
  <c r="S187" i="48" s="1"/>
  <c r="S188" i="48" s="1"/>
  <c r="S189" i="48" s="1"/>
  <c r="S190" i="48" s="1"/>
  <c r="S191" i="48" s="1"/>
  <c r="S192" i="48" s="1"/>
  <c r="S193" i="48" s="1"/>
  <c r="S194" i="48" s="1"/>
  <c r="S195" i="48" s="1"/>
  <c r="S196" i="48" s="1"/>
  <c r="S197" i="48" s="1"/>
  <c r="S198" i="48" s="1"/>
  <c r="S199" i="48" s="1"/>
  <c r="D77" i="48"/>
  <c r="C77" i="48"/>
  <c r="Q77" i="48" s="1"/>
  <c r="O76" i="48"/>
  <c r="E77" i="48" l="1"/>
  <c r="D78" i="48"/>
  <c r="C78" i="48"/>
  <c r="Q78" i="48" s="1"/>
  <c r="A77" i="48"/>
  <c r="A78" i="48" s="1"/>
  <c r="J200" i="48"/>
  <c r="O77" i="48"/>
  <c r="I13" i="48"/>
  <c r="E656" i="48"/>
  <c r="E655" i="48"/>
  <c r="G199" i="48"/>
  <c r="G200" i="48" s="1"/>
  <c r="E78" i="48" l="1"/>
  <c r="J201" i="48"/>
  <c r="S200" i="48"/>
  <c r="D79" i="48"/>
  <c r="C79" i="48"/>
  <c r="Q79" i="48" s="1"/>
  <c r="O78" i="48"/>
  <c r="O79" i="48" s="1"/>
  <c r="D80" i="48" l="1"/>
  <c r="O80" i="48"/>
  <c r="C80" i="48"/>
  <c r="Q80" i="48" s="1"/>
  <c r="A79" i="48"/>
  <c r="A80" i="48" s="1"/>
  <c r="J202" i="48"/>
  <c r="S201" i="48"/>
  <c r="E79" i="48"/>
  <c r="G201" i="48"/>
  <c r="G202" i="48" s="1"/>
  <c r="E80" i="48" l="1"/>
  <c r="J203" i="48"/>
  <c r="S202" i="48"/>
  <c r="D81" i="48"/>
  <c r="C81" i="48"/>
  <c r="Q81" i="48" s="1"/>
  <c r="D82" i="48" l="1"/>
  <c r="C82" i="48"/>
  <c r="Q82" i="48" s="1"/>
  <c r="O81" i="48"/>
  <c r="A81" i="48"/>
  <c r="A82" i="48" s="1"/>
  <c r="J204" i="48"/>
  <c r="S203" i="48"/>
  <c r="S204" i="48" s="1"/>
  <c r="E81" i="48"/>
  <c r="G203" i="48"/>
  <c r="E82" i="48" l="1"/>
  <c r="J205" i="48"/>
  <c r="S205" i="48"/>
  <c r="D83" i="48"/>
  <c r="C83" i="48"/>
  <c r="Q83" i="48" s="1"/>
  <c r="O82" i="48"/>
  <c r="G204" i="48"/>
  <c r="G205" i="48" s="1"/>
  <c r="D84" i="48" l="1"/>
  <c r="O84" i="48" s="1"/>
  <c r="C84" i="48"/>
  <c r="Q84" i="48" s="1"/>
  <c r="O83" i="48"/>
  <c r="A83" i="48"/>
  <c r="A84" i="48" s="1"/>
  <c r="J206" i="48"/>
  <c r="S206" i="48"/>
  <c r="E83" i="48"/>
  <c r="E84" i="48" l="1"/>
  <c r="J207" i="48"/>
  <c r="D85" i="48"/>
  <c r="O85" i="48" s="1"/>
  <c r="C85" i="48"/>
  <c r="Q85" i="48" s="1"/>
  <c r="G206" i="48"/>
  <c r="G207" i="48" s="1"/>
  <c r="J208" i="48" l="1"/>
  <c r="S208" i="48" s="1"/>
  <c r="S207" i="48"/>
  <c r="D86" i="48"/>
  <c r="O86" i="48"/>
  <c r="C86" i="48"/>
  <c r="Q86" i="48" s="1"/>
  <c r="A85" i="48"/>
  <c r="A86" i="48" s="1"/>
  <c r="E85" i="48"/>
  <c r="E86" i="48" l="1"/>
  <c r="D87" i="48"/>
  <c r="O87" i="48"/>
  <c r="C87" i="48"/>
  <c r="Q87" i="48" s="1"/>
  <c r="J209" i="48"/>
  <c r="S209" i="48"/>
  <c r="G208" i="48"/>
  <c r="G209" i="48" s="1"/>
  <c r="J210" i="48" l="1"/>
  <c r="E87" i="48"/>
  <c r="D88" i="48"/>
  <c r="C88" i="48"/>
  <c r="Q88" i="48" s="1"/>
  <c r="A87" i="48"/>
  <c r="A88" i="48" s="1"/>
  <c r="D89" i="48" l="1"/>
  <c r="C89" i="48"/>
  <c r="Q89" i="48" s="1"/>
  <c r="O88" i="48"/>
  <c r="J211" i="48"/>
  <c r="E88" i="48"/>
  <c r="E89" i="48" s="1"/>
  <c r="S210" i="48"/>
  <c r="S211" i="48" s="1"/>
  <c r="G210" i="48"/>
  <c r="G211" i="48" s="1"/>
  <c r="D90" i="48" l="1"/>
  <c r="C90" i="48"/>
  <c r="Q90" i="48" s="1"/>
  <c r="E90" i="48"/>
  <c r="J212" i="48"/>
  <c r="S212" i="48"/>
  <c r="O89" i="48"/>
  <c r="A89" i="48"/>
  <c r="A90" i="48" s="1"/>
  <c r="J213" i="48" l="1"/>
  <c r="S213" i="48" s="1"/>
  <c r="G212" i="48"/>
  <c r="G213" i="48" s="1"/>
  <c r="D91" i="48"/>
  <c r="C91" i="48"/>
  <c r="Q91" i="48" s="1"/>
  <c r="O90" i="48"/>
  <c r="O91" i="48" s="1"/>
  <c r="D92" i="48" l="1"/>
  <c r="C92" i="48"/>
  <c r="Q92" i="48" s="1"/>
  <c r="E91" i="48"/>
  <c r="A91" i="48"/>
  <c r="A92" i="48" s="1"/>
  <c r="J214" i="48"/>
  <c r="S214" i="48" s="1"/>
  <c r="E92" i="48" l="1"/>
  <c r="D93" i="48"/>
  <c r="A93" i="48" s="1"/>
  <c r="C93" i="48"/>
  <c r="Q93" i="48" s="1"/>
  <c r="J215" i="48"/>
  <c r="O92" i="48"/>
  <c r="O93" i="48" s="1"/>
  <c r="G214" i="48"/>
  <c r="G215" i="48" s="1"/>
  <c r="J216" i="48" l="1"/>
  <c r="G216" i="48"/>
  <c r="S215" i="48"/>
  <c r="D94" i="48"/>
  <c r="C94" i="48"/>
  <c r="Q94" i="48" s="1"/>
  <c r="E93" i="48"/>
  <c r="E94" i="48" l="1"/>
  <c r="C95" i="48"/>
  <c r="Q95" i="48" s="1"/>
  <c r="D95" i="48"/>
  <c r="O94" i="48"/>
  <c r="J217" i="48"/>
  <c r="S216" i="48"/>
  <c r="A94" i="48"/>
  <c r="A95" i="48" s="1"/>
  <c r="J218" i="48" l="1"/>
  <c r="S217" i="48"/>
  <c r="D96" i="48"/>
  <c r="C96" i="48"/>
  <c r="Q96" i="48" s="1"/>
  <c r="G217" i="48"/>
  <c r="G218" i="48" s="1"/>
  <c r="O95" i="48"/>
  <c r="E95" i="48"/>
  <c r="E96" i="48" s="1"/>
  <c r="D97" i="48" l="1"/>
  <c r="C97" i="48"/>
  <c r="Q97" i="48" s="1"/>
  <c r="O96" i="48"/>
  <c r="J219" i="48"/>
  <c r="A96" i="48"/>
  <c r="A97" i="48" s="1"/>
  <c r="S218" i="48"/>
  <c r="S219" i="48" s="1"/>
  <c r="J220" i="48" l="1"/>
  <c r="S220" i="48"/>
  <c r="D98" i="48"/>
  <c r="C98" i="48"/>
  <c r="Q98" i="48" s="1"/>
  <c r="G219" i="48"/>
  <c r="G220" i="48" s="1"/>
  <c r="A98" i="48"/>
  <c r="O97" i="48"/>
  <c r="E97" i="48"/>
  <c r="E98" i="48" l="1"/>
  <c r="D99" i="48"/>
  <c r="C99" i="48"/>
  <c r="Q99" i="48" s="1"/>
  <c r="O98" i="48"/>
  <c r="J221" i="48"/>
  <c r="S221" i="48" s="1"/>
  <c r="E99" i="48" l="1"/>
  <c r="D100" i="48"/>
  <c r="C100" i="48"/>
  <c r="Q100" i="48" s="1"/>
  <c r="J222" i="48"/>
  <c r="O99" i="48"/>
  <c r="G221" i="48"/>
  <c r="G222" i="48" s="1"/>
  <c r="A99" i="48"/>
  <c r="A100" i="48" s="1"/>
  <c r="J223" i="48" l="1"/>
  <c r="S223" i="48" s="1"/>
  <c r="S222" i="48"/>
  <c r="D101" i="48"/>
  <c r="C101" i="48"/>
  <c r="Q101" i="48" s="1"/>
  <c r="A101" i="48"/>
  <c r="O100" i="48"/>
  <c r="O101" i="48" s="1"/>
  <c r="E100" i="48"/>
  <c r="E101" i="48" l="1"/>
  <c r="D102" i="48"/>
  <c r="A102" i="48" s="1"/>
  <c r="C102" i="48"/>
  <c r="Q102" i="48" s="1"/>
  <c r="J224" i="48"/>
  <c r="G223" i="48"/>
  <c r="G224" i="48" s="1"/>
  <c r="J225" i="48" l="1"/>
  <c r="G225" i="48"/>
  <c r="S224" i="48"/>
  <c r="S225" i="48" s="1"/>
  <c r="D103" i="48"/>
  <c r="C103" i="48"/>
  <c r="Q103" i="48" s="1"/>
  <c r="O102" i="48"/>
  <c r="E102" i="48"/>
  <c r="E103" i="48" l="1"/>
  <c r="D104" i="48"/>
  <c r="O104" i="48" s="1"/>
  <c r="C104" i="48"/>
  <c r="Q104" i="48" s="1"/>
  <c r="O103" i="48"/>
  <c r="J226" i="48"/>
  <c r="G226" i="48" s="1"/>
  <c r="A103" i="48"/>
  <c r="A104" i="48" s="1"/>
  <c r="J227" i="48" l="1"/>
  <c r="S226" i="48"/>
  <c r="D105" i="48"/>
  <c r="A105" i="48" s="1"/>
  <c r="O105" i="48"/>
  <c r="C105" i="48"/>
  <c r="Q105" i="48" s="1"/>
  <c r="E104" i="48"/>
  <c r="J228" i="48" l="1"/>
  <c r="E105" i="48"/>
  <c r="D106" i="48"/>
  <c r="C106" i="48"/>
  <c r="Q106" i="48" s="1"/>
  <c r="S227" i="48"/>
  <c r="G227" i="48"/>
  <c r="G228" i="48" s="1"/>
  <c r="D107" i="48" l="1"/>
  <c r="C107" i="48"/>
  <c r="Q107" i="48" s="1"/>
  <c r="J229" i="48"/>
  <c r="S229" i="48" s="1"/>
  <c r="O106" i="48"/>
  <c r="O107" i="48" s="1"/>
  <c r="S228" i="48"/>
  <c r="G229" i="48"/>
  <c r="E106" i="48"/>
  <c r="E107" i="48" s="1"/>
  <c r="A106" i="48"/>
  <c r="A107" i="48" s="1"/>
  <c r="J230" i="48" l="1"/>
  <c r="D108" i="48"/>
  <c r="C108" i="48"/>
  <c r="Q108" i="48" s="1"/>
  <c r="D109" i="48" l="1"/>
  <c r="C109" i="48"/>
  <c r="Q109" i="48" s="1"/>
  <c r="E108" i="48"/>
  <c r="E109" i="48" s="1"/>
  <c r="O108" i="48"/>
  <c r="O109" i="48" s="1"/>
  <c r="J231" i="48"/>
  <c r="S231" i="48" s="1"/>
  <c r="S230" i="48"/>
  <c r="G230" i="48"/>
  <c r="G231" i="48" s="1"/>
  <c r="A108" i="48"/>
  <c r="A109" i="48" s="1"/>
  <c r="J232" i="48" l="1"/>
  <c r="D110" i="48"/>
  <c r="C110" i="48"/>
  <c r="Q110" i="48" s="1"/>
  <c r="D111" i="48" l="1"/>
  <c r="C111" i="48"/>
  <c r="Q111" i="48" s="1"/>
  <c r="J233" i="48"/>
  <c r="O110" i="48"/>
  <c r="S232" i="48"/>
  <c r="S233" i="48" s="1"/>
  <c r="A110" i="48"/>
  <c r="A111" i="48" s="1"/>
  <c r="G232" i="48"/>
  <c r="G233" i="48" s="1"/>
  <c r="E110" i="48"/>
  <c r="E111" i="48" s="1"/>
  <c r="J234" i="48" l="1"/>
  <c r="G234" i="48" s="1"/>
  <c r="S234" i="48"/>
  <c r="D112" i="48"/>
  <c r="C112" i="48"/>
  <c r="Q112" i="48" s="1"/>
  <c r="O111" i="48"/>
  <c r="O112" i="48" s="1"/>
  <c r="E112" i="48" l="1"/>
  <c r="D113" i="48"/>
  <c r="C113" i="48"/>
  <c r="Q113" i="48" s="1"/>
  <c r="J235" i="48"/>
  <c r="S235" i="48" s="1"/>
  <c r="A112" i="48"/>
  <c r="A113" i="48" s="1"/>
  <c r="S236" i="48" l="1"/>
  <c r="J236" i="48"/>
  <c r="E113" i="48"/>
  <c r="D114" i="48"/>
  <c r="C114" i="48"/>
  <c r="Q114" i="48" s="1"/>
  <c r="O113" i="48"/>
  <c r="O114" i="48" s="1"/>
  <c r="G235" i="48"/>
  <c r="G236" i="48" s="1"/>
  <c r="O115" i="48" l="1"/>
  <c r="D115" i="48"/>
  <c r="C115" i="48"/>
  <c r="Q115" i="48" s="1"/>
  <c r="E114" i="48"/>
  <c r="E115" i="48" s="1"/>
  <c r="J237" i="48"/>
  <c r="S237" i="48" s="1"/>
  <c r="A114" i="48"/>
  <c r="A115" i="48" s="1"/>
  <c r="J238" i="48" l="1"/>
  <c r="D116" i="48"/>
  <c r="C116" i="48"/>
  <c r="Q116" i="48" s="1"/>
  <c r="G237" i="48"/>
  <c r="G238" i="48" s="1"/>
  <c r="J239" i="48" l="1"/>
  <c r="G239" i="48"/>
  <c r="D117" i="48"/>
  <c r="C117" i="48"/>
  <c r="Q117" i="48" s="1"/>
  <c r="O116" i="48"/>
  <c r="O117" i="48" s="1"/>
  <c r="S238" i="48"/>
  <c r="A116" i="48"/>
  <c r="A117" i="48" s="1"/>
  <c r="E116" i="48"/>
  <c r="E117" i="48" l="1"/>
  <c r="D118" i="48"/>
  <c r="C118" i="48"/>
  <c r="Q118" i="48" s="1"/>
  <c r="J240" i="48"/>
  <c r="G240" i="48"/>
  <c r="S239" i="48"/>
  <c r="S240" i="48" s="1"/>
  <c r="J241" i="48" l="1"/>
  <c r="D119" i="48"/>
  <c r="C119" i="48"/>
  <c r="Q119" i="48" s="1"/>
  <c r="O118" i="48"/>
  <c r="E118" i="48"/>
  <c r="A118" i="48"/>
  <c r="A119" i="48" s="1"/>
  <c r="J242" i="48" l="1"/>
  <c r="E119" i="48"/>
  <c r="D120" i="48"/>
  <c r="C120" i="48"/>
  <c r="Q120" i="48" s="1"/>
  <c r="O119" i="48"/>
  <c r="O120" i="48" s="1"/>
  <c r="S241" i="48"/>
  <c r="G241" i="48"/>
  <c r="G242" i="48" s="1"/>
  <c r="D121" i="48" l="1"/>
  <c r="C121" i="48"/>
  <c r="Q121" i="48" s="1"/>
  <c r="J243" i="48"/>
  <c r="E120" i="48"/>
  <c r="A120" i="48"/>
  <c r="A121" i="48" s="1"/>
  <c r="S242" i="48"/>
  <c r="E121" i="48" l="1"/>
  <c r="J244" i="48"/>
  <c r="S243" i="48"/>
  <c r="S244" i="48" s="1"/>
  <c r="D122" i="48"/>
  <c r="C122" i="48"/>
  <c r="Q122" i="48" s="1"/>
  <c r="O121" i="48"/>
  <c r="O122" i="48" s="1"/>
  <c r="G243" i="48"/>
  <c r="G244" i="48" s="1"/>
  <c r="D123" i="48" l="1"/>
  <c r="C123" i="48"/>
  <c r="Q123" i="48" s="1"/>
  <c r="E122" i="48"/>
  <c r="J245" i="48"/>
  <c r="S245" i="48" s="1"/>
  <c r="A122" i="48"/>
  <c r="A123" i="48" s="1"/>
  <c r="J246" i="48" l="1"/>
  <c r="E123" i="48"/>
  <c r="D124" i="48"/>
  <c r="C124" i="48"/>
  <c r="Q124" i="48" s="1"/>
  <c r="O123" i="48"/>
  <c r="G245" i="48"/>
  <c r="G246" i="48" s="1"/>
  <c r="D125" i="48" l="1"/>
  <c r="O125" i="48" s="1"/>
  <c r="C125" i="48"/>
  <c r="Q125" i="48" s="1"/>
  <c r="E124" i="48"/>
  <c r="O124" i="48"/>
  <c r="J247" i="48"/>
  <c r="S246" i="48"/>
  <c r="S247" i="48" s="1"/>
  <c r="A124" i="48"/>
  <c r="A125" i="48" s="1"/>
  <c r="E125" i="48" l="1"/>
  <c r="J248" i="48"/>
  <c r="S248" i="48"/>
  <c r="D126" i="48"/>
  <c r="C126" i="48"/>
  <c r="Q126" i="48" s="1"/>
  <c r="G247" i="48"/>
  <c r="G248" i="48" s="1"/>
  <c r="D127" i="48" l="1"/>
  <c r="C127" i="48"/>
  <c r="Q127" i="48" s="1"/>
  <c r="A126" i="48"/>
  <c r="A127" i="48" s="1"/>
  <c r="O126" i="48"/>
  <c r="O127" i="48" s="1"/>
  <c r="J249" i="48"/>
  <c r="E126" i="48"/>
  <c r="E127" i="48" s="1"/>
  <c r="J250" i="48" l="1"/>
  <c r="S249" i="48"/>
  <c r="D128" i="48"/>
  <c r="C128" i="48"/>
  <c r="Q128" i="48" s="1"/>
  <c r="G249" i="48"/>
  <c r="G250" i="48" s="1"/>
  <c r="D129" i="48" l="1"/>
  <c r="C129" i="48"/>
  <c r="Q129" i="48" s="1"/>
  <c r="A128" i="48"/>
  <c r="A129" i="48" s="1"/>
  <c r="J251" i="48"/>
  <c r="S251" i="48" s="1"/>
  <c r="G251" i="48"/>
  <c r="O128" i="48"/>
  <c r="E128" i="48"/>
  <c r="S250" i="48"/>
  <c r="E129" i="48" l="1"/>
  <c r="D130" i="48"/>
  <c r="A130" i="48" s="1"/>
  <c r="C130" i="48"/>
  <c r="Q130" i="48" s="1"/>
  <c r="S252" i="48"/>
  <c r="J252" i="48"/>
  <c r="O129" i="48"/>
  <c r="S253" i="48" l="1"/>
  <c r="J253" i="48"/>
  <c r="E130" i="48"/>
  <c r="D131" i="48"/>
  <c r="C131" i="48"/>
  <c r="Q131" i="48" s="1"/>
  <c r="O130" i="48"/>
  <c r="G252" i="48"/>
  <c r="G253" i="48" s="1"/>
  <c r="D132" i="48" l="1"/>
  <c r="C132" i="48"/>
  <c r="Q132" i="48" s="1"/>
  <c r="O131" i="48"/>
  <c r="O132" i="48" s="1"/>
  <c r="E131" i="48"/>
  <c r="E132" i="48" s="1"/>
  <c r="J254" i="48"/>
  <c r="A131" i="48"/>
  <c r="A132" i="48" s="1"/>
  <c r="J255" i="48" l="1"/>
  <c r="S254" i="48"/>
  <c r="S255" i="48" s="1"/>
  <c r="D133" i="48"/>
  <c r="C133" i="48"/>
  <c r="Q133" i="48" s="1"/>
  <c r="G254" i="48"/>
  <c r="G255" i="48" s="1"/>
  <c r="D134" i="48" l="1"/>
  <c r="C134" i="48"/>
  <c r="Q134" i="48" s="1"/>
  <c r="A133" i="48"/>
  <c r="A134" i="48" s="1"/>
  <c r="J256" i="48"/>
  <c r="O133" i="48"/>
  <c r="O134" i="48" s="1"/>
  <c r="E133" i="48"/>
  <c r="E134" i="48" s="1"/>
  <c r="J257" i="48" l="1"/>
  <c r="S256" i="48"/>
  <c r="D135" i="48"/>
  <c r="C135" i="48"/>
  <c r="Q135" i="48" s="1"/>
  <c r="G256" i="48"/>
  <c r="G257" i="48" s="1"/>
  <c r="D136" i="48" l="1"/>
  <c r="C136" i="48"/>
  <c r="Q136" i="48" s="1"/>
  <c r="A135" i="48"/>
  <c r="A136" i="48" s="1"/>
  <c r="E135" i="48"/>
  <c r="J258" i="48"/>
  <c r="O135" i="48"/>
  <c r="S257" i="48"/>
  <c r="S258" i="48" s="1"/>
  <c r="D137" i="48" l="1"/>
  <c r="C137" i="48"/>
  <c r="Q137" i="48" s="1"/>
  <c r="S259" i="48"/>
  <c r="J259" i="48"/>
  <c r="E136" i="48"/>
  <c r="E137" i="48" s="1"/>
  <c r="G258" i="48"/>
  <c r="G259" i="48" s="1"/>
  <c r="O136" i="48"/>
  <c r="O137" i="48" s="1"/>
  <c r="J260" i="48" l="1"/>
  <c r="S260" i="48" s="1"/>
  <c r="G260" i="48"/>
  <c r="D138" i="48"/>
  <c r="O138" i="48"/>
  <c r="C138" i="48"/>
  <c r="Q138" i="48" s="1"/>
  <c r="A137" i="48"/>
  <c r="A138" i="48" s="1"/>
  <c r="D139" i="48" l="1"/>
  <c r="O139" i="48"/>
  <c r="C139" i="48"/>
  <c r="Q139" i="48" s="1"/>
  <c r="A139" i="48"/>
  <c r="J261" i="48"/>
  <c r="E138" i="48"/>
  <c r="E139" i="48" s="1"/>
  <c r="J262" i="48" l="1"/>
  <c r="G261" i="48"/>
  <c r="G262" i="48" s="1"/>
  <c r="S261" i="48"/>
  <c r="S262" i="48" s="1"/>
  <c r="D140" i="48"/>
  <c r="A140" i="48" s="1"/>
  <c r="C140" i="48"/>
  <c r="Q140" i="48" s="1"/>
  <c r="O140" i="48" l="1"/>
  <c r="J263" i="48"/>
  <c r="G263" i="48" s="1"/>
  <c r="O141" i="48"/>
  <c r="D141" i="48"/>
  <c r="C141" i="48"/>
  <c r="Q141" i="48" s="1"/>
  <c r="E140" i="48"/>
  <c r="S263" i="48" l="1"/>
  <c r="E141" i="48"/>
  <c r="D142" i="48"/>
  <c r="C142" i="48"/>
  <c r="Q142" i="48" s="1"/>
  <c r="J264" i="48"/>
  <c r="S264" i="48" s="1"/>
  <c r="A141" i="48"/>
  <c r="A142" i="48" s="1"/>
  <c r="J265" i="48" l="1"/>
  <c r="D143" i="48"/>
  <c r="C143" i="48"/>
  <c r="Q143" i="48" s="1"/>
  <c r="O142" i="48"/>
  <c r="E142" i="48"/>
  <c r="G264" i="48"/>
  <c r="G265" i="48" s="1"/>
  <c r="E143" i="48" l="1"/>
  <c r="D144" i="48"/>
  <c r="C144" i="48"/>
  <c r="Q144" i="48" s="1"/>
  <c r="O143" i="48"/>
  <c r="J266" i="48"/>
  <c r="S266" i="48" s="1"/>
  <c r="S265" i="48"/>
  <c r="A143" i="48"/>
  <c r="A144" i="48" s="1"/>
  <c r="J267" i="48" l="1"/>
  <c r="G266" i="48"/>
  <c r="G267" i="48" s="1"/>
  <c r="D145" i="48"/>
  <c r="C145" i="48"/>
  <c r="Q145" i="48" s="1"/>
  <c r="O144" i="48"/>
  <c r="O145" i="48" s="1"/>
  <c r="E144" i="48"/>
  <c r="E145" i="48" l="1"/>
  <c r="D146" i="48"/>
  <c r="O146" i="48"/>
  <c r="C146" i="48"/>
  <c r="Q146" i="48" s="1"/>
  <c r="J268" i="48"/>
  <c r="S267" i="48"/>
  <c r="A145" i="48"/>
  <c r="A146" i="48" s="1"/>
  <c r="J269" i="48" l="1"/>
  <c r="S268" i="48"/>
  <c r="S269" i="48" s="1"/>
  <c r="D147" i="48"/>
  <c r="O147" i="48" s="1"/>
  <c r="C147" i="48"/>
  <c r="Q147" i="48" s="1"/>
  <c r="E146" i="48"/>
  <c r="G268" i="48"/>
  <c r="G269" i="48" s="1"/>
  <c r="E147" i="48" l="1"/>
  <c r="O148" i="48"/>
  <c r="D148" i="48"/>
  <c r="C148" i="48"/>
  <c r="Q148" i="48" s="1"/>
  <c r="J270" i="48"/>
  <c r="A147" i="48"/>
  <c r="A148" i="48" s="1"/>
  <c r="A149" i="48" l="1"/>
  <c r="J271" i="48"/>
  <c r="S270" i="48"/>
  <c r="D149" i="48"/>
  <c r="O149" i="48" s="1"/>
  <c r="C149" i="48"/>
  <c r="Q149" i="48" s="1"/>
  <c r="E148" i="48"/>
  <c r="G270" i="48"/>
  <c r="G271" i="48" s="1"/>
  <c r="E149" i="48" l="1"/>
  <c r="J272" i="48"/>
  <c r="G272" i="48"/>
  <c r="D150" i="48"/>
  <c r="C150" i="48"/>
  <c r="Q150" i="48" s="1"/>
  <c r="S271" i="48"/>
  <c r="A150" i="48"/>
  <c r="D151" i="48" l="1"/>
  <c r="C151" i="48"/>
  <c r="Q151" i="48" s="1"/>
  <c r="O150" i="48"/>
  <c r="O151" i="48" s="1"/>
  <c r="J273" i="48"/>
  <c r="S272" i="48"/>
  <c r="E150" i="48"/>
  <c r="E151" i="48" l="1"/>
  <c r="J274" i="48"/>
  <c r="S273" i="48"/>
  <c r="G273" i="48"/>
  <c r="G274" i="48" s="1"/>
  <c r="D152" i="48"/>
  <c r="O152" i="48"/>
  <c r="C152" i="48"/>
  <c r="Q152" i="48" s="1"/>
  <c r="A151" i="48"/>
  <c r="A152" i="48" s="1"/>
  <c r="D153" i="48" l="1"/>
  <c r="O153" i="48"/>
  <c r="C153" i="48"/>
  <c r="Q153" i="48" s="1"/>
  <c r="J275" i="48"/>
  <c r="G275" i="48" s="1"/>
  <c r="S274" i="48"/>
  <c r="S275" i="48" s="1"/>
  <c r="E152" i="48"/>
  <c r="E153" i="48" l="1"/>
  <c r="J276" i="48"/>
  <c r="S276" i="48"/>
  <c r="D154" i="48"/>
  <c r="C154" i="48"/>
  <c r="Q154" i="48" s="1"/>
  <c r="A153" i="48"/>
  <c r="A154" i="48" s="1"/>
  <c r="D155" i="48" l="1"/>
  <c r="C155" i="48"/>
  <c r="Q155" i="48" s="1"/>
  <c r="O154" i="48"/>
  <c r="J277" i="48"/>
  <c r="E154" i="48"/>
  <c r="G276" i="48"/>
  <c r="G277" i="48" s="1"/>
  <c r="E155" i="48" l="1"/>
  <c r="J278" i="48"/>
  <c r="S277" i="48"/>
  <c r="D156" i="48"/>
  <c r="C156" i="48"/>
  <c r="Q156" i="48" s="1"/>
  <c r="O155" i="48"/>
  <c r="A155" i="48"/>
  <c r="A156" i="48" s="1"/>
  <c r="D157" i="48" l="1"/>
  <c r="C157" i="48"/>
  <c r="Q157" i="48" s="1"/>
  <c r="O156" i="48"/>
  <c r="O157" i="48" s="1"/>
  <c r="J279" i="48"/>
  <c r="S278" i="48"/>
  <c r="E156" i="48"/>
  <c r="G278" i="48"/>
  <c r="G279" i="48" s="1"/>
  <c r="E157" i="48" l="1"/>
  <c r="J280" i="48"/>
  <c r="S279" i="48"/>
  <c r="D158" i="48"/>
  <c r="C158" i="48"/>
  <c r="Q158" i="48" s="1"/>
  <c r="A157" i="48"/>
  <c r="A158" i="48" s="1"/>
  <c r="D159" i="48" l="1"/>
  <c r="C159" i="48"/>
  <c r="Q159" i="48" s="1"/>
  <c r="O158" i="48"/>
  <c r="J281" i="48"/>
  <c r="S280" i="48"/>
  <c r="E158" i="48"/>
  <c r="G280" i="48"/>
  <c r="G281" i="48" s="1"/>
  <c r="E159" i="48" l="1"/>
  <c r="J282" i="48"/>
  <c r="S281" i="48"/>
  <c r="S282" i="48" s="1"/>
  <c r="D160" i="48"/>
  <c r="C160" i="48"/>
  <c r="Q160" i="48" s="1"/>
  <c r="O159" i="48"/>
  <c r="A159" i="48"/>
  <c r="A160" i="48" s="1"/>
  <c r="D161" i="48" l="1"/>
  <c r="C161" i="48"/>
  <c r="Q161" i="48" s="1"/>
  <c r="O160" i="48"/>
  <c r="J283" i="48"/>
  <c r="S283" i="48"/>
  <c r="E160" i="48"/>
  <c r="G282" i="48"/>
  <c r="G283" i="48" s="1"/>
  <c r="E161" i="48" l="1"/>
  <c r="J284" i="48"/>
  <c r="D162" i="48"/>
  <c r="C162" i="48"/>
  <c r="Q162" i="48" s="1"/>
  <c r="O161" i="48"/>
  <c r="A161" i="48"/>
  <c r="A162" i="48" s="1"/>
  <c r="D163" i="48" l="1"/>
  <c r="C163" i="48"/>
  <c r="Q163" i="48" s="1"/>
  <c r="O162" i="48"/>
  <c r="J285" i="48"/>
  <c r="S284" i="48"/>
  <c r="E162" i="48"/>
  <c r="G284" i="48"/>
  <c r="G285" i="48" s="1"/>
  <c r="E163" i="48" l="1"/>
  <c r="J286" i="48"/>
  <c r="S285" i="48"/>
  <c r="D164" i="48"/>
  <c r="C164" i="48"/>
  <c r="Q164" i="48" s="1"/>
  <c r="O163" i="48"/>
  <c r="O164" i="48" s="1"/>
  <c r="A163" i="48"/>
  <c r="A164" i="48" s="1"/>
  <c r="D165" i="48" l="1"/>
  <c r="C165" i="48"/>
  <c r="Q165" i="48" s="1"/>
  <c r="J287" i="48"/>
  <c r="S286" i="48"/>
  <c r="E164" i="48"/>
  <c r="E165" i="48" s="1"/>
  <c r="G286" i="48"/>
  <c r="G287" i="48" s="1"/>
  <c r="J288" i="48" l="1"/>
  <c r="S287" i="48"/>
  <c r="D166" i="48"/>
  <c r="C166" i="48"/>
  <c r="Q166" i="48" s="1"/>
  <c r="O165" i="48"/>
  <c r="A165" i="48"/>
  <c r="A166" i="48" s="1"/>
  <c r="D167" i="48" l="1"/>
  <c r="C167" i="48"/>
  <c r="Q167" i="48" s="1"/>
  <c r="O166" i="48"/>
  <c r="J289" i="48"/>
  <c r="S288" i="48"/>
  <c r="E166" i="48"/>
  <c r="G288" i="48"/>
  <c r="G289" i="48" s="1"/>
  <c r="E167" i="48" l="1"/>
  <c r="J290" i="48"/>
  <c r="S289" i="48"/>
  <c r="S290" i="48" s="1"/>
  <c r="D168" i="48"/>
  <c r="C168" i="48"/>
  <c r="Q168" i="48" s="1"/>
  <c r="O167" i="48"/>
  <c r="A167" i="48"/>
  <c r="A168" i="48" s="1"/>
  <c r="D169" i="48" l="1"/>
  <c r="C169" i="48"/>
  <c r="Q169" i="48" s="1"/>
  <c r="O168" i="48"/>
  <c r="J291" i="48"/>
  <c r="E168" i="48"/>
  <c r="G290" i="48"/>
  <c r="G291" i="48" s="1"/>
  <c r="E169" i="48" l="1"/>
  <c r="J292" i="48"/>
  <c r="S291" i="48"/>
  <c r="D170" i="48"/>
  <c r="C170" i="48"/>
  <c r="Q170" i="48" s="1"/>
  <c r="O169" i="48"/>
  <c r="A169" i="48"/>
  <c r="A170" i="48" s="1"/>
  <c r="D171" i="48" l="1"/>
  <c r="C171" i="48"/>
  <c r="Q171" i="48" s="1"/>
  <c r="O170" i="48"/>
  <c r="O171" i="48" s="1"/>
  <c r="J293" i="48"/>
  <c r="S292" i="48"/>
  <c r="E170" i="48"/>
  <c r="G292" i="48"/>
  <c r="G293" i="48" s="1"/>
  <c r="E171" i="48" l="1"/>
  <c r="J294" i="48"/>
  <c r="S293" i="48"/>
  <c r="D172" i="48"/>
  <c r="C172" i="48"/>
  <c r="Q172" i="48" s="1"/>
  <c r="A171" i="48"/>
  <c r="A172" i="48" s="1"/>
  <c r="D173" i="48" l="1"/>
  <c r="C173" i="48"/>
  <c r="Q173" i="48" s="1"/>
  <c r="O172" i="48"/>
  <c r="J295" i="48"/>
  <c r="S294" i="48"/>
  <c r="E172" i="48"/>
  <c r="G294" i="48"/>
  <c r="G295" i="48" s="1"/>
  <c r="E173" i="48" l="1"/>
  <c r="J296" i="48"/>
  <c r="S295" i="48"/>
  <c r="D174" i="48"/>
  <c r="C174" i="48"/>
  <c r="Q174" i="48" s="1"/>
  <c r="O173" i="48"/>
  <c r="A173" i="48"/>
  <c r="A174" i="48" s="1"/>
  <c r="D175" i="48" l="1"/>
  <c r="C175" i="48"/>
  <c r="Q175" i="48" s="1"/>
  <c r="O174" i="48"/>
  <c r="J297" i="48"/>
  <c r="S296" i="48"/>
  <c r="S297" i="48" s="1"/>
  <c r="E174" i="48"/>
  <c r="G296" i="48"/>
  <c r="G297" i="48" s="1"/>
  <c r="E175" i="48" l="1"/>
  <c r="J298" i="48"/>
  <c r="D176" i="48"/>
  <c r="C176" i="48"/>
  <c r="Q176" i="48" s="1"/>
  <c r="O175" i="48"/>
  <c r="A175" i="48"/>
  <c r="A176" i="48" s="1"/>
  <c r="D177" i="48" l="1"/>
  <c r="C177" i="48"/>
  <c r="Q177" i="48" s="1"/>
  <c r="O176" i="48"/>
  <c r="J299" i="48"/>
  <c r="S298" i="48"/>
  <c r="E176" i="48"/>
  <c r="G298" i="48"/>
  <c r="G299" i="48" s="1"/>
  <c r="E177" i="48" l="1"/>
  <c r="J300" i="48"/>
  <c r="S299" i="48"/>
  <c r="D178" i="48"/>
  <c r="C178" i="48"/>
  <c r="Q178" i="48" s="1"/>
  <c r="O177" i="48"/>
  <c r="O178" i="48" s="1"/>
  <c r="A177" i="48"/>
  <c r="A178" i="48" s="1"/>
  <c r="D179" i="48" l="1"/>
  <c r="C179" i="48"/>
  <c r="Q179" i="48" s="1"/>
  <c r="J301" i="48"/>
  <c r="S300" i="48"/>
  <c r="E178" i="48"/>
  <c r="G300" i="48"/>
  <c r="G301" i="48" s="1"/>
  <c r="E179" i="48" l="1"/>
  <c r="J302" i="48"/>
  <c r="S301" i="48"/>
  <c r="D180" i="48"/>
  <c r="C180" i="48"/>
  <c r="Q180" i="48" s="1"/>
  <c r="O179" i="48"/>
  <c r="A179" i="48"/>
  <c r="A180" i="48" s="1"/>
  <c r="D181" i="48" l="1"/>
  <c r="C181" i="48"/>
  <c r="Q181" i="48" s="1"/>
  <c r="O180" i="48"/>
  <c r="O181" i="48" s="1"/>
  <c r="J303" i="48"/>
  <c r="S302" i="48"/>
  <c r="S303" i="48" s="1"/>
  <c r="E180" i="48"/>
  <c r="E181" i="48" s="1"/>
  <c r="G302" i="48"/>
  <c r="G303" i="48" s="1"/>
  <c r="J304" i="48" l="1"/>
  <c r="S304" i="48"/>
  <c r="D182" i="48"/>
  <c r="C182" i="48"/>
  <c r="Q182" i="48" s="1"/>
  <c r="A181" i="48"/>
  <c r="A182" i="48" s="1"/>
  <c r="D183" i="48" l="1"/>
  <c r="C183" i="48"/>
  <c r="Q183" i="48" s="1"/>
  <c r="O182" i="48"/>
  <c r="J305" i="48"/>
  <c r="E182" i="48"/>
  <c r="E183" i="48" s="1"/>
  <c r="G304" i="48"/>
  <c r="G305" i="48" s="1"/>
  <c r="J306" i="48" l="1"/>
  <c r="S305" i="48"/>
  <c r="D184" i="48"/>
  <c r="C184" i="48"/>
  <c r="Q184" i="48" s="1"/>
  <c r="O183" i="48"/>
  <c r="A183" i="48"/>
  <c r="A184" i="48" s="1"/>
  <c r="D185" i="48" l="1"/>
  <c r="C185" i="48"/>
  <c r="Q185" i="48" s="1"/>
  <c r="O184" i="48"/>
  <c r="O185" i="48" s="1"/>
  <c r="J307" i="48"/>
  <c r="S306" i="48"/>
  <c r="E184" i="48"/>
  <c r="E185" i="48" s="1"/>
  <c r="G306" i="48"/>
  <c r="G307" i="48" s="1"/>
  <c r="J308" i="48" l="1"/>
  <c r="S307" i="48"/>
  <c r="D186" i="48"/>
  <c r="C186" i="48"/>
  <c r="Q186" i="48" s="1"/>
  <c r="A185" i="48"/>
  <c r="A186" i="48" s="1"/>
  <c r="D187" i="48" l="1"/>
  <c r="C187" i="48"/>
  <c r="Q187" i="48" s="1"/>
  <c r="O186" i="48"/>
  <c r="J309" i="48"/>
  <c r="S308" i="48"/>
  <c r="E186" i="48"/>
  <c r="E187" i="48" s="1"/>
  <c r="G308" i="48"/>
  <c r="G309" i="48" s="1"/>
  <c r="J310" i="48" l="1"/>
  <c r="S309" i="48"/>
  <c r="S310" i="48" s="1"/>
  <c r="D188" i="48"/>
  <c r="C188" i="48"/>
  <c r="Q188" i="48" s="1"/>
  <c r="O187" i="48"/>
  <c r="O188" i="48" s="1"/>
  <c r="A187" i="48"/>
  <c r="A188" i="48" s="1"/>
  <c r="D189" i="48" l="1"/>
  <c r="C189" i="48"/>
  <c r="Q189" i="48" s="1"/>
  <c r="J311" i="48"/>
  <c r="S311" i="48"/>
  <c r="E188" i="48"/>
  <c r="E189" i="48" s="1"/>
  <c r="G310" i="48"/>
  <c r="G311" i="48" s="1"/>
  <c r="J312" i="48" l="1"/>
  <c r="D190" i="48"/>
  <c r="C190" i="48"/>
  <c r="Q190" i="48" s="1"/>
  <c r="O189" i="48"/>
  <c r="A189" i="48"/>
  <c r="A190" i="48" s="1"/>
  <c r="D191" i="48" l="1"/>
  <c r="C191" i="48"/>
  <c r="Q191" i="48" s="1"/>
  <c r="O190" i="48"/>
  <c r="J313" i="48"/>
  <c r="S312" i="48"/>
  <c r="E190" i="48"/>
  <c r="E191" i="48" s="1"/>
  <c r="G312" i="48"/>
  <c r="G313" i="48" s="1"/>
  <c r="J314" i="48" l="1"/>
  <c r="S313" i="48"/>
  <c r="D192" i="48"/>
  <c r="C192" i="48"/>
  <c r="Q192" i="48" s="1"/>
  <c r="O191" i="48"/>
  <c r="O192" i="48" s="1"/>
  <c r="A191" i="48"/>
  <c r="A192" i="48" s="1"/>
  <c r="D193" i="48" l="1"/>
  <c r="C193" i="48"/>
  <c r="Q193" i="48" s="1"/>
  <c r="J315" i="48"/>
  <c r="S314" i="48"/>
  <c r="E192" i="48"/>
  <c r="G314" i="48"/>
  <c r="G315" i="48" s="1"/>
  <c r="E193" i="48" l="1"/>
  <c r="J316" i="48"/>
  <c r="S315" i="48"/>
  <c r="D194" i="48"/>
  <c r="C194" i="48"/>
  <c r="Q194" i="48" s="1"/>
  <c r="O193" i="48"/>
  <c r="A193" i="48"/>
  <c r="A194" i="48" s="1"/>
  <c r="D195" i="48" l="1"/>
  <c r="C195" i="48"/>
  <c r="Q195" i="48" s="1"/>
  <c r="O194" i="48"/>
  <c r="O195" i="48" s="1"/>
  <c r="J317" i="48"/>
  <c r="S316" i="48"/>
  <c r="E194" i="48"/>
  <c r="E195" i="48" s="1"/>
  <c r="G316" i="48"/>
  <c r="G317" i="48" s="1"/>
  <c r="C196" i="48" l="1"/>
  <c r="J318" i="48"/>
  <c r="S317" i="48"/>
  <c r="S318" i="48" s="1"/>
  <c r="D196" i="48"/>
  <c r="A195" i="48"/>
  <c r="A196" i="48" s="1"/>
  <c r="D197" i="48" l="1"/>
  <c r="O196" i="48"/>
  <c r="J319" i="48"/>
  <c r="Q196" i="48"/>
  <c r="Q16" i="48" s="1"/>
  <c r="E665" i="48" s="1"/>
  <c r="C12" i="48"/>
  <c r="E196" i="48"/>
  <c r="E197" i="48" s="1"/>
  <c r="E198" i="48" s="1"/>
  <c r="G318" i="48"/>
  <c r="G319" i="48" s="1"/>
  <c r="C13" i="48" l="1"/>
  <c r="E651" i="48" s="1"/>
  <c r="E650" i="48"/>
  <c r="J320" i="48"/>
  <c r="S319" i="48"/>
  <c r="D198" i="48"/>
  <c r="O197" i="48"/>
  <c r="A197" i="48"/>
  <c r="A198" i="48" s="1"/>
  <c r="D199" i="48" l="1"/>
  <c r="J321" i="48"/>
  <c r="A199" i="48"/>
  <c r="O198" i="48"/>
  <c r="O199" i="48" s="1"/>
  <c r="S320" i="48"/>
  <c r="E199" i="48"/>
  <c r="E200" i="48" s="1"/>
  <c r="G320" i="48"/>
  <c r="G321" i="48" s="1"/>
  <c r="J322" i="48" l="1"/>
  <c r="S321" i="48"/>
  <c r="D200" i="48"/>
  <c r="O200" i="48"/>
  <c r="D201" i="48" l="1"/>
  <c r="O201" i="48"/>
  <c r="J323" i="48"/>
  <c r="S322" i="48"/>
  <c r="A200" i="48"/>
  <c r="A201" i="48" s="1"/>
  <c r="E201" i="48"/>
  <c r="E202" i="48" s="1"/>
  <c r="G322" i="48"/>
  <c r="G323" i="48" s="1"/>
  <c r="J324" i="48" l="1"/>
  <c r="S323" i="48"/>
  <c r="S324" i="48" s="1"/>
  <c r="D202" i="48"/>
  <c r="O202" i="48"/>
  <c r="D203" i="48" l="1"/>
  <c r="J325" i="48"/>
  <c r="S325" i="48"/>
  <c r="A202" i="48"/>
  <c r="A203" i="48" s="1"/>
  <c r="E203" i="48"/>
  <c r="E204" i="48" s="1"/>
  <c r="G324" i="48"/>
  <c r="G325" i="48" s="1"/>
  <c r="J326" i="48" l="1"/>
  <c r="D204" i="48"/>
  <c r="O203" i="48"/>
  <c r="D205" i="48" l="1"/>
  <c r="O204" i="48"/>
  <c r="J327" i="48"/>
  <c r="S326" i="48"/>
  <c r="A204" i="48"/>
  <c r="A205" i="48" s="1"/>
  <c r="G326" i="48"/>
  <c r="G327" i="48" s="1"/>
  <c r="E205" i="48"/>
  <c r="E206" i="48" s="1"/>
  <c r="J328" i="48" l="1"/>
  <c r="S327" i="48"/>
  <c r="D206" i="48"/>
  <c r="O205" i="48"/>
  <c r="O206" i="48" s="1"/>
  <c r="D207" i="48" l="1"/>
  <c r="J329" i="48"/>
  <c r="S328" i="48"/>
  <c r="A206" i="48"/>
  <c r="A207" i="48" s="1"/>
  <c r="G328" i="48"/>
  <c r="G329" i="48" s="1"/>
  <c r="E207" i="48"/>
  <c r="E208" i="48" s="1"/>
  <c r="J330" i="48" l="1"/>
  <c r="S329" i="48"/>
  <c r="D208" i="48"/>
  <c r="O207" i="48"/>
  <c r="D209" i="48" l="1"/>
  <c r="O208" i="48"/>
  <c r="J331" i="48"/>
  <c r="S330" i="48"/>
  <c r="A208" i="48"/>
  <c r="A209" i="48" s="1"/>
  <c r="G330" i="48"/>
  <c r="G331" i="48" s="1"/>
  <c r="E209" i="48"/>
  <c r="E210" i="48" s="1"/>
  <c r="J332" i="48" l="1"/>
  <c r="S331" i="48"/>
  <c r="S332" i="48" s="1"/>
  <c r="D210" i="48"/>
  <c r="O209" i="48"/>
  <c r="D211" i="48" l="1"/>
  <c r="O210" i="48"/>
  <c r="J333" i="48"/>
  <c r="A210" i="48"/>
  <c r="A211" i="48" s="1"/>
  <c r="G332" i="48"/>
  <c r="G333" i="48" s="1"/>
  <c r="E211" i="48"/>
  <c r="E212" i="48" s="1"/>
  <c r="J334" i="48" l="1"/>
  <c r="S333" i="48"/>
  <c r="D212" i="48"/>
  <c r="O211" i="48"/>
  <c r="D213" i="48" l="1"/>
  <c r="O212" i="48"/>
  <c r="O213" i="48" s="1"/>
  <c r="J335" i="48"/>
  <c r="S334" i="48"/>
  <c r="A212" i="48"/>
  <c r="A213" i="48" s="1"/>
  <c r="G334" i="48"/>
  <c r="G335" i="48" s="1"/>
  <c r="E213" i="48"/>
  <c r="E214" i="48" s="1"/>
  <c r="J336" i="48" l="1"/>
  <c r="S335" i="48"/>
  <c r="D214" i="48"/>
  <c r="D215" i="48" l="1"/>
  <c r="O214" i="48"/>
  <c r="O215" i="48" s="1"/>
  <c r="J337" i="48"/>
  <c r="S336" i="48"/>
  <c r="A214" i="48"/>
  <c r="A215" i="48" s="1"/>
  <c r="G336" i="48"/>
  <c r="G337" i="48" s="1"/>
  <c r="E215" i="48"/>
  <c r="E216" i="48" s="1"/>
  <c r="J338" i="48" l="1"/>
  <c r="S337" i="48"/>
  <c r="D216" i="48"/>
  <c r="O216" i="48"/>
  <c r="D217" i="48" l="1"/>
  <c r="O217" i="48"/>
  <c r="J339" i="48"/>
  <c r="S338" i="48"/>
  <c r="S339" i="48" s="1"/>
  <c r="A216" i="48"/>
  <c r="A217" i="48" s="1"/>
  <c r="G338" i="48"/>
  <c r="G339" i="48" s="1"/>
  <c r="E217" i="48"/>
  <c r="E218" i="48" s="1"/>
  <c r="J340" i="48" l="1"/>
  <c r="D218" i="48"/>
  <c r="O218" i="48"/>
  <c r="D219" i="48" l="1"/>
  <c r="J341" i="48"/>
  <c r="S340" i="48"/>
  <c r="A218" i="48"/>
  <c r="A219" i="48" s="1"/>
  <c r="G340" i="48"/>
  <c r="G341" i="48" s="1"/>
  <c r="E219" i="48"/>
  <c r="E220" i="48" s="1"/>
  <c r="J342" i="48" l="1"/>
  <c r="S341" i="48"/>
  <c r="D220" i="48"/>
  <c r="O219" i="48"/>
  <c r="O220" i="48" s="1"/>
  <c r="D221" i="48" l="1"/>
  <c r="J343" i="48"/>
  <c r="S342" i="48"/>
  <c r="A220" i="48"/>
  <c r="A221" i="48" s="1"/>
  <c r="G342" i="48"/>
  <c r="G343" i="48" s="1"/>
  <c r="E221" i="48"/>
  <c r="E222" i="48" s="1"/>
  <c r="J344" i="48" l="1"/>
  <c r="S343" i="48"/>
  <c r="D222" i="48"/>
  <c r="O221" i="48"/>
  <c r="O222" i="48" s="1"/>
  <c r="D223" i="48" l="1"/>
  <c r="J345" i="48"/>
  <c r="S344" i="48"/>
  <c r="A222" i="48"/>
  <c r="A223" i="48" s="1"/>
  <c r="G344" i="48"/>
  <c r="G345" i="48" s="1"/>
  <c r="E223" i="48"/>
  <c r="E224" i="48" s="1"/>
  <c r="J346" i="48" l="1"/>
  <c r="S345" i="48"/>
  <c r="S346" i="48" s="1"/>
  <c r="D224" i="48"/>
  <c r="O223" i="48"/>
  <c r="D225" i="48" l="1"/>
  <c r="O224" i="48"/>
  <c r="J347" i="48"/>
  <c r="A224" i="48"/>
  <c r="A225" i="48" s="1"/>
  <c r="G346" i="48"/>
  <c r="G347" i="48" s="1"/>
  <c r="E225" i="48"/>
  <c r="E226" i="48" s="1"/>
  <c r="J348" i="48" l="1"/>
  <c r="S347" i="48"/>
  <c r="D226" i="48"/>
  <c r="O225" i="48"/>
  <c r="D227" i="48" l="1"/>
  <c r="O226" i="48"/>
  <c r="O227" i="48" s="1"/>
  <c r="J349" i="48"/>
  <c r="S348" i="48"/>
  <c r="A226" i="48"/>
  <c r="A227" i="48" s="1"/>
  <c r="G348" i="48"/>
  <c r="G349" i="48" s="1"/>
  <c r="E227" i="48"/>
  <c r="E228" i="48" s="1"/>
  <c r="J350" i="48" l="1"/>
  <c r="S349" i="48"/>
  <c r="D228" i="48"/>
  <c r="O228" i="48"/>
  <c r="D229" i="48" l="1"/>
  <c r="O229" i="48"/>
  <c r="J351" i="48"/>
  <c r="S350" i="48"/>
  <c r="A228" i="48"/>
  <c r="A229" i="48" s="1"/>
  <c r="G350" i="48"/>
  <c r="G351" i="48" s="1"/>
  <c r="E229" i="48"/>
  <c r="E230" i="48" s="1"/>
  <c r="J352" i="48" l="1"/>
  <c r="S351" i="48"/>
  <c r="S352" i="48" s="1"/>
  <c r="D230" i="48"/>
  <c r="D231" i="48" l="1"/>
  <c r="O230" i="48"/>
  <c r="J353" i="48"/>
  <c r="S353" i="48"/>
  <c r="A230" i="48"/>
  <c r="A231" i="48" s="1"/>
  <c r="G352" i="48"/>
  <c r="G353" i="48" s="1"/>
  <c r="E231" i="48"/>
  <c r="E232" i="48" s="1"/>
  <c r="J354" i="48" l="1"/>
  <c r="D232" i="48"/>
  <c r="O231" i="48"/>
  <c r="O232" i="48" s="1"/>
  <c r="D233" i="48" l="1"/>
  <c r="J355" i="48"/>
  <c r="S354" i="48"/>
  <c r="A232" i="48"/>
  <c r="A233" i="48" s="1"/>
  <c r="G354" i="48"/>
  <c r="G355" i="48" s="1"/>
  <c r="E233" i="48"/>
  <c r="E234" i="48" s="1"/>
  <c r="J356" i="48" l="1"/>
  <c r="S355" i="48"/>
  <c r="D234" i="48"/>
  <c r="O233" i="48"/>
  <c r="O234" i="48" s="1"/>
  <c r="D235" i="48" l="1"/>
  <c r="J357" i="48"/>
  <c r="S356" i="48"/>
  <c r="A234" i="48"/>
  <c r="A235" i="48" s="1"/>
  <c r="G356" i="48"/>
  <c r="G357" i="48" s="1"/>
  <c r="E235" i="48"/>
  <c r="E236" i="48" s="1"/>
  <c r="J358" i="48" l="1"/>
  <c r="S357" i="48"/>
  <c r="D236" i="48"/>
  <c r="O235" i="48"/>
  <c r="O236" i="48" s="1"/>
  <c r="D237" i="48" l="1"/>
  <c r="J359" i="48"/>
  <c r="S358" i="48"/>
  <c r="S359" i="48" s="1"/>
  <c r="A236" i="48"/>
  <c r="A237" i="48" s="1"/>
  <c r="G358" i="48"/>
  <c r="G359" i="48" s="1"/>
  <c r="E237" i="48"/>
  <c r="E238" i="48" s="1"/>
  <c r="J360" i="48" l="1"/>
  <c r="S360" i="48"/>
  <c r="D238" i="48"/>
  <c r="O237" i="48"/>
  <c r="D239" i="48" l="1"/>
  <c r="O238" i="48"/>
  <c r="O239" i="48" s="1"/>
  <c r="J361" i="48"/>
  <c r="A238" i="48"/>
  <c r="A239" i="48" s="1"/>
  <c r="G360" i="48"/>
  <c r="G361" i="48" s="1"/>
  <c r="E239" i="48"/>
  <c r="E240" i="48" s="1"/>
  <c r="J362" i="48" l="1"/>
  <c r="S361" i="48"/>
  <c r="D240" i="48"/>
  <c r="D241" i="48" l="1"/>
  <c r="O240" i="48"/>
  <c r="J363" i="48"/>
  <c r="S362" i="48"/>
  <c r="A240" i="48"/>
  <c r="A241" i="48" s="1"/>
  <c r="G362" i="48"/>
  <c r="G363" i="48" s="1"/>
  <c r="E241" i="48"/>
  <c r="E242" i="48" s="1"/>
  <c r="J364" i="48" l="1"/>
  <c r="S363" i="48"/>
  <c r="D242" i="48"/>
  <c r="O241" i="48"/>
  <c r="D243" i="48" l="1"/>
  <c r="O242" i="48"/>
  <c r="O243" i="48" s="1"/>
  <c r="J365" i="48"/>
  <c r="S364" i="48"/>
  <c r="A242" i="48"/>
  <c r="A243" i="48" s="1"/>
  <c r="G364" i="48"/>
  <c r="G365" i="48" s="1"/>
  <c r="E243" i="48"/>
  <c r="E244" i="48" s="1"/>
  <c r="J366" i="48" l="1"/>
  <c r="S365" i="48"/>
  <c r="D244" i="48"/>
  <c r="D245" i="48" l="1"/>
  <c r="O244" i="48"/>
  <c r="O245" i="48" s="1"/>
  <c r="J367" i="48"/>
  <c r="S366" i="48"/>
  <c r="S367" i="48" s="1"/>
  <c r="A244" i="48"/>
  <c r="A245" i="48" s="1"/>
  <c r="G366" i="48"/>
  <c r="G367" i="48" s="1"/>
  <c r="E245" i="48"/>
  <c r="E246" i="48" s="1"/>
  <c r="J368" i="48" l="1"/>
  <c r="D246" i="48"/>
  <c r="O246" i="48"/>
  <c r="D247" i="48" l="1"/>
  <c r="J369" i="48"/>
  <c r="S368" i="48"/>
  <c r="A246" i="48"/>
  <c r="A247" i="48" s="1"/>
  <c r="G368" i="48"/>
  <c r="G369" i="48" s="1"/>
  <c r="E247" i="48"/>
  <c r="E248" i="48" s="1"/>
  <c r="J370" i="48" l="1"/>
  <c r="S369" i="48"/>
  <c r="D248" i="48"/>
  <c r="O247" i="48"/>
  <c r="D249" i="48" l="1"/>
  <c r="O248" i="48"/>
  <c r="J371" i="48"/>
  <c r="S370" i="48"/>
  <c r="A248" i="48"/>
  <c r="A249" i="48" s="1"/>
  <c r="G370" i="48"/>
  <c r="G371" i="48" s="1"/>
  <c r="E249" i="48"/>
  <c r="E250" i="48" s="1"/>
  <c r="J372" i="48" l="1"/>
  <c r="S371" i="48"/>
  <c r="D250" i="48"/>
  <c r="O249" i="48"/>
  <c r="O250" i="48" s="1"/>
  <c r="D251" i="48" l="1"/>
  <c r="O251" i="48"/>
  <c r="J373" i="48"/>
  <c r="S372" i="48"/>
  <c r="A250" i="48"/>
  <c r="A251" i="48" s="1"/>
  <c r="G372" i="48"/>
  <c r="G373" i="48" s="1"/>
  <c r="E251" i="48"/>
  <c r="E252" i="48" s="1"/>
  <c r="J374" i="48" l="1"/>
  <c r="S373" i="48"/>
  <c r="S374" i="48" s="1"/>
  <c r="D252" i="48"/>
  <c r="O252" i="48"/>
  <c r="D253" i="48" l="1"/>
  <c r="J375" i="48"/>
  <c r="A252" i="48"/>
  <c r="A253" i="48" s="1"/>
  <c r="G374" i="48"/>
  <c r="G375" i="48" s="1"/>
  <c r="E253" i="48"/>
  <c r="E254" i="48" s="1"/>
  <c r="J376" i="48" l="1"/>
  <c r="S375" i="48"/>
  <c r="D254" i="48"/>
  <c r="O253" i="48"/>
  <c r="D255" i="48" l="1"/>
  <c r="O254" i="48"/>
  <c r="A254" i="48"/>
  <c r="A255" i="48" s="1"/>
  <c r="E255" i="48"/>
  <c r="E256" i="48" s="1"/>
  <c r="J377" i="48"/>
  <c r="S376" i="48"/>
  <c r="G376" i="48"/>
  <c r="G377" i="48" s="1"/>
  <c r="J378" i="48" l="1"/>
  <c r="S377" i="48"/>
  <c r="D256" i="48"/>
  <c r="O255" i="48"/>
  <c r="O256" i="48" s="1"/>
  <c r="D257" i="48" l="1"/>
  <c r="O257" i="48"/>
  <c r="A256" i="48"/>
  <c r="A257" i="48" s="1"/>
  <c r="E257" i="48"/>
  <c r="E258" i="48" s="1"/>
  <c r="J379" i="48"/>
  <c r="S378" i="48"/>
  <c r="G378" i="48"/>
  <c r="G379" i="48" s="1"/>
  <c r="J380" i="48" l="1"/>
  <c r="S379" i="48"/>
  <c r="D258" i="48"/>
  <c r="O258" i="48"/>
  <c r="D259" i="48" l="1"/>
  <c r="A258" i="48"/>
  <c r="A259" i="48" s="1"/>
  <c r="E259" i="48"/>
  <c r="E260" i="48" s="1"/>
  <c r="J381" i="48"/>
  <c r="S380" i="48"/>
  <c r="S381" i="48" s="1"/>
  <c r="G380" i="48"/>
  <c r="G381" i="48" s="1"/>
  <c r="J382" i="48" l="1"/>
  <c r="D260" i="48"/>
  <c r="O259" i="48"/>
  <c r="D261" i="48" l="1"/>
  <c r="O260" i="48"/>
  <c r="A260" i="48"/>
  <c r="A261" i="48" s="1"/>
  <c r="E261" i="48"/>
  <c r="E262" i="48" s="1"/>
  <c r="J383" i="48"/>
  <c r="S382" i="48"/>
  <c r="S383" i="48" s="1"/>
  <c r="G382" i="48"/>
  <c r="G383" i="48" s="1"/>
  <c r="J384" i="48" l="1"/>
  <c r="S384" i="48"/>
  <c r="D262" i="48"/>
  <c r="O261" i="48"/>
  <c r="O262" i="48" s="1"/>
  <c r="D263" i="48" l="1"/>
  <c r="A262" i="48"/>
  <c r="A263" i="48" s="1"/>
  <c r="E263" i="48"/>
  <c r="E264" i="48" s="1"/>
  <c r="J385" i="48"/>
  <c r="G384" i="48"/>
  <c r="G385" i="48" s="1"/>
  <c r="J386" i="48" l="1"/>
  <c r="S385" i="48"/>
  <c r="S386" i="48" s="1"/>
  <c r="D264" i="48"/>
  <c r="O263" i="48"/>
  <c r="O264" i="48" s="1"/>
  <c r="D265" i="48" l="1"/>
  <c r="A264" i="48"/>
  <c r="A265" i="48" s="1"/>
  <c r="E265" i="48"/>
  <c r="E266" i="48" s="1"/>
  <c r="J387" i="48"/>
  <c r="S387" i="48"/>
  <c r="G386" i="48"/>
  <c r="G387" i="48" s="1"/>
  <c r="J388" i="48" l="1"/>
  <c r="S388" i="48"/>
  <c r="D266" i="48"/>
  <c r="O265" i="48"/>
  <c r="O266" i="48" s="1"/>
  <c r="D267" i="48" l="1"/>
  <c r="O267" i="48"/>
  <c r="A266" i="48"/>
  <c r="A267" i="48" s="1"/>
  <c r="E267" i="48"/>
  <c r="E268" i="48" s="1"/>
  <c r="J389" i="48"/>
  <c r="G388" i="48"/>
  <c r="G389" i="48" s="1"/>
  <c r="J390" i="48" l="1"/>
  <c r="S389" i="48"/>
  <c r="S390" i="48" s="1"/>
  <c r="D268" i="48"/>
  <c r="D269" i="48" l="1"/>
  <c r="O268" i="48"/>
  <c r="O269" i="48" s="1"/>
  <c r="A268" i="48"/>
  <c r="A269" i="48" s="1"/>
  <c r="E269" i="48"/>
  <c r="E270" i="48" s="1"/>
  <c r="J391" i="48"/>
  <c r="S391" i="48"/>
  <c r="G390" i="48"/>
  <c r="G391" i="48" s="1"/>
  <c r="J392" i="48" l="1"/>
  <c r="D270" i="48"/>
  <c r="O270" i="48"/>
  <c r="D271" i="48" l="1"/>
  <c r="O271" i="48"/>
  <c r="A270" i="48"/>
  <c r="A271" i="48" s="1"/>
  <c r="E271" i="48"/>
  <c r="E272" i="48" s="1"/>
  <c r="J393" i="48"/>
  <c r="S392" i="48"/>
  <c r="S393" i="48" s="1"/>
  <c r="G392" i="48"/>
  <c r="G393" i="48" s="1"/>
  <c r="J394" i="48" l="1"/>
  <c r="S394" i="48"/>
  <c r="D272" i="48"/>
  <c r="D273" i="48" l="1"/>
  <c r="O272" i="48"/>
  <c r="O273" i="48" s="1"/>
  <c r="A272" i="48"/>
  <c r="A273" i="48" s="1"/>
  <c r="E273" i="48"/>
  <c r="E274" i="48" s="1"/>
  <c r="J395" i="48"/>
  <c r="S395" i="48"/>
  <c r="G394" i="48"/>
  <c r="G395" i="48" s="1"/>
  <c r="J396" i="48" l="1"/>
  <c r="S396" i="48"/>
  <c r="D274" i="48"/>
  <c r="O274" i="48"/>
  <c r="D275" i="48" l="1"/>
  <c r="A274" i="48"/>
  <c r="A275" i="48" s="1"/>
  <c r="E275" i="48"/>
  <c r="E276" i="48" s="1"/>
  <c r="J397" i="48"/>
  <c r="S397" i="48"/>
  <c r="G396" i="48"/>
  <c r="G397" i="48" s="1"/>
  <c r="J398" i="48" l="1"/>
  <c r="S398" i="48"/>
  <c r="D276" i="48"/>
  <c r="O275" i="48"/>
  <c r="O276" i="48" s="1"/>
  <c r="D277" i="48" l="1"/>
  <c r="A276" i="48"/>
  <c r="A277" i="48" s="1"/>
  <c r="E277" i="48"/>
  <c r="E278" i="48" s="1"/>
  <c r="J399" i="48"/>
  <c r="G398" i="48"/>
  <c r="G399" i="48" s="1"/>
  <c r="J400" i="48" l="1"/>
  <c r="S399" i="48"/>
  <c r="S400" i="48" s="1"/>
  <c r="D278" i="48"/>
  <c r="O277" i="48"/>
  <c r="O278" i="48" s="1"/>
  <c r="D279" i="48" l="1"/>
  <c r="A278" i="48"/>
  <c r="A279" i="48" s="1"/>
  <c r="E279" i="48"/>
  <c r="E280" i="48" s="1"/>
  <c r="J401" i="48"/>
  <c r="S401" i="48"/>
  <c r="G400" i="48"/>
  <c r="G401" i="48" s="1"/>
  <c r="J402" i="48" l="1"/>
  <c r="S402" i="48"/>
  <c r="D280" i="48"/>
  <c r="O279" i="48"/>
  <c r="D281" i="48" l="1"/>
  <c r="O280" i="48"/>
  <c r="O281" i="48" s="1"/>
  <c r="A280" i="48"/>
  <c r="A281" i="48" s="1"/>
  <c r="E281" i="48"/>
  <c r="E282" i="48" s="1"/>
  <c r="J403" i="48"/>
  <c r="S403" i="48"/>
  <c r="G402" i="48"/>
  <c r="G403" i="48" s="1"/>
  <c r="J404" i="48" l="1"/>
  <c r="S404" i="48"/>
  <c r="D282" i="48"/>
  <c r="D283" i="48" l="1"/>
  <c r="O282" i="48"/>
  <c r="O283" i="48" s="1"/>
  <c r="A282" i="48"/>
  <c r="A283" i="48" s="1"/>
  <c r="E283" i="48"/>
  <c r="E284" i="48" s="1"/>
  <c r="J405" i="48"/>
  <c r="S405" i="48"/>
  <c r="G404" i="48"/>
  <c r="G405" i="48" s="1"/>
  <c r="J406" i="48" l="1"/>
  <c r="D284" i="48"/>
  <c r="O284" i="48"/>
  <c r="D285" i="48" l="1"/>
  <c r="O285" i="48"/>
  <c r="A284" i="48"/>
  <c r="A285" i="48" s="1"/>
  <c r="E285" i="48"/>
  <c r="E286" i="48" s="1"/>
  <c r="J407" i="48"/>
  <c r="S406" i="48"/>
  <c r="S407" i="48" s="1"/>
  <c r="G406" i="48"/>
  <c r="G407" i="48" s="1"/>
  <c r="J408" i="48" l="1"/>
  <c r="S408" i="48"/>
  <c r="D286" i="48"/>
  <c r="D287" i="48" l="1"/>
  <c r="O286" i="48"/>
  <c r="O287" i="48" s="1"/>
  <c r="A286" i="48"/>
  <c r="A287" i="48" s="1"/>
  <c r="E287" i="48"/>
  <c r="E288" i="48" s="1"/>
  <c r="J409" i="48"/>
  <c r="S409" i="48"/>
  <c r="G408" i="48"/>
  <c r="G409" i="48" s="1"/>
  <c r="J410" i="48" l="1"/>
  <c r="S410" i="48"/>
  <c r="D288" i="48"/>
  <c r="D289" i="48" l="1"/>
  <c r="O288" i="48"/>
  <c r="A288" i="48"/>
  <c r="A289" i="48" s="1"/>
  <c r="E289" i="48"/>
  <c r="E290" i="48" s="1"/>
  <c r="J411" i="48"/>
  <c r="S411" i="48"/>
  <c r="G410" i="48"/>
  <c r="G411" i="48" s="1"/>
  <c r="J412" i="48" l="1"/>
  <c r="S412" i="48"/>
  <c r="D290" i="48"/>
  <c r="O289" i="48"/>
  <c r="D291" i="48" l="1"/>
  <c r="O290" i="48"/>
  <c r="O291" i="48" s="1"/>
  <c r="A290" i="48"/>
  <c r="A291" i="48" s="1"/>
  <c r="E291" i="48"/>
  <c r="E292" i="48" s="1"/>
  <c r="J413" i="48"/>
  <c r="G412" i="48"/>
  <c r="G413" i="48" s="1"/>
  <c r="J414" i="48" l="1"/>
  <c r="S413" i="48"/>
  <c r="D292" i="48"/>
  <c r="A292" i="48" s="1"/>
  <c r="O292" i="48"/>
  <c r="J415" i="48" l="1"/>
  <c r="D293" i="48"/>
  <c r="O293" i="48"/>
  <c r="E293" i="48"/>
  <c r="E294" i="48" s="1"/>
  <c r="S414" i="48"/>
  <c r="G414" i="48"/>
  <c r="G415" i="48" s="1"/>
  <c r="J416" i="48" l="1"/>
  <c r="D294" i="48"/>
  <c r="S415" i="48"/>
  <c r="S416" i="48" s="1"/>
  <c r="A293" i="48"/>
  <c r="A294" i="48" s="1"/>
  <c r="D295" i="48" l="1"/>
  <c r="O295" i="48" s="1"/>
  <c r="O294" i="48"/>
  <c r="J417" i="48"/>
  <c r="E295" i="48"/>
  <c r="E296" i="48" s="1"/>
  <c r="G416" i="48"/>
  <c r="G417" i="48" s="1"/>
  <c r="J418" i="48" l="1"/>
  <c r="S417" i="48"/>
  <c r="S418" i="48" s="1"/>
  <c r="D296" i="48"/>
  <c r="A295" i="48"/>
  <c r="A296" i="48" s="1"/>
  <c r="D297" i="48" l="1"/>
  <c r="O296" i="48"/>
  <c r="J419" i="48"/>
  <c r="S419" i="48"/>
  <c r="G418" i="48"/>
  <c r="G419" i="48" s="1"/>
  <c r="E297" i="48"/>
  <c r="E298" i="48" s="1"/>
  <c r="J420" i="48" l="1"/>
  <c r="D298" i="48"/>
  <c r="O297" i="48"/>
  <c r="A297" i="48"/>
  <c r="A298" i="48" s="1"/>
  <c r="D299" i="48" l="1"/>
  <c r="O298" i="48"/>
  <c r="O299" i="48" s="1"/>
  <c r="J421" i="48"/>
  <c r="S420" i="48"/>
  <c r="S421" i="48" s="1"/>
  <c r="G420" i="48"/>
  <c r="G421" i="48" s="1"/>
  <c r="E299" i="48"/>
  <c r="E300" i="48" s="1"/>
  <c r="J422" i="48" l="1"/>
  <c r="S422" i="48"/>
  <c r="D300" i="48"/>
  <c r="O300" i="48"/>
  <c r="A299" i="48"/>
  <c r="A300" i="48" s="1"/>
  <c r="D301" i="48" l="1"/>
  <c r="O301" i="48"/>
  <c r="J423" i="48"/>
  <c r="S423" i="48"/>
  <c r="G422" i="48"/>
  <c r="G423" i="48" s="1"/>
  <c r="E301" i="48"/>
  <c r="E302" i="48" s="1"/>
  <c r="J424" i="48" l="1"/>
  <c r="S424" i="48"/>
  <c r="D302" i="48"/>
  <c r="A301" i="48"/>
  <c r="A302" i="48" s="1"/>
  <c r="D303" i="48" l="1"/>
  <c r="O302" i="48"/>
  <c r="J425" i="48"/>
  <c r="S425" i="48"/>
  <c r="G424" i="48"/>
  <c r="G425" i="48" s="1"/>
  <c r="E303" i="48"/>
  <c r="E304" i="48" s="1"/>
  <c r="J426" i="48" l="1"/>
  <c r="S426" i="48"/>
  <c r="D304" i="48"/>
  <c r="O303" i="48"/>
  <c r="A303" i="48"/>
  <c r="A304" i="48" s="1"/>
  <c r="D305" i="48" l="1"/>
  <c r="O304" i="48"/>
  <c r="O305" i="48" s="1"/>
  <c r="J427" i="48"/>
  <c r="G426" i="48"/>
  <c r="G427" i="48" s="1"/>
  <c r="E305" i="48"/>
  <c r="E306" i="48" s="1"/>
  <c r="J428" i="48" l="1"/>
  <c r="S427" i="48"/>
  <c r="S428" i="48" s="1"/>
  <c r="D306" i="48"/>
  <c r="O306" i="48"/>
  <c r="A305" i="48"/>
  <c r="A306" i="48" s="1"/>
  <c r="D307" i="48" l="1"/>
  <c r="O307" i="48"/>
  <c r="J429" i="48"/>
  <c r="S429" i="48"/>
  <c r="G428" i="48"/>
  <c r="G429" i="48" s="1"/>
  <c r="E307" i="48"/>
  <c r="E308" i="48" s="1"/>
  <c r="J430" i="48" l="1"/>
  <c r="S430" i="48"/>
  <c r="D308" i="48"/>
  <c r="A307" i="48"/>
  <c r="A308" i="48" s="1"/>
  <c r="D309" i="48" l="1"/>
  <c r="O308" i="48"/>
  <c r="O309" i="48" s="1"/>
  <c r="J431" i="48"/>
  <c r="G430" i="48"/>
  <c r="G431" i="48" s="1"/>
  <c r="E309" i="48"/>
  <c r="E310" i="48" s="1"/>
  <c r="J432" i="48" l="1"/>
  <c r="S431" i="48"/>
  <c r="S432" i="48" s="1"/>
  <c r="D310" i="48"/>
  <c r="A309" i="48"/>
  <c r="A310" i="48" s="1"/>
  <c r="D311" i="48" l="1"/>
  <c r="O310" i="48"/>
  <c r="J433" i="48"/>
  <c r="S433" i="48"/>
  <c r="G432" i="48"/>
  <c r="G433" i="48" s="1"/>
  <c r="E311" i="48"/>
  <c r="E312" i="48" s="1"/>
  <c r="J434" i="48" l="1"/>
  <c r="D312" i="48"/>
  <c r="O311" i="48"/>
  <c r="A311" i="48"/>
  <c r="A312" i="48" s="1"/>
  <c r="D313" i="48" l="1"/>
  <c r="O312" i="48"/>
  <c r="O313" i="48" s="1"/>
  <c r="J435" i="48"/>
  <c r="S434" i="48"/>
  <c r="S435" i="48" s="1"/>
  <c r="G434" i="48"/>
  <c r="G435" i="48" s="1"/>
  <c r="E313" i="48"/>
  <c r="E314" i="48" s="1"/>
  <c r="J436" i="48" l="1"/>
  <c r="S436" i="48"/>
  <c r="D314" i="48"/>
  <c r="O314" i="48"/>
  <c r="A313" i="48"/>
  <c r="A314" i="48" s="1"/>
  <c r="D315" i="48" l="1"/>
  <c r="J437" i="48"/>
  <c r="G436" i="48"/>
  <c r="G437" i="48" s="1"/>
  <c r="E315" i="48"/>
  <c r="E316" i="48" s="1"/>
  <c r="J438" i="48" l="1"/>
  <c r="S437" i="48"/>
  <c r="D316" i="48"/>
  <c r="O315" i="48"/>
  <c r="O316" i="48" s="1"/>
  <c r="A315" i="48"/>
  <c r="A316" i="48" s="1"/>
  <c r="J439" i="48" l="1"/>
  <c r="D317" i="48"/>
  <c r="O317" i="48" s="1"/>
  <c r="G438" i="48"/>
  <c r="G439" i="48" s="1"/>
  <c r="S438" i="48"/>
  <c r="S439" i="48" s="1"/>
  <c r="E317" i="48"/>
  <c r="E318" i="48" s="1"/>
  <c r="J440" i="48" l="1"/>
  <c r="S440" i="48"/>
  <c r="G440" i="48"/>
  <c r="D318" i="48"/>
  <c r="A317" i="48"/>
  <c r="A318" i="48" s="1"/>
  <c r="D319" i="48" l="1"/>
  <c r="O318" i="48"/>
  <c r="J441" i="48"/>
  <c r="E319" i="48"/>
  <c r="E320" i="48" s="1"/>
  <c r="J442" i="48" l="1"/>
  <c r="S441" i="48"/>
  <c r="S442" i="48" s="1"/>
  <c r="G441" i="48"/>
  <c r="G442" i="48" s="1"/>
  <c r="D320" i="48"/>
  <c r="O319" i="48"/>
  <c r="O320" i="48" s="1"/>
  <c r="A319" i="48"/>
  <c r="A320" i="48" s="1"/>
  <c r="D321" i="48" l="1"/>
  <c r="J443" i="48"/>
  <c r="S443" i="48"/>
  <c r="E321" i="48"/>
  <c r="E322" i="48" s="1"/>
  <c r="J444" i="48" l="1"/>
  <c r="S444" i="48"/>
  <c r="G443" i="48"/>
  <c r="G444" i="48" s="1"/>
  <c r="D322" i="48"/>
  <c r="O321" i="48"/>
  <c r="A321" i="48"/>
  <c r="A322" i="48" s="1"/>
  <c r="D323" i="48" l="1"/>
  <c r="O322" i="48"/>
  <c r="J445" i="48"/>
  <c r="E323" i="48"/>
  <c r="E324" i="48" s="1"/>
  <c r="J446" i="48" l="1"/>
  <c r="S445" i="48"/>
  <c r="S446" i="48" s="1"/>
  <c r="G445" i="48"/>
  <c r="G446" i="48" s="1"/>
  <c r="D324" i="48"/>
  <c r="O323" i="48"/>
  <c r="A323" i="48"/>
  <c r="A324" i="48" s="1"/>
  <c r="D325" i="48" l="1"/>
  <c r="O324" i="48"/>
  <c r="O325" i="48" s="1"/>
  <c r="J447" i="48"/>
  <c r="S447" i="48"/>
  <c r="E325" i="48"/>
  <c r="E326" i="48" s="1"/>
  <c r="J448" i="48" l="1"/>
  <c r="G447" i="48"/>
  <c r="G448" i="48" s="1"/>
  <c r="D326" i="48"/>
  <c r="A325" i="48"/>
  <c r="A326" i="48" s="1"/>
  <c r="D327" i="48" l="1"/>
  <c r="O326" i="48"/>
  <c r="O327" i="48" s="1"/>
  <c r="J449" i="48"/>
  <c r="S448" i="48"/>
  <c r="S449" i="48" s="1"/>
  <c r="E327" i="48"/>
  <c r="E328" i="48" s="1"/>
  <c r="J450" i="48" l="1"/>
  <c r="S450" i="48"/>
  <c r="G449" i="48"/>
  <c r="G450" i="48" s="1"/>
  <c r="D328" i="48"/>
  <c r="O328" i="48"/>
  <c r="A327" i="48"/>
  <c r="A328" i="48" s="1"/>
  <c r="D329" i="48" l="1"/>
  <c r="J451" i="48"/>
  <c r="S451" i="48"/>
  <c r="E329" i="48"/>
  <c r="E330" i="48" s="1"/>
  <c r="J452" i="48" l="1"/>
  <c r="S452" i="48"/>
  <c r="G451" i="48"/>
  <c r="G452" i="48" s="1"/>
  <c r="D330" i="48"/>
  <c r="O329" i="48"/>
  <c r="A329" i="48"/>
  <c r="A330" i="48" s="1"/>
  <c r="D331" i="48" l="1"/>
  <c r="O330" i="48"/>
  <c r="J453" i="48"/>
  <c r="S453" i="48"/>
  <c r="E331" i="48"/>
  <c r="E332" i="48" s="1"/>
  <c r="J454" i="48" l="1"/>
  <c r="G453" i="48"/>
  <c r="G454" i="48" s="1"/>
  <c r="D332" i="48"/>
  <c r="O331" i="48"/>
  <c r="O332" i="48" s="1"/>
  <c r="A331" i="48"/>
  <c r="A332" i="48" s="1"/>
  <c r="D333" i="48" l="1"/>
  <c r="O333" i="48"/>
  <c r="J455" i="48"/>
  <c r="S454" i="48"/>
  <c r="E333" i="48"/>
  <c r="E334" i="48" s="1"/>
  <c r="J456" i="48" l="1"/>
  <c r="S455" i="48"/>
  <c r="G455" i="48"/>
  <c r="G456" i="48" s="1"/>
  <c r="D334" i="48"/>
  <c r="O334" i="48"/>
  <c r="A333" i="48"/>
  <c r="A334" i="48" s="1"/>
  <c r="D335" i="48" l="1"/>
  <c r="J457" i="48"/>
  <c r="S456" i="48"/>
  <c r="S457" i="48" s="1"/>
  <c r="E335" i="48"/>
  <c r="E336" i="48" s="1"/>
  <c r="J458" i="48" l="1"/>
  <c r="S458" i="48"/>
  <c r="G457" i="48"/>
  <c r="G458" i="48" s="1"/>
  <c r="D336" i="48"/>
  <c r="O335" i="48"/>
  <c r="O336" i="48" s="1"/>
  <c r="A335" i="48"/>
  <c r="A336" i="48" s="1"/>
  <c r="D337" i="48" l="1"/>
  <c r="J459" i="48"/>
  <c r="E337" i="48"/>
  <c r="E338" i="48" s="1"/>
  <c r="J460" i="48" l="1"/>
  <c r="S459" i="48"/>
  <c r="G459" i="48"/>
  <c r="G460" i="48" s="1"/>
  <c r="D338" i="48"/>
  <c r="O337" i="48"/>
  <c r="A337" i="48"/>
  <c r="A338" i="48" s="1"/>
  <c r="D339" i="48" l="1"/>
  <c r="O338" i="48"/>
  <c r="O339" i="48" s="1"/>
  <c r="J461" i="48"/>
  <c r="S460" i="48"/>
  <c r="S461" i="48" s="1"/>
  <c r="E339" i="48"/>
  <c r="E340" i="48" s="1"/>
  <c r="J462" i="48" l="1"/>
  <c r="G461" i="48"/>
  <c r="G462" i="48" s="1"/>
  <c r="D340" i="48"/>
  <c r="O340" i="48"/>
  <c r="A339" i="48"/>
  <c r="A340" i="48" s="1"/>
  <c r="D341" i="48" l="1"/>
  <c r="O341" i="48"/>
  <c r="J463" i="48"/>
  <c r="S462" i="48"/>
  <c r="E341" i="48"/>
  <c r="E342" i="48" s="1"/>
  <c r="J464" i="48" l="1"/>
  <c r="S463" i="48"/>
  <c r="S464" i="48" s="1"/>
  <c r="G463" i="48"/>
  <c r="G464" i="48" s="1"/>
  <c r="D342" i="48"/>
  <c r="O342" i="48"/>
  <c r="A341" i="48"/>
  <c r="A342" i="48" s="1"/>
  <c r="D343" i="48" l="1"/>
  <c r="O343" i="48"/>
  <c r="J465" i="48"/>
  <c r="E343" i="48"/>
  <c r="E344" i="48" s="1"/>
  <c r="J466" i="48" l="1"/>
  <c r="S465" i="48"/>
  <c r="S466" i="48" s="1"/>
  <c r="G465" i="48"/>
  <c r="G466" i="48" s="1"/>
  <c r="D344" i="48"/>
  <c r="A343" i="48"/>
  <c r="A344" i="48" s="1"/>
  <c r="D345" i="48" l="1"/>
  <c r="O344" i="48"/>
  <c r="J467" i="48"/>
  <c r="S467" i="48"/>
  <c r="E345" i="48"/>
  <c r="E346" i="48" s="1"/>
  <c r="J468" i="48" l="1"/>
  <c r="S468" i="48"/>
  <c r="G467" i="48"/>
  <c r="G468" i="48" s="1"/>
  <c r="D346" i="48"/>
  <c r="O345" i="48"/>
  <c r="O346" i="48" s="1"/>
  <c r="A345" i="48"/>
  <c r="A346" i="48" s="1"/>
  <c r="D347" i="48" l="1"/>
  <c r="O347" i="48"/>
  <c r="J469" i="48"/>
  <c r="E347" i="48"/>
  <c r="E348" i="48" s="1"/>
  <c r="J470" i="48" l="1"/>
  <c r="S469" i="48"/>
  <c r="S470" i="48" s="1"/>
  <c r="G469" i="48"/>
  <c r="G470" i="48" s="1"/>
  <c r="D348" i="48"/>
  <c r="O348" i="48"/>
  <c r="A347" i="48"/>
  <c r="A348" i="48" s="1"/>
  <c r="D349" i="48" l="1"/>
  <c r="O349" i="48"/>
  <c r="J471" i="48"/>
  <c r="E349" i="48"/>
  <c r="E350" i="48" s="1"/>
  <c r="J472" i="48" l="1"/>
  <c r="S471" i="48"/>
  <c r="S472" i="48" s="1"/>
  <c r="G471" i="48"/>
  <c r="G472" i="48" s="1"/>
  <c r="D350" i="48"/>
  <c r="O350" i="48"/>
  <c r="A349" i="48"/>
  <c r="A350" i="48" s="1"/>
  <c r="D351" i="48" l="1"/>
  <c r="O351" i="48"/>
  <c r="J473" i="48"/>
  <c r="S473" i="48"/>
  <c r="E351" i="48"/>
  <c r="E352" i="48" s="1"/>
  <c r="J474" i="48" l="1"/>
  <c r="S474" i="48"/>
  <c r="G473" i="48"/>
  <c r="G474" i="48" s="1"/>
  <c r="D352" i="48"/>
  <c r="A351" i="48"/>
  <c r="A352" i="48" s="1"/>
  <c r="D353" i="48" l="1"/>
  <c r="O352" i="48"/>
  <c r="J475" i="48"/>
  <c r="E353" i="48"/>
  <c r="E354" i="48" s="1"/>
  <c r="J476" i="48" l="1"/>
  <c r="S475" i="48"/>
  <c r="G475" i="48"/>
  <c r="G476" i="48" s="1"/>
  <c r="D354" i="48"/>
  <c r="O353" i="48"/>
  <c r="O354" i="48" s="1"/>
  <c r="A353" i="48"/>
  <c r="A354" i="48" s="1"/>
  <c r="D355" i="48" l="1"/>
  <c r="O355" i="48"/>
  <c r="G477" i="48"/>
  <c r="J477" i="48"/>
  <c r="S476" i="48"/>
  <c r="S477" i="48" s="1"/>
  <c r="E355" i="48"/>
  <c r="E356" i="48" s="1"/>
  <c r="G478" i="48" l="1"/>
  <c r="S478" i="48"/>
  <c r="J478" i="48"/>
  <c r="D356" i="48"/>
  <c r="A355" i="48"/>
  <c r="A356" i="48" s="1"/>
  <c r="D357" i="48" l="1"/>
  <c r="O356" i="48"/>
  <c r="O357" i="48" s="1"/>
  <c r="J479" i="48"/>
  <c r="S479" i="48"/>
  <c r="G479" i="48"/>
  <c r="E357" i="48"/>
  <c r="E358" i="48" s="1"/>
  <c r="J480" i="48" l="1"/>
  <c r="D358" i="48"/>
  <c r="O358" i="48"/>
  <c r="A357" i="48"/>
  <c r="A358" i="48" s="1"/>
  <c r="D359" i="48" l="1"/>
  <c r="J481" i="48"/>
  <c r="S480" i="48"/>
  <c r="G480" i="48"/>
  <c r="G481" i="48" s="1"/>
  <c r="E359" i="48"/>
  <c r="E360" i="48" s="1"/>
  <c r="J482" i="48" l="1"/>
  <c r="S481" i="48"/>
  <c r="D360" i="48"/>
  <c r="O359" i="48"/>
  <c r="A359" i="48"/>
  <c r="A360" i="48" s="1"/>
  <c r="D361" i="48" l="1"/>
  <c r="O360" i="48"/>
  <c r="J483" i="48"/>
  <c r="S482" i="48"/>
  <c r="G482" i="48"/>
  <c r="G483" i="48" s="1"/>
  <c r="E361" i="48"/>
  <c r="E362" i="48" s="1"/>
  <c r="J484" i="48" l="1"/>
  <c r="S483" i="48"/>
  <c r="D362" i="48"/>
  <c r="O361" i="48"/>
  <c r="O362" i="48" s="1"/>
  <c r="A361" i="48"/>
  <c r="A362" i="48" s="1"/>
  <c r="D363" i="48" l="1"/>
  <c r="J485" i="48"/>
  <c r="S484" i="48"/>
  <c r="G484" i="48"/>
  <c r="G485" i="48" s="1"/>
  <c r="E363" i="48"/>
  <c r="E364" i="48" s="1"/>
  <c r="J486" i="48" l="1"/>
  <c r="S485" i="48"/>
  <c r="S486" i="48" s="1"/>
  <c r="D364" i="48"/>
  <c r="O363" i="48"/>
  <c r="O364" i="48" s="1"/>
  <c r="A363" i="48"/>
  <c r="A364" i="48" s="1"/>
  <c r="D365" i="48" l="1"/>
  <c r="O365" i="48"/>
  <c r="J487" i="48"/>
  <c r="G486" i="48"/>
  <c r="G487" i="48" s="1"/>
  <c r="E365" i="48"/>
  <c r="E366" i="48" s="1"/>
  <c r="J488" i="48" l="1"/>
  <c r="S487" i="48"/>
  <c r="D366" i="48"/>
  <c r="A365" i="48"/>
  <c r="A366" i="48" s="1"/>
  <c r="D367" i="48" l="1"/>
  <c r="O366" i="48"/>
  <c r="J489" i="48"/>
  <c r="S488" i="48"/>
  <c r="G488" i="48"/>
  <c r="G489" i="48" s="1"/>
  <c r="E367" i="48"/>
  <c r="E368" i="48" s="1"/>
  <c r="J490" i="48" l="1"/>
  <c r="S489" i="48"/>
  <c r="D368" i="48"/>
  <c r="O367" i="48"/>
  <c r="O368" i="48" s="1"/>
  <c r="A367" i="48"/>
  <c r="A368" i="48" s="1"/>
  <c r="D369" i="48" l="1"/>
  <c r="O369" i="48"/>
  <c r="J491" i="48"/>
  <c r="S490" i="48"/>
  <c r="S491" i="48" s="1"/>
  <c r="G490" i="48"/>
  <c r="G491" i="48" s="1"/>
  <c r="E369" i="48"/>
  <c r="E370" i="48" s="1"/>
  <c r="J492" i="48" l="1"/>
  <c r="D370" i="48"/>
  <c r="O370" i="48"/>
  <c r="A369" i="48"/>
  <c r="A370" i="48" s="1"/>
  <c r="D371" i="48" l="1"/>
  <c r="O371" i="48"/>
  <c r="J493" i="48"/>
  <c r="S492" i="48"/>
  <c r="S493" i="48" s="1"/>
  <c r="G492" i="48"/>
  <c r="G493" i="48" s="1"/>
  <c r="E371" i="48"/>
  <c r="E372" i="48" s="1"/>
  <c r="J494" i="48" l="1"/>
  <c r="S494" i="48"/>
  <c r="D372" i="48"/>
  <c r="O372" i="48"/>
  <c r="A371" i="48"/>
  <c r="A372" i="48" s="1"/>
  <c r="D373" i="48" l="1"/>
  <c r="J495" i="48"/>
  <c r="G494" i="48"/>
  <c r="G495" i="48" s="1"/>
  <c r="E373" i="48"/>
  <c r="E374" i="48" s="1"/>
  <c r="J496" i="48" l="1"/>
  <c r="S495" i="48"/>
  <c r="D374" i="48"/>
  <c r="O373" i="48"/>
  <c r="A373" i="48"/>
  <c r="A374" i="48" s="1"/>
  <c r="D375" i="48" l="1"/>
  <c r="O374" i="48"/>
  <c r="J497" i="48"/>
  <c r="S496" i="48"/>
  <c r="G496" i="48"/>
  <c r="G497" i="48" s="1"/>
  <c r="E375" i="48"/>
  <c r="E376" i="48" s="1"/>
  <c r="J498" i="48" l="1"/>
  <c r="S497" i="48"/>
  <c r="D376" i="48"/>
  <c r="O375" i="48"/>
  <c r="O376" i="48" s="1"/>
  <c r="A375" i="48"/>
  <c r="A376" i="48" s="1"/>
  <c r="D377" i="48" l="1"/>
  <c r="O377" i="48"/>
  <c r="J499" i="48"/>
  <c r="S498" i="48"/>
  <c r="G498" i="48"/>
  <c r="G499" i="48" s="1"/>
  <c r="E377" i="48"/>
  <c r="E378" i="48" s="1"/>
  <c r="J500" i="48" l="1"/>
  <c r="S499" i="48"/>
  <c r="S500" i="48" s="1"/>
  <c r="D378" i="48"/>
  <c r="A377" i="48"/>
  <c r="A378" i="48" s="1"/>
  <c r="D379" i="48" l="1"/>
  <c r="O378" i="48"/>
  <c r="J501" i="48"/>
  <c r="S501" i="48"/>
  <c r="G500" i="48"/>
  <c r="G501" i="48" s="1"/>
  <c r="E379" i="48"/>
  <c r="E380" i="48" s="1"/>
  <c r="J502" i="48" l="1"/>
  <c r="D380" i="48"/>
  <c r="O379" i="48"/>
  <c r="A379" i="48"/>
  <c r="A380" i="48" s="1"/>
  <c r="D381" i="48" l="1"/>
  <c r="O380" i="48"/>
  <c r="J503" i="48"/>
  <c r="S502" i="48"/>
  <c r="G502" i="48"/>
  <c r="G503" i="48" s="1"/>
  <c r="E381" i="48"/>
  <c r="E382" i="48" s="1"/>
  <c r="J504" i="48" l="1"/>
  <c r="S503" i="48"/>
  <c r="D382" i="48"/>
  <c r="O381" i="48"/>
  <c r="O382" i="48" s="1"/>
  <c r="A381" i="48"/>
  <c r="A382" i="48" s="1"/>
  <c r="D383" i="48" l="1"/>
  <c r="O383" i="48"/>
  <c r="J505" i="48"/>
  <c r="S504" i="48"/>
  <c r="S505" i="48" s="1"/>
  <c r="G504" i="48"/>
  <c r="G505" i="48" s="1"/>
  <c r="E383" i="48"/>
  <c r="E384" i="48" s="1"/>
  <c r="J506" i="48" l="1"/>
  <c r="D384" i="48"/>
  <c r="O384" i="48"/>
  <c r="A383" i="48"/>
  <c r="A384" i="48" s="1"/>
  <c r="D385" i="48" l="1"/>
  <c r="O385" i="48"/>
  <c r="J507" i="48"/>
  <c r="S506" i="48"/>
  <c r="S507" i="48" s="1"/>
  <c r="G506" i="48"/>
  <c r="G507" i="48" s="1"/>
  <c r="E385" i="48"/>
  <c r="E386" i="48" s="1"/>
  <c r="J508" i="48" l="1"/>
  <c r="S508" i="48"/>
  <c r="D386" i="48"/>
  <c r="A385" i="48"/>
  <c r="A386" i="48" s="1"/>
  <c r="D387" i="48" l="1"/>
  <c r="O386" i="48"/>
  <c r="J509" i="48"/>
  <c r="S509" i="48"/>
  <c r="G508" i="48"/>
  <c r="G509" i="48" s="1"/>
  <c r="E387" i="48"/>
  <c r="E388" i="48" s="1"/>
  <c r="J510" i="48" l="1"/>
  <c r="S510" i="48"/>
  <c r="D388" i="48"/>
  <c r="O387" i="48"/>
  <c r="O388" i="48" s="1"/>
  <c r="A387" i="48"/>
  <c r="A388" i="48" s="1"/>
  <c r="D389" i="48" l="1"/>
  <c r="J511" i="48"/>
  <c r="G510" i="48"/>
  <c r="G511" i="48" s="1"/>
  <c r="E389" i="48"/>
  <c r="E390" i="48" s="1"/>
  <c r="J512" i="48" l="1"/>
  <c r="S511" i="48"/>
  <c r="S512" i="48" s="1"/>
  <c r="D390" i="48"/>
  <c r="O389" i="48"/>
  <c r="O390" i="48" s="1"/>
  <c r="A389" i="48"/>
  <c r="A390" i="48" s="1"/>
  <c r="D391" i="48" l="1"/>
  <c r="O391" i="48"/>
  <c r="J513" i="48"/>
  <c r="S513" i="48"/>
  <c r="G512" i="48"/>
  <c r="G513" i="48" s="1"/>
  <c r="E391" i="48"/>
  <c r="E392" i="48" s="1"/>
  <c r="J514" i="48" l="1"/>
  <c r="G514" i="48" s="1"/>
  <c r="S514" i="48"/>
  <c r="D392" i="48"/>
  <c r="O392" i="48"/>
  <c r="A391" i="48"/>
  <c r="A392" i="48" s="1"/>
  <c r="D393" i="48" l="1"/>
  <c r="A393" i="48" s="1"/>
  <c r="O393" i="48"/>
  <c r="J515" i="48"/>
  <c r="S515" i="48"/>
  <c r="E393" i="48"/>
  <c r="E394" i="48" s="1"/>
  <c r="J516" i="48" l="1"/>
  <c r="D394" i="48"/>
  <c r="G515" i="48"/>
  <c r="G516" i="48" s="1"/>
  <c r="D395" i="48" l="1"/>
  <c r="O394" i="48"/>
  <c r="O395" i="48" s="1"/>
  <c r="J517" i="48"/>
  <c r="S516" i="48"/>
  <c r="S517" i="48" s="1"/>
  <c r="E395" i="48"/>
  <c r="E396" i="48" s="1"/>
  <c r="A394" i="48"/>
  <c r="A395" i="48" s="1"/>
  <c r="J518" i="48" l="1"/>
  <c r="D396" i="48"/>
  <c r="A396" i="48" s="1"/>
  <c r="G517" i="48"/>
  <c r="G518" i="48" s="1"/>
  <c r="G519" i="48" l="1"/>
  <c r="D397" i="48"/>
  <c r="O397" i="48" s="1"/>
  <c r="O396" i="48"/>
  <c r="J519" i="48"/>
  <c r="S518" i="48"/>
  <c r="S519" i="48" s="1"/>
  <c r="E397" i="48"/>
  <c r="E398" i="48" l="1"/>
  <c r="J520" i="48"/>
  <c r="D398" i="48"/>
  <c r="O398" i="48"/>
  <c r="A397" i="48"/>
  <c r="A398" i="48" s="1"/>
  <c r="D399" i="48" l="1"/>
  <c r="O399" i="48"/>
  <c r="J521" i="48"/>
  <c r="S520" i="48"/>
  <c r="S521" i="48" s="1"/>
  <c r="E399" i="48"/>
  <c r="E400" i="48" s="1"/>
  <c r="G520" i="48"/>
  <c r="G521" i="48" s="1"/>
  <c r="G522" i="48" l="1"/>
  <c r="J522" i="48"/>
  <c r="S522" i="48"/>
  <c r="D400" i="48"/>
  <c r="O400" i="48"/>
  <c r="A399" i="48"/>
  <c r="A400" i="48" s="1"/>
  <c r="D401" i="48" l="1"/>
  <c r="J523" i="48"/>
  <c r="E401" i="48"/>
  <c r="E402" i="48" s="1"/>
  <c r="J524" i="48" l="1"/>
  <c r="S523" i="48"/>
  <c r="S524" i="48" s="1"/>
  <c r="D402" i="48"/>
  <c r="O401" i="48"/>
  <c r="O402" i="48" s="1"/>
  <c r="A401" i="48"/>
  <c r="A402" i="48" s="1"/>
  <c r="G523" i="48"/>
  <c r="G524" i="48" s="1"/>
  <c r="D403" i="48" l="1"/>
  <c r="J525" i="48"/>
  <c r="E403" i="48"/>
  <c r="E404" i="48" s="1"/>
  <c r="J526" i="48" l="1"/>
  <c r="S525" i="48"/>
  <c r="S526" i="48" s="1"/>
  <c r="D404" i="48"/>
  <c r="O403" i="48"/>
  <c r="G525" i="48"/>
  <c r="G526" i="48" s="1"/>
  <c r="A403" i="48"/>
  <c r="A404" i="48" s="1"/>
  <c r="D405" i="48" l="1"/>
  <c r="O404" i="48"/>
  <c r="O405" i="48" s="1"/>
  <c r="E405" i="48"/>
  <c r="E406" i="48" s="1"/>
  <c r="J527" i="48"/>
  <c r="J528" i="48" l="1"/>
  <c r="S527" i="48"/>
  <c r="S528" i="48" s="1"/>
  <c r="D406" i="48"/>
  <c r="O406" i="48"/>
  <c r="G527" i="48"/>
  <c r="G528" i="48" s="1"/>
  <c r="A405" i="48"/>
  <c r="A406" i="48" s="1"/>
  <c r="D407" i="48" l="1"/>
  <c r="O407" i="48"/>
  <c r="J529" i="48"/>
  <c r="E407" i="48"/>
  <c r="E408" i="48" s="1"/>
  <c r="J530" i="48" l="1"/>
  <c r="G529" i="48"/>
  <c r="G530" i="48" s="1"/>
  <c r="S529" i="48"/>
  <c r="D408" i="48"/>
  <c r="A407" i="48"/>
  <c r="A408" i="48" s="1"/>
  <c r="D409" i="48" l="1"/>
  <c r="O409" i="48"/>
  <c r="O408" i="48"/>
  <c r="A409" i="48"/>
  <c r="E409" i="48"/>
  <c r="E410" i="48" s="1"/>
  <c r="J531" i="48"/>
  <c r="G531" i="48"/>
  <c r="S530" i="48"/>
  <c r="S531" i="48" s="1"/>
  <c r="J532" i="48" l="1"/>
  <c r="D410" i="48"/>
  <c r="O410" i="48"/>
  <c r="J533" i="48" l="1"/>
  <c r="D411" i="48"/>
  <c r="O411" i="48"/>
  <c r="A410" i="48"/>
  <c r="A411" i="48" s="1"/>
  <c r="S532" i="48"/>
  <c r="E411" i="48"/>
  <c r="E412" i="48" s="1"/>
  <c r="G532" i="48"/>
  <c r="G533" i="48" s="1"/>
  <c r="J534" i="48" l="1"/>
  <c r="D412" i="48"/>
  <c r="S533" i="48"/>
  <c r="S534" i="48" s="1"/>
  <c r="D413" i="48" l="1"/>
  <c r="O412" i="48"/>
  <c r="A412" i="48"/>
  <c r="A413" i="48" s="1"/>
  <c r="J535" i="48"/>
  <c r="S535" i="48"/>
  <c r="G534" i="48"/>
  <c r="G535" i="48" s="1"/>
  <c r="E413" i="48"/>
  <c r="E414" i="48" s="1"/>
  <c r="J536" i="48" l="1"/>
  <c r="G536" i="48" s="1"/>
  <c r="D414" i="48"/>
  <c r="O413" i="48"/>
  <c r="O415" i="48" l="1"/>
  <c r="D415" i="48"/>
  <c r="O414" i="48"/>
  <c r="A414" i="48"/>
  <c r="A415" i="48" s="1"/>
  <c r="J537" i="48"/>
  <c r="S536" i="48"/>
  <c r="S537" i="48" s="1"/>
  <c r="E415" i="48"/>
  <c r="E416" i="48" s="1"/>
  <c r="J538" i="48" l="1"/>
  <c r="A416" i="48"/>
  <c r="D416" i="48"/>
  <c r="O416" i="48"/>
  <c r="G537" i="48"/>
  <c r="G538" i="48" s="1"/>
  <c r="D417" i="48" l="1"/>
  <c r="O417" i="48"/>
  <c r="E417" i="48"/>
  <c r="E418" i="48" s="1"/>
  <c r="J539" i="48"/>
  <c r="S538" i="48"/>
  <c r="J540" i="48" l="1"/>
  <c r="S539" i="48"/>
  <c r="S540" i="48" s="1"/>
  <c r="G539" i="48"/>
  <c r="G540" i="48" s="1"/>
  <c r="E419" i="48"/>
  <c r="D418" i="48"/>
  <c r="O418" i="48"/>
  <c r="A417" i="48"/>
  <c r="A418" i="48" s="1"/>
  <c r="D419" i="48" l="1"/>
  <c r="J541" i="48"/>
  <c r="G541" i="48" s="1"/>
  <c r="J542" i="48" l="1"/>
  <c r="S541" i="48"/>
  <c r="S542" i="48" s="1"/>
  <c r="D420" i="48"/>
  <c r="O420" i="48" s="1"/>
  <c r="O419" i="48"/>
  <c r="A419" i="48"/>
  <c r="A420" i="48" s="1"/>
  <c r="E420" i="48"/>
  <c r="E421" i="48" s="1"/>
  <c r="D421" i="48" l="1"/>
  <c r="A421" i="48" s="1"/>
  <c r="J543" i="48"/>
  <c r="S543" i="48"/>
  <c r="G542" i="48"/>
  <c r="G543" i="48" s="1"/>
  <c r="J544" i="48" l="1"/>
  <c r="S544" i="48"/>
  <c r="D422" i="48"/>
  <c r="O421" i="48"/>
  <c r="E422" i="48"/>
  <c r="E423" i="48" s="1"/>
  <c r="D423" i="48" l="1"/>
  <c r="O422" i="48"/>
  <c r="O423" i="48" s="1"/>
  <c r="J545" i="48"/>
  <c r="G544" i="48"/>
  <c r="G545" i="48" s="1"/>
  <c r="A422" i="48"/>
  <c r="A423" i="48" s="1"/>
  <c r="J546" i="48" l="1"/>
  <c r="S545" i="48"/>
  <c r="S546" i="48" s="1"/>
  <c r="D424" i="48"/>
  <c r="O424" i="48"/>
  <c r="G546" i="48"/>
  <c r="E424" i="48"/>
  <c r="E425" i="48" s="1"/>
  <c r="D425" i="48" l="1"/>
  <c r="O425" i="48"/>
  <c r="A424" i="48"/>
  <c r="A425" i="48" s="1"/>
  <c r="J547" i="48"/>
  <c r="S547" i="48"/>
  <c r="J548" i="48" l="1"/>
  <c r="S548" i="48"/>
  <c r="G547" i="48"/>
  <c r="G548" i="48" s="1"/>
  <c r="D426" i="48"/>
  <c r="O426" i="48"/>
  <c r="E426" i="48"/>
  <c r="E427" i="48" s="1"/>
  <c r="D427" i="48" l="1"/>
  <c r="E428" i="48" s="1"/>
  <c r="A426" i="48"/>
  <c r="A427" i="48" s="1"/>
  <c r="J549" i="48"/>
  <c r="J550" i="48" l="1"/>
  <c r="S549" i="48"/>
  <c r="D428" i="48"/>
  <c r="O427" i="48"/>
  <c r="G549" i="48"/>
  <c r="G550" i="48" s="1"/>
  <c r="D429" i="48" l="1"/>
  <c r="A428" i="48"/>
  <c r="A429" i="48" s="1"/>
  <c r="J551" i="48"/>
  <c r="O428" i="48"/>
  <c r="S550" i="48"/>
  <c r="S551" i="48" s="1"/>
  <c r="E429" i="48"/>
  <c r="E430" i="48" s="1"/>
  <c r="J552" i="48" l="1"/>
  <c r="D430" i="48"/>
  <c r="A430" i="48"/>
  <c r="G551" i="48"/>
  <c r="G552" i="48" s="1"/>
  <c r="O429" i="48"/>
  <c r="O430" i="48" s="1"/>
  <c r="J553" i="48" l="1"/>
  <c r="G553" i="48"/>
  <c r="D431" i="48"/>
  <c r="S552" i="48"/>
  <c r="S553" i="48" s="1"/>
  <c r="E431" i="48"/>
  <c r="E432" i="48" s="1"/>
  <c r="D432" i="48" l="1"/>
  <c r="E433" i="48"/>
  <c r="O431" i="48"/>
  <c r="O432" i="48" s="1"/>
  <c r="J554" i="48"/>
  <c r="A431" i="48"/>
  <c r="A432" i="48" s="1"/>
  <c r="J555" i="48" l="1"/>
  <c r="S554" i="48"/>
  <c r="S555" i="48" s="1"/>
  <c r="G554" i="48"/>
  <c r="G555" i="48" s="1"/>
  <c r="E434" i="48"/>
  <c r="D433" i="48"/>
  <c r="O433" i="48"/>
  <c r="D434" i="48" l="1"/>
  <c r="O434" i="48"/>
  <c r="A433" i="48"/>
  <c r="A434" i="48" s="1"/>
  <c r="J556" i="48"/>
  <c r="S556" i="48"/>
  <c r="J557" i="48" l="1"/>
  <c r="S557" i="48"/>
  <c r="G556" i="48"/>
  <c r="G557" i="48" s="1"/>
  <c r="D435" i="48"/>
  <c r="E435" i="48"/>
  <c r="E436" i="48" s="1"/>
  <c r="D436" i="48" l="1"/>
  <c r="O435" i="48"/>
  <c r="J558" i="48"/>
  <c r="A435" i="48"/>
  <c r="A436" i="48" s="1"/>
  <c r="J559" i="48" l="1"/>
  <c r="S558" i="48"/>
  <c r="S559" i="48" s="1"/>
  <c r="G558" i="48"/>
  <c r="G559" i="48" s="1"/>
  <c r="D437" i="48"/>
  <c r="O436" i="48"/>
  <c r="O437" i="48" s="1"/>
  <c r="E437" i="48"/>
  <c r="E438" i="48" s="1"/>
  <c r="D438" i="48" l="1"/>
  <c r="O438" i="48"/>
  <c r="J560" i="48"/>
  <c r="A437" i="48"/>
  <c r="A438" i="48" s="1"/>
  <c r="J561" i="48" l="1"/>
  <c r="S560" i="48"/>
  <c r="D439" i="48"/>
  <c r="O439" i="48"/>
  <c r="E439" i="48"/>
  <c r="E440" i="48" s="1"/>
  <c r="G560" i="48"/>
  <c r="G561" i="48" s="1"/>
  <c r="D440" i="48" l="1"/>
  <c r="E441" i="48" s="1"/>
  <c r="J562" i="48"/>
  <c r="S561" i="48"/>
  <c r="A439" i="48"/>
  <c r="A440" i="48" s="1"/>
  <c r="J563" i="48" l="1"/>
  <c r="S562" i="48"/>
  <c r="D441" i="48"/>
  <c r="O440" i="48"/>
  <c r="O441" i="48" s="1"/>
  <c r="G562" i="48"/>
  <c r="G563" i="48" s="1"/>
  <c r="D442" i="48" l="1"/>
  <c r="J564" i="48"/>
  <c r="A441" i="48"/>
  <c r="A442" i="48" s="1"/>
  <c r="S563" i="48"/>
  <c r="E442" i="48"/>
  <c r="E443" i="48" s="1"/>
  <c r="D443" i="48" l="1"/>
  <c r="E444" i="48"/>
  <c r="J565" i="48"/>
  <c r="S564" i="48"/>
  <c r="S565" i="48" s="1"/>
  <c r="O442" i="48"/>
  <c r="O443" i="48" s="1"/>
  <c r="G564" i="48"/>
  <c r="G565" i="48" s="1"/>
  <c r="J566" i="48" l="1"/>
  <c r="D444" i="48"/>
  <c r="O444" i="48"/>
  <c r="A443" i="48"/>
  <c r="A444" i="48" s="1"/>
  <c r="J567" i="48" l="1"/>
  <c r="O445" i="48"/>
  <c r="D445" i="48"/>
  <c r="E445" i="48"/>
  <c r="E446" i="48" s="1"/>
  <c r="S566" i="48"/>
  <c r="S567" i="48" s="1"/>
  <c r="G566" i="48"/>
  <c r="G567" i="48" s="1"/>
  <c r="D446" i="48" l="1"/>
  <c r="O446" i="48"/>
  <c r="A445" i="48"/>
  <c r="A446" i="48" s="1"/>
  <c r="J568" i="48"/>
  <c r="S568" i="48"/>
  <c r="J569" i="48" l="1"/>
  <c r="D447" i="48"/>
  <c r="A447" i="48" s="1"/>
  <c r="E447" i="48"/>
  <c r="E448" i="48" s="1"/>
  <c r="G568" i="48"/>
  <c r="G569" i="48" s="1"/>
  <c r="D448" i="48" l="1"/>
  <c r="J570" i="48"/>
  <c r="S570" i="48" s="1"/>
  <c r="E449" i="48"/>
  <c r="O447" i="48"/>
  <c r="O448" i="48" s="1"/>
  <c r="S569" i="48"/>
  <c r="S571" i="48" l="1"/>
  <c r="J571" i="48"/>
  <c r="D449" i="48"/>
  <c r="O449" i="48"/>
  <c r="G570" i="48"/>
  <c r="G571" i="48" s="1"/>
  <c r="A448" i="48"/>
  <c r="A449" i="48" s="1"/>
  <c r="D450" i="48" l="1"/>
  <c r="O450" i="48" s="1"/>
  <c r="J572" i="48"/>
  <c r="E450" i="48"/>
  <c r="E451" i="48" s="1"/>
  <c r="J573" i="48" l="1"/>
  <c r="D451" i="48"/>
  <c r="G572" i="48"/>
  <c r="G573" i="48" s="1"/>
  <c r="S572" i="48"/>
  <c r="S573" i="48" s="1"/>
  <c r="A450" i="48"/>
  <c r="A451" i="48" s="1"/>
  <c r="D452" i="48" l="1"/>
  <c r="O451" i="48"/>
  <c r="J574" i="48"/>
  <c r="G574" i="48" s="1"/>
  <c r="S574" i="48"/>
  <c r="E452" i="48"/>
  <c r="E453" i="48" s="1"/>
  <c r="J575" i="48" l="1"/>
  <c r="S575" i="48"/>
  <c r="D453" i="48"/>
  <c r="O452" i="48"/>
  <c r="A452" i="48"/>
  <c r="A453" i="48" s="1"/>
  <c r="D454" i="48" l="1"/>
  <c r="A454" i="48"/>
  <c r="O453" i="48"/>
  <c r="O454" i="48" s="1"/>
  <c r="J576" i="48"/>
  <c r="S576" i="48"/>
  <c r="E454" i="48"/>
  <c r="E455" i="48" s="1"/>
  <c r="G575" i="48"/>
  <c r="G576" i="48" s="1"/>
  <c r="J577" i="48" l="1"/>
  <c r="S577" i="48"/>
  <c r="D455" i="48"/>
  <c r="D456" i="48" l="1"/>
  <c r="O455" i="48"/>
  <c r="E456" i="48"/>
  <c r="E457" i="48" s="1"/>
  <c r="A455" i="48"/>
  <c r="A456" i="48" s="1"/>
  <c r="J578" i="48"/>
  <c r="G577" i="48"/>
  <c r="G578" i="48" s="1"/>
  <c r="J579" i="48" l="1"/>
  <c r="D457" i="48"/>
  <c r="A457" i="48" s="1"/>
  <c r="S578" i="48"/>
  <c r="S579" i="48" s="1"/>
  <c r="E458" i="48"/>
  <c r="O456" i="48"/>
  <c r="A458" i="48" l="1"/>
  <c r="E459" i="48"/>
  <c r="D458" i="48"/>
  <c r="O457" i="48"/>
  <c r="J580" i="48"/>
  <c r="G579" i="48"/>
  <c r="G580" i="48" s="1"/>
  <c r="J581" i="48" l="1"/>
  <c r="S580" i="48"/>
  <c r="D459" i="48"/>
  <c r="O458" i="48"/>
  <c r="O459" i="48" s="1"/>
  <c r="O460" i="48" l="1"/>
  <c r="D460" i="48"/>
  <c r="J582" i="48"/>
  <c r="S581" i="48"/>
  <c r="G581" i="48"/>
  <c r="G582" i="48" s="1"/>
  <c r="A459" i="48"/>
  <c r="A460" i="48" s="1"/>
  <c r="E460" i="48"/>
  <c r="E461" i="48" s="1"/>
  <c r="J583" i="48" l="1"/>
  <c r="G583" i="48" s="1"/>
  <c r="S582" i="48"/>
  <c r="D461" i="48"/>
  <c r="O461" i="48"/>
  <c r="D462" i="48" l="1"/>
  <c r="O462" i="48" s="1"/>
  <c r="S583" i="48"/>
  <c r="A461" i="48"/>
  <c r="A462" i="48" s="1"/>
  <c r="J584" i="48"/>
  <c r="E462" i="48"/>
  <c r="E463" i="48" s="1"/>
  <c r="J585" i="48" l="1"/>
  <c r="S584" i="48"/>
  <c r="D463" i="48"/>
  <c r="O463" i="48"/>
  <c r="G584" i="48"/>
  <c r="G585" i="48" s="1"/>
  <c r="D464" i="48" l="1"/>
  <c r="O464" i="48"/>
  <c r="E464" i="48"/>
  <c r="E465" i="48" s="1"/>
  <c r="A463" i="48"/>
  <c r="A464" i="48" s="1"/>
  <c r="S586" i="48"/>
  <c r="J586" i="48"/>
  <c r="S585" i="48"/>
  <c r="J587" i="48" l="1"/>
  <c r="S587" i="48"/>
  <c r="D465" i="48"/>
  <c r="G586" i="48"/>
  <c r="G587" i="48" s="1"/>
  <c r="D466" i="48" l="1"/>
  <c r="O465" i="48"/>
  <c r="E466" i="48"/>
  <c r="E467" i="48" s="1"/>
  <c r="A465" i="48"/>
  <c r="A466" i="48" s="1"/>
  <c r="J588" i="48"/>
  <c r="S588" i="48"/>
  <c r="J589" i="48" l="1"/>
  <c r="S589" i="48"/>
  <c r="D467" i="48"/>
  <c r="O466" i="48"/>
  <c r="G588" i="48"/>
  <c r="G589" i="48" s="1"/>
  <c r="D468" i="48" l="1"/>
  <c r="O467" i="48"/>
  <c r="E468" i="48"/>
  <c r="E469" i="48" s="1"/>
  <c r="A467" i="48"/>
  <c r="A468" i="48" s="1"/>
  <c r="J590" i="48"/>
  <c r="J591" i="48" l="1"/>
  <c r="S590" i="48"/>
  <c r="S591" i="48" s="1"/>
  <c r="D469" i="48"/>
  <c r="O468" i="48"/>
  <c r="G590" i="48"/>
  <c r="G591" i="48" s="1"/>
  <c r="D470" i="48" l="1"/>
  <c r="O469" i="48"/>
  <c r="O470" i="48" s="1"/>
  <c r="E470" i="48"/>
  <c r="E471" i="48" s="1"/>
  <c r="A469" i="48"/>
  <c r="A470" i="48" s="1"/>
  <c r="J592" i="48"/>
  <c r="S592" i="48"/>
  <c r="J593" i="48" l="1"/>
  <c r="S593" i="48"/>
  <c r="D471" i="48"/>
  <c r="O471" i="48"/>
  <c r="G592" i="48"/>
  <c r="G593" i="48" s="1"/>
  <c r="D472" i="48" l="1"/>
  <c r="O472" i="48"/>
  <c r="E472" i="48"/>
  <c r="E473" i="48" s="1"/>
  <c r="A471" i="48"/>
  <c r="A472" i="48" s="1"/>
  <c r="J594" i="48"/>
  <c r="S594" i="48"/>
  <c r="J595" i="48" l="1"/>
  <c r="D473" i="48"/>
  <c r="O473" i="48"/>
  <c r="G594" i="48"/>
  <c r="G595" i="48" s="1"/>
  <c r="D474" i="48" l="1"/>
  <c r="E474" i="48"/>
  <c r="E475" i="48" s="1"/>
  <c r="A473" i="48"/>
  <c r="A474" i="48" s="1"/>
  <c r="J596" i="48"/>
  <c r="S595" i="48"/>
  <c r="J597" i="48" l="1"/>
  <c r="S596" i="48"/>
  <c r="D475" i="48"/>
  <c r="O474" i="48"/>
  <c r="G596" i="48"/>
  <c r="G597" i="48" s="1"/>
  <c r="D476" i="48" l="1"/>
  <c r="O475" i="48"/>
  <c r="E476" i="48"/>
  <c r="E477" i="48" s="1"/>
  <c r="A475" i="48"/>
  <c r="A476" i="48" s="1"/>
  <c r="J598" i="48"/>
  <c r="S597" i="48"/>
  <c r="J599" i="48" l="1"/>
  <c r="S598" i="48"/>
  <c r="D477" i="48"/>
  <c r="O476" i="48"/>
  <c r="G598" i="48"/>
  <c r="G599" i="48" s="1"/>
  <c r="D478" i="48" l="1"/>
  <c r="O477" i="48"/>
  <c r="E478" i="48"/>
  <c r="E479" i="48" s="1"/>
  <c r="A477" i="48"/>
  <c r="A478" i="48" s="1"/>
  <c r="J600" i="48"/>
  <c r="S599" i="48"/>
  <c r="S600" i="48" s="1"/>
  <c r="J601" i="48" l="1"/>
  <c r="D479" i="48"/>
  <c r="O478" i="48"/>
  <c r="O479" i="48" s="1"/>
  <c r="G600" i="48"/>
  <c r="G601" i="48" s="1"/>
  <c r="D480" i="48" l="1"/>
  <c r="E480" i="48"/>
  <c r="E481" i="48" s="1"/>
  <c r="A479" i="48"/>
  <c r="A480" i="48" s="1"/>
  <c r="J602" i="48"/>
  <c r="S601" i="48"/>
  <c r="S602" i="48" s="1"/>
  <c r="J603" i="48" l="1"/>
  <c r="D481" i="48"/>
  <c r="O480" i="48"/>
  <c r="O481" i="48" s="1"/>
  <c r="G602" i="48"/>
  <c r="G603" i="48" s="1"/>
  <c r="D482" i="48" l="1"/>
  <c r="O482" i="48"/>
  <c r="E482" i="48"/>
  <c r="E483" i="48" s="1"/>
  <c r="A481" i="48"/>
  <c r="A482" i="48" s="1"/>
  <c r="J604" i="48"/>
  <c r="S603" i="48"/>
  <c r="J605" i="48" l="1"/>
  <c r="S604" i="48"/>
  <c r="S605" i="48" s="1"/>
  <c r="D483" i="48"/>
  <c r="O483" i="48"/>
  <c r="G604" i="48"/>
  <c r="G605" i="48" s="1"/>
  <c r="D484" i="48" l="1"/>
  <c r="E484" i="48"/>
  <c r="E485" i="48" s="1"/>
  <c r="A483" i="48"/>
  <c r="A484" i="48" s="1"/>
  <c r="J606" i="48"/>
  <c r="S606" i="48"/>
  <c r="J607" i="48" l="1"/>
  <c r="D485" i="48"/>
  <c r="O484" i="48"/>
  <c r="G606" i="48"/>
  <c r="G607" i="48" s="1"/>
  <c r="D486" i="48" l="1"/>
  <c r="O485" i="48"/>
  <c r="E486" i="48"/>
  <c r="E487" i="48" s="1"/>
  <c r="A485" i="48"/>
  <c r="A486" i="48" s="1"/>
  <c r="J608" i="48"/>
  <c r="S607" i="48"/>
  <c r="J609" i="48" l="1"/>
  <c r="S608" i="48"/>
  <c r="D487" i="48"/>
  <c r="O486" i="48"/>
  <c r="G608" i="48"/>
  <c r="G609" i="48" s="1"/>
  <c r="D488" i="48" l="1"/>
  <c r="O487" i="48"/>
  <c r="O488" i="48" s="1"/>
  <c r="E488" i="48"/>
  <c r="E489" i="48" s="1"/>
  <c r="A487" i="48"/>
  <c r="A488" i="48" s="1"/>
  <c r="J610" i="48"/>
  <c r="S609" i="48"/>
  <c r="S610" i="48" s="1"/>
  <c r="J611" i="48" l="1"/>
  <c r="S611" i="48"/>
  <c r="D489" i="48"/>
  <c r="O489" i="48"/>
  <c r="G610" i="48"/>
  <c r="G611" i="48" s="1"/>
  <c r="D490" i="48" l="1"/>
  <c r="O490" i="48"/>
  <c r="E490" i="48"/>
  <c r="E491" i="48" s="1"/>
  <c r="A489" i="48"/>
  <c r="A490" i="48" s="1"/>
  <c r="J612" i="48"/>
  <c r="S612" i="48"/>
  <c r="J613" i="48" l="1"/>
  <c r="S613" i="48"/>
  <c r="D491" i="48"/>
  <c r="G612" i="48"/>
  <c r="G613" i="48" s="1"/>
  <c r="D492" i="48" l="1"/>
  <c r="O491" i="48"/>
  <c r="E492" i="48"/>
  <c r="E493" i="48" s="1"/>
  <c r="A491" i="48"/>
  <c r="A492" i="48" s="1"/>
  <c r="J614" i="48"/>
  <c r="S614" i="48"/>
  <c r="J615" i="48" l="1"/>
  <c r="D493" i="48"/>
  <c r="O492" i="48"/>
  <c r="O493" i="48" s="1"/>
  <c r="G614" i="48"/>
  <c r="G615" i="48" s="1"/>
  <c r="D494" i="48" l="1"/>
  <c r="E494" i="48"/>
  <c r="E495" i="48" s="1"/>
  <c r="A493" i="48"/>
  <c r="A494" i="48" s="1"/>
  <c r="J616" i="48"/>
  <c r="S615" i="48"/>
  <c r="S616" i="48" s="1"/>
  <c r="D495" i="48" l="1"/>
  <c r="J617" i="48"/>
  <c r="S617" i="48"/>
  <c r="E496" i="48"/>
  <c r="O494" i="48"/>
  <c r="O495" i="48" s="1"/>
  <c r="G616" i="48"/>
  <c r="G617" i="48" s="1"/>
  <c r="J618" i="48" l="1"/>
  <c r="D496" i="48"/>
  <c r="A495" i="48"/>
  <c r="A496" i="48" s="1"/>
  <c r="D497" i="48" l="1"/>
  <c r="O496" i="48"/>
  <c r="J619" i="48"/>
  <c r="S618" i="48"/>
  <c r="S619" i="48" s="1"/>
  <c r="E497" i="48"/>
  <c r="E498" i="48" s="1"/>
  <c r="G618" i="48"/>
  <c r="G619" i="48" s="1"/>
  <c r="J620" i="48" l="1"/>
  <c r="D498" i="48"/>
  <c r="O497" i="48"/>
  <c r="O498" i="48" s="1"/>
  <c r="A497" i="48"/>
  <c r="A498" i="48" s="1"/>
  <c r="D499" i="48" l="1"/>
  <c r="J621" i="48"/>
  <c r="S620" i="48"/>
  <c r="E499" i="48"/>
  <c r="E500" i="48" s="1"/>
  <c r="G620" i="48"/>
  <c r="G621" i="48" s="1"/>
  <c r="J622" i="48" l="1"/>
  <c r="S621" i="48"/>
  <c r="S622" i="48" s="1"/>
  <c r="D500" i="48"/>
  <c r="O499" i="48"/>
  <c r="A499" i="48"/>
  <c r="A500" i="48" s="1"/>
  <c r="D501" i="48" l="1"/>
  <c r="O500" i="48"/>
  <c r="O501" i="48" s="1"/>
  <c r="J623" i="48"/>
  <c r="E501" i="48"/>
  <c r="E502" i="48" s="1"/>
  <c r="G622" i="48"/>
  <c r="G623" i="48" s="1"/>
  <c r="J624" i="48" l="1"/>
  <c r="S623" i="48"/>
  <c r="D502" i="48"/>
  <c r="O502" i="48"/>
  <c r="A501" i="48"/>
  <c r="A502" i="48" s="1"/>
  <c r="D503" i="48" l="1"/>
  <c r="O503" i="48"/>
  <c r="J625" i="48"/>
  <c r="S624" i="48"/>
  <c r="S625" i="48" s="1"/>
  <c r="E503" i="48"/>
  <c r="E504" i="48" s="1"/>
  <c r="G624" i="48"/>
  <c r="G625" i="48" s="1"/>
  <c r="J626" i="48" l="1"/>
  <c r="S626" i="48"/>
  <c r="D504" i="48"/>
  <c r="O504" i="48"/>
  <c r="A503" i="48"/>
  <c r="A504" i="48" s="1"/>
  <c r="D505" i="48" l="1"/>
  <c r="O505" i="48"/>
  <c r="J627" i="48"/>
  <c r="S627" i="48"/>
  <c r="E505" i="48"/>
  <c r="E506" i="48" s="1"/>
  <c r="G626" i="48"/>
  <c r="G627" i="48" s="1"/>
  <c r="J628" i="48" l="1"/>
  <c r="S628" i="48"/>
  <c r="D506" i="48"/>
  <c r="A505" i="48"/>
  <c r="A506" i="48" s="1"/>
  <c r="D507" i="48" l="1"/>
  <c r="O506" i="48"/>
  <c r="J629" i="48"/>
  <c r="S629" i="48"/>
  <c r="E507" i="48"/>
  <c r="E508" i="48" s="1"/>
  <c r="G628" i="48"/>
  <c r="G629" i="48" s="1"/>
  <c r="J630" i="48" l="1"/>
  <c r="S630" i="48"/>
  <c r="D508" i="48"/>
  <c r="O507" i="48"/>
  <c r="A507" i="48"/>
  <c r="A508" i="48" s="1"/>
  <c r="D509" i="48" l="1"/>
  <c r="O508" i="48"/>
  <c r="O509" i="48" s="1"/>
  <c r="J631" i="48"/>
  <c r="E509" i="48"/>
  <c r="E510" i="48" s="1"/>
  <c r="G630" i="48"/>
  <c r="G631" i="48" s="1"/>
  <c r="J632" i="48" l="1"/>
  <c r="S631" i="48"/>
  <c r="D510" i="48"/>
  <c r="A509" i="48"/>
  <c r="A510" i="48" s="1"/>
  <c r="D511" i="48" l="1"/>
  <c r="O510" i="48"/>
  <c r="J633" i="48"/>
  <c r="S632" i="48"/>
  <c r="E511" i="48"/>
  <c r="E512" i="48" s="1"/>
  <c r="G632" i="48"/>
  <c r="G633" i="48" s="1"/>
  <c r="J634" i="48" l="1"/>
  <c r="S633" i="48"/>
  <c r="D512" i="48"/>
  <c r="O511" i="48"/>
  <c r="A511" i="48"/>
  <c r="A512" i="48" s="1"/>
  <c r="D513" i="48" l="1"/>
  <c r="O512" i="48"/>
  <c r="J635" i="48"/>
  <c r="S634" i="48"/>
  <c r="S635" i="48" s="1"/>
  <c r="E513" i="48"/>
  <c r="E514" i="48" s="1"/>
  <c r="G634" i="48"/>
  <c r="G635" i="48" s="1"/>
  <c r="J636" i="48" l="1"/>
  <c r="D514" i="48"/>
  <c r="O513" i="48"/>
  <c r="O514" i="48" s="1"/>
  <c r="A513" i="48"/>
  <c r="A514" i="48" s="1"/>
  <c r="D515" i="48" l="1"/>
  <c r="J637" i="48"/>
  <c r="S636" i="48"/>
  <c r="S637" i="48" s="1"/>
  <c r="E515" i="48"/>
  <c r="E516" i="48" s="1"/>
  <c r="G636" i="48"/>
  <c r="G637" i="48" s="1"/>
  <c r="J638" i="48" l="1"/>
  <c r="S638" i="48"/>
  <c r="D516" i="48"/>
  <c r="O515" i="48"/>
  <c r="O516" i="48" s="1"/>
  <c r="A515" i="48"/>
  <c r="A516" i="48" s="1"/>
  <c r="D517" i="48" l="1"/>
  <c r="J639" i="48"/>
  <c r="S639" i="48"/>
  <c r="E517" i="48"/>
  <c r="E518" i="48" s="1"/>
  <c r="G638" i="48"/>
  <c r="G639" i="48" s="1"/>
  <c r="J640" i="48" l="1"/>
  <c r="S646" i="48" s="1"/>
  <c r="D518" i="48"/>
  <c r="O517" i="48"/>
  <c r="A517" i="48"/>
  <c r="A518" i="48" s="1"/>
  <c r="A519" i="48" l="1"/>
  <c r="D519" i="48"/>
  <c r="O518" i="48"/>
  <c r="E654" i="48"/>
  <c r="E653" i="48"/>
  <c r="S640" i="48"/>
  <c r="E519" i="48"/>
  <c r="E520" i="48" s="1"/>
  <c r="G640" i="48"/>
  <c r="D520" i="48" l="1"/>
  <c r="O519" i="48"/>
  <c r="E521" i="48"/>
  <c r="E669" i="48"/>
  <c r="A520" i="48"/>
  <c r="D521" i="48" l="1"/>
  <c r="O520" i="48"/>
  <c r="D522" i="48" l="1"/>
  <c r="O521" i="48"/>
  <c r="E522" i="48"/>
  <c r="E523" i="48" s="1"/>
  <c r="A521" i="48"/>
  <c r="A522" i="48" s="1"/>
  <c r="D523" i="48" l="1"/>
  <c r="O522" i="48"/>
  <c r="O523" i="48" s="1"/>
  <c r="D524" i="48" l="1"/>
  <c r="E524" i="48"/>
  <c r="E525" i="48" s="1"/>
  <c r="A523" i="48"/>
  <c r="A524" i="48" s="1"/>
  <c r="D525" i="48" l="1"/>
  <c r="O524" i="48"/>
  <c r="D526" i="48" l="1"/>
  <c r="O525" i="48"/>
  <c r="E526" i="48"/>
  <c r="E527" i="48" s="1"/>
  <c r="A525" i="48"/>
  <c r="A526" i="48" s="1"/>
  <c r="D527" i="48" l="1"/>
  <c r="O526" i="48"/>
  <c r="D528" i="48" l="1"/>
  <c r="O527" i="48"/>
  <c r="O528" i="48" s="1"/>
  <c r="E528" i="48"/>
  <c r="E529" i="48" s="1"/>
  <c r="A527" i="48"/>
  <c r="A528" i="48" s="1"/>
  <c r="D529" i="48" l="1"/>
  <c r="O529" i="48"/>
  <c r="D530" i="48" l="1"/>
  <c r="O530" i="48"/>
  <c r="E530" i="48"/>
  <c r="E531" i="48" s="1"/>
  <c r="A529" i="48"/>
  <c r="A530" i="48" s="1"/>
  <c r="D531" i="48" l="1"/>
  <c r="O531" i="48"/>
  <c r="D532" i="48" l="1"/>
  <c r="E532" i="48"/>
  <c r="E533" i="48" s="1"/>
  <c r="A531" i="48"/>
  <c r="A532" i="48" s="1"/>
  <c r="D533" i="48" l="1"/>
  <c r="O532" i="48"/>
  <c r="O533" i="48" s="1"/>
  <c r="D534" i="48" l="1"/>
  <c r="E534" i="48"/>
  <c r="E535" i="48" s="1"/>
  <c r="A533" i="48"/>
  <c r="A534" i="48" s="1"/>
  <c r="D535" i="48" l="1"/>
  <c r="O534" i="48"/>
  <c r="D536" i="48" l="1"/>
  <c r="O535" i="48"/>
  <c r="E536" i="48"/>
  <c r="E537" i="48" s="1"/>
  <c r="A535" i="48"/>
  <c r="A536" i="48" s="1"/>
  <c r="D537" i="48" l="1"/>
  <c r="O536" i="48"/>
  <c r="O537" i="48" s="1"/>
  <c r="D538" i="48" l="1"/>
  <c r="O538" i="48"/>
  <c r="E538" i="48"/>
  <c r="E539" i="48" s="1"/>
  <c r="A537" i="48"/>
  <c r="A538" i="48" s="1"/>
  <c r="D539" i="48" l="1"/>
  <c r="O539" i="48"/>
  <c r="D540" i="48" l="1"/>
  <c r="O540" i="48"/>
  <c r="E540" i="48"/>
  <c r="E541" i="48" s="1"/>
  <c r="A539" i="48"/>
  <c r="A540" i="48" s="1"/>
  <c r="D541" i="48" l="1"/>
  <c r="D542" i="48" l="1"/>
  <c r="O541" i="48"/>
  <c r="E542" i="48"/>
  <c r="E543" i="48" s="1"/>
  <c r="A541" i="48"/>
  <c r="A542" i="48" s="1"/>
  <c r="D543" i="48" l="1"/>
  <c r="O542" i="48"/>
  <c r="D544" i="48" l="1"/>
  <c r="O543" i="48"/>
  <c r="O544" i="48" s="1"/>
  <c r="E544" i="48"/>
  <c r="E545" i="48" s="1"/>
  <c r="A543" i="48"/>
  <c r="A544" i="48" s="1"/>
  <c r="D545" i="48" l="1"/>
  <c r="D546" i="48" l="1"/>
  <c r="O545" i="48"/>
  <c r="O546" i="48" s="1"/>
  <c r="E546" i="48"/>
  <c r="E547" i="48" s="1"/>
  <c r="A545" i="48"/>
  <c r="A546" i="48" s="1"/>
  <c r="E548" i="48" l="1"/>
  <c r="D547" i="48"/>
  <c r="O547" i="48"/>
  <c r="D548" i="48" l="1"/>
  <c r="O548" i="48"/>
  <c r="A547" i="48"/>
  <c r="A548" i="48" s="1"/>
  <c r="D549" i="48" l="1"/>
  <c r="O549" i="48"/>
  <c r="E549" i="48"/>
  <c r="E550" i="48" s="1"/>
  <c r="D550" i="48" l="1"/>
  <c r="A549" i="48"/>
  <c r="A550" i="48" s="1"/>
  <c r="D551" i="48" l="1"/>
  <c r="O550" i="48"/>
  <c r="E551" i="48"/>
  <c r="E552" i="48" s="1"/>
  <c r="D552" i="48" l="1"/>
  <c r="O551" i="48"/>
  <c r="O552" i="48" s="1"/>
  <c r="A551" i="48"/>
  <c r="A552" i="48" s="1"/>
  <c r="D553" i="48" l="1"/>
  <c r="O553" i="48"/>
  <c r="E553" i="48"/>
  <c r="E554" i="48" s="1"/>
  <c r="D554" i="48" l="1"/>
  <c r="O554" i="48"/>
  <c r="A553" i="48"/>
  <c r="A554" i="48" s="1"/>
  <c r="D555" i="48" l="1"/>
  <c r="O555" i="48"/>
  <c r="E555" i="48"/>
  <c r="E556" i="48" s="1"/>
  <c r="D556" i="48" l="1"/>
  <c r="O556" i="48"/>
  <c r="A555" i="48"/>
  <c r="A556" i="48" s="1"/>
  <c r="D557" i="48" l="1"/>
  <c r="E557" i="48"/>
  <c r="E558" i="48" s="1"/>
  <c r="D558" i="48" l="1"/>
  <c r="O557" i="48"/>
  <c r="A557" i="48"/>
  <c r="A558" i="48" s="1"/>
  <c r="D559" i="48" l="1"/>
  <c r="O558" i="48"/>
  <c r="E559" i="48"/>
  <c r="E560" i="48" s="1"/>
  <c r="D560" i="48" l="1"/>
  <c r="O559" i="48"/>
  <c r="A559" i="48"/>
  <c r="A560" i="48" s="1"/>
  <c r="D561" i="48" l="1"/>
  <c r="O560" i="48"/>
  <c r="O561" i="48" s="1"/>
  <c r="E561" i="48"/>
  <c r="E562" i="48" s="1"/>
  <c r="D562" i="48" l="1"/>
  <c r="O562" i="48"/>
  <c r="A561" i="48"/>
  <c r="A562" i="48" s="1"/>
  <c r="D563" i="48" l="1"/>
  <c r="E563" i="48"/>
  <c r="E564" i="48" s="1"/>
  <c r="D564" i="48" l="1"/>
  <c r="O563" i="48"/>
  <c r="A563" i="48"/>
  <c r="A564" i="48" s="1"/>
  <c r="D565" i="48" l="1"/>
  <c r="O564" i="48"/>
  <c r="O565" i="48" s="1"/>
  <c r="E565" i="48"/>
  <c r="E566" i="48" s="1"/>
  <c r="D566" i="48" l="1"/>
  <c r="O566" i="48"/>
  <c r="A565" i="48"/>
  <c r="A566" i="48" s="1"/>
  <c r="D567" i="48" l="1"/>
  <c r="O567" i="48"/>
  <c r="E567" i="48"/>
  <c r="E568" i="48" s="1"/>
  <c r="D568" i="48" l="1"/>
  <c r="O568" i="48"/>
  <c r="A567" i="48"/>
  <c r="A568" i="48" s="1"/>
  <c r="D569" i="48" l="1"/>
  <c r="O569" i="48"/>
  <c r="E569" i="48"/>
  <c r="E570" i="48" s="1"/>
  <c r="D570" i="48" l="1"/>
  <c r="O570" i="48"/>
  <c r="A569" i="48"/>
  <c r="A570" i="48" s="1"/>
  <c r="D571" i="48" l="1"/>
  <c r="O571" i="48"/>
  <c r="E571" i="48"/>
  <c r="E572" i="48" s="1"/>
  <c r="D572" i="48" l="1"/>
  <c r="A571" i="48"/>
  <c r="A572" i="48" s="1"/>
  <c r="D573" i="48" l="1"/>
  <c r="O572" i="48"/>
  <c r="E573" i="48"/>
  <c r="E574" i="48" s="1"/>
  <c r="D574" i="48" l="1"/>
  <c r="O573" i="48"/>
  <c r="A573" i="48"/>
  <c r="A574" i="48" s="1"/>
  <c r="D575" i="48" l="1"/>
  <c r="O574" i="48"/>
  <c r="O575" i="48" s="1"/>
  <c r="E575" i="48"/>
  <c r="E576" i="48" s="1"/>
  <c r="D576" i="48" l="1"/>
  <c r="A575" i="48"/>
  <c r="A576" i="48" s="1"/>
  <c r="D577" i="48" l="1"/>
  <c r="O576" i="48"/>
  <c r="E577" i="48"/>
  <c r="E578" i="48" s="1"/>
  <c r="D578" i="48" l="1"/>
  <c r="O577" i="48"/>
  <c r="A577" i="48"/>
  <c r="A578" i="48" s="1"/>
  <c r="D579" i="48" l="1"/>
  <c r="O578" i="48"/>
  <c r="O579" i="48" s="1"/>
  <c r="E579" i="48"/>
  <c r="E580" i="48" s="1"/>
  <c r="D580" i="48" l="1"/>
  <c r="O580" i="48"/>
  <c r="A579" i="48"/>
  <c r="A580" i="48" s="1"/>
  <c r="D581" i="48" l="1"/>
  <c r="O581" i="48"/>
  <c r="E581" i="48"/>
  <c r="E582" i="48" s="1"/>
  <c r="D582" i="48" l="1"/>
  <c r="A581" i="48"/>
  <c r="A582" i="48" s="1"/>
  <c r="D583" i="48" l="1"/>
  <c r="O582" i="48"/>
  <c r="O583" i="48" s="1"/>
  <c r="E583" i="48"/>
  <c r="E584" i="48" s="1"/>
  <c r="D584" i="48" l="1"/>
  <c r="O584" i="48"/>
  <c r="A583" i="48"/>
  <c r="A584" i="48" s="1"/>
  <c r="D585" i="48" l="1"/>
  <c r="O585" i="48"/>
  <c r="E585" i="48"/>
  <c r="E586" i="48" s="1"/>
  <c r="D586" i="48" l="1"/>
  <c r="A585" i="48"/>
  <c r="A586" i="48" s="1"/>
  <c r="D587" i="48" l="1"/>
  <c r="O586" i="48"/>
  <c r="O587" i="48" s="1"/>
  <c r="E587" i="48"/>
  <c r="E588" i="48" s="1"/>
  <c r="D588" i="48" l="1"/>
  <c r="A587" i="48"/>
  <c r="A588" i="48" s="1"/>
  <c r="D589" i="48" l="1"/>
  <c r="O588" i="48"/>
  <c r="O589" i="48" s="1"/>
  <c r="E589" i="48"/>
  <c r="E590" i="48" s="1"/>
  <c r="D590" i="48" l="1"/>
  <c r="O590" i="48"/>
  <c r="A589" i="48"/>
  <c r="A590" i="48" s="1"/>
  <c r="D591" i="48" l="1"/>
  <c r="O591" i="48"/>
  <c r="E591" i="48"/>
  <c r="E592" i="48" s="1"/>
  <c r="D592" i="48" l="1"/>
  <c r="O592" i="48"/>
  <c r="A591" i="48"/>
  <c r="A592" i="48" s="1"/>
  <c r="D593" i="48" l="1"/>
  <c r="O593" i="48"/>
  <c r="E593" i="48"/>
  <c r="E594" i="48" s="1"/>
  <c r="D594" i="48" l="1"/>
  <c r="A593" i="48"/>
  <c r="A594" i="48" s="1"/>
  <c r="D595" i="48" l="1"/>
  <c r="O594" i="48"/>
  <c r="E595" i="48"/>
  <c r="E596" i="48" s="1"/>
  <c r="D596" i="48" l="1"/>
  <c r="O595" i="48"/>
  <c r="A595" i="48"/>
  <c r="A596" i="48" s="1"/>
  <c r="D597" i="48" l="1"/>
  <c r="O596" i="48"/>
  <c r="E597" i="48"/>
  <c r="E598" i="48" s="1"/>
  <c r="D598" i="48" l="1"/>
  <c r="O597" i="48"/>
  <c r="A597" i="48"/>
  <c r="A598" i="48" s="1"/>
  <c r="D599" i="48" l="1"/>
  <c r="O598" i="48"/>
  <c r="E599" i="48"/>
  <c r="E600" i="48" s="1"/>
  <c r="D600" i="48" l="1"/>
  <c r="O599" i="48"/>
  <c r="A599" i="48"/>
  <c r="A600" i="48" s="1"/>
  <c r="D601" i="48" l="1"/>
  <c r="O600" i="48"/>
  <c r="E601" i="48"/>
  <c r="E602" i="48" s="1"/>
  <c r="D602" i="48" l="1"/>
  <c r="O601" i="48"/>
  <c r="O602" i="48" s="1"/>
  <c r="A601" i="48"/>
  <c r="A602" i="48" s="1"/>
  <c r="D603" i="48" l="1"/>
  <c r="O603" i="48"/>
  <c r="E603" i="48"/>
  <c r="E604" i="48" s="1"/>
  <c r="D604" i="48" l="1"/>
  <c r="A603" i="48"/>
  <c r="A604" i="48" s="1"/>
  <c r="D605" i="48" l="1"/>
  <c r="O604" i="48"/>
  <c r="O605" i="48" s="1"/>
  <c r="E605" i="48"/>
  <c r="E606" i="48" s="1"/>
  <c r="D606" i="48" l="1"/>
  <c r="A605" i="48"/>
  <c r="A606" i="48" s="1"/>
  <c r="D607" i="48" l="1"/>
  <c r="O606" i="48"/>
  <c r="O607" i="48" s="1"/>
  <c r="E607" i="48"/>
  <c r="E608" i="48" s="1"/>
  <c r="D608" i="48" l="1"/>
  <c r="O608" i="48"/>
  <c r="A607" i="48"/>
  <c r="A608" i="48" s="1"/>
  <c r="D609" i="48" l="1"/>
  <c r="O609" i="48"/>
  <c r="E609" i="48"/>
  <c r="E610" i="48" s="1"/>
  <c r="D610" i="48" l="1"/>
  <c r="A609" i="48"/>
  <c r="A610" i="48" s="1"/>
  <c r="D611" i="48" l="1"/>
  <c r="O610" i="48"/>
  <c r="O611" i="48" s="1"/>
  <c r="E611" i="48"/>
  <c r="E612" i="48" s="1"/>
  <c r="D612" i="48" l="1"/>
  <c r="A611" i="48"/>
  <c r="A612" i="48" s="1"/>
  <c r="D613" i="48" l="1"/>
  <c r="O612" i="48"/>
  <c r="E613" i="48"/>
  <c r="E614" i="48" s="1"/>
  <c r="D614" i="48" l="1"/>
  <c r="O613" i="48"/>
  <c r="A613" i="48"/>
  <c r="A614" i="48" s="1"/>
  <c r="D615" i="48" l="1"/>
  <c r="O614" i="48"/>
  <c r="O615" i="48" s="1"/>
  <c r="E615" i="48"/>
  <c r="E616" i="48" s="1"/>
  <c r="D616" i="48" l="1"/>
  <c r="O616" i="48"/>
  <c r="A615" i="48"/>
  <c r="A616" i="48" s="1"/>
  <c r="D617" i="48" l="1"/>
  <c r="O617" i="48"/>
  <c r="E617" i="48"/>
  <c r="E618" i="48" s="1"/>
  <c r="D618" i="48" l="1"/>
  <c r="O618" i="48"/>
  <c r="A617" i="48"/>
  <c r="A618" i="48" s="1"/>
  <c r="D619" i="48" l="1"/>
  <c r="O619" i="48"/>
  <c r="E619" i="48"/>
  <c r="E620" i="48" s="1"/>
  <c r="D620" i="48" l="1"/>
  <c r="O620" i="48"/>
  <c r="A619" i="48"/>
  <c r="A620" i="48" s="1"/>
  <c r="D621" i="48" l="1"/>
  <c r="O621" i="48"/>
  <c r="E621" i="48"/>
  <c r="E622" i="48" s="1"/>
  <c r="D622" i="48" l="1"/>
  <c r="A621" i="48"/>
  <c r="A622" i="48" s="1"/>
  <c r="D623" i="48" l="1"/>
  <c r="O622" i="48"/>
  <c r="E623" i="48"/>
  <c r="E624" i="48" s="1"/>
  <c r="D624" i="48" l="1"/>
  <c r="O623" i="48"/>
  <c r="A623" i="48"/>
  <c r="A624" i="48" s="1"/>
  <c r="D625" i="48" l="1"/>
  <c r="O624" i="48"/>
  <c r="O625" i="48" s="1"/>
  <c r="E625" i="48"/>
  <c r="E626" i="48" s="1"/>
  <c r="D626" i="48" l="1"/>
  <c r="A625" i="48"/>
  <c r="A626" i="48" s="1"/>
  <c r="D627" i="48" l="1"/>
  <c r="O626" i="48"/>
  <c r="O627" i="48" s="1"/>
  <c r="E627" i="48"/>
  <c r="E628" i="48" s="1"/>
  <c r="D628" i="48" l="1"/>
  <c r="O628" i="48"/>
  <c r="A627" i="48"/>
  <c r="A628" i="48" s="1"/>
  <c r="D629" i="48" l="1"/>
  <c r="O629" i="48"/>
  <c r="E629" i="48"/>
  <c r="E630" i="48" s="1"/>
  <c r="D630" i="48" l="1"/>
  <c r="A629" i="48"/>
  <c r="A630" i="48" s="1"/>
  <c r="D631" i="48" l="1"/>
  <c r="O630" i="48"/>
  <c r="E631" i="48"/>
  <c r="E632" i="48" s="1"/>
  <c r="D632" i="48" l="1"/>
  <c r="O631" i="48"/>
  <c r="A631" i="48"/>
  <c r="A632" i="48" s="1"/>
  <c r="D633" i="48" l="1"/>
  <c r="O632" i="48"/>
  <c r="O633" i="48" s="1"/>
  <c r="E633" i="48"/>
  <c r="E634" i="48" s="1"/>
  <c r="D634" i="48" l="1"/>
  <c r="A633" i="48"/>
  <c r="A634" i="48" s="1"/>
  <c r="D635" i="48" l="1"/>
  <c r="O634" i="48"/>
  <c r="E635" i="48"/>
  <c r="E636" i="48" s="1"/>
  <c r="D636" i="48" l="1"/>
  <c r="O635" i="48"/>
  <c r="A635" i="48"/>
  <c r="A636" i="48" s="1"/>
  <c r="D637" i="48" l="1"/>
  <c r="O636" i="48"/>
  <c r="E637" i="48"/>
  <c r="E638" i="48" s="1"/>
  <c r="D638" i="48" l="1"/>
  <c r="O637" i="48"/>
  <c r="A637" i="48"/>
  <c r="A638" i="48" s="1"/>
  <c r="D639" i="48" l="1"/>
  <c r="O638" i="48"/>
  <c r="E639" i="48"/>
  <c r="D640" i="48" l="1"/>
  <c r="R646" i="48" s="1"/>
  <c r="O639" i="48"/>
  <c r="O640" i="48" s="1"/>
  <c r="A639" i="48"/>
  <c r="A640" i="48" s="1"/>
  <c r="E664" i="48" l="1"/>
  <c r="E663" i="48"/>
  <c r="E668" i="48"/>
  <c r="E672" i="48" s="1"/>
  <c r="E648" i="48"/>
  <c r="E649" i="48"/>
  <c r="E667" i="48" l="1"/>
  <c r="N110" i="3"/>
  <c r="O57" i="14"/>
  <c r="O54" i="14"/>
  <c r="O18" i="4"/>
  <c r="O14" i="4"/>
  <c r="N243" i="2"/>
  <c r="N46" i="2"/>
  <c r="P8" i="38"/>
  <c r="P4" i="38"/>
  <c r="O13" i="41"/>
  <c r="M3" i="47"/>
  <c r="M11" i="47"/>
  <c r="H20" i="47"/>
  <c r="H19" i="47"/>
  <c r="H18" i="47"/>
  <c r="H17" i="47"/>
  <c r="H16" i="47"/>
  <c r="H9" i="47"/>
  <c r="H8" i="47"/>
  <c r="H7" i="47"/>
  <c r="H6" i="47"/>
  <c r="H5" i="47"/>
  <c r="F26" i="2"/>
  <c r="A21" i="47"/>
  <c r="A20" i="47"/>
  <c r="A19" i="47"/>
  <c r="A18" i="47"/>
  <c r="A17" i="47"/>
  <c r="A16" i="47"/>
  <c r="A10" i="47"/>
  <c r="A9" i="47"/>
  <c r="A8" i="47"/>
  <c r="A7" i="47"/>
  <c r="A6" i="47"/>
  <c r="A5" i="47"/>
  <c r="B3" i="47"/>
  <c r="C21" i="47" l="1"/>
  <c r="C10" i="47"/>
  <c r="M32" i="35" l="1"/>
  <c r="M26" i="35"/>
  <c r="M20" i="35"/>
  <c r="M14" i="35"/>
  <c r="M7" i="35"/>
  <c r="O14" i="7"/>
  <c r="L3" i="14" l="1"/>
  <c r="T14" i="16"/>
  <c r="T9" i="16"/>
  <c r="T6" i="16"/>
  <c r="Q148" i="5"/>
  <c r="O89" i="14"/>
  <c r="O67" i="14"/>
  <c r="Q155" i="5"/>
  <c r="Q150" i="5"/>
  <c r="Q144" i="5"/>
  <c r="Q131" i="5"/>
  <c r="Q132" i="5"/>
  <c r="O103" i="5"/>
  <c r="Q116" i="5"/>
  <c r="Q111" i="5"/>
  <c r="Q115" i="5"/>
  <c r="Q110" i="5"/>
  <c r="O116" i="5"/>
  <c r="O115" i="5"/>
  <c r="O111" i="5"/>
  <c r="O110" i="5"/>
  <c r="Q68" i="5"/>
  <c r="Q42" i="5"/>
  <c r="I596" i="9" l="1"/>
  <c r="H123" i="5"/>
  <c r="G206" i="24" s="1"/>
  <c r="N71" i="5"/>
  <c r="N59" i="5"/>
  <c r="Q38" i="5"/>
  <c r="Q33" i="5"/>
  <c r="N34" i="5"/>
  <c r="Q30" i="5"/>
  <c r="Q28" i="5"/>
  <c r="Q25" i="5"/>
  <c r="Q3" i="5"/>
  <c r="Q6" i="5"/>
  <c r="Q9" i="5"/>
  <c r="C597" i="9" l="1"/>
  <c r="D125" i="5"/>
  <c r="O17" i="14"/>
  <c r="F19" i="14"/>
  <c r="O93" i="14"/>
  <c r="O70" i="14"/>
  <c r="O60" i="14"/>
  <c r="L60" i="14"/>
  <c r="O53" i="14"/>
  <c r="L53" i="14"/>
  <c r="O42" i="14"/>
  <c r="O35" i="14"/>
  <c r="O21" i="14"/>
  <c r="O10" i="14"/>
  <c r="O5" i="14"/>
  <c r="N256" i="2"/>
  <c r="L4" i="14"/>
  <c r="O21" i="4"/>
  <c r="O51" i="4"/>
  <c r="O47" i="4"/>
  <c r="O43" i="4"/>
  <c r="O25" i="4"/>
  <c r="O38" i="4"/>
  <c r="O63" i="3"/>
  <c r="O13" i="4"/>
  <c r="O10" i="4"/>
  <c r="M13" i="4"/>
  <c r="O5" i="4"/>
  <c r="O168" i="3"/>
  <c r="O122" i="3"/>
  <c r="O107" i="3"/>
  <c r="O6" i="3"/>
  <c r="R274" i="2"/>
  <c r="N211" i="2" l="1"/>
  <c r="N217" i="2"/>
  <c r="N129" i="2"/>
  <c r="N149" i="2"/>
  <c r="N159" i="2"/>
  <c r="N169" i="2"/>
  <c r="N139" i="2"/>
  <c r="N126" i="2"/>
  <c r="K127" i="2"/>
  <c r="O61" i="3"/>
  <c r="O14" i="3"/>
  <c r="O36" i="3"/>
  <c r="N66" i="3"/>
  <c r="N64" i="3"/>
  <c r="M61" i="3"/>
  <c r="O51" i="3"/>
  <c r="O40" i="3"/>
  <c r="O30" i="3"/>
  <c r="N125" i="2"/>
  <c r="A1" i="2"/>
  <c r="N38" i="2"/>
  <c r="N34" i="2"/>
  <c r="M299" i="2"/>
  <c r="N299" i="2"/>
  <c r="M298" i="2"/>
  <c r="M297" i="2"/>
  <c r="M296" i="2"/>
  <c r="M295" i="2"/>
  <c r="M294" i="2"/>
  <c r="M293" i="2"/>
  <c r="M292" i="2"/>
  <c r="M291" i="2"/>
  <c r="M290" i="2"/>
  <c r="N127" i="2"/>
  <c r="N284" i="2"/>
  <c r="M145" i="2"/>
  <c r="M175" i="2"/>
  <c r="R263" i="2"/>
  <c r="R266" i="2" l="1"/>
  <c r="R265" i="2"/>
  <c r="R264" i="2"/>
  <c r="R262" i="2"/>
  <c r="R261" i="2"/>
  <c r="R260" i="2"/>
  <c r="R259" i="2"/>
  <c r="M258" i="2"/>
  <c r="R277" i="2"/>
  <c r="R276" i="2"/>
  <c r="R275" i="2"/>
  <c r="R273" i="2"/>
  <c r="R272" i="2"/>
  <c r="R271" i="2"/>
  <c r="R270" i="2"/>
  <c r="M269" i="2"/>
  <c r="N240" i="2"/>
  <c r="N237" i="2"/>
  <c r="L211" i="2"/>
  <c r="N206" i="2"/>
  <c r="N187" i="2"/>
  <c r="M203" i="2"/>
  <c r="M204" i="2"/>
  <c r="N184" i="2"/>
  <c r="N77" i="2"/>
  <c r="N86" i="2"/>
  <c r="N83" i="2"/>
  <c r="M173" i="2"/>
  <c r="M163" i="2"/>
  <c r="M153" i="2"/>
  <c r="M143" i="2"/>
  <c r="N102" i="2"/>
  <c r="N100" i="2"/>
  <c r="N104" i="2"/>
  <c r="L88" i="2"/>
  <c r="D89" i="2" s="1"/>
  <c r="N28" i="2"/>
  <c r="N41" i="2"/>
  <c r="N56" i="2"/>
  <c r="N54" i="2"/>
  <c r="K8" i="2"/>
  <c r="K46" i="2"/>
  <c r="K22" i="2"/>
  <c r="O12" i="19"/>
  <c r="L12" i="19"/>
  <c r="AG4" i="19"/>
  <c r="AJ4" i="19"/>
  <c r="W468" i="1"/>
  <c r="W467" i="1"/>
  <c r="W466" i="1"/>
  <c r="W465" i="1"/>
  <c r="W464" i="1"/>
  <c r="W463" i="1"/>
  <c r="W462" i="1"/>
  <c r="W461" i="1"/>
  <c r="W460" i="1"/>
  <c r="W459" i="1"/>
  <c r="W458" i="1"/>
  <c r="W457" i="1"/>
  <c r="W456" i="1"/>
  <c r="W455" i="1"/>
  <c r="W454" i="1"/>
  <c r="W453" i="1"/>
  <c r="W452" i="1"/>
  <c r="W451" i="1"/>
  <c r="W450" i="1"/>
  <c r="W449" i="1"/>
  <c r="W448" i="1"/>
  <c r="W447" i="1"/>
  <c r="W446" i="1"/>
  <c r="W445" i="1"/>
  <c r="W444" i="1"/>
  <c r="W443" i="1"/>
  <c r="W442" i="1"/>
  <c r="W441" i="1"/>
  <c r="W440" i="1"/>
  <c r="W439" i="1"/>
  <c r="W438" i="1"/>
  <c r="W437" i="1"/>
  <c r="W436" i="1"/>
  <c r="W435" i="1"/>
  <c r="W434" i="1"/>
  <c r="W433" i="1"/>
  <c r="W432" i="1"/>
  <c r="W431" i="1"/>
  <c r="W430" i="1"/>
  <c r="W429" i="1"/>
  <c r="W428" i="1"/>
  <c r="W427" i="1"/>
  <c r="W426" i="1"/>
  <c r="W425" i="1"/>
  <c r="W424" i="1"/>
  <c r="W423" i="1"/>
  <c r="W422" i="1"/>
  <c r="W421" i="1"/>
  <c r="W420" i="1"/>
  <c r="W419" i="1"/>
  <c r="W418" i="1"/>
  <c r="W417" i="1"/>
  <c r="W416" i="1"/>
  <c r="W415" i="1"/>
  <c r="W414" i="1"/>
  <c r="W413" i="1"/>
  <c r="W412" i="1"/>
  <c r="W411" i="1"/>
  <c r="W410" i="1"/>
  <c r="W409" i="1"/>
  <c r="W408" i="1"/>
  <c r="W407" i="1"/>
  <c r="W406" i="1"/>
  <c r="W405" i="1"/>
  <c r="V471" i="1"/>
  <c r="V470" i="1"/>
  <c r="V469" i="1"/>
  <c r="V468" i="1"/>
  <c r="V467" i="1"/>
  <c r="V466" i="1"/>
  <c r="V465" i="1"/>
  <c r="V464" i="1"/>
  <c r="V463" i="1"/>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AK405" i="1"/>
  <c r="AK406" i="1"/>
  <c r="AK407" i="1"/>
  <c r="AK408" i="1"/>
  <c r="AK409" i="1"/>
  <c r="AK410" i="1"/>
  <c r="AK411" i="1"/>
  <c r="AK412" i="1"/>
  <c r="AK413" i="1"/>
  <c r="AK414" i="1"/>
  <c r="AK415" i="1"/>
  <c r="AK416" i="1"/>
  <c r="AK417" i="1"/>
  <c r="AK418" i="1"/>
  <c r="AK419" i="1"/>
  <c r="AK420" i="1"/>
  <c r="AK421" i="1"/>
  <c r="AK422" i="1"/>
  <c r="AK423" i="1"/>
  <c r="AK424" i="1"/>
  <c r="AK425" i="1"/>
  <c r="AK426" i="1"/>
  <c r="AK427" i="1"/>
  <c r="AK428" i="1"/>
  <c r="AK429" i="1"/>
  <c r="AK430" i="1"/>
  <c r="AK431" i="1"/>
  <c r="AK432" i="1"/>
  <c r="AK433" i="1"/>
  <c r="AK434" i="1"/>
  <c r="AK435" i="1"/>
  <c r="AK436" i="1"/>
  <c r="AK437" i="1"/>
  <c r="AK438" i="1"/>
  <c r="AK439" i="1"/>
  <c r="AK440" i="1"/>
  <c r="AK441" i="1"/>
  <c r="AK442" i="1"/>
  <c r="AK443" i="1"/>
  <c r="AK444" i="1"/>
  <c r="AK445" i="1"/>
  <c r="AK446" i="1"/>
  <c r="AK447" i="1"/>
  <c r="AK448" i="1"/>
  <c r="AK449" i="1"/>
  <c r="AK450" i="1"/>
  <c r="AK451" i="1"/>
  <c r="AK452" i="1"/>
  <c r="AK453" i="1"/>
  <c r="AK454" i="1"/>
  <c r="AK455" i="1"/>
  <c r="AK456" i="1"/>
  <c r="AK457" i="1"/>
  <c r="AK458" i="1"/>
  <c r="AK459" i="1"/>
  <c r="AK460" i="1"/>
  <c r="AK461" i="1"/>
  <c r="AK462" i="1"/>
  <c r="AK463" i="1"/>
  <c r="AK464" i="1"/>
  <c r="AK465" i="1"/>
  <c r="AK466" i="1"/>
  <c r="AK467" i="1"/>
  <c r="AK468" i="1"/>
  <c r="AK469" i="1"/>
  <c r="AK470" i="1"/>
  <c r="AK471" i="1"/>
  <c r="AF405" i="1"/>
  <c r="AF406" i="1"/>
  <c r="AF407" i="1"/>
  <c r="AF408" i="1"/>
  <c r="AF409" i="1"/>
  <c r="AF410" i="1"/>
  <c r="AF411" i="1"/>
  <c r="AF412" i="1"/>
  <c r="AF413" i="1"/>
  <c r="AF414" i="1"/>
  <c r="AF415" i="1"/>
  <c r="AF416" i="1"/>
  <c r="AF417" i="1"/>
  <c r="AF418" i="1"/>
  <c r="AF419" i="1"/>
  <c r="AF420" i="1"/>
  <c r="AF421" i="1"/>
  <c r="AF422" i="1"/>
  <c r="AF423" i="1"/>
  <c r="AF424" i="1"/>
  <c r="AF425" i="1"/>
  <c r="AF426" i="1"/>
  <c r="AF427" i="1"/>
  <c r="AF428" i="1"/>
  <c r="AF429" i="1"/>
  <c r="AF430" i="1"/>
  <c r="AF431" i="1"/>
  <c r="AF432" i="1"/>
  <c r="AF433" i="1"/>
  <c r="AF434" i="1"/>
  <c r="AF435" i="1"/>
  <c r="AF436" i="1"/>
  <c r="AF437" i="1"/>
  <c r="AF438" i="1"/>
  <c r="AF439" i="1"/>
  <c r="AF440" i="1"/>
  <c r="AF441" i="1"/>
  <c r="AF442" i="1"/>
  <c r="AF443" i="1"/>
  <c r="AF444" i="1"/>
  <c r="AF445" i="1"/>
  <c r="AF446" i="1"/>
  <c r="AF447" i="1"/>
  <c r="AF448" i="1"/>
  <c r="AF449" i="1"/>
  <c r="AF450" i="1"/>
  <c r="AF451" i="1"/>
  <c r="AF452" i="1"/>
  <c r="AF453" i="1"/>
  <c r="AF454" i="1"/>
  <c r="AF455" i="1"/>
  <c r="AF456" i="1"/>
  <c r="AF457" i="1"/>
  <c r="AF458" i="1"/>
  <c r="AF459" i="1"/>
  <c r="AF460" i="1"/>
  <c r="AF461" i="1"/>
  <c r="AF462" i="1"/>
  <c r="AF463" i="1"/>
  <c r="AF464" i="1"/>
  <c r="AF465" i="1"/>
  <c r="AF466" i="1"/>
  <c r="AF467" i="1"/>
  <c r="AF468" i="1"/>
  <c r="AF469" i="1"/>
  <c r="AF470" i="1"/>
  <c r="AF471" i="1"/>
  <c r="P7" i="19" a="1"/>
  <c r="P7" i="19" s="1"/>
  <c r="O7" i="19" s="1"/>
  <c r="I545" i="9"/>
  <c r="C545" i="9"/>
  <c r="ES11" i="19"/>
  <c r="V4" i="19" l="1"/>
  <c r="EO5" i="19" l="1"/>
  <c r="EO6" i="19"/>
  <c r="EC76" i="19"/>
  <c r="EC75" i="19"/>
  <c r="EC74" i="19"/>
  <c r="EC73" i="19"/>
  <c r="EC72" i="19"/>
  <c r="EC71" i="19"/>
  <c r="EC70" i="19"/>
  <c r="EC69" i="19"/>
  <c r="EC68" i="19"/>
  <c r="EC67" i="19"/>
  <c r="EC66" i="19"/>
  <c r="EC65" i="19"/>
  <c r="EC64" i="19"/>
  <c r="EC63" i="19"/>
  <c r="EC62" i="19"/>
  <c r="EC61" i="19"/>
  <c r="EC60" i="19"/>
  <c r="EC59" i="19"/>
  <c r="EC58" i="19"/>
  <c r="EC57" i="19"/>
  <c r="EC56" i="19"/>
  <c r="EC55" i="19"/>
  <c r="EC54" i="19"/>
  <c r="EC53" i="19"/>
  <c r="EC52" i="19"/>
  <c r="EC51" i="19"/>
  <c r="EC50" i="19"/>
  <c r="EC49" i="19"/>
  <c r="EC48" i="19"/>
  <c r="EC47" i="19"/>
  <c r="EC46" i="19"/>
  <c r="EC45" i="19"/>
  <c r="EC44" i="19"/>
  <c r="EC43" i="19"/>
  <c r="EC42" i="19"/>
  <c r="EC41" i="19"/>
  <c r="EC40" i="19"/>
  <c r="EC39" i="19"/>
  <c r="EC38" i="19"/>
  <c r="EC37" i="19"/>
  <c r="EC36" i="19"/>
  <c r="EC35" i="19"/>
  <c r="EC34" i="19"/>
  <c r="EC33" i="19"/>
  <c r="EC32" i="19"/>
  <c r="EC31" i="19"/>
  <c r="EC30" i="19"/>
  <c r="EC29" i="19"/>
  <c r="EC28" i="19"/>
  <c r="EC27" i="19"/>
  <c r="EC26" i="19"/>
  <c r="EC25" i="19"/>
  <c r="EC24" i="19"/>
  <c r="EC23" i="19"/>
  <c r="EC22" i="19"/>
  <c r="EC21" i="19"/>
  <c r="EC20" i="19"/>
  <c r="EC19" i="19"/>
  <c r="EC18" i="19"/>
  <c r="EC17" i="19"/>
  <c r="EC16" i="19"/>
  <c r="EC15" i="19"/>
  <c r="EC14" i="19"/>
  <c r="EC13" i="19"/>
  <c r="EP8" i="19"/>
  <c r="ES8" i="19" s="1"/>
  <c r="ER76" i="19"/>
  <c r="ER75" i="19"/>
  <c r="ER74" i="19"/>
  <c r="ER73" i="19"/>
  <c r="ER72" i="19"/>
  <c r="ER71" i="19"/>
  <c r="ER70" i="19"/>
  <c r="ER69" i="19"/>
  <c r="ER68" i="19"/>
  <c r="ER67" i="19"/>
  <c r="ER66" i="19"/>
  <c r="ER65" i="19"/>
  <c r="ER64" i="19"/>
  <c r="ER63" i="19"/>
  <c r="ER62" i="19"/>
  <c r="ER61" i="19"/>
  <c r="ER60" i="19"/>
  <c r="ER59" i="19"/>
  <c r="ER58" i="19"/>
  <c r="ER57" i="19"/>
  <c r="ER56" i="19"/>
  <c r="ER55" i="19"/>
  <c r="ER54" i="19"/>
  <c r="ER53" i="19"/>
  <c r="ER52" i="19"/>
  <c r="ER51" i="19"/>
  <c r="ER50" i="19"/>
  <c r="ER49" i="19"/>
  <c r="ER48" i="19"/>
  <c r="ER47" i="19"/>
  <c r="ER46" i="19"/>
  <c r="ER45" i="19"/>
  <c r="ER44" i="19"/>
  <c r="ER43" i="19"/>
  <c r="ER42" i="19"/>
  <c r="ER41" i="19"/>
  <c r="ER40" i="19"/>
  <c r="ER39" i="19"/>
  <c r="ER38" i="19"/>
  <c r="ER37" i="19"/>
  <c r="ER36" i="19"/>
  <c r="ER35" i="19"/>
  <c r="ER34" i="19"/>
  <c r="ER33" i="19"/>
  <c r="ER32" i="19"/>
  <c r="ER31" i="19"/>
  <c r="ER30" i="19"/>
  <c r="ER29" i="19"/>
  <c r="ER28" i="19"/>
  <c r="ER27" i="19"/>
  <c r="ER26" i="19"/>
  <c r="ER25" i="19"/>
  <c r="ER24" i="19"/>
  <c r="ER23" i="19"/>
  <c r="ER22" i="19"/>
  <c r="ER21" i="19"/>
  <c r="ER20" i="19"/>
  <c r="ER19" i="19"/>
  <c r="ER18" i="19"/>
  <c r="ER17" i="19"/>
  <c r="ER16" i="19"/>
  <c r="ER15" i="19"/>
  <c r="ER14" i="19"/>
  <c r="ER13" i="19"/>
  <c r="EK7" i="19"/>
  <c r="G329" i="9"/>
  <c r="G328" i="9"/>
  <c r="Y345" i="19"/>
  <c r="Y346" i="19"/>
  <c r="Y319" i="19"/>
  <c r="Y318" i="19"/>
  <c r="Y317" i="19"/>
  <c r="Y316" i="19"/>
  <c r="Y255" i="19"/>
  <c r="Y254" i="19"/>
  <c r="Y253" i="19"/>
  <c r="Y252" i="19"/>
  <c r="Y239" i="19"/>
  <c r="Y240" i="19"/>
  <c r="Y234" i="19"/>
  <c r="Y233" i="19"/>
  <c r="Y232" i="19"/>
  <c r="Y231" i="19"/>
  <c r="Y30" i="19"/>
  <c r="Y32" i="19"/>
  <c r="Y33" i="19"/>
  <c r="Y31" i="19"/>
  <c r="R11" i="19"/>
  <c r="R174" i="19" s="1" a="1"/>
  <c r="R174" i="19" s="1"/>
  <c r="EQ8" i="19" l="1"/>
  <c r="ER8" i="19" s="1"/>
  <c r="EP71" i="19"/>
  <c r="EP52" i="19"/>
  <c r="EP74" i="19"/>
  <c r="EP32" i="19"/>
  <c r="EP39" i="19"/>
  <c r="EP19" i="19"/>
  <c r="EP40" i="19"/>
  <c r="EP63" i="19"/>
  <c r="EP37" i="19"/>
  <c r="EP23" i="19"/>
  <c r="EP42" i="19"/>
  <c r="EP65" i="19"/>
  <c r="EP24" i="19"/>
  <c r="EP46" i="19"/>
  <c r="EP67" i="19"/>
  <c r="EP51" i="19"/>
  <c r="EP28" i="19"/>
  <c r="EP55" i="19"/>
  <c r="EP56" i="19"/>
  <c r="EP13" i="19"/>
  <c r="EP59" i="19"/>
  <c r="EP38" i="19"/>
  <c r="EP18" i="19"/>
  <c r="EP64" i="19"/>
  <c r="EP27" i="19"/>
  <c r="EP73" i="19"/>
  <c r="EP53" i="19"/>
  <c r="EP33" i="19"/>
  <c r="EP34" i="19"/>
  <c r="EP14" i="19"/>
  <c r="EP60" i="19"/>
  <c r="EP61" i="19"/>
  <c r="EP20" i="19"/>
  <c r="EP41" i="19"/>
  <c r="EP25" i="19"/>
  <c r="EP47" i="19"/>
  <c r="EP68" i="19"/>
  <c r="EP26" i="19"/>
  <c r="EP48" i="19"/>
  <c r="EP72" i="19"/>
  <c r="EP21" i="19"/>
  <c r="EP35" i="19"/>
  <c r="EP49" i="19"/>
  <c r="EP75" i="19"/>
  <c r="EP22" i="19"/>
  <c r="EP36" i="19"/>
  <c r="EP50" i="19"/>
  <c r="EP62" i="19"/>
  <c r="EP76" i="19"/>
  <c r="EP54" i="19"/>
  <c r="EP66" i="19"/>
  <c r="EP29" i="19"/>
  <c r="EP43" i="19"/>
  <c r="EP57" i="19"/>
  <c r="EP69" i="19"/>
  <c r="EP15" i="19"/>
  <c r="EP16" i="19"/>
  <c r="EP30" i="19"/>
  <c r="EP44" i="19"/>
  <c r="EP58" i="19"/>
  <c r="EP70" i="19"/>
  <c r="EP17" i="19"/>
  <c r="EP31" i="19"/>
  <c r="EP45" i="19"/>
  <c r="AD4" i="19"/>
  <c r="AA4" i="19"/>
  <c r="U471" i="1"/>
  <c r="T471" i="1"/>
  <c r="S471" i="1"/>
  <c r="U470" i="1"/>
  <c r="T470" i="1"/>
  <c r="S470" i="1"/>
  <c r="U469" i="1"/>
  <c r="T469" i="1"/>
  <c r="S469" i="1"/>
  <c r="U468" i="1"/>
  <c r="T468" i="1"/>
  <c r="S468" i="1"/>
  <c r="U467" i="1"/>
  <c r="T467" i="1"/>
  <c r="S467" i="1"/>
  <c r="U466" i="1"/>
  <c r="T466" i="1"/>
  <c r="S466" i="1"/>
  <c r="U465" i="1"/>
  <c r="T465" i="1"/>
  <c r="S465" i="1"/>
  <c r="U464" i="1"/>
  <c r="T464" i="1"/>
  <c r="S464" i="1"/>
  <c r="U463" i="1"/>
  <c r="T463" i="1"/>
  <c r="S463" i="1"/>
  <c r="U462" i="1"/>
  <c r="T462" i="1"/>
  <c r="S462" i="1"/>
  <c r="U461" i="1"/>
  <c r="T461" i="1"/>
  <c r="S461" i="1"/>
  <c r="U460" i="1"/>
  <c r="T460" i="1"/>
  <c r="S460" i="1"/>
  <c r="U459" i="1"/>
  <c r="T459" i="1"/>
  <c r="S459" i="1"/>
  <c r="U458" i="1"/>
  <c r="T458" i="1"/>
  <c r="S458" i="1"/>
  <c r="U457" i="1"/>
  <c r="T457" i="1"/>
  <c r="S457" i="1"/>
  <c r="U456" i="1"/>
  <c r="T456" i="1"/>
  <c r="S456" i="1"/>
  <c r="U455" i="1"/>
  <c r="T455" i="1"/>
  <c r="S455" i="1"/>
  <c r="U454" i="1"/>
  <c r="T454" i="1"/>
  <c r="S454" i="1"/>
  <c r="U453" i="1"/>
  <c r="T453" i="1"/>
  <c r="S453" i="1"/>
  <c r="U452" i="1"/>
  <c r="T452" i="1"/>
  <c r="S452" i="1"/>
  <c r="U451" i="1"/>
  <c r="T451" i="1"/>
  <c r="S451" i="1"/>
  <c r="U450" i="1"/>
  <c r="T450" i="1"/>
  <c r="S450" i="1"/>
  <c r="U449" i="1"/>
  <c r="T449" i="1"/>
  <c r="S449" i="1"/>
  <c r="U448" i="1"/>
  <c r="T448" i="1"/>
  <c r="S448" i="1"/>
  <c r="U447" i="1"/>
  <c r="T447" i="1"/>
  <c r="S447" i="1"/>
  <c r="U446" i="1"/>
  <c r="T446" i="1"/>
  <c r="S446" i="1"/>
  <c r="U445" i="1"/>
  <c r="T445" i="1"/>
  <c r="S445" i="1"/>
  <c r="U444" i="1"/>
  <c r="T444" i="1"/>
  <c r="S444" i="1"/>
  <c r="U443" i="1"/>
  <c r="T443" i="1"/>
  <c r="S443" i="1"/>
  <c r="U442" i="1"/>
  <c r="T442" i="1"/>
  <c r="S442" i="1"/>
  <c r="U441" i="1"/>
  <c r="T441" i="1"/>
  <c r="S441" i="1"/>
  <c r="U440" i="1"/>
  <c r="T440" i="1"/>
  <c r="S440" i="1"/>
  <c r="U439" i="1"/>
  <c r="T439" i="1"/>
  <c r="S439" i="1"/>
  <c r="U438" i="1"/>
  <c r="T438" i="1"/>
  <c r="S438" i="1"/>
  <c r="U437" i="1"/>
  <c r="T437" i="1"/>
  <c r="S437" i="1"/>
  <c r="U436" i="1"/>
  <c r="T436" i="1"/>
  <c r="S436" i="1"/>
  <c r="U435" i="1"/>
  <c r="T435" i="1"/>
  <c r="S435" i="1"/>
  <c r="U434" i="1"/>
  <c r="T434" i="1"/>
  <c r="S434" i="1"/>
  <c r="U433" i="1"/>
  <c r="T433" i="1"/>
  <c r="S433" i="1"/>
  <c r="U432" i="1"/>
  <c r="T432" i="1"/>
  <c r="S432" i="1"/>
  <c r="U431" i="1"/>
  <c r="T431" i="1"/>
  <c r="S431" i="1"/>
  <c r="U430" i="1"/>
  <c r="T430" i="1"/>
  <c r="S430" i="1"/>
  <c r="U429" i="1"/>
  <c r="T429" i="1"/>
  <c r="S429" i="1"/>
  <c r="U428" i="1"/>
  <c r="T428" i="1"/>
  <c r="S428" i="1"/>
  <c r="U427" i="1"/>
  <c r="T427" i="1"/>
  <c r="S427" i="1"/>
  <c r="U426" i="1"/>
  <c r="T426" i="1"/>
  <c r="S426" i="1"/>
  <c r="U425" i="1"/>
  <c r="T425" i="1"/>
  <c r="S425" i="1"/>
  <c r="U424" i="1"/>
  <c r="T424" i="1"/>
  <c r="S424" i="1"/>
  <c r="U423" i="1"/>
  <c r="T423" i="1"/>
  <c r="S423" i="1"/>
  <c r="U422" i="1"/>
  <c r="T422" i="1"/>
  <c r="S422" i="1"/>
  <c r="U421" i="1"/>
  <c r="T421" i="1"/>
  <c r="S421" i="1"/>
  <c r="U420" i="1"/>
  <c r="T420" i="1"/>
  <c r="S420" i="1"/>
  <c r="U419" i="1"/>
  <c r="T419" i="1"/>
  <c r="S419" i="1"/>
  <c r="U418" i="1"/>
  <c r="T418" i="1"/>
  <c r="S418" i="1"/>
  <c r="U417" i="1"/>
  <c r="T417" i="1"/>
  <c r="S417" i="1"/>
  <c r="U416" i="1"/>
  <c r="T416" i="1"/>
  <c r="S416" i="1"/>
  <c r="U415" i="1"/>
  <c r="T415" i="1"/>
  <c r="S415" i="1"/>
  <c r="U414" i="1"/>
  <c r="T414" i="1"/>
  <c r="S414" i="1"/>
  <c r="U413" i="1"/>
  <c r="T413" i="1"/>
  <c r="S413" i="1"/>
  <c r="U412" i="1"/>
  <c r="T412" i="1"/>
  <c r="S412" i="1"/>
  <c r="U411" i="1"/>
  <c r="T411" i="1"/>
  <c r="S411" i="1"/>
  <c r="U410" i="1"/>
  <c r="T410" i="1"/>
  <c r="S410" i="1"/>
  <c r="U409" i="1"/>
  <c r="T409" i="1"/>
  <c r="S409" i="1"/>
  <c r="U408" i="1"/>
  <c r="T408" i="1"/>
  <c r="S408" i="1"/>
  <c r="U407" i="1"/>
  <c r="T407" i="1"/>
  <c r="S407" i="1"/>
  <c r="U406" i="1"/>
  <c r="T406" i="1"/>
  <c r="S406" i="1"/>
  <c r="U405" i="1"/>
  <c r="T405" i="1"/>
  <c r="S405" i="1"/>
  <c r="I12" i="19"/>
  <c r="F12" i="19"/>
  <c r="D12" i="19"/>
  <c r="A12" i="19"/>
  <c r="AH523" i="1"/>
  <c r="AH522" i="1"/>
  <c r="AH513" i="1"/>
  <c r="P509" i="1"/>
  <c r="Q509" i="1" s="1"/>
  <c r="AH521" i="1"/>
  <c r="AH520" i="1"/>
  <c r="AH519" i="1"/>
  <c r="AH518" i="1"/>
  <c r="AH517" i="1"/>
  <c r="P506" i="1"/>
  <c r="P510" i="1" s="1"/>
  <c r="Q510" i="1" s="1"/>
  <c r="AL518" i="1"/>
  <c r="AL517" i="1"/>
  <c r="B150" i="5"/>
  <c r="R509" i="1" l="1"/>
  <c r="S509" i="1" s="1"/>
  <c r="P512" i="1"/>
  <c r="P514" i="1"/>
  <c r="P508" i="1"/>
  <c r="Q508" i="1" s="1"/>
  <c r="X4" i="19"/>
  <c r="R4" i="19"/>
  <c r="H287" i="9" l="1"/>
  <c r="E287" i="9"/>
  <c r="C566" i="1"/>
  <c r="C565" i="1"/>
  <c r="C564" i="1"/>
  <c r="C563" i="1"/>
  <c r="C562" i="1"/>
  <c r="C561" i="1"/>
  <c r="C560" i="1"/>
  <c r="C559" i="1"/>
  <c r="C558" i="1"/>
  <c r="C557" i="1"/>
  <c r="C556" i="1"/>
  <c r="C555" i="1"/>
  <c r="C554" i="1"/>
  <c r="F566" i="1"/>
  <c r="F565" i="1"/>
  <c r="F564" i="1"/>
  <c r="F563" i="1"/>
  <c r="F562" i="1"/>
  <c r="F561" i="1"/>
  <c r="F560" i="1"/>
  <c r="F559" i="1"/>
  <c r="F558" i="1"/>
  <c r="F557" i="1"/>
  <c r="F556" i="1"/>
  <c r="F555" i="1"/>
  <c r="F554" i="1"/>
  <c r="K707" i="1" a="1"/>
  <c r="K707" i="1" s="1"/>
  <c r="C707" i="1" a="1"/>
  <c r="C707" i="1" s="1"/>
  <c r="K706" i="1" a="1"/>
  <c r="K706" i="1" s="1"/>
  <c r="C706" i="1" a="1"/>
  <c r="C706" i="1" s="1"/>
  <c r="A695" i="1" a="1"/>
  <c r="A695" i="1" s="1"/>
  <c r="A694" i="1" a="1"/>
  <c r="A694" i="1" s="1"/>
  <c r="K691" i="1" a="1"/>
  <c r="K691" i="1" s="1"/>
  <c r="C691" i="1" a="1"/>
  <c r="C691" i="1" s="1"/>
  <c r="K690" i="1" a="1"/>
  <c r="K690" i="1" s="1"/>
  <c r="J690" i="1" a="1"/>
  <c r="J690" i="1" s="1"/>
  <c r="C690" i="1" a="1"/>
  <c r="C690" i="1" s="1"/>
  <c r="A686" i="1" a="1"/>
  <c r="A686" i="1" s="1"/>
  <c r="C683" i="1" a="1"/>
  <c r="C683" i="1" s="1"/>
  <c r="K682" i="1" a="1"/>
  <c r="K682" i="1" s="1"/>
  <c r="C682" i="1" a="1"/>
  <c r="C682" i="1" s="1"/>
  <c r="A703" i="1" a="1"/>
  <c r="A703" i="1" s="1"/>
  <c r="A702" i="1" a="1"/>
  <c r="A702" i="1" s="1"/>
  <c r="C699" i="1" a="1"/>
  <c r="C699" i="1" s="1"/>
  <c r="K698" i="1" a="1"/>
  <c r="K698" i="1" s="1"/>
  <c r="C698" i="1" a="1"/>
  <c r="C698" i="1" s="1"/>
  <c r="D230" i="2" l="1"/>
  <c r="A6" i="16" l="1"/>
  <c r="A9" i="16" s="1"/>
  <c r="A14" i="16" l="1"/>
  <c r="B16" i="16" s="1"/>
  <c r="C10" i="16"/>
  <c r="C505" i="1"/>
  <c r="M165" i="2" l="1"/>
  <c r="M155" i="2"/>
  <c r="K157" i="24" l="1"/>
  <c r="J156" i="24"/>
  <c r="K140" i="24"/>
  <c r="H37" i="14"/>
  <c r="O525" i="1" l="1"/>
  <c r="O524" i="1"/>
  <c r="O523" i="1"/>
  <c r="O522" i="1"/>
  <c r="O521" i="1"/>
  <c r="O520" i="1"/>
  <c r="Q137" i="1" l="1"/>
  <c r="Q136" i="1"/>
  <c r="Q135" i="1"/>
  <c r="Q134" i="1"/>
  <c r="Q133" i="1"/>
  <c r="A139" i="1" l="1"/>
  <c r="Q126" i="1"/>
  <c r="E103" i="3"/>
  <c r="C679" i="1"/>
  <c r="B660" i="1"/>
  <c r="C709" i="1"/>
  <c r="C701" i="1"/>
  <c r="C700" i="1"/>
  <c r="A687" i="1"/>
  <c r="C685" i="1"/>
  <c r="C684" i="1"/>
  <c r="A674" i="1" l="1"/>
  <c r="A673" i="1"/>
  <c r="A707" i="1" l="1"/>
  <c r="A691" i="1"/>
  <c r="A699" i="1"/>
  <c r="A683" i="1"/>
  <c r="F675" i="1"/>
  <c r="D708" i="1" l="1" a="1"/>
  <c r="D708" i="1" s="1"/>
  <c r="B707" i="1"/>
  <c r="A701" i="1"/>
  <c r="A700" i="1"/>
  <c r="C693" i="1"/>
  <c r="D692" i="1" a="1"/>
  <c r="D692" i="1" s="1"/>
  <c r="A685" i="1"/>
  <c r="A684" i="1"/>
  <c r="A138" i="1"/>
  <c r="A132" i="1"/>
  <c r="A126" i="1"/>
  <c r="A121" i="1"/>
  <c r="E839" i="1"/>
  <c r="C477" i="9" s="1"/>
  <c r="A710" i="1" l="1" a="1"/>
  <c r="A710" i="1" s="1"/>
  <c r="A711" i="1" a="1"/>
  <c r="A711" i="1" s="1"/>
  <c r="C479" i="9"/>
  <c r="C482" i="9"/>
  <c r="G22" i="45"/>
  <c r="H295" i="24"/>
  <c r="D642" i="1"/>
  <c r="A737" i="1"/>
  <c r="A93" i="14" a="1"/>
  <c r="A93" i="14" s="1"/>
  <c r="K371" i="24"/>
  <c r="J371" i="24"/>
  <c r="G269" i="24"/>
  <c r="G267" i="24"/>
  <c r="G266" i="24"/>
  <c r="G265" i="24"/>
  <c r="G264" i="24"/>
  <c r="G263" i="24"/>
  <c r="G262" i="24"/>
  <c r="G261" i="24"/>
  <c r="G260" i="24"/>
  <c r="M206" i="2"/>
  <c r="C156" i="1"/>
  <c r="C155" i="1"/>
  <c r="C230" i="2"/>
  <c r="F207" i="2" l="1"/>
  <c r="F156" i="1"/>
  <c r="F155" i="1"/>
  <c r="C97" i="24"/>
  <c r="C96" i="24"/>
  <c r="C95" i="24"/>
  <c r="C94" i="24"/>
  <c r="C93" i="24"/>
  <c r="C92" i="24"/>
  <c r="C91" i="24" a="1"/>
  <c r="C91" i="24" s="1"/>
  <c r="C486" i="1" l="1"/>
  <c r="C487" i="1"/>
  <c r="C488" i="1"/>
  <c r="C489" i="1"/>
  <c r="C490" i="1"/>
  <c r="C491" i="1"/>
  <c r="C492" i="1"/>
  <c r="C493" i="1"/>
  <c r="C494" i="1"/>
  <c r="C495" i="1"/>
  <c r="C496" i="1"/>
  <c r="C497" i="1"/>
  <c r="C498" i="1"/>
  <c r="C499" i="1"/>
  <c r="C500" i="1"/>
  <c r="C501" i="1"/>
  <c r="DD7" i="19" a="1"/>
  <c r="DD7" i="19" s="1"/>
  <c r="DC7" i="19" s="1"/>
  <c r="DA7" i="19" a="1"/>
  <c r="DA7" i="19" s="1"/>
  <c r="CZ7" i="19" s="1"/>
  <c r="CV7" i="19" a="1"/>
  <c r="CV7" i="19" s="1"/>
  <c r="CU7" i="19" s="1"/>
  <c r="DK11" i="19"/>
  <c r="DK390" i="19" s="1" a="1"/>
  <c r="DK390" i="19" s="1"/>
  <c r="DN386" i="19"/>
  <c r="DN385" i="19"/>
  <c r="DN337" i="19"/>
  <c r="DN336" i="19"/>
  <c r="DN334" i="19"/>
  <c r="DN333" i="19"/>
  <c r="DN312" i="19"/>
  <c r="DN311" i="19"/>
  <c r="DN310" i="19"/>
  <c r="DN309" i="19"/>
  <c r="DN240" i="19"/>
  <c r="DN239" i="19"/>
  <c r="G327" i="9" s="1"/>
  <c r="DK346" i="19" l="1" a="1"/>
  <c r="DK346" i="19" s="1"/>
  <c r="DK397" i="19" a="1"/>
  <c r="DK397" i="19" s="1"/>
  <c r="DK100" i="19" a="1"/>
  <c r="DK100" i="19" s="1"/>
  <c r="DK31" i="19" a="1"/>
  <c r="DK31" i="19" s="1"/>
  <c r="DK83" i="19" a="1"/>
  <c r="DK83" i="19" s="1"/>
  <c r="DK92" i="19" a="1"/>
  <c r="DK92" i="19" s="1"/>
  <c r="DK99" i="19" a="1"/>
  <c r="DK99" i="19" s="1"/>
  <c r="DK175" i="19" a="1"/>
  <c r="DK175" i="19" s="1"/>
  <c r="DK256" i="19" a="1"/>
  <c r="DK256" i="19" s="1"/>
  <c r="DK176" i="19" a="1"/>
  <c r="DK176" i="19" s="1"/>
  <c r="DK177" i="19" a="1"/>
  <c r="DK177" i="19" s="1"/>
  <c r="DK179" i="19" a="1"/>
  <c r="DK179" i="19" s="1"/>
  <c r="DK28" i="19" a="1"/>
  <c r="DK28" i="19" s="1"/>
  <c r="DK251" i="19" a="1"/>
  <c r="DK251" i="19" s="1"/>
  <c r="DK29" i="19" a="1"/>
  <c r="DK29" i="19" s="1"/>
  <c r="DK252" i="19" a="1"/>
  <c r="DK252" i="19" s="1"/>
  <c r="DK30" i="19" a="1"/>
  <c r="DK30" i="19" s="1"/>
  <c r="DK255" i="19" a="1"/>
  <c r="DK255" i="19" s="1"/>
  <c r="DK291" i="19" a="1"/>
  <c r="DK291" i="19" s="1"/>
  <c r="DK311" i="19" a="1"/>
  <c r="DK311" i="19" s="1"/>
  <c r="DK45" i="19" a="1"/>
  <c r="DK45" i="19" s="1"/>
  <c r="DK120" i="19" a="1"/>
  <c r="DK120" i="19" s="1"/>
  <c r="DK180" i="19" a="1"/>
  <c r="DK180" i="19" s="1"/>
  <c r="DK290" i="19" a="1"/>
  <c r="DK290" i="19" s="1"/>
  <c r="DK315" i="19" a="1"/>
  <c r="DK315" i="19" s="1"/>
  <c r="DK324" i="19" a="1"/>
  <c r="DK324" i="19" s="1"/>
  <c r="DK46" i="19" a="1"/>
  <c r="DK46" i="19" s="1"/>
  <c r="DK121" i="19" a="1"/>
  <c r="DK121" i="19" s="1"/>
  <c r="DK196" i="19" a="1"/>
  <c r="DK196" i="19" s="1"/>
  <c r="DK53" i="19" a="1"/>
  <c r="DK53" i="19" s="1"/>
  <c r="DK129" i="19" a="1"/>
  <c r="DK129" i="19" s="1"/>
  <c r="DK197" i="19" a="1"/>
  <c r="DK197" i="19" s="1"/>
  <c r="DK72" i="19" a="1"/>
  <c r="DK72" i="19" s="1"/>
  <c r="DK130" i="19" a="1"/>
  <c r="DK130" i="19" s="1"/>
  <c r="DK198" i="19" a="1"/>
  <c r="DK198" i="19" s="1"/>
  <c r="DK313" i="19" a="1"/>
  <c r="DK313" i="19" s="1"/>
  <c r="DK73" i="19" a="1"/>
  <c r="DK73" i="19" s="1"/>
  <c r="DK131" i="19" a="1"/>
  <c r="DK131" i="19" s="1"/>
  <c r="DK226" i="19" a="1"/>
  <c r="DK226" i="19" s="1"/>
  <c r="DK314" i="19" a="1"/>
  <c r="DK314" i="19" s="1"/>
  <c r="DK75" i="19" a="1"/>
  <c r="DK75" i="19" s="1"/>
  <c r="DK145" i="19" a="1"/>
  <c r="DK145" i="19" s="1"/>
  <c r="DK227" i="19" a="1"/>
  <c r="DK227" i="19" s="1"/>
  <c r="DK25" i="19" a="1"/>
  <c r="DK25" i="19" s="1"/>
  <c r="DK76" i="19" a="1"/>
  <c r="DK76" i="19" s="1"/>
  <c r="DK147" i="19" a="1"/>
  <c r="DK147" i="19" s="1"/>
  <c r="DK228" i="19" a="1"/>
  <c r="DK228" i="19" s="1"/>
  <c r="DK27" i="19" a="1"/>
  <c r="DK27" i="19" s="1"/>
  <c r="DK77" i="19" a="1"/>
  <c r="DK77" i="19" s="1"/>
  <c r="DK148" i="19" a="1"/>
  <c r="DK148" i="19" s="1"/>
  <c r="DK229" i="19" a="1"/>
  <c r="DK229" i="19" s="1"/>
  <c r="DK325" i="19" a="1"/>
  <c r="DK325" i="19" s="1"/>
  <c r="DK119" i="19" a="1"/>
  <c r="DK119" i="19" s="1"/>
  <c r="DK178" i="19" a="1"/>
  <c r="DK178" i="19" s="1"/>
  <c r="DK253" i="19" a="1"/>
  <c r="DK253" i="19" s="1"/>
  <c r="DK391" i="19" a="1"/>
  <c r="DK391" i="19" s="1"/>
  <c r="DK394" i="19" a="1"/>
  <c r="DK394" i="19" s="1"/>
  <c r="DK395" i="19" a="1"/>
  <c r="DK395" i="19" s="1"/>
  <c r="DK396" i="19" a="1"/>
  <c r="DK396" i="19" s="1"/>
  <c r="DK54" i="19" a="1"/>
  <c r="DK54" i="19" s="1"/>
  <c r="DK101" i="19" a="1"/>
  <c r="DK101" i="19" s="1"/>
  <c r="DK149" i="19" a="1"/>
  <c r="DK149" i="19" s="1"/>
  <c r="DK205" i="19" a="1"/>
  <c r="DK205" i="19" s="1"/>
  <c r="DK257" i="19" a="1"/>
  <c r="DK257" i="19" s="1"/>
  <c r="DK347" i="19" a="1"/>
  <c r="DK347" i="19" s="1"/>
  <c r="DK55" i="19" a="1"/>
  <c r="DK55" i="19" s="1"/>
  <c r="DK102" i="19" a="1"/>
  <c r="DK102" i="19" s="1"/>
  <c r="DK150" i="19" a="1"/>
  <c r="DK150" i="19" s="1"/>
  <c r="DK207" i="19" a="1"/>
  <c r="DK207" i="19" s="1"/>
  <c r="DK277" i="19" a="1"/>
  <c r="DK277" i="19" s="1"/>
  <c r="DK348" i="19" a="1"/>
  <c r="DK348" i="19" s="1"/>
  <c r="DK56" i="19" a="1"/>
  <c r="DK56" i="19" s="1"/>
  <c r="DK103" i="19" a="1"/>
  <c r="DK103" i="19" s="1"/>
  <c r="DK151" i="19" a="1"/>
  <c r="DK151" i="19" s="1"/>
  <c r="DK208" i="19" a="1"/>
  <c r="DK208" i="19" s="1"/>
  <c r="DK278" i="19" a="1"/>
  <c r="DK278" i="19" s="1"/>
  <c r="DK349" i="19" a="1"/>
  <c r="DK349" i="19" s="1"/>
  <c r="DK57" i="19" a="1"/>
  <c r="DK57" i="19" s="1"/>
  <c r="DK104" i="19" a="1"/>
  <c r="DK104" i="19" s="1"/>
  <c r="DK152" i="19" a="1"/>
  <c r="DK152" i="19" s="1"/>
  <c r="DK224" i="19" a="1"/>
  <c r="DK224" i="19" s="1"/>
  <c r="DK288" i="19" a="1"/>
  <c r="DK288" i="19" s="1"/>
  <c r="DK350" i="19" a="1"/>
  <c r="DK350" i="19" s="1"/>
  <c r="DK24" i="19" a="1"/>
  <c r="DK24" i="19" s="1"/>
  <c r="DK71" i="19" a="1"/>
  <c r="DK71" i="19" s="1"/>
  <c r="DK118" i="19" a="1"/>
  <c r="DK118" i="19" s="1"/>
  <c r="DK167" i="19" a="1"/>
  <c r="DK167" i="19" s="1"/>
  <c r="DK225" i="19" a="1"/>
  <c r="DK225" i="19" s="1"/>
  <c r="DK289" i="19" a="1"/>
  <c r="DK289" i="19" s="1"/>
  <c r="DK351" i="19" a="1"/>
  <c r="DK351" i="19" s="1"/>
  <c r="DK59" i="19" a="1"/>
  <c r="DK59" i="19" s="1"/>
  <c r="DK106" i="19" a="1"/>
  <c r="DK106" i="19" s="1"/>
  <c r="DK133" i="19" a="1"/>
  <c r="DK133" i="19" s="1"/>
  <c r="DK211" i="19" a="1"/>
  <c r="DK211" i="19" s="1"/>
  <c r="DK238" i="19" a="1"/>
  <c r="DK238" i="19" s="1"/>
  <c r="DK269" i="19" a="1"/>
  <c r="DK269" i="19" s="1"/>
  <c r="DK294" i="19" a="1"/>
  <c r="DK294" i="19" s="1"/>
  <c r="DK87" i="19" a="1"/>
  <c r="DK87" i="19" s="1"/>
  <c r="DK190" i="19" a="1"/>
  <c r="DK190" i="19" s="1"/>
  <c r="DK297" i="19" a="1"/>
  <c r="DK297" i="19" s="1"/>
  <c r="DK15" i="19" a="1"/>
  <c r="DK15" i="19" s="1"/>
  <c r="DK41" i="19" a="1"/>
  <c r="DK41" i="19" s="1"/>
  <c r="DK61" i="19" a="1"/>
  <c r="DK61" i="19" s="1"/>
  <c r="DK88" i="19" a="1"/>
  <c r="DK88" i="19" s="1"/>
  <c r="DK114" i="19" a="1"/>
  <c r="DK114" i="19" s="1"/>
  <c r="DK136" i="19" a="1"/>
  <c r="DK136" i="19" s="1"/>
  <c r="DK163" i="19" a="1"/>
  <c r="DK163" i="19" s="1"/>
  <c r="DK191" i="19" a="1"/>
  <c r="DK191" i="19" s="1"/>
  <c r="DK213" i="19" a="1"/>
  <c r="DK213" i="19" s="1"/>
  <c r="DK240" i="19" a="1"/>
  <c r="DK240" i="19" s="1"/>
  <c r="DK271" i="19" a="1"/>
  <c r="DK271" i="19" s="1"/>
  <c r="DK305" i="19" a="1"/>
  <c r="DK305" i="19" s="1"/>
  <c r="DK333" i="19" a="1"/>
  <c r="DK333" i="19" s="1"/>
  <c r="DK372" i="19" a="1"/>
  <c r="DK372" i="19" s="1"/>
  <c r="DK13" i="19" a="1"/>
  <c r="DK13" i="19" s="1"/>
  <c r="DK60" i="19" a="1"/>
  <c r="DK60" i="19" s="1"/>
  <c r="DK135" i="19" a="1"/>
  <c r="DK135" i="19" s="1"/>
  <c r="DK239" i="19" a="1"/>
  <c r="DK239" i="19" s="1"/>
  <c r="DK16" i="19" a="1"/>
  <c r="DK16" i="19" s="1"/>
  <c r="DK42" i="19" a="1"/>
  <c r="DK42" i="19" s="1"/>
  <c r="DK68" i="19" a="1"/>
  <c r="DK68" i="19" s="1"/>
  <c r="DK89" i="19" a="1"/>
  <c r="DK89" i="19" s="1"/>
  <c r="DK115" i="19" a="1"/>
  <c r="DK115" i="19" s="1"/>
  <c r="DK137" i="19" a="1"/>
  <c r="DK137" i="19" s="1"/>
  <c r="DK164" i="19" a="1"/>
  <c r="DK164" i="19" s="1"/>
  <c r="DK192" i="19" a="1"/>
  <c r="DK192" i="19" s="1"/>
  <c r="DK221" i="19" a="1"/>
  <c r="DK221" i="19" s="1"/>
  <c r="DK241" i="19" a="1"/>
  <c r="DK241" i="19" s="1"/>
  <c r="DK274" i="19" a="1"/>
  <c r="DK274" i="19" s="1"/>
  <c r="DK306" i="19" a="1"/>
  <c r="DK306" i="19" s="1"/>
  <c r="DK334" i="19" a="1"/>
  <c r="DK334" i="19" s="1"/>
  <c r="DK375" i="19" a="1"/>
  <c r="DK375" i="19" s="1"/>
  <c r="DK209" i="19" a="1"/>
  <c r="DK209" i="19" s="1"/>
  <c r="DK236" i="19" a="1"/>
  <c r="DK236" i="19" s="1"/>
  <c r="DK258" i="19" a="1"/>
  <c r="DK258" i="19" s="1"/>
  <c r="DK292" i="19" a="1"/>
  <c r="DK292" i="19" s="1"/>
  <c r="DK327" i="19" a="1"/>
  <c r="DK327" i="19" s="1"/>
  <c r="DK364" i="19" a="1"/>
  <c r="DK364" i="19" s="1"/>
  <c r="DK58" i="19" a="1"/>
  <c r="DK58" i="19" s="1"/>
  <c r="DK105" i="19" a="1"/>
  <c r="DK105" i="19" s="1"/>
  <c r="DK160" i="19" a="1"/>
  <c r="DK160" i="19" s="1"/>
  <c r="DK210" i="19" a="1"/>
  <c r="DK210" i="19" s="1"/>
  <c r="DK259" i="19" a="1"/>
  <c r="DK259" i="19" s="1"/>
  <c r="DK328" i="19" a="1"/>
  <c r="DK328" i="19" s="1"/>
  <c r="DK39" i="19" a="1"/>
  <c r="DK39" i="19" s="1"/>
  <c r="DK161" i="19" a="1"/>
  <c r="DK161" i="19" s="1"/>
  <c r="DK368" i="19" a="1"/>
  <c r="DK368" i="19" s="1"/>
  <c r="DK107" i="19" a="1"/>
  <c r="DK107" i="19" s="1"/>
  <c r="DK212" i="19" a="1"/>
  <c r="DK212" i="19" s="1"/>
  <c r="DK371" i="19" a="1"/>
  <c r="DK371" i="19" s="1"/>
  <c r="DK22" i="19" a="1"/>
  <c r="DK22" i="19" s="1"/>
  <c r="DK43" i="19" a="1"/>
  <c r="DK43" i="19" s="1"/>
  <c r="DK69" i="19" a="1"/>
  <c r="DK69" i="19" s="1"/>
  <c r="DK90" i="19" a="1"/>
  <c r="DK90" i="19" s="1"/>
  <c r="DK116" i="19" a="1"/>
  <c r="DK116" i="19" s="1"/>
  <c r="DK138" i="19" a="1"/>
  <c r="DK138" i="19" s="1"/>
  <c r="DK165" i="19" a="1"/>
  <c r="DK165" i="19" s="1"/>
  <c r="DK193" i="19" a="1"/>
  <c r="DK193" i="19" s="1"/>
  <c r="DK222" i="19" a="1"/>
  <c r="DK222" i="19" s="1"/>
  <c r="DK243" i="19" a="1"/>
  <c r="DK243" i="19" s="1"/>
  <c r="DK275" i="19" a="1"/>
  <c r="DK275" i="19" s="1"/>
  <c r="DK309" i="19" a="1"/>
  <c r="DK309" i="19" s="1"/>
  <c r="DK344" i="19" a="1"/>
  <c r="DK344" i="19" s="1"/>
  <c r="DK376" i="19" a="1"/>
  <c r="DK376" i="19" s="1"/>
  <c r="DK37" i="19" a="1"/>
  <c r="DK37" i="19" s="1"/>
  <c r="DK84" i="19" a="1"/>
  <c r="DK84" i="19" s="1"/>
  <c r="DK132" i="19" a="1"/>
  <c r="DK132" i="19" s="1"/>
  <c r="DK181" i="19" a="1"/>
  <c r="DK181" i="19" s="1"/>
  <c r="DK237" i="19" a="1"/>
  <c r="DK237" i="19" s="1"/>
  <c r="DK293" i="19" a="1"/>
  <c r="DK293" i="19" s="1"/>
  <c r="DK365" i="19" a="1"/>
  <c r="DK365" i="19" s="1"/>
  <c r="DK85" i="19" a="1"/>
  <c r="DK85" i="19" s="1"/>
  <c r="DK183" i="19" a="1"/>
  <c r="DK183" i="19" s="1"/>
  <c r="DK329" i="19" a="1"/>
  <c r="DK329" i="19" s="1"/>
  <c r="DK40" i="19" a="1"/>
  <c r="DK40" i="19" s="1"/>
  <c r="DK162" i="19" a="1"/>
  <c r="DK162" i="19" s="1"/>
  <c r="DK270" i="19" a="1"/>
  <c r="DK270" i="19" s="1"/>
  <c r="DK332" i="19" a="1"/>
  <c r="DK332" i="19" s="1"/>
  <c r="DK23" i="19" a="1"/>
  <c r="DK23" i="19" s="1"/>
  <c r="DK44" i="19" a="1"/>
  <c r="DK44" i="19" s="1"/>
  <c r="DK70" i="19" a="1"/>
  <c r="DK70" i="19" s="1"/>
  <c r="DK91" i="19" a="1"/>
  <c r="DK91" i="19" s="1"/>
  <c r="DK117" i="19" a="1"/>
  <c r="DK117" i="19" s="1"/>
  <c r="DK144" i="19" a="1"/>
  <c r="DK144" i="19" s="1"/>
  <c r="DK166" i="19" a="1"/>
  <c r="DK166" i="19" s="1"/>
  <c r="DK195" i="19" a="1"/>
  <c r="DK195" i="19" s="1"/>
  <c r="DK223" i="19" a="1"/>
  <c r="DK223" i="19" s="1"/>
  <c r="DK244" i="19" a="1"/>
  <c r="DK244" i="19" s="1"/>
  <c r="DK276" i="19" a="1"/>
  <c r="DK276" i="19" s="1"/>
  <c r="DK310" i="19" a="1"/>
  <c r="DK310" i="19" s="1"/>
  <c r="DK345" i="19" a="1"/>
  <c r="DK345" i="19" s="1"/>
  <c r="DK377" i="19" a="1"/>
  <c r="DK377" i="19" s="1"/>
  <c r="DK17" i="19" a="1"/>
  <c r="DK17" i="19" s="1"/>
  <c r="DK32" i="19" a="1"/>
  <c r="DK32" i="19" s="1"/>
  <c r="DK47" i="19" a="1"/>
  <c r="DK47" i="19" s="1"/>
  <c r="DK63" i="19" a="1"/>
  <c r="DK63" i="19" s="1"/>
  <c r="DK78" i="19" a="1"/>
  <c r="DK78" i="19" s="1"/>
  <c r="DK93" i="19" a="1"/>
  <c r="DK93" i="19" s="1"/>
  <c r="DK108" i="19" a="1"/>
  <c r="DK108" i="19" s="1"/>
  <c r="DK124" i="19" a="1"/>
  <c r="DK124" i="19" s="1"/>
  <c r="DK139" i="19" a="1"/>
  <c r="DK139" i="19" s="1"/>
  <c r="DK154" i="19" a="1"/>
  <c r="DK154" i="19" s="1"/>
  <c r="DK169" i="19" a="1"/>
  <c r="DK169" i="19" s="1"/>
  <c r="DK185" i="19" a="1"/>
  <c r="DK185" i="19" s="1"/>
  <c r="DK200" i="19" a="1"/>
  <c r="DK200" i="19" s="1"/>
  <c r="DK215" i="19" a="1"/>
  <c r="DK215" i="19" s="1"/>
  <c r="DK231" i="19" a="1"/>
  <c r="DK231" i="19" s="1"/>
  <c r="DK246" i="19" a="1"/>
  <c r="DK246" i="19" s="1"/>
  <c r="DK263" i="19" a="1"/>
  <c r="DK263" i="19" s="1"/>
  <c r="DK280" i="19" a="1"/>
  <c r="DK280" i="19" s="1"/>
  <c r="DK300" i="19" a="1"/>
  <c r="DK300" i="19" s="1"/>
  <c r="DK317" i="19" a="1"/>
  <c r="DK317" i="19" s="1"/>
  <c r="DK336" i="19" a="1"/>
  <c r="DK336" i="19" s="1"/>
  <c r="DK359" i="19" a="1"/>
  <c r="DK359" i="19" s="1"/>
  <c r="DK381" i="19" a="1"/>
  <c r="DK381" i="19" s="1"/>
  <c r="DK199" i="19" a="1"/>
  <c r="DK199" i="19" s="1"/>
  <c r="DK260" i="19" a="1"/>
  <c r="DK260" i="19" s="1"/>
  <c r="DK352" i="19" a="1"/>
  <c r="DK352" i="19" s="1"/>
  <c r="DK18" i="19" a="1"/>
  <c r="DK18" i="19" s="1"/>
  <c r="DK64" i="19" a="1"/>
  <c r="DK64" i="19" s="1"/>
  <c r="DK125" i="19" a="1"/>
  <c r="DK125" i="19" s="1"/>
  <c r="DK155" i="19" a="1"/>
  <c r="DK155" i="19" s="1"/>
  <c r="DK201" i="19" a="1"/>
  <c r="DK201" i="19" s="1"/>
  <c r="DK264" i="19" a="1"/>
  <c r="DK264" i="19" s="1"/>
  <c r="DK301" i="19" a="1"/>
  <c r="DK301" i="19" s="1"/>
  <c r="DK337" i="19" a="1"/>
  <c r="DK337" i="19" s="1"/>
  <c r="DK19" i="19" a="1"/>
  <c r="DK19" i="19" s="1"/>
  <c r="DK34" i="19" a="1"/>
  <c r="DK34" i="19" s="1"/>
  <c r="DK49" i="19" a="1"/>
  <c r="DK49" i="19" s="1"/>
  <c r="DK65" i="19" a="1"/>
  <c r="DK65" i="19" s="1"/>
  <c r="DK80" i="19" a="1"/>
  <c r="DK80" i="19" s="1"/>
  <c r="DK95" i="19" a="1"/>
  <c r="DK95" i="19" s="1"/>
  <c r="DK111" i="19" a="1"/>
  <c r="DK111" i="19" s="1"/>
  <c r="DK126" i="19" a="1"/>
  <c r="DK126" i="19" s="1"/>
  <c r="DK141" i="19" a="1"/>
  <c r="DK141" i="19" s="1"/>
  <c r="DK156" i="19" a="1"/>
  <c r="DK156" i="19" s="1"/>
  <c r="DK172" i="19" a="1"/>
  <c r="DK172" i="19" s="1"/>
  <c r="DK187" i="19" a="1"/>
  <c r="DK187" i="19" s="1"/>
  <c r="DK202" i="19" a="1"/>
  <c r="DK202" i="19" s="1"/>
  <c r="DK217" i="19" a="1"/>
  <c r="DK217" i="19" s="1"/>
  <c r="DK233" i="19" a="1"/>
  <c r="DK233" i="19" s="1"/>
  <c r="DK248" i="19" a="1"/>
  <c r="DK248" i="19" s="1"/>
  <c r="DK265" i="19" a="1"/>
  <c r="DK265" i="19" s="1"/>
  <c r="DK283" i="19" a="1"/>
  <c r="DK283" i="19" s="1"/>
  <c r="DK302" i="19" a="1"/>
  <c r="DK302" i="19" s="1"/>
  <c r="DK321" i="19" a="1"/>
  <c r="DK321" i="19" s="1"/>
  <c r="DK338" i="19" a="1"/>
  <c r="DK338" i="19" s="1"/>
  <c r="DK361" i="19" a="1"/>
  <c r="DK361" i="19" s="1"/>
  <c r="DK386" i="19" a="1"/>
  <c r="DK386" i="19" s="1"/>
  <c r="DK123" i="19" a="1"/>
  <c r="DK123" i="19" s="1"/>
  <c r="DK153" i="19" a="1"/>
  <c r="DK153" i="19" s="1"/>
  <c r="DK168" i="19" a="1"/>
  <c r="DK168" i="19" s="1"/>
  <c r="DK184" i="19" a="1"/>
  <c r="DK184" i="19" s="1"/>
  <c r="DK214" i="19" a="1"/>
  <c r="DK214" i="19" s="1"/>
  <c r="DK245" i="19" a="1"/>
  <c r="DK245" i="19" s="1"/>
  <c r="DK279" i="19" a="1"/>
  <c r="DK279" i="19" s="1"/>
  <c r="DK299" i="19" a="1"/>
  <c r="DK299" i="19" s="1"/>
  <c r="DK316" i="19" a="1"/>
  <c r="DK316" i="19" s="1"/>
  <c r="DK335" i="19" a="1"/>
  <c r="DK335" i="19" s="1"/>
  <c r="DK380" i="19" a="1"/>
  <c r="DK380" i="19" s="1"/>
  <c r="DK33" i="19" a="1"/>
  <c r="DK33" i="19" s="1"/>
  <c r="DK48" i="19" a="1"/>
  <c r="DK48" i="19" s="1"/>
  <c r="DK94" i="19" a="1"/>
  <c r="DK94" i="19" s="1"/>
  <c r="DK109" i="19" a="1"/>
  <c r="DK109" i="19" s="1"/>
  <c r="DK140" i="19" a="1"/>
  <c r="DK140" i="19" s="1"/>
  <c r="DK171" i="19" a="1"/>
  <c r="DK171" i="19" s="1"/>
  <c r="DK186" i="19" a="1"/>
  <c r="DK186" i="19" s="1"/>
  <c r="DK216" i="19" a="1"/>
  <c r="DK216" i="19" s="1"/>
  <c r="DK247" i="19" a="1"/>
  <c r="DK247" i="19" s="1"/>
  <c r="DK281" i="19" a="1"/>
  <c r="DK281" i="19" s="1"/>
  <c r="DK318" i="19" a="1"/>
  <c r="DK318" i="19" s="1"/>
  <c r="DK360" i="19" a="1"/>
  <c r="DK360" i="19" s="1"/>
  <c r="DK20" i="19" a="1"/>
  <c r="DK20" i="19" s="1"/>
  <c r="DK35" i="19" a="1"/>
  <c r="DK35" i="19" s="1"/>
  <c r="DK51" i="19" a="1"/>
  <c r="DK51" i="19" s="1"/>
  <c r="DK66" i="19" a="1"/>
  <c r="DK66" i="19" s="1"/>
  <c r="DK81" i="19" a="1"/>
  <c r="DK81" i="19" s="1"/>
  <c r="DK96" i="19" a="1"/>
  <c r="DK96" i="19" s="1"/>
  <c r="DK112" i="19" a="1"/>
  <c r="DK112" i="19" s="1"/>
  <c r="DK127" i="19" a="1"/>
  <c r="DK127" i="19" s="1"/>
  <c r="DK142" i="19" a="1"/>
  <c r="DK142" i="19" s="1"/>
  <c r="DK157" i="19" a="1"/>
  <c r="DK157" i="19" s="1"/>
  <c r="DK173" i="19" a="1"/>
  <c r="DK173" i="19" s="1"/>
  <c r="DK188" i="19" a="1"/>
  <c r="DK188" i="19" s="1"/>
  <c r="DK203" i="19" a="1"/>
  <c r="DK203" i="19" s="1"/>
  <c r="DK219" i="19" a="1"/>
  <c r="DK219" i="19" s="1"/>
  <c r="DK234" i="19" a="1"/>
  <c r="DK234" i="19" s="1"/>
  <c r="DK249" i="19" a="1"/>
  <c r="DK249" i="19" s="1"/>
  <c r="DK266" i="19" a="1"/>
  <c r="DK266" i="19" s="1"/>
  <c r="DK286" i="19" a="1"/>
  <c r="DK286" i="19" s="1"/>
  <c r="DK303" i="19" a="1"/>
  <c r="DK303" i="19" s="1"/>
  <c r="DK322" i="19" a="1"/>
  <c r="DK322" i="19" s="1"/>
  <c r="DK339" i="19" a="1"/>
  <c r="DK339" i="19" s="1"/>
  <c r="DK362" i="19" a="1"/>
  <c r="DK362" i="19" s="1"/>
  <c r="DK387" i="19" a="1"/>
  <c r="DK387" i="19" s="1"/>
  <c r="DK79" i="19" a="1"/>
  <c r="DK79" i="19" s="1"/>
  <c r="DK232" i="19" a="1"/>
  <c r="DK232" i="19" s="1"/>
  <c r="DK382" i="19" a="1"/>
  <c r="DK382" i="19" s="1"/>
  <c r="DK21" i="19" a="1"/>
  <c r="DK21" i="19" s="1"/>
  <c r="DK36" i="19" a="1"/>
  <c r="DK36" i="19" s="1"/>
  <c r="DK52" i="19" a="1"/>
  <c r="DK52" i="19" s="1"/>
  <c r="DK67" i="19" a="1"/>
  <c r="DK67" i="19" s="1"/>
  <c r="DK82" i="19" a="1"/>
  <c r="DK82" i="19" s="1"/>
  <c r="DK97" i="19" a="1"/>
  <c r="DK97" i="19" s="1"/>
  <c r="DK113" i="19" a="1"/>
  <c r="DK113" i="19" s="1"/>
  <c r="DK128" i="19" a="1"/>
  <c r="DK128" i="19" s="1"/>
  <c r="DK143" i="19" a="1"/>
  <c r="DK143" i="19" s="1"/>
  <c r="DK159" i="19" a="1"/>
  <c r="DK159" i="19" s="1"/>
  <c r="DK174" i="19" a="1"/>
  <c r="DK174" i="19" s="1"/>
  <c r="DK189" i="19" a="1"/>
  <c r="DK189" i="19" s="1"/>
  <c r="DK204" i="19" a="1"/>
  <c r="DK204" i="19" s="1"/>
  <c r="DK220" i="19" a="1"/>
  <c r="DK220" i="19" s="1"/>
  <c r="DK235" i="19" a="1"/>
  <c r="DK235" i="19" s="1"/>
  <c r="DK250" i="19" a="1"/>
  <c r="DK250" i="19" s="1"/>
  <c r="DK267" i="19" a="1"/>
  <c r="DK267" i="19" s="1"/>
  <c r="DK287" i="19" a="1"/>
  <c r="DK287" i="19" s="1"/>
  <c r="DK304" i="19" a="1"/>
  <c r="DK304" i="19" s="1"/>
  <c r="DK323" i="19" a="1"/>
  <c r="DK323" i="19" s="1"/>
  <c r="DK341" i="19" a="1"/>
  <c r="DK341" i="19" s="1"/>
  <c r="DK363" i="19" a="1"/>
  <c r="DK363" i="19" s="1"/>
  <c r="DK388" i="19" a="1"/>
  <c r="DK388" i="19" s="1"/>
  <c r="DK357" i="19" a="1"/>
  <c r="DK357" i="19" s="1"/>
  <c r="DK373" i="19" a="1"/>
  <c r="DK373" i="19" s="1"/>
  <c r="DK392" i="19" a="1"/>
  <c r="DK392" i="19" s="1"/>
  <c r="DK14" i="19" a="1"/>
  <c r="DK14" i="19" s="1"/>
  <c r="DK26" i="19" a="1"/>
  <c r="DK26" i="19" s="1"/>
  <c r="DK38" i="19" a="1"/>
  <c r="DK38" i="19" s="1"/>
  <c r="DK50" i="19" a="1"/>
  <c r="DK50" i="19" s="1"/>
  <c r="DK62" i="19" a="1"/>
  <c r="DK62" i="19" s="1"/>
  <c r="DK74" i="19" a="1"/>
  <c r="DK74" i="19" s="1"/>
  <c r="DK86" i="19" a="1"/>
  <c r="DK86" i="19" s="1"/>
  <c r="DK98" i="19" a="1"/>
  <c r="DK98" i="19" s="1"/>
  <c r="DK110" i="19" a="1"/>
  <c r="DK110" i="19" s="1"/>
  <c r="DK122" i="19" a="1"/>
  <c r="DK122" i="19" s="1"/>
  <c r="DK134" i="19" a="1"/>
  <c r="DK134" i="19" s="1"/>
  <c r="DK146" i="19" a="1"/>
  <c r="DK146" i="19" s="1"/>
  <c r="DK158" i="19" a="1"/>
  <c r="DK158" i="19" s="1"/>
  <c r="DK170" i="19" a="1"/>
  <c r="DK170" i="19" s="1"/>
  <c r="DK182" i="19" a="1"/>
  <c r="DK182" i="19" s="1"/>
  <c r="DK194" i="19" a="1"/>
  <c r="DK194" i="19" s="1"/>
  <c r="DK206" i="19" a="1"/>
  <c r="DK206" i="19" s="1"/>
  <c r="DK218" i="19" a="1"/>
  <c r="DK218" i="19" s="1"/>
  <c r="DK230" i="19" a="1"/>
  <c r="DK230" i="19" s="1"/>
  <c r="DK242" i="19" a="1"/>
  <c r="DK242" i="19" s="1"/>
  <c r="DK254" i="19" a="1"/>
  <c r="DK254" i="19" s="1"/>
  <c r="DK268" i="19" a="1"/>
  <c r="DK268" i="19" s="1"/>
  <c r="DK282" i="19" a="1"/>
  <c r="DK282" i="19" s="1"/>
  <c r="DK298" i="19" a="1"/>
  <c r="DK298" i="19" s="1"/>
  <c r="DK312" i="19" a="1"/>
  <c r="DK312" i="19" s="1"/>
  <c r="DK326" i="19" a="1"/>
  <c r="DK326" i="19" s="1"/>
  <c r="DK340" i="19" a="1"/>
  <c r="DK340" i="19" s="1"/>
  <c r="DK358" i="19" a="1"/>
  <c r="DK358" i="19" s="1"/>
  <c r="DK374" i="19" a="1"/>
  <c r="DK374" i="19" s="1"/>
  <c r="DK393" i="19" a="1"/>
  <c r="DK393" i="19" s="1"/>
  <c r="DK353" i="19" a="1"/>
  <c r="DK353" i="19" s="1"/>
  <c r="DK369" i="19" a="1"/>
  <c r="DK369" i="19" s="1"/>
  <c r="DK383" i="19" a="1"/>
  <c r="DK383" i="19" s="1"/>
  <c r="DK398" i="19" a="1"/>
  <c r="DK398" i="19" s="1"/>
  <c r="DK356" i="19" a="1"/>
  <c r="DK356" i="19" s="1"/>
  <c r="DK370" i="19" a="1"/>
  <c r="DK370" i="19" s="1"/>
  <c r="DK384" i="19" a="1"/>
  <c r="DK384" i="19" s="1"/>
  <c r="DK385" i="19" a="1"/>
  <c r="DK385" i="19" s="1"/>
  <c r="DK399" i="19" a="1"/>
  <c r="DK399" i="19" s="1"/>
  <c r="DK261" i="19" a="1"/>
  <c r="DK261" i="19" s="1"/>
  <c r="DK272" i="19" a="1"/>
  <c r="DK272" i="19" s="1"/>
  <c r="DK284" i="19" a="1"/>
  <c r="DK284" i="19" s="1"/>
  <c r="DK295" i="19" a="1"/>
  <c r="DK295" i="19" s="1"/>
  <c r="DK307" i="19" a="1"/>
  <c r="DK307" i="19" s="1"/>
  <c r="DK319" i="19" a="1"/>
  <c r="DK319" i="19" s="1"/>
  <c r="DK330" i="19" a="1"/>
  <c r="DK330" i="19" s="1"/>
  <c r="DK342" i="19" a="1"/>
  <c r="DK342" i="19" s="1"/>
  <c r="DK354" i="19" a="1"/>
  <c r="DK354" i="19" s="1"/>
  <c r="DK366" i="19" a="1"/>
  <c r="DK366" i="19" s="1"/>
  <c r="DK378" i="19" a="1"/>
  <c r="DK378" i="19" s="1"/>
  <c r="DK389" i="19" a="1"/>
  <c r="DK389" i="19" s="1"/>
  <c r="DK400" i="19" a="1"/>
  <c r="DK400" i="19" s="1"/>
  <c r="DK262" i="19" a="1"/>
  <c r="DK262" i="19" s="1"/>
  <c r="DK273" i="19" a="1"/>
  <c r="DK273" i="19" s="1"/>
  <c r="DK285" i="19" a="1"/>
  <c r="DK285" i="19" s="1"/>
  <c r="DK296" i="19" a="1"/>
  <c r="DK296" i="19" s="1"/>
  <c r="DK308" i="19" a="1"/>
  <c r="DK308" i="19" s="1"/>
  <c r="DK320" i="19" a="1"/>
  <c r="DK320" i="19" s="1"/>
  <c r="DK331" i="19" a="1"/>
  <c r="DK331" i="19" s="1"/>
  <c r="DK343" i="19" a="1"/>
  <c r="DK343" i="19" s="1"/>
  <c r="DK355" i="19" a="1"/>
  <c r="DK355" i="19" s="1"/>
  <c r="DK367" i="19" a="1"/>
  <c r="DK367" i="19" s="1"/>
  <c r="DK379" i="19" a="1"/>
  <c r="DK379" i="19" s="1"/>
  <c r="C449" i="9"/>
  <c r="B400" i="1"/>
  <c r="B399" i="1"/>
  <c r="C146" i="1"/>
  <c r="L58" i="5" l="1"/>
  <c r="J34" i="5"/>
  <c r="H646" i="1"/>
  <c r="G646" i="1"/>
  <c r="P396" i="26"/>
  <c r="P358" i="26"/>
  <c r="P282" i="26"/>
  <c r="P234" i="26"/>
  <c r="P180" i="26"/>
  <c r="P129" i="26"/>
  <c r="P68" i="26"/>
  <c r="P2" i="26"/>
  <c r="A740" i="1" l="1"/>
  <c r="A739" i="1"/>
  <c r="H273" i="24"/>
  <c r="G303" i="26"/>
  <c r="O303" i="26" l="1"/>
  <c r="G305" i="26"/>
  <c r="G91" i="45"/>
  <c r="A91" i="45"/>
  <c r="G81" i="45"/>
  <c r="A81" i="45"/>
  <c r="G58" i="45"/>
  <c r="A58" i="45"/>
  <c r="G57" i="45"/>
  <c r="A57" i="45"/>
  <c r="G46" i="45"/>
  <c r="A46" i="45"/>
  <c r="G45" i="45"/>
  <c r="A45" i="45"/>
  <c r="G34" i="45"/>
  <c r="A34" i="45"/>
  <c r="G33" i="45"/>
  <c r="A33" i="45"/>
  <c r="A22" i="45"/>
  <c r="G21" i="45"/>
  <c r="A21" i="45"/>
  <c r="B158" i="3" l="1"/>
  <c r="B151" i="3"/>
  <c r="E13" i="9"/>
  <c r="A41" i="2" l="1"/>
  <c r="A46" i="2"/>
  <c r="B32" i="35"/>
  <c r="B26" i="35"/>
  <c r="B20" i="35"/>
  <c r="B14" i="35"/>
  <c r="D131" i="24"/>
  <c r="D130" i="24"/>
  <c r="C348" i="1"/>
  <c r="C341" i="1"/>
  <c r="J160" i="24"/>
  <c r="I158" i="24"/>
  <c r="I153" i="24"/>
  <c r="I149" i="24"/>
  <c r="I156" i="24"/>
  <c r="B158" i="24"/>
  <c r="B156" i="24"/>
  <c r="B149" i="24"/>
  <c r="D183" i="9"/>
  <c r="J143" i="24"/>
  <c r="I141" i="24"/>
  <c r="J141" i="24" s="1"/>
  <c r="I136" i="24"/>
  <c r="I139" i="24"/>
  <c r="B139" i="24"/>
  <c r="B132" i="24"/>
  <c r="B141" i="24"/>
  <c r="AJ471" i="1" l="1"/>
  <c r="AI471" i="1"/>
  <c r="AH471" i="1"/>
  <c r="AJ470" i="1"/>
  <c r="AI470" i="1"/>
  <c r="AH470" i="1"/>
  <c r="AJ469" i="1"/>
  <c r="AI469" i="1"/>
  <c r="AH469" i="1"/>
  <c r="AJ468" i="1"/>
  <c r="AI468" i="1"/>
  <c r="AH468" i="1"/>
  <c r="AJ467" i="1"/>
  <c r="AI467" i="1"/>
  <c r="AH467" i="1"/>
  <c r="AJ466" i="1"/>
  <c r="AI466" i="1"/>
  <c r="AH466" i="1"/>
  <c r="AJ465" i="1"/>
  <c r="AI465" i="1"/>
  <c r="AH465" i="1"/>
  <c r="AJ464" i="1"/>
  <c r="AI464" i="1"/>
  <c r="AH464" i="1"/>
  <c r="AJ463" i="1"/>
  <c r="AI463" i="1"/>
  <c r="AH463" i="1"/>
  <c r="AJ462" i="1"/>
  <c r="AI462" i="1"/>
  <c r="AH462" i="1"/>
  <c r="AJ461" i="1"/>
  <c r="AI461" i="1"/>
  <c r="AH461" i="1"/>
  <c r="AJ460" i="1"/>
  <c r="AI460" i="1"/>
  <c r="AH460" i="1"/>
  <c r="AJ459" i="1"/>
  <c r="AI459" i="1"/>
  <c r="AH459" i="1"/>
  <c r="AJ458" i="1"/>
  <c r="AI458" i="1"/>
  <c r="AH458" i="1"/>
  <c r="AJ457" i="1"/>
  <c r="AI457" i="1"/>
  <c r="AH457" i="1"/>
  <c r="AJ456" i="1"/>
  <c r="AI456" i="1"/>
  <c r="AH456" i="1"/>
  <c r="AJ455" i="1"/>
  <c r="AI455" i="1"/>
  <c r="AH455" i="1"/>
  <c r="AJ454" i="1"/>
  <c r="AI454" i="1"/>
  <c r="AH454" i="1"/>
  <c r="AJ453" i="1"/>
  <c r="AI453" i="1"/>
  <c r="AH453" i="1"/>
  <c r="AJ452" i="1"/>
  <c r="AI452" i="1"/>
  <c r="AH452" i="1"/>
  <c r="AJ451" i="1"/>
  <c r="AI451" i="1"/>
  <c r="AH451" i="1"/>
  <c r="AJ450" i="1"/>
  <c r="AI450" i="1"/>
  <c r="AH450" i="1"/>
  <c r="AJ449" i="1"/>
  <c r="AI449" i="1"/>
  <c r="AH449" i="1"/>
  <c r="AJ448" i="1"/>
  <c r="AI448" i="1"/>
  <c r="AH448" i="1"/>
  <c r="AJ447" i="1"/>
  <c r="AI447" i="1"/>
  <c r="AH447" i="1"/>
  <c r="AJ446" i="1"/>
  <c r="AI446" i="1"/>
  <c r="AH446" i="1"/>
  <c r="AJ445" i="1"/>
  <c r="AI445" i="1"/>
  <c r="AH445" i="1"/>
  <c r="AJ444" i="1"/>
  <c r="AI444" i="1"/>
  <c r="AH444" i="1"/>
  <c r="AJ443" i="1"/>
  <c r="AI443" i="1"/>
  <c r="AH443" i="1"/>
  <c r="AJ442" i="1"/>
  <c r="AI442" i="1"/>
  <c r="AH442" i="1"/>
  <c r="AJ441" i="1"/>
  <c r="AI441" i="1"/>
  <c r="AH441" i="1"/>
  <c r="AJ440" i="1"/>
  <c r="AI440" i="1"/>
  <c r="AH440" i="1"/>
  <c r="AJ439" i="1"/>
  <c r="AI439" i="1"/>
  <c r="AH439" i="1"/>
  <c r="AJ438" i="1"/>
  <c r="AI438" i="1"/>
  <c r="AH438" i="1"/>
  <c r="AJ437" i="1"/>
  <c r="AI437" i="1"/>
  <c r="AH437" i="1"/>
  <c r="AJ436" i="1"/>
  <c r="AI436" i="1"/>
  <c r="AH436" i="1"/>
  <c r="AJ435" i="1"/>
  <c r="AI435" i="1"/>
  <c r="AH435" i="1"/>
  <c r="AJ434" i="1"/>
  <c r="AI434" i="1"/>
  <c r="AH434" i="1"/>
  <c r="AJ433" i="1"/>
  <c r="AI433" i="1"/>
  <c r="AH433" i="1"/>
  <c r="AJ432" i="1"/>
  <c r="AI432" i="1"/>
  <c r="AH432" i="1"/>
  <c r="AJ431" i="1"/>
  <c r="AI431" i="1"/>
  <c r="AH431" i="1"/>
  <c r="AJ430" i="1"/>
  <c r="AI430" i="1"/>
  <c r="AH430" i="1"/>
  <c r="AJ429" i="1"/>
  <c r="AI429" i="1"/>
  <c r="AH429" i="1"/>
  <c r="AJ428" i="1"/>
  <c r="AI428" i="1"/>
  <c r="AH428" i="1"/>
  <c r="AJ427" i="1"/>
  <c r="AI427" i="1"/>
  <c r="AH427" i="1"/>
  <c r="AJ426" i="1"/>
  <c r="AI426" i="1"/>
  <c r="AH426" i="1"/>
  <c r="AJ425" i="1"/>
  <c r="AI425" i="1"/>
  <c r="AH425" i="1"/>
  <c r="AJ424" i="1"/>
  <c r="AI424" i="1"/>
  <c r="AH424" i="1"/>
  <c r="AJ423" i="1"/>
  <c r="AI423" i="1"/>
  <c r="AH423" i="1"/>
  <c r="AJ422" i="1"/>
  <c r="AI422" i="1"/>
  <c r="AH422" i="1"/>
  <c r="AJ421" i="1"/>
  <c r="AI421" i="1"/>
  <c r="AH421" i="1"/>
  <c r="AJ420" i="1"/>
  <c r="AI420" i="1"/>
  <c r="AH420" i="1"/>
  <c r="AJ419" i="1"/>
  <c r="AI419" i="1"/>
  <c r="AH419" i="1"/>
  <c r="AJ418" i="1"/>
  <c r="AI418" i="1"/>
  <c r="AH418" i="1"/>
  <c r="AJ417" i="1"/>
  <c r="AI417" i="1"/>
  <c r="AH417" i="1"/>
  <c r="AJ416" i="1"/>
  <c r="AI416" i="1"/>
  <c r="AH416" i="1"/>
  <c r="AJ415" i="1"/>
  <c r="AI415" i="1"/>
  <c r="AH415" i="1"/>
  <c r="AJ414" i="1"/>
  <c r="AI414" i="1"/>
  <c r="AH414" i="1"/>
  <c r="AJ413" i="1"/>
  <c r="AI413" i="1"/>
  <c r="AH413" i="1"/>
  <c r="AJ412" i="1"/>
  <c r="AI412" i="1"/>
  <c r="AH412" i="1"/>
  <c r="AJ411" i="1"/>
  <c r="AI411" i="1"/>
  <c r="AH411" i="1"/>
  <c r="AJ410" i="1"/>
  <c r="AI410" i="1"/>
  <c r="AH410" i="1"/>
  <c r="AJ409" i="1"/>
  <c r="AI409" i="1"/>
  <c r="AH409" i="1"/>
  <c r="AJ408" i="1"/>
  <c r="AI408" i="1"/>
  <c r="AH408" i="1"/>
  <c r="AJ407" i="1"/>
  <c r="AI407" i="1"/>
  <c r="AH407" i="1"/>
  <c r="AJ406" i="1"/>
  <c r="AI406" i="1"/>
  <c r="AH406" i="1"/>
  <c r="AJ405" i="1"/>
  <c r="AI405" i="1"/>
  <c r="AH405" i="1"/>
  <c r="CC7" i="19" a="1"/>
  <c r="CC7" i="19" s="1"/>
  <c r="BZ7" i="19" a="1"/>
  <c r="BZ7" i="19" s="1"/>
  <c r="BW7" i="19" a="1"/>
  <c r="BW7" i="19" s="1"/>
  <c r="BR7" i="19" a="1"/>
  <c r="BR7" i="19" s="1"/>
  <c r="AY7" i="19" a="1"/>
  <c r="AY7" i="19" s="1"/>
  <c r="AV7" i="19" a="1"/>
  <c r="AV7" i="19" s="1"/>
  <c r="AS7" i="19" a="1"/>
  <c r="AS7" i="19" s="1"/>
  <c r="AN7" i="19" a="1"/>
  <c r="AN7" i="19" s="1"/>
  <c r="M7" i="19" a="1"/>
  <c r="M7" i="19" s="1"/>
  <c r="J7" i="19" a="1"/>
  <c r="J7" i="19" s="1"/>
  <c r="G7" i="19" a="1"/>
  <c r="G7" i="19" s="1"/>
  <c r="B7" i="19" a="1"/>
  <c r="B7" i="19" s="1"/>
  <c r="DF12" i="19"/>
  <c r="DG7" i="19" a="1"/>
  <c r="DG7" i="19" s="1"/>
  <c r="DF7" i="19" s="1" a="1"/>
  <c r="DF7" i="19" s="1"/>
  <c r="DI4" i="19" l="1"/>
  <c r="DM4" i="19"/>
  <c r="DK4" i="19"/>
  <c r="DK12" i="19"/>
  <c r="DC12" i="19"/>
  <c r="CZ12" i="19"/>
  <c r="CX12" i="19"/>
  <c r="CU12" i="19"/>
  <c r="CB12" i="19"/>
  <c r="BY12" i="19"/>
  <c r="BV12" i="19"/>
  <c r="BT12" i="19"/>
  <c r="BQ12" i="19"/>
  <c r="AX12" i="19"/>
  <c r="AU12" i="19"/>
  <c r="AR12" i="19"/>
  <c r="AP12" i="19"/>
  <c r="AM12" i="19"/>
  <c r="DI11" i="19" l="1"/>
  <c r="DV4" i="19"/>
  <c r="DS4" i="19"/>
  <c r="DP4" i="19"/>
  <c r="G322" i="9"/>
  <c r="DI175" i="19" l="1" a="1"/>
  <c r="DI175" i="19" s="1"/>
  <c r="DI163" i="19" a="1"/>
  <c r="DI163" i="19" s="1"/>
  <c r="DI151" i="19" a="1"/>
  <c r="DI151" i="19" s="1"/>
  <c r="DI139" i="19" a="1"/>
  <c r="DI139" i="19" s="1"/>
  <c r="DI133" i="19" a="1"/>
  <c r="DI133" i="19" s="1"/>
  <c r="DI121" i="19" a="1"/>
  <c r="DI121" i="19" s="1"/>
  <c r="DI115" i="19" a="1"/>
  <c r="DI115" i="19" s="1"/>
  <c r="DI103" i="19" a="1"/>
  <c r="DI103" i="19" s="1"/>
  <c r="DI97" i="19" a="1"/>
  <c r="DI97" i="19" s="1"/>
  <c r="DI85" i="19" a="1"/>
  <c r="DI85" i="19" s="1"/>
  <c r="DI73" i="19" a="1"/>
  <c r="DI73" i="19" s="1"/>
  <c r="DI61" i="19" a="1"/>
  <c r="DI61" i="19" s="1"/>
  <c r="DI55" i="19" a="1"/>
  <c r="DI55" i="19" s="1"/>
  <c r="DI43" i="19" a="1"/>
  <c r="DI43" i="19" s="1"/>
  <c r="DI31" i="19" a="1"/>
  <c r="DI31" i="19" s="1"/>
  <c r="DI19" i="19" a="1"/>
  <c r="DI19" i="19" s="1"/>
  <c r="DI166" i="19" a="1"/>
  <c r="DI166" i="19" s="1"/>
  <c r="DI148" i="19" a="1"/>
  <c r="DI148" i="19" s="1"/>
  <c r="DI124" i="19" a="1"/>
  <c r="DI124" i="19" s="1"/>
  <c r="DI106" i="19" a="1"/>
  <c r="DI106" i="19" s="1"/>
  <c r="DI82" i="19" a="1"/>
  <c r="DI82" i="19" s="1"/>
  <c r="DI58" i="19" a="1"/>
  <c r="DI58" i="19" s="1"/>
  <c r="DI22" i="19" a="1"/>
  <c r="DI22" i="19" s="1"/>
  <c r="DI111" i="19" a="1"/>
  <c r="DI111" i="19" s="1"/>
  <c r="DI75" i="19" a="1"/>
  <c r="DI75" i="19" s="1"/>
  <c r="DI39" i="19" a="1"/>
  <c r="DI39" i="19" s="1"/>
  <c r="DI169" i="19" a="1"/>
  <c r="DI169" i="19" s="1"/>
  <c r="DI157" i="19" a="1"/>
  <c r="DI157" i="19" s="1"/>
  <c r="DI145" i="19" a="1"/>
  <c r="DI145" i="19" s="1"/>
  <c r="DI127" i="19" a="1"/>
  <c r="DI127" i="19" s="1"/>
  <c r="DI109" i="19" a="1"/>
  <c r="DI109" i="19" s="1"/>
  <c r="DI91" i="19" a="1"/>
  <c r="DI91" i="19" s="1"/>
  <c r="DI79" i="19" a="1"/>
  <c r="DI79" i="19" s="1"/>
  <c r="DI67" i="19" a="1"/>
  <c r="DI67" i="19" s="1"/>
  <c r="DI49" i="19" a="1"/>
  <c r="DI49" i="19" s="1"/>
  <c r="DI37" i="19" a="1"/>
  <c r="DI37" i="19" s="1"/>
  <c r="DI25" i="19" a="1"/>
  <c r="DI25" i="19" s="1"/>
  <c r="DI13" i="19" a="1"/>
  <c r="DI13" i="19" s="1"/>
  <c r="DI172" i="19" a="1"/>
  <c r="DI172" i="19" s="1"/>
  <c r="DI154" i="19" a="1"/>
  <c r="DI154" i="19" s="1"/>
  <c r="DI142" i="19" a="1"/>
  <c r="DI142" i="19" s="1"/>
  <c r="DI112" i="19" a="1"/>
  <c r="DI112" i="19" s="1"/>
  <c r="DI94" i="19" a="1"/>
  <c r="DI94" i="19" s="1"/>
  <c r="DI70" i="19" a="1"/>
  <c r="DI70" i="19" s="1"/>
  <c r="DI40" i="19" a="1"/>
  <c r="DI40" i="19" s="1"/>
  <c r="DI165" i="19" a="1"/>
  <c r="DI165" i="19" s="1"/>
  <c r="DI147" i="19" a="1"/>
  <c r="DI147" i="19" s="1"/>
  <c r="DI123" i="19" a="1"/>
  <c r="DI123" i="19" s="1"/>
  <c r="DI81" i="19" a="1"/>
  <c r="DI81" i="19" s="1"/>
  <c r="DI51" i="19" a="1"/>
  <c r="DI51" i="19" s="1"/>
  <c r="DI108" i="19" a="1"/>
  <c r="DI108" i="19" s="1"/>
  <c r="DI84" i="19" a="1"/>
  <c r="DI84" i="19" s="1"/>
  <c r="DI66" i="19" a="1"/>
  <c r="DI66" i="19" s="1"/>
  <c r="DI60" i="19" a="1"/>
  <c r="DI60" i="19" s="1"/>
  <c r="DI48" i="19" a="1"/>
  <c r="DI48" i="19" s="1"/>
  <c r="DI36" i="19" a="1"/>
  <c r="DI36" i="19" s="1"/>
  <c r="DI30" i="19" a="1"/>
  <c r="DI30" i="19" s="1"/>
  <c r="DI18" i="19" a="1"/>
  <c r="DI18" i="19" s="1"/>
  <c r="DI34" i="19" a="1"/>
  <c r="DI34" i="19" s="1"/>
  <c r="DI171" i="19" a="1"/>
  <c r="DI171" i="19" s="1"/>
  <c r="DI135" i="19" a="1"/>
  <c r="DI135" i="19" s="1"/>
  <c r="DI99" i="19" a="1"/>
  <c r="DI99" i="19" s="1"/>
  <c r="DI69" i="19" a="1"/>
  <c r="DI69" i="19" s="1"/>
  <c r="DI27" i="19" a="1"/>
  <c r="DI27" i="19" s="1"/>
  <c r="DI174" i="19" a="1"/>
  <c r="DI174" i="19" s="1"/>
  <c r="DI168" i="19" a="1"/>
  <c r="DI168" i="19" s="1"/>
  <c r="DI162" i="19" a="1"/>
  <c r="DI162" i="19" s="1"/>
  <c r="DI156" i="19" a="1"/>
  <c r="DI156" i="19" s="1"/>
  <c r="DI150" i="19" a="1"/>
  <c r="DI150" i="19" s="1"/>
  <c r="DI144" i="19" a="1"/>
  <c r="DI144" i="19" s="1"/>
  <c r="DI138" i="19" a="1"/>
  <c r="DI138" i="19" s="1"/>
  <c r="DI132" i="19" a="1"/>
  <c r="DI132" i="19" s="1"/>
  <c r="DI126" i="19" a="1"/>
  <c r="DI126" i="19" s="1"/>
  <c r="DI120" i="19" a="1"/>
  <c r="DI120" i="19" s="1"/>
  <c r="DI114" i="19" a="1"/>
  <c r="DI114" i="19" s="1"/>
  <c r="DI102" i="19" a="1"/>
  <c r="DI102" i="19" s="1"/>
  <c r="DI96" i="19" a="1"/>
  <c r="DI96" i="19" s="1"/>
  <c r="DI90" i="19" a="1"/>
  <c r="DI90" i="19" s="1"/>
  <c r="DI78" i="19" a="1"/>
  <c r="DI78" i="19" s="1"/>
  <c r="DI72" i="19" a="1"/>
  <c r="DI72" i="19" s="1"/>
  <c r="DI54" i="19" a="1"/>
  <c r="DI54" i="19" s="1"/>
  <c r="DI42" i="19" a="1"/>
  <c r="DI42" i="19" s="1"/>
  <c r="DI24" i="19" a="1"/>
  <c r="DI24" i="19" s="1"/>
  <c r="DI160" i="19" a="1"/>
  <c r="DI160" i="19" s="1"/>
  <c r="DI118" i="19" a="1"/>
  <c r="DI118" i="19" s="1"/>
  <c r="DI88" i="19" a="1"/>
  <c r="DI88" i="19" s="1"/>
  <c r="DI52" i="19" a="1"/>
  <c r="DI52" i="19" s="1"/>
  <c r="DI153" i="19" a="1"/>
  <c r="DI153" i="19" s="1"/>
  <c r="DI129" i="19" a="1"/>
  <c r="DI129" i="19" s="1"/>
  <c r="DI93" i="19" a="1"/>
  <c r="DI93" i="19" s="1"/>
  <c r="DI63" i="19" a="1"/>
  <c r="DI63" i="19" s="1"/>
  <c r="DI21" i="19" a="1"/>
  <c r="DI21" i="19" s="1"/>
  <c r="DI33" i="19" a="1"/>
  <c r="DI33" i="19" s="1"/>
  <c r="DI173" i="19" a="1"/>
  <c r="DI173" i="19" s="1"/>
  <c r="DI167" i="19" a="1"/>
  <c r="DI167" i="19" s="1"/>
  <c r="DI161" i="19" a="1"/>
  <c r="DI161" i="19" s="1"/>
  <c r="DI155" i="19" a="1"/>
  <c r="DI155" i="19" s="1"/>
  <c r="DI149" i="19" a="1"/>
  <c r="DI149" i="19" s="1"/>
  <c r="DI143" i="19" a="1"/>
  <c r="DI143" i="19" s="1"/>
  <c r="DI137" i="19" a="1"/>
  <c r="DI137" i="19" s="1"/>
  <c r="DI131" i="19" a="1"/>
  <c r="DI131" i="19" s="1"/>
  <c r="DI125" i="19" a="1"/>
  <c r="DI125" i="19" s="1"/>
  <c r="DI119" i="19" a="1"/>
  <c r="DI119" i="19" s="1"/>
  <c r="DI113" i="19" a="1"/>
  <c r="DI113" i="19" s="1"/>
  <c r="DI107" i="19" a="1"/>
  <c r="DI107" i="19" s="1"/>
  <c r="DI101" i="19" a="1"/>
  <c r="DI101" i="19" s="1"/>
  <c r="DI95" i="19" a="1"/>
  <c r="DI95" i="19" s="1"/>
  <c r="DI89" i="19" a="1"/>
  <c r="DI89" i="19" s="1"/>
  <c r="DI83" i="19" a="1"/>
  <c r="DI83" i="19" s="1"/>
  <c r="DI77" i="19" a="1"/>
  <c r="DI77" i="19" s="1"/>
  <c r="DI71" i="19" a="1"/>
  <c r="DI71" i="19" s="1"/>
  <c r="DI65" i="19" a="1"/>
  <c r="DI65" i="19" s="1"/>
  <c r="DI59" i="19" a="1"/>
  <c r="DI59" i="19" s="1"/>
  <c r="DI53" i="19" a="1"/>
  <c r="DI53" i="19" s="1"/>
  <c r="DI47" i="19" a="1"/>
  <c r="DI47" i="19" s="1"/>
  <c r="DI41" i="19" a="1"/>
  <c r="DI41" i="19" s="1"/>
  <c r="DI35" i="19" a="1"/>
  <c r="DI35" i="19" s="1"/>
  <c r="DI29" i="19" a="1"/>
  <c r="DI29" i="19" s="1"/>
  <c r="DI23" i="19" a="1"/>
  <c r="DI23" i="19" s="1"/>
  <c r="DI17" i="19" a="1"/>
  <c r="DI17" i="19" s="1"/>
  <c r="DI136" i="19" a="1"/>
  <c r="DI136" i="19" s="1"/>
  <c r="DI100" i="19" a="1"/>
  <c r="DI100" i="19" s="1"/>
  <c r="DI64" i="19" a="1"/>
  <c r="DI64" i="19" s="1"/>
  <c r="DI28" i="19" a="1"/>
  <c r="DI28" i="19" s="1"/>
  <c r="DI105" i="19" a="1"/>
  <c r="DI105" i="19" s="1"/>
  <c r="DI45" i="19" a="1"/>
  <c r="DI45" i="19" s="1"/>
  <c r="DI170" i="19" a="1"/>
  <c r="DI170" i="19" s="1"/>
  <c r="DI164" i="19" a="1"/>
  <c r="DI164" i="19" s="1"/>
  <c r="DI158" i="19" a="1"/>
  <c r="DI158" i="19" s="1"/>
  <c r="DI152" i="19" a="1"/>
  <c r="DI152" i="19" s="1"/>
  <c r="DI146" i="19" a="1"/>
  <c r="DI146" i="19" s="1"/>
  <c r="DI140" i="19" a="1"/>
  <c r="DI140" i="19" s="1"/>
  <c r="DI134" i="19" a="1"/>
  <c r="DI134" i="19" s="1"/>
  <c r="DI128" i="19" a="1"/>
  <c r="DI128" i="19" s="1"/>
  <c r="DI122" i="19" a="1"/>
  <c r="DI122" i="19" s="1"/>
  <c r="DI116" i="19" a="1"/>
  <c r="DI116" i="19" s="1"/>
  <c r="DI110" i="19" a="1"/>
  <c r="DI110" i="19" s="1"/>
  <c r="DI104" i="19" a="1"/>
  <c r="DI104" i="19" s="1"/>
  <c r="DI98" i="19" a="1"/>
  <c r="DI98" i="19" s="1"/>
  <c r="DI92" i="19" a="1"/>
  <c r="DI92" i="19" s="1"/>
  <c r="DI86" i="19" a="1"/>
  <c r="DI86" i="19" s="1"/>
  <c r="DI80" i="19" a="1"/>
  <c r="DI80" i="19" s="1"/>
  <c r="DI74" i="19" a="1"/>
  <c r="DI74" i="19" s="1"/>
  <c r="DI68" i="19" a="1"/>
  <c r="DI68" i="19" s="1"/>
  <c r="DI62" i="19" a="1"/>
  <c r="DI62" i="19" s="1"/>
  <c r="DI56" i="19" a="1"/>
  <c r="DI56" i="19" s="1"/>
  <c r="DI50" i="19" a="1"/>
  <c r="DI50" i="19" s="1"/>
  <c r="DI44" i="19" a="1"/>
  <c r="DI44" i="19" s="1"/>
  <c r="DI38" i="19" a="1"/>
  <c r="DI38" i="19" s="1"/>
  <c r="DI32" i="19" a="1"/>
  <c r="DI32" i="19" s="1"/>
  <c r="DI26" i="19" a="1"/>
  <c r="DI26" i="19" s="1"/>
  <c r="DI20" i="19" a="1"/>
  <c r="DI20" i="19" s="1"/>
  <c r="DI14" i="19" a="1"/>
  <c r="DI14" i="19" s="1"/>
  <c r="DI130" i="19" a="1"/>
  <c r="DI130" i="19" s="1"/>
  <c r="DI76" i="19" a="1"/>
  <c r="DI76" i="19" s="1"/>
  <c r="DI46" i="19" a="1"/>
  <c r="DI46" i="19" s="1"/>
  <c r="DI16" i="19" a="1"/>
  <c r="DI16" i="19" s="1"/>
  <c r="DI159" i="19" a="1"/>
  <c r="DI159" i="19" s="1"/>
  <c r="DI141" i="19" a="1"/>
  <c r="DI141" i="19" s="1"/>
  <c r="DI117" i="19" a="1"/>
  <c r="DI117" i="19" s="1"/>
  <c r="DI87" i="19" a="1"/>
  <c r="DI87" i="19" s="1"/>
  <c r="DI57" i="19" a="1"/>
  <c r="DI57" i="19" s="1"/>
  <c r="DI15" i="19" a="1"/>
  <c r="DI15" i="19" s="1"/>
  <c r="N91" i="24"/>
  <c r="B726" i="1"/>
  <c r="B641" i="1"/>
  <c r="DI12" i="19" l="1"/>
  <c r="I691" i="1"/>
  <c r="J691" i="1" s="1" a="1"/>
  <c r="J691" i="1" s="1"/>
  <c r="F356" i="9" l="1"/>
  <c r="E361" i="9"/>
  <c r="H34" i="7"/>
  <c r="D33" i="7" s="1"/>
  <c r="E27" i="3" l="1"/>
  <c r="B736" i="1" l="1"/>
  <c r="A22" i="7" l="1"/>
  <c r="G82" i="5"/>
  <c r="G81" i="5"/>
  <c r="G80" i="5"/>
  <c r="G79" i="5"/>
  <c r="G78" i="5"/>
  <c r="I26" i="3" l="1"/>
  <c r="I5" i="14"/>
  <c r="A36" i="2"/>
  <c r="H362" i="9" l="1"/>
  <c r="B76" i="14"/>
  <c r="B74" i="14"/>
  <c r="B81" i="14"/>
  <c r="B79" i="14"/>
  <c r="B87" i="14"/>
  <c r="B85" i="14"/>
  <c r="G11" i="4" l="1"/>
  <c r="C484" i="1"/>
  <c r="C483" i="1"/>
  <c r="C485" i="1"/>
  <c r="F486" i="1" l="1"/>
  <c r="F500" i="1"/>
  <c r="F487" i="1"/>
  <c r="F501" i="1"/>
  <c r="F488" i="1"/>
  <c r="F489" i="1"/>
  <c r="F490" i="1"/>
  <c r="F491" i="1"/>
  <c r="F492" i="1"/>
  <c r="F493" i="1"/>
  <c r="F494" i="1"/>
  <c r="F495" i="1"/>
  <c r="F496" i="1"/>
  <c r="F497" i="1"/>
  <c r="F484" i="1"/>
  <c r="F498" i="1"/>
  <c r="F485" i="1"/>
  <c r="F499" i="1"/>
  <c r="F483" i="1"/>
  <c r="G304" i="9" l="1"/>
  <c r="J394" i="1" l="1"/>
  <c r="J396" i="1" l="1"/>
  <c r="J393" i="1"/>
  <c r="I396" i="1"/>
  <c r="I393" i="1"/>
  <c r="I394" i="1"/>
  <c r="D395" i="1"/>
  <c r="D394" i="1"/>
  <c r="B395" i="1"/>
  <c r="B394" i="1"/>
  <c r="H211" i="24" l="1"/>
  <c r="H210" i="24"/>
  <c r="H209" i="24"/>
  <c r="B160" i="3" l="1"/>
  <c r="B159" i="3"/>
  <c r="B157" i="3"/>
  <c r="B156" i="3"/>
  <c r="B155" i="3"/>
  <c r="B154" i="3"/>
  <c r="I118" i="1" l="1"/>
  <c r="J118" i="1" l="1"/>
  <c r="K118" i="1" s="1"/>
  <c r="B396" i="1"/>
  <c r="B393" i="1"/>
  <c r="F398" i="1"/>
  <c r="L118" i="1" l="1"/>
  <c r="M118" i="1" s="1"/>
  <c r="H346" i="24" l="1"/>
  <c r="H343" i="24" s="1"/>
  <c r="CB7" i="19"/>
  <c r="A1" i="24"/>
  <c r="CR4" i="19"/>
  <c r="H350" i="24"/>
  <c r="H347" i="24"/>
  <c r="H342" i="24"/>
  <c r="H351" i="24"/>
  <c r="B290" i="24"/>
  <c r="M135" i="2"/>
  <c r="H36" i="9"/>
  <c r="D533" i="9"/>
  <c r="J21" i="5"/>
  <c r="I145" i="5"/>
  <c r="J3" i="4"/>
  <c r="H107" i="3"/>
  <c r="D15" i="3"/>
  <c r="C40" i="3"/>
  <c r="B38" i="2"/>
  <c r="B16" i="2"/>
  <c r="I22" i="3"/>
  <c r="K594" i="1"/>
  <c r="B594" i="1"/>
  <c r="A36" i="20"/>
  <c r="A35" i="20"/>
  <c r="A34" i="20"/>
  <c r="A28" i="20"/>
  <c r="A27" i="20"/>
  <c r="I24" i="3"/>
  <c r="I16" i="3"/>
  <c r="K606" i="1"/>
  <c r="L589" i="1"/>
  <c r="D34" i="3"/>
  <c r="C6" i="3"/>
  <c r="C9" i="3"/>
  <c r="E39" i="2"/>
  <c r="C16" i="1"/>
  <c r="H223" i="24"/>
  <c r="H161" i="3"/>
  <c r="C651" i="1"/>
  <c r="B289" i="2"/>
  <c r="B244" i="2"/>
  <c r="B115" i="2"/>
  <c r="B113" i="2"/>
  <c r="B108" i="2"/>
  <c r="C44" i="2"/>
  <c r="C43" i="2"/>
  <c r="B12" i="36"/>
  <c r="B9" i="36"/>
  <c r="B8" i="36"/>
  <c r="B7" i="36"/>
  <c r="A633" i="1"/>
  <c r="C653" i="1" s="1"/>
  <c r="E643" i="1"/>
  <c r="B26" i="4"/>
  <c r="B23" i="4"/>
  <c r="B229" i="2"/>
  <c r="B226" i="2"/>
  <c r="B223" i="2"/>
  <c r="B6" i="3"/>
  <c r="B33" i="5"/>
  <c r="B42" i="5"/>
  <c r="F627" i="1"/>
  <c r="F626" i="1"/>
  <c r="B20" i="5"/>
  <c r="C15" i="1"/>
  <c r="C14" i="1"/>
  <c r="B12" i="1"/>
  <c r="J76" i="5"/>
  <c r="H143" i="1"/>
  <c r="I143" i="1" s="1"/>
  <c r="G145" i="1"/>
  <c r="K139" i="1"/>
  <c r="B194" i="2"/>
  <c r="B190" i="2"/>
  <c r="C90" i="1"/>
  <c r="C89" i="1"/>
  <c r="C88" i="1"/>
  <c r="M34" i="9"/>
  <c r="E33" i="9"/>
  <c r="D90" i="5"/>
  <c r="H247" i="1"/>
  <c r="H243" i="1" a="1"/>
  <c r="H243" i="1" s="1"/>
  <c r="E335" i="9"/>
  <c r="E82" i="9"/>
  <c r="E75" i="9"/>
  <c r="A2" i="24"/>
  <c r="E76" i="9"/>
  <c r="H102" i="9"/>
  <c r="H82" i="9"/>
  <c r="H35" i="9"/>
  <c r="B287" i="1"/>
  <c r="F349" i="1"/>
  <c r="G343" i="1"/>
  <c r="G12" i="4"/>
  <c r="I12" i="4" s="1"/>
  <c r="G9" i="4"/>
  <c r="M51" i="9"/>
  <c r="E48" i="9"/>
  <c r="E36" i="9"/>
  <c r="E35" i="9"/>
  <c r="C173" i="2"/>
  <c r="C163" i="2"/>
  <c r="C153" i="2"/>
  <c r="C143" i="2"/>
  <c r="C133" i="2"/>
  <c r="M133" i="2"/>
  <c r="D128" i="2"/>
  <c r="D88" i="2"/>
  <c r="N107" i="3"/>
  <c r="B288" i="1"/>
  <c r="C64" i="3"/>
  <c r="C57" i="3"/>
  <c r="F720" i="1"/>
  <c r="E44" i="9"/>
  <c r="E42" i="9"/>
  <c r="C78" i="1"/>
  <c r="C79" i="1"/>
  <c r="C80" i="1"/>
  <c r="B147" i="3"/>
  <c r="B146" i="3"/>
  <c r="Q143" i="1"/>
  <c r="Q144" i="1"/>
  <c r="Q127" i="1"/>
  <c r="Q128" i="1"/>
  <c r="Q129" i="1"/>
  <c r="E169" i="2"/>
  <c r="E159" i="2"/>
  <c r="E149" i="2"/>
  <c r="E139" i="2"/>
  <c r="E129" i="2"/>
  <c r="M177" i="2"/>
  <c r="M176" i="2"/>
  <c r="M172" i="2"/>
  <c r="M170" i="2"/>
  <c r="M167" i="2"/>
  <c r="M166" i="2"/>
  <c r="M162" i="2"/>
  <c r="M160" i="2"/>
  <c r="B45" i="5"/>
  <c r="B38" i="5"/>
  <c r="G138" i="5"/>
  <c r="G137" i="5"/>
  <c r="S767" i="1"/>
  <c r="AC753" i="1" s="1"/>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85" i="1"/>
  <c r="C884" i="1"/>
  <c r="C883" i="1"/>
  <c r="C882" i="1"/>
  <c r="A7" i="41"/>
  <c r="C438" i="9"/>
  <c r="C433" i="9"/>
  <c r="C77" i="1"/>
  <c r="C76" i="1"/>
  <c r="C75" i="1"/>
  <c r="D892" i="1"/>
  <c r="D891" i="1"/>
  <c r="C214" i="2"/>
  <c r="C203" i="2"/>
  <c r="C154" i="2"/>
  <c r="C174" i="2" s="1"/>
  <c r="C144" i="2"/>
  <c r="C164" i="2" s="1"/>
  <c r="C74" i="1"/>
  <c r="C73" i="1"/>
  <c r="E642" i="1"/>
  <c r="C656" i="1"/>
  <c r="BK4" i="19"/>
  <c r="CO4" i="19"/>
  <c r="L7" i="19"/>
  <c r="I7" i="19"/>
  <c r="F7" i="19"/>
  <c r="AX7" i="19"/>
  <c r="AU7" i="19"/>
  <c r="AR7" i="19"/>
  <c r="AM7" i="19"/>
  <c r="BV7" i="19"/>
  <c r="BY7" i="19"/>
  <c r="BQ7" i="19"/>
  <c r="AE471" i="1"/>
  <c r="AD471" i="1"/>
  <c r="AC471" i="1"/>
  <c r="AE470" i="1"/>
  <c r="AD470" i="1"/>
  <c r="AC470" i="1"/>
  <c r="AE469" i="1"/>
  <c r="AD469" i="1"/>
  <c r="AC469" i="1"/>
  <c r="AE468" i="1"/>
  <c r="AD468" i="1"/>
  <c r="AC468" i="1"/>
  <c r="AE467" i="1"/>
  <c r="AD467" i="1"/>
  <c r="AC467" i="1"/>
  <c r="AE466" i="1"/>
  <c r="AD466" i="1"/>
  <c r="AC466" i="1"/>
  <c r="AE465" i="1"/>
  <c r="AD465" i="1"/>
  <c r="AC465" i="1"/>
  <c r="AE464" i="1"/>
  <c r="AD464" i="1"/>
  <c r="AC464" i="1"/>
  <c r="AE463" i="1"/>
  <c r="AD463" i="1"/>
  <c r="AC463" i="1"/>
  <c r="AE462" i="1"/>
  <c r="AD462" i="1"/>
  <c r="AC462" i="1"/>
  <c r="AE461" i="1"/>
  <c r="AD461" i="1"/>
  <c r="AC461" i="1"/>
  <c r="AE460" i="1"/>
  <c r="AD460" i="1"/>
  <c r="AC460" i="1"/>
  <c r="AE459" i="1"/>
  <c r="AD459" i="1"/>
  <c r="AC459" i="1"/>
  <c r="AE458" i="1"/>
  <c r="AD458" i="1"/>
  <c r="AC458" i="1"/>
  <c r="AE457" i="1"/>
  <c r="AD457" i="1"/>
  <c r="AC457" i="1"/>
  <c r="AE456" i="1"/>
  <c r="AD456" i="1"/>
  <c r="AC456" i="1"/>
  <c r="AE455" i="1"/>
  <c r="AD455" i="1"/>
  <c r="AC455" i="1"/>
  <c r="AE454" i="1"/>
  <c r="AD454" i="1"/>
  <c r="AC454" i="1"/>
  <c r="AE453" i="1"/>
  <c r="AD453" i="1"/>
  <c r="AC453" i="1"/>
  <c r="AE452" i="1"/>
  <c r="AD452" i="1"/>
  <c r="AC452" i="1"/>
  <c r="AE451" i="1"/>
  <c r="AD451" i="1"/>
  <c r="AC451" i="1"/>
  <c r="AE450" i="1"/>
  <c r="AD450" i="1"/>
  <c r="AC450" i="1"/>
  <c r="AE449" i="1"/>
  <c r="AD449" i="1"/>
  <c r="AC449" i="1"/>
  <c r="AE448" i="1"/>
  <c r="AD448" i="1"/>
  <c r="AC448" i="1"/>
  <c r="AE447" i="1"/>
  <c r="AD447" i="1"/>
  <c r="AC447" i="1"/>
  <c r="AE446" i="1"/>
  <c r="AD446" i="1"/>
  <c r="AC446" i="1"/>
  <c r="AE445" i="1"/>
  <c r="AD445" i="1"/>
  <c r="AC445" i="1"/>
  <c r="AE444" i="1"/>
  <c r="AD444" i="1"/>
  <c r="AC444" i="1"/>
  <c r="AE443" i="1"/>
  <c r="AD443" i="1"/>
  <c r="AC443" i="1"/>
  <c r="AE442" i="1"/>
  <c r="AD442" i="1"/>
  <c r="AC442" i="1"/>
  <c r="AE441" i="1"/>
  <c r="AD441" i="1"/>
  <c r="AC441" i="1"/>
  <c r="AE440" i="1"/>
  <c r="AD440" i="1"/>
  <c r="AC440" i="1"/>
  <c r="AE439" i="1"/>
  <c r="AD439" i="1"/>
  <c r="AC439" i="1"/>
  <c r="AE438" i="1"/>
  <c r="AD438" i="1"/>
  <c r="AC438" i="1"/>
  <c r="AE437" i="1"/>
  <c r="AD437" i="1"/>
  <c r="AC437" i="1"/>
  <c r="AE436" i="1"/>
  <c r="AD436" i="1"/>
  <c r="AC436" i="1"/>
  <c r="AE435" i="1"/>
  <c r="AD435" i="1"/>
  <c r="AC435" i="1"/>
  <c r="AE434" i="1"/>
  <c r="AD434" i="1"/>
  <c r="AC434" i="1"/>
  <c r="AE433" i="1"/>
  <c r="AD433" i="1"/>
  <c r="AC433" i="1"/>
  <c r="AE432" i="1"/>
  <c r="AD432" i="1"/>
  <c r="AC432" i="1"/>
  <c r="AE431" i="1"/>
  <c r="AD431" i="1"/>
  <c r="AC431" i="1"/>
  <c r="AE430" i="1"/>
  <c r="AD430" i="1"/>
  <c r="AC430" i="1"/>
  <c r="AE429" i="1"/>
  <c r="AD429" i="1"/>
  <c r="AC429" i="1"/>
  <c r="AE428" i="1"/>
  <c r="AD428" i="1"/>
  <c r="AC428" i="1"/>
  <c r="AE427" i="1"/>
  <c r="AD427" i="1"/>
  <c r="AC427" i="1"/>
  <c r="AE426" i="1"/>
  <c r="AD426" i="1"/>
  <c r="AC426" i="1"/>
  <c r="AE425" i="1"/>
  <c r="AD425" i="1"/>
  <c r="AC425" i="1"/>
  <c r="AE424" i="1"/>
  <c r="AD424" i="1"/>
  <c r="AC424" i="1"/>
  <c r="AE423" i="1"/>
  <c r="AD423" i="1"/>
  <c r="AC423" i="1"/>
  <c r="AE422" i="1"/>
  <c r="AD422" i="1"/>
  <c r="AC422" i="1"/>
  <c r="AE421" i="1"/>
  <c r="AD421" i="1"/>
  <c r="AC421" i="1"/>
  <c r="AE420" i="1"/>
  <c r="AD420" i="1"/>
  <c r="AC420" i="1"/>
  <c r="AE419" i="1"/>
  <c r="AD419" i="1"/>
  <c r="AC419" i="1"/>
  <c r="AE418" i="1"/>
  <c r="AD418" i="1"/>
  <c r="AC418" i="1"/>
  <c r="AE417" i="1"/>
  <c r="AD417" i="1"/>
  <c r="AC417" i="1"/>
  <c r="AE416" i="1"/>
  <c r="AD416" i="1"/>
  <c r="AC416" i="1"/>
  <c r="AE415" i="1"/>
  <c r="AD415" i="1"/>
  <c r="AC415" i="1"/>
  <c r="AE414" i="1"/>
  <c r="AD414" i="1"/>
  <c r="AC414" i="1"/>
  <c r="AE413" i="1"/>
  <c r="AD413" i="1"/>
  <c r="AC413" i="1"/>
  <c r="AE412" i="1"/>
  <c r="AD412" i="1"/>
  <c r="AC412" i="1"/>
  <c r="AE411" i="1"/>
  <c r="AD411" i="1"/>
  <c r="AC411" i="1"/>
  <c r="AE410" i="1"/>
  <c r="AD410" i="1"/>
  <c r="AC410" i="1"/>
  <c r="AE409" i="1"/>
  <c r="AD409" i="1"/>
  <c r="AC409" i="1"/>
  <c r="AE408" i="1"/>
  <c r="AD408" i="1"/>
  <c r="AC408" i="1"/>
  <c r="AE407" i="1"/>
  <c r="AD407" i="1"/>
  <c r="AC407" i="1"/>
  <c r="AE406" i="1"/>
  <c r="AD406" i="1"/>
  <c r="AC406" i="1"/>
  <c r="AE405" i="1"/>
  <c r="AD405" i="1"/>
  <c r="AC405" i="1"/>
  <c r="EJ13" i="19"/>
  <c r="EQ13" i="19"/>
  <c r="EL13" i="19"/>
  <c r="EM13" i="19"/>
  <c r="CL4" i="19"/>
  <c r="CE11" i="19"/>
  <c r="CE718" i="19" s="1" a="1"/>
  <c r="CE718" i="19" s="1"/>
  <c r="CG11" i="19"/>
  <c r="CG453" i="19" s="1" a="1"/>
  <c r="CG453" i="19" s="1"/>
  <c r="I663" i="1"/>
  <c r="A735" i="1"/>
  <c r="A725" i="1"/>
  <c r="H168" i="9"/>
  <c r="M37" i="9"/>
  <c r="H38" i="9"/>
  <c r="H44" i="9"/>
  <c r="H42" i="9"/>
  <c r="H40" i="9"/>
  <c r="H39" i="9"/>
  <c r="M45" i="9"/>
  <c r="I13" i="9"/>
  <c r="D280" i="24" s="1"/>
  <c r="BN4" i="19"/>
  <c r="BH4" i="19"/>
  <c r="AA471" i="1"/>
  <c r="Z471" i="1"/>
  <c r="Y471" i="1"/>
  <c r="X471" i="1"/>
  <c r="AA470" i="1"/>
  <c r="Z470" i="1"/>
  <c r="Y470" i="1"/>
  <c r="X470" i="1"/>
  <c r="AA469" i="1"/>
  <c r="Z469" i="1"/>
  <c r="Y469" i="1"/>
  <c r="X469" i="1"/>
  <c r="AA468" i="1"/>
  <c r="Z468" i="1"/>
  <c r="Y468" i="1"/>
  <c r="X468" i="1"/>
  <c r="AA467" i="1"/>
  <c r="Z467" i="1"/>
  <c r="Y467" i="1"/>
  <c r="X467" i="1"/>
  <c r="AA466" i="1"/>
  <c r="Z466" i="1"/>
  <c r="Y466" i="1"/>
  <c r="X466" i="1"/>
  <c r="AA465" i="1"/>
  <c r="Z465" i="1"/>
  <c r="Y465" i="1"/>
  <c r="X465" i="1"/>
  <c r="AA464" i="1"/>
  <c r="Z464" i="1"/>
  <c r="Y464" i="1"/>
  <c r="X464" i="1"/>
  <c r="AA463" i="1"/>
  <c r="Z463" i="1"/>
  <c r="Y463" i="1"/>
  <c r="X463" i="1"/>
  <c r="AA462" i="1"/>
  <c r="Z462" i="1"/>
  <c r="Y462" i="1"/>
  <c r="X462" i="1"/>
  <c r="AA461" i="1"/>
  <c r="Z461" i="1"/>
  <c r="Y461" i="1"/>
  <c r="X461" i="1"/>
  <c r="AA460" i="1"/>
  <c r="Z460" i="1"/>
  <c r="Y460" i="1"/>
  <c r="X460" i="1"/>
  <c r="AA459" i="1"/>
  <c r="Z459" i="1"/>
  <c r="Y459" i="1"/>
  <c r="X459" i="1"/>
  <c r="AA458" i="1"/>
  <c r="Z458" i="1"/>
  <c r="Y458" i="1"/>
  <c r="X458" i="1"/>
  <c r="AA457" i="1"/>
  <c r="Z457" i="1"/>
  <c r="Y457" i="1"/>
  <c r="X457" i="1"/>
  <c r="AA456" i="1"/>
  <c r="Z456" i="1"/>
  <c r="Y456" i="1"/>
  <c r="X456" i="1"/>
  <c r="AA455" i="1"/>
  <c r="Z455" i="1"/>
  <c r="Y455" i="1"/>
  <c r="X455" i="1"/>
  <c r="AA454" i="1"/>
  <c r="Z454" i="1"/>
  <c r="Y454" i="1"/>
  <c r="X454" i="1"/>
  <c r="AA453" i="1"/>
  <c r="Z453" i="1"/>
  <c r="Y453" i="1"/>
  <c r="X453" i="1"/>
  <c r="AA452" i="1"/>
  <c r="Z452" i="1"/>
  <c r="Y452" i="1"/>
  <c r="X452" i="1"/>
  <c r="AA451" i="1"/>
  <c r="Z451" i="1"/>
  <c r="Y451" i="1"/>
  <c r="X451" i="1"/>
  <c r="AA450" i="1"/>
  <c r="Z450" i="1"/>
  <c r="Y450" i="1"/>
  <c r="X450" i="1"/>
  <c r="AA449" i="1"/>
  <c r="Z449" i="1"/>
  <c r="Y449" i="1"/>
  <c r="X449" i="1"/>
  <c r="AA448" i="1"/>
  <c r="Z448" i="1"/>
  <c r="Y448" i="1"/>
  <c r="X448" i="1"/>
  <c r="AA447" i="1"/>
  <c r="Z447" i="1"/>
  <c r="Y447" i="1"/>
  <c r="X447" i="1"/>
  <c r="AA446" i="1"/>
  <c r="Z446" i="1"/>
  <c r="Y446" i="1"/>
  <c r="X446" i="1"/>
  <c r="AA445" i="1"/>
  <c r="Z445" i="1"/>
  <c r="Y445" i="1"/>
  <c r="X445" i="1"/>
  <c r="AA444" i="1"/>
  <c r="Z444" i="1"/>
  <c r="Y444" i="1"/>
  <c r="X444" i="1"/>
  <c r="AA443" i="1"/>
  <c r="Z443" i="1"/>
  <c r="Y443" i="1"/>
  <c r="X443" i="1"/>
  <c r="AA442" i="1"/>
  <c r="Z442" i="1"/>
  <c r="Y442" i="1"/>
  <c r="X442" i="1"/>
  <c r="AA441" i="1"/>
  <c r="Z441" i="1"/>
  <c r="Y441" i="1"/>
  <c r="X441" i="1"/>
  <c r="AA440" i="1"/>
  <c r="Z440" i="1"/>
  <c r="Y440" i="1"/>
  <c r="X440" i="1"/>
  <c r="AA439" i="1"/>
  <c r="Z439" i="1"/>
  <c r="Y439" i="1"/>
  <c r="X439" i="1"/>
  <c r="AA438" i="1"/>
  <c r="Z438" i="1"/>
  <c r="Y438" i="1"/>
  <c r="X438" i="1"/>
  <c r="AA437" i="1"/>
  <c r="Z437" i="1"/>
  <c r="Y437" i="1"/>
  <c r="X437" i="1"/>
  <c r="AA436" i="1"/>
  <c r="Z436" i="1"/>
  <c r="Y436" i="1"/>
  <c r="X436" i="1"/>
  <c r="AA435" i="1"/>
  <c r="Z435" i="1"/>
  <c r="Y435" i="1"/>
  <c r="X435" i="1"/>
  <c r="AA434" i="1"/>
  <c r="Z434" i="1"/>
  <c r="Y434" i="1"/>
  <c r="X434" i="1"/>
  <c r="AA433" i="1"/>
  <c r="Z433" i="1"/>
  <c r="Y433" i="1"/>
  <c r="X433" i="1"/>
  <c r="AA432" i="1"/>
  <c r="Z432" i="1"/>
  <c r="Y432" i="1"/>
  <c r="X432" i="1"/>
  <c r="AA431" i="1"/>
  <c r="Z431" i="1"/>
  <c r="Y431" i="1"/>
  <c r="X431" i="1"/>
  <c r="AA430" i="1"/>
  <c r="Z430" i="1"/>
  <c r="Y430" i="1"/>
  <c r="X430" i="1"/>
  <c r="AA429" i="1"/>
  <c r="Z429" i="1"/>
  <c r="Y429" i="1"/>
  <c r="X429" i="1"/>
  <c r="AA428" i="1"/>
  <c r="Z428" i="1"/>
  <c r="Y428" i="1"/>
  <c r="X428" i="1"/>
  <c r="AA427" i="1"/>
  <c r="Z427" i="1"/>
  <c r="Y427" i="1"/>
  <c r="X427" i="1"/>
  <c r="AA426" i="1"/>
  <c r="Z426" i="1"/>
  <c r="Y426" i="1"/>
  <c r="X426" i="1"/>
  <c r="AA425" i="1"/>
  <c r="Z425" i="1"/>
  <c r="Y425" i="1"/>
  <c r="X425" i="1"/>
  <c r="AA424" i="1"/>
  <c r="Z424" i="1"/>
  <c r="Y424" i="1"/>
  <c r="X424" i="1"/>
  <c r="AA423" i="1"/>
  <c r="Z423" i="1"/>
  <c r="Y423" i="1"/>
  <c r="X423" i="1"/>
  <c r="AA422" i="1"/>
  <c r="Z422" i="1"/>
  <c r="Y422" i="1"/>
  <c r="X422" i="1"/>
  <c r="AA421" i="1"/>
  <c r="Z421" i="1"/>
  <c r="Y421" i="1"/>
  <c r="X421" i="1"/>
  <c r="AA420" i="1"/>
  <c r="Z420" i="1"/>
  <c r="Y420" i="1"/>
  <c r="X420" i="1"/>
  <c r="AA419" i="1"/>
  <c r="Z419" i="1"/>
  <c r="Y419" i="1"/>
  <c r="X419" i="1"/>
  <c r="AA418" i="1"/>
  <c r="Z418" i="1"/>
  <c r="Y418" i="1"/>
  <c r="X418" i="1"/>
  <c r="AA417" i="1"/>
  <c r="Z417" i="1"/>
  <c r="Y417" i="1"/>
  <c r="X417" i="1"/>
  <c r="AA416" i="1"/>
  <c r="Z416" i="1"/>
  <c r="Y416" i="1"/>
  <c r="X416" i="1"/>
  <c r="AA415" i="1"/>
  <c r="Z415" i="1"/>
  <c r="Y415" i="1"/>
  <c r="X415" i="1"/>
  <c r="AA414" i="1"/>
  <c r="Z414" i="1"/>
  <c r="Y414" i="1"/>
  <c r="X414" i="1"/>
  <c r="AA413" i="1"/>
  <c r="Z413" i="1"/>
  <c r="Y413" i="1"/>
  <c r="X413" i="1"/>
  <c r="AA412" i="1"/>
  <c r="Z412" i="1"/>
  <c r="Y412" i="1"/>
  <c r="X412" i="1"/>
  <c r="AA411" i="1"/>
  <c r="Z411" i="1"/>
  <c r="Y411" i="1"/>
  <c r="X411" i="1"/>
  <c r="AA410" i="1"/>
  <c r="Z410" i="1"/>
  <c r="Y410" i="1"/>
  <c r="X410" i="1"/>
  <c r="AA409" i="1"/>
  <c r="Z409" i="1"/>
  <c r="Y409" i="1"/>
  <c r="X409" i="1"/>
  <c r="AA408" i="1"/>
  <c r="Z408" i="1"/>
  <c r="Y408" i="1"/>
  <c r="X408" i="1"/>
  <c r="AA407" i="1"/>
  <c r="Z407" i="1"/>
  <c r="Y407" i="1"/>
  <c r="X407" i="1"/>
  <c r="AA406" i="1"/>
  <c r="Z406" i="1"/>
  <c r="Y406" i="1"/>
  <c r="X406" i="1"/>
  <c r="AA405" i="1"/>
  <c r="Z405" i="1"/>
  <c r="Y405" i="1"/>
  <c r="X405" i="1"/>
  <c r="C72" i="1"/>
  <c r="H242" i="9"/>
  <c r="I246" i="9" s="1"/>
  <c r="H207" i="9"/>
  <c r="I211" i="9" s="1"/>
  <c r="H228" i="24"/>
  <c r="I138" i="3"/>
  <c r="B508" i="9"/>
  <c r="B499" i="9"/>
  <c r="A495" i="9" a="1"/>
  <c r="A495" i="9" s="1"/>
  <c r="B587" i="9"/>
  <c r="B585" i="9"/>
  <c r="B583" i="9"/>
  <c r="B581" i="9"/>
  <c r="B577" i="9"/>
  <c r="B573" i="9"/>
  <c r="B561" i="9"/>
  <c r="B564" i="9" s="1"/>
  <c r="B568" i="9" s="1"/>
  <c r="B485" i="9"/>
  <c r="B477" i="9"/>
  <c r="B266" i="9"/>
  <c r="D230" i="9"/>
  <c r="D148" i="24"/>
  <c r="D147" i="24"/>
  <c r="H215" i="9"/>
  <c r="L851" i="1"/>
  <c r="K851" i="1"/>
  <c r="J851" i="1"/>
  <c r="B312" i="1"/>
  <c r="C63" i="3"/>
  <c r="F306" i="1"/>
  <c r="F308" i="1"/>
  <c r="B306" i="1"/>
  <c r="F275" i="1"/>
  <c r="B308" i="1"/>
  <c r="G263" i="1"/>
  <c r="F340" i="1"/>
  <c r="F331" i="1"/>
  <c r="F284" i="1"/>
  <c r="D286" i="1"/>
  <c r="H396" i="1" a="1"/>
  <c r="H396" i="1" s="1"/>
  <c r="F299" i="1"/>
  <c r="A274" i="1"/>
  <c r="B275" i="1"/>
  <c r="B263" i="1"/>
  <c r="B279" i="1"/>
  <c r="A307" i="1"/>
  <c r="A293" i="1"/>
  <c r="A292" i="1"/>
  <c r="B271" i="1"/>
  <c r="B269" i="1"/>
  <c r="D288" i="1"/>
  <c r="D287" i="1"/>
  <c r="B286" i="1"/>
  <c r="B270" i="1"/>
  <c r="H245" i="1"/>
  <c r="E343" i="1"/>
  <c r="G342" i="1"/>
  <c r="G341" i="1"/>
  <c r="G340" i="1"/>
  <c r="N335" i="24"/>
  <c r="N331" i="24" s="1"/>
  <c r="H286" i="9"/>
  <c r="H256" i="1"/>
  <c r="B264" i="1"/>
  <c r="B272" i="1"/>
  <c r="B265" i="1"/>
  <c r="B256" i="1"/>
  <c r="K97" i="26"/>
  <c r="Q471" i="1"/>
  <c r="Q470" i="1"/>
  <c r="Q469" i="1"/>
  <c r="Q468" i="1"/>
  <c r="Q467" i="1"/>
  <c r="Q466" i="1"/>
  <c r="Q465" i="1"/>
  <c r="Q464" i="1"/>
  <c r="Q463" i="1"/>
  <c r="Q462" i="1"/>
  <c r="Q461" i="1"/>
  <c r="Q460" i="1"/>
  <c r="Q459" i="1"/>
  <c r="Q458" i="1"/>
  <c r="Q457" i="1"/>
  <c r="Q456" i="1"/>
  <c r="Q455" i="1"/>
  <c r="Q454" i="1"/>
  <c r="Q453" i="1"/>
  <c r="Q452" i="1"/>
  <c r="Q451" i="1"/>
  <c r="Q450" i="1"/>
  <c r="Q449" i="1"/>
  <c r="Q448" i="1"/>
  <c r="Q447" i="1"/>
  <c r="Q446" i="1"/>
  <c r="Q445" i="1"/>
  <c r="Q444" i="1"/>
  <c r="Q442" i="1"/>
  <c r="Q441" i="1"/>
  <c r="Q440" i="1"/>
  <c r="Q439" i="1"/>
  <c r="Q438" i="1"/>
  <c r="Q437" i="1"/>
  <c r="Q436" i="1"/>
  <c r="Q435" i="1"/>
  <c r="Q433" i="1"/>
  <c r="Q432" i="1"/>
  <c r="Q431" i="1"/>
  <c r="Q430" i="1"/>
  <c r="Q428" i="1"/>
  <c r="Q426" i="1"/>
  <c r="Q425" i="1"/>
  <c r="Q424" i="1"/>
  <c r="Q423" i="1"/>
  <c r="Q421" i="1"/>
  <c r="Q420" i="1"/>
  <c r="Q419" i="1"/>
  <c r="Q418" i="1"/>
  <c r="Q417" i="1"/>
  <c r="Q416" i="1"/>
  <c r="Q415" i="1"/>
  <c r="Q414" i="1"/>
  <c r="Q413" i="1"/>
  <c r="Q412" i="1"/>
  <c r="Q411" i="1"/>
  <c r="Q410" i="1"/>
  <c r="Q409" i="1"/>
  <c r="Q407" i="1"/>
  <c r="Q406" i="1"/>
  <c r="Q405" i="1"/>
  <c r="Q408" i="1" s="1"/>
  <c r="Q443" i="1"/>
  <c r="F829" i="1"/>
  <c r="F826" i="1"/>
  <c r="B77" i="3"/>
  <c r="F227" i="1"/>
  <c r="I87" i="14"/>
  <c r="F111" i="3"/>
  <c r="M311" i="2"/>
  <c r="A58" i="2"/>
  <c r="I81" i="14"/>
  <c r="F359" i="9" s="1"/>
  <c r="EG97" i="19"/>
  <c r="EG98" i="19"/>
  <c r="EG99" i="19"/>
  <c r="EG100" i="19"/>
  <c r="EG101" i="19"/>
  <c r="EG102" i="19"/>
  <c r="EG103" i="19"/>
  <c r="EG104" i="19"/>
  <c r="EG105" i="19"/>
  <c r="EG106" i="19"/>
  <c r="EG107" i="19"/>
  <c r="EG108" i="19"/>
  <c r="EG109" i="19"/>
  <c r="EG110" i="19"/>
  <c r="EG111" i="19"/>
  <c r="EG112" i="19"/>
  <c r="EG113" i="19"/>
  <c r="EG114" i="19"/>
  <c r="F231" i="2"/>
  <c r="EG96" i="19"/>
  <c r="EG95" i="19"/>
  <c r="EG94" i="19"/>
  <c r="EG93" i="19"/>
  <c r="EG92" i="19"/>
  <c r="EL92" i="19"/>
  <c r="G111" i="3"/>
  <c r="EL73" i="19"/>
  <c r="EJ76" i="19"/>
  <c r="EQ76" i="19"/>
  <c r="EL76" i="19"/>
  <c r="EM76" i="19"/>
  <c r="C161" i="5"/>
  <c r="B606" i="1"/>
  <c r="C340" i="26"/>
  <c r="C354" i="26"/>
  <c r="A10" i="38"/>
  <c r="A11" i="38"/>
  <c r="D890" i="1"/>
  <c r="D889" i="1"/>
  <c r="D888" i="1"/>
  <c r="C589" i="1"/>
  <c r="C241" i="1"/>
  <c r="S750" i="1"/>
  <c r="S749" i="1"/>
  <c r="B573" i="1"/>
  <c r="A398" i="1"/>
  <c r="T312" i="1"/>
  <c r="U312" i="1" s="1"/>
  <c r="G312" i="1"/>
  <c r="R263" i="1"/>
  <c r="T263" i="1" s="1"/>
  <c r="C714" i="1"/>
  <c r="C881" i="1"/>
  <c r="C880" i="1"/>
  <c r="C879" i="1"/>
  <c r="C878" i="1"/>
  <c r="C877" i="1"/>
  <c r="C876" i="1"/>
  <c r="C875" i="1"/>
  <c r="C874" i="1"/>
  <c r="C873" i="1"/>
  <c r="B546" i="1"/>
  <c r="B317" i="1"/>
  <c r="F118" i="3"/>
  <c r="D102" i="3"/>
  <c r="C240" i="1"/>
  <c r="C239" i="1"/>
  <c r="I29" i="14"/>
  <c r="I28" i="14"/>
  <c r="I302" i="26"/>
  <c r="G301" i="26"/>
  <c r="G300" i="26"/>
  <c r="G299" i="26"/>
  <c r="G298" i="26"/>
  <c r="H297" i="26"/>
  <c r="G297" i="26"/>
  <c r="K293" i="26"/>
  <c r="Q117" i="26"/>
  <c r="I3" i="4"/>
  <c r="H290" i="9"/>
  <c r="H3" i="4"/>
  <c r="I303" i="26"/>
  <c r="D74" i="9"/>
  <c r="F226" i="1"/>
  <c r="E300" i="2" s="1"/>
  <c r="C279" i="24"/>
  <c r="C280" i="24"/>
  <c r="C278" i="24"/>
  <c r="C276" i="24" a="1"/>
  <c r="C276" i="24" s="1"/>
  <c r="C275" i="24"/>
  <c r="Q583" i="9"/>
  <c r="Q577" i="9"/>
  <c r="G256" i="9"/>
  <c r="H256" i="9" s="1"/>
  <c r="G255" i="9"/>
  <c r="H255" i="9" s="1"/>
  <c r="G254" i="9"/>
  <c r="H254" i="9" s="1"/>
  <c r="G253" i="9"/>
  <c r="H253" i="9" s="1"/>
  <c r="G252" i="9"/>
  <c r="H252" i="9" s="1"/>
  <c r="G258" i="9"/>
  <c r="H257" i="9"/>
  <c r="G257" i="9"/>
  <c r="H249" i="9"/>
  <c r="H214" i="24"/>
  <c r="G91" i="9"/>
  <c r="H90" i="9"/>
  <c r="G90" i="9"/>
  <c r="G89" i="9"/>
  <c r="H89" i="9" s="1"/>
  <c r="G88" i="9"/>
  <c r="H88" i="9" s="1"/>
  <c r="G87" i="9"/>
  <c r="H87" i="9" s="1"/>
  <c r="G86" i="9"/>
  <c r="H86" i="9" s="1"/>
  <c r="G85" i="9"/>
  <c r="H85" i="9" s="1"/>
  <c r="Q587" i="9"/>
  <c r="H106" i="26"/>
  <c r="B323" i="1" s="1"/>
  <c r="B324" i="1" s="1"/>
  <c r="H242" i="1" a="1"/>
  <c r="H242" i="1" s="1"/>
  <c r="E30" i="9"/>
  <c r="E24" i="9"/>
  <c r="E26" i="9"/>
  <c r="M27" i="9"/>
  <c r="E22" i="9"/>
  <c r="B859" i="1"/>
  <c r="AE513" i="1"/>
  <c r="AE512" i="1"/>
  <c r="AE511" i="1"/>
  <c r="AE510" i="1"/>
  <c r="AE509" i="1"/>
  <c r="AE508" i="1"/>
  <c r="AD513" i="1"/>
  <c r="AD512" i="1"/>
  <c r="AD511" i="1"/>
  <c r="AD510" i="1"/>
  <c r="AD509" i="1"/>
  <c r="AD508" i="1"/>
  <c r="W507" i="1"/>
  <c r="P507" i="1"/>
  <c r="L224" i="1"/>
  <c r="Q223" i="1"/>
  <c r="Q222" i="1"/>
  <c r="A222" i="1"/>
  <c r="M137" i="2"/>
  <c r="M136" i="2"/>
  <c r="M130" i="2"/>
  <c r="M132" i="2"/>
  <c r="I506" i="9"/>
  <c r="I505" i="9"/>
  <c r="I504" i="9"/>
  <c r="I503" i="9"/>
  <c r="I502" i="9"/>
  <c r="D393" i="1"/>
  <c r="D398" i="1" s="1"/>
  <c r="I61" i="3"/>
  <c r="B79" i="3"/>
  <c r="H239" i="1" a="1"/>
  <c r="H239" i="1" s="1"/>
  <c r="G839" i="1"/>
  <c r="G20" i="36"/>
  <c r="H19" i="36"/>
  <c r="I16" i="36"/>
  <c r="B819" i="1"/>
  <c r="B522" i="9"/>
  <c r="B525" i="9" s="1"/>
  <c r="B531" i="9" s="1"/>
  <c r="B860" i="1"/>
  <c r="A920" i="1"/>
  <c r="D270" i="1"/>
  <c r="D272" i="1"/>
  <c r="D271" i="1"/>
  <c r="I74" i="14"/>
  <c r="F72" i="14" s="1" a="1"/>
  <c r="F72" i="14" s="1"/>
  <c r="A577" i="1"/>
  <c r="B572" i="1"/>
  <c r="F573" i="1"/>
  <c r="A574" i="1"/>
  <c r="F574" i="1"/>
  <c r="F576" i="1"/>
  <c r="F572" i="1"/>
  <c r="F553" i="1"/>
  <c r="F552" i="1"/>
  <c r="F551" i="1"/>
  <c r="F550" i="1"/>
  <c r="C553" i="1"/>
  <c r="C552" i="1"/>
  <c r="C551" i="1"/>
  <c r="C550" i="1"/>
  <c r="C347" i="1"/>
  <c r="C346" i="1"/>
  <c r="C345" i="1"/>
  <c r="C344" i="1"/>
  <c r="C343" i="1"/>
  <c r="C342" i="1"/>
  <c r="B4" i="14"/>
  <c r="B14" i="14" s="1"/>
  <c r="B539" i="1"/>
  <c r="D539" i="1" s="1"/>
  <c r="B536" i="1"/>
  <c r="D536" i="1" s="1"/>
  <c r="B538" i="1"/>
  <c r="D538" i="1" s="1"/>
  <c r="B537" i="1"/>
  <c r="C537" i="1" s="1"/>
  <c r="E537" i="1" s="1"/>
  <c r="B543" i="1"/>
  <c r="B542" i="1"/>
  <c r="I19" i="14"/>
  <c r="C504" i="1"/>
  <c r="I10" i="14" s="1"/>
  <c r="H509" i="1"/>
  <c r="I48" i="14"/>
  <c r="B134" i="1"/>
  <c r="Q142" i="1" s="1"/>
  <c r="B221" i="1"/>
  <c r="B215" i="1"/>
  <c r="C30" i="1"/>
  <c r="C31" i="1"/>
  <c r="C32" i="1"/>
  <c r="C33" i="1"/>
  <c r="N295" i="9"/>
  <c r="N294" i="9"/>
  <c r="B407" i="1"/>
  <c r="B422" i="1"/>
  <c r="A137" i="1"/>
  <c r="A128" i="1"/>
  <c r="A123" i="1"/>
  <c r="C200" i="1"/>
  <c r="C169" i="1"/>
  <c r="I599" i="9"/>
  <c r="C600" i="9" s="1"/>
  <c r="B663" i="1"/>
  <c r="F766" i="1"/>
  <c r="G766" i="1" s="1"/>
  <c r="F765" i="1"/>
  <c r="G765" i="1" s="1"/>
  <c r="F764" i="1"/>
  <c r="F763" i="1"/>
  <c r="G763" i="1" s="1"/>
  <c r="F760" i="1"/>
  <c r="G760" i="1" s="1"/>
  <c r="F758" i="1"/>
  <c r="G758" i="1" s="1"/>
  <c r="F751" i="1"/>
  <c r="F750" i="1"/>
  <c r="G750" i="1" s="1"/>
  <c r="F749" i="1"/>
  <c r="F748" i="1"/>
  <c r="G748" i="1" s="1"/>
  <c r="F747" i="1"/>
  <c r="G747" i="1" s="1"/>
  <c r="F757" i="1"/>
  <c r="G757" i="1" s="1"/>
  <c r="T11" i="19"/>
  <c r="B665" i="1"/>
  <c r="B127" i="3"/>
  <c r="I148" i="9"/>
  <c r="G121" i="9"/>
  <c r="H121" i="9" s="1"/>
  <c r="A168" i="3" a="1"/>
  <c r="A168" i="3" s="1"/>
  <c r="M205" i="2"/>
  <c r="M202" i="2"/>
  <c r="M201" i="2"/>
  <c r="M29" i="9"/>
  <c r="B7" i="7"/>
  <c r="D91" i="2"/>
  <c r="BA11" i="19"/>
  <c r="BA131" i="19" s="1" a="1"/>
  <c r="BA131" i="19" s="1"/>
  <c r="BC11" i="19"/>
  <c r="BC421" i="19" s="1" a="1"/>
  <c r="BC421" i="19" s="1"/>
  <c r="A620" i="1"/>
  <c r="A619" i="1"/>
  <c r="S763" i="1"/>
  <c r="S762" i="1"/>
  <c r="S761" i="1"/>
  <c r="B166" i="3" a="1"/>
  <c r="B166" i="3" s="1"/>
  <c r="M31" i="9"/>
  <c r="J368" i="24"/>
  <c r="J367" i="24"/>
  <c r="EL101" i="19"/>
  <c r="EL99" i="19"/>
  <c r="EL98" i="19"/>
  <c r="EL97" i="19"/>
  <c r="EL96" i="19"/>
  <c r="EL95" i="19"/>
  <c r="EL94" i="19"/>
  <c r="EL93" i="19"/>
  <c r="B405" i="1"/>
  <c r="C405" i="1" s="1"/>
  <c r="B409" i="1"/>
  <c r="EL100" i="19"/>
  <c r="A5" i="20"/>
  <c r="A6" i="20"/>
  <c r="A37" i="18"/>
  <c r="A41" i="18"/>
  <c r="A39" i="18"/>
  <c r="L460" i="9"/>
  <c r="A7" i="20"/>
  <c r="H226" i="24"/>
  <c r="G3" i="4"/>
  <c r="I46" i="14"/>
  <c r="I47" i="14"/>
  <c r="I49" i="14"/>
  <c r="B69" i="9"/>
  <c r="I27" i="14"/>
  <c r="A8" i="20"/>
  <c r="D636" i="1"/>
  <c r="I636" i="1"/>
  <c r="A9" i="20"/>
  <c r="A10" i="20"/>
  <c r="A11" i="20"/>
  <c r="A12" i="20"/>
  <c r="A13" i="20"/>
  <c r="H99" i="14"/>
  <c r="A14" i="20"/>
  <c r="A15" i="20"/>
  <c r="A17" i="20" s="1"/>
  <c r="A16" i="20"/>
  <c r="B139" i="3"/>
  <c r="B153" i="3"/>
  <c r="B152" i="3"/>
  <c r="B150" i="3"/>
  <c r="B149" i="3"/>
  <c r="B148" i="3"/>
  <c r="B145" i="3"/>
  <c r="B144" i="3"/>
  <c r="B143" i="3"/>
  <c r="B142" i="3"/>
  <c r="B141" i="3"/>
  <c r="B140" i="3"/>
  <c r="B138" i="3"/>
  <c r="M46" i="9"/>
  <c r="M25" i="9"/>
  <c r="M23" i="9"/>
  <c r="A25" i="5" a="1"/>
  <c r="A25" i="5" s="1"/>
  <c r="M310" i="2"/>
  <c r="M309" i="2"/>
  <c r="M308" i="2"/>
  <c r="M307" i="2"/>
  <c r="M306" i="2"/>
  <c r="M305" i="2"/>
  <c r="M304" i="2"/>
  <c r="M303" i="2"/>
  <c r="Q225" i="1"/>
  <c r="M256" i="2"/>
  <c r="M157" i="2"/>
  <c r="M156" i="2"/>
  <c r="M152" i="2"/>
  <c r="M150" i="2"/>
  <c r="M147" i="2"/>
  <c r="M146" i="2"/>
  <c r="M142" i="2"/>
  <c r="M140" i="2"/>
  <c r="B471" i="1"/>
  <c r="B470" i="1"/>
  <c r="B469" i="1"/>
  <c r="B468" i="1"/>
  <c r="B467" i="1"/>
  <c r="B466" i="1"/>
  <c r="B465" i="1"/>
  <c r="B464" i="1"/>
  <c r="B463" i="1"/>
  <c r="B462" i="1"/>
  <c r="B461" i="1"/>
  <c r="B460" i="1"/>
  <c r="B459" i="1"/>
  <c r="B458" i="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1" i="1"/>
  <c r="B420" i="1"/>
  <c r="B419" i="1"/>
  <c r="B418" i="1"/>
  <c r="B417" i="1"/>
  <c r="B416" i="1"/>
  <c r="B415" i="1"/>
  <c r="B414" i="1"/>
  <c r="B413" i="1"/>
  <c r="B412" i="1"/>
  <c r="B411" i="1"/>
  <c r="B410" i="1"/>
  <c r="B408" i="1"/>
  <c r="B406" i="1"/>
  <c r="Q130" i="1"/>
  <c r="B25" i="5"/>
  <c r="G224" i="24"/>
  <c r="H224" i="24" s="1"/>
  <c r="E468" i="9"/>
  <c r="E467" i="9"/>
  <c r="E466" i="9"/>
  <c r="E465" i="9"/>
  <c r="F13" i="3"/>
  <c r="G33" i="2"/>
  <c r="K162" i="5"/>
  <c r="I462" i="9"/>
  <c r="B40" i="35"/>
  <c r="C451" i="9"/>
  <c r="C450" i="9"/>
  <c r="A52" i="2"/>
  <c r="A51" i="2"/>
  <c r="A50" i="2"/>
  <c r="A49" i="2"/>
  <c r="A48" i="2"/>
  <c r="A44" i="2"/>
  <c r="A43" i="2"/>
  <c r="A17" i="7"/>
  <c r="P32" i="7"/>
  <c r="P31" i="7"/>
  <c r="P26" i="7"/>
  <c r="P25" i="7"/>
  <c r="P24" i="7"/>
  <c r="P23" i="7"/>
  <c r="P22" i="7"/>
  <c r="P21" i="7"/>
  <c r="P20" i="7"/>
  <c r="P19" i="7"/>
  <c r="P18" i="7"/>
  <c r="P17" i="7"/>
  <c r="A32" i="7"/>
  <c r="A31" i="7"/>
  <c r="A26" i="7"/>
  <c r="A25" i="7"/>
  <c r="A24" i="7"/>
  <c r="A23" i="7"/>
  <c r="A21" i="7"/>
  <c r="A20" i="7"/>
  <c r="A19" i="7"/>
  <c r="A18" i="7"/>
  <c r="A7" i="35"/>
  <c r="A8" i="35"/>
  <c r="E370" i="1"/>
  <c r="E371" i="1"/>
  <c r="B369" i="1"/>
  <c r="C370" i="1" s="1"/>
  <c r="C374" i="1"/>
  <c r="C373" i="1"/>
  <c r="C372" i="1"/>
  <c r="C371" i="1"/>
  <c r="B314" i="1"/>
  <c r="B257" i="1"/>
  <c r="B281" i="1"/>
  <c r="A324" i="1"/>
  <c r="A317" i="1"/>
  <c r="N69" i="26"/>
  <c r="H69" i="26"/>
  <c r="N70" i="26"/>
  <c r="C4" i="3"/>
  <c r="C4" i="4"/>
  <c r="C72" i="2"/>
  <c r="H397" i="1"/>
  <c r="G397" i="1"/>
  <c r="H395" i="1"/>
  <c r="G395" i="1"/>
  <c r="G394" i="1"/>
  <c r="H393" i="1"/>
  <c r="G393" i="1"/>
  <c r="G396" i="1"/>
  <c r="F756" i="1"/>
  <c r="F752" i="1"/>
  <c r="G752" i="1" s="1"/>
  <c r="D126" i="5" s="1"/>
  <c r="F759" i="1"/>
  <c r="G759" i="1" s="1"/>
  <c r="F762" i="1"/>
  <c r="F761" i="1"/>
  <c r="G761" i="1" s="1"/>
  <c r="F755" i="1"/>
  <c r="G755" i="1" s="1"/>
  <c r="F40" i="35"/>
  <c r="B42" i="35"/>
  <c r="E832" i="1"/>
  <c r="A446" i="9" a="1"/>
  <c r="A446" i="9" s="1"/>
  <c r="E814" i="1"/>
  <c r="B71" i="2"/>
  <c r="K148" i="5"/>
  <c r="B100" i="2"/>
  <c r="K361" i="24"/>
  <c r="K362" i="24"/>
  <c r="K363" i="24"/>
  <c r="K364" i="24"/>
  <c r="K365" i="24"/>
  <c r="K366" i="24"/>
  <c r="K367" i="24"/>
  <c r="K368" i="24"/>
  <c r="K369" i="24"/>
  <c r="K370" i="24"/>
  <c r="K372" i="24"/>
  <c r="B102" i="2"/>
  <c r="B104" i="2"/>
  <c r="EM62" i="19"/>
  <c r="EM43" i="19"/>
  <c r="EM20" i="19"/>
  <c r="EM22" i="19"/>
  <c r="EM47" i="19"/>
  <c r="EM65" i="19"/>
  <c r="EM26" i="19"/>
  <c r="EM35" i="19"/>
  <c r="EM59" i="19"/>
  <c r="EM55" i="19"/>
  <c r="EM49" i="19"/>
  <c r="EM15" i="19"/>
  <c r="EM46" i="19"/>
  <c r="EM39" i="19"/>
  <c r="EM25" i="19"/>
  <c r="EM69" i="19"/>
  <c r="EM75" i="19"/>
  <c r="EM45" i="19"/>
  <c r="EM37" i="19"/>
  <c r="EM38" i="19"/>
  <c r="EM30" i="19"/>
  <c r="EM73" i="19"/>
  <c r="EM18" i="19"/>
  <c r="EM56" i="19"/>
  <c r="EM66" i="19"/>
  <c r="EM64" i="19"/>
  <c r="EM63" i="19"/>
  <c r="EM17" i="19"/>
  <c r="EM61" i="19"/>
  <c r="EM28" i="19"/>
  <c r="EM24" i="19"/>
  <c r="EM27" i="19"/>
  <c r="EM53" i="19"/>
  <c r="EM31" i="19"/>
  <c r="EM67" i="19"/>
  <c r="EM33" i="19"/>
  <c r="EM50" i="19"/>
  <c r="EM41" i="19"/>
  <c r="EM19" i="19"/>
  <c r="EM32" i="19"/>
  <c r="EM58" i="19"/>
  <c r="EM54" i="19"/>
  <c r="EM52" i="19"/>
  <c r="EM60" i="19"/>
  <c r="EM72" i="19"/>
  <c r="EM14" i="19"/>
  <c r="EM29" i="19"/>
  <c r="EM44" i="19"/>
  <c r="EM68" i="19"/>
  <c r="EM74" i="19"/>
  <c r="EM23" i="19"/>
  <c r="EM48" i="19"/>
  <c r="EM34" i="19"/>
  <c r="EM70" i="19"/>
  <c r="EM71" i="19"/>
  <c r="EM57" i="19"/>
  <c r="EM21" i="19"/>
  <c r="EM36" i="19"/>
  <c r="EM51" i="19"/>
  <c r="EM42" i="19"/>
  <c r="EM16" i="19"/>
  <c r="EM40" i="19"/>
  <c r="EJ62" i="19"/>
  <c r="EQ62" i="19"/>
  <c r="EL62" i="19"/>
  <c r="EJ43" i="19"/>
  <c r="EQ43" i="19"/>
  <c r="EL43" i="19"/>
  <c r="EJ20" i="19"/>
  <c r="EQ20" i="19"/>
  <c r="EL20" i="19"/>
  <c r="EJ22" i="19"/>
  <c r="EQ22" i="19"/>
  <c r="EL22" i="19"/>
  <c r="EJ47" i="19"/>
  <c r="EQ47" i="19"/>
  <c r="EL47" i="19"/>
  <c r="EJ65" i="19"/>
  <c r="EQ65" i="19"/>
  <c r="EL65" i="19"/>
  <c r="EJ26" i="19"/>
  <c r="EQ26" i="19"/>
  <c r="EL26" i="19"/>
  <c r="EJ35" i="19"/>
  <c r="EQ35" i="19"/>
  <c r="EL35" i="19"/>
  <c r="EJ59" i="19"/>
  <c r="EQ59" i="19"/>
  <c r="EL59" i="19"/>
  <c r="EJ55" i="19"/>
  <c r="EQ55" i="19"/>
  <c r="EL55" i="19"/>
  <c r="EJ49" i="19"/>
  <c r="EQ49" i="19"/>
  <c r="EL49" i="19"/>
  <c r="EJ15" i="19"/>
  <c r="EQ15" i="19"/>
  <c r="EL15" i="19"/>
  <c r="EJ46" i="19"/>
  <c r="EQ46" i="19"/>
  <c r="EL46" i="19"/>
  <c r="EJ39" i="19"/>
  <c r="EQ39" i="19"/>
  <c r="EL39" i="19"/>
  <c r="EJ25" i="19"/>
  <c r="EQ25" i="19"/>
  <c r="EL25" i="19"/>
  <c r="EJ69" i="19"/>
  <c r="EQ69" i="19"/>
  <c r="EL69" i="19"/>
  <c r="EJ75" i="19"/>
  <c r="EQ75" i="19"/>
  <c r="EL75" i="19"/>
  <c r="EJ45" i="19"/>
  <c r="EQ45" i="19"/>
  <c r="EL45" i="19"/>
  <c r="EJ37" i="19"/>
  <c r="EQ37" i="19"/>
  <c r="EL37" i="19"/>
  <c r="EJ38" i="19"/>
  <c r="EQ38" i="19"/>
  <c r="EL38" i="19"/>
  <c r="EJ30" i="19"/>
  <c r="EQ30" i="19"/>
  <c r="EL30" i="19"/>
  <c r="EJ73" i="19"/>
  <c r="EQ73" i="19"/>
  <c r="EJ18" i="19"/>
  <c r="EQ18" i="19"/>
  <c r="EL18" i="19"/>
  <c r="EJ56" i="19"/>
  <c r="EQ56" i="19"/>
  <c r="EL56" i="19"/>
  <c r="EJ66" i="19"/>
  <c r="EQ66" i="19"/>
  <c r="EL66" i="19"/>
  <c r="EJ64" i="19"/>
  <c r="EQ64" i="19"/>
  <c r="EL64" i="19"/>
  <c r="EJ63" i="19"/>
  <c r="EQ63" i="19"/>
  <c r="EL63" i="19"/>
  <c r="EJ17" i="19"/>
  <c r="EQ17" i="19"/>
  <c r="EL17" i="19"/>
  <c r="EJ61" i="19"/>
  <c r="EQ61" i="19"/>
  <c r="EL61" i="19"/>
  <c r="EJ28" i="19"/>
  <c r="EQ28" i="19"/>
  <c r="EL28" i="19"/>
  <c r="EJ24" i="19"/>
  <c r="EQ24" i="19"/>
  <c r="EL24" i="19"/>
  <c r="EJ27" i="19"/>
  <c r="EQ27" i="19"/>
  <c r="EL27" i="19"/>
  <c r="EJ53" i="19"/>
  <c r="EQ53" i="19"/>
  <c r="EL53" i="19"/>
  <c r="EJ31" i="19"/>
  <c r="EQ31" i="19"/>
  <c r="EL31" i="19"/>
  <c r="EJ67" i="19"/>
  <c r="EQ67" i="19"/>
  <c r="EL67" i="19"/>
  <c r="EJ33" i="19"/>
  <c r="EQ33" i="19"/>
  <c r="EL33" i="19"/>
  <c r="EJ50" i="19"/>
  <c r="EQ50" i="19"/>
  <c r="EL50" i="19"/>
  <c r="EJ41" i="19"/>
  <c r="EQ41" i="19"/>
  <c r="EL41" i="19"/>
  <c r="EJ19" i="19"/>
  <c r="EQ19" i="19"/>
  <c r="EL19" i="19"/>
  <c r="EJ32" i="19"/>
  <c r="EQ32" i="19"/>
  <c r="EL32" i="19"/>
  <c r="EJ58" i="19"/>
  <c r="EQ58" i="19"/>
  <c r="EL58" i="19"/>
  <c r="EJ54" i="19"/>
  <c r="EQ54" i="19"/>
  <c r="EL54" i="19"/>
  <c r="EJ52" i="19"/>
  <c r="EQ52" i="19"/>
  <c r="EL52" i="19"/>
  <c r="EJ60" i="19"/>
  <c r="EQ60" i="19"/>
  <c r="EL60" i="19"/>
  <c r="EJ72" i="19"/>
  <c r="EQ72" i="19"/>
  <c r="EL72" i="19"/>
  <c r="EJ14" i="19"/>
  <c r="EQ14" i="19"/>
  <c r="EL14" i="19"/>
  <c r="EJ29" i="19"/>
  <c r="EQ29" i="19"/>
  <c r="EL29" i="19"/>
  <c r="EJ44" i="19"/>
  <c r="EQ44" i="19"/>
  <c r="EL44" i="19"/>
  <c r="EJ68" i="19"/>
  <c r="EQ68" i="19"/>
  <c r="EL68" i="19"/>
  <c r="EJ74" i="19"/>
  <c r="EQ74" i="19"/>
  <c r="EL74" i="19"/>
  <c r="EJ23" i="19"/>
  <c r="EQ23" i="19"/>
  <c r="EL23" i="19"/>
  <c r="EJ48" i="19"/>
  <c r="EQ48" i="19"/>
  <c r="EL48" i="19"/>
  <c r="EJ34" i="19"/>
  <c r="EQ34" i="19"/>
  <c r="EL34" i="19"/>
  <c r="EJ70" i="19"/>
  <c r="EQ70" i="19"/>
  <c r="EL70" i="19"/>
  <c r="EJ71" i="19"/>
  <c r="EQ71" i="19"/>
  <c r="EL71" i="19"/>
  <c r="EJ57" i="19"/>
  <c r="EQ57" i="19"/>
  <c r="EL57" i="19"/>
  <c r="EJ21" i="19"/>
  <c r="EQ21" i="19"/>
  <c r="EL21" i="19"/>
  <c r="EJ36" i="19"/>
  <c r="EQ36" i="19"/>
  <c r="EL36" i="19"/>
  <c r="EJ51" i="19"/>
  <c r="EQ51" i="19"/>
  <c r="EL51" i="19"/>
  <c r="EJ42" i="19"/>
  <c r="EQ42" i="19"/>
  <c r="EL42" i="19"/>
  <c r="EJ16" i="19"/>
  <c r="EQ16" i="19"/>
  <c r="EL16" i="19"/>
  <c r="EJ40" i="19"/>
  <c r="EQ40" i="19"/>
  <c r="EL40" i="19"/>
  <c r="AC512" i="1"/>
  <c r="D534" i="1"/>
  <c r="D533" i="1"/>
  <c r="D532" i="1"/>
  <c r="D531" i="1"/>
  <c r="D530" i="1"/>
  <c r="D529" i="1"/>
  <c r="C508" i="1"/>
  <c r="P513" i="1"/>
  <c r="Q513" i="1" s="1"/>
  <c r="R513" i="1" s="1"/>
  <c r="H535" i="1"/>
  <c r="G535" i="1"/>
  <c r="H527" i="1"/>
  <c r="G527" i="1"/>
  <c r="H518" i="1"/>
  <c r="G518" i="1"/>
  <c r="G508" i="1"/>
  <c r="AB512" i="1"/>
  <c r="H291" i="9"/>
  <c r="E288" i="9"/>
  <c r="I273" i="9"/>
  <c r="H126" i="9"/>
  <c r="I155" i="9" s="1"/>
  <c r="G125" i="9"/>
  <c r="H125" i="9" s="1"/>
  <c r="B534" i="1"/>
  <c r="B533" i="1"/>
  <c r="B532" i="1"/>
  <c r="B531" i="1"/>
  <c r="B530" i="1"/>
  <c r="B529" i="1"/>
  <c r="C59" i="26"/>
  <c r="I146" i="3"/>
  <c r="I144" i="3"/>
  <c r="I145" i="3"/>
  <c r="I143" i="3"/>
  <c r="I142" i="3"/>
  <c r="I141" i="3"/>
  <c r="I140" i="3"/>
  <c r="I139" i="3"/>
  <c r="G147" i="24"/>
  <c r="H147" i="24"/>
  <c r="H130" i="24"/>
  <c r="G130" i="24"/>
  <c r="X268" i="26"/>
  <c r="X266" i="26"/>
  <c r="X254" i="26"/>
  <c r="X252" i="26"/>
  <c r="X250" i="26"/>
  <c r="X248" i="26"/>
  <c r="X246" i="26"/>
  <c r="I233" i="9"/>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508" i="1"/>
  <c r="AB513" i="1"/>
  <c r="AB511" i="1"/>
  <c r="AB508" i="1"/>
  <c r="AB510" i="1"/>
  <c r="AB509" i="1"/>
  <c r="AC513" i="1"/>
  <c r="AC511" i="1"/>
  <c r="AC510" i="1"/>
  <c r="AC509" i="1"/>
  <c r="A123" i="24"/>
  <c r="A124" i="24" s="1"/>
  <c r="A125" i="24" s="1"/>
  <c r="A126" i="24" s="1"/>
  <c r="A127" i="24" s="1"/>
  <c r="C116" i="9"/>
  <c r="G126" i="9" s="1"/>
  <c r="B397" i="1"/>
  <c r="S751" i="1"/>
  <c r="S748" i="1"/>
  <c r="S747" i="1"/>
  <c r="G907" i="1"/>
  <c r="N43" i="20"/>
  <c r="G255" i="24"/>
  <c r="G257" i="24"/>
  <c r="G258" i="24"/>
  <c r="G259" i="24"/>
  <c r="G253" i="24"/>
  <c r="F7" i="1"/>
  <c r="D88" i="26"/>
  <c r="D60" i="26"/>
  <c r="C184" i="2"/>
  <c r="C187" i="2" s="1"/>
  <c r="G154" i="2"/>
  <c r="G174" i="2" s="1"/>
  <c r="G144" i="2"/>
  <c r="G164" i="2" s="1"/>
  <c r="D118" i="26"/>
  <c r="E337" i="9"/>
  <c r="E324" i="9"/>
  <c r="Q426" i="26"/>
  <c r="K56" i="26"/>
  <c r="I9" i="9" a="1"/>
  <c r="I9" i="9" s="1"/>
  <c r="H9" i="9"/>
  <c r="C23" i="1"/>
  <c r="T758" i="1"/>
  <c r="T760" i="1"/>
  <c r="T763" i="1"/>
  <c r="T766" i="1"/>
  <c r="S760" i="1"/>
  <c r="S758" i="1"/>
  <c r="S766" i="1"/>
  <c r="S759" i="1"/>
  <c r="S757" i="1"/>
  <c r="S755" i="1"/>
  <c r="S765" i="1"/>
  <c r="S764" i="1"/>
  <c r="S756" i="1"/>
  <c r="H664" i="1"/>
  <c r="C68" i="5" a="1"/>
  <c r="C68" i="5" s="1"/>
  <c r="K38" i="26"/>
  <c r="K37" i="26"/>
  <c r="P37" i="26" s="1"/>
  <c r="I641" i="1"/>
  <c r="C633" i="1"/>
  <c r="H637" i="1"/>
  <c r="C361" i="1"/>
  <c r="C357" i="1"/>
  <c r="C360" i="1"/>
  <c r="C359" i="1"/>
  <c r="C358" i="1"/>
  <c r="C356" i="1"/>
  <c r="C355" i="1"/>
  <c r="A14" i="4" a="1"/>
  <c r="A14" i="4" s="1"/>
  <c r="C594" i="9"/>
  <c r="C562" i="9"/>
  <c r="I593" i="9"/>
  <c r="B2" i="26"/>
  <c r="B282" i="26" s="1"/>
  <c r="G222" i="24"/>
  <c r="G136" i="5"/>
  <c r="C4" i="14"/>
  <c r="C10" i="14"/>
  <c r="J139" i="5"/>
  <c r="G139" i="5"/>
  <c r="J138" i="5"/>
  <c r="J137" i="5"/>
  <c r="J136" i="5"/>
  <c r="J135" i="5"/>
  <c r="G135" i="5"/>
  <c r="A122" i="3" a="1"/>
  <c r="A122" i="3" s="1"/>
  <c r="A129" i="3" s="1" a="1"/>
  <c r="A129" i="3" s="1"/>
  <c r="A133" i="3" s="1" a="1"/>
  <c r="A133" i="3" s="1"/>
  <c r="B302" i="2"/>
  <c r="B255"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74" i="1"/>
  <c r="C773" i="1"/>
  <c r="C772" i="1"/>
  <c r="C771" i="1"/>
  <c r="C152" i="1"/>
  <c r="C151" i="1"/>
  <c r="C944" i="1"/>
  <c r="C943" i="1"/>
  <c r="C942" i="1"/>
  <c r="C941" i="1"/>
  <c r="C632" i="1"/>
  <c r="C631" i="1"/>
  <c r="C630" i="1"/>
  <c r="C621" i="1"/>
  <c r="C620" i="1"/>
  <c r="C619" i="1"/>
  <c r="C388" i="1"/>
  <c r="C387" i="1"/>
  <c r="C386" i="1"/>
  <c r="C385" i="1"/>
  <c r="C384" i="1"/>
  <c r="C383" i="1"/>
  <c r="C382" i="1"/>
  <c r="C381" i="1"/>
  <c r="C380" i="1"/>
  <c r="C379" i="1"/>
  <c r="C378" i="1"/>
  <c r="C377" i="1"/>
  <c r="C236" i="1"/>
  <c r="C235" i="1"/>
  <c r="C234" i="1"/>
  <c r="C233" i="1"/>
  <c r="C232" i="1"/>
  <c r="C231" i="1"/>
  <c r="C230" i="1"/>
  <c r="C29" i="1"/>
  <c r="C28" i="1"/>
  <c r="C27" i="1"/>
  <c r="C26" i="1"/>
  <c r="C25" i="1"/>
  <c r="C24" i="1"/>
  <c r="C22" i="1"/>
  <c r="C21" i="1"/>
  <c r="E341" i="9"/>
  <c r="E326" i="9"/>
  <c r="H293" i="9"/>
  <c r="H292" i="9"/>
  <c r="E292" i="9"/>
  <c r="E291" i="9"/>
  <c r="E290" i="9"/>
  <c r="H289" i="9"/>
  <c r="E289" i="9"/>
  <c r="E286" i="9"/>
  <c r="H285" i="9"/>
  <c r="E285" i="9"/>
  <c r="H284" i="9"/>
  <c r="E284" i="9"/>
  <c r="G124" i="9"/>
  <c r="H124" i="9" s="1"/>
  <c r="G123" i="9"/>
  <c r="H123" i="9" s="1"/>
  <c r="G122" i="9"/>
  <c r="H122" i="9" s="1"/>
  <c r="H118" i="9"/>
  <c r="H60" i="9"/>
  <c r="H11" i="9"/>
  <c r="H10" i="9"/>
  <c r="H7" i="9"/>
  <c r="D276" i="26"/>
  <c r="C254" i="26"/>
  <c r="C252" i="26"/>
  <c r="C250" i="26"/>
  <c r="C248" i="26"/>
  <c r="C246" i="26"/>
  <c r="C244" i="26"/>
  <c r="B244" i="26"/>
  <c r="B246" i="26" s="1"/>
  <c r="D228" i="26"/>
  <c r="B190" i="26"/>
  <c r="B192" i="26" s="1"/>
  <c r="B194" i="26" s="1"/>
  <c r="L123" i="26"/>
  <c r="L114" i="26"/>
  <c r="L112" i="26"/>
  <c r="K106" i="26"/>
  <c r="Q105" i="26"/>
  <c r="L103" i="26"/>
  <c r="L101" i="26"/>
  <c r="Q100" i="26"/>
  <c r="L95" i="26"/>
  <c r="L93" i="26"/>
  <c r="L91" i="26"/>
  <c r="L87" i="26"/>
  <c r="K85" i="26"/>
  <c r="L82" i="26"/>
  <c r="L80" i="26"/>
  <c r="L78" i="26"/>
  <c r="L76" i="26"/>
  <c r="L74" i="26"/>
  <c r="L72" i="26"/>
  <c r="L64" i="26"/>
  <c r="L59" i="26"/>
  <c r="L54" i="26"/>
  <c r="L52" i="26"/>
  <c r="L50" i="26"/>
  <c r="L48" i="26"/>
  <c r="L46" i="26"/>
  <c r="L44" i="26"/>
  <c r="E8" i="26"/>
  <c r="E11" i="26" s="1"/>
  <c r="H41" i="9" a="1"/>
  <c r="H41" i="9" s="1"/>
  <c r="H43" i="9" a="1"/>
  <c r="H43" i="9" s="1"/>
  <c r="A38" i="4" a="1"/>
  <c r="A38" i="4" s="1"/>
  <c r="O91" i="24"/>
  <c r="A43" i="4" a="1"/>
  <c r="A43" i="4" s="1"/>
  <c r="A284" i="2" a="1"/>
  <c r="A284" i="2" s="1"/>
  <c r="Q585" i="9"/>
  <c r="D23" i="5"/>
  <c r="I318" i="1"/>
  <c r="H85" i="26"/>
  <c r="I319" i="1" s="1"/>
  <c r="I320" i="1"/>
  <c r="I323" i="1"/>
  <c r="Q581" i="9"/>
  <c r="K119" i="26"/>
  <c r="I214" i="9" a="1"/>
  <c r="I214" i="9" s="1"/>
  <c r="I192" i="9" a="1"/>
  <c r="I192" i="9" s="1"/>
  <c r="I199" i="9"/>
  <c r="I203" i="9" s="1"/>
  <c r="I581" i="9" s="1"/>
  <c r="C273" i="24"/>
  <c r="Q573" i="9" a="1"/>
  <c r="Q573" i="9" s="1"/>
  <c r="H30" i="9"/>
  <c r="E31" i="9" s="1"/>
  <c r="O86" i="24"/>
  <c r="N86" i="24" s="1"/>
  <c r="I38" i="9"/>
  <c r="A7" i="19"/>
  <c r="B70" i="1"/>
  <c r="B402" i="1"/>
  <c r="B228" i="1"/>
  <c r="B149" i="1"/>
  <c r="B652" i="1" l="1"/>
  <c r="A18" i="20"/>
  <c r="A19" i="20"/>
  <c r="A20" i="20"/>
  <c r="H123" i="1"/>
  <c r="V398" i="19" a="1"/>
  <c r="V398" i="19" s="1"/>
  <c r="T395" i="19" a="1"/>
  <c r="T395" i="19" s="1"/>
  <c r="T398" i="19" a="1"/>
  <c r="T398" i="19" s="1"/>
  <c r="V397" i="19" a="1"/>
  <c r="V397" i="19" s="1"/>
  <c r="T397" i="19" a="1"/>
  <c r="T397" i="19" s="1"/>
  <c r="V395" i="19" a="1"/>
  <c r="V395" i="19" s="1"/>
  <c r="V396" i="19" a="1"/>
  <c r="V396" i="19" s="1"/>
  <c r="T396" i="19" a="1"/>
  <c r="T396" i="19" s="1"/>
  <c r="V394" i="19" a="1"/>
  <c r="V394" i="19" s="1"/>
  <c r="T394" i="19" a="1"/>
  <c r="T394" i="19" s="1"/>
  <c r="A28" i="5" a="1"/>
  <c r="A28" i="5" s="1"/>
  <c r="Q588" i="1" s="1"/>
  <c r="A30" i="5" a="1"/>
  <c r="A30" i="5" s="1"/>
  <c r="A32" i="5" s="1" a="1"/>
  <c r="A32" i="5" s="1"/>
  <c r="H253" i="1" s="1" a="1"/>
  <c r="H253" i="1" s="1"/>
  <c r="B857" i="1"/>
  <c r="B22" i="49"/>
  <c r="A153" i="3"/>
  <c r="A156" i="3"/>
  <c r="A158" i="3"/>
  <c r="A159" i="3"/>
  <c r="A160" i="3"/>
  <c r="A154" i="3"/>
  <c r="A147" i="3"/>
  <c r="A155" i="3"/>
  <c r="A157" i="3"/>
  <c r="A151" i="3"/>
  <c r="A146" i="3"/>
  <c r="O297" i="26"/>
  <c r="G306" i="26"/>
  <c r="G304" i="26"/>
  <c r="I300" i="26"/>
  <c r="O300" i="26"/>
  <c r="I301" i="26"/>
  <c r="O301" i="26"/>
  <c r="I299" i="26"/>
  <c r="O299" i="26"/>
  <c r="K397" i="1"/>
  <c r="O397" i="1" s="1"/>
  <c r="S397" i="1" s="1"/>
  <c r="U397" i="1" s="1"/>
  <c r="I298" i="26"/>
  <c r="O298" i="26"/>
  <c r="L397" i="1"/>
  <c r="P397" i="1" s="1"/>
  <c r="T397" i="1" s="1"/>
  <c r="V397" i="1" s="1"/>
  <c r="I297" i="26"/>
  <c r="I342" i="24"/>
  <c r="B291" i="1"/>
  <c r="B292" i="1" s="1"/>
  <c r="J63" i="5"/>
  <c r="J60" i="5"/>
  <c r="J61" i="5"/>
  <c r="J62" i="5"/>
  <c r="J59" i="5"/>
  <c r="J71" i="5"/>
  <c r="J77" i="5"/>
  <c r="J50" i="5"/>
  <c r="Q51" i="5"/>
  <c r="J255" i="24"/>
  <c r="J256" i="24"/>
  <c r="J254" i="24"/>
  <c r="T390" i="19" a="1"/>
  <c r="T390" i="19" s="1"/>
  <c r="T379" i="19" a="1"/>
  <c r="T379" i="19" s="1"/>
  <c r="T374" i="19" a="1"/>
  <c r="T374" i="19" s="1"/>
  <c r="T363" i="19" a="1"/>
  <c r="T363" i="19" s="1"/>
  <c r="V357" i="19" a="1"/>
  <c r="V357" i="19" s="1"/>
  <c r="T352" i="19" a="1"/>
  <c r="T352" i="19" s="1"/>
  <c r="T346" i="19" a="1"/>
  <c r="T346" i="19" s="1"/>
  <c r="T339" i="19" a="1"/>
  <c r="T339" i="19" s="1"/>
  <c r="T332" i="19" a="1"/>
  <c r="T332" i="19" s="1"/>
  <c r="T325" i="19" a="1"/>
  <c r="T325" i="19" s="1"/>
  <c r="T318" i="19" a="1"/>
  <c r="T318" i="19" s="1"/>
  <c r="T311" i="19" a="1"/>
  <c r="T311" i="19" s="1"/>
  <c r="T304" i="19" a="1"/>
  <c r="T304" i="19" s="1"/>
  <c r="V389" i="19" a="1"/>
  <c r="V389" i="19" s="1"/>
  <c r="V384" i="19" a="1"/>
  <c r="V384" i="19" s="1"/>
  <c r="V373" i="19" a="1"/>
  <c r="V373" i="19" s="1"/>
  <c r="T368" i="19" a="1"/>
  <c r="T368" i="19" s="1"/>
  <c r="V362" i="19" a="1"/>
  <c r="V362" i="19" s="1"/>
  <c r="T357" i="19" a="1"/>
  <c r="T357" i="19" s="1"/>
  <c r="V351" i="19" a="1"/>
  <c r="V351" i="19" s="1"/>
  <c r="V345" i="19" a="1"/>
  <c r="V345" i="19" s="1"/>
  <c r="V338" i="19" a="1"/>
  <c r="V338" i="19" s="1"/>
  <c r="V331" i="19" a="1"/>
  <c r="V331" i="19" s="1"/>
  <c r="V324" i="19" a="1"/>
  <c r="V324" i="19" s="1"/>
  <c r="V317" i="19" a="1"/>
  <c r="V317" i="19" s="1"/>
  <c r="V310" i="19" a="1"/>
  <c r="V310" i="19" s="1"/>
  <c r="V303" i="19" a="1"/>
  <c r="V303" i="19" s="1"/>
  <c r="T389" i="19" a="1"/>
  <c r="T389" i="19" s="1"/>
  <c r="V383" i="19" a="1"/>
  <c r="V383" i="19" s="1"/>
  <c r="T378" i="19" a="1"/>
  <c r="T378" i="19" s="1"/>
  <c r="V372" i="19" a="1"/>
  <c r="V372" i="19" s="1"/>
  <c r="V361" i="19" a="1"/>
  <c r="V361" i="19" s="1"/>
  <c r="V356" i="19" a="1"/>
  <c r="V356" i="19" s="1"/>
  <c r="V350" i="19" a="1"/>
  <c r="V350" i="19" s="1"/>
  <c r="V344" i="19" a="1"/>
  <c r="V344" i="19" s="1"/>
  <c r="V337" i="19" a="1"/>
  <c r="V337" i="19" s="1"/>
  <c r="V330" i="19" a="1"/>
  <c r="V330" i="19" s="1"/>
  <c r="V323" i="19" a="1"/>
  <c r="V323" i="19" s="1"/>
  <c r="V316" i="19" a="1"/>
  <c r="V316" i="19" s="1"/>
  <c r="V309" i="19" a="1"/>
  <c r="V309" i="19" s="1"/>
  <c r="V302" i="19" a="1"/>
  <c r="V302" i="19" s="1"/>
  <c r="V388" i="19" a="1"/>
  <c r="V388" i="19" s="1"/>
  <c r="T383" i="19" a="1"/>
  <c r="T383" i="19" s="1"/>
  <c r="T372" i="19" a="1"/>
  <c r="T372" i="19" s="1"/>
  <c r="T367" i="19" a="1"/>
  <c r="T367" i="19" s="1"/>
  <c r="T356" i="19" a="1"/>
  <c r="T356" i="19" s="1"/>
  <c r="T350" i="19" a="1"/>
  <c r="T350" i="19" s="1"/>
  <c r="T344" i="19" a="1"/>
  <c r="T344" i="19" s="1"/>
  <c r="T337" i="19" a="1"/>
  <c r="T337" i="19" s="1"/>
  <c r="T330" i="19" a="1"/>
  <c r="T330" i="19" s="1"/>
  <c r="T323" i="19" a="1"/>
  <c r="T323" i="19" s="1"/>
  <c r="T316" i="19" a="1"/>
  <c r="T316" i="19" s="1"/>
  <c r="T309" i="19" a="1"/>
  <c r="T309" i="19" s="1"/>
  <c r="T302" i="19" a="1"/>
  <c r="T302" i="19" s="1"/>
  <c r="V366" i="19" a="1"/>
  <c r="V366" i="19" s="1"/>
  <c r="V329" i="19" a="1"/>
  <c r="V329" i="19" s="1"/>
  <c r="V360" i="19" a="1"/>
  <c r="V360" i="19" s="1"/>
  <c r="T343" i="19" a="1"/>
  <c r="T343" i="19" s="1"/>
  <c r="T329" i="19" a="1"/>
  <c r="T329" i="19" s="1"/>
  <c r="T308" i="19" a="1"/>
  <c r="T308" i="19" s="1"/>
  <c r="V387" i="19" a="1"/>
  <c r="V387" i="19" s="1"/>
  <c r="V365" i="19" a="1"/>
  <c r="V365" i="19" s="1"/>
  <c r="V342" i="19" a="1"/>
  <c r="V342" i="19" s="1"/>
  <c r="V321" i="19" a="1"/>
  <c r="V321" i="19" s="1"/>
  <c r="T306" i="19" a="1"/>
  <c r="T306" i="19" s="1"/>
  <c r="V380" i="19" a="1"/>
  <c r="V380" i="19" s="1"/>
  <c r="T364" i="19" a="1"/>
  <c r="T364" i="19" s="1"/>
  <c r="V340" i="19" a="1"/>
  <c r="V340" i="19" s="1"/>
  <c r="V312" i="19" a="1"/>
  <c r="V312" i="19" s="1"/>
  <c r="V374" i="19" a="1"/>
  <c r="V374" i="19" s="1"/>
  <c r="V346" i="19" a="1"/>
  <c r="V346" i="19" s="1"/>
  <c r="T312" i="19" a="1"/>
  <c r="T312" i="19" s="1"/>
  <c r="T385" i="19" a="1"/>
  <c r="T385" i="19" s="1"/>
  <c r="V325" i="19" a="1"/>
  <c r="V325" i="19" s="1"/>
  <c r="V304" i="19" a="1"/>
  <c r="V304" i="19" s="1"/>
  <c r="T384" i="19" a="1"/>
  <c r="T384" i="19" s="1"/>
  <c r="V378" i="19" a="1"/>
  <c r="V378" i="19" s="1"/>
  <c r="T373" i="19" a="1"/>
  <c r="T373" i="19" s="1"/>
  <c r="V367" i="19" a="1"/>
  <c r="V367" i="19" s="1"/>
  <c r="T362" i="19" a="1"/>
  <c r="T362" i="19" s="1"/>
  <c r="T351" i="19" a="1"/>
  <c r="T351" i="19" s="1"/>
  <c r="T345" i="19" a="1"/>
  <c r="T345" i="19" s="1"/>
  <c r="T338" i="19" a="1"/>
  <c r="T338" i="19" s="1"/>
  <c r="T331" i="19" a="1"/>
  <c r="T331" i="19" s="1"/>
  <c r="T324" i="19" a="1"/>
  <c r="T324" i="19" s="1"/>
  <c r="T317" i="19" a="1"/>
  <c r="T317" i="19" s="1"/>
  <c r="T310" i="19" a="1"/>
  <c r="T310" i="19" s="1"/>
  <c r="T303" i="19" a="1"/>
  <c r="T303" i="19" s="1"/>
  <c r="T393" i="19" a="1"/>
  <c r="T393" i="19" s="1"/>
  <c r="V382" i="19" a="1"/>
  <c r="V382" i="19" s="1"/>
  <c r="V377" i="19" a="1"/>
  <c r="V377" i="19" s="1"/>
  <c r="T361" i="19" a="1"/>
  <c r="T361" i="19" s="1"/>
  <c r="V355" i="19" a="1"/>
  <c r="V355" i="19" s="1"/>
  <c r="V343" i="19" a="1"/>
  <c r="V343" i="19" s="1"/>
  <c r="V336" i="19" a="1"/>
  <c r="V336" i="19" s="1"/>
  <c r="V322" i="19" a="1"/>
  <c r="V322" i="19" s="1"/>
  <c r="V315" i="19" a="1"/>
  <c r="V315" i="19" s="1"/>
  <c r="V308" i="19" a="1"/>
  <c r="V308" i="19" s="1"/>
  <c r="V301" i="19" a="1"/>
  <c r="V301" i="19" s="1"/>
  <c r="T392" i="19" a="1"/>
  <c r="T392" i="19" s="1"/>
  <c r="T388" i="19" a="1"/>
  <c r="T388" i="19" s="1"/>
  <c r="T377" i="19" a="1"/>
  <c r="T377" i="19" s="1"/>
  <c r="V371" i="19" a="1"/>
  <c r="V371" i="19" s="1"/>
  <c r="T366" i="19" a="1"/>
  <c r="T366" i="19" s="1"/>
  <c r="T355" i="19" a="1"/>
  <c r="T355" i="19" s="1"/>
  <c r="V349" i="19" a="1"/>
  <c r="V349" i="19" s="1"/>
  <c r="T336" i="19" a="1"/>
  <c r="T336" i="19" s="1"/>
  <c r="T322" i="19" a="1"/>
  <c r="T322" i="19" s="1"/>
  <c r="T315" i="19" a="1"/>
  <c r="T315" i="19" s="1"/>
  <c r="T301" i="19" a="1"/>
  <c r="T301" i="19" s="1"/>
  <c r="V393" i="19" a="1"/>
  <c r="V393" i="19" s="1"/>
  <c r="T382" i="19" a="1"/>
  <c r="T382" i="19" s="1"/>
  <c r="V376" i="19" a="1"/>
  <c r="V376" i="19" s="1"/>
  <c r="T371" i="19" a="1"/>
  <c r="T371" i="19" s="1"/>
  <c r="V354" i="19" a="1"/>
  <c r="V354" i="19" s="1"/>
  <c r="T349" i="19" a="1"/>
  <c r="T349" i="19" s="1"/>
  <c r="V335" i="19" a="1"/>
  <c r="V335" i="19" s="1"/>
  <c r="V328" i="19" a="1"/>
  <c r="V328" i="19" s="1"/>
  <c r="V314" i="19" a="1"/>
  <c r="V314" i="19" s="1"/>
  <c r="V307" i="19" a="1"/>
  <c r="V307" i="19" s="1"/>
  <c r="T320" i="19" a="1"/>
  <c r="T320" i="19" s="1"/>
  <c r="T313" i="19" a="1"/>
  <c r="T313" i="19" s="1"/>
  <c r="V391" i="19" a="1"/>
  <c r="V391" i="19" s="1"/>
  <c r="T375" i="19" a="1"/>
  <c r="T375" i="19" s="1"/>
  <c r="V369" i="19" a="1"/>
  <c r="V369" i="19" s="1"/>
  <c r="T347" i="19" a="1"/>
  <c r="T347" i="19" s="1"/>
  <c r="V333" i="19" a="1"/>
  <c r="V333" i="19" s="1"/>
  <c r="V319" i="19" a="1"/>
  <c r="V319" i="19" s="1"/>
  <c r="V305" i="19" a="1"/>
  <c r="V305" i="19" s="1"/>
  <c r="T391" i="19" a="1"/>
  <c r="T391" i="19" s="1"/>
  <c r="T380" i="19" a="1"/>
  <c r="T380" i="19" s="1"/>
  <c r="T369" i="19" a="1"/>
  <c r="T369" i="19" s="1"/>
  <c r="T358" i="19" a="1"/>
  <c r="T358" i="19" s="1"/>
  <c r="T340" i="19" a="1"/>
  <c r="T340" i="19" s="1"/>
  <c r="T333" i="19" a="1"/>
  <c r="T333" i="19" s="1"/>
  <c r="T319" i="19" a="1"/>
  <c r="T319" i="19" s="1"/>
  <c r="V390" i="19" a="1"/>
  <c r="V390" i="19" s="1"/>
  <c r="V368" i="19" a="1"/>
  <c r="V368" i="19" s="1"/>
  <c r="V339" i="19" a="1"/>
  <c r="V339" i="19" s="1"/>
  <c r="V332" i="19" a="1"/>
  <c r="V332" i="19" s="1"/>
  <c r="V311" i="19" a="1"/>
  <c r="V311" i="19" s="1"/>
  <c r="T305" i="19" a="1"/>
  <c r="T305" i="19" s="1"/>
  <c r="V363" i="19" a="1"/>
  <c r="V363" i="19" s="1"/>
  <c r="T387" i="19" a="1"/>
  <c r="T387" i="19" s="1"/>
  <c r="V381" i="19" a="1"/>
  <c r="V381" i="19" s="1"/>
  <c r="T376" i="19" a="1"/>
  <c r="T376" i="19" s="1"/>
  <c r="T365" i="19" a="1"/>
  <c r="T365" i="19" s="1"/>
  <c r="T360" i="19" a="1"/>
  <c r="T360" i="19" s="1"/>
  <c r="V348" i="19" a="1"/>
  <c r="V348" i="19" s="1"/>
  <c r="T342" i="19" a="1"/>
  <c r="T342" i="19" s="1"/>
  <c r="T335" i="19" a="1"/>
  <c r="T335" i="19" s="1"/>
  <c r="T328" i="19" a="1"/>
  <c r="T328" i="19" s="1"/>
  <c r="T321" i="19" a="1"/>
  <c r="T321" i="19" s="1"/>
  <c r="T314" i="19" a="1"/>
  <c r="T314" i="19" s="1"/>
  <c r="T307" i="19" a="1"/>
  <c r="T307" i="19" s="1"/>
  <c r="V392" i="19" a="1"/>
  <c r="V392" i="19" s="1"/>
  <c r="V386" i="19" a="1"/>
  <c r="V386" i="19" s="1"/>
  <c r="V375" i="19" a="1"/>
  <c r="V375" i="19" s="1"/>
  <c r="V370" i="19" a="1"/>
  <c r="V370" i="19" s="1"/>
  <c r="V359" i="19" a="1"/>
  <c r="V359" i="19" s="1"/>
  <c r="T354" i="19" a="1"/>
  <c r="T354" i="19" s="1"/>
  <c r="T348" i="19" a="1"/>
  <c r="T348" i="19" s="1"/>
  <c r="V341" i="19" a="1"/>
  <c r="V341" i="19" s="1"/>
  <c r="V334" i="19" a="1"/>
  <c r="V334" i="19" s="1"/>
  <c r="V327" i="19" a="1"/>
  <c r="V327" i="19" s="1"/>
  <c r="V320" i="19" a="1"/>
  <c r="V320" i="19" s="1"/>
  <c r="V313" i="19" a="1"/>
  <c r="V313" i="19" s="1"/>
  <c r="V306" i="19" a="1"/>
  <c r="V306" i="19" s="1"/>
  <c r="T386" i="19" a="1"/>
  <c r="T386" i="19" s="1"/>
  <c r="T381" i="19" a="1"/>
  <c r="T381" i="19" s="1"/>
  <c r="T370" i="19" a="1"/>
  <c r="T370" i="19" s="1"/>
  <c r="V364" i="19" a="1"/>
  <c r="V364" i="19" s="1"/>
  <c r="T359" i="19" a="1"/>
  <c r="T359" i="19" s="1"/>
  <c r="V353" i="19" a="1"/>
  <c r="V353" i="19" s="1"/>
  <c r="V347" i="19" a="1"/>
  <c r="V347" i="19" s="1"/>
  <c r="T341" i="19" a="1"/>
  <c r="T341" i="19" s="1"/>
  <c r="T334" i="19" a="1"/>
  <c r="T334" i="19" s="1"/>
  <c r="T327" i="19" a="1"/>
  <c r="T327" i="19" s="1"/>
  <c r="V358" i="19" a="1"/>
  <c r="V358" i="19" s="1"/>
  <c r="V326" i="19" a="1"/>
  <c r="V326" i="19" s="1"/>
  <c r="V385" i="19" a="1"/>
  <c r="V385" i="19" s="1"/>
  <c r="T353" i="19" a="1"/>
  <c r="T353" i="19" s="1"/>
  <c r="T326" i="19" a="1"/>
  <c r="T326" i="19" s="1"/>
  <c r="V379" i="19" a="1"/>
  <c r="V379" i="19" s="1"/>
  <c r="V352" i="19" a="1"/>
  <c r="V352" i="19" s="1"/>
  <c r="V318" i="19" a="1"/>
  <c r="V318" i="19" s="1"/>
  <c r="G142" i="5"/>
  <c r="J65" i="5"/>
  <c r="D68" i="5"/>
  <c r="J84" i="5"/>
  <c r="G64" i="5"/>
  <c r="G66" i="5" s="1"/>
  <c r="F57" i="5"/>
  <c r="N45" i="5"/>
  <c r="E14" i="26"/>
  <c r="E20" i="26" s="1"/>
  <c r="E25" i="26" s="1"/>
  <c r="B196" i="26"/>
  <c r="B198" i="26" s="1"/>
  <c r="B200" i="26" s="1"/>
  <c r="G39" i="26"/>
  <c r="B248" i="26"/>
  <c r="C131" i="3"/>
  <c r="D178" i="3"/>
  <c r="H319" i="1"/>
  <c r="D177" i="3"/>
  <c r="EO8" i="19"/>
  <c r="D364" i="1"/>
  <c r="D363" i="1" s="1"/>
  <c r="C364" i="1"/>
  <c r="C363" i="1" s="1"/>
  <c r="E363" i="1" s="1"/>
  <c r="B32" i="18"/>
  <c r="B858" i="1"/>
  <c r="B27" i="18" s="1"/>
  <c r="B116" i="9"/>
  <c r="B166" i="9" s="1"/>
  <c r="G320" i="9"/>
  <c r="C107" i="9"/>
  <c r="H21" i="47"/>
  <c r="M3" i="41"/>
  <c r="M13" i="41" s="1"/>
  <c r="K4" i="2"/>
  <c r="C90" i="5" a="1"/>
  <c r="C90" i="5" s="1"/>
  <c r="A709" i="1"/>
  <c r="I24" i="14"/>
  <c r="H117" i="14" s="1"/>
  <c r="L135" i="1" a="1"/>
  <c r="L135" i="1" s="1"/>
  <c r="Q166" i="2" s="1"/>
  <c r="M174" i="2"/>
  <c r="M164" i="2"/>
  <c r="M154" i="2"/>
  <c r="M144" i="2"/>
  <c r="M135" i="1" a="1"/>
  <c r="M135" i="1" s="1"/>
  <c r="Q176" i="2" s="1"/>
  <c r="M124" i="1"/>
  <c r="Q177" i="2" s="1"/>
  <c r="L124" i="1"/>
  <c r="Q167" i="2" s="1"/>
  <c r="K124" i="1"/>
  <c r="Q157" i="2" s="1"/>
  <c r="AA517" i="1"/>
  <c r="AA521" i="1"/>
  <c r="AI520" i="1"/>
  <c r="AA519" i="1"/>
  <c r="AI519" i="1"/>
  <c r="AJ517" i="1"/>
  <c r="AI518" i="1"/>
  <c r="AA520" i="1"/>
  <c r="AJ519" i="1"/>
  <c r="AA518" i="1"/>
  <c r="AJ518" i="1"/>
  <c r="AJ523" i="1"/>
  <c r="AG514" i="1"/>
  <c r="AI523" i="1"/>
  <c r="AI517" i="1"/>
  <c r="AN508" i="1"/>
  <c r="AJ522" i="1"/>
  <c r="AI522" i="1"/>
  <c r="AJ521" i="1"/>
  <c r="AI521" i="1"/>
  <c r="AJ520" i="1"/>
  <c r="AA522" i="1"/>
  <c r="AA523" i="1"/>
  <c r="AN507" i="1"/>
  <c r="T278" i="19" a="1"/>
  <c r="T278" i="19" s="1"/>
  <c r="V167" i="19" a="1"/>
  <c r="V167" i="19" s="1"/>
  <c r="V160" i="19" a="1"/>
  <c r="V160" i="19" s="1"/>
  <c r="V153" i="19" a="1"/>
  <c r="V153" i="19" s="1"/>
  <c r="V146" i="19" a="1"/>
  <c r="V146" i="19" s="1"/>
  <c r="V139" i="19" a="1"/>
  <c r="V139" i="19" s="1"/>
  <c r="V132" i="19" a="1"/>
  <c r="V132" i="19" s="1"/>
  <c r="V125" i="19" a="1"/>
  <c r="V125" i="19" s="1"/>
  <c r="V118" i="19" a="1"/>
  <c r="V118" i="19" s="1"/>
  <c r="V111" i="19" a="1"/>
  <c r="V111" i="19" s="1"/>
  <c r="V104" i="19" a="1"/>
  <c r="V104" i="19" s="1"/>
  <c r="V97" i="19" a="1"/>
  <c r="V97" i="19" s="1"/>
  <c r="V90" i="19" a="1"/>
  <c r="V90" i="19" s="1"/>
  <c r="V83" i="19" a="1"/>
  <c r="V83" i="19" s="1"/>
  <c r="V76" i="19" a="1"/>
  <c r="V76" i="19" s="1"/>
  <c r="V69" i="19" a="1"/>
  <c r="V69" i="19" s="1"/>
  <c r="V62" i="19" a="1"/>
  <c r="V62" i="19" s="1"/>
  <c r="V55" i="19" a="1"/>
  <c r="V55" i="19" s="1"/>
  <c r="V48" i="19" a="1"/>
  <c r="V48" i="19" s="1"/>
  <c r="V41" i="19" a="1"/>
  <c r="V41" i="19" s="1"/>
  <c r="V34" i="19" a="1"/>
  <c r="V34" i="19" s="1"/>
  <c r="V27" i="19" a="1"/>
  <c r="V27" i="19" s="1"/>
  <c r="V20" i="19" a="1"/>
  <c r="V20" i="19" s="1"/>
  <c r="V13" i="19" a="1"/>
  <c r="V13" i="19" s="1"/>
  <c r="V295" i="19" a="1"/>
  <c r="V295" i="19" s="1"/>
  <c r="V288" i="19" a="1"/>
  <c r="V288" i="19" s="1"/>
  <c r="V281" i="19" a="1"/>
  <c r="V281" i="19" s="1"/>
  <c r="V274" i="19" a="1"/>
  <c r="V274" i="19" s="1"/>
  <c r="V267" i="19" a="1"/>
  <c r="V267" i="19" s="1"/>
  <c r="V260" i="19" a="1"/>
  <c r="V260" i="19" s="1"/>
  <c r="V253" i="19" a="1"/>
  <c r="V253" i="19" s="1"/>
  <c r="V246" i="19" a="1"/>
  <c r="V246" i="19" s="1"/>
  <c r="V239" i="19" a="1"/>
  <c r="V239" i="19" s="1"/>
  <c r="V232" i="19" a="1"/>
  <c r="V232" i="19" s="1"/>
  <c r="V225" i="19" a="1"/>
  <c r="V225" i="19" s="1"/>
  <c r="V218" i="19" a="1"/>
  <c r="V218" i="19" s="1"/>
  <c r="V211" i="19" a="1"/>
  <c r="V211" i="19" s="1"/>
  <c r="V204" i="19" a="1"/>
  <c r="V204" i="19" s="1"/>
  <c r="V197" i="19" a="1"/>
  <c r="V197" i="19" s="1"/>
  <c r="V190" i="19" a="1"/>
  <c r="V190" i="19" s="1"/>
  <c r="V183" i="19" a="1"/>
  <c r="V183" i="19" s="1"/>
  <c r="V176" i="19" a="1"/>
  <c r="V176" i="19" s="1"/>
  <c r="V166" i="19" a="1"/>
  <c r="V166" i="19" s="1"/>
  <c r="V159" i="19" a="1"/>
  <c r="V159" i="19" s="1"/>
  <c r="V144" i="19" a="1"/>
  <c r="V144" i="19" s="1"/>
  <c r="V135" i="19" a="1"/>
  <c r="V135" i="19" s="1"/>
  <c r="V115" i="19" a="1"/>
  <c r="V115" i="19" s="1"/>
  <c r="V106" i="19" a="1"/>
  <c r="V106" i="19" s="1"/>
  <c r="V88" i="19" a="1"/>
  <c r="V88" i="19" s="1"/>
  <c r="V61" i="19" a="1"/>
  <c r="V61" i="19" s="1"/>
  <c r="V44" i="19" a="1"/>
  <c r="V44" i="19" s="1"/>
  <c r="V35" i="19" a="1"/>
  <c r="V35" i="19" s="1"/>
  <c r="V17" i="19" a="1"/>
  <c r="V17" i="19" s="1"/>
  <c r="V297" i="19" a="1"/>
  <c r="V297" i="19" s="1"/>
  <c r="V279" i="19" a="1"/>
  <c r="V279" i="19" s="1"/>
  <c r="V252" i="19" a="1"/>
  <c r="V252" i="19" s="1"/>
  <c r="V235" i="19" a="1"/>
  <c r="V235" i="19" s="1"/>
  <c r="V226" i="19" a="1"/>
  <c r="V226" i="19" s="1"/>
  <c r="V208" i="19" a="1"/>
  <c r="V208" i="19" s="1"/>
  <c r="V199" i="19" a="1"/>
  <c r="V199" i="19" s="1"/>
  <c r="V181" i="19" a="1"/>
  <c r="V181" i="19" s="1"/>
  <c r="V164" i="19" a="1"/>
  <c r="V164" i="19" s="1"/>
  <c r="V154" i="19" a="1"/>
  <c r="V154" i="19" s="1"/>
  <c r="V134" i="19" a="1"/>
  <c r="V134" i="19" s="1"/>
  <c r="V124" i="19" a="1"/>
  <c r="V124" i="19" s="1"/>
  <c r="V96" i="19" a="1"/>
  <c r="V96" i="19" s="1"/>
  <c r="V79" i="19" a="1"/>
  <c r="V79" i="19" s="1"/>
  <c r="V70" i="19" a="1"/>
  <c r="V70" i="19" s="1"/>
  <c r="V52" i="19" a="1"/>
  <c r="V52" i="19" s="1"/>
  <c r="V43" i="19" a="1"/>
  <c r="V43" i="19" s="1"/>
  <c r="V25" i="19" a="1"/>
  <c r="V25" i="19" s="1"/>
  <c r="V287" i="19" a="1"/>
  <c r="V287" i="19" s="1"/>
  <c r="V270" i="19" a="1"/>
  <c r="V270" i="19" s="1"/>
  <c r="V261" i="19" a="1"/>
  <c r="V261" i="19" s="1"/>
  <c r="V243" i="19" a="1"/>
  <c r="V243" i="19" s="1"/>
  <c r="V234" i="19" a="1"/>
  <c r="V234" i="19" s="1"/>
  <c r="V216" i="19" a="1"/>
  <c r="V216" i="19" s="1"/>
  <c r="V189" i="19" a="1"/>
  <c r="V189" i="19" s="1"/>
  <c r="V143" i="19" a="1"/>
  <c r="V143" i="19" s="1"/>
  <c r="V123" i="19" a="1"/>
  <c r="V123" i="19" s="1"/>
  <c r="V114" i="19" a="1"/>
  <c r="V114" i="19" s="1"/>
  <c r="V105" i="19" a="1"/>
  <c r="V105" i="19" s="1"/>
  <c r="V87" i="19" a="1"/>
  <c r="V87" i="19" s="1"/>
  <c r="V78" i="19" a="1"/>
  <c r="V78" i="19" s="1"/>
  <c r="V60" i="19" a="1"/>
  <c r="V60" i="19" s="1"/>
  <c r="V33" i="19" a="1"/>
  <c r="V33" i="19" s="1"/>
  <c r="V16" i="19" a="1"/>
  <c r="V16" i="19" s="1"/>
  <c r="V296" i="19" a="1"/>
  <c r="V296" i="19" s="1"/>
  <c r="V278" i="19" a="1"/>
  <c r="V278" i="19" s="1"/>
  <c r="V269" i="19" a="1"/>
  <c r="V269" i="19" s="1"/>
  <c r="V251" i="19" a="1"/>
  <c r="V251" i="19" s="1"/>
  <c r="V224" i="19" a="1"/>
  <c r="V224" i="19" s="1"/>
  <c r="V207" i="19" a="1"/>
  <c r="V207" i="19" s="1"/>
  <c r="V198" i="19" a="1"/>
  <c r="V198" i="19" s="1"/>
  <c r="V180" i="19" a="1"/>
  <c r="V180" i="19" s="1"/>
  <c r="V163" i="19" a="1"/>
  <c r="V163" i="19" s="1"/>
  <c r="V152" i="19" a="1"/>
  <c r="V152" i="19" s="1"/>
  <c r="V133" i="19" a="1"/>
  <c r="V133" i="19" s="1"/>
  <c r="V113" i="19" a="1"/>
  <c r="V113" i="19" s="1"/>
  <c r="V95" i="19" a="1"/>
  <c r="V95" i="19" s="1"/>
  <c r="V68" i="19" a="1"/>
  <c r="V68" i="19" s="1"/>
  <c r="V51" i="19" a="1"/>
  <c r="V51" i="19" s="1"/>
  <c r="V42" i="19" a="1"/>
  <c r="V42" i="19" s="1"/>
  <c r="V24" i="19" a="1"/>
  <c r="V24" i="19" s="1"/>
  <c r="V15" i="19" a="1"/>
  <c r="V15" i="19" s="1"/>
  <c r="V286" i="19" a="1"/>
  <c r="V286" i="19" s="1"/>
  <c r="V259" i="19" a="1"/>
  <c r="V259" i="19" s="1"/>
  <c r="V242" i="19" a="1"/>
  <c r="V242" i="19" s="1"/>
  <c r="V233" i="19" a="1"/>
  <c r="V233" i="19" s="1"/>
  <c r="V215" i="19" a="1"/>
  <c r="V215" i="19" s="1"/>
  <c r="V206" i="19" a="1"/>
  <c r="V206" i="19" s="1"/>
  <c r="V188" i="19" a="1"/>
  <c r="V188" i="19" s="1"/>
  <c r="V172" i="19" a="1"/>
  <c r="V172" i="19" s="1"/>
  <c r="V162" i="19" a="1"/>
  <c r="V162" i="19" s="1"/>
  <c r="V151" i="19" a="1"/>
  <c r="V151" i="19" s="1"/>
  <c r="V142" i="19" a="1"/>
  <c r="V142" i="19" s="1"/>
  <c r="V122" i="19" a="1"/>
  <c r="V122" i="19" s="1"/>
  <c r="V103" i="19" a="1"/>
  <c r="V103" i="19" s="1"/>
  <c r="V86" i="19" a="1"/>
  <c r="V86" i="19" s="1"/>
  <c r="V77" i="19" a="1"/>
  <c r="V77" i="19" s="1"/>
  <c r="V59" i="19" a="1"/>
  <c r="V59" i="19" s="1"/>
  <c r="V50" i="19" a="1"/>
  <c r="V50" i="19" s="1"/>
  <c r="V32" i="19" a="1"/>
  <c r="V32" i="19" s="1"/>
  <c r="V294" i="19" a="1"/>
  <c r="V294" i="19" s="1"/>
  <c r="V277" i="19" a="1"/>
  <c r="V277" i="19" s="1"/>
  <c r="V268" i="19" a="1"/>
  <c r="V268" i="19" s="1"/>
  <c r="V250" i="19" a="1"/>
  <c r="V250" i="19" s="1"/>
  <c r="V241" i="19" a="1"/>
  <c r="V241" i="19" s="1"/>
  <c r="V223" i="19" a="1"/>
  <c r="V223" i="19" s="1"/>
  <c r="V196" i="19" a="1"/>
  <c r="V196" i="19" s="1"/>
  <c r="V179" i="19" a="1"/>
  <c r="V179" i="19" s="1"/>
  <c r="V141" i="19" a="1"/>
  <c r="V141" i="19" s="1"/>
  <c r="V131" i="19" a="1"/>
  <c r="V131" i="19" s="1"/>
  <c r="V112" i="19" a="1"/>
  <c r="V112" i="19" s="1"/>
  <c r="V94" i="19" a="1"/>
  <c r="V94" i="19" s="1"/>
  <c r="V85" i="19" a="1"/>
  <c r="V85" i="19" s="1"/>
  <c r="V67" i="19" a="1"/>
  <c r="V67" i="19" s="1"/>
  <c r="V40" i="19" a="1"/>
  <c r="V40" i="19" s="1"/>
  <c r="V23" i="19" a="1"/>
  <c r="V23" i="19" s="1"/>
  <c r="V14" i="19" a="1"/>
  <c r="V14" i="19" s="1"/>
  <c r="V285" i="19" a="1"/>
  <c r="V285" i="19" s="1"/>
  <c r="V276" i="19" a="1"/>
  <c r="V276" i="19" s="1"/>
  <c r="V258" i="19" a="1"/>
  <c r="V258" i="19" s="1"/>
  <c r="V231" i="19" a="1"/>
  <c r="V231" i="19" s="1"/>
  <c r="V214" i="19" a="1"/>
  <c r="V214" i="19" s="1"/>
  <c r="V205" i="19" a="1"/>
  <c r="V205" i="19" s="1"/>
  <c r="V187" i="19" a="1"/>
  <c r="V187" i="19" s="1"/>
  <c r="V178" i="19" a="1"/>
  <c r="V178" i="19" s="1"/>
  <c r="V171" i="19" a="1"/>
  <c r="V171" i="19" s="1"/>
  <c r="V161" i="19" a="1"/>
  <c r="V161" i="19" s="1"/>
  <c r="V150" i="19" a="1"/>
  <c r="V150" i="19" s="1"/>
  <c r="V130" i="19" a="1"/>
  <c r="V130" i="19" s="1"/>
  <c r="V121" i="19" a="1"/>
  <c r="V121" i="19" s="1"/>
  <c r="V102" i="19" a="1"/>
  <c r="V102" i="19" s="1"/>
  <c r="V75" i="19" a="1"/>
  <c r="V75" i="19" s="1"/>
  <c r="V58" i="19" a="1"/>
  <c r="V58" i="19" s="1"/>
  <c r="V49" i="19" a="1"/>
  <c r="V49" i="19" s="1"/>
  <c r="V31" i="19" a="1"/>
  <c r="V31" i="19" s="1"/>
  <c r="V22" i="19" a="1"/>
  <c r="V22" i="19" s="1"/>
  <c r="V293" i="19" a="1"/>
  <c r="V293" i="19" s="1"/>
  <c r="V266" i="19" a="1"/>
  <c r="V266" i="19" s="1"/>
  <c r="V249" i="19" a="1"/>
  <c r="V249" i="19" s="1"/>
  <c r="V240" i="19" a="1"/>
  <c r="V240" i="19" s="1"/>
  <c r="V222" i="19" a="1"/>
  <c r="V222" i="19" s="1"/>
  <c r="V213" i="19" a="1"/>
  <c r="V213" i="19" s="1"/>
  <c r="V195" i="19" a="1"/>
  <c r="V195" i="19" s="1"/>
  <c r="V158" i="19" a="1"/>
  <c r="V158" i="19" s="1"/>
  <c r="V129" i="19" a="1"/>
  <c r="V129" i="19" s="1"/>
  <c r="V101" i="19" a="1"/>
  <c r="V101" i="19" s="1"/>
  <c r="V47" i="19" a="1"/>
  <c r="V47" i="19" s="1"/>
  <c r="V21" i="19" a="1"/>
  <c r="V21" i="19" s="1"/>
  <c r="V283" i="19" a="1"/>
  <c r="V283" i="19" s="1"/>
  <c r="V221" i="19" a="1"/>
  <c r="V221" i="19" s="1"/>
  <c r="V194" i="19" a="1"/>
  <c r="V194" i="19" s="1"/>
  <c r="V155" i="19" a="1"/>
  <c r="V155" i="19" s="1"/>
  <c r="V298" i="19" a="1"/>
  <c r="V298" i="19" s="1"/>
  <c r="V271" i="19" a="1"/>
  <c r="V271" i="19" s="1"/>
  <c r="V200" i="19" a="1"/>
  <c r="V200" i="19" s="1"/>
  <c r="V173" i="19" a="1"/>
  <c r="V173" i="19" s="1"/>
  <c r="V140" i="19" a="1"/>
  <c r="V140" i="19" s="1"/>
  <c r="V120" i="19" a="1"/>
  <c r="V120" i="19" s="1"/>
  <c r="V110" i="19" a="1"/>
  <c r="V110" i="19" s="1"/>
  <c r="V93" i="19" a="1"/>
  <c r="V93" i="19" s="1"/>
  <c r="V84" i="19" a="1"/>
  <c r="V84" i="19" s="1"/>
  <c r="V66" i="19" a="1"/>
  <c r="V66" i="19" s="1"/>
  <c r="V57" i="19" a="1"/>
  <c r="V57" i="19" s="1"/>
  <c r="V39" i="19" a="1"/>
  <c r="V39" i="19" s="1"/>
  <c r="V284" i="19" a="1"/>
  <c r="V284" i="19" s="1"/>
  <c r="V275" i="19" a="1"/>
  <c r="V275" i="19" s="1"/>
  <c r="V257" i="19" a="1"/>
  <c r="V257" i="19" s="1"/>
  <c r="V248" i="19" a="1"/>
  <c r="V248" i="19" s="1"/>
  <c r="V230" i="19" a="1"/>
  <c r="V230" i="19" s="1"/>
  <c r="V203" i="19" a="1"/>
  <c r="V203" i="19" s="1"/>
  <c r="V186" i="19" a="1"/>
  <c r="V186" i="19" s="1"/>
  <c r="V177" i="19" a="1"/>
  <c r="V177" i="19" s="1"/>
  <c r="V170" i="19" a="1"/>
  <c r="V170" i="19" s="1"/>
  <c r="V149" i="19" a="1"/>
  <c r="V149" i="19" s="1"/>
  <c r="V92" i="19" a="1"/>
  <c r="V92" i="19" s="1"/>
  <c r="V74" i="19" a="1"/>
  <c r="V74" i="19" s="1"/>
  <c r="V30" i="19" a="1"/>
  <c r="V30" i="19" s="1"/>
  <c r="V292" i="19" a="1"/>
  <c r="V292" i="19" s="1"/>
  <c r="V265" i="19" a="1"/>
  <c r="V265" i="19" s="1"/>
  <c r="V238" i="19" a="1"/>
  <c r="V238" i="19" s="1"/>
  <c r="V212" i="19" a="1"/>
  <c r="V212" i="19" s="1"/>
  <c r="V185" i="19" a="1"/>
  <c r="V185" i="19" s="1"/>
  <c r="V147" i="19" a="1"/>
  <c r="V147" i="19" s="1"/>
  <c r="V127" i="19" a="1"/>
  <c r="V127" i="19" s="1"/>
  <c r="V108" i="19" a="1"/>
  <c r="V108" i="19" s="1"/>
  <c r="V99" i="19" a="1"/>
  <c r="V99" i="19" s="1"/>
  <c r="V54" i="19" a="1"/>
  <c r="V54" i="19" s="1"/>
  <c r="V299" i="19" a="1"/>
  <c r="V299" i="19" s="1"/>
  <c r="V245" i="19" a="1"/>
  <c r="V245" i="19" s="1"/>
  <c r="V219" i="19" a="1"/>
  <c r="V219" i="19" s="1"/>
  <c r="V201" i="19" a="1"/>
  <c r="V201" i="19" s="1"/>
  <c r="V136" i="19" a="1"/>
  <c r="V136" i="19" s="1"/>
  <c r="V116" i="19" a="1"/>
  <c r="V116" i="19" s="1"/>
  <c r="V72" i="19" a="1"/>
  <c r="V72" i="19" s="1"/>
  <c r="V45" i="19" a="1"/>
  <c r="V45" i="19" s="1"/>
  <c r="V18" i="19" a="1"/>
  <c r="V18" i="19" s="1"/>
  <c r="V280" i="19" a="1"/>
  <c r="V280" i="19" s="1"/>
  <c r="V254" i="19" a="1"/>
  <c r="V254" i="19" s="1"/>
  <c r="V227" i="19" a="1"/>
  <c r="V227" i="19" s="1"/>
  <c r="V182" i="19" a="1"/>
  <c r="V182" i="19" s="1"/>
  <c r="V169" i="19" a="1"/>
  <c r="V169" i="19" s="1"/>
  <c r="V148" i="19" a="1"/>
  <c r="V148" i="19" s="1"/>
  <c r="V138" i="19" a="1"/>
  <c r="V138" i="19" s="1"/>
  <c r="V119" i="19" a="1"/>
  <c r="V119" i="19" s="1"/>
  <c r="V109" i="19" a="1"/>
  <c r="V109" i="19" s="1"/>
  <c r="V82" i="19" a="1"/>
  <c r="V82" i="19" s="1"/>
  <c r="V65" i="19" a="1"/>
  <c r="V65" i="19" s="1"/>
  <c r="V56" i="19" a="1"/>
  <c r="V56" i="19" s="1"/>
  <c r="V38" i="19" a="1"/>
  <c r="V38" i="19" s="1"/>
  <c r="V29" i="19" a="1"/>
  <c r="V29" i="19" s="1"/>
  <c r="V300" i="19" a="1"/>
  <c r="V300" i="19" s="1"/>
  <c r="V273" i="19" a="1"/>
  <c r="V273" i="19" s="1"/>
  <c r="V256" i="19" a="1"/>
  <c r="V256" i="19" s="1"/>
  <c r="V247" i="19" a="1"/>
  <c r="V247" i="19" s="1"/>
  <c r="V229" i="19" a="1"/>
  <c r="V229" i="19" s="1"/>
  <c r="V220" i="19" a="1"/>
  <c r="V220" i="19" s="1"/>
  <c r="V202" i="19" a="1"/>
  <c r="V202" i="19" s="1"/>
  <c r="V175" i="19" a="1"/>
  <c r="V175" i="19" s="1"/>
  <c r="V157" i="19" a="1"/>
  <c r="V157" i="19" s="1"/>
  <c r="V137" i="19" a="1"/>
  <c r="V137" i="19" s="1"/>
  <c r="V128" i="19" a="1"/>
  <c r="V128" i="19" s="1"/>
  <c r="V100" i="19" a="1"/>
  <c r="V100" i="19" s="1"/>
  <c r="V91" i="19" a="1"/>
  <c r="V91" i="19" s="1"/>
  <c r="V73" i="19" a="1"/>
  <c r="V73" i="19" s="1"/>
  <c r="V64" i="19" a="1"/>
  <c r="V64" i="19" s="1"/>
  <c r="V46" i="19" a="1"/>
  <c r="V46" i="19" s="1"/>
  <c r="V19" i="19" a="1"/>
  <c r="V19" i="19" s="1"/>
  <c r="V291" i="19" a="1"/>
  <c r="V291" i="19" s="1"/>
  <c r="V282" i="19" a="1"/>
  <c r="V282" i="19" s="1"/>
  <c r="V264" i="19" a="1"/>
  <c r="V264" i="19" s="1"/>
  <c r="V255" i="19" a="1"/>
  <c r="V255" i="19" s="1"/>
  <c r="V237" i="19" a="1"/>
  <c r="V237" i="19" s="1"/>
  <c r="V210" i="19" a="1"/>
  <c r="V210" i="19" s="1"/>
  <c r="V193" i="19" a="1"/>
  <c r="V193" i="19" s="1"/>
  <c r="V184" i="19" a="1"/>
  <c r="V184" i="19" s="1"/>
  <c r="V168" i="19" a="1"/>
  <c r="V168" i="19" s="1"/>
  <c r="V117" i="19" a="1"/>
  <c r="V117" i="19" s="1"/>
  <c r="V81" i="19" a="1"/>
  <c r="V81" i="19" s="1"/>
  <c r="V28" i="19" a="1"/>
  <c r="V28" i="19" s="1"/>
  <c r="V290" i="19" a="1"/>
  <c r="V290" i="19" s="1"/>
  <c r="V272" i="19" a="1"/>
  <c r="V272" i="19" s="1"/>
  <c r="V192" i="19" a="1"/>
  <c r="V192" i="19" s="1"/>
  <c r="V174" i="19" a="1"/>
  <c r="V174" i="19" s="1"/>
  <c r="V37" i="19" a="1"/>
  <c r="V37" i="19" s="1"/>
  <c r="V228" i="19" a="1"/>
  <c r="V228" i="19" s="1"/>
  <c r="V156" i="19" a="1"/>
  <c r="V156" i="19" s="1"/>
  <c r="V89" i="19" a="1"/>
  <c r="V89" i="19" s="1"/>
  <c r="V63" i="19" a="1"/>
  <c r="V63" i="19" s="1"/>
  <c r="V36" i="19" a="1"/>
  <c r="V36" i="19" s="1"/>
  <c r="V263" i="19" a="1"/>
  <c r="V263" i="19" s="1"/>
  <c r="V236" i="19" a="1"/>
  <c r="V236" i="19" s="1"/>
  <c r="V209" i="19" a="1"/>
  <c r="V209" i="19" s="1"/>
  <c r="V165" i="19" a="1"/>
  <c r="V165" i="19" s="1"/>
  <c r="V145" i="19" a="1"/>
  <c r="V145" i="19" s="1"/>
  <c r="V126" i="19" a="1"/>
  <c r="V126" i="19" s="1"/>
  <c r="V107" i="19" a="1"/>
  <c r="V107" i="19" s="1"/>
  <c r="V98" i="19" a="1"/>
  <c r="V98" i="19" s="1"/>
  <c r="V80" i="19" a="1"/>
  <c r="V80" i="19" s="1"/>
  <c r="V71" i="19" a="1"/>
  <c r="V71" i="19" s="1"/>
  <c r="V53" i="19" a="1"/>
  <c r="V53" i="19" s="1"/>
  <c r="V26" i="19" a="1"/>
  <c r="V26" i="19" s="1"/>
  <c r="V289" i="19" a="1"/>
  <c r="V289" i="19" s="1"/>
  <c r="V262" i="19" a="1"/>
  <c r="V262" i="19" s="1"/>
  <c r="V244" i="19" a="1"/>
  <c r="V244" i="19" s="1"/>
  <c r="V217" i="19" a="1"/>
  <c r="V217" i="19" s="1"/>
  <c r="V191" i="19" a="1"/>
  <c r="V191" i="19" s="1"/>
  <c r="F378" i="1"/>
  <c r="P511" i="1"/>
  <c r="Q511" i="1" s="1"/>
  <c r="R511" i="1" s="1"/>
  <c r="T512" i="1" s="1"/>
  <c r="AN506" i="1"/>
  <c r="Q507" i="1"/>
  <c r="R507" i="1" s="1"/>
  <c r="S507" i="1" s="1"/>
  <c r="T508" i="1" s="1"/>
  <c r="EO40" i="19"/>
  <c r="EO74" i="19"/>
  <c r="EO33" i="19"/>
  <c r="EO70" i="19"/>
  <c r="EO21" i="19"/>
  <c r="EO63" i="19"/>
  <c r="EO35" i="19"/>
  <c r="EO57" i="19"/>
  <c r="EO60" i="19"/>
  <c r="EO28" i="19"/>
  <c r="EO49" i="19"/>
  <c r="EO43" i="19"/>
  <c r="EO34" i="19"/>
  <c r="EO19" i="19"/>
  <c r="EO66" i="19"/>
  <c r="EO38" i="19"/>
  <c r="EO65" i="19"/>
  <c r="EO73" i="19"/>
  <c r="EO72" i="19"/>
  <c r="EO24" i="19"/>
  <c r="EO15" i="19"/>
  <c r="EO32" i="19"/>
  <c r="EO64" i="19"/>
  <c r="EO30" i="19"/>
  <c r="EO26" i="19"/>
  <c r="EO68" i="19"/>
  <c r="EO42" i="19"/>
  <c r="EO44" i="19"/>
  <c r="EO25" i="19"/>
  <c r="EO62" i="19"/>
  <c r="EO71" i="19"/>
  <c r="EO61" i="19"/>
  <c r="EO55" i="19"/>
  <c r="EO75" i="19"/>
  <c r="EO20" i="19"/>
  <c r="EO16" i="19"/>
  <c r="EO67" i="19"/>
  <c r="EO69" i="19"/>
  <c r="EO31" i="19"/>
  <c r="EO52" i="19"/>
  <c r="EO48" i="19"/>
  <c r="EO41" i="19"/>
  <c r="EO56" i="19"/>
  <c r="EO37" i="19"/>
  <c r="EO47" i="19"/>
  <c r="EO58" i="19"/>
  <c r="EO51" i="19"/>
  <c r="EO29" i="19"/>
  <c r="EO53" i="19"/>
  <c r="EO39" i="19"/>
  <c r="EO13" i="19"/>
  <c r="EO17" i="19"/>
  <c r="EO23" i="19"/>
  <c r="EO50" i="19"/>
  <c r="EO18" i="19"/>
  <c r="EO45" i="19"/>
  <c r="EO22" i="19"/>
  <c r="EO76" i="19"/>
  <c r="EO54" i="19"/>
  <c r="EO59" i="19"/>
  <c r="EO36" i="19"/>
  <c r="EO14" i="19"/>
  <c r="EO27" i="19"/>
  <c r="EO46" i="19"/>
  <c r="H227" i="24"/>
  <c r="H229" i="24"/>
  <c r="T4" i="19"/>
  <c r="R54" i="19" a="1"/>
  <c r="R54" i="19" s="1"/>
  <c r="R173" i="19" a="1"/>
  <c r="R173" i="19" s="1"/>
  <c r="R172" i="19" a="1"/>
  <c r="R172" i="19" s="1"/>
  <c r="R171" i="19" a="1"/>
  <c r="R171" i="19" s="1"/>
  <c r="R170" i="19" a="1"/>
  <c r="R170" i="19" s="1"/>
  <c r="R169" i="19" a="1"/>
  <c r="R169" i="19" s="1"/>
  <c r="R168" i="19" a="1"/>
  <c r="R168" i="19" s="1"/>
  <c r="F54" i="5"/>
  <c r="F50" i="5"/>
  <c r="D643" i="1"/>
  <c r="B643" i="1" s="1"/>
  <c r="I643" i="1" s="1"/>
  <c r="G65" i="5"/>
  <c r="Q219" i="1"/>
  <c r="I218" i="1" s="1"/>
  <c r="Q267" i="2" s="1"/>
  <c r="H222" i="1"/>
  <c r="G222" i="1" s="1" a="1"/>
  <c r="G222" i="1" s="1"/>
  <c r="I297" i="9"/>
  <c r="I301" i="9" s="1"/>
  <c r="H230" i="24"/>
  <c r="K699" i="1" a="1"/>
  <c r="K699" i="1" s="1"/>
  <c r="K683" i="1" a="1"/>
  <c r="K683" i="1" s="1"/>
  <c r="J682" i="1" a="1"/>
  <c r="J682" i="1" s="1"/>
  <c r="Q140" i="1"/>
  <c r="H134" i="1"/>
  <c r="B674" i="1" a="1"/>
  <c r="B674" i="1" s="1"/>
  <c r="B673" i="1" a="1"/>
  <c r="B673" i="1" s="1"/>
  <c r="F348" i="1"/>
  <c r="F347" i="1"/>
  <c r="I132" i="24"/>
  <c r="I161" i="24"/>
  <c r="J132" i="24"/>
  <c r="J136" i="24"/>
  <c r="I144" i="24"/>
  <c r="C526" i="1"/>
  <c r="K135" i="1"/>
  <c r="Q156" i="2" s="1"/>
  <c r="A653" i="1"/>
  <c r="A679" i="1"/>
  <c r="F63" i="5"/>
  <c r="K63" i="5" s="1"/>
  <c r="F62" i="5"/>
  <c r="K62" i="5" s="1"/>
  <c r="F61" i="5"/>
  <c r="K61" i="5" s="1"/>
  <c r="F60" i="5"/>
  <c r="K60" i="5" s="1"/>
  <c r="F59" i="5"/>
  <c r="K59" i="5" s="1"/>
  <c r="F84" i="5"/>
  <c r="I86" i="5" s="1"/>
  <c r="B642" i="1"/>
  <c r="I642" i="1" s="1"/>
  <c r="J641" i="1"/>
  <c r="U683" i="1"/>
  <c r="U682" i="1"/>
  <c r="U685" i="1"/>
  <c r="U684" i="1"/>
  <c r="U687" i="1"/>
  <c r="U686" i="1"/>
  <c r="J268" i="24"/>
  <c r="J263" i="24"/>
  <c r="J257" i="24"/>
  <c r="J261" i="24"/>
  <c r="J266" i="24"/>
  <c r="J258" i="24"/>
  <c r="J269" i="24"/>
  <c r="J260" i="24"/>
  <c r="J264" i="24"/>
  <c r="J267" i="24"/>
  <c r="J262" i="24"/>
  <c r="J265" i="24"/>
  <c r="J259" i="24"/>
  <c r="A141" i="24"/>
  <c r="A142" i="24" s="1"/>
  <c r="A143" i="24" s="1"/>
  <c r="A144" i="24" s="1"/>
  <c r="C209" i="2"/>
  <c r="Q220" i="1"/>
  <c r="J218" i="1" s="1"/>
  <c r="G762" i="1"/>
  <c r="E297" i="9"/>
  <c r="E93" i="9"/>
  <c r="E79" i="9"/>
  <c r="L70" i="5"/>
  <c r="F83" i="5"/>
  <c r="G83" i="5" s="1"/>
  <c r="N673" i="1"/>
  <c r="N674" i="1" s="1"/>
  <c r="G76" i="5"/>
  <c r="G75" i="5"/>
  <c r="G74" i="5"/>
  <c r="G73" i="5"/>
  <c r="G72" i="5"/>
  <c r="G71" i="5"/>
  <c r="G77" i="5"/>
  <c r="L49" i="5"/>
  <c r="L51" i="5"/>
  <c r="L56" i="5"/>
  <c r="L50" i="5"/>
  <c r="L54" i="5"/>
  <c r="L55" i="5"/>
  <c r="L53" i="5"/>
  <c r="L52" i="5"/>
  <c r="G764" i="1"/>
  <c r="C163" i="3"/>
  <c r="C131" i="24"/>
  <c r="N98" i="24"/>
  <c r="O98" i="24" s="1"/>
  <c r="D127" i="5"/>
  <c r="D128" i="5" s="1"/>
  <c r="D129" i="5" s="1"/>
  <c r="G756" i="1"/>
  <c r="N108" i="3"/>
  <c r="B668" i="1"/>
  <c r="D47" i="5" s="1"/>
  <c r="L57" i="5"/>
  <c r="J149" i="24"/>
  <c r="J153" i="24"/>
  <c r="G749" i="1"/>
  <c r="G751" i="1"/>
  <c r="E45" i="9"/>
  <c r="D182" i="2"/>
  <c r="C7" i="5"/>
  <c r="C81" i="2"/>
  <c r="BE4" i="19"/>
  <c r="F89" i="1"/>
  <c r="C536" i="1"/>
  <c r="E536" i="1" s="1"/>
  <c r="F241" i="1"/>
  <c r="F631" i="1"/>
  <c r="F177" i="1"/>
  <c r="H232" i="24"/>
  <c r="F112" i="3"/>
  <c r="Q141" i="1"/>
  <c r="J135" i="1" s="1"/>
  <c r="CG279" i="19" a="1"/>
  <c r="CG279" i="19" s="1"/>
  <c r="T186" i="19" a="1"/>
  <c r="T186" i="19" s="1"/>
  <c r="BC58" i="19" a="1"/>
  <c r="BC58" i="19" s="1"/>
  <c r="BC140" i="19" a="1"/>
  <c r="BC140" i="19" s="1"/>
  <c r="CE36" i="19" a="1"/>
  <c r="CE36" i="19" s="1"/>
  <c r="CE332" i="19" a="1"/>
  <c r="CE332" i="19" s="1"/>
  <c r="H8" i="14"/>
  <c r="CE25" i="19" a="1"/>
  <c r="CE25" i="19" s="1"/>
  <c r="CE616" i="19" a="1"/>
  <c r="CE616" i="19" s="1"/>
  <c r="CE648" i="19" a="1"/>
  <c r="CE648" i="19" s="1"/>
  <c r="CE204" i="19" a="1"/>
  <c r="CE204" i="19" s="1"/>
  <c r="CE44" i="19" a="1"/>
  <c r="CE44" i="19" s="1"/>
  <c r="CE545" i="19" a="1"/>
  <c r="CE545" i="19" s="1"/>
  <c r="CE516" i="19" a="1"/>
  <c r="CE516" i="19" s="1"/>
  <c r="CE487" i="19" a="1"/>
  <c r="CE487" i="19" s="1"/>
  <c r="CE697" i="19" a="1"/>
  <c r="CE697" i="19" s="1"/>
  <c r="CE556" i="19" a="1"/>
  <c r="CE556" i="19" s="1"/>
  <c r="CE511" i="19" a="1"/>
  <c r="CE511" i="19" s="1"/>
  <c r="CE721" i="19" a="1"/>
  <c r="CE721" i="19" s="1"/>
  <c r="CE381" i="19" a="1"/>
  <c r="CE381" i="19" s="1"/>
  <c r="CE583" i="19" a="1"/>
  <c r="CE583" i="19" s="1"/>
  <c r="CE722" i="19" a="1"/>
  <c r="CE722" i="19" s="1"/>
  <c r="CE589" i="19" a="1"/>
  <c r="CE589" i="19" s="1"/>
  <c r="CE35" i="19" a="1"/>
  <c r="CE35" i="19" s="1"/>
  <c r="CE711" i="19" a="1"/>
  <c r="CE711" i="19" s="1"/>
  <c r="CE91" i="19" a="1"/>
  <c r="CE91" i="19" s="1"/>
  <c r="CE669" i="19" a="1"/>
  <c r="CE669" i="19" s="1"/>
  <c r="CE575" i="19" a="1"/>
  <c r="CE575" i="19" s="1"/>
  <c r="CE226" i="19" a="1"/>
  <c r="CE226" i="19" s="1"/>
  <c r="CE501" i="19" a="1"/>
  <c r="CE501" i="19" s="1"/>
  <c r="CE43" i="19" a="1"/>
  <c r="CE43" i="19" s="1"/>
  <c r="CE488" i="19" a="1"/>
  <c r="CE488" i="19" s="1"/>
  <c r="CE203" i="19" a="1"/>
  <c r="CE203" i="19" s="1"/>
  <c r="CE709" i="19" a="1"/>
  <c r="CE709" i="19" s="1"/>
  <c r="CE61" i="19" a="1"/>
  <c r="CE61" i="19" s="1"/>
  <c r="CE496" i="19" a="1"/>
  <c r="CE496" i="19" s="1"/>
  <c r="CE355" i="19" a="1"/>
  <c r="CE355" i="19" s="1"/>
  <c r="CE550" i="19" a="1"/>
  <c r="CE550" i="19" s="1"/>
  <c r="CE39" i="19" a="1"/>
  <c r="CE39" i="19" s="1"/>
  <c r="CE592" i="19" a="1"/>
  <c r="CE592" i="19" s="1"/>
  <c r="CE371" i="19" a="1"/>
  <c r="CE371" i="19" s="1"/>
  <c r="CE590" i="19" a="1"/>
  <c r="CE590" i="19" s="1"/>
  <c r="CE26" i="19" a="1"/>
  <c r="CE26" i="19" s="1"/>
  <c r="CE561" i="19" a="1"/>
  <c r="CE561" i="19" s="1"/>
  <c r="CE548" i="19" a="1"/>
  <c r="CE548" i="19" s="1"/>
  <c r="N153" i="5"/>
  <c r="B153" i="5" s="1"/>
  <c r="I124" i="1"/>
  <c r="Q137" i="2" s="1"/>
  <c r="CE50" i="19" a="1"/>
  <c r="CE50" i="19" s="1"/>
  <c r="CE128" i="19" a="1"/>
  <c r="CE128" i="19" s="1"/>
  <c r="CE97" i="19" a="1"/>
  <c r="CE97" i="19" s="1"/>
  <c r="CE266" i="19" a="1"/>
  <c r="CE266" i="19" s="1"/>
  <c r="CE379" i="19" a="1"/>
  <c r="CE379" i="19" s="1"/>
  <c r="CE572" i="19" a="1"/>
  <c r="CE572" i="19" s="1"/>
  <c r="CE717" i="19" a="1"/>
  <c r="CE717" i="19" s="1"/>
  <c r="CE239" i="19" a="1"/>
  <c r="CE239" i="19" s="1"/>
  <c r="CE208" i="19" a="1"/>
  <c r="CE208" i="19" s="1"/>
  <c r="CE113" i="19" a="1"/>
  <c r="CE113" i="19" s="1"/>
  <c r="CE354" i="19" a="1"/>
  <c r="CE354" i="19" s="1"/>
  <c r="CE403" i="19" a="1"/>
  <c r="CE403" i="19" s="1"/>
  <c r="CE684" i="19" a="1"/>
  <c r="CE684" i="19" s="1"/>
  <c r="CE166" i="19" a="1"/>
  <c r="CE166" i="19" s="1"/>
  <c r="CE247" i="19" a="1"/>
  <c r="CE247" i="19" s="1"/>
  <c r="CE224" i="19" a="1"/>
  <c r="CE224" i="19" s="1"/>
  <c r="CE201" i="19" a="1"/>
  <c r="CE201" i="19" s="1"/>
  <c r="CE370" i="19" a="1"/>
  <c r="CE370" i="19" s="1"/>
  <c r="CE499" i="19" a="1"/>
  <c r="CE499" i="19" s="1"/>
  <c r="CE716" i="19" a="1"/>
  <c r="CE716" i="19" s="1"/>
  <c r="CE190" i="19" a="1"/>
  <c r="CE190" i="19" s="1"/>
  <c r="CE27" i="19" a="1"/>
  <c r="CE27" i="19" s="1"/>
  <c r="CE255" i="19" a="1"/>
  <c r="CE255" i="19" s="1"/>
  <c r="CE232" i="19" a="1"/>
  <c r="CE232" i="19" s="1"/>
  <c r="CE209" i="19" a="1"/>
  <c r="CE209" i="19" s="1"/>
  <c r="CE386" i="19" a="1"/>
  <c r="CE386" i="19" s="1"/>
  <c r="CE691" i="19" a="1"/>
  <c r="CE691" i="19" s="1"/>
  <c r="CE189" i="19" a="1"/>
  <c r="CE189" i="19" s="1"/>
  <c r="CE366" i="19" a="1"/>
  <c r="CE366" i="19" s="1"/>
  <c r="CE14" i="19" a="1"/>
  <c r="CE14" i="19" s="1"/>
  <c r="CE271" i="19" a="1"/>
  <c r="CE271" i="19" s="1"/>
  <c r="CE344" i="19" a="1"/>
  <c r="CE344" i="19" s="1"/>
  <c r="CE257" i="19" a="1"/>
  <c r="CE257" i="19" s="1"/>
  <c r="CE522" i="19" a="1"/>
  <c r="CE522" i="19" s="1"/>
  <c r="CE92" i="19" a="1"/>
  <c r="CE92" i="19" s="1"/>
  <c r="CE205" i="19" a="1"/>
  <c r="CE205" i="19" s="1"/>
  <c r="CE406" i="19" a="1"/>
  <c r="CE406" i="19" s="1"/>
  <c r="CE15" i="19" a="1"/>
  <c r="CE15" i="19" s="1"/>
  <c r="CE351" i="19" a="1"/>
  <c r="CE351" i="19" s="1"/>
  <c r="CE368" i="19" a="1"/>
  <c r="CE368" i="19" s="1"/>
  <c r="CE385" i="19" a="1"/>
  <c r="CE385" i="19" s="1"/>
  <c r="CE706" i="19" a="1"/>
  <c r="CE706" i="19" s="1"/>
  <c r="CE172" i="19" a="1"/>
  <c r="CE172" i="19" s="1"/>
  <c r="CE229" i="19" a="1"/>
  <c r="CE229" i="19" s="1"/>
  <c r="CE422" i="19" a="1"/>
  <c r="CE422" i="19" s="1"/>
  <c r="CE31" i="19" a="1"/>
  <c r="CE31" i="19" s="1"/>
  <c r="CE479" i="19" a="1"/>
  <c r="CE479" i="19" s="1"/>
  <c r="CE480" i="19" a="1"/>
  <c r="CE480" i="19" s="1"/>
  <c r="CE513" i="19" a="1"/>
  <c r="CE513" i="19" s="1"/>
  <c r="CE714" i="19" a="1"/>
  <c r="CE714" i="19" s="1"/>
  <c r="CE188" i="19" a="1"/>
  <c r="CE188" i="19" s="1"/>
  <c r="CE349" i="19" a="1"/>
  <c r="CE349" i="19" s="1"/>
  <c r="CE526" i="19" a="1"/>
  <c r="CE526" i="19" s="1"/>
  <c r="J124" i="1"/>
  <c r="CG454" i="19" a="1"/>
  <c r="CG454" i="19" s="1"/>
  <c r="T100" i="19" a="1"/>
  <c r="T100" i="19" s="1"/>
  <c r="CG83" i="19" a="1"/>
  <c r="CG83" i="19" s="1"/>
  <c r="T272" i="19" a="1"/>
  <c r="T272" i="19" s="1"/>
  <c r="CG349" i="19" a="1"/>
  <c r="CG349" i="19" s="1"/>
  <c r="CG423" i="19" a="1"/>
  <c r="CG423" i="19" s="1"/>
  <c r="I126" i="9"/>
  <c r="H231" i="24"/>
  <c r="H294" i="9"/>
  <c r="CG139" i="19" a="1"/>
  <c r="CG139" i="19" s="1"/>
  <c r="C312" i="9" a="1"/>
  <c r="C312" i="9" s="1"/>
  <c r="C315" i="9" s="1" a="1"/>
  <c r="C315" i="9" s="1"/>
  <c r="H295" i="9"/>
  <c r="I512" i="9"/>
  <c r="I158" i="9"/>
  <c r="I161" i="9" s="1"/>
  <c r="T101" i="19" a="1"/>
  <c r="T101" i="19" s="1"/>
  <c r="T187" i="19" a="1"/>
  <c r="T187" i="19" s="1"/>
  <c r="T273" i="19" a="1"/>
  <c r="T273" i="19" s="1"/>
  <c r="T188" i="19" a="1"/>
  <c r="T188" i="19" s="1"/>
  <c r="T122" i="19" a="1"/>
  <c r="T122" i="19" s="1"/>
  <c r="T206" i="19" a="1"/>
  <c r="T206" i="19" s="1"/>
  <c r="T297" i="19" a="1"/>
  <c r="T297" i="19" s="1"/>
  <c r="BC328" i="19" a="1"/>
  <c r="BC328" i="19" s="1"/>
  <c r="CG375" i="19" a="1"/>
  <c r="CG375" i="19" s="1"/>
  <c r="CG241" i="19" a="1"/>
  <c r="CG241" i="19" s="1"/>
  <c r="T33" i="19" a="1"/>
  <c r="T33" i="19" s="1"/>
  <c r="T124" i="19" a="1"/>
  <c r="T124" i="19" s="1"/>
  <c r="T208" i="19" a="1"/>
  <c r="T208" i="19" s="1"/>
  <c r="T300" i="19" a="1"/>
  <c r="T300" i="19" s="1"/>
  <c r="T37" i="19" a="1"/>
  <c r="T37" i="19" s="1"/>
  <c r="T142" i="19" a="1"/>
  <c r="T142" i="19" s="1"/>
  <c r="T228" i="19" a="1"/>
  <c r="T228" i="19" s="1"/>
  <c r="B591" i="9"/>
  <c r="T53" i="19" a="1"/>
  <c r="T53" i="19" s="1"/>
  <c r="T143" i="19" a="1"/>
  <c r="T143" i="19" s="1"/>
  <c r="T229" i="19" a="1"/>
  <c r="T229" i="19" s="1"/>
  <c r="CG115" i="19" a="1"/>
  <c r="CG115" i="19" s="1"/>
  <c r="T59" i="19" a="1"/>
  <c r="T59" i="19" s="1"/>
  <c r="T144" i="19" a="1"/>
  <c r="T144" i="19" s="1"/>
  <c r="T230" i="19" a="1"/>
  <c r="T230" i="19" s="1"/>
  <c r="H225" i="24"/>
  <c r="T60" i="19" a="1"/>
  <c r="T60" i="19" s="1"/>
  <c r="T163" i="19" a="1"/>
  <c r="T163" i="19" s="1"/>
  <c r="T249" i="19" a="1"/>
  <c r="T249" i="19" s="1"/>
  <c r="CG259" i="19" a="1"/>
  <c r="CG259" i="19" s="1"/>
  <c r="T102" i="19" a="1"/>
  <c r="T102" i="19" s="1"/>
  <c r="T275" i="19" a="1"/>
  <c r="T275" i="19" s="1"/>
  <c r="T32" i="19" a="1"/>
  <c r="T32" i="19" s="1"/>
  <c r="T123" i="19" a="1"/>
  <c r="T123" i="19" s="1"/>
  <c r="T207" i="19" a="1"/>
  <c r="T207" i="19" s="1"/>
  <c r="T298" i="19" a="1"/>
  <c r="T298" i="19" s="1"/>
  <c r="T80" i="19" a="1"/>
  <c r="T80" i="19" s="1"/>
  <c r="T165" i="19" a="1"/>
  <c r="T165" i="19" s="1"/>
  <c r="T250" i="19" a="1"/>
  <c r="T250" i="19" s="1"/>
  <c r="T81" i="19" a="1"/>
  <c r="T81" i="19" s="1"/>
  <c r="T170" i="19" a="1"/>
  <c r="T170" i="19" s="1"/>
  <c r="T251" i="19" a="1"/>
  <c r="T251" i="19" s="1"/>
  <c r="A21" i="4" a="1"/>
  <c r="A21" i="4" s="1"/>
  <c r="BC39" i="19" a="1"/>
  <c r="BC39" i="19" s="1"/>
  <c r="BC268" i="19" a="1"/>
  <c r="BC268" i="19" s="1"/>
  <c r="BC344" i="19" a="1"/>
  <c r="BC344" i="19" s="1"/>
  <c r="BC72" i="19" a="1"/>
  <c r="BC72" i="19" s="1"/>
  <c r="P504" i="1"/>
  <c r="BC71" i="19" a="1"/>
  <c r="BC71" i="19" s="1"/>
  <c r="BC287" i="19" a="1"/>
  <c r="BC287" i="19" s="1"/>
  <c r="BC202" i="19" a="1"/>
  <c r="BC202" i="19" s="1"/>
  <c r="BC80" i="19" a="1"/>
  <c r="BC80" i="19" s="1"/>
  <c r="CE48" i="19" a="1"/>
  <c r="CE48" i="19" s="1"/>
  <c r="CE375" i="19" a="1"/>
  <c r="CE375" i="19" s="1"/>
  <c r="CE240" i="19" a="1"/>
  <c r="CE240" i="19" s="1"/>
  <c r="CE177" i="19" a="1"/>
  <c r="CE177" i="19" s="1"/>
  <c r="CE242" i="19" a="1"/>
  <c r="CE242" i="19" s="1"/>
  <c r="CE227" i="19" a="1"/>
  <c r="CE227" i="19" s="1"/>
  <c r="CE252" i="19" a="1"/>
  <c r="CE252" i="19" s="1"/>
  <c r="CE325" i="19" a="1"/>
  <c r="CE325" i="19" s="1"/>
  <c r="CE398" i="19" a="1"/>
  <c r="CE398" i="19" s="1"/>
  <c r="CG205" i="19" a="1"/>
  <c r="CG205" i="19" s="1"/>
  <c r="BC103" i="19" a="1"/>
  <c r="BC103" i="19" s="1"/>
  <c r="BC115" i="19" a="1"/>
  <c r="BC115" i="19" s="1"/>
  <c r="BC210" i="19" a="1"/>
  <c r="BC210" i="19" s="1"/>
  <c r="BC128" i="19" a="1"/>
  <c r="BC128" i="19" s="1"/>
  <c r="BC478" i="19" a="1"/>
  <c r="BC478" i="19" s="1"/>
  <c r="BC131" i="19" a="1"/>
  <c r="BC131" i="19" s="1"/>
  <c r="BC474" i="19" a="1"/>
  <c r="BC474" i="19" s="1"/>
  <c r="BC397" i="19" a="1"/>
  <c r="BC397" i="19" s="1"/>
  <c r="BC42" i="19" a="1"/>
  <c r="BC42" i="19" s="1"/>
  <c r="BC254" i="19" a="1"/>
  <c r="BC254" i="19" s="1"/>
  <c r="BC506" i="19" a="1"/>
  <c r="BC506" i="19" s="1"/>
  <c r="BC429" i="19" a="1"/>
  <c r="BC429" i="19" s="1"/>
  <c r="BC358" i="19" a="1"/>
  <c r="BC358" i="19" s="1"/>
  <c r="BC148" i="19" a="1"/>
  <c r="BC148" i="19" s="1"/>
  <c r="BC195" i="19" a="1"/>
  <c r="BC195" i="19" s="1"/>
  <c r="BC81" i="19" a="1"/>
  <c r="BC81" i="19" s="1"/>
  <c r="BC163" i="19" a="1"/>
  <c r="BC163" i="19" s="1"/>
  <c r="BC211" i="19" a="1"/>
  <c r="BC211" i="19" s="1"/>
  <c r="CE69" i="19" a="1"/>
  <c r="CE69" i="19" s="1"/>
  <c r="CE135" i="19" a="1"/>
  <c r="CE135" i="19" s="1"/>
  <c r="CE607" i="19" a="1"/>
  <c r="CE607" i="19" s="1"/>
  <c r="CE520" i="19" a="1"/>
  <c r="CE520" i="19" s="1"/>
  <c r="CE537" i="19" a="1"/>
  <c r="CE537" i="19" s="1"/>
  <c r="CE602" i="19" a="1"/>
  <c r="CE602" i="19" s="1"/>
  <c r="CE571" i="19" a="1"/>
  <c r="CE571" i="19" s="1"/>
  <c r="CE596" i="19" a="1"/>
  <c r="CE596" i="19" s="1"/>
  <c r="CE693" i="19" a="1"/>
  <c r="CE693" i="19" s="1"/>
  <c r="CG430" i="19" a="1"/>
  <c r="CG430" i="19" s="1"/>
  <c r="CG429" i="19" a="1"/>
  <c r="CG429" i="19" s="1"/>
  <c r="BC206" i="19" a="1"/>
  <c r="BC206" i="19" s="1"/>
  <c r="BC369" i="19" a="1"/>
  <c r="BC369" i="19" s="1"/>
  <c r="BC219" i="19" a="1"/>
  <c r="BC219" i="19" s="1"/>
  <c r="BC279" i="19" a="1"/>
  <c r="BC279" i="19" s="1"/>
  <c r="BC377" i="19" a="1"/>
  <c r="BC377" i="19" s="1"/>
  <c r="BC443" i="19" a="1"/>
  <c r="BC443" i="19" s="1"/>
  <c r="BC324" i="19" a="1"/>
  <c r="BC324" i="19" s="1"/>
  <c r="BC385" i="19" a="1"/>
  <c r="BC385" i="19" s="1"/>
  <c r="BC499" i="19" a="1"/>
  <c r="BC499" i="19" s="1"/>
  <c r="BC223" i="19" a="1"/>
  <c r="BC223" i="19" s="1"/>
  <c r="BC320" i="19" a="1"/>
  <c r="BC320" i="19" s="1"/>
  <c r="BC348" i="19" a="1"/>
  <c r="BC348" i="19" s="1"/>
  <c r="F355" i="1"/>
  <c r="F240" i="1"/>
  <c r="C426" i="1"/>
  <c r="C450" i="1"/>
  <c r="C462" i="1"/>
  <c r="F388" i="1"/>
  <c r="C414" i="1"/>
  <c r="C539" i="1"/>
  <c r="E539" i="1" s="1"/>
  <c r="C438" i="1"/>
  <c r="C439" i="1"/>
  <c r="F168" i="1"/>
  <c r="C417" i="1"/>
  <c r="F361" i="1"/>
  <c r="F873" i="1"/>
  <c r="BC4" i="19"/>
  <c r="F357" i="1"/>
  <c r="C419" i="1"/>
  <c r="C451" i="1"/>
  <c r="F210" i="1"/>
  <c r="F16" i="1"/>
  <c r="C427" i="1"/>
  <c r="C463" i="1"/>
  <c r="F358" i="1"/>
  <c r="F885" i="1"/>
  <c r="F162" i="1"/>
  <c r="F234" i="1"/>
  <c r="F152" i="1"/>
  <c r="F209" i="1"/>
  <c r="C470" i="1"/>
  <c r="C420" i="1"/>
  <c r="C433" i="1"/>
  <c r="C445" i="1"/>
  <c r="C457" i="1"/>
  <c r="C469" i="1"/>
  <c r="C409" i="1"/>
  <c r="D537" i="1"/>
  <c r="B535" i="1" s="1"/>
  <c r="F379" i="1"/>
  <c r="F771" i="1"/>
  <c r="F359" i="1"/>
  <c r="C532" i="1"/>
  <c r="C510" i="1" s="1"/>
  <c r="C421" i="1"/>
  <c r="C407" i="1"/>
  <c r="F774" i="1"/>
  <c r="F195" i="1"/>
  <c r="V512" i="1"/>
  <c r="W512" i="1" s="1"/>
  <c r="C411" i="1"/>
  <c r="C424" i="1"/>
  <c r="C436" i="1"/>
  <c r="C448" i="1"/>
  <c r="C460" i="1"/>
  <c r="F876" i="1"/>
  <c r="F76" i="1"/>
  <c r="F231" i="1"/>
  <c r="F632" i="1"/>
  <c r="F95" i="1"/>
  <c r="CI4" i="19"/>
  <c r="F343" i="1"/>
  <c r="F630" i="1"/>
  <c r="F193" i="1"/>
  <c r="C413" i="1"/>
  <c r="F189" i="1"/>
  <c r="F92" i="1"/>
  <c r="F944" i="1"/>
  <c r="F178" i="1"/>
  <c r="C415" i="1"/>
  <c r="C428" i="1"/>
  <c r="C440" i="1"/>
  <c r="C452" i="1"/>
  <c r="C464" i="1"/>
  <c r="F875" i="1"/>
  <c r="J221" i="1"/>
  <c r="Q277" i="2" s="1"/>
  <c r="Q226" i="1"/>
  <c r="J223" i="1" s="1" a="1"/>
  <c r="J223" i="1" s="1"/>
  <c r="Q276" i="2" s="1"/>
  <c r="C533" i="1"/>
  <c r="C511" i="1" s="1"/>
  <c r="H220" i="1"/>
  <c r="C269" i="2"/>
  <c r="H219" i="1"/>
  <c r="G219" i="1" s="1"/>
  <c r="H46" i="9"/>
  <c r="I46" i="9" s="1"/>
  <c r="I221" i="1"/>
  <c r="Q266" i="2" s="1"/>
  <c r="B42" i="14"/>
  <c r="B820" i="1"/>
  <c r="R19" i="19" a="1"/>
  <c r="R19" i="19" s="1"/>
  <c r="R122" i="19" a="1"/>
  <c r="R122" i="19" s="1"/>
  <c r="R38" i="19" a="1"/>
  <c r="R38" i="19" s="1"/>
  <c r="R18" i="19" a="1"/>
  <c r="R18" i="19" s="1"/>
  <c r="Q244" i="26"/>
  <c r="Q196" i="26"/>
  <c r="Q194" i="26"/>
  <c r="Q198" i="26"/>
  <c r="Q266" i="26"/>
  <c r="A472" i="9" a="1"/>
  <c r="A472" i="9" s="1"/>
  <c r="A475" i="9" s="1" a="1"/>
  <c r="A475" i="9" s="1"/>
  <c r="I468" i="9"/>
  <c r="T13" i="19" a="1"/>
  <c r="T13" i="19" s="1"/>
  <c r="T39" i="19" a="1"/>
  <c r="T39" i="19" s="1"/>
  <c r="T62" i="19" a="1"/>
  <c r="T62" i="19" s="1"/>
  <c r="T82" i="19" a="1"/>
  <c r="T82" i="19" s="1"/>
  <c r="T103" i="19" a="1"/>
  <c r="T103" i="19" s="1"/>
  <c r="T128" i="19" a="1"/>
  <c r="T128" i="19" s="1"/>
  <c r="T145" i="19" a="1"/>
  <c r="T145" i="19" s="1"/>
  <c r="T172" i="19" a="1"/>
  <c r="T172" i="19" s="1"/>
  <c r="T192" i="19" a="1"/>
  <c r="T192" i="19" s="1"/>
  <c r="T209" i="19" a="1"/>
  <c r="T209" i="19" s="1"/>
  <c r="T231" i="19" a="1"/>
  <c r="T231" i="19" s="1"/>
  <c r="T252" i="19" a="1"/>
  <c r="T252" i="19" s="1"/>
  <c r="T280" i="19" a="1"/>
  <c r="T280" i="19" s="1"/>
  <c r="M48" i="9"/>
  <c r="BC135" i="19" a="1"/>
  <c r="BC135" i="19" s="1"/>
  <c r="BC326" i="19" a="1"/>
  <c r="BC326" i="19" s="1"/>
  <c r="BC270" i="19" a="1"/>
  <c r="BC270" i="19" s="1"/>
  <c r="BC303" i="19" a="1"/>
  <c r="BC303" i="19" s="1"/>
  <c r="BC487" i="19" a="1"/>
  <c r="BC487" i="19" s="1"/>
  <c r="BC342" i="19" a="1"/>
  <c r="BC342" i="19" s="1"/>
  <c r="BC170" i="19" a="1"/>
  <c r="BC170" i="19" s="1"/>
  <c r="BC393" i="19" a="1"/>
  <c r="BC393" i="19" s="1"/>
  <c r="BC488" i="19" a="1"/>
  <c r="BC488" i="19" s="1"/>
  <c r="BC218" i="19" a="1"/>
  <c r="BC218" i="19" s="1"/>
  <c r="BC376" i="19" a="1"/>
  <c r="BC376" i="19" s="1"/>
  <c r="BC251" i="19" a="1"/>
  <c r="BC251" i="19" s="1"/>
  <c r="BC160" i="19" a="1"/>
  <c r="BC160" i="19" s="1"/>
  <c r="CG251" i="19" a="1"/>
  <c r="CG251" i="19" s="1"/>
  <c r="CG168" i="19" a="1"/>
  <c r="CG168" i="19" s="1"/>
  <c r="CG29" i="19" a="1"/>
  <c r="CG29" i="19" s="1"/>
  <c r="CG427" i="19" a="1"/>
  <c r="CG427" i="19" s="1"/>
  <c r="T14" i="19" a="1"/>
  <c r="T14" i="19" s="1"/>
  <c r="T40" i="19" a="1"/>
  <c r="T40" i="19" s="1"/>
  <c r="T83" i="19" a="1"/>
  <c r="T83" i="19" s="1"/>
  <c r="T130" i="19" a="1"/>
  <c r="T130" i="19" s="1"/>
  <c r="T151" i="19" a="1"/>
  <c r="T151" i="19" s="1"/>
  <c r="T194" i="19" a="1"/>
  <c r="T194" i="19" s="1"/>
  <c r="T214" i="19" a="1"/>
  <c r="T214" i="19" s="1"/>
  <c r="T235" i="19" a="1"/>
  <c r="T235" i="19" s="1"/>
  <c r="T257" i="19" a="1"/>
  <c r="T257" i="19" s="1"/>
  <c r="BC172" i="19" a="1"/>
  <c r="BC172" i="19" s="1"/>
  <c r="BC334" i="19" a="1"/>
  <c r="BC334" i="19" s="1"/>
  <c r="BC252" i="19" a="1"/>
  <c r="BC252" i="19" s="1"/>
  <c r="BC374" i="19" a="1"/>
  <c r="BC374" i="19" s="1"/>
  <c r="BC177" i="19" a="1"/>
  <c r="BC177" i="19" s="1"/>
  <c r="BC441" i="19" a="1"/>
  <c r="BC441" i="19" s="1"/>
  <c r="BC13" i="19" a="1"/>
  <c r="BC13" i="19" s="1"/>
  <c r="BC274" i="19" a="1"/>
  <c r="BC274" i="19" s="1"/>
  <c r="BC392" i="19" a="1"/>
  <c r="BC392" i="19" s="1"/>
  <c r="BC283" i="19" a="1"/>
  <c r="BC283" i="19" s="1"/>
  <c r="BC356" i="19" a="1"/>
  <c r="BC356" i="19" s="1"/>
  <c r="BC173" i="19" a="1"/>
  <c r="BC173" i="19" s="1"/>
  <c r="CG359" i="19" a="1"/>
  <c r="CG359" i="19" s="1"/>
  <c r="CG192" i="19" a="1"/>
  <c r="CG192" i="19" s="1"/>
  <c r="CG125" i="19" a="1"/>
  <c r="CG125" i="19" s="1"/>
  <c r="CG463" i="19" a="1"/>
  <c r="CG463" i="19" s="1"/>
  <c r="T20" i="19" a="1"/>
  <c r="T20" i="19" s="1"/>
  <c r="T41" i="19" a="1"/>
  <c r="T41" i="19" s="1"/>
  <c r="T64" i="19" a="1"/>
  <c r="T64" i="19" s="1"/>
  <c r="T88" i="19" a="1"/>
  <c r="T88" i="19" s="1"/>
  <c r="T110" i="19" a="1"/>
  <c r="T110" i="19" s="1"/>
  <c r="T132" i="19" a="1"/>
  <c r="T132" i="19" s="1"/>
  <c r="T152" i="19" a="1"/>
  <c r="T152" i="19" s="1"/>
  <c r="T174" i="19" a="1"/>
  <c r="T174" i="19" s="1"/>
  <c r="T195" i="19" a="1"/>
  <c r="T195" i="19" s="1"/>
  <c r="T216" i="19" a="1"/>
  <c r="T216" i="19" s="1"/>
  <c r="T237" i="19" a="1"/>
  <c r="T237" i="19" s="1"/>
  <c r="T259" i="19" a="1"/>
  <c r="T259" i="19" s="1"/>
  <c r="T283" i="19" a="1"/>
  <c r="T283" i="19" s="1"/>
  <c r="BC17" i="19" a="1"/>
  <c r="BC17" i="19" s="1"/>
  <c r="BC214" i="19" a="1"/>
  <c r="BC214" i="19" s="1"/>
  <c r="BC479" i="19" a="1"/>
  <c r="BC479" i="19" s="1"/>
  <c r="BC462" i="19" a="1"/>
  <c r="BC462" i="19" s="1"/>
  <c r="BC447" i="19" a="1"/>
  <c r="BC447" i="19" s="1"/>
  <c r="BC271" i="19" a="1"/>
  <c r="BC271" i="19" s="1"/>
  <c r="BC502" i="19" a="1"/>
  <c r="BC502" i="19" s="1"/>
  <c r="BC233" i="19" a="1"/>
  <c r="BC233" i="19" s="1"/>
  <c r="BC457" i="19" a="1"/>
  <c r="BC457" i="19" s="1"/>
  <c r="BC53" i="19" a="1"/>
  <c r="BC53" i="19" s="1"/>
  <c r="BC290" i="19" a="1"/>
  <c r="BC290" i="19" s="1"/>
  <c r="BC408" i="19" a="1"/>
  <c r="BC408" i="19" s="1"/>
  <c r="BC323" i="19" a="1"/>
  <c r="BC323" i="19" s="1"/>
  <c r="BC364" i="19" a="1"/>
  <c r="BC364" i="19" s="1"/>
  <c r="BC189" i="19" a="1"/>
  <c r="BC189" i="19" s="1"/>
  <c r="CG395" i="19" a="1"/>
  <c r="CG395" i="19" s="1"/>
  <c r="CG324" i="19" a="1"/>
  <c r="CG324" i="19" s="1"/>
  <c r="CG173" i="19" a="1"/>
  <c r="CG173" i="19" s="1"/>
  <c r="CG68" i="19" a="1"/>
  <c r="CG68" i="19" s="1"/>
  <c r="I508" i="9"/>
  <c r="T43" i="19" a="1"/>
  <c r="T43" i="19" s="1"/>
  <c r="T70" i="19" a="1"/>
  <c r="T70" i="19" s="1"/>
  <c r="T90" i="19" a="1"/>
  <c r="T90" i="19" s="1"/>
  <c r="T111" i="19" a="1"/>
  <c r="T111" i="19" s="1"/>
  <c r="T133" i="19" a="1"/>
  <c r="T133" i="19" s="1"/>
  <c r="T153" i="19" a="1"/>
  <c r="T153" i="19" s="1"/>
  <c r="T175" i="19" a="1"/>
  <c r="T175" i="19" s="1"/>
  <c r="T196" i="19" a="1"/>
  <c r="T196" i="19" s="1"/>
  <c r="T217" i="19" a="1"/>
  <c r="T217" i="19" s="1"/>
  <c r="T261" i="19" a="1"/>
  <c r="T261" i="19" s="1"/>
  <c r="T284" i="19" a="1"/>
  <c r="T284" i="19" s="1"/>
  <c r="M47" i="9"/>
  <c r="BC65" i="19" a="1"/>
  <c r="BC65" i="19" s="1"/>
  <c r="BC375" i="19" a="1"/>
  <c r="BC375" i="19" s="1"/>
  <c r="BC75" i="19" a="1"/>
  <c r="BC75" i="19" s="1"/>
  <c r="BC23" i="19" a="1"/>
  <c r="BC23" i="19" s="1"/>
  <c r="BC91" i="19" a="1"/>
  <c r="BC91" i="19" s="1"/>
  <c r="BC316" i="19" a="1"/>
  <c r="BC316" i="19" s="1"/>
  <c r="BC20" i="19" a="1"/>
  <c r="BC20" i="19" s="1"/>
  <c r="BC249" i="19" a="1"/>
  <c r="BC249" i="19" s="1"/>
  <c r="BC473" i="19" a="1"/>
  <c r="BC473" i="19" s="1"/>
  <c r="BC69" i="19" a="1"/>
  <c r="BC69" i="19" s="1"/>
  <c r="BC298" i="19" a="1"/>
  <c r="BC298" i="19" s="1"/>
  <c r="BC14" i="19" a="1"/>
  <c r="BC14" i="19" s="1"/>
  <c r="BC331" i="19" a="1"/>
  <c r="BC331" i="19" s="1"/>
  <c r="BC428" i="19" a="1"/>
  <c r="BC428" i="19" s="1"/>
  <c r="BC261" i="19" a="1"/>
  <c r="BC261" i="19" s="1"/>
  <c r="CG146" i="19" a="1"/>
  <c r="CG146" i="19" s="1"/>
  <c r="CG492" i="19" a="1"/>
  <c r="CG492" i="19" s="1"/>
  <c r="CG413" i="19" a="1"/>
  <c r="CG413" i="19" s="1"/>
  <c r="CG248" i="19" a="1"/>
  <c r="CG248" i="19" s="1"/>
  <c r="T21" i="19" a="1"/>
  <c r="T21" i="19" s="1"/>
  <c r="T47" i="19" a="1"/>
  <c r="T47" i="19" s="1"/>
  <c r="T71" i="19" a="1"/>
  <c r="T71" i="19" s="1"/>
  <c r="T112" i="19" a="1"/>
  <c r="T112" i="19" s="1"/>
  <c r="T134" i="19" a="1"/>
  <c r="T134" i="19" s="1"/>
  <c r="T154" i="19" a="1"/>
  <c r="T154" i="19" s="1"/>
  <c r="T176" i="19" a="1"/>
  <c r="T176" i="19" s="1"/>
  <c r="T197" i="19" a="1"/>
  <c r="T197" i="19" s="1"/>
  <c r="T218" i="19" a="1"/>
  <c r="T218" i="19" s="1"/>
  <c r="T238" i="19" a="1"/>
  <c r="T238" i="19" s="1"/>
  <c r="T262" i="19" a="1"/>
  <c r="T262" i="19" s="1"/>
  <c r="BC366" i="19" a="1"/>
  <c r="BC366" i="19" s="1"/>
  <c r="BC25" i="19" a="1"/>
  <c r="BC25" i="19" s="1"/>
  <c r="BC123" i="19" a="1"/>
  <c r="BC123" i="19" s="1"/>
  <c r="BC153" i="19" a="1"/>
  <c r="BC153" i="19" s="1"/>
  <c r="BC15" i="19" a="1"/>
  <c r="BC15" i="19" s="1"/>
  <c r="BC335" i="19" a="1"/>
  <c r="BC335" i="19" s="1"/>
  <c r="BC36" i="19" a="1"/>
  <c r="BC36" i="19" s="1"/>
  <c r="BC257" i="19" a="1"/>
  <c r="BC257" i="19" s="1"/>
  <c r="BC497" i="19" a="1"/>
  <c r="BC497" i="19" s="1"/>
  <c r="BC77" i="19" a="1"/>
  <c r="BC77" i="19" s="1"/>
  <c r="BC378" i="19" a="1"/>
  <c r="BC378" i="19" s="1"/>
  <c r="BC30" i="19" a="1"/>
  <c r="BC30" i="19" s="1"/>
  <c r="BC339" i="19" a="1"/>
  <c r="BC339" i="19" s="1"/>
  <c r="BC444" i="19" a="1"/>
  <c r="BC444" i="19" s="1"/>
  <c r="BC285" i="19" a="1"/>
  <c r="BC285" i="19" s="1"/>
  <c r="CG170" i="19" a="1"/>
  <c r="CG170" i="19" s="1"/>
  <c r="CG100" i="19" a="1"/>
  <c r="CG100" i="19" s="1"/>
  <c r="CG437" i="19" a="1"/>
  <c r="CG437" i="19" s="1"/>
  <c r="CG344" i="19" a="1"/>
  <c r="CG344" i="19" s="1"/>
  <c r="T63" i="19" a="1"/>
  <c r="T63" i="19" s="1"/>
  <c r="T108" i="19" a="1"/>
  <c r="T108" i="19" s="1"/>
  <c r="T173" i="19" a="1"/>
  <c r="T173" i="19" s="1"/>
  <c r="T281" i="19" a="1"/>
  <c r="T281" i="19" s="1"/>
  <c r="BC351" i="19" a="1"/>
  <c r="BC351" i="19" s="1"/>
  <c r="T22" i="19" a="1"/>
  <c r="T22" i="19" s="1"/>
  <c r="T49" i="19" a="1"/>
  <c r="T49" i="19" s="1"/>
  <c r="T72" i="19" a="1"/>
  <c r="T72" i="19" s="1"/>
  <c r="T91" i="19" a="1"/>
  <c r="T91" i="19" s="1"/>
  <c r="T114" i="19" a="1"/>
  <c r="T114" i="19" s="1"/>
  <c r="T135" i="19" a="1"/>
  <c r="T135" i="19" s="1"/>
  <c r="T159" i="19" a="1"/>
  <c r="T159" i="19" s="1"/>
  <c r="T177" i="19" a="1"/>
  <c r="T177" i="19" s="1"/>
  <c r="T219" i="19" a="1"/>
  <c r="T219" i="19" s="1"/>
  <c r="T240" i="19" a="1"/>
  <c r="T240" i="19" s="1"/>
  <c r="T263" i="19" a="1"/>
  <c r="T263" i="19" s="1"/>
  <c r="T289" i="19" a="1"/>
  <c r="T289" i="19" s="1"/>
  <c r="BC82" i="19" a="1"/>
  <c r="BC82" i="19" s="1"/>
  <c r="BC57" i="19" a="1"/>
  <c r="BC57" i="19" s="1"/>
  <c r="BC222" i="19" a="1"/>
  <c r="BC222" i="19" s="1"/>
  <c r="BC191" i="19" a="1"/>
  <c r="BC191" i="19" s="1"/>
  <c r="BC51" i="19" a="1"/>
  <c r="BC51" i="19" s="1"/>
  <c r="BC44" i="19" a="1"/>
  <c r="BC44" i="19" s="1"/>
  <c r="BC265" i="19" a="1"/>
  <c r="BC265" i="19" s="1"/>
  <c r="BC208" i="19" a="1"/>
  <c r="BC208" i="19" s="1"/>
  <c r="BC85" i="19" a="1"/>
  <c r="BC85" i="19" s="1"/>
  <c r="BC402" i="19" a="1"/>
  <c r="BC402" i="19" s="1"/>
  <c r="BC38" i="19" a="1"/>
  <c r="BC38" i="19" s="1"/>
  <c r="BC347" i="19" a="1"/>
  <c r="BC347" i="19" s="1"/>
  <c r="BC452" i="19" a="1"/>
  <c r="BC452" i="19" s="1"/>
  <c r="BC293" i="19" a="1"/>
  <c r="BC293" i="19" s="1"/>
  <c r="CG290" i="19" a="1"/>
  <c r="CG290" i="19" s="1"/>
  <c r="CG136" i="19" a="1"/>
  <c r="CG136" i="19" s="1"/>
  <c r="CG54" i="19" a="1"/>
  <c r="CG54" i="19" s="1"/>
  <c r="CG392" i="19" a="1"/>
  <c r="CG392" i="19" s="1"/>
  <c r="T23" i="19" a="1"/>
  <c r="T23" i="19" s="1"/>
  <c r="T50" i="19" a="1"/>
  <c r="T50" i="19" s="1"/>
  <c r="T73" i="19" a="1"/>
  <c r="T73" i="19" s="1"/>
  <c r="T92" i="19" a="1"/>
  <c r="T92" i="19" s="1"/>
  <c r="T119" i="19" a="1"/>
  <c r="T119" i="19" s="1"/>
  <c r="T139" i="19" a="1"/>
  <c r="T139" i="19" s="1"/>
  <c r="T161" i="19" a="1"/>
  <c r="T161" i="19" s="1"/>
  <c r="T181" i="19" a="1"/>
  <c r="T181" i="19" s="1"/>
  <c r="T198" i="19" a="1"/>
  <c r="T198" i="19" s="1"/>
  <c r="T220" i="19" a="1"/>
  <c r="T220" i="19" s="1"/>
  <c r="T241" i="19" a="1"/>
  <c r="T241" i="19" s="1"/>
  <c r="T265" i="19" a="1"/>
  <c r="T265" i="19" s="1"/>
  <c r="T290" i="19" a="1"/>
  <c r="T290" i="19" s="1"/>
  <c r="BC49" i="19" a="1"/>
  <c r="BC49" i="19" s="1"/>
  <c r="BC302" i="19" a="1"/>
  <c r="BC302" i="19" s="1"/>
  <c r="BC244" i="19" a="1"/>
  <c r="BC244" i="19" s="1"/>
  <c r="BC105" i="19" a="1"/>
  <c r="BC105" i="19" s="1"/>
  <c r="BC47" i="19" a="1"/>
  <c r="BC47" i="19" s="1"/>
  <c r="BC67" i="19" a="1"/>
  <c r="BC67" i="19" s="1"/>
  <c r="BC68" i="19" a="1"/>
  <c r="BC68" i="19" s="1"/>
  <c r="BC289" i="19" a="1"/>
  <c r="BC289" i="19" s="1"/>
  <c r="BC224" i="19" a="1"/>
  <c r="BC224" i="19" s="1"/>
  <c r="BC93" i="19" a="1"/>
  <c r="BC93" i="19" s="1"/>
  <c r="BC418" i="19" a="1"/>
  <c r="BC418" i="19" s="1"/>
  <c r="BC62" i="19" a="1"/>
  <c r="BC62" i="19" s="1"/>
  <c r="BC403" i="19" a="1"/>
  <c r="BC403" i="19" s="1"/>
  <c r="BC484" i="19" a="1"/>
  <c r="BC484" i="19" s="1"/>
  <c r="BC301" i="19" a="1"/>
  <c r="BC301" i="19" s="1"/>
  <c r="CG46" i="19" a="1"/>
  <c r="CG46" i="19" s="1"/>
  <c r="CG458" i="19" a="1"/>
  <c r="CG458" i="19" s="1"/>
  <c r="CG388" i="19" a="1"/>
  <c r="CG388" i="19" s="1"/>
  <c r="CG222" i="19" a="1"/>
  <c r="CG222" i="19" s="1"/>
  <c r="CG117" i="19" a="1"/>
  <c r="CG117" i="19" s="1"/>
  <c r="E46" i="9"/>
  <c r="T30" i="19" a="1"/>
  <c r="T30" i="19" s="1"/>
  <c r="T51" i="19" a="1"/>
  <c r="T51" i="19" s="1"/>
  <c r="T74" i="19" a="1"/>
  <c r="T74" i="19" s="1"/>
  <c r="T93" i="19" a="1"/>
  <c r="T93" i="19" s="1"/>
  <c r="T120" i="19" a="1"/>
  <c r="T120" i="19" s="1"/>
  <c r="T140" i="19" a="1"/>
  <c r="T140" i="19" s="1"/>
  <c r="T162" i="19" a="1"/>
  <c r="T162" i="19" s="1"/>
  <c r="T183" i="19" a="1"/>
  <c r="T183" i="19" s="1"/>
  <c r="T202" i="19" a="1"/>
  <c r="T202" i="19" s="1"/>
  <c r="T226" i="19" a="1"/>
  <c r="T226" i="19" s="1"/>
  <c r="T246" i="19" a="1"/>
  <c r="T246" i="19" s="1"/>
  <c r="T269" i="19" a="1"/>
  <c r="T269" i="19" s="1"/>
  <c r="T291" i="19" a="1"/>
  <c r="T291" i="19" s="1"/>
  <c r="BC247" i="19" a="1"/>
  <c r="BC247" i="19" s="1"/>
  <c r="BC350" i="19" a="1"/>
  <c r="BC350" i="19" s="1"/>
  <c r="BC263" i="19" a="1"/>
  <c r="BC263" i="19" s="1"/>
  <c r="BC154" i="19" a="1"/>
  <c r="BC154" i="19" s="1"/>
  <c r="BC63" i="19" a="1"/>
  <c r="BC63" i="19" s="1"/>
  <c r="BC83" i="19" a="1"/>
  <c r="BC83" i="19" s="1"/>
  <c r="BC76" i="19" a="1"/>
  <c r="BC76" i="19" s="1"/>
  <c r="BC345" i="19" a="1"/>
  <c r="BC345" i="19" s="1"/>
  <c r="BC296" i="19" a="1"/>
  <c r="BC296" i="19" s="1"/>
  <c r="BC164" i="19" a="1"/>
  <c r="BC164" i="19" s="1"/>
  <c r="BC426" i="19" a="1"/>
  <c r="BC426" i="19" s="1"/>
  <c r="BC134" i="19" a="1"/>
  <c r="BC134" i="19" s="1"/>
  <c r="BC24" i="19" a="1"/>
  <c r="BC24" i="19" s="1"/>
  <c r="BC365" i="19" a="1"/>
  <c r="BC365" i="19" s="1"/>
  <c r="CG142" i="19" a="1"/>
  <c r="CG142" i="19" s="1"/>
  <c r="CG494" i="19" a="1"/>
  <c r="CG494" i="19" s="1"/>
  <c r="CG412" i="19" a="1"/>
  <c r="CG412" i="19" s="1"/>
  <c r="CG330" i="19" a="1"/>
  <c r="CG330" i="19" s="1"/>
  <c r="CG141" i="19" a="1"/>
  <c r="CG141" i="19" s="1"/>
  <c r="T31" i="19" a="1"/>
  <c r="T31" i="19" s="1"/>
  <c r="T52" i="19" a="1"/>
  <c r="T52" i="19" s="1"/>
  <c r="T75" i="19" a="1"/>
  <c r="T75" i="19" s="1"/>
  <c r="T98" i="19" a="1"/>
  <c r="T98" i="19" s="1"/>
  <c r="T121" i="19" a="1"/>
  <c r="T121" i="19" s="1"/>
  <c r="T141" i="19" a="1"/>
  <c r="T141" i="19" s="1"/>
  <c r="T184" i="19" a="1"/>
  <c r="T184" i="19" s="1"/>
  <c r="T205" i="19" a="1"/>
  <c r="T205" i="19" s="1"/>
  <c r="T227" i="19" a="1"/>
  <c r="T227" i="19" s="1"/>
  <c r="T248" i="19" a="1"/>
  <c r="T248" i="19" s="1"/>
  <c r="T271" i="19" a="1"/>
  <c r="T271" i="19" s="1"/>
  <c r="T292" i="19" a="1"/>
  <c r="T292" i="19" s="1"/>
  <c r="BC311" i="19" a="1"/>
  <c r="BC311" i="19" s="1"/>
  <c r="BC414" i="19" a="1"/>
  <c r="BC414" i="19" s="1"/>
  <c r="BC286" i="19" a="1"/>
  <c r="BC286" i="19" s="1"/>
  <c r="BC196" i="19" a="1"/>
  <c r="BC196" i="19" s="1"/>
  <c r="BC143" i="19" a="1"/>
  <c r="BC143" i="19" s="1"/>
  <c r="BC99" i="19" a="1"/>
  <c r="BC99" i="19" s="1"/>
  <c r="BC84" i="19" a="1"/>
  <c r="BC84" i="19" s="1"/>
  <c r="BC361" i="19" a="1"/>
  <c r="BC361" i="19" s="1"/>
  <c r="BC312" i="19" a="1"/>
  <c r="BC312" i="19" s="1"/>
  <c r="BC186" i="19" a="1"/>
  <c r="BC186" i="19" s="1"/>
  <c r="BC434" i="19" a="1"/>
  <c r="BC434" i="19" s="1"/>
  <c r="BC142" i="19" a="1"/>
  <c r="BC142" i="19" s="1"/>
  <c r="BC419" i="19" a="1"/>
  <c r="BC419" i="19" s="1"/>
  <c r="BC64" i="19" a="1"/>
  <c r="BC64" i="19" s="1"/>
  <c r="BC389" i="19" a="1"/>
  <c r="BC389" i="19" s="1"/>
  <c r="CG190" i="19" a="1"/>
  <c r="CG190" i="19" s="1"/>
  <c r="CG99" i="19" a="1"/>
  <c r="CG99" i="19" s="1"/>
  <c r="CG37" i="19" a="1"/>
  <c r="CG37" i="19" s="1"/>
  <c r="CG366" i="19" a="1"/>
  <c r="CG366" i="19" s="1"/>
  <c r="CG261" i="19" a="1"/>
  <c r="CG261" i="19" s="1"/>
  <c r="D290" i="24"/>
  <c r="C290" i="24"/>
  <c r="R94" i="19" a="1"/>
  <c r="R94" i="19" s="1"/>
  <c r="R62" i="19" a="1"/>
  <c r="R62" i="19" s="1"/>
  <c r="T28" i="19" a="1"/>
  <c r="T28" i="19" s="1"/>
  <c r="T42" i="19" a="1"/>
  <c r="T42" i="19" s="1"/>
  <c r="T61" i="19" a="1"/>
  <c r="T61" i="19" s="1"/>
  <c r="T113" i="19" a="1"/>
  <c r="T113" i="19" s="1"/>
  <c r="T131" i="19" a="1"/>
  <c r="T131" i="19" s="1"/>
  <c r="T164" i="19" a="1"/>
  <c r="T164" i="19" s="1"/>
  <c r="T185" i="19" a="1"/>
  <c r="T185" i="19" s="1"/>
  <c r="T204" i="19" a="1"/>
  <c r="T204" i="19" s="1"/>
  <c r="T221" i="19" a="1"/>
  <c r="T221" i="19" s="1"/>
  <c r="T239" i="19" a="1"/>
  <c r="T239" i="19" s="1"/>
  <c r="T260" i="19" a="1"/>
  <c r="T260" i="19" s="1"/>
  <c r="BC97" i="19" a="1"/>
  <c r="BC97" i="19" s="1"/>
  <c r="BC439" i="19" a="1"/>
  <c r="BC439" i="19" s="1"/>
  <c r="BC90" i="19" a="1"/>
  <c r="BC90" i="19" s="1"/>
  <c r="BC308" i="19" a="1"/>
  <c r="BC308" i="19" s="1"/>
  <c r="BC87" i="19" a="1"/>
  <c r="BC87" i="19" s="1"/>
  <c r="BC74" i="19" a="1"/>
  <c r="BC74" i="19" s="1"/>
  <c r="BC295" i="19" a="1"/>
  <c r="BC295" i="19" s="1"/>
  <c r="BC92" i="19" a="1"/>
  <c r="BC92" i="19" s="1"/>
  <c r="BC273" i="19" a="1"/>
  <c r="BC273" i="19" s="1"/>
  <c r="BC416" i="19" a="1"/>
  <c r="BC416" i="19" s="1"/>
  <c r="BC101" i="19" a="1"/>
  <c r="BC101" i="19" s="1"/>
  <c r="BC306" i="19" a="1"/>
  <c r="BC306" i="19" s="1"/>
  <c r="BC155" i="19" a="1"/>
  <c r="BC155" i="19" s="1"/>
  <c r="BC46" i="19" a="1"/>
  <c r="BC46" i="19" s="1"/>
  <c r="BC243" i="19" a="1"/>
  <c r="BC243" i="19" s="1"/>
  <c r="BC427" i="19" a="1"/>
  <c r="BC427" i="19" s="1"/>
  <c r="BC460" i="19" a="1"/>
  <c r="BC460" i="19" s="1"/>
  <c r="BC181" i="19" a="1"/>
  <c r="BC181" i="19" s="1"/>
  <c r="BC405" i="19" a="1"/>
  <c r="BC405" i="19" s="1"/>
  <c r="R143" i="19" a="1"/>
  <c r="R143" i="19" s="1"/>
  <c r="BC183" i="19" a="1"/>
  <c r="BC183" i="19" s="1"/>
  <c r="BC471" i="19" a="1"/>
  <c r="BC471" i="19" s="1"/>
  <c r="BC262" i="19" a="1"/>
  <c r="BC262" i="19" s="1"/>
  <c r="BC327" i="19" a="1"/>
  <c r="BC327" i="19" s="1"/>
  <c r="BC119" i="19" a="1"/>
  <c r="BC119" i="19" s="1"/>
  <c r="BC175" i="19" a="1"/>
  <c r="BC175" i="19" s="1"/>
  <c r="BC79" i="19" a="1"/>
  <c r="BC79" i="19" s="1"/>
  <c r="BC294" i="19" a="1"/>
  <c r="BC294" i="19" s="1"/>
  <c r="BC318" i="19" a="1"/>
  <c r="BC318" i="19" s="1"/>
  <c r="BC124" i="19" a="1"/>
  <c r="BC124" i="19" s="1"/>
  <c r="BC281" i="19" a="1"/>
  <c r="BC281" i="19" s="1"/>
  <c r="BC465" i="19" a="1"/>
  <c r="BC465" i="19" s="1"/>
  <c r="BC472" i="19" a="1"/>
  <c r="BC472" i="19" s="1"/>
  <c r="BC109" i="19" a="1"/>
  <c r="BC109" i="19" s="1"/>
  <c r="BC314" i="19" a="1"/>
  <c r="BC314" i="19" s="1"/>
  <c r="BC176" i="19" a="1"/>
  <c r="BC176" i="19" s="1"/>
  <c r="BC54" i="19" a="1"/>
  <c r="BC54" i="19" s="1"/>
  <c r="BC435" i="19" a="1"/>
  <c r="BC435" i="19" s="1"/>
  <c r="BC468" i="19" a="1"/>
  <c r="BC468" i="19" s="1"/>
  <c r="R15" i="19" a="1"/>
  <c r="R15" i="19" s="1"/>
  <c r="R110" i="19" a="1"/>
  <c r="R110" i="19" s="1"/>
  <c r="R159" i="19" a="1"/>
  <c r="R159" i="19" s="1"/>
  <c r="R100" i="19" a="1"/>
  <c r="R100" i="19" s="1"/>
  <c r="R48" i="19" a="1"/>
  <c r="R48" i="19" s="1"/>
  <c r="R40" i="19" a="1"/>
  <c r="R40" i="19" s="1"/>
  <c r="R13" i="19" a="1"/>
  <c r="R13" i="19" s="1"/>
  <c r="R104" i="19" a="1"/>
  <c r="R104" i="19" s="1"/>
  <c r="R92" i="19" a="1"/>
  <c r="R92" i="19" s="1"/>
  <c r="BC509" i="19" a="1"/>
  <c r="BC509" i="19" s="1"/>
  <c r="BC413" i="19" a="1"/>
  <c r="BC413" i="19" s="1"/>
  <c r="BC245" i="19" a="1"/>
  <c r="BC245" i="19" s="1"/>
  <c r="BC501" i="19" a="1"/>
  <c r="BC501" i="19" s="1"/>
  <c r="BC469" i="19" a="1"/>
  <c r="BC469" i="19" s="1"/>
  <c r="BC381" i="19" a="1"/>
  <c r="BC381" i="19" s="1"/>
  <c r="BC453" i="19" a="1"/>
  <c r="BC453" i="19" s="1"/>
  <c r="BC341" i="19" a="1"/>
  <c r="BC341" i="19" s="1"/>
  <c r="BC253" i="19" a="1"/>
  <c r="BC253" i="19" s="1"/>
  <c r="BC152" i="19" a="1"/>
  <c r="BC152" i="19" s="1"/>
  <c r="BC56" i="19" a="1"/>
  <c r="BC56" i="19" s="1"/>
  <c r="BC476" i="19" a="1"/>
  <c r="BC476" i="19" s="1"/>
  <c r="BC388" i="19" a="1"/>
  <c r="BC388" i="19" s="1"/>
  <c r="BC483" i="19" a="1"/>
  <c r="BC483" i="19" s="1"/>
  <c r="BC395" i="19" a="1"/>
  <c r="BC395" i="19" s="1"/>
  <c r="BC307" i="19" a="1"/>
  <c r="BC307" i="19" s="1"/>
  <c r="BC235" i="19" a="1"/>
  <c r="BC235" i="19" s="1"/>
  <c r="BC150" i="19" a="1"/>
  <c r="BC150" i="19" s="1"/>
  <c r="BC86" i="19" a="1"/>
  <c r="BC86" i="19" s="1"/>
  <c r="BC480" i="19" a="1"/>
  <c r="BC480" i="19" s="1"/>
  <c r="BC304" i="19" a="1"/>
  <c r="BC304" i="19" s="1"/>
  <c r="BC498" i="19" a="1"/>
  <c r="BC498" i="19" s="1"/>
  <c r="BC410" i="19" a="1"/>
  <c r="BC410" i="19" s="1"/>
  <c r="BC330" i="19" a="1"/>
  <c r="BC330" i="19" s="1"/>
  <c r="BC234" i="19" a="1"/>
  <c r="BC234" i="19" s="1"/>
  <c r="BC141" i="19" a="1"/>
  <c r="BC141" i="19" s="1"/>
  <c r="BC45" i="19" a="1"/>
  <c r="BC45" i="19" s="1"/>
  <c r="BC456" i="19" a="1"/>
  <c r="BC456" i="19" s="1"/>
  <c r="BC264" i="19" a="1"/>
  <c r="BC264" i="19" s="1"/>
  <c r="BC489" i="19" a="1"/>
  <c r="BC489" i="19" s="1"/>
  <c r="BC409" i="19" a="1"/>
  <c r="BC409" i="19" s="1"/>
  <c r="BC321" i="19" a="1"/>
  <c r="BC321" i="19" s="1"/>
  <c r="BC225" i="19" a="1"/>
  <c r="BC225" i="19" s="1"/>
  <c r="BC60" i="19" a="1"/>
  <c r="BC60" i="19" s="1"/>
  <c r="BC438" i="19" a="1"/>
  <c r="BC438" i="19" s="1"/>
  <c r="BC168" i="19" a="1"/>
  <c r="BC168" i="19" s="1"/>
  <c r="BC431" i="19" a="1"/>
  <c r="BC431" i="19" s="1"/>
  <c r="BC455" i="19" a="1"/>
  <c r="BC455" i="19" s="1"/>
  <c r="BC204" i="19" a="1"/>
  <c r="BC204" i="19" s="1"/>
  <c r="BC445" i="19" a="1"/>
  <c r="BC445" i="19" s="1"/>
  <c r="BC333" i="19" a="1"/>
  <c r="BC333" i="19" s="1"/>
  <c r="BC237" i="19" a="1"/>
  <c r="BC237" i="19" s="1"/>
  <c r="BC144" i="19" a="1"/>
  <c r="BC144" i="19" s="1"/>
  <c r="BC48" i="19" a="1"/>
  <c r="BC48" i="19" s="1"/>
  <c r="BC380" i="19" a="1"/>
  <c r="BC380" i="19" s="1"/>
  <c r="BC475" i="19" a="1"/>
  <c r="BC475" i="19" s="1"/>
  <c r="BC387" i="19" a="1"/>
  <c r="BC387" i="19" s="1"/>
  <c r="BC299" i="19" a="1"/>
  <c r="BC299" i="19" s="1"/>
  <c r="BC227" i="19" a="1"/>
  <c r="BC227" i="19" s="1"/>
  <c r="BC78" i="19" a="1"/>
  <c r="BC78" i="19" s="1"/>
  <c r="BC288" i="19" a="1"/>
  <c r="BC288" i="19" s="1"/>
  <c r="BC490" i="19" a="1"/>
  <c r="BC490" i="19" s="1"/>
  <c r="BC322" i="19" a="1"/>
  <c r="BC322" i="19" s="1"/>
  <c r="BC226" i="19" a="1"/>
  <c r="BC226" i="19" s="1"/>
  <c r="BC133" i="19" a="1"/>
  <c r="BC133" i="19" s="1"/>
  <c r="BC37" i="19" a="1"/>
  <c r="BC37" i="19" s="1"/>
  <c r="BC440" i="19" a="1"/>
  <c r="BC440" i="19" s="1"/>
  <c r="BC248" i="19" a="1"/>
  <c r="BC248" i="19" s="1"/>
  <c r="BC481" i="19" a="1"/>
  <c r="BC481" i="19" s="1"/>
  <c r="BC401" i="19" a="1"/>
  <c r="BC401" i="19" s="1"/>
  <c r="BC313" i="19" a="1"/>
  <c r="BC313" i="19" s="1"/>
  <c r="BC217" i="19" a="1"/>
  <c r="BC217" i="19" s="1"/>
  <c r="BC132" i="19" a="1"/>
  <c r="BC132" i="19" s="1"/>
  <c r="BC52" i="19" a="1"/>
  <c r="BC52" i="19" s="1"/>
  <c r="BC406" i="19" a="1"/>
  <c r="BC406" i="19" s="1"/>
  <c r="BC151" i="19" a="1"/>
  <c r="BC151" i="19" s="1"/>
  <c r="BC399" i="19" a="1"/>
  <c r="BC399" i="19" s="1"/>
  <c r="BC423" i="19" a="1"/>
  <c r="BC423" i="19" s="1"/>
  <c r="BC182" i="19" a="1"/>
  <c r="BC182" i="19" s="1"/>
  <c r="BC31" i="19" a="1"/>
  <c r="BC31" i="19" s="1"/>
  <c r="BC239" i="19" a="1"/>
  <c r="BC239" i="19" s="1"/>
  <c r="BC238" i="19" a="1"/>
  <c r="BC238" i="19" s="1"/>
  <c r="BC398" i="19" a="1"/>
  <c r="BC398" i="19" s="1"/>
  <c r="BC390" i="19" a="1"/>
  <c r="BC390" i="19" s="1"/>
  <c r="BC161" i="19" a="1"/>
  <c r="BC161" i="19" s="1"/>
  <c r="BC159" i="19" a="1"/>
  <c r="BC159" i="19" s="1"/>
  <c r="BC215" i="19" a="1"/>
  <c r="BC215" i="19" s="1"/>
  <c r="BC343" i="19" a="1"/>
  <c r="BC343" i="19" s="1"/>
  <c r="BC167" i="19" a="1"/>
  <c r="BC167" i="19" s="1"/>
  <c r="BC34" i="19" a="1"/>
  <c r="BC34" i="19" s="1"/>
  <c r="BC373" i="19" a="1"/>
  <c r="BC373" i="19" s="1"/>
  <c r="BC269" i="19" a="1"/>
  <c r="BC269" i="19" s="1"/>
  <c r="BC136" i="19" a="1"/>
  <c r="BC136" i="19" s="1"/>
  <c r="BC32" i="19" a="1"/>
  <c r="BC32" i="19" s="1"/>
  <c r="BC436" i="19" a="1"/>
  <c r="BC436" i="19" s="1"/>
  <c r="BC507" i="19" a="1"/>
  <c r="BC507" i="19" s="1"/>
  <c r="BC411" i="19" a="1"/>
  <c r="BC411" i="19" s="1"/>
  <c r="BC291" i="19" a="1"/>
  <c r="BC291" i="19" s="1"/>
  <c r="BC203" i="19" a="1"/>
  <c r="BC203" i="19" s="1"/>
  <c r="BC126" i="19" a="1"/>
  <c r="BC126" i="19" s="1"/>
  <c r="BC22" i="19" a="1"/>
  <c r="BC22" i="19" s="1"/>
  <c r="BC336" i="19" a="1"/>
  <c r="BC336" i="19" s="1"/>
  <c r="BC482" i="19" a="1"/>
  <c r="BC482" i="19" s="1"/>
  <c r="BC386" i="19" a="1"/>
  <c r="BC386" i="19" s="1"/>
  <c r="BC282" i="19" a="1"/>
  <c r="BC282" i="19" s="1"/>
  <c r="BC178" i="19" a="1"/>
  <c r="BC178" i="19" s="1"/>
  <c r="BC61" i="19" a="1"/>
  <c r="BC61" i="19" s="1"/>
  <c r="BC432" i="19" a="1"/>
  <c r="BC432" i="19" s="1"/>
  <c r="BC184" i="19" a="1"/>
  <c r="BC184" i="19" s="1"/>
  <c r="BC449" i="19" a="1"/>
  <c r="BC449" i="19" s="1"/>
  <c r="BC353" i="19" a="1"/>
  <c r="BC353" i="19" s="1"/>
  <c r="BC241" i="19" a="1"/>
  <c r="BC241" i="19" s="1"/>
  <c r="BC28" i="19" a="1"/>
  <c r="BC28" i="19" s="1"/>
  <c r="BC276" i="19" a="1"/>
  <c r="BC276" i="19" s="1"/>
  <c r="BC35" i="19" a="1"/>
  <c r="BC35" i="19" s="1"/>
  <c r="BC230" i="19" a="1"/>
  <c r="BC230" i="19" s="1"/>
  <c r="BC162" i="19" a="1"/>
  <c r="BC162" i="19" s="1"/>
  <c r="BC107" i="19" a="1"/>
  <c r="BC107" i="19" s="1"/>
  <c r="BC122" i="19" a="1"/>
  <c r="BC122" i="19" s="1"/>
  <c r="BC121" i="19" a="1"/>
  <c r="BC121" i="19" s="1"/>
  <c r="BC55" i="19" a="1"/>
  <c r="BC55" i="19" s="1"/>
  <c r="BC113" i="19" a="1"/>
  <c r="BC113" i="19" s="1"/>
  <c r="BC284" i="19" a="1"/>
  <c r="BC284" i="19" s="1"/>
  <c r="BC407" i="19" a="1"/>
  <c r="BC407" i="19" s="1"/>
  <c r="BC207" i="19" a="1"/>
  <c r="BC207" i="19" s="1"/>
  <c r="BC494" i="19" a="1"/>
  <c r="BC494" i="19" s="1"/>
  <c r="BC493" i="19" a="1"/>
  <c r="BC493" i="19" s="1"/>
  <c r="BC357" i="19" a="1"/>
  <c r="BC357" i="19" s="1"/>
  <c r="BC229" i="19" a="1"/>
  <c r="BC229" i="19" s="1"/>
  <c r="BC120" i="19" a="1"/>
  <c r="BC120" i="19" s="1"/>
  <c r="BC16" i="19" a="1"/>
  <c r="BC16" i="19" s="1"/>
  <c r="BC420" i="19" a="1"/>
  <c r="BC420" i="19" s="1"/>
  <c r="BC491" i="19" a="1"/>
  <c r="BC491" i="19" s="1"/>
  <c r="BC379" i="19" a="1"/>
  <c r="BC379" i="19" s="1"/>
  <c r="BC187" i="19" a="1"/>
  <c r="BC187" i="19" s="1"/>
  <c r="BC118" i="19" a="1"/>
  <c r="BC118" i="19" s="1"/>
  <c r="BC512" i="19" a="1"/>
  <c r="BC512" i="19" s="1"/>
  <c r="BC272" i="19" a="1"/>
  <c r="BC272" i="19" s="1"/>
  <c r="BC466" i="19" a="1"/>
  <c r="BC466" i="19" s="1"/>
  <c r="BC370" i="19" a="1"/>
  <c r="BC370" i="19" s="1"/>
  <c r="BC266" i="19" a="1"/>
  <c r="BC266" i="19" s="1"/>
  <c r="BC157" i="19" a="1"/>
  <c r="BC157" i="19" s="1"/>
  <c r="BC400" i="19" a="1"/>
  <c r="BC400" i="19" s="1"/>
  <c r="BC169" i="19" a="1"/>
  <c r="BC169" i="19" s="1"/>
  <c r="BC433" i="19" a="1"/>
  <c r="BC433" i="19" s="1"/>
  <c r="BC337" i="19" a="1"/>
  <c r="BC337" i="19" s="1"/>
  <c r="BC209" i="19" a="1"/>
  <c r="BC209" i="19" s="1"/>
  <c r="BC116" i="19" a="1"/>
  <c r="BC116" i="19" s="1"/>
  <c r="BC352" i="19" a="1"/>
  <c r="BC352" i="19" s="1"/>
  <c r="BC231" i="19" a="1"/>
  <c r="BC231" i="19" s="1"/>
  <c r="BC495" i="19" a="1"/>
  <c r="BC495" i="19" s="1"/>
  <c r="BC391" i="19" a="1"/>
  <c r="BC391" i="19" s="1"/>
  <c r="BC127" i="19" a="1"/>
  <c r="BC127" i="19" s="1"/>
  <c r="BC59" i="19" a="1"/>
  <c r="BC59" i="19" s="1"/>
  <c r="BC26" i="19" a="1"/>
  <c r="BC26" i="19" s="1"/>
  <c r="BC73" i="19" a="1"/>
  <c r="BC73" i="19" s="1"/>
  <c r="BC188" i="19" a="1"/>
  <c r="BC188" i="19" s="1"/>
  <c r="BC33" i="19" a="1"/>
  <c r="BC33" i="19" s="1"/>
  <c r="BC199" i="19" a="1"/>
  <c r="BC199" i="19" s="1"/>
  <c r="BC220" i="19" a="1"/>
  <c r="BC220" i="19" s="1"/>
  <c r="BC260" i="19" a="1"/>
  <c r="BC260" i="19" s="1"/>
  <c r="BC319" i="19" a="1"/>
  <c r="BC319" i="19" s="1"/>
  <c r="BC98" i="19" a="1"/>
  <c r="BC98" i="19" s="1"/>
  <c r="BC292" i="19" a="1"/>
  <c r="BC292" i="19" s="1"/>
  <c r="BC325" i="19" a="1"/>
  <c r="BC325" i="19" s="1"/>
  <c r="BC250" i="19" a="1"/>
  <c r="BC250" i="19" s="1"/>
  <c r="BC384" i="19" a="1"/>
  <c r="BC384" i="19" s="1"/>
  <c r="BC425" i="19" a="1"/>
  <c r="BC425" i="19" s="1"/>
  <c r="BC305" i="19" a="1"/>
  <c r="BC305" i="19" s="1"/>
  <c r="BC100" i="19" a="1"/>
  <c r="BC100" i="19" s="1"/>
  <c r="BC232" i="19" a="1"/>
  <c r="BC232" i="19" s="1"/>
  <c r="BC332" i="19" a="1"/>
  <c r="BC332" i="19" s="1"/>
  <c r="BC27" i="19" a="1"/>
  <c r="BC27" i="19" s="1"/>
  <c r="BC446" i="19" a="1"/>
  <c r="BC446" i="19" s="1"/>
  <c r="BC503" i="19" a="1"/>
  <c r="BC503" i="19" s="1"/>
  <c r="BC114" i="19" a="1"/>
  <c r="BC114" i="19" s="1"/>
  <c r="BC454" i="19" a="1"/>
  <c r="BC454" i="19" s="1"/>
  <c r="BC180" i="19" a="1"/>
  <c r="BC180" i="19" s="1"/>
  <c r="BC255" i="19" a="1"/>
  <c r="BC255" i="19" s="1"/>
  <c r="BC18" i="19" a="1"/>
  <c r="BC18" i="19" s="1"/>
  <c r="BC166" i="19" a="1"/>
  <c r="BC166" i="19" s="1"/>
  <c r="BC485" i="19" a="1"/>
  <c r="BC485" i="19" s="1"/>
  <c r="BC349" i="19" a="1"/>
  <c r="BC349" i="19" s="1"/>
  <c r="BC221" i="19" a="1"/>
  <c r="BC221" i="19" s="1"/>
  <c r="BC112" i="19" a="1"/>
  <c r="BC112" i="19" s="1"/>
  <c r="BC508" i="19" a="1"/>
  <c r="BC508" i="19" s="1"/>
  <c r="BC412" i="19" a="1"/>
  <c r="BC412" i="19" s="1"/>
  <c r="BC275" i="19" a="1"/>
  <c r="BC275" i="19" s="1"/>
  <c r="BC179" i="19" a="1"/>
  <c r="BC179" i="19" s="1"/>
  <c r="BC110" i="19" a="1"/>
  <c r="BC110" i="19" s="1"/>
  <c r="BC496" i="19" a="1"/>
  <c r="BC496" i="19" s="1"/>
  <c r="BC256" i="19" a="1"/>
  <c r="BC256" i="19" s="1"/>
  <c r="BC362" i="19" a="1"/>
  <c r="BC362" i="19" s="1"/>
  <c r="BC258" i="19" a="1"/>
  <c r="BC258" i="19" s="1"/>
  <c r="BC149" i="19" a="1"/>
  <c r="BC149" i="19" s="1"/>
  <c r="BC29" i="19" a="1"/>
  <c r="BC29" i="19" s="1"/>
  <c r="BC147" i="19" a="1"/>
  <c r="BC147" i="19" s="1"/>
  <c r="BC329" i="19" a="1"/>
  <c r="BC329" i="19" s="1"/>
  <c r="BC201" i="19" a="1"/>
  <c r="BC201" i="19" s="1"/>
  <c r="BC108" i="19" a="1"/>
  <c r="BC108" i="19" s="1"/>
  <c r="BC280" i="19" a="1"/>
  <c r="BC280" i="19" s="1"/>
  <c r="BC212" i="19" a="1"/>
  <c r="BC212" i="19" s="1"/>
  <c r="BC463" i="19" a="1"/>
  <c r="BC463" i="19" s="1"/>
  <c r="BC359" i="19" a="1"/>
  <c r="BC359" i="19" s="1"/>
  <c r="BC111" i="19" a="1"/>
  <c r="BC111" i="19" s="1"/>
  <c r="BC43" i="19" a="1"/>
  <c r="BC43" i="19" s="1"/>
  <c r="BC510" i="19" a="1"/>
  <c r="BC510" i="19" s="1"/>
  <c r="BC41" i="19" a="1"/>
  <c r="BC41" i="19" s="1"/>
  <c r="BC146" i="19" a="1"/>
  <c r="BC146" i="19" s="1"/>
  <c r="BC486" i="19" a="1"/>
  <c r="BC486" i="19" s="1"/>
  <c r="BC198" i="19" a="1"/>
  <c r="BC198" i="19" s="1"/>
  <c r="BC174" i="19" a="1"/>
  <c r="BC174" i="19" s="1"/>
  <c r="BC278" i="19" a="1"/>
  <c r="BC278" i="19" s="1"/>
  <c r="BC66" i="19" a="1"/>
  <c r="BC66" i="19" s="1"/>
  <c r="BC228" i="19" a="1"/>
  <c r="BC228" i="19" s="1"/>
  <c r="BC437" i="19" a="1"/>
  <c r="BC437" i="19" s="1"/>
  <c r="BC309" i="19" a="1"/>
  <c r="BC309" i="19" s="1"/>
  <c r="BC197" i="19" a="1"/>
  <c r="BC197" i="19" s="1"/>
  <c r="BC88" i="19" a="1"/>
  <c r="BC88" i="19" s="1"/>
  <c r="BC492" i="19" a="1"/>
  <c r="BC492" i="19" s="1"/>
  <c r="BC372" i="19" a="1"/>
  <c r="BC372" i="19" s="1"/>
  <c r="BC451" i="19" a="1"/>
  <c r="BC451" i="19" s="1"/>
  <c r="BC355" i="19" a="1"/>
  <c r="BC355" i="19" s="1"/>
  <c r="BC259" i="19" a="1"/>
  <c r="BC259" i="19" s="1"/>
  <c r="BC158" i="19" a="1"/>
  <c r="BC158" i="19" s="1"/>
  <c r="BC70" i="19" a="1"/>
  <c r="BC70" i="19" s="1"/>
  <c r="BC424" i="19" a="1"/>
  <c r="BC424" i="19" s="1"/>
  <c r="BC200" i="19" a="1"/>
  <c r="BC200" i="19" s="1"/>
  <c r="BC442" i="19" a="1"/>
  <c r="BC442" i="19" s="1"/>
  <c r="BC338" i="19" a="1"/>
  <c r="BC338" i="19" s="1"/>
  <c r="BC477" i="19" a="1"/>
  <c r="BC477" i="19" s="1"/>
  <c r="BC213" i="19" a="1"/>
  <c r="BC213" i="19" s="1"/>
  <c r="BC104" i="19" a="1"/>
  <c r="BC104" i="19" s="1"/>
  <c r="BC500" i="19" a="1"/>
  <c r="BC500" i="19" s="1"/>
  <c r="BC404" i="19" a="1"/>
  <c r="BC404" i="19" s="1"/>
  <c r="BC467" i="19" a="1"/>
  <c r="BC467" i="19" s="1"/>
  <c r="BC371" i="19" a="1"/>
  <c r="BC371" i="19" s="1"/>
  <c r="BC171" i="19" a="1"/>
  <c r="BC171" i="19" s="1"/>
  <c r="BC102" i="19" a="1"/>
  <c r="BC102" i="19" s="1"/>
  <c r="BC464" i="19" a="1"/>
  <c r="BC464" i="19" s="1"/>
  <c r="BC240" i="19" a="1"/>
  <c r="BC240" i="19" s="1"/>
  <c r="BC458" i="19" a="1"/>
  <c r="BC458" i="19" s="1"/>
  <c r="BC354" i="19" a="1"/>
  <c r="BC354" i="19" s="1"/>
  <c r="BC125" i="19" a="1"/>
  <c r="BC125" i="19" s="1"/>
  <c r="BC513" i="19" a="1"/>
  <c r="BC513" i="19" s="1"/>
  <c r="BC193" i="19" a="1"/>
  <c r="BC193" i="19" s="1"/>
  <c r="BC138" i="19" a="1"/>
  <c r="BC138" i="19" s="1"/>
  <c r="BC461" i="19" a="1"/>
  <c r="BC461" i="19" s="1"/>
  <c r="BC317" i="19" a="1"/>
  <c r="BC317" i="19" s="1"/>
  <c r="BC205" i="19" a="1"/>
  <c r="BC205" i="19" s="1"/>
  <c r="BC96" i="19" a="1"/>
  <c r="BC96" i="19" s="1"/>
  <c r="BC396" i="19" a="1"/>
  <c r="BC396" i="19" s="1"/>
  <c r="BC459" i="19" a="1"/>
  <c r="BC459" i="19" s="1"/>
  <c r="BC363" i="19" a="1"/>
  <c r="BC363" i="19" s="1"/>
  <c r="BC267" i="19" a="1"/>
  <c r="BC267" i="19" s="1"/>
  <c r="BC165" i="19" a="1"/>
  <c r="BC165" i="19" s="1"/>
  <c r="BC94" i="19" a="1"/>
  <c r="BC94" i="19" s="1"/>
  <c r="BC448" i="19" a="1"/>
  <c r="BC448" i="19" s="1"/>
  <c r="BC216" i="19" a="1"/>
  <c r="BC216" i="19" s="1"/>
  <c r="BC450" i="19" a="1"/>
  <c r="BC450" i="19" s="1"/>
  <c r="BC346" i="19" a="1"/>
  <c r="BC346" i="19" s="1"/>
  <c r="BC242" i="19" a="1"/>
  <c r="BC242" i="19" s="1"/>
  <c r="BC117" i="19" a="1"/>
  <c r="BC117" i="19" s="1"/>
  <c r="BC21" i="19" a="1"/>
  <c r="BC21" i="19" s="1"/>
  <c r="BC368" i="19" a="1"/>
  <c r="BC368" i="19" s="1"/>
  <c r="BC505" i="19" a="1"/>
  <c r="BC505" i="19" s="1"/>
  <c r="BC417" i="19" a="1"/>
  <c r="BC417" i="19" s="1"/>
  <c r="BC297" i="19" a="1"/>
  <c r="BC297" i="19" s="1"/>
  <c r="BC185" i="19" a="1"/>
  <c r="BC185" i="19" s="1"/>
  <c r="BC192" i="19" a="1"/>
  <c r="BC192" i="19" s="1"/>
  <c r="BC190" i="19" a="1"/>
  <c r="BC190" i="19" s="1"/>
  <c r="BC367" i="19" a="1"/>
  <c r="BC367" i="19" s="1"/>
  <c r="BC310" i="19" a="1"/>
  <c r="BC310" i="19" s="1"/>
  <c r="BC95" i="19" a="1"/>
  <c r="BC95" i="19" s="1"/>
  <c r="BC511" i="19" a="1"/>
  <c r="BC511" i="19" s="1"/>
  <c r="BC382" i="19" a="1"/>
  <c r="BC382" i="19" s="1"/>
  <c r="BC300" i="19" a="1"/>
  <c r="BC300" i="19" s="1"/>
  <c r="BC50" i="19" a="1"/>
  <c r="BC50" i="19" s="1"/>
  <c r="BC422" i="19" a="1"/>
  <c r="BC422" i="19" s="1"/>
  <c r="BC139" i="19" a="1"/>
  <c r="BC139" i="19" s="1"/>
  <c r="BC106" i="19" a="1"/>
  <c r="BC106" i="19" s="1"/>
  <c r="BC137" i="19" a="1"/>
  <c r="BC137" i="19" s="1"/>
  <c r="BC430" i="19" a="1"/>
  <c r="BC430" i="19" s="1"/>
  <c r="BC129" i="19" a="1"/>
  <c r="BC129" i="19" s="1"/>
  <c r="T299" i="19" a="1"/>
  <c r="T299" i="19" s="1"/>
  <c r="T282" i="19" a="1"/>
  <c r="T282" i="19" s="1"/>
  <c r="T274" i="19" a="1"/>
  <c r="T274" i="19" s="1"/>
  <c r="T264" i="19" a="1"/>
  <c r="T264" i="19" s="1"/>
  <c r="T288" i="19" a="1"/>
  <c r="T288" i="19" s="1"/>
  <c r="T279" i="19" a="1"/>
  <c r="T279" i="19" s="1"/>
  <c r="T270" i="19" a="1"/>
  <c r="T270" i="19" s="1"/>
  <c r="T258" i="19" a="1"/>
  <c r="T258" i="19" s="1"/>
  <c r="T247" i="19" a="1"/>
  <c r="T247" i="19" s="1"/>
  <c r="T236" i="19" a="1"/>
  <c r="T236" i="19" s="1"/>
  <c r="T225" i="19" a="1"/>
  <c r="T225" i="19" s="1"/>
  <c r="T215" i="19" a="1"/>
  <c r="T215" i="19" s="1"/>
  <c r="T203" i="19" a="1"/>
  <c r="T203" i="19" s="1"/>
  <c r="T193" i="19" a="1"/>
  <c r="T193" i="19" s="1"/>
  <c r="T182" i="19" a="1"/>
  <c r="T182" i="19" s="1"/>
  <c r="T171" i="19" a="1"/>
  <c r="T171" i="19" s="1"/>
  <c r="T160" i="19" a="1"/>
  <c r="T160" i="19" s="1"/>
  <c r="T150" i="19" a="1"/>
  <c r="T150" i="19" s="1"/>
  <c r="T129" i="19" a="1"/>
  <c r="T129" i="19" s="1"/>
  <c r="T118" i="19" a="1"/>
  <c r="T118" i="19" s="1"/>
  <c r="T109" i="19" a="1"/>
  <c r="T109" i="19" s="1"/>
  <c r="T99" i="19" a="1"/>
  <c r="T99" i="19" s="1"/>
  <c r="T89" i="19" a="1"/>
  <c r="T89" i="19" s="1"/>
  <c r="T79" i="19" a="1"/>
  <c r="T79" i="19" s="1"/>
  <c r="T69" i="19" a="1"/>
  <c r="T69" i="19" s="1"/>
  <c r="T58" i="19" a="1"/>
  <c r="T58" i="19" s="1"/>
  <c r="T48" i="19" a="1"/>
  <c r="T48" i="19" s="1"/>
  <c r="T38" i="19" a="1"/>
  <c r="T38" i="19" s="1"/>
  <c r="T29" i="19" a="1"/>
  <c r="T29" i="19" s="1"/>
  <c r="T19" i="19" a="1"/>
  <c r="T19" i="19" s="1"/>
  <c r="T296" i="19" a="1"/>
  <c r="T296" i="19" s="1"/>
  <c r="T287" i="19" a="1"/>
  <c r="T287" i="19" s="1"/>
  <c r="T268" i="19" a="1"/>
  <c r="T268" i="19" s="1"/>
  <c r="T256" i="19" a="1"/>
  <c r="T256" i="19" s="1"/>
  <c r="T245" i="19" a="1"/>
  <c r="T245" i="19" s="1"/>
  <c r="T224" i="19" a="1"/>
  <c r="T224" i="19" s="1"/>
  <c r="T213" i="19" a="1"/>
  <c r="T213" i="19" s="1"/>
  <c r="T201" i="19" a="1"/>
  <c r="T201" i="19" s="1"/>
  <c r="T191" i="19" a="1"/>
  <c r="T191" i="19" s="1"/>
  <c r="T169" i="19" a="1"/>
  <c r="T169" i="19" s="1"/>
  <c r="T158" i="19" a="1"/>
  <c r="T158" i="19" s="1"/>
  <c r="T149" i="19" a="1"/>
  <c r="T149" i="19" s="1"/>
  <c r="T127" i="19" a="1"/>
  <c r="T127" i="19" s="1"/>
  <c r="T117" i="19" a="1"/>
  <c r="T117" i="19" s="1"/>
  <c r="T107" i="19" a="1"/>
  <c r="T107" i="19" s="1"/>
  <c r="T97" i="19" a="1"/>
  <c r="T97" i="19" s="1"/>
  <c r="T87" i="19" a="1"/>
  <c r="T87" i="19" s="1"/>
  <c r="T78" i="19" a="1"/>
  <c r="T78" i="19" s="1"/>
  <c r="T68" i="19" a="1"/>
  <c r="T68" i="19" s="1"/>
  <c r="T57" i="19" a="1"/>
  <c r="T57" i="19" s="1"/>
  <c r="T46" i="19" a="1"/>
  <c r="T46" i="19" s="1"/>
  <c r="T27" i="19" a="1"/>
  <c r="T27" i="19" s="1"/>
  <c r="T18" i="19" a="1"/>
  <c r="T18" i="19" s="1"/>
  <c r="T294" i="19" a="1"/>
  <c r="T294" i="19" s="1"/>
  <c r="T285" i="19" a="1"/>
  <c r="T285" i="19" s="1"/>
  <c r="T266" i="19" a="1"/>
  <c r="T266" i="19" s="1"/>
  <c r="T243" i="19" a="1"/>
  <c r="T243" i="19" s="1"/>
  <c r="T233" i="19" a="1"/>
  <c r="T233" i="19" s="1"/>
  <c r="T222" i="19" a="1"/>
  <c r="T222" i="19" s="1"/>
  <c r="T211" i="19" a="1"/>
  <c r="T211" i="19" s="1"/>
  <c r="T189" i="19" a="1"/>
  <c r="T189" i="19" s="1"/>
  <c r="T179" i="19" a="1"/>
  <c r="T179" i="19" s="1"/>
  <c r="T167" i="19" a="1"/>
  <c r="T167" i="19" s="1"/>
  <c r="T156" i="19" a="1"/>
  <c r="T156" i="19" s="1"/>
  <c r="T137" i="19" a="1"/>
  <c r="T137" i="19" s="1"/>
  <c r="T126" i="19" a="1"/>
  <c r="T126" i="19" s="1"/>
  <c r="T116" i="19" a="1"/>
  <c r="T116" i="19" s="1"/>
  <c r="T105" i="19" a="1"/>
  <c r="T105" i="19" s="1"/>
  <c r="T95" i="19" a="1"/>
  <c r="T95" i="19" s="1"/>
  <c r="T85" i="19" a="1"/>
  <c r="T85" i="19" s="1"/>
  <c r="T77" i="19" a="1"/>
  <c r="T77" i="19" s="1"/>
  <c r="T55" i="19" a="1"/>
  <c r="T55" i="19" s="1"/>
  <c r="T45" i="19" a="1"/>
  <c r="T45" i="19" s="1"/>
  <c r="T35" i="19" a="1"/>
  <c r="T35" i="19" s="1"/>
  <c r="T25" i="19" a="1"/>
  <c r="T25" i="19" s="1"/>
  <c r="T16" i="19" a="1"/>
  <c r="T16" i="19" s="1"/>
  <c r="T295" i="19" a="1"/>
  <c r="T295" i="19" s="1"/>
  <c r="T286" i="19" a="1"/>
  <c r="T286" i="19" s="1"/>
  <c r="T277" i="19" a="1"/>
  <c r="T277" i="19" s="1"/>
  <c r="T267" i="19" a="1"/>
  <c r="T267" i="19" s="1"/>
  <c r="T255" i="19" a="1"/>
  <c r="T255" i="19" s="1"/>
  <c r="T244" i="19" a="1"/>
  <c r="T244" i="19" s="1"/>
  <c r="T234" i="19" a="1"/>
  <c r="T234" i="19" s="1"/>
  <c r="T223" i="19" a="1"/>
  <c r="T223" i="19" s="1"/>
  <c r="T212" i="19" a="1"/>
  <c r="T212" i="19" s="1"/>
  <c r="T200" i="19" a="1"/>
  <c r="T200" i="19" s="1"/>
  <c r="T190" i="19" a="1"/>
  <c r="T190" i="19" s="1"/>
  <c r="T180" i="19" a="1"/>
  <c r="T180" i="19" s="1"/>
  <c r="T168" i="19" a="1"/>
  <c r="T168" i="19" s="1"/>
  <c r="T157" i="19" a="1"/>
  <c r="T157" i="19" s="1"/>
  <c r="T148" i="19" a="1"/>
  <c r="T148" i="19" s="1"/>
  <c r="T138" i="19" a="1"/>
  <c r="T138" i="19" s="1"/>
  <c r="T106" i="19" a="1"/>
  <c r="T106" i="19" s="1"/>
  <c r="T96" i="19" a="1"/>
  <c r="T96" i="19" s="1"/>
  <c r="T86" i="19" a="1"/>
  <c r="T86" i="19" s="1"/>
  <c r="T67" i="19" a="1"/>
  <c r="T67" i="19" s="1"/>
  <c r="T56" i="19" a="1"/>
  <c r="T56" i="19" s="1"/>
  <c r="T36" i="19" a="1"/>
  <c r="T36" i="19" s="1"/>
  <c r="T26" i="19" a="1"/>
  <c r="T26" i="19" s="1"/>
  <c r="T17" i="19" a="1"/>
  <c r="T17" i="19" s="1"/>
  <c r="T254" i="19" a="1"/>
  <c r="T254" i="19" s="1"/>
  <c r="T147" i="19" a="1"/>
  <c r="T147" i="19" s="1"/>
  <c r="T66" i="19" a="1"/>
  <c r="T66" i="19" s="1"/>
  <c r="T293" i="19" a="1"/>
  <c r="T293" i="19" s="1"/>
  <c r="T276" i="19" a="1"/>
  <c r="T276" i="19" s="1"/>
  <c r="T253" i="19" a="1"/>
  <c r="T253" i="19" s="1"/>
  <c r="T242" i="19" a="1"/>
  <c r="T242" i="19" s="1"/>
  <c r="T232" i="19" a="1"/>
  <c r="T232" i="19" s="1"/>
  <c r="T210" i="19" a="1"/>
  <c r="T210" i="19" s="1"/>
  <c r="T199" i="19" a="1"/>
  <c r="T199" i="19" s="1"/>
  <c r="T178" i="19" a="1"/>
  <c r="T178" i="19" s="1"/>
  <c r="T166" i="19" a="1"/>
  <c r="T166" i="19" s="1"/>
  <c r="T155" i="19" a="1"/>
  <c r="T155" i="19" s="1"/>
  <c r="T146" i="19" a="1"/>
  <c r="T146" i="19" s="1"/>
  <c r="T136" i="19" a="1"/>
  <c r="T136" i="19" s="1"/>
  <c r="T125" i="19" a="1"/>
  <c r="T125" i="19" s="1"/>
  <c r="T115" i="19" a="1"/>
  <c r="T115" i="19" s="1"/>
  <c r="T104" i="19" a="1"/>
  <c r="T104" i="19" s="1"/>
  <c r="T94" i="19" a="1"/>
  <c r="T94" i="19" s="1"/>
  <c r="T84" i="19" a="1"/>
  <c r="T84" i="19" s="1"/>
  <c r="T76" i="19" a="1"/>
  <c r="T76" i="19" s="1"/>
  <c r="T65" i="19" a="1"/>
  <c r="T65" i="19" s="1"/>
  <c r="T54" i="19" a="1"/>
  <c r="T54" i="19" s="1"/>
  <c r="T44" i="19" a="1"/>
  <c r="T44" i="19" s="1"/>
  <c r="T34" i="19" a="1"/>
  <c r="T34" i="19" s="1"/>
  <c r="T24" i="19" a="1"/>
  <c r="T24" i="19" s="1"/>
  <c r="T15" i="19" a="1"/>
  <c r="T15" i="19" s="1"/>
  <c r="R28" i="19" a="1"/>
  <c r="R28" i="19" s="1"/>
  <c r="BC130" i="19" a="1"/>
  <c r="BC130" i="19" s="1"/>
  <c r="BC89" i="19" a="1"/>
  <c r="BC89" i="19" s="1"/>
  <c r="BC415" i="19" a="1"/>
  <c r="BC415" i="19" s="1"/>
  <c r="BC145" i="19" a="1"/>
  <c r="BC145" i="19" s="1"/>
  <c r="BC236" i="19" a="1"/>
  <c r="BC236" i="19" s="1"/>
  <c r="BC383" i="19" a="1"/>
  <c r="BC383" i="19" s="1"/>
  <c r="BC246" i="19" a="1"/>
  <c r="BC246" i="19" s="1"/>
  <c r="BC19" i="19" a="1"/>
  <c r="BC19" i="19" s="1"/>
  <c r="BC470" i="19" a="1"/>
  <c r="BC470" i="19" s="1"/>
  <c r="BC156" i="19" a="1"/>
  <c r="BC156" i="19" s="1"/>
  <c r="BC504" i="19" a="1"/>
  <c r="BC504" i="19" s="1"/>
  <c r="BC194" i="19" a="1"/>
  <c r="BC194" i="19" s="1"/>
  <c r="BC394" i="19" a="1"/>
  <c r="BC394" i="19" s="1"/>
  <c r="BC360" i="19" a="1"/>
  <c r="BC360" i="19" s="1"/>
  <c r="BC315" i="19" a="1"/>
  <c r="BC315" i="19" s="1"/>
  <c r="BC340" i="19" a="1"/>
  <c r="BC340" i="19" s="1"/>
  <c r="BC40" i="19" a="1"/>
  <c r="BC40" i="19" s="1"/>
  <c r="BC277" i="19" a="1"/>
  <c r="BC277" i="19" s="1"/>
  <c r="CE127" i="19" a="1"/>
  <c r="CE127" i="19" s="1"/>
  <c r="CE367" i="19" a="1"/>
  <c r="CE367" i="19" s="1"/>
  <c r="CE639" i="19" a="1"/>
  <c r="CE639" i="19" s="1"/>
  <c r="CE352" i="19" a="1"/>
  <c r="CE352" i="19" s="1"/>
  <c r="CE624" i="19" a="1"/>
  <c r="CE624" i="19" s="1"/>
  <c r="CE353" i="19" a="1"/>
  <c r="CE353" i="19" s="1"/>
  <c r="CE705" i="19" a="1"/>
  <c r="CE705" i="19" s="1"/>
  <c r="CE418" i="19" a="1"/>
  <c r="CE418" i="19" s="1"/>
  <c r="CE211" i="19" a="1"/>
  <c r="CE211" i="19" s="1"/>
  <c r="CE531" i="19" a="1"/>
  <c r="CE531" i="19" s="1"/>
  <c r="CE324" i="19" a="1"/>
  <c r="CE324" i="19" s="1"/>
  <c r="CE692" i="19" a="1"/>
  <c r="CE692" i="19" s="1"/>
  <c r="CE421" i="19" a="1"/>
  <c r="CE421" i="19" s="1"/>
  <c r="CE182" i="19" a="1"/>
  <c r="CE182" i="19" s="1"/>
  <c r="CE566" i="19" a="1"/>
  <c r="CE566" i="19" s="1"/>
  <c r="CG274" i="19" a="1"/>
  <c r="CG274" i="19" s="1"/>
  <c r="CG95" i="19" a="1"/>
  <c r="CG95" i="19" s="1"/>
  <c r="CG419" i="19" a="1"/>
  <c r="CG419" i="19" s="1"/>
  <c r="CG302" i="19" a="1"/>
  <c r="CG302" i="19" s="1"/>
  <c r="CG111" i="19" a="1"/>
  <c r="CG111" i="19" s="1"/>
  <c r="CG507" i="19" a="1"/>
  <c r="CG507" i="19" s="1"/>
  <c r="CG336" i="19" a="1"/>
  <c r="CG336" i="19" s="1"/>
  <c r="CG160" i="19" a="1"/>
  <c r="CG160" i="19" s="1"/>
  <c r="CG49" i="19" a="1"/>
  <c r="CG49" i="19" s="1"/>
  <c r="CG361" i="19" a="1"/>
  <c r="CG361" i="19" s="1"/>
  <c r="CG257" i="19" a="1"/>
  <c r="CG257" i="19" s="1"/>
  <c r="CG66" i="19" a="1"/>
  <c r="CG66" i="19" s="1"/>
  <c r="CG390" i="19" a="1"/>
  <c r="CG390" i="19" s="1"/>
  <c r="CG271" i="19" a="1"/>
  <c r="CG271" i="19" s="1"/>
  <c r="CG80" i="19" a="1"/>
  <c r="CG80" i="19" s="1"/>
  <c r="CG476" i="19" a="1"/>
  <c r="CG476" i="19" s="1"/>
  <c r="CG273" i="19" a="1"/>
  <c r="CG273" i="19" s="1"/>
  <c r="CG286" i="19" a="1"/>
  <c r="CG286" i="19" s="1"/>
  <c r="CG107" i="19" a="1"/>
  <c r="CG107" i="19" s="1"/>
  <c r="CG503" i="19" a="1"/>
  <c r="CG503" i="19" s="1"/>
  <c r="CG314" i="19" a="1"/>
  <c r="CG314" i="19" s="1"/>
  <c r="CG135" i="19" a="1"/>
  <c r="CG135" i="19" s="1"/>
  <c r="CG24" i="19" a="1"/>
  <c r="CG24" i="19" s="1"/>
  <c r="CG348" i="19" a="1"/>
  <c r="CG348" i="19" s="1"/>
  <c r="CG244" i="19" a="1"/>
  <c r="CG244" i="19" s="1"/>
  <c r="CG61" i="19" a="1"/>
  <c r="CG61" i="19" s="1"/>
  <c r="CG385" i="19" a="1"/>
  <c r="CG385" i="19" s="1"/>
  <c r="CG269" i="19" a="1"/>
  <c r="CG269" i="19" s="1"/>
  <c r="CG78" i="19" a="1"/>
  <c r="CG78" i="19" s="1"/>
  <c r="CG474" i="19" a="1"/>
  <c r="CG474" i="19" s="1"/>
  <c r="CG283" i="19" a="1"/>
  <c r="CG283" i="19" s="1"/>
  <c r="CG104" i="19" a="1"/>
  <c r="CG104" i="19" s="1"/>
  <c r="CG488" i="19" a="1"/>
  <c r="CG488" i="19" s="1"/>
  <c r="CG285" i="19" a="1"/>
  <c r="CG285" i="19" s="1"/>
  <c r="CE143" i="19" a="1"/>
  <c r="CE143" i="19" s="1"/>
  <c r="CE391" i="19" a="1"/>
  <c r="CE391" i="19" s="1"/>
  <c r="CE80" i="19" a="1"/>
  <c r="CE80" i="19" s="1"/>
  <c r="CE376" i="19" a="1"/>
  <c r="CE376" i="19" s="1"/>
  <c r="CE712" i="19" a="1"/>
  <c r="CE712" i="19" s="1"/>
  <c r="CE393" i="19" a="1"/>
  <c r="CE393" i="19" s="1"/>
  <c r="CE90" i="19" a="1"/>
  <c r="CE90" i="19" s="1"/>
  <c r="CE530" i="19" a="1"/>
  <c r="CE530" i="19" s="1"/>
  <c r="CE235" i="19" a="1"/>
  <c r="CE235" i="19" s="1"/>
  <c r="CE659" i="19" a="1"/>
  <c r="CE659" i="19" s="1"/>
  <c r="CE372" i="19" a="1"/>
  <c r="CE372" i="19" s="1"/>
  <c r="CE93" i="19" a="1"/>
  <c r="CE93" i="19" s="1"/>
  <c r="CE525" i="19" a="1"/>
  <c r="CE525" i="19" s="1"/>
  <c r="CE222" i="19" a="1"/>
  <c r="CE222" i="19" s="1"/>
  <c r="CE694" i="19" a="1"/>
  <c r="CE694" i="19" s="1"/>
  <c r="CG298" i="19" a="1"/>
  <c r="CG298" i="19" s="1"/>
  <c r="CG131" i="19" a="1"/>
  <c r="CG131" i="19" s="1"/>
  <c r="CG14" i="19" a="1"/>
  <c r="CG14" i="19" s="1"/>
  <c r="CG326" i="19" a="1"/>
  <c r="CG326" i="19" s="1"/>
  <c r="CG219" i="19" a="1"/>
  <c r="CG219" i="19" s="1"/>
  <c r="CG36" i="19" a="1"/>
  <c r="CG36" i="19" s="1"/>
  <c r="CG372" i="19" a="1"/>
  <c r="CG372" i="19" s="1"/>
  <c r="CG256" i="19" a="1"/>
  <c r="CG256" i="19" s="1"/>
  <c r="CG73" i="19" a="1"/>
  <c r="CG73" i="19" s="1"/>
  <c r="CG469" i="19" a="1"/>
  <c r="CG469" i="19" s="1"/>
  <c r="CG281" i="19" a="1"/>
  <c r="CG281" i="19" s="1"/>
  <c r="CG102" i="19" a="1"/>
  <c r="CG102" i="19" s="1"/>
  <c r="CG486" i="19" a="1"/>
  <c r="CG486" i="19" s="1"/>
  <c r="CG295" i="19" a="1"/>
  <c r="CG295" i="19" s="1"/>
  <c r="CG188" i="19" a="1"/>
  <c r="CG188" i="19" s="1"/>
  <c r="CG500" i="19" a="1"/>
  <c r="CG500" i="19" s="1"/>
  <c r="CG309" i="19" a="1"/>
  <c r="CG309" i="19" s="1"/>
  <c r="CE59" i="19" a="1"/>
  <c r="CE59" i="19" s="1"/>
  <c r="CE56" i="19" a="1"/>
  <c r="CE56" i="19" s="1"/>
  <c r="CE151" i="19" a="1"/>
  <c r="CE151" i="19" s="1"/>
  <c r="CE463" i="19" a="1"/>
  <c r="CE463" i="19" s="1"/>
  <c r="CE96" i="19" a="1"/>
  <c r="CE96" i="19" s="1"/>
  <c r="CE392" i="19" a="1"/>
  <c r="CE392" i="19" s="1"/>
  <c r="CE720" i="19" a="1"/>
  <c r="CE720" i="19" s="1"/>
  <c r="CE401" i="19" a="1"/>
  <c r="CE401" i="19" s="1"/>
  <c r="CE194" i="19" a="1"/>
  <c r="CE194" i="19" s="1"/>
  <c r="CE546" i="19" a="1"/>
  <c r="CE546" i="19" s="1"/>
  <c r="CE275" i="19" a="1"/>
  <c r="CE275" i="19" s="1"/>
  <c r="CE675" i="19" a="1"/>
  <c r="CE675" i="19" s="1"/>
  <c r="CE380" i="19" a="1"/>
  <c r="CE380" i="19" s="1"/>
  <c r="CE157" i="19" a="1"/>
  <c r="CE157" i="19" s="1"/>
  <c r="CE533" i="19" a="1"/>
  <c r="CE533" i="19" s="1"/>
  <c r="CE254" i="19" a="1"/>
  <c r="CE254" i="19" s="1"/>
  <c r="CE710" i="19" a="1"/>
  <c r="CE710" i="19" s="1"/>
  <c r="CG310" i="19" a="1"/>
  <c r="CG310" i="19" s="1"/>
  <c r="CG215" i="19" a="1"/>
  <c r="CG215" i="19" s="1"/>
  <c r="CG26" i="19" a="1"/>
  <c r="CG26" i="19" s="1"/>
  <c r="CG350" i="19" a="1"/>
  <c r="CG350" i="19" s="1"/>
  <c r="CG231" i="19" a="1"/>
  <c r="CG231" i="19" s="1"/>
  <c r="CG48" i="19" a="1"/>
  <c r="CG48" i="19" s="1"/>
  <c r="CG456" i="19" a="1"/>
  <c r="CG456" i="19" s="1"/>
  <c r="CG268" i="19" a="1"/>
  <c r="CG268" i="19" s="1"/>
  <c r="CG97" i="19" a="1"/>
  <c r="CG97" i="19" s="1"/>
  <c r="CG481" i="19" a="1"/>
  <c r="CG481" i="19" s="1"/>
  <c r="CG293" i="19" a="1"/>
  <c r="CG293" i="19" s="1"/>
  <c r="CG186" i="19" a="1"/>
  <c r="CG186" i="19" s="1"/>
  <c r="CG498" i="19" a="1"/>
  <c r="CG498" i="19" s="1"/>
  <c r="CG319" i="19" a="1"/>
  <c r="CG319" i="19" s="1"/>
  <c r="CG200" i="19" a="1"/>
  <c r="CG200" i="19" s="1"/>
  <c r="CG512" i="19" a="1"/>
  <c r="CG512" i="19" s="1"/>
  <c r="CG393" i="19" a="1"/>
  <c r="CG393" i="19" s="1"/>
  <c r="CE45" i="19" a="1"/>
  <c r="CE45" i="19" s="1"/>
  <c r="CE64" i="19" a="1"/>
  <c r="CE64" i="19" s="1"/>
  <c r="CE175" i="19" a="1"/>
  <c r="CE175" i="19" s="1"/>
  <c r="CE471" i="19" a="1"/>
  <c r="CE471" i="19" s="1"/>
  <c r="CE104" i="19" a="1"/>
  <c r="CE104" i="19" s="1"/>
  <c r="CE472" i="19" a="1"/>
  <c r="CE472" i="19" s="1"/>
  <c r="CE81" i="19" a="1"/>
  <c r="CE81" i="19" s="1"/>
  <c r="CE433" i="19" a="1"/>
  <c r="CE433" i="19" s="1"/>
  <c r="CE218" i="19" a="1"/>
  <c r="CE218" i="19" s="1"/>
  <c r="CE570" i="19" a="1"/>
  <c r="CE570" i="19" s="1"/>
  <c r="CE347" i="19" a="1"/>
  <c r="CE347" i="19" s="1"/>
  <c r="CE683" i="19" a="1"/>
  <c r="CE683" i="19" s="1"/>
  <c r="CE420" i="19" a="1"/>
  <c r="CE420" i="19" s="1"/>
  <c r="CE181" i="19" a="1"/>
  <c r="CE181" i="19" s="1"/>
  <c r="CE549" i="19" a="1"/>
  <c r="CE549" i="19" s="1"/>
  <c r="CE358" i="19" a="1"/>
  <c r="CE358" i="19" s="1"/>
  <c r="CG334" i="19" a="1"/>
  <c r="CG334" i="19" s="1"/>
  <c r="CG227" i="19" a="1"/>
  <c r="CG227" i="19" s="1"/>
  <c r="CG38" i="19" a="1"/>
  <c r="CG38" i="19" s="1"/>
  <c r="CG434" i="19" a="1"/>
  <c r="CG434" i="19" s="1"/>
  <c r="CG243" i="19" a="1"/>
  <c r="CG243" i="19" s="1"/>
  <c r="CG72" i="19" a="1"/>
  <c r="CG72" i="19" s="1"/>
  <c r="CG468" i="19" a="1"/>
  <c r="CG468" i="19" s="1"/>
  <c r="CG280" i="19" a="1"/>
  <c r="CG280" i="19" s="1"/>
  <c r="CG181" i="19" a="1"/>
  <c r="CG181" i="19" s="1"/>
  <c r="CG493" i="19" a="1"/>
  <c r="CG493" i="19" s="1"/>
  <c r="CG317" i="19" a="1"/>
  <c r="CG317" i="19" s="1"/>
  <c r="CG198" i="19" a="1"/>
  <c r="CG198" i="19" s="1"/>
  <c r="CG510" i="19" a="1"/>
  <c r="CG510" i="19" s="1"/>
  <c r="CG403" i="19" a="1"/>
  <c r="CG403" i="19" s="1"/>
  <c r="CG212" i="19" a="1"/>
  <c r="CG212" i="19" s="1"/>
  <c r="CG21" i="19" a="1"/>
  <c r="CG21" i="19" s="1"/>
  <c r="CG405" i="19" a="1"/>
  <c r="CG405" i="19" s="1"/>
  <c r="CG22" i="19" a="1"/>
  <c r="CG22" i="19" s="1"/>
  <c r="CG418" i="19" a="1"/>
  <c r="CG418" i="19" s="1"/>
  <c r="CG239" i="19" a="1"/>
  <c r="CG239" i="19" s="1"/>
  <c r="CG62" i="19" a="1"/>
  <c r="CG62" i="19" s="1"/>
  <c r="CG446" i="19" a="1"/>
  <c r="CG446" i="19" s="1"/>
  <c r="CG255" i="19" a="1"/>
  <c r="CG255" i="19" s="1"/>
  <c r="CG156" i="19" a="1"/>
  <c r="CG156" i="19" s="1"/>
  <c r="CG480" i="19" a="1"/>
  <c r="CG480" i="19" s="1"/>
  <c r="CG304" i="19" a="1"/>
  <c r="CG304" i="19" s="1"/>
  <c r="CG193" i="19" a="1"/>
  <c r="CG193" i="19" s="1"/>
  <c r="CG505" i="19" a="1"/>
  <c r="CG505" i="19" s="1"/>
  <c r="CG401" i="19" a="1"/>
  <c r="CG401" i="19" s="1"/>
  <c r="CG210" i="19" a="1"/>
  <c r="CG210" i="19" s="1"/>
  <c r="CG31" i="19" a="1"/>
  <c r="CG31" i="19" s="1"/>
  <c r="CG415" i="19" a="1"/>
  <c r="CG415" i="19" s="1"/>
  <c r="CG224" i="19" a="1"/>
  <c r="CG224" i="19" s="1"/>
  <c r="CG105" i="19" a="1"/>
  <c r="CG105" i="19" s="1"/>
  <c r="CG417" i="19" a="1"/>
  <c r="CG417" i="19" s="1"/>
  <c r="CG130" i="19" a="1"/>
  <c r="CG130" i="19" s="1"/>
  <c r="CG442" i="19" a="1"/>
  <c r="CG442" i="19" s="1"/>
  <c r="CG275" i="19" a="1"/>
  <c r="CG275" i="19" s="1"/>
  <c r="CG158" i="19" a="1"/>
  <c r="CG158" i="19" s="1"/>
  <c r="CG470" i="19" a="1"/>
  <c r="CG470" i="19" s="1"/>
  <c r="CG363" i="19" a="1"/>
  <c r="CG363" i="19" s="1"/>
  <c r="CG180" i="19" a="1"/>
  <c r="CG180" i="19" s="1"/>
  <c r="CG16" i="19" a="1"/>
  <c r="CG16" i="19" s="1"/>
  <c r="CG400" i="19" a="1"/>
  <c r="CG400" i="19" s="1"/>
  <c r="CG217" i="19" a="1"/>
  <c r="CG217" i="19" s="1"/>
  <c r="CG113" i="19" a="1"/>
  <c r="CG113" i="19" s="1"/>
  <c r="CG425" i="19" a="1"/>
  <c r="CG425" i="19" s="1"/>
  <c r="CG246" i="19" a="1"/>
  <c r="CG246" i="19" s="1"/>
  <c r="CG127" i="19" a="1"/>
  <c r="CG127" i="19" s="1"/>
  <c r="CG439" i="19" a="1"/>
  <c r="CG439" i="19" s="1"/>
  <c r="CG332" i="19" a="1"/>
  <c r="CG332" i="19" s="1"/>
  <c r="CG129" i="19" a="1"/>
  <c r="CG129" i="19" s="1"/>
  <c r="CG13" i="19" a="1"/>
  <c r="CG13" i="19" s="1"/>
  <c r="CG381" i="19" a="1"/>
  <c r="CG381" i="19" s="1"/>
  <c r="CG237" i="19" a="1"/>
  <c r="CG237" i="19" s="1"/>
  <c r="CG93" i="19" a="1"/>
  <c r="CG93" i="19" s="1"/>
  <c r="CG464" i="19" a="1"/>
  <c r="CG464" i="19" s="1"/>
  <c r="CG320" i="19" a="1"/>
  <c r="CG320" i="19" s="1"/>
  <c r="CG176" i="19" a="1"/>
  <c r="CG176" i="19" s="1"/>
  <c r="CG32" i="19" a="1"/>
  <c r="CG32" i="19" s="1"/>
  <c r="CG391" i="19" a="1"/>
  <c r="CG391" i="19" s="1"/>
  <c r="CG247" i="19" a="1"/>
  <c r="CG247" i="19" s="1"/>
  <c r="CG103" i="19" a="1"/>
  <c r="CG103" i="19" s="1"/>
  <c r="CG462" i="19" a="1"/>
  <c r="CG462" i="19" s="1"/>
  <c r="CG318" i="19" a="1"/>
  <c r="CG318" i="19" s="1"/>
  <c r="CG174" i="19" a="1"/>
  <c r="CG174" i="19" s="1"/>
  <c r="CG30" i="19" a="1"/>
  <c r="CG30" i="19" s="1"/>
  <c r="CG389" i="19" a="1"/>
  <c r="CG389" i="19" s="1"/>
  <c r="CG245" i="19" a="1"/>
  <c r="CG245" i="19" s="1"/>
  <c r="CG101" i="19" a="1"/>
  <c r="CG101" i="19" s="1"/>
  <c r="CG457" i="19" a="1"/>
  <c r="CG457" i="19" s="1"/>
  <c r="CG313" i="19" a="1"/>
  <c r="CG313" i="19" s="1"/>
  <c r="CG169" i="19" a="1"/>
  <c r="CG169" i="19" s="1"/>
  <c r="CG25" i="19" a="1"/>
  <c r="CG25" i="19" s="1"/>
  <c r="CG376" i="19" a="1"/>
  <c r="CG376" i="19" s="1"/>
  <c r="CG232" i="19" a="1"/>
  <c r="CG232" i="19" s="1"/>
  <c r="CG88" i="19" a="1"/>
  <c r="CG88" i="19" s="1"/>
  <c r="CG444" i="19" a="1"/>
  <c r="CG444" i="19" s="1"/>
  <c r="CG300" i="19" a="1"/>
  <c r="CG300" i="19" s="1"/>
  <c r="CG144" i="19" a="1"/>
  <c r="CG144" i="19" s="1"/>
  <c r="CG495" i="19" a="1"/>
  <c r="CG495" i="19" s="1"/>
  <c r="CG351" i="19" a="1"/>
  <c r="CG351" i="19" s="1"/>
  <c r="CG207" i="19" a="1"/>
  <c r="CG207" i="19" s="1"/>
  <c r="CG63" i="19" a="1"/>
  <c r="CG63" i="19" s="1"/>
  <c r="CG422" i="19" a="1"/>
  <c r="CG422" i="19" s="1"/>
  <c r="CG278" i="19" a="1"/>
  <c r="CG278" i="19" s="1"/>
  <c r="CG134" i="19" a="1"/>
  <c r="CG134" i="19" s="1"/>
  <c r="CG491" i="19" a="1"/>
  <c r="CG491" i="19" s="1"/>
  <c r="CG347" i="19" a="1"/>
  <c r="CG347" i="19" s="1"/>
  <c r="CG203" i="19" a="1"/>
  <c r="CG203" i="19" s="1"/>
  <c r="CG59" i="19" a="1"/>
  <c r="CG59" i="19" s="1"/>
  <c r="CG406" i="19" a="1"/>
  <c r="CG406" i="19" s="1"/>
  <c r="CG262" i="19" a="1"/>
  <c r="CG262" i="19" s="1"/>
  <c r="CG118" i="19" a="1"/>
  <c r="CG118" i="19" s="1"/>
  <c r="CG513" i="19" a="1"/>
  <c r="CG513" i="19" s="1"/>
  <c r="CG369" i="19" a="1"/>
  <c r="CG369" i="19" s="1"/>
  <c r="CG225" i="19" a="1"/>
  <c r="CG225" i="19" s="1"/>
  <c r="CG81" i="19" a="1"/>
  <c r="CG81" i="19" s="1"/>
  <c r="CG452" i="19" a="1"/>
  <c r="CG452" i="19" s="1"/>
  <c r="CG308" i="19" a="1"/>
  <c r="CG308" i="19" s="1"/>
  <c r="CG164" i="19" a="1"/>
  <c r="CG164" i="19" s="1"/>
  <c r="CG20" i="19" a="1"/>
  <c r="CG20" i="19" s="1"/>
  <c r="CG379" i="19" a="1"/>
  <c r="CG379" i="19" s="1"/>
  <c r="CG235" i="19" a="1"/>
  <c r="CG235" i="19" s="1"/>
  <c r="CG91" i="19" a="1"/>
  <c r="CG91" i="19" s="1"/>
  <c r="CG450" i="19" a="1"/>
  <c r="CG450" i="19" s="1"/>
  <c r="CG306" i="19" a="1"/>
  <c r="CG306" i="19" s="1"/>
  <c r="CG162" i="19" a="1"/>
  <c r="CG162" i="19" s="1"/>
  <c r="CG18" i="19" a="1"/>
  <c r="CG18" i="19" s="1"/>
  <c r="CG377" i="19" a="1"/>
  <c r="CG377" i="19" s="1"/>
  <c r="CG233" i="19" a="1"/>
  <c r="CG233" i="19" s="1"/>
  <c r="CG89" i="19" a="1"/>
  <c r="CG89" i="19" s="1"/>
  <c r="CG445" i="19" a="1"/>
  <c r="CG445" i="19" s="1"/>
  <c r="CG301" i="19" a="1"/>
  <c r="CG301" i="19" s="1"/>
  <c r="CG157" i="19" a="1"/>
  <c r="CG157" i="19" s="1"/>
  <c r="CG508" i="19" a="1"/>
  <c r="CG508" i="19" s="1"/>
  <c r="CG364" i="19" a="1"/>
  <c r="CG364" i="19" s="1"/>
  <c r="CG220" i="19" a="1"/>
  <c r="CG220" i="19" s="1"/>
  <c r="CG76" i="19" a="1"/>
  <c r="CG76" i="19" s="1"/>
  <c r="CG432" i="19" a="1"/>
  <c r="CG432" i="19" s="1"/>
  <c r="CG288" i="19" a="1"/>
  <c r="CG288" i="19" s="1"/>
  <c r="CG132" i="19" a="1"/>
  <c r="CG132" i="19" s="1"/>
  <c r="CG483" i="19" a="1"/>
  <c r="CG483" i="19" s="1"/>
  <c r="CG339" i="19" a="1"/>
  <c r="CG339" i="19" s="1"/>
  <c r="CG195" i="19" a="1"/>
  <c r="CG195" i="19" s="1"/>
  <c r="CG51" i="19" a="1"/>
  <c r="CG51" i="19" s="1"/>
  <c r="CG410" i="19" a="1"/>
  <c r="CG410" i="19" s="1"/>
  <c r="CG266" i="19" a="1"/>
  <c r="CG266" i="19" s="1"/>
  <c r="CG122" i="19" a="1"/>
  <c r="CG122" i="19" s="1"/>
  <c r="CG479" i="19" a="1"/>
  <c r="CG479" i="19" s="1"/>
  <c r="CG335" i="19" a="1"/>
  <c r="CG335" i="19" s="1"/>
  <c r="CG191" i="19" a="1"/>
  <c r="CG191" i="19" s="1"/>
  <c r="CG47" i="19" a="1"/>
  <c r="CG47" i="19" s="1"/>
  <c r="CG394" i="19" a="1"/>
  <c r="CG394" i="19" s="1"/>
  <c r="CG250" i="19" a="1"/>
  <c r="CG250" i="19" s="1"/>
  <c r="CG106" i="19" a="1"/>
  <c r="CG106" i="19" s="1"/>
  <c r="CG501" i="19" a="1"/>
  <c r="CG501" i="19" s="1"/>
  <c r="CG357" i="19" a="1"/>
  <c r="CG357" i="19" s="1"/>
  <c r="CG213" i="19" a="1"/>
  <c r="CG213" i="19" s="1"/>
  <c r="CG69" i="19" a="1"/>
  <c r="CG69" i="19" s="1"/>
  <c r="CG440" i="19" a="1"/>
  <c r="CG440" i="19" s="1"/>
  <c r="CG296" i="19" a="1"/>
  <c r="CG296" i="19" s="1"/>
  <c r="CG152" i="19" a="1"/>
  <c r="CG152" i="19" s="1"/>
  <c r="CG511" i="19" a="1"/>
  <c r="CG511" i="19" s="1"/>
  <c r="CG367" i="19" a="1"/>
  <c r="CG367" i="19" s="1"/>
  <c r="CG223" i="19" a="1"/>
  <c r="CG223" i="19" s="1"/>
  <c r="CG79" i="19" a="1"/>
  <c r="CG79" i="19" s="1"/>
  <c r="CG438" i="19" a="1"/>
  <c r="CG438" i="19" s="1"/>
  <c r="CG294" i="19" a="1"/>
  <c r="CG294" i="19" s="1"/>
  <c r="CG150" i="19" a="1"/>
  <c r="CG150" i="19" s="1"/>
  <c r="CG509" i="19" a="1"/>
  <c r="CG509" i="19" s="1"/>
  <c r="CG365" i="19" a="1"/>
  <c r="CG365" i="19" s="1"/>
  <c r="CG221" i="19" a="1"/>
  <c r="CG221" i="19" s="1"/>
  <c r="CG77" i="19" a="1"/>
  <c r="CG77" i="19" s="1"/>
  <c r="CG433" i="19" a="1"/>
  <c r="CG433" i="19" s="1"/>
  <c r="CG289" i="19" a="1"/>
  <c r="CG289" i="19" s="1"/>
  <c r="CG145" i="19" a="1"/>
  <c r="CG145" i="19" s="1"/>
  <c r="CG496" i="19" a="1"/>
  <c r="CG496" i="19" s="1"/>
  <c r="CG352" i="19" a="1"/>
  <c r="CG352" i="19" s="1"/>
  <c r="CG208" i="19" a="1"/>
  <c r="CG208" i="19" s="1"/>
  <c r="CG64" i="19" a="1"/>
  <c r="CG64" i="19" s="1"/>
  <c r="CG420" i="19" a="1"/>
  <c r="CG420" i="19" s="1"/>
  <c r="CG276" i="19" a="1"/>
  <c r="CG276" i="19" s="1"/>
  <c r="CG120" i="19" a="1"/>
  <c r="CG120" i="19" s="1"/>
  <c r="CG471" i="19" a="1"/>
  <c r="CG471" i="19" s="1"/>
  <c r="CG327" i="19" a="1"/>
  <c r="CG327" i="19" s="1"/>
  <c r="CG183" i="19" a="1"/>
  <c r="CG183" i="19" s="1"/>
  <c r="CG39" i="19" a="1"/>
  <c r="CG39" i="19" s="1"/>
  <c r="CG398" i="19" a="1"/>
  <c r="CG398" i="19" s="1"/>
  <c r="CG254" i="19" a="1"/>
  <c r="CG254" i="19" s="1"/>
  <c r="CG110" i="19" a="1"/>
  <c r="CG110" i="19" s="1"/>
  <c r="CG467" i="19" a="1"/>
  <c r="CG467" i="19" s="1"/>
  <c r="CG323" i="19" a="1"/>
  <c r="CG323" i="19" s="1"/>
  <c r="CG179" i="19" a="1"/>
  <c r="CG179" i="19" s="1"/>
  <c r="CG35" i="19" a="1"/>
  <c r="CG35" i="19" s="1"/>
  <c r="CG382" i="19" a="1"/>
  <c r="CG382" i="19" s="1"/>
  <c r="CG238" i="19" a="1"/>
  <c r="CG238" i="19" s="1"/>
  <c r="CG94" i="19" a="1"/>
  <c r="CG94" i="19" s="1"/>
  <c r="CG489" i="19" a="1"/>
  <c r="CG489" i="19" s="1"/>
  <c r="CG345" i="19" a="1"/>
  <c r="CG345" i="19" s="1"/>
  <c r="CG201" i="19" a="1"/>
  <c r="CG201" i="19" s="1"/>
  <c r="CG57" i="19" a="1"/>
  <c r="CG57" i="19" s="1"/>
  <c r="CG428" i="19" a="1"/>
  <c r="CG428" i="19" s="1"/>
  <c r="CG284" i="19" a="1"/>
  <c r="CG284" i="19" s="1"/>
  <c r="CG140" i="19" a="1"/>
  <c r="CG140" i="19" s="1"/>
  <c r="CG499" i="19" a="1"/>
  <c r="CG499" i="19" s="1"/>
  <c r="CG355" i="19" a="1"/>
  <c r="CG355" i="19" s="1"/>
  <c r="CG211" i="19" a="1"/>
  <c r="CG211" i="19" s="1"/>
  <c r="CG67" i="19" a="1"/>
  <c r="CG67" i="19" s="1"/>
  <c r="CG426" i="19" a="1"/>
  <c r="CG426" i="19" s="1"/>
  <c r="CG282" i="19" a="1"/>
  <c r="CG282" i="19" s="1"/>
  <c r="CG138" i="19" a="1"/>
  <c r="CG138" i="19" s="1"/>
  <c r="CG497" i="19" a="1"/>
  <c r="CG497" i="19" s="1"/>
  <c r="CG353" i="19" a="1"/>
  <c r="CG353" i="19" s="1"/>
  <c r="CG209" i="19" a="1"/>
  <c r="CG209" i="19" s="1"/>
  <c r="CG65" i="19" a="1"/>
  <c r="CG65" i="19" s="1"/>
  <c r="CG421" i="19" a="1"/>
  <c r="CG421" i="19" s="1"/>
  <c r="CG277" i="19" a="1"/>
  <c r="CG277" i="19" s="1"/>
  <c r="CG133" i="19" a="1"/>
  <c r="CG133" i="19" s="1"/>
  <c r="CG484" i="19" a="1"/>
  <c r="CG484" i="19" s="1"/>
  <c r="CG340" i="19" a="1"/>
  <c r="CG340" i="19" s="1"/>
  <c r="CG196" i="19" a="1"/>
  <c r="CG196" i="19" s="1"/>
  <c r="CG52" i="19" a="1"/>
  <c r="CG52" i="19" s="1"/>
  <c r="CG408" i="19" a="1"/>
  <c r="CG408" i="19" s="1"/>
  <c r="CG264" i="19" a="1"/>
  <c r="CG264" i="19" s="1"/>
  <c r="CG108" i="19" a="1"/>
  <c r="CG108" i="19" s="1"/>
  <c r="CG459" i="19" a="1"/>
  <c r="CG459" i="19" s="1"/>
  <c r="CG315" i="19" a="1"/>
  <c r="CG315" i="19" s="1"/>
  <c r="CG171" i="19" a="1"/>
  <c r="CG171" i="19" s="1"/>
  <c r="CG27" i="19" a="1"/>
  <c r="CG27" i="19" s="1"/>
  <c r="CG386" i="19" a="1"/>
  <c r="CG386" i="19" s="1"/>
  <c r="CG242" i="19" a="1"/>
  <c r="CG242" i="19" s="1"/>
  <c r="CG98" i="19" a="1"/>
  <c r="CG98" i="19" s="1"/>
  <c r="CG455" i="19" a="1"/>
  <c r="CG455" i="19" s="1"/>
  <c r="CG311" i="19" a="1"/>
  <c r="CG311" i="19" s="1"/>
  <c r="CG167" i="19" a="1"/>
  <c r="CG167" i="19" s="1"/>
  <c r="CG23" i="19" a="1"/>
  <c r="CG23" i="19" s="1"/>
  <c r="CG370" i="19" a="1"/>
  <c r="CG370" i="19" s="1"/>
  <c r="CG226" i="19" a="1"/>
  <c r="CG226" i="19" s="1"/>
  <c r="CG82" i="19" a="1"/>
  <c r="CG82" i="19" s="1"/>
  <c r="CG477" i="19" a="1"/>
  <c r="CG477" i="19" s="1"/>
  <c r="CG333" i="19" a="1"/>
  <c r="CG333" i="19" s="1"/>
  <c r="CG189" i="19" a="1"/>
  <c r="CG189" i="19" s="1"/>
  <c r="CG45" i="19" a="1"/>
  <c r="CG45" i="19" s="1"/>
  <c r="CG416" i="19" a="1"/>
  <c r="CG416" i="19" s="1"/>
  <c r="CG272" i="19" a="1"/>
  <c r="CG272" i="19" s="1"/>
  <c r="CG128" i="19" a="1"/>
  <c r="CG128" i="19" s="1"/>
  <c r="CG487" i="19" a="1"/>
  <c r="CG487" i="19" s="1"/>
  <c r="CG343" i="19" a="1"/>
  <c r="CG343" i="19" s="1"/>
  <c r="CG199" i="19" a="1"/>
  <c r="CG199" i="19" s="1"/>
  <c r="CG55" i="19" a="1"/>
  <c r="CG55" i="19" s="1"/>
  <c r="CG414" i="19" a="1"/>
  <c r="CG414" i="19" s="1"/>
  <c r="CG270" i="19" a="1"/>
  <c r="CG270" i="19" s="1"/>
  <c r="CG126" i="19" a="1"/>
  <c r="CG126" i="19" s="1"/>
  <c r="CG485" i="19" a="1"/>
  <c r="CG485" i="19" s="1"/>
  <c r="CG341" i="19" a="1"/>
  <c r="CG341" i="19" s="1"/>
  <c r="CG197" i="19" a="1"/>
  <c r="CG197" i="19" s="1"/>
  <c r="CG53" i="19" a="1"/>
  <c r="CG53" i="19" s="1"/>
  <c r="CG409" i="19" a="1"/>
  <c r="CG409" i="19" s="1"/>
  <c r="CG265" i="19" a="1"/>
  <c r="CG265" i="19" s="1"/>
  <c r="CG121" i="19" a="1"/>
  <c r="CG121" i="19" s="1"/>
  <c r="CG472" i="19" a="1"/>
  <c r="CG472" i="19" s="1"/>
  <c r="CG328" i="19" a="1"/>
  <c r="CG328" i="19" s="1"/>
  <c r="CG184" i="19" a="1"/>
  <c r="CG184" i="19" s="1"/>
  <c r="CG40" i="19" a="1"/>
  <c r="CG40" i="19" s="1"/>
  <c r="CG396" i="19" a="1"/>
  <c r="CG396" i="19" s="1"/>
  <c r="CG252" i="19" a="1"/>
  <c r="CG252" i="19" s="1"/>
  <c r="CG96" i="19" a="1"/>
  <c r="CG96" i="19" s="1"/>
  <c r="CG447" i="19" a="1"/>
  <c r="CG447" i="19" s="1"/>
  <c r="CG303" i="19" a="1"/>
  <c r="CG303" i="19" s="1"/>
  <c r="CG159" i="19" a="1"/>
  <c r="CG159" i="19" s="1"/>
  <c r="CG15" i="19" a="1"/>
  <c r="CG15" i="19" s="1"/>
  <c r="CG374" i="19" a="1"/>
  <c r="CG374" i="19" s="1"/>
  <c r="CG230" i="19" a="1"/>
  <c r="CG230" i="19" s="1"/>
  <c r="CG86" i="19" a="1"/>
  <c r="CG86" i="19" s="1"/>
  <c r="CG443" i="19" a="1"/>
  <c r="CG443" i="19" s="1"/>
  <c r="CG299" i="19" a="1"/>
  <c r="CG299" i="19" s="1"/>
  <c r="CG155" i="19" a="1"/>
  <c r="CG155" i="19" s="1"/>
  <c r="CG502" i="19" a="1"/>
  <c r="CG502" i="19" s="1"/>
  <c r="CG358" i="19" a="1"/>
  <c r="CG358" i="19" s="1"/>
  <c r="CG214" i="19" a="1"/>
  <c r="CG214" i="19" s="1"/>
  <c r="CG70" i="19" a="1"/>
  <c r="CG70" i="19" s="1"/>
  <c r="CG465" i="19" a="1"/>
  <c r="CG465" i="19" s="1"/>
  <c r="CG321" i="19" a="1"/>
  <c r="CG321" i="19" s="1"/>
  <c r="CG177" i="19" a="1"/>
  <c r="CG177" i="19" s="1"/>
  <c r="CG33" i="19" a="1"/>
  <c r="CG33" i="19" s="1"/>
  <c r="CG404" i="19" a="1"/>
  <c r="CG404" i="19" s="1"/>
  <c r="CG260" i="19" a="1"/>
  <c r="CG260" i="19" s="1"/>
  <c r="CG116" i="19" a="1"/>
  <c r="CG116" i="19" s="1"/>
  <c r="CG475" i="19" a="1"/>
  <c r="CG475" i="19" s="1"/>
  <c r="CG331" i="19" a="1"/>
  <c r="CG331" i="19" s="1"/>
  <c r="CG187" i="19" a="1"/>
  <c r="CG187" i="19" s="1"/>
  <c r="CG43" i="19" a="1"/>
  <c r="CG43" i="19" s="1"/>
  <c r="CG402" i="19" a="1"/>
  <c r="CG402" i="19" s="1"/>
  <c r="CG258" i="19" a="1"/>
  <c r="CG258" i="19" s="1"/>
  <c r="CG114" i="19" a="1"/>
  <c r="CG114" i="19" s="1"/>
  <c r="CG473" i="19" a="1"/>
  <c r="CG473" i="19" s="1"/>
  <c r="CG329" i="19" a="1"/>
  <c r="CG329" i="19" s="1"/>
  <c r="CG185" i="19" a="1"/>
  <c r="CG185" i="19" s="1"/>
  <c r="CG41" i="19" a="1"/>
  <c r="CG41" i="19" s="1"/>
  <c r="CG397" i="19" a="1"/>
  <c r="CG397" i="19" s="1"/>
  <c r="CG253" i="19" a="1"/>
  <c r="CG253" i="19" s="1"/>
  <c r="CG109" i="19" a="1"/>
  <c r="CG109" i="19" s="1"/>
  <c r="CG460" i="19" a="1"/>
  <c r="CG460" i="19" s="1"/>
  <c r="CG316" i="19" a="1"/>
  <c r="CG316" i="19" s="1"/>
  <c r="CG172" i="19" a="1"/>
  <c r="CG172" i="19" s="1"/>
  <c r="CG28" i="19" a="1"/>
  <c r="CG28" i="19" s="1"/>
  <c r="CG384" i="19" a="1"/>
  <c r="CG384" i="19" s="1"/>
  <c r="CG240" i="19" a="1"/>
  <c r="CG240" i="19" s="1"/>
  <c r="CG84" i="19" a="1"/>
  <c r="CG84" i="19" s="1"/>
  <c r="CG435" i="19" a="1"/>
  <c r="CG435" i="19" s="1"/>
  <c r="CG291" i="19" a="1"/>
  <c r="CG291" i="19" s="1"/>
  <c r="CG147" i="19" a="1"/>
  <c r="CG147" i="19" s="1"/>
  <c r="CG506" i="19" a="1"/>
  <c r="CG506" i="19" s="1"/>
  <c r="CG362" i="19" a="1"/>
  <c r="CG362" i="19" s="1"/>
  <c r="CG218" i="19" a="1"/>
  <c r="CG218" i="19" s="1"/>
  <c r="CG74" i="19" a="1"/>
  <c r="CG74" i="19" s="1"/>
  <c r="CG431" i="19" a="1"/>
  <c r="CG431" i="19" s="1"/>
  <c r="CG287" i="19" a="1"/>
  <c r="CG287" i="19" s="1"/>
  <c r="CG143" i="19" a="1"/>
  <c r="CG143" i="19" s="1"/>
  <c r="CG490" i="19" a="1"/>
  <c r="CG490" i="19" s="1"/>
  <c r="CG346" i="19" a="1"/>
  <c r="CG346" i="19" s="1"/>
  <c r="CG202" i="19" a="1"/>
  <c r="CG202" i="19" s="1"/>
  <c r="CG58" i="19" a="1"/>
  <c r="CG58" i="19" s="1"/>
  <c r="CG441" i="19" a="1"/>
  <c r="CG441" i="19" s="1"/>
  <c r="CG297" i="19" a="1"/>
  <c r="CG297" i="19" s="1"/>
  <c r="CG153" i="19" a="1"/>
  <c r="CG153" i="19" s="1"/>
  <c r="CG204" i="19" a="1"/>
  <c r="CG204" i="19" s="1"/>
  <c r="CG380" i="19" a="1"/>
  <c r="CG380" i="19" s="1"/>
  <c r="CG236" i="19" a="1"/>
  <c r="CG236" i="19" s="1"/>
  <c r="CG92" i="19" a="1"/>
  <c r="CG92" i="19" s="1"/>
  <c r="CG451" i="19" a="1"/>
  <c r="CG451" i="19" s="1"/>
  <c r="CG307" i="19" a="1"/>
  <c r="CG307" i="19" s="1"/>
  <c r="CG163" i="19" a="1"/>
  <c r="CG163" i="19" s="1"/>
  <c r="CG19" i="19" a="1"/>
  <c r="CG19" i="19" s="1"/>
  <c r="CG378" i="19" a="1"/>
  <c r="CG378" i="19" s="1"/>
  <c r="CG234" i="19" a="1"/>
  <c r="CG234" i="19" s="1"/>
  <c r="CG90" i="19" a="1"/>
  <c r="CG90" i="19" s="1"/>
  <c r="CG449" i="19" a="1"/>
  <c r="CG449" i="19" s="1"/>
  <c r="CG305" i="19" a="1"/>
  <c r="CG305" i="19" s="1"/>
  <c r="CG161" i="19" a="1"/>
  <c r="CG161" i="19" s="1"/>
  <c r="CG17" i="19" a="1"/>
  <c r="CG17" i="19" s="1"/>
  <c r="CG373" i="19" a="1"/>
  <c r="CG373" i="19" s="1"/>
  <c r="CG229" i="19" a="1"/>
  <c r="CG229" i="19" s="1"/>
  <c r="CG85" i="19" a="1"/>
  <c r="CG85" i="19" s="1"/>
  <c r="CG436" i="19" a="1"/>
  <c r="CG436" i="19" s="1"/>
  <c r="CG292" i="19" a="1"/>
  <c r="CG292" i="19" s="1"/>
  <c r="CG148" i="19" a="1"/>
  <c r="CG148" i="19" s="1"/>
  <c r="CG504" i="19" a="1"/>
  <c r="CG504" i="19" s="1"/>
  <c r="CG360" i="19" a="1"/>
  <c r="CG360" i="19" s="1"/>
  <c r="CG216" i="19" a="1"/>
  <c r="CG216" i="19" s="1"/>
  <c r="CG60" i="19" a="1"/>
  <c r="CG60" i="19" s="1"/>
  <c r="CG411" i="19" a="1"/>
  <c r="CG411" i="19" s="1"/>
  <c r="CG267" i="19" a="1"/>
  <c r="CG267" i="19" s="1"/>
  <c r="CG123" i="19" a="1"/>
  <c r="CG123" i="19" s="1"/>
  <c r="CG482" i="19" a="1"/>
  <c r="CG482" i="19" s="1"/>
  <c r="CG338" i="19" a="1"/>
  <c r="CG338" i="19" s="1"/>
  <c r="CG194" i="19" a="1"/>
  <c r="CG194" i="19" s="1"/>
  <c r="CG50" i="19" a="1"/>
  <c r="CG50" i="19" s="1"/>
  <c r="CG407" i="19" a="1"/>
  <c r="CG407" i="19" s="1"/>
  <c r="CG263" i="19" a="1"/>
  <c r="CG263" i="19" s="1"/>
  <c r="CG119" i="19" a="1"/>
  <c r="CG119" i="19" s="1"/>
  <c r="CG466" i="19" a="1"/>
  <c r="CG466" i="19" s="1"/>
  <c r="CG322" i="19" a="1"/>
  <c r="CG322" i="19" s="1"/>
  <c r="CG178" i="19" a="1"/>
  <c r="CG178" i="19" s="1"/>
  <c r="CG34" i="19" a="1"/>
  <c r="CG34" i="19" s="1"/>
  <c r="CG154" i="19" a="1"/>
  <c r="CG154" i="19" s="1"/>
  <c r="CG478" i="19" a="1"/>
  <c r="CG478" i="19" s="1"/>
  <c r="CG371" i="19" a="1"/>
  <c r="CG371" i="19" s="1"/>
  <c r="CG182" i="19" a="1"/>
  <c r="CG182" i="19" s="1"/>
  <c r="CG75" i="19" a="1"/>
  <c r="CG75" i="19" s="1"/>
  <c r="CG387" i="19" a="1"/>
  <c r="CG387" i="19" s="1"/>
  <c r="CG228" i="19" a="1"/>
  <c r="CG228" i="19" s="1"/>
  <c r="CG112" i="19" a="1"/>
  <c r="CG112" i="19" s="1"/>
  <c r="CG424" i="19" a="1"/>
  <c r="CG424" i="19" s="1"/>
  <c r="CG325" i="19" a="1"/>
  <c r="CG325" i="19" s="1"/>
  <c r="CG137" i="19" a="1"/>
  <c r="CG137" i="19" s="1"/>
  <c r="CG461" i="19" a="1"/>
  <c r="CG461" i="19" s="1"/>
  <c r="CG342" i="19" a="1"/>
  <c r="CG342" i="19" s="1"/>
  <c r="CG151" i="19" a="1"/>
  <c r="CG151" i="19" s="1"/>
  <c r="CG44" i="19" a="1"/>
  <c r="CG44" i="19" s="1"/>
  <c r="CG356" i="19" a="1"/>
  <c r="CG356" i="19" s="1"/>
  <c r="CG165" i="19" a="1"/>
  <c r="CG165" i="19" s="1"/>
  <c r="CE686" i="19" a="1"/>
  <c r="CE686" i="19" s="1"/>
  <c r="CE510" i="19" a="1"/>
  <c r="CE510" i="19" s="1"/>
  <c r="CE334" i="19" a="1"/>
  <c r="CE334" i="19" s="1"/>
  <c r="CE158" i="19" a="1"/>
  <c r="CE158" i="19" s="1"/>
  <c r="CE661" i="19" a="1"/>
  <c r="CE661" i="19" s="1"/>
  <c r="CE493" i="19" a="1"/>
  <c r="CE493" i="19" s="1"/>
  <c r="CE309" i="19" a="1"/>
  <c r="CE309" i="19" s="1"/>
  <c r="CE149" i="19" a="1"/>
  <c r="CE149" i="19" s="1"/>
  <c r="CE668" i="19" a="1"/>
  <c r="CE668" i="19" s="1"/>
  <c r="CE508" i="19" a="1"/>
  <c r="CE508" i="19" s="1"/>
  <c r="CE316" i="19" a="1"/>
  <c r="CE316" i="19" s="1"/>
  <c r="CE164" i="19" a="1"/>
  <c r="CE164" i="19" s="1"/>
  <c r="CE643" i="19" a="1"/>
  <c r="CE643" i="19" s="1"/>
  <c r="CE491" i="19" a="1"/>
  <c r="CE491" i="19" s="1"/>
  <c r="CE339" i="19" a="1"/>
  <c r="CE339" i="19" s="1"/>
  <c r="CE187" i="19" a="1"/>
  <c r="CE187" i="19" s="1"/>
  <c r="CE690" i="19" a="1"/>
  <c r="CE690" i="19" s="1"/>
  <c r="CE514" i="19" a="1"/>
  <c r="CE514" i="19" s="1"/>
  <c r="CE322" i="19" a="1"/>
  <c r="CE322" i="19" s="1"/>
  <c r="CE178" i="19" a="1"/>
  <c r="CE178" i="19" s="1"/>
  <c r="CE657" i="19" a="1"/>
  <c r="CE657" i="19" s="1"/>
  <c r="CE505" i="19" a="1"/>
  <c r="CE505" i="19" s="1"/>
  <c r="CE345" i="19" a="1"/>
  <c r="CE345" i="19" s="1"/>
  <c r="CE696" i="19" a="1"/>
  <c r="CE696" i="19" s="1"/>
  <c r="CE584" i="19" a="1"/>
  <c r="CE584" i="19" s="1"/>
  <c r="CE336" i="19" a="1"/>
  <c r="CE336" i="19" s="1"/>
  <c r="CE200" i="19" a="1"/>
  <c r="CE200" i="19" s="1"/>
  <c r="CE695" i="19" a="1"/>
  <c r="CE695" i="19" s="1"/>
  <c r="CE567" i="19" a="1"/>
  <c r="CE567" i="19" s="1"/>
  <c r="CE447" i="19" a="1"/>
  <c r="CE447" i="19" s="1"/>
  <c r="CE335" i="19" a="1"/>
  <c r="CE335" i="19" s="1"/>
  <c r="CE231" i="19" a="1"/>
  <c r="CE231" i="19" s="1"/>
  <c r="CE111" i="19" a="1"/>
  <c r="CE111" i="19" s="1"/>
  <c r="CE20" i="19" a="1"/>
  <c r="CE20" i="19" s="1"/>
  <c r="CE40" i="19" a="1"/>
  <c r="CE40" i="19" s="1"/>
  <c r="CE60" i="19" a="1"/>
  <c r="CE60" i="19" s="1"/>
  <c r="CE662" i="19" a="1"/>
  <c r="CE662" i="19" s="1"/>
  <c r="CE478" i="19" a="1"/>
  <c r="CE478" i="19" s="1"/>
  <c r="CE318" i="19" a="1"/>
  <c r="CE318" i="19" s="1"/>
  <c r="CE142" i="19" a="1"/>
  <c r="CE142" i="19" s="1"/>
  <c r="CE645" i="19" a="1"/>
  <c r="CE645" i="19" s="1"/>
  <c r="CE485" i="19" a="1"/>
  <c r="CE485" i="19" s="1"/>
  <c r="CE301" i="19" a="1"/>
  <c r="CE301" i="19" s="1"/>
  <c r="CE660" i="19" a="1"/>
  <c r="CE660" i="19" s="1"/>
  <c r="CE492" i="19" a="1"/>
  <c r="CE492" i="19" s="1"/>
  <c r="CE308" i="19" a="1"/>
  <c r="CE308" i="19" s="1"/>
  <c r="CE156" i="19" a="1"/>
  <c r="CE156" i="19" s="1"/>
  <c r="CE635" i="19" a="1"/>
  <c r="CE635" i="19" s="1"/>
  <c r="CE475" i="19" a="1"/>
  <c r="CE475" i="19" s="1"/>
  <c r="CE331" i="19" a="1"/>
  <c r="CE331" i="19" s="1"/>
  <c r="CE179" i="19" a="1"/>
  <c r="CE179" i="19" s="1"/>
  <c r="CE666" i="19" a="1"/>
  <c r="CE666" i="19" s="1"/>
  <c r="CE474" i="19" a="1"/>
  <c r="CE474" i="19" s="1"/>
  <c r="CE162" i="19" a="1"/>
  <c r="CE162" i="19" s="1"/>
  <c r="CE649" i="19" a="1"/>
  <c r="CE649" i="19" s="1"/>
  <c r="CE497" i="19" a="1"/>
  <c r="CE497" i="19" s="1"/>
  <c r="CE337" i="19" a="1"/>
  <c r="CE337" i="19" s="1"/>
  <c r="CE169" i="19" a="1"/>
  <c r="CE169" i="19" s="1"/>
  <c r="CE680" i="19" a="1"/>
  <c r="CE680" i="19" s="1"/>
  <c r="CE576" i="19" a="1"/>
  <c r="CE576" i="19" s="1"/>
  <c r="CE464" i="19" a="1"/>
  <c r="CE464" i="19" s="1"/>
  <c r="CE328" i="19" a="1"/>
  <c r="CE328" i="19" s="1"/>
  <c r="CE184" i="19" a="1"/>
  <c r="CE184" i="19" s="1"/>
  <c r="CE687" i="19" a="1"/>
  <c r="CE687" i="19" s="1"/>
  <c r="CE559" i="19" a="1"/>
  <c r="CE559" i="19" s="1"/>
  <c r="CE439" i="19" a="1"/>
  <c r="CE439" i="19" s="1"/>
  <c r="CE327" i="19" a="1"/>
  <c r="CE327" i="19" s="1"/>
  <c r="CE223" i="19" a="1"/>
  <c r="CE223" i="19" s="1"/>
  <c r="CE103" i="19" a="1"/>
  <c r="CE103" i="19" s="1"/>
  <c r="CE73" i="19" a="1"/>
  <c r="CE73" i="19" s="1"/>
  <c r="CE32" i="19" a="1"/>
  <c r="CE32" i="19" s="1"/>
  <c r="CE62" i="19" a="1"/>
  <c r="CE62" i="19" s="1"/>
  <c r="CE37" i="19" a="1"/>
  <c r="CE37" i="19" s="1"/>
  <c r="CE646" i="19" a="1"/>
  <c r="CE646" i="19" s="1"/>
  <c r="CE470" i="19" a="1"/>
  <c r="CE470" i="19" s="1"/>
  <c r="CE302" i="19" a="1"/>
  <c r="CE302" i="19" s="1"/>
  <c r="CE134" i="19" a="1"/>
  <c r="CE134" i="19" s="1"/>
  <c r="CE637" i="19" a="1"/>
  <c r="CE637" i="19" s="1"/>
  <c r="CE469" i="19" a="1"/>
  <c r="CE469" i="19" s="1"/>
  <c r="CE293" i="19" a="1"/>
  <c r="CE293" i="19" s="1"/>
  <c r="CE141" i="19" a="1"/>
  <c r="CE141" i="19" s="1"/>
  <c r="CE652" i="19" a="1"/>
  <c r="CE652" i="19" s="1"/>
  <c r="CE476" i="19" a="1"/>
  <c r="CE476" i="19" s="1"/>
  <c r="CE300" i="19" a="1"/>
  <c r="CE300" i="19" s="1"/>
  <c r="CE140" i="19" a="1"/>
  <c r="CE140" i="19" s="1"/>
  <c r="CE627" i="19" a="1"/>
  <c r="CE627" i="19" s="1"/>
  <c r="CE467" i="19" a="1"/>
  <c r="CE467" i="19" s="1"/>
  <c r="CE323" i="19" a="1"/>
  <c r="CE323" i="19" s="1"/>
  <c r="CE163" i="19" a="1"/>
  <c r="CE163" i="19" s="1"/>
  <c r="CE658" i="19" a="1"/>
  <c r="CE658" i="19" s="1"/>
  <c r="CE466" i="19" a="1"/>
  <c r="CE466" i="19" s="1"/>
  <c r="CE314" i="19" a="1"/>
  <c r="CE314" i="19" s="1"/>
  <c r="CE138" i="19" a="1"/>
  <c r="CE138" i="19" s="1"/>
  <c r="CE625" i="19" a="1"/>
  <c r="CE625" i="19" s="1"/>
  <c r="CE481" i="19" a="1"/>
  <c r="CE481" i="19" s="1"/>
  <c r="CE321" i="19" a="1"/>
  <c r="CE321" i="19" s="1"/>
  <c r="CE153" i="19" a="1"/>
  <c r="CE153" i="19" s="1"/>
  <c r="CE672" i="19" a="1"/>
  <c r="CE672" i="19" s="1"/>
  <c r="CE568" i="19" a="1"/>
  <c r="CE568" i="19" s="1"/>
  <c r="CE448" i="19" a="1"/>
  <c r="CE448" i="19" s="1"/>
  <c r="CE304" i="19" a="1"/>
  <c r="CE304" i="19" s="1"/>
  <c r="CE176" i="19" a="1"/>
  <c r="CE176" i="19" s="1"/>
  <c r="CE679" i="19" a="1"/>
  <c r="CE679" i="19" s="1"/>
  <c r="CE543" i="19" a="1"/>
  <c r="CE543" i="19" s="1"/>
  <c r="CE431" i="19" a="1"/>
  <c r="CE431" i="19" s="1"/>
  <c r="CE319" i="19" a="1"/>
  <c r="CE319" i="19" s="1"/>
  <c r="CE207" i="19" a="1"/>
  <c r="CE207" i="19" s="1"/>
  <c r="CE95" i="19" a="1"/>
  <c r="CE95" i="19" s="1"/>
  <c r="CE65" i="19" a="1"/>
  <c r="CE65" i="19" s="1"/>
  <c r="CE16" i="19" a="1"/>
  <c r="CE16" i="19" s="1"/>
  <c r="CE54" i="19" a="1"/>
  <c r="CE54" i="19" s="1"/>
  <c r="CE29" i="19" a="1"/>
  <c r="CE29" i="19" s="1"/>
  <c r="CE638" i="19" a="1"/>
  <c r="CE638" i="19" s="1"/>
  <c r="CE462" i="19" a="1"/>
  <c r="CE462" i="19" s="1"/>
  <c r="CE286" i="19" a="1"/>
  <c r="CE286" i="19" s="1"/>
  <c r="CE126" i="19" a="1"/>
  <c r="CE126" i="19" s="1"/>
  <c r="CE621" i="19" a="1"/>
  <c r="CE621" i="19" s="1"/>
  <c r="CE445" i="19" a="1"/>
  <c r="CE445" i="19" s="1"/>
  <c r="CE253" i="19" a="1"/>
  <c r="CE253" i="19" s="1"/>
  <c r="CE133" i="19" a="1"/>
  <c r="CE133" i="19" s="1"/>
  <c r="CE620" i="19" a="1"/>
  <c r="CE620" i="19" s="1"/>
  <c r="CE460" i="19" a="1"/>
  <c r="CE460" i="19" s="1"/>
  <c r="CE276" i="19" a="1"/>
  <c r="CE276" i="19" s="1"/>
  <c r="CE132" i="19" a="1"/>
  <c r="CE132" i="19" s="1"/>
  <c r="CE619" i="19" a="1"/>
  <c r="CE619" i="19" s="1"/>
  <c r="CE443" i="19" a="1"/>
  <c r="CE443" i="19" s="1"/>
  <c r="CE299" i="19" a="1"/>
  <c r="CE299" i="19" s="1"/>
  <c r="CE155" i="19" a="1"/>
  <c r="CE155" i="19" s="1"/>
  <c r="CE650" i="19" a="1"/>
  <c r="CE650" i="19" s="1"/>
  <c r="CE458" i="19" a="1"/>
  <c r="CE458" i="19" s="1"/>
  <c r="CE306" i="19" a="1"/>
  <c r="CE306" i="19" s="1"/>
  <c r="CE122" i="19" a="1"/>
  <c r="CE122" i="19" s="1"/>
  <c r="CE601" i="19" a="1"/>
  <c r="CE601" i="19" s="1"/>
  <c r="CE465" i="19" a="1"/>
  <c r="CE465" i="19" s="1"/>
  <c r="CE313" i="19" a="1"/>
  <c r="CE313" i="19" s="1"/>
  <c r="CE145" i="19" a="1"/>
  <c r="CE145" i="19" s="1"/>
  <c r="CE664" i="19" a="1"/>
  <c r="CE664" i="19" s="1"/>
  <c r="CE440" i="19" a="1"/>
  <c r="CE440" i="19" s="1"/>
  <c r="CE288" i="19" a="1"/>
  <c r="CE288" i="19" s="1"/>
  <c r="CE152" i="19" a="1"/>
  <c r="CE152" i="19" s="1"/>
  <c r="CE663" i="19" a="1"/>
  <c r="CE663" i="19" s="1"/>
  <c r="CE535" i="19" a="1"/>
  <c r="CE535" i="19" s="1"/>
  <c r="CE423" i="19" a="1"/>
  <c r="CE423" i="19" s="1"/>
  <c r="CE303" i="19" a="1"/>
  <c r="CE303" i="19" s="1"/>
  <c r="CE199" i="19" a="1"/>
  <c r="CE199" i="19" s="1"/>
  <c r="CE87" i="19" a="1"/>
  <c r="CE87" i="19" s="1"/>
  <c r="CE57" i="19" a="1"/>
  <c r="CE57" i="19" s="1"/>
  <c r="CE52" i="19" a="1"/>
  <c r="CE52" i="19" s="1"/>
  <c r="CE46" i="19" a="1"/>
  <c r="CE46" i="19" s="1"/>
  <c r="CE21" i="19" a="1"/>
  <c r="CE21" i="19" s="1"/>
  <c r="CE622" i="19" a="1"/>
  <c r="CE622" i="19" s="1"/>
  <c r="CE446" i="19" a="1"/>
  <c r="CE446" i="19" s="1"/>
  <c r="CE278" i="19" a="1"/>
  <c r="CE278" i="19" s="1"/>
  <c r="CE118" i="19" a="1"/>
  <c r="CE118" i="19" s="1"/>
  <c r="CE613" i="19" a="1"/>
  <c r="CE613" i="19" s="1"/>
  <c r="CE437" i="19" a="1"/>
  <c r="CE437" i="19" s="1"/>
  <c r="CE245" i="19" a="1"/>
  <c r="CE245" i="19" s="1"/>
  <c r="CE117" i="19" a="1"/>
  <c r="CE117" i="19" s="1"/>
  <c r="CE612" i="19" a="1"/>
  <c r="CE612" i="19" s="1"/>
  <c r="CE452" i="19" a="1"/>
  <c r="CE452" i="19" s="1"/>
  <c r="CE268" i="19" a="1"/>
  <c r="CE268" i="19" s="1"/>
  <c r="CE116" i="19" a="1"/>
  <c r="CE116" i="19" s="1"/>
  <c r="CE611" i="19" a="1"/>
  <c r="CE611" i="19" s="1"/>
  <c r="CE291" i="19" a="1"/>
  <c r="CE291" i="19" s="1"/>
  <c r="CE147" i="19" a="1"/>
  <c r="CE147" i="19" s="1"/>
  <c r="CE642" i="19" a="1"/>
  <c r="CE642" i="19" s="1"/>
  <c r="CE434" i="19" a="1"/>
  <c r="CE434" i="19" s="1"/>
  <c r="CE282" i="19" a="1"/>
  <c r="CE282" i="19" s="1"/>
  <c r="CE114" i="19" a="1"/>
  <c r="CE114" i="19" s="1"/>
  <c r="CE593" i="19" a="1"/>
  <c r="CE593" i="19" s="1"/>
  <c r="CE457" i="19" a="1"/>
  <c r="CE457" i="19" s="1"/>
  <c r="CE297" i="19" a="1"/>
  <c r="CE297" i="19" s="1"/>
  <c r="CE129" i="19" a="1"/>
  <c r="CE129" i="19" s="1"/>
  <c r="CE544" i="19" a="1"/>
  <c r="CE544" i="19" s="1"/>
  <c r="CE432" i="19" a="1"/>
  <c r="CE432" i="19" s="1"/>
  <c r="CE280" i="19" a="1"/>
  <c r="CE280" i="19" s="1"/>
  <c r="CE144" i="19" a="1"/>
  <c r="CE144" i="19" s="1"/>
  <c r="CE655" i="19" a="1"/>
  <c r="CE655" i="19" s="1"/>
  <c r="CE527" i="19" a="1"/>
  <c r="CE527" i="19" s="1"/>
  <c r="CE415" i="19" a="1"/>
  <c r="CE415" i="19" s="1"/>
  <c r="CE295" i="19" a="1"/>
  <c r="CE295" i="19" s="1"/>
  <c r="CE191" i="19" a="1"/>
  <c r="CE191" i="19" s="1"/>
  <c r="CE79" i="19" a="1"/>
  <c r="CE79" i="19" s="1"/>
  <c r="CE41" i="19" a="1"/>
  <c r="CE41" i="19" s="1"/>
  <c r="CE71" i="19" a="1"/>
  <c r="CE71" i="19" s="1"/>
  <c r="CE38" i="19" a="1"/>
  <c r="CE38" i="19" s="1"/>
  <c r="CE13" i="19" a="1"/>
  <c r="CE13" i="19" s="1"/>
  <c r="CE598" i="19" a="1"/>
  <c r="CE598" i="19" s="1"/>
  <c r="CE430" i="19" a="1"/>
  <c r="CE430" i="19" s="1"/>
  <c r="CE262" i="19" a="1"/>
  <c r="CE262" i="19" s="1"/>
  <c r="CE110" i="19" a="1"/>
  <c r="CE110" i="19" s="1"/>
  <c r="CE597" i="19" a="1"/>
  <c r="CE597" i="19" s="1"/>
  <c r="CE429" i="19" a="1"/>
  <c r="CE429" i="19" s="1"/>
  <c r="CE237" i="19" a="1"/>
  <c r="CE237" i="19" s="1"/>
  <c r="CE101" i="19" a="1"/>
  <c r="CE101" i="19" s="1"/>
  <c r="CE604" i="19" a="1"/>
  <c r="CE604" i="19" s="1"/>
  <c r="CE444" i="19" a="1"/>
  <c r="CE444" i="19" s="1"/>
  <c r="CE260" i="19" a="1"/>
  <c r="CE260" i="19" s="1"/>
  <c r="CE108" i="19" a="1"/>
  <c r="CE108" i="19" s="1"/>
  <c r="CE579" i="19" a="1"/>
  <c r="CE579" i="19" s="1"/>
  <c r="CE435" i="19" a="1"/>
  <c r="CE435" i="19" s="1"/>
  <c r="CE283" i="19" a="1"/>
  <c r="CE283" i="19" s="1"/>
  <c r="CE115" i="19" a="1"/>
  <c r="CE115" i="19" s="1"/>
  <c r="CE610" i="19" a="1"/>
  <c r="CE610" i="19" s="1"/>
  <c r="CE426" i="19" a="1"/>
  <c r="CE426" i="19" s="1"/>
  <c r="CE274" i="19" a="1"/>
  <c r="CE274" i="19" s="1"/>
  <c r="CE98" i="19" a="1"/>
  <c r="CE98" i="19" s="1"/>
  <c r="CE585" i="19" a="1"/>
  <c r="CE585" i="19" s="1"/>
  <c r="CE441" i="19" a="1"/>
  <c r="CE441" i="19" s="1"/>
  <c r="CE289" i="19" a="1"/>
  <c r="CE289" i="19" s="1"/>
  <c r="CE121" i="19" a="1"/>
  <c r="CE121" i="19" s="1"/>
  <c r="CE656" i="19" a="1"/>
  <c r="CE656" i="19" s="1"/>
  <c r="CE536" i="19" a="1"/>
  <c r="CE536" i="19" s="1"/>
  <c r="CE416" i="19" a="1"/>
  <c r="CE416" i="19" s="1"/>
  <c r="CE272" i="19" a="1"/>
  <c r="CE272" i="19" s="1"/>
  <c r="CE136" i="19" a="1"/>
  <c r="CE136" i="19" s="1"/>
  <c r="CE647" i="19" a="1"/>
  <c r="CE647" i="19" s="1"/>
  <c r="CE519" i="19" a="1"/>
  <c r="CE519" i="19" s="1"/>
  <c r="CE399" i="19" a="1"/>
  <c r="CE399" i="19" s="1"/>
  <c r="CE287" i="19" a="1"/>
  <c r="CE287" i="19" s="1"/>
  <c r="CE183" i="19" a="1"/>
  <c r="CE183" i="19" s="1"/>
  <c r="CE58" i="19" a="1"/>
  <c r="CE58" i="19" s="1"/>
  <c r="CE33" i="19" a="1"/>
  <c r="CE33" i="19" s="1"/>
  <c r="CE63" i="19" a="1"/>
  <c r="CE63" i="19" s="1"/>
  <c r="CE30" i="19" a="1"/>
  <c r="CE30" i="19" s="1"/>
  <c r="CE67" i="19" a="1"/>
  <c r="CE67" i="19" s="1"/>
  <c r="CE574" i="19" a="1"/>
  <c r="CE574" i="19" s="1"/>
  <c r="CE414" i="19" a="1"/>
  <c r="CE414" i="19" s="1"/>
  <c r="CE230" i="19" a="1"/>
  <c r="CE230" i="19" s="1"/>
  <c r="CE78" i="19" a="1"/>
  <c r="CE78" i="19" s="1"/>
  <c r="CE581" i="19" a="1"/>
  <c r="CE581" i="19" s="1"/>
  <c r="CE389" i="19" a="1"/>
  <c r="CE389" i="19" s="1"/>
  <c r="CE213" i="19" a="1"/>
  <c r="CE213" i="19" s="1"/>
  <c r="CE85" i="19" a="1"/>
  <c r="CE85" i="19" s="1"/>
  <c r="CE588" i="19" a="1"/>
  <c r="CE588" i="19" s="1"/>
  <c r="CE404" i="19" a="1"/>
  <c r="CE404" i="19" s="1"/>
  <c r="CE228" i="19" a="1"/>
  <c r="CE228" i="19" s="1"/>
  <c r="CE76" i="19" a="1"/>
  <c r="CE76" i="19" s="1"/>
  <c r="CE547" i="19" a="1"/>
  <c r="CE547" i="19" s="1"/>
  <c r="CE395" i="19" a="1"/>
  <c r="CE395" i="19" s="1"/>
  <c r="CE259" i="19" a="1"/>
  <c r="CE259" i="19" s="1"/>
  <c r="CE99" i="19" a="1"/>
  <c r="CE99" i="19" s="1"/>
  <c r="CE578" i="19" a="1"/>
  <c r="CE578" i="19" s="1"/>
  <c r="CE410" i="19" a="1"/>
  <c r="CE410" i="19" s="1"/>
  <c r="CE258" i="19" a="1"/>
  <c r="CE258" i="19" s="1"/>
  <c r="CE74" i="19" a="1"/>
  <c r="CE74" i="19" s="1"/>
  <c r="CE553" i="19" a="1"/>
  <c r="CE553" i="19" s="1"/>
  <c r="CE409" i="19" a="1"/>
  <c r="CE409" i="19" s="1"/>
  <c r="CE241" i="19" a="1"/>
  <c r="CE241" i="19" s="1"/>
  <c r="CE105" i="19" a="1"/>
  <c r="CE105" i="19" s="1"/>
  <c r="CE512" i="19" a="1"/>
  <c r="CE512" i="19" s="1"/>
  <c r="CE384" i="19" a="1"/>
  <c r="CE384" i="19" s="1"/>
  <c r="CE248" i="19" a="1"/>
  <c r="CE248" i="19" s="1"/>
  <c r="CE112" i="19" a="1"/>
  <c r="CE112" i="19" s="1"/>
  <c r="CE615" i="19" a="1"/>
  <c r="CE615" i="19" s="1"/>
  <c r="CE495" i="19" a="1"/>
  <c r="CE495" i="19" s="1"/>
  <c r="CE383" i="19" a="1"/>
  <c r="CE383" i="19" s="1"/>
  <c r="CE279" i="19" a="1"/>
  <c r="CE279" i="19" s="1"/>
  <c r="CE159" i="19" a="1"/>
  <c r="CE159" i="19" s="1"/>
  <c r="CE42" i="19" a="1"/>
  <c r="CE42" i="19" s="1"/>
  <c r="CE17" i="19" a="1"/>
  <c r="CE17" i="19" s="1"/>
  <c r="CE55" i="19" a="1"/>
  <c r="CE55" i="19" s="1"/>
  <c r="CE28" i="19" a="1"/>
  <c r="CE28" i="19" s="1"/>
  <c r="CE51" i="19" a="1"/>
  <c r="CE51" i="19" s="1"/>
  <c r="CE23" i="19" a="1"/>
  <c r="CE23" i="19" s="1"/>
  <c r="CE34" i="19" a="1"/>
  <c r="CE34" i="19" s="1"/>
  <c r="CE343" i="19" a="1"/>
  <c r="CE343" i="19" s="1"/>
  <c r="CE591" i="19" a="1"/>
  <c r="CE591" i="19" s="1"/>
  <c r="CE256" i="19" a="1"/>
  <c r="CE256" i="19" s="1"/>
  <c r="CE608" i="19" a="1"/>
  <c r="CE608" i="19" s="1"/>
  <c r="CE225" i="19" a="1"/>
  <c r="CE225" i="19" s="1"/>
  <c r="CE689" i="19" a="1"/>
  <c r="CE689" i="19" s="1"/>
  <c r="CE378" i="19" a="1"/>
  <c r="CE378" i="19" s="1"/>
  <c r="CE515" i="19" a="1"/>
  <c r="CE515" i="19" s="1"/>
  <c r="CE212" i="19" a="1"/>
  <c r="CE212" i="19" s="1"/>
  <c r="CE357" i="19" a="1"/>
  <c r="CE357" i="19" s="1"/>
  <c r="CE86" i="19" a="1"/>
  <c r="CE86" i="19" s="1"/>
  <c r="CE542" i="19" a="1"/>
  <c r="CE542" i="19" s="1"/>
  <c r="CG166" i="19" a="1"/>
  <c r="CG166" i="19" s="1"/>
  <c r="CG71" i="19" a="1"/>
  <c r="CG71" i="19" s="1"/>
  <c r="CG383" i="19" a="1"/>
  <c r="CG383" i="19" s="1"/>
  <c r="CG206" i="19" a="1"/>
  <c r="CG206" i="19" s="1"/>
  <c r="CG87" i="19" a="1"/>
  <c r="CG87" i="19" s="1"/>
  <c r="CG399" i="19" a="1"/>
  <c r="CG399" i="19" s="1"/>
  <c r="CG312" i="19" a="1"/>
  <c r="CG312" i="19" s="1"/>
  <c r="CG124" i="19" a="1"/>
  <c r="CG124" i="19" s="1"/>
  <c r="CG448" i="19" a="1"/>
  <c r="CG448" i="19" s="1"/>
  <c r="CG337" i="19" a="1"/>
  <c r="CG337" i="19" s="1"/>
  <c r="CG149" i="19" a="1"/>
  <c r="CG149" i="19" s="1"/>
  <c r="CG42" i="19" a="1"/>
  <c r="CG42" i="19" s="1"/>
  <c r="CG354" i="19" a="1"/>
  <c r="CG354" i="19" s="1"/>
  <c r="CG175" i="19" a="1"/>
  <c r="CG175" i="19" s="1"/>
  <c r="CG56" i="19" a="1"/>
  <c r="CG56" i="19" s="1"/>
  <c r="CG368" i="19" a="1"/>
  <c r="CG368" i="19" s="1"/>
  <c r="CG249" i="19" a="1"/>
  <c r="CG249" i="19" s="1"/>
  <c r="H344" i="24"/>
  <c r="H345" i="24"/>
  <c r="F235" i="1"/>
  <c r="F620" i="1"/>
  <c r="F22" i="1"/>
  <c r="F383" i="1"/>
  <c r="F385" i="1"/>
  <c r="F377" i="1"/>
  <c r="F381" i="1"/>
  <c r="F380" i="1"/>
  <c r="F382" i="1"/>
  <c r="F386" i="1"/>
  <c r="F20" i="1"/>
  <c r="F32" i="1"/>
  <c r="F30" i="1"/>
  <c r="F25" i="1"/>
  <c r="F29" i="1"/>
  <c r="F31" i="1"/>
  <c r="F21" i="1"/>
  <c r="F33" i="1"/>
  <c r="F26" i="1"/>
  <c r="F28" i="1"/>
  <c r="F23" i="1"/>
  <c r="F27" i="1"/>
  <c r="F24" i="1"/>
  <c r="F180" i="1"/>
  <c r="C423" i="1"/>
  <c r="C447" i="1"/>
  <c r="C459" i="1"/>
  <c r="F344" i="1"/>
  <c r="F103" i="1"/>
  <c r="F81" i="1"/>
  <c r="F104" i="1"/>
  <c r="F98" i="1"/>
  <c r="F174" i="1"/>
  <c r="C435" i="1"/>
  <c r="C471" i="1"/>
  <c r="F176" i="1"/>
  <c r="F203" i="1"/>
  <c r="F942" i="1"/>
  <c r="F170" i="1"/>
  <c r="F185" i="1"/>
  <c r="F236" i="1"/>
  <c r="C412" i="1"/>
  <c r="F356" i="1"/>
  <c r="F345" i="1"/>
  <c r="F74" i="1"/>
  <c r="F106" i="1"/>
  <c r="F114" i="1"/>
  <c r="F107" i="1"/>
  <c r="F172" i="1"/>
  <c r="F199" i="1"/>
  <c r="F166" i="1"/>
  <c r="F181" i="1"/>
  <c r="F208" i="1"/>
  <c r="C425" i="1"/>
  <c r="C437" i="1"/>
  <c r="C449" i="1"/>
  <c r="C461" i="1"/>
  <c r="C529" i="1"/>
  <c r="C509" i="1" s="1"/>
  <c r="C534" i="1"/>
  <c r="C512" i="1" s="1"/>
  <c r="C538" i="1"/>
  <c r="E538" i="1" s="1"/>
  <c r="F346" i="1"/>
  <c r="F73" i="1"/>
  <c r="F84" i="1"/>
  <c r="F96" i="1"/>
  <c r="F93" i="1"/>
  <c r="F164" i="1"/>
  <c r="F191" i="1"/>
  <c r="F384" i="1"/>
  <c r="F206" i="1"/>
  <c r="F773" i="1"/>
  <c r="F230" i="1"/>
  <c r="F173" i="1"/>
  <c r="F207" i="1"/>
  <c r="F211" i="1"/>
  <c r="H663" i="1"/>
  <c r="F877" i="1"/>
  <c r="F75" i="1"/>
  <c r="F113" i="1"/>
  <c r="F97" i="1"/>
  <c r="F79" i="1"/>
  <c r="F202" i="1"/>
  <c r="F239" i="1"/>
  <c r="CG4" i="19"/>
  <c r="F160" i="1"/>
  <c r="F187" i="1"/>
  <c r="F151" i="1"/>
  <c r="F169" i="1"/>
  <c r="C416" i="1"/>
  <c r="F874" i="1"/>
  <c r="F77" i="1"/>
  <c r="F115" i="1"/>
  <c r="F112" i="1"/>
  <c r="F80" i="1"/>
  <c r="F204" i="1"/>
  <c r="F183" i="1"/>
  <c r="F198" i="1"/>
  <c r="F941" i="1"/>
  <c r="F165" i="1"/>
  <c r="F943" i="1"/>
  <c r="C429" i="1"/>
  <c r="C441" i="1"/>
  <c r="C453" i="1"/>
  <c r="C465" i="1"/>
  <c r="F72" i="1"/>
  <c r="V511" i="1"/>
  <c r="W511" i="1" s="1"/>
  <c r="J852" i="1"/>
  <c r="F85" i="1"/>
  <c r="F101" i="1"/>
  <c r="F83" i="1"/>
  <c r="F78" i="1"/>
  <c r="F14" i="1"/>
  <c r="F621" i="1"/>
  <c r="F161" i="1"/>
  <c r="F619" i="1"/>
  <c r="B576" i="1" s="1"/>
  <c r="C418" i="1"/>
  <c r="C466" i="1"/>
  <c r="F87" i="1"/>
  <c r="F86" i="1"/>
  <c r="F94" i="1"/>
  <c r="F15" i="1"/>
  <c r="F196" i="1"/>
  <c r="F175" i="1"/>
  <c r="F190" i="1"/>
  <c r="F387" i="1"/>
  <c r="F205" i="1"/>
  <c r="F772" i="1"/>
  <c r="F233" i="1"/>
  <c r="C431" i="1"/>
  <c r="C443" i="1"/>
  <c r="C455" i="1"/>
  <c r="C467" i="1"/>
  <c r="F360" i="1"/>
  <c r="C641" i="1"/>
  <c r="F111" i="1"/>
  <c r="F108" i="1"/>
  <c r="F90" i="1"/>
  <c r="F179" i="1"/>
  <c r="C442" i="1"/>
  <c r="F192" i="1"/>
  <c r="F186" i="1"/>
  <c r="F201" i="1"/>
  <c r="C432" i="1"/>
  <c r="C468" i="1"/>
  <c r="F341" i="1"/>
  <c r="F99" i="1"/>
  <c r="F105" i="1"/>
  <c r="F110" i="1"/>
  <c r="F188" i="1"/>
  <c r="F167" i="1"/>
  <c r="F182" i="1"/>
  <c r="F197" i="1"/>
  <c r="F342" i="1"/>
  <c r="F109" i="1"/>
  <c r="F91" i="1"/>
  <c r="F82" i="1"/>
  <c r="BA4" i="19"/>
  <c r="F200" i="1"/>
  <c r="F194" i="1"/>
  <c r="C406" i="1"/>
  <c r="C430" i="1"/>
  <c r="C454" i="1"/>
  <c r="F171" i="1"/>
  <c r="C408" i="1"/>
  <c r="C444" i="1"/>
  <c r="C456" i="1"/>
  <c r="F184" i="1"/>
  <c r="F232" i="1"/>
  <c r="F163" i="1"/>
  <c r="C410" i="1"/>
  <c r="C422" i="1"/>
  <c r="C434" i="1"/>
  <c r="C446" i="1"/>
  <c r="C458" i="1"/>
  <c r="F102" i="1"/>
  <c r="F100" i="1"/>
  <c r="G112" i="3"/>
  <c r="F577" i="1" s="1"/>
  <c r="H250" i="1"/>
  <c r="Q200" i="26"/>
  <c r="Q220" i="26"/>
  <c r="Q254" i="26"/>
  <c r="AC755" i="1"/>
  <c r="Q268" i="26"/>
  <c r="AC759" i="1"/>
  <c r="Q192" i="26"/>
  <c r="Q246" i="26"/>
  <c r="AC764" i="1"/>
  <c r="Q248" i="26"/>
  <c r="AC761" i="1"/>
  <c r="Q227" i="1" a="1"/>
  <c r="Q227" i="1" s="1"/>
  <c r="B5" i="4"/>
  <c r="R61" i="19" a="1"/>
  <c r="R61" i="19" s="1"/>
  <c r="BA143" i="19" a="1"/>
  <c r="BA143" i="19" s="1"/>
  <c r="R156" i="19" a="1"/>
  <c r="R156" i="19" s="1"/>
  <c r="R138" i="19" a="1"/>
  <c r="R138" i="19" s="1"/>
  <c r="BA93" i="19" a="1"/>
  <c r="BA93" i="19" s="1"/>
  <c r="B7" i="4"/>
  <c r="R20" i="19" a="1"/>
  <c r="R20" i="19" s="1"/>
  <c r="R135" i="19" a="1"/>
  <c r="R135" i="19" s="1"/>
  <c r="R125" i="19" a="1"/>
  <c r="R125" i="19" s="1"/>
  <c r="R99" i="19" a="1"/>
  <c r="R99" i="19" s="1"/>
  <c r="R73" i="19" a="1"/>
  <c r="R73" i="19" s="1"/>
  <c r="R95" i="19" a="1"/>
  <c r="R95" i="19" s="1"/>
  <c r="R27" i="19" a="1"/>
  <c r="R27" i="19" s="1"/>
  <c r="R105" i="19" a="1"/>
  <c r="R105" i="19" s="1"/>
  <c r="R119" i="19" a="1"/>
  <c r="R119" i="19" s="1"/>
  <c r="R83" i="19" a="1"/>
  <c r="R83" i="19" s="1"/>
  <c r="R55" i="19" a="1"/>
  <c r="R55" i="19" s="1"/>
  <c r="R109" i="19" a="1"/>
  <c r="R109" i="19" s="1"/>
  <c r="R51" i="19" a="1"/>
  <c r="R51" i="19" s="1"/>
  <c r="R49" i="19" a="1"/>
  <c r="R49" i="19" s="1"/>
  <c r="R158" i="19" a="1"/>
  <c r="R158" i="19" s="1"/>
  <c r="P38" i="26"/>
  <c r="Q218" i="26"/>
  <c r="Q250" i="26"/>
  <c r="Q252" i="26"/>
  <c r="AC751" i="1"/>
  <c r="I223" i="1" a="1"/>
  <c r="I223" i="1" s="1"/>
  <c r="Q265" i="2" s="1"/>
  <c r="AC752" i="1"/>
  <c r="D278" i="24"/>
  <c r="B268" i="1"/>
  <c r="B274" i="1" s="1"/>
  <c r="BA153" i="19" a="1"/>
  <c r="BA153" i="19" s="1"/>
  <c r="R163" i="19" a="1"/>
  <c r="R163" i="19" s="1"/>
  <c r="R82" i="19" a="1"/>
  <c r="R82" i="19" s="1"/>
  <c r="R79" i="19" a="1"/>
  <c r="R79" i="19" s="1"/>
  <c r="R69" i="19" a="1"/>
  <c r="R69" i="19" s="1"/>
  <c r="R155" i="19" a="1"/>
  <c r="R155" i="19" s="1"/>
  <c r="R74" i="19" a="1"/>
  <c r="R74" i="19" s="1"/>
  <c r="R152" i="19" a="1"/>
  <c r="R152" i="19" s="1"/>
  <c r="R63" i="19" a="1"/>
  <c r="R63" i="19" s="1"/>
  <c r="BA130" i="19" a="1"/>
  <c r="BA130" i="19" s="1"/>
  <c r="BA210" i="19" a="1"/>
  <c r="BA210" i="19" s="1"/>
  <c r="R45" i="19" a="1"/>
  <c r="R45" i="19" s="1"/>
  <c r="R107" i="19" a="1"/>
  <c r="R107" i="19" s="1"/>
  <c r="R26" i="19" a="1"/>
  <c r="R26" i="19" s="1"/>
  <c r="R96" i="19" a="1"/>
  <c r="R96" i="19" s="1"/>
  <c r="BA195" i="19" a="1"/>
  <c r="BA195" i="19" s="1"/>
  <c r="R76" i="19" a="1"/>
  <c r="R76" i="19" s="1"/>
  <c r="R147" i="19" a="1"/>
  <c r="R147" i="19" s="1"/>
  <c r="R130" i="19" a="1"/>
  <c r="R130" i="19" s="1"/>
  <c r="R160" i="19" a="1"/>
  <c r="R160" i="19" s="1"/>
  <c r="R32" i="19" a="1"/>
  <c r="R32" i="19" s="1"/>
  <c r="R165" i="19" a="1"/>
  <c r="R165" i="19" s="1"/>
  <c r="R46" i="19" a="1"/>
  <c r="R46" i="19" s="1"/>
  <c r="R166" i="19" a="1"/>
  <c r="R166" i="19" s="1"/>
  <c r="R128" i="19" a="1"/>
  <c r="R128" i="19" s="1"/>
  <c r="R121" i="19" a="1"/>
  <c r="R121" i="19" s="1"/>
  <c r="R129" i="19" a="1"/>
  <c r="R129" i="19" s="1"/>
  <c r="R112" i="19" a="1"/>
  <c r="R112" i="19" s="1"/>
  <c r="R134" i="19" a="1"/>
  <c r="R134" i="19" s="1"/>
  <c r="R117" i="19" a="1"/>
  <c r="R117" i="19" s="1"/>
  <c r="R148" i="19" a="1"/>
  <c r="R148" i="19" s="1"/>
  <c r="R35" i="19" a="1"/>
  <c r="R35" i="19" s="1"/>
  <c r="R66" i="19" a="1"/>
  <c r="R66" i="19" s="1"/>
  <c r="R57" i="19" a="1"/>
  <c r="R57" i="19" s="1"/>
  <c r="R88" i="19" a="1"/>
  <c r="R88" i="19" s="1"/>
  <c r="R87" i="19" a="1"/>
  <c r="R87" i="19" s="1"/>
  <c r="R102" i="19" a="1"/>
  <c r="R102" i="19" s="1"/>
  <c r="BA32" i="19" a="1"/>
  <c r="BA32" i="19" s="1"/>
  <c r="BA228" i="19" a="1"/>
  <c r="BA228" i="19" s="1"/>
  <c r="BA168" i="19" a="1"/>
  <c r="BA168" i="19" s="1"/>
  <c r="BA41" i="19" a="1"/>
  <c r="BA41" i="19" s="1"/>
  <c r="BA165" i="19" a="1"/>
  <c r="BA165" i="19" s="1"/>
  <c r="BA216" i="19" a="1"/>
  <c r="BA216" i="19" s="1"/>
  <c r="BA67" i="19" a="1"/>
  <c r="BA67" i="19" s="1"/>
  <c r="BA75" i="19" a="1"/>
  <c r="BA75" i="19" s="1"/>
  <c r="BA229" i="19" a="1"/>
  <c r="BA229" i="19" s="1"/>
  <c r="BA54" i="19" a="1"/>
  <c r="BA54" i="19" s="1"/>
  <c r="BA221" i="19" a="1"/>
  <c r="BA221" i="19" s="1"/>
  <c r="BA85" i="19" a="1"/>
  <c r="BA85" i="19" s="1"/>
  <c r="BA46" i="19" a="1"/>
  <c r="BA46" i="19" s="1"/>
  <c r="BA138" i="19" a="1"/>
  <c r="BA138" i="19" s="1"/>
  <c r="BA89" i="19" a="1"/>
  <c r="BA89" i="19" s="1"/>
  <c r="BA199" i="19" a="1"/>
  <c r="BA199" i="19" s="1"/>
  <c r="BA14" i="19" a="1"/>
  <c r="BA14" i="19" s="1"/>
  <c r="BA164" i="19" a="1"/>
  <c r="BA164" i="19" s="1"/>
  <c r="BA59" i="19" a="1"/>
  <c r="BA59" i="19" s="1"/>
  <c r="BA104" i="19" a="1"/>
  <c r="BA104" i="19" s="1"/>
  <c r="BA118" i="19" a="1"/>
  <c r="BA118" i="19" s="1"/>
  <c r="BA173" i="19" a="1"/>
  <c r="BA173" i="19" s="1"/>
  <c r="BA100" i="19" a="1"/>
  <c r="BA100" i="19" s="1"/>
  <c r="BA22" i="19" a="1"/>
  <c r="BA22" i="19" s="1"/>
  <c r="BA193" i="19" a="1"/>
  <c r="BA193" i="19" s="1"/>
  <c r="BA39" i="19" a="1"/>
  <c r="BA39" i="19" s="1"/>
  <c r="BA109" i="19" a="1"/>
  <c r="BA109" i="19" s="1"/>
  <c r="BA31" i="19" a="1"/>
  <c r="BA31" i="19" s="1"/>
  <c r="BA232" i="19" a="1"/>
  <c r="BA232" i="19" s="1"/>
  <c r="BA135" i="19" a="1"/>
  <c r="BA135" i="19" s="1"/>
  <c r="BA37" i="19" a="1"/>
  <c r="BA37" i="19" s="1"/>
  <c r="BA179" i="19" a="1"/>
  <c r="BA179" i="19" s="1"/>
  <c r="BA122" i="19" a="1"/>
  <c r="BA122" i="19" s="1"/>
  <c r="BA224" i="19" a="1"/>
  <c r="BA224" i="19" s="1"/>
  <c r="BA23" i="19" a="1"/>
  <c r="BA23" i="19" s="1"/>
  <c r="BA220" i="19" a="1"/>
  <c r="BA220" i="19" s="1"/>
  <c r="BA112" i="19" a="1"/>
  <c r="BA112" i="19" s="1"/>
  <c r="BA134" i="19" a="1"/>
  <c r="BA134" i="19" s="1"/>
  <c r="BA209" i="19" a="1"/>
  <c r="BA209" i="19" s="1"/>
  <c r="BA190" i="19" a="1"/>
  <c r="BA190" i="19" s="1"/>
  <c r="BA217" i="19" a="1"/>
  <c r="BA217" i="19" s="1"/>
  <c r="BA36" i="19" a="1"/>
  <c r="BA36" i="19" s="1"/>
  <c r="BA71" i="19" a="1"/>
  <c r="BA71" i="19" s="1"/>
  <c r="BA18" i="19" a="1"/>
  <c r="BA18" i="19" s="1"/>
  <c r="BA148" i="19" a="1"/>
  <c r="BA148" i="19" s="1"/>
  <c r="BA74" i="19" a="1"/>
  <c r="BA74" i="19" s="1"/>
  <c r="BA212" i="19" a="1"/>
  <c r="BA212" i="19" s="1"/>
  <c r="N293" i="26"/>
  <c r="CE702" i="19" a="1"/>
  <c r="CE702" i="19" s="1"/>
  <c r="CE606" i="19" a="1"/>
  <c r="CE606" i="19" s="1"/>
  <c r="N396" i="1"/>
  <c r="R396" i="1" s="1"/>
  <c r="M393" i="1"/>
  <c r="Q393" i="1" s="1"/>
  <c r="M394" i="1"/>
  <c r="M396" i="1"/>
  <c r="Q396" i="1" s="1"/>
  <c r="L396" i="1"/>
  <c r="P396" i="1" s="1"/>
  <c r="T396" i="1" s="1"/>
  <c r="V396" i="1" s="1"/>
  <c r="K396" i="1"/>
  <c r="O396" i="1" s="1"/>
  <c r="S396" i="1" s="1"/>
  <c r="U396" i="1" s="1"/>
  <c r="K393" i="1"/>
  <c r="O393" i="1" s="1"/>
  <c r="S393" i="1" s="1"/>
  <c r="U393" i="1" s="1"/>
  <c r="L393" i="1"/>
  <c r="P393" i="1" s="1"/>
  <c r="T393" i="1" s="1"/>
  <c r="V393" i="1" s="1"/>
  <c r="L395" i="1"/>
  <c r="P395" i="1" s="1"/>
  <c r="T395" i="1" s="1"/>
  <c r="V395" i="1" s="1"/>
  <c r="K394" i="1"/>
  <c r="O394" i="1" s="1"/>
  <c r="S394" i="1" s="1"/>
  <c r="I583" i="9"/>
  <c r="E278" i="24"/>
  <c r="F278" i="24" s="1"/>
  <c r="G278" i="24" s="1"/>
  <c r="H120" i="9"/>
  <c r="E118" i="9"/>
  <c r="H127" i="9"/>
  <c r="I129" i="9" s="1"/>
  <c r="I135" i="9" s="1"/>
  <c r="N325" i="24"/>
  <c r="X395" i="1" s="1"/>
  <c r="G127" i="9"/>
  <c r="F120" i="9"/>
  <c r="H91" i="9"/>
  <c r="H258" i="9"/>
  <c r="I260" i="9" s="1"/>
  <c r="I264" i="9" s="1" a="1"/>
  <c r="I264" i="9" s="1"/>
  <c r="I587" i="9" s="1"/>
  <c r="I343" i="24"/>
  <c r="D133" i="9"/>
  <c r="G120" i="9"/>
  <c r="C130" i="24"/>
  <c r="H169" i="9" s="1"/>
  <c r="J253" i="24"/>
  <c r="C528" i="9"/>
  <c r="N321" i="24"/>
  <c r="N322" i="24"/>
  <c r="X393" i="1" s="1"/>
  <c r="N323" i="24"/>
  <c r="H348" i="24"/>
  <c r="N324" i="24"/>
  <c r="W395" i="1" s="1"/>
  <c r="N328" i="24"/>
  <c r="N330" i="24"/>
  <c r="AC747" i="1"/>
  <c r="B398" i="1"/>
  <c r="C391" i="1" s="1"/>
  <c r="AC749" i="1"/>
  <c r="N394" i="1"/>
  <c r="R394" i="1" s="1"/>
  <c r="K395" i="1"/>
  <c r="O395" i="1" s="1"/>
  <c r="S395" i="1" s="1"/>
  <c r="E395" i="1"/>
  <c r="E394" i="1"/>
  <c r="B14" i="7"/>
  <c r="E770" i="1" s="1"/>
  <c r="C393" i="1"/>
  <c r="B318" i="1"/>
  <c r="F578" i="1"/>
  <c r="I17" i="9"/>
  <c r="C48" i="2"/>
  <c r="C49" i="2" s="1"/>
  <c r="D65" i="26"/>
  <c r="E188" i="2"/>
  <c r="B129" i="26"/>
  <c r="B180" i="26"/>
  <c r="B234" i="26"/>
  <c r="B453" i="9"/>
  <c r="F633" i="1"/>
  <c r="B396" i="26"/>
  <c r="C135" i="2"/>
  <c r="M134" i="2" s="1"/>
  <c r="Q119" i="1" s="1" a="1"/>
  <c r="Q119" i="1" s="1"/>
  <c r="E50" i="14"/>
  <c r="H98" i="14" s="1"/>
  <c r="C86" i="24"/>
  <c r="C263" i="2"/>
  <c r="B358" i="26"/>
  <c r="B68" i="26"/>
  <c r="B319" i="1"/>
  <c r="B320" i="1"/>
  <c r="B34" i="5"/>
  <c r="C274" i="2"/>
  <c r="A1" i="38"/>
  <c r="D231" i="9"/>
  <c r="D235" i="9"/>
  <c r="B578" i="1"/>
  <c r="B581" i="1" s="1"/>
  <c r="N393" i="1"/>
  <c r="R393" i="1" s="1"/>
  <c r="C395" i="1"/>
  <c r="C397" i="1"/>
  <c r="C396" i="1"/>
  <c r="C394" i="1"/>
  <c r="C399" i="1" s="1"/>
  <c r="E393" i="1"/>
  <c r="A145" i="3"/>
  <c r="A142" i="3"/>
  <c r="A152" i="3"/>
  <c r="A148" i="3"/>
  <c r="B258" i="1"/>
  <c r="B259" i="1" s="1"/>
  <c r="I161" i="3"/>
  <c r="I602" i="9" s="1"/>
  <c r="A149" i="3"/>
  <c r="B266" i="1"/>
  <c r="B267" i="1" s="1"/>
  <c r="B282" i="1"/>
  <c r="B283" i="1" s="1"/>
  <c r="A143" i="3"/>
  <c r="A150" i="3"/>
  <c r="A140" i="3"/>
  <c r="A144" i="3"/>
  <c r="A139" i="3"/>
  <c r="A138" i="3"/>
  <c r="B315" i="1"/>
  <c r="N89" i="24"/>
  <c r="A141" i="3"/>
  <c r="S263" i="1"/>
  <c r="V312" i="1"/>
  <c r="D106" i="3"/>
  <c r="F55" i="14"/>
  <c r="H91" i="14"/>
  <c r="I75" i="9"/>
  <c r="BA182" i="19" a="1"/>
  <c r="BA182" i="19" s="1"/>
  <c r="BA191" i="19" a="1"/>
  <c r="BA191" i="19" s="1"/>
  <c r="BA160" i="19" a="1"/>
  <c r="BA160" i="19" s="1"/>
  <c r="BA73" i="19" a="1"/>
  <c r="BA73" i="19" s="1"/>
  <c r="BA137" i="19" a="1"/>
  <c r="BA137" i="19" s="1"/>
  <c r="BA17" i="19" a="1"/>
  <c r="BA17" i="19" s="1"/>
  <c r="BA66" i="19" a="1"/>
  <c r="BA66" i="19" s="1"/>
  <c r="BA186" i="19" a="1"/>
  <c r="BA186" i="19" s="1"/>
  <c r="BA24" i="19" a="1"/>
  <c r="BA24" i="19" s="1"/>
  <c r="BA123" i="19" a="1"/>
  <c r="BA123" i="19" s="1"/>
  <c r="BA92" i="19" a="1"/>
  <c r="BA92" i="19" s="1"/>
  <c r="BA29" i="19" a="1"/>
  <c r="BA29" i="19" s="1"/>
  <c r="BA197" i="19" a="1"/>
  <c r="BA197" i="19" s="1"/>
  <c r="BA149" i="19" a="1"/>
  <c r="BA149" i="19" s="1"/>
  <c r="BA101" i="19" a="1"/>
  <c r="BA101" i="19" s="1"/>
  <c r="BA53" i="19" a="1"/>
  <c r="BA53" i="19" s="1"/>
  <c r="BA44" i="19" a="1"/>
  <c r="BA44" i="19" s="1"/>
  <c r="BA204" i="19" a="1"/>
  <c r="BA204" i="19" s="1"/>
  <c r="BA156" i="19" a="1"/>
  <c r="BA156" i="19" s="1"/>
  <c r="BA108" i="19" a="1"/>
  <c r="BA108" i="19" s="1"/>
  <c r="BA60" i="19" a="1"/>
  <c r="BA60" i="19" s="1"/>
  <c r="BA235" i="19" a="1"/>
  <c r="BA235" i="19" s="1"/>
  <c r="BA187" i="19" a="1"/>
  <c r="BA187" i="19" s="1"/>
  <c r="BA139" i="19" a="1"/>
  <c r="BA139" i="19" s="1"/>
  <c r="BA91" i="19" a="1"/>
  <c r="BA91" i="19" s="1"/>
  <c r="BA43" i="19" a="1"/>
  <c r="BA43" i="19" s="1"/>
  <c r="BA47" i="19" a="1"/>
  <c r="BA47" i="19" s="1"/>
  <c r="BA202" i="19" a="1"/>
  <c r="BA202" i="19" s="1"/>
  <c r="BA154" i="19" a="1"/>
  <c r="BA154" i="19" s="1"/>
  <c r="BA106" i="19" a="1"/>
  <c r="BA106" i="19" s="1"/>
  <c r="BA58" i="19" a="1"/>
  <c r="BA58" i="19" s="1"/>
  <c r="BA33" i="19" a="1"/>
  <c r="BA33" i="19" s="1"/>
  <c r="BA225" i="19" a="1"/>
  <c r="BA225" i="19" s="1"/>
  <c r="BA177" i="19" a="1"/>
  <c r="BA177" i="19" s="1"/>
  <c r="BA129" i="19" a="1"/>
  <c r="BA129" i="19" s="1"/>
  <c r="BA81" i="19" a="1"/>
  <c r="BA81" i="19" s="1"/>
  <c r="BA63" i="19" a="1"/>
  <c r="BA63" i="19" s="1"/>
  <c r="BA192" i="19" a="1"/>
  <c r="BA192" i="19" s="1"/>
  <c r="BA144" i="19" a="1"/>
  <c r="BA144" i="19" s="1"/>
  <c r="BA96" i="19" a="1"/>
  <c r="BA96" i="19" s="1"/>
  <c r="BA48" i="19" a="1"/>
  <c r="BA48" i="19" s="1"/>
  <c r="BA223" i="19" a="1"/>
  <c r="BA223" i="19" s="1"/>
  <c r="BA175" i="19" a="1"/>
  <c r="BA175" i="19" s="1"/>
  <c r="BA127" i="19" a="1"/>
  <c r="BA127" i="19" s="1"/>
  <c r="BA79" i="19" a="1"/>
  <c r="BA79" i="19" s="1"/>
  <c r="BA206" i="19" a="1"/>
  <c r="BA206" i="19" s="1"/>
  <c r="BA158" i="19" a="1"/>
  <c r="BA158" i="19" s="1"/>
  <c r="BA110" i="19" a="1"/>
  <c r="BA110" i="19" s="1"/>
  <c r="BA62" i="19" a="1"/>
  <c r="BA62" i="19" s="1"/>
  <c r="BA157" i="19" a="1"/>
  <c r="BA157" i="19" s="1"/>
  <c r="BA20" i="19" a="1"/>
  <c r="BA20" i="19" s="1"/>
  <c r="BA140" i="19" a="1"/>
  <c r="BA140" i="19" s="1"/>
  <c r="BA28" i="19" a="1"/>
  <c r="BA28" i="19" s="1"/>
  <c r="BA155" i="19" a="1"/>
  <c r="BA155" i="19" s="1"/>
  <c r="BA51" i="19" a="1"/>
  <c r="BA51" i="19" s="1"/>
  <c r="BA146" i="19" a="1"/>
  <c r="BA146" i="19" s="1"/>
  <c r="BA42" i="19" a="1"/>
  <c r="BA42" i="19" s="1"/>
  <c r="BA201" i="19" a="1"/>
  <c r="BA201" i="19" s="1"/>
  <c r="BA97" i="19" a="1"/>
  <c r="BA97" i="19" s="1"/>
  <c r="BA200" i="19" a="1"/>
  <c r="BA200" i="19" s="1"/>
  <c r="BA40" i="19" a="1"/>
  <c r="BA40" i="19" s="1"/>
  <c r="BA159" i="19" a="1"/>
  <c r="BA159" i="19" s="1"/>
  <c r="BA230" i="19" a="1"/>
  <c r="BA230" i="19" s="1"/>
  <c r="BA126" i="19" a="1"/>
  <c r="BA126" i="19" s="1"/>
  <c r="BA205" i="19" a="1"/>
  <c r="BA205" i="19" s="1"/>
  <c r="BA45" i="19" a="1"/>
  <c r="BA45" i="19" s="1"/>
  <c r="BA188" i="19" a="1"/>
  <c r="BA188" i="19" s="1"/>
  <c r="BA84" i="19" a="1"/>
  <c r="BA84" i="19" s="1"/>
  <c r="BA203" i="19" a="1"/>
  <c r="BA203" i="19" s="1"/>
  <c r="BA99" i="19" a="1"/>
  <c r="BA99" i="19" s="1"/>
  <c r="BA194" i="19" a="1"/>
  <c r="BA194" i="19" s="1"/>
  <c r="BA90" i="19" a="1"/>
  <c r="BA90" i="19" s="1"/>
  <c r="BA15" i="19" a="1"/>
  <c r="BA15" i="19" s="1"/>
  <c r="BA145" i="19" a="1"/>
  <c r="BA145" i="19" s="1"/>
  <c r="BA25" i="19" a="1"/>
  <c r="BA25" i="19" s="1"/>
  <c r="BA88" i="19" a="1"/>
  <c r="BA88" i="19" s="1"/>
  <c r="BA207" i="19" a="1"/>
  <c r="BA207" i="19" s="1"/>
  <c r="BA103" i="19" a="1"/>
  <c r="BA103" i="19" s="1"/>
  <c r="BA174" i="19" a="1"/>
  <c r="BA174" i="19" s="1"/>
  <c r="BA70" i="19" a="1"/>
  <c r="BA70" i="19" s="1"/>
  <c r="R24" i="19" a="1"/>
  <c r="R24" i="19" s="1"/>
  <c r="R150" i="19" a="1"/>
  <c r="R150" i="19" s="1"/>
  <c r="R30" i="19" a="1"/>
  <c r="R30" i="19" s="1"/>
  <c r="BA142" i="19" a="1"/>
  <c r="BA142" i="19" s="1"/>
  <c r="BA151" i="19" a="1"/>
  <c r="BA151" i="19" s="1"/>
  <c r="BA120" i="19" a="1"/>
  <c r="BA120" i="19" s="1"/>
  <c r="BA105" i="19" a="1"/>
  <c r="BA105" i="19" s="1"/>
  <c r="BA26" i="19" a="1"/>
  <c r="BA26" i="19" s="1"/>
  <c r="BA218" i="19" a="1"/>
  <c r="BA218" i="19" s="1"/>
  <c r="BA83" i="19" a="1"/>
  <c r="BA83" i="19" s="1"/>
  <c r="BA147" i="19" a="1"/>
  <c r="BA147" i="19" s="1"/>
  <c r="BA52" i="19" a="1"/>
  <c r="BA52" i="19" s="1"/>
  <c r="BA116" i="19" a="1"/>
  <c r="BA116" i="19" s="1"/>
  <c r="BA55" i="19" a="1"/>
  <c r="BA55" i="19" s="1"/>
  <c r="BA61" i="19" a="1"/>
  <c r="BA61" i="19" s="1"/>
  <c r="BA181" i="19" a="1"/>
  <c r="BA181" i="19" s="1"/>
  <c r="BA78" i="19" a="1"/>
  <c r="BA78" i="19" s="1"/>
  <c r="BA198" i="19" a="1"/>
  <c r="BA198" i="19" s="1"/>
  <c r="BA87" i="19" a="1"/>
  <c r="BA87" i="19" s="1"/>
  <c r="BA215" i="19" a="1"/>
  <c r="BA215" i="19" s="1"/>
  <c r="BA56" i="19" a="1"/>
  <c r="BA56" i="19" s="1"/>
  <c r="BA176" i="19" a="1"/>
  <c r="BA176" i="19" s="1"/>
  <c r="BA161" i="19" a="1"/>
  <c r="BA161" i="19" s="1"/>
  <c r="BA82" i="19" a="1"/>
  <c r="BA82" i="19" s="1"/>
  <c r="BA19" i="19" a="1"/>
  <c r="BA19" i="19" s="1"/>
  <c r="BA211" i="19" a="1"/>
  <c r="BA211" i="19" s="1"/>
  <c r="BA172" i="19" a="1"/>
  <c r="BA172" i="19" s="1"/>
  <c r="BA117" i="19" a="1"/>
  <c r="BA117" i="19" s="1"/>
  <c r="R157" i="19" a="1"/>
  <c r="R157" i="19" s="1"/>
  <c r="R93" i="19" a="1"/>
  <c r="R93" i="19" s="1"/>
  <c r="R37" i="19" a="1"/>
  <c r="R37" i="19" s="1"/>
  <c r="R140" i="19" a="1"/>
  <c r="R140" i="19" s="1"/>
  <c r="R68" i="19" a="1"/>
  <c r="R68" i="19" s="1"/>
  <c r="R124" i="19" a="1"/>
  <c r="R124" i="19" s="1"/>
  <c r="R131" i="19" a="1"/>
  <c r="R131" i="19" s="1"/>
  <c r="R75" i="19" a="1"/>
  <c r="R75" i="19" s="1"/>
  <c r="R114" i="19" a="1"/>
  <c r="R114" i="19" s="1"/>
  <c r="R58" i="19" a="1"/>
  <c r="R58" i="19" s="1"/>
  <c r="R153" i="19" a="1"/>
  <c r="R153" i="19" s="1"/>
  <c r="R97" i="19" a="1"/>
  <c r="R97" i="19" s="1"/>
  <c r="R41" i="19" a="1"/>
  <c r="R41" i="19" s="1"/>
  <c r="R144" i="19" a="1"/>
  <c r="R144" i="19" s="1"/>
  <c r="R80" i="19" a="1"/>
  <c r="R80" i="19" s="1"/>
  <c r="R111" i="19" a="1"/>
  <c r="R111" i="19" s="1"/>
  <c r="R47" i="19" a="1"/>
  <c r="R47" i="19" s="1"/>
  <c r="R86" i="19" a="1"/>
  <c r="R86" i="19" s="1"/>
  <c r="R14" i="19" a="1"/>
  <c r="R14" i="19" s="1"/>
  <c r="BA86" i="19" a="1"/>
  <c r="BA86" i="19" s="1"/>
  <c r="BA95" i="19" a="1"/>
  <c r="BA95" i="19" s="1"/>
  <c r="BA64" i="19" a="1"/>
  <c r="BA64" i="19" s="1"/>
  <c r="BA184" i="19" a="1"/>
  <c r="BA184" i="19" s="1"/>
  <c r="BA49" i="19" a="1"/>
  <c r="BA49" i="19" s="1"/>
  <c r="BA169" i="19" a="1"/>
  <c r="BA169" i="19" s="1"/>
  <c r="BA233" i="19" a="1"/>
  <c r="BA233" i="19" s="1"/>
  <c r="BA98" i="19" a="1"/>
  <c r="BA98" i="19" s="1"/>
  <c r="BA162" i="19" a="1"/>
  <c r="BA162" i="19" s="1"/>
  <c r="BA27" i="19" a="1"/>
  <c r="BA27" i="19" s="1"/>
  <c r="BA219" i="19" a="1"/>
  <c r="BA219" i="19" s="1"/>
  <c r="BA180" i="19" a="1"/>
  <c r="BA180" i="19" s="1"/>
  <c r="BA125" i="19" a="1"/>
  <c r="BA125" i="19" s="1"/>
  <c r="B821" i="1"/>
  <c r="R136" i="19" a="1"/>
  <c r="R136" i="19" s="1"/>
  <c r="R167" i="19" a="1"/>
  <c r="R167" i="19" s="1"/>
  <c r="R103" i="19" a="1"/>
  <c r="R103" i="19" s="1"/>
  <c r="R142" i="19" a="1"/>
  <c r="R142" i="19" s="1"/>
  <c r="BA150" i="19" a="1"/>
  <c r="BA150" i="19" s="1"/>
  <c r="BA214" i="19" a="1"/>
  <c r="BA214" i="19" s="1"/>
  <c r="BA167" i="19" a="1"/>
  <c r="BA167" i="19" s="1"/>
  <c r="BA231" i="19" a="1"/>
  <c r="BA231" i="19" s="1"/>
  <c r="BA128" i="19" a="1"/>
  <c r="BA128" i="19" s="1"/>
  <c r="BA113" i="19" a="1"/>
  <c r="BA113" i="19" s="1"/>
  <c r="BA34" i="19" a="1"/>
  <c r="BA34" i="19" s="1"/>
  <c r="BA226" i="19" a="1"/>
  <c r="BA226" i="19" s="1"/>
  <c r="BA163" i="19" a="1"/>
  <c r="BA163" i="19" s="1"/>
  <c r="BA124" i="19" a="1"/>
  <c r="BA124" i="19" s="1"/>
  <c r="BA69" i="19" a="1"/>
  <c r="BA69" i="19" s="1"/>
  <c r="BA189" i="19" a="1"/>
  <c r="BA189" i="19" s="1"/>
  <c r="R141" i="19" a="1"/>
  <c r="R141" i="19" s="1"/>
  <c r="R85" i="19" a="1"/>
  <c r="R85" i="19" s="1"/>
  <c r="R29" i="19" a="1"/>
  <c r="R29" i="19" s="1"/>
  <c r="R132" i="19" a="1"/>
  <c r="R132" i="19" s="1"/>
  <c r="R60" i="19" a="1"/>
  <c r="R60" i="19" s="1"/>
  <c r="R52" i="19" a="1"/>
  <c r="R52" i="19" s="1"/>
  <c r="R123" i="19" a="1"/>
  <c r="R123" i="19" s="1"/>
  <c r="R67" i="19" a="1"/>
  <c r="R67" i="19" s="1"/>
  <c r="R162" i="19" a="1"/>
  <c r="R162" i="19" s="1"/>
  <c r="R106" i="19" a="1"/>
  <c r="R106" i="19" s="1"/>
  <c r="R42" i="19" a="1"/>
  <c r="R42" i="19" s="1"/>
  <c r="R145" i="19" a="1"/>
  <c r="R145" i="19" s="1"/>
  <c r="R89" i="19" a="1"/>
  <c r="R89" i="19" s="1"/>
  <c r="R33" i="19" a="1"/>
  <c r="R33" i="19" s="1"/>
  <c r="R64" i="19" a="1"/>
  <c r="R64" i="19" s="1"/>
  <c r="R39" i="19" a="1"/>
  <c r="R39" i="19" s="1"/>
  <c r="BA94" i="19" a="1"/>
  <c r="BA94" i="19" s="1"/>
  <c r="BA111" i="19" a="1"/>
  <c r="BA111" i="19" s="1"/>
  <c r="BA72" i="19" a="1"/>
  <c r="BA72" i="19" s="1"/>
  <c r="BA57" i="19" a="1"/>
  <c r="BA57" i="19" s="1"/>
  <c r="BA38" i="19" a="1"/>
  <c r="BA38" i="19" s="1"/>
  <c r="BA170" i="19" a="1"/>
  <c r="BA170" i="19" s="1"/>
  <c r="BA35" i="19" a="1"/>
  <c r="BA35" i="19" s="1"/>
  <c r="BA107" i="19" a="1"/>
  <c r="BA107" i="19" s="1"/>
  <c r="BA227" i="19" a="1"/>
  <c r="BA227" i="19" s="1"/>
  <c r="BA68" i="19" a="1"/>
  <c r="BA68" i="19" s="1"/>
  <c r="BA196" i="19" a="1"/>
  <c r="BA196" i="19" s="1"/>
  <c r="BA13" i="19" a="1"/>
  <c r="BA13" i="19" s="1"/>
  <c r="BA133" i="19" a="1"/>
  <c r="BA133" i="19" s="1"/>
  <c r="R70" i="19" a="1"/>
  <c r="R70" i="19" s="1"/>
  <c r="R126" i="19" a="1"/>
  <c r="R126" i="19" s="1"/>
  <c r="R71" i="19" a="1"/>
  <c r="R71" i="19" s="1"/>
  <c r="R16" i="19" a="1"/>
  <c r="R16" i="19" s="1"/>
  <c r="R120" i="19" a="1"/>
  <c r="R120" i="19" s="1"/>
  <c r="R22" i="19" a="1"/>
  <c r="R22" i="19" s="1"/>
  <c r="R78" i="19" a="1"/>
  <c r="R78" i="19" s="1"/>
  <c r="R23" i="19" a="1"/>
  <c r="R23" i="19" s="1"/>
  <c r="R127" i="19" a="1"/>
  <c r="R127" i="19" s="1"/>
  <c r="R72" i="19" a="1"/>
  <c r="R72" i="19" s="1"/>
  <c r="R17" i="19" a="1"/>
  <c r="R17" i="19" s="1"/>
  <c r="R65" i="19" a="1"/>
  <c r="R65" i="19" s="1"/>
  <c r="R113" i="19" a="1"/>
  <c r="R113" i="19" s="1"/>
  <c r="R161" i="19" a="1"/>
  <c r="R161" i="19" s="1"/>
  <c r="R50" i="19" a="1"/>
  <c r="R50" i="19" s="1"/>
  <c r="R98" i="19" a="1"/>
  <c r="R98" i="19" s="1"/>
  <c r="R146" i="19" a="1"/>
  <c r="R146" i="19" s="1"/>
  <c r="R43" i="19" a="1"/>
  <c r="R43" i="19" s="1"/>
  <c r="R91" i="19" a="1"/>
  <c r="R91" i="19" s="1"/>
  <c r="R139" i="19" a="1"/>
  <c r="R139" i="19" s="1"/>
  <c r="R84" i="19" a="1"/>
  <c r="R84" i="19" s="1"/>
  <c r="R44" i="19" a="1"/>
  <c r="R44" i="19" s="1"/>
  <c r="R108" i="19" a="1"/>
  <c r="R108" i="19" s="1"/>
  <c r="R164" i="19" a="1"/>
  <c r="R164" i="19" s="1"/>
  <c r="R53" i="19" a="1"/>
  <c r="R53" i="19" s="1"/>
  <c r="R101" i="19" a="1"/>
  <c r="R101" i="19" s="1"/>
  <c r="R149" i="19" a="1"/>
  <c r="R149" i="19" s="1"/>
  <c r="BA222" i="19" a="1"/>
  <c r="BA222" i="19" s="1"/>
  <c r="BA30" i="19" a="1"/>
  <c r="BA30" i="19" s="1"/>
  <c r="BA136" i="19" a="1"/>
  <c r="BA136" i="19" s="1"/>
  <c r="BA208" i="19" a="1"/>
  <c r="BA208" i="19" s="1"/>
  <c r="BA121" i="19" a="1"/>
  <c r="BA121" i="19" s="1"/>
  <c r="BA185" i="19" a="1"/>
  <c r="BA185" i="19" s="1"/>
  <c r="BA50" i="19" a="1"/>
  <c r="BA50" i="19" s="1"/>
  <c r="BA114" i="19" a="1"/>
  <c r="BA114" i="19" s="1"/>
  <c r="BA234" i="19" a="1"/>
  <c r="BA234" i="19" s="1"/>
  <c r="BA171" i="19" a="1"/>
  <c r="BA171" i="19" s="1"/>
  <c r="BA132" i="19" a="1"/>
  <c r="BA132" i="19" s="1"/>
  <c r="BA77" i="19" a="1"/>
  <c r="BA77" i="19" s="1"/>
  <c r="R133" i="19" a="1"/>
  <c r="R133" i="19" s="1"/>
  <c r="R77" i="19" a="1"/>
  <c r="R77" i="19" s="1"/>
  <c r="R21" i="19" a="1"/>
  <c r="R21" i="19" s="1"/>
  <c r="R116" i="19" a="1"/>
  <c r="R116" i="19" s="1"/>
  <c r="R36" i="19" a="1"/>
  <c r="R36" i="19" s="1"/>
  <c r="R115" i="19" a="1"/>
  <c r="R115" i="19" s="1"/>
  <c r="R59" i="19" a="1"/>
  <c r="R59" i="19" s="1"/>
  <c r="R154" i="19" a="1"/>
  <c r="R154" i="19" s="1"/>
  <c r="R90" i="19" a="1"/>
  <c r="R90" i="19" s="1"/>
  <c r="R34" i="19" a="1"/>
  <c r="R34" i="19" s="1"/>
  <c r="R137" i="19" a="1"/>
  <c r="R137" i="19" s="1"/>
  <c r="R81" i="19" a="1"/>
  <c r="R81" i="19" s="1"/>
  <c r="R25" i="19" a="1"/>
  <c r="R25" i="19" s="1"/>
  <c r="R56" i="19" a="1"/>
  <c r="R56" i="19" s="1"/>
  <c r="R151" i="19" a="1"/>
  <c r="R151" i="19" s="1"/>
  <c r="R31" i="19" a="1"/>
  <c r="R31" i="19" s="1"/>
  <c r="R118" i="19" a="1"/>
  <c r="R118" i="19" s="1"/>
  <c r="BA102" i="19" a="1"/>
  <c r="BA102" i="19" s="1"/>
  <c r="BA166" i="19" a="1"/>
  <c r="BA166" i="19" s="1"/>
  <c r="BA119" i="19" a="1"/>
  <c r="BA119" i="19" s="1"/>
  <c r="BA183" i="19" a="1"/>
  <c r="BA183" i="19" s="1"/>
  <c r="BA80" i="19" a="1"/>
  <c r="BA80" i="19" s="1"/>
  <c r="BA152" i="19" a="1"/>
  <c r="BA152" i="19" s="1"/>
  <c r="BA65" i="19" a="1"/>
  <c r="BA65" i="19" s="1"/>
  <c r="BA16" i="19" a="1"/>
  <c r="BA16" i="19" s="1"/>
  <c r="BA178" i="19" a="1"/>
  <c r="BA178" i="19" s="1"/>
  <c r="BA115" i="19" a="1"/>
  <c r="BA115" i="19" s="1"/>
  <c r="BA76" i="19" a="1"/>
  <c r="BA76" i="19" s="1"/>
  <c r="BA21" i="19" a="1"/>
  <c r="BA21" i="19" s="1"/>
  <c r="BA141" i="19" a="1"/>
  <c r="BA141" i="19" s="1"/>
  <c r="BA213" i="19" a="1"/>
  <c r="BA213" i="19" s="1"/>
  <c r="CE4" i="19"/>
  <c r="CE631" i="19" a="1"/>
  <c r="CE631" i="19" s="1"/>
  <c r="CE88" i="19" a="1"/>
  <c r="CE88" i="19" s="1"/>
  <c r="CE192" i="19" a="1"/>
  <c r="CE192" i="19" s="1"/>
  <c r="CE296" i="19" a="1"/>
  <c r="CE296" i="19" s="1"/>
  <c r="CE400" i="19" a="1"/>
  <c r="CE400" i="19" s="1"/>
  <c r="CE560" i="19" a="1"/>
  <c r="CE560" i="19" s="1"/>
  <c r="CE193" i="19" a="1"/>
  <c r="CE193" i="19" s="1"/>
  <c r="CE249" i="19" a="1"/>
  <c r="CE249" i="19" s="1"/>
  <c r="CE305" i="19" a="1"/>
  <c r="CE305" i="19" s="1"/>
  <c r="CE361" i="19" a="1"/>
  <c r="CE361" i="19" s="1"/>
  <c r="CE489" i="19" a="1"/>
  <c r="CE489" i="19" s="1"/>
  <c r="CE609" i="19" a="1"/>
  <c r="CE609" i="19" s="1"/>
  <c r="CE673" i="19" a="1"/>
  <c r="CE673" i="19" s="1"/>
  <c r="CE146" i="19" a="1"/>
  <c r="CE146" i="19" s="1"/>
  <c r="CE210" i="19" a="1"/>
  <c r="CE210" i="19" s="1"/>
  <c r="CE330" i="19" a="1"/>
  <c r="CE330" i="19" s="1"/>
  <c r="CE402" i="19" a="1"/>
  <c r="CE402" i="19" s="1"/>
  <c r="CE594" i="19" a="1"/>
  <c r="CE594" i="19" s="1"/>
  <c r="CE83" i="19" a="1"/>
  <c r="CE83" i="19" s="1"/>
  <c r="CE563" i="19" a="1"/>
  <c r="CE563" i="19" s="1"/>
  <c r="CE396" i="19" a="1"/>
  <c r="CE396" i="19" s="1"/>
  <c r="CE540" i="19" a="1"/>
  <c r="CE540" i="19" s="1"/>
  <c r="CE373" i="19" a="1"/>
  <c r="CE373" i="19" s="1"/>
  <c r="CE517" i="19" a="1"/>
  <c r="CE517" i="19" s="1"/>
  <c r="CE350" i="19" a="1"/>
  <c r="CE350" i="19" s="1"/>
  <c r="CE678" i="19" a="1"/>
  <c r="CE678" i="19" s="1"/>
  <c r="CE630" i="19" a="1"/>
  <c r="CE630" i="19" s="1"/>
  <c r="CE582" i="19" a="1"/>
  <c r="CE582" i="19" s="1"/>
  <c r="CE534" i="19" a="1"/>
  <c r="CE534" i="19" s="1"/>
  <c r="CE486" i="19" a="1"/>
  <c r="CE486" i="19" s="1"/>
  <c r="CE438" i="19" a="1"/>
  <c r="CE438" i="19" s="1"/>
  <c r="CE390" i="19" a="1"/>
  <c r="CE390" i="19" s="1"/>
  <c r="CE342" i="19" a="1"/>
  <c r="CE342" i="19" s="1"/>
  <c r="CE294" i="19" a="1"/>
  <c r="CE294" i="19" s="1"/>
  <c r="CE246" i="19" a="1"/>
  <c r="CE246" i="19" s="1"/>
  <c r="CE198" i="19" a="1"/>
  <c r="CE198" i="19" s="1"/>
  <c r="CE150" i="19" a="1"/>
  <c r="CE150" i="19" s="1"/>
  <c r="CE102" i="19" a="1"/>
  <c r="CE102" i="19" s="1"/>
  <c r="CE701" i="19" a="1"/>
  <c r="CE701" i="19" s="1"/>
  <c r="CE653" i="19" a="1"/>
  <c r="CE653" i="19" s="1"/>
  <c r="CE605" i="19" a="1"/>
  <c r="CE605" i="19" s="1"/>
  <c r="CE557" i="19" a="1"/>
  <c r="CE557" i="19" s="1"/>
  <c r="CE509" i="19" a="1"/>
  <c r="CE509" i="19" s="1"/>
  <c r="CE461" i="19" a="1"/>
  <c r="CE461" i="19" s="1"/>
  <c r="CE413" i="19" a="1"/>
  <c r="CE413" i="19" s="1"/>
  <c r="CE365" i="19" a="1"/>
  <c r="CE365" i="19" s="1"/>
  <c r="CE317" i="19" a="1"/>
  <c r="CE317" i="19" s="1"/>
  <c r="CE269" i="19" a="1"/>
  <c r="CE269" i="19" s="1"/>
  <c r="CE221" i="19" a="1"/>
  <c r="CE221" i="19" s="1"/>
  <c r="CE173" i="19" a="1"/>
  <c r="CE173" i="19" s="1"/>
  <c r="CE125" i="19" a="1"/>
  <c r="CE125" i="19" s="1"/>
  <c r="CE77" i="19" a="1"/>
  <c r="CE77" i="19" s="1"/>
  <c r="CE676" i="19" a="1"/>
  <c r="CE676" i="19" s="1"/>
  <c r="CE628" i="19" a="1"/>
  <c r="CE628" i="19" s="1"/>
  <c r="CE580" i="19" a="1"/>
  <c r="CE580" i="19" s="1"/>
  <c r="CE532" i="19" a="1"/>
  <c r="CE532" i="19" s="1"/>
  <c r="CE484" i="19" a="1"/>
  <c r="CE484" i="19" s="1"/>
  <c r="CE436" i="19" a="1"/>
  <c r="CE436" i="19" s="1"/>
  <c r="CE388" i="19" a="1"/>
  <c r="CE388" i="19" s="1"/>
  <c r="CE340" i="19" a="1"/>
  <c r="CE340" i="19" s="1"/>
  <c r="CE292" i="19" a="1"/>
  <c r="CE292" i="19" s="1"/>
  <c r="CE244" i="19" a="1"/>
  <c r="CE244" i="19" s="1"/>
  <c r="CE196" i="19" a="1"/>
  <c r="CE196" i="19" s="1"/>
  <c r="CE148" i="19" a="1"/>
  <c r="CE148" i="19" s="1"/>
  <c r="CE100" i="19" a="1"/>
  <c r="CE100" i="19" s="1"/>
  <c r="CE699" i="19" a="1"/>
  <c r="CE699" i="19" s="1"/>
  <c r="CE651" i="19" a="1"/>
  <c r="CE651" i="19" s="1"/>
  <c r="CE603" i="19" a="1"/>
  <c r="CE603" i="19" s="1"/>
  <c r="CE555" i="19" a="1"/>
  <c r="CE555" i="19" s="1"/>
  <c r="CE507" i="19" a="1"/>
  <c r="CE507" i="19" s="1"/>
  <c r="CE459" i="19" a="1"/>
  <c r="CE459" i="19" s="1"/>
  <c r="CE411" i="19" a="1"/>
  <c r="CE411" i="19" s="1"/>
  <c r="CE363" i="19" a="1"/>
  <c r="CE363" i="19" s="1"/>
  <c r="CE315" i="19" a="1"/>
  <c r="CE315" i="19" s="1"/>
  <c r="CE267" i="19" a="1"/>
  <c r="CE267" i="19" s="1"/>
  <c r="CE219" i="19" a="1"/>
  <c r="CE219" i="19" s="1"/>
  <c r="CE171" i="19" a="1"/>
  <c r="CE171" i="19" s="1"/>
  <c r="CE123" i="19" a="1"/>
  <c r="CE123" i="19" s="1"/>
  <c r="CE75" i="19" a="1"/>
  <c r="CE75" i="19" s="1"/>
  <c r="CE682" i="19" a="1"/>
  <c r="CE682" i="19" s="1"/>
  <c r="CE634" i="19" a="1"/>
  <c r="CE634" i="19" s="1"/>
  <c r="CE586" i="19" a="1"/>
  <c r="CE586" i="19" s="1"/>
  <c r="CE538" i="19" a="1"/>
  <c r="CE538" i="19" s="1"/>
  <c r="CE490" i="19" a="1"/>
  <c r="CE490" i="19" s="1"/>
  <c r="CE442" i="19" a="1"/>
  <c r="CE442" i="19" s="1"/>
  <c r="CE394" i="19" a="1"/>
  <c r="CE394" i="19" s="1"/>
  <c r="CE346" i="19" a="1"/>
  <c r="CE346" i="19" s="1"/>
  <c r="CE298" i="19" a="1"/>
  <c r="CE298" i="19" s="1"/>
  <c r="CE250" i="19" a="1"/>
  <c r="CE250" i="19" s="1"/>
  <c r="CE202" i="19" a="1"/>
  <c r="CE202" i="19" s="1"/>
  <c r="CE154" i="19" a="1"/>
  <c r="CE154" i="19" s="1"/>
  <c r="CE106" i="19" a="1"/>
  <c r="CE106" i="19" s="1"/>
  <c r="CE713" i="19" a="1"/>
  <c r="CE713" i="19" s="1"/>
  <c r="CE665" i="19" a="1"/>
  <c r="CE665" i="19" s="1"/>
  <c r="CE617" i="19" a="1"/>
  <c r="CE617" i="19" s="1"/>
  <c r="CE569" i="19" a="1"/>
  <c r="CE569" i="19" s="1"/>
  <c r="CE521" i="19" a="1"/>
  <c r="CE521" i="19" s="1"/>
  <c r="CE473" i="19" a="1"/>
  <c r="CE473" i="19" s="1"/>
  <c r="CE425" i="19" a="1"/>
  <c r="CE425" i="19" s="1"/>
  <c r="CE377" i="19" a="1"/>
  <c r="CE377" i="19" s="1"/>
  <c r="CE329" i="19" a="1"/>
  <c r="CE329" i="19" s="1"/>
  <c r="CE281" i="19" a="1"/>
  <c r="CE281" i="19" s="1"/>
  <c r="CE233" i="19" a="1"/>
  <c r="CE233" i="19" s="1"/>
  <c r="CE185" i="19" a="1"/>
  <c r="CE185" i="19" s="1"/>
  <c r="CE137" i="19" a="1"/>
  <c r="CE137" i="19" s="1"/>
  <c r="CE89" i="19" a="1"/>
  <c r="CE89" i="19" s="1"/>
  <c r="CE688" i="19" a="1"/>
  <c r="CE688" i="19" s="1"/>
  <c r="CE640" i="19" a="1"/>
  <c r="CE640" i="19" s="1"/>
  <c r="CE670" i="19" a="1"/>
  <c r="CE670" i="19" s="1"/>
  <c r="CE614" i="19" a="1"/>
  <c r="CE614" i="19" s="1"/>
  <c r="CE558" i="19" a="1"/>
  <c r="CE558" i="19" s="1"/>
  <c r="CE502" i="19" a="1"/>
  <c r="CE502" i="19" s="1"/>
  <c r="CE382" i="19" a="1"/>
  <c r="CE382" i="19" s="1"/>
  <c r="CE326" i="19" a="1"/>
  <c r="CE326" i="19" s="1"/>
  <c r="CE270" i="19" a="1"/>
  <c r="CE270" i="19" s="1"/>
  <c r="CE214" i="19" a="1"/>
  <c r="CE214" i="19" s="1"/>
  <c r="CE94" i="19" a="1"/>
  <c r="CE94" i="19" s="1"/>
  <c r="CE685" i="19" a="1"/>
  <c r="CE685" i="19" s="1"/>
  <c r="CE629" i="19" a="1"/>
  <c r="CE629" i="19" s="1"/>
  <c r="CE573" i="19" a="1"/>
  <c r="CE573" i="19" s="1"/>
  <c r="CE453" i="19" a="1"/>
  <c r="CE453" i="19" s="1"/>
  <c r="CE397" i="19" a="1"/>
  <c r="CE397" i="19" s="1"/>
  <c r="CE341" i="19" a="1"/>
  <c r="CE341" i="19" s="1"/>
  <c r="CE285" i="19" a="1"/>
  <c r="CE285" i="19" s="1"/>
  <c r="CE165" i="19" a="1"/>
  <c r="CE165" i="19" s="1"/>
  <c r="CE109" i="19" a="1"/>
  <c r="CE109" i="19" s="1"/>
  <c r="CE700" i="19" a="1"/>
  <c r="CE700" i="19" s="1"/>
  <c r="CE644" i="19" a="1"/>
  <c r="CE644" i="19" s="1"/>
  <c r="CE524" i="19" a="1"/>
  <c r="CE524" i="19" s="1"/>
  <c r="CE468" i="19" a="1"/>
  <c r="CE468" i="19" s="1"/>
  <c r="CE412" i="19" a="1"/>
  <c r="CE412" i="19" s="1"/>
  <c r="CE356" i="19" a="1"/>
  <c r="CE356" i="19" s="1"/>
  <c r="CE236" i="19" a="1"/>
  <c r="CE236" i="19" s="1"/>
  <c r="CE180" i="19" a="1"/>
  <c r="CE180" i="19" s="1"/>
  <c r="CE124" i="19" a="1"/>
  <c r="CE124" i="19" s="1"/>
  <c r="CE715" i="19" a="1"/>
  <c r="CE715" i="19" s="1"/>
  <c r="CE595" i="19" a="1"/>
  <c r="CE595" i="19" s="1"/>
  <c r="CE539" i="19" a="1"/>
  <c r="CE539" i="19" s="1"/>
  <c r="CE483" i="19" a="1"/>
  <c r="CE483" i="19" s="1"/>
  <c r="CE427" i="19" a="1"/>
  <c r="CE427" i="19" s="1"/>
  <c r="CE307" i="19" a="1"/>
  <c r="CE307" i="19" s="1"/>
  <c r="CE251" i="19" a="1"/>
  <c r="CE251" i="19" s="1"/>
  <c r="CE195" i="19" a="1"/>
  <c r="CE195" i="19" s="1"/>
  <c r="CE139" i="19" a="1"/>
  <c r="CE139" i="19" s="1"/>
  <c r="CE674" i="19" a="1"/>
  <c r="CE674" i="19" s="1"/>
  <c r="CE618" i="19" a="1"/>
  <c r="CE618" i="19" s="1"/>
  <c r="CE562" i="19" a="1"/>
  <c r="CE562" i="19" s="1"/>
  <c r="CE506" i="19" a="1"/>
  <c r="CE506" i="19" s="1"/>
  <c r="CE450" i="19" a="1"/>
  <c r="CE450" i="19" s="1"/>
  <c r="CE290" i="19" a="1"/>
  <c r="CE290" i="19" s="1"/>
  <c r="CE186" i="19" a="1"/>
  <c r="CE186" i="19" s="1"/>
  <c r="CE82" i="19" a="1"/>
  <c r="CE82" i="19" s="1"/>
  <c r="CE633" i="19" a="1"/>
  <c r="CE633" i="19" s="1"/>
  <c r="CE529" i="19" a="1"/>
  <c r="CE529" i="19" s="1"/>
  <c r="CE369" i="19" a="1"/>
  <c r="CE369" i="19" s="1"/>
  <c r="CE265" i="19" a="1"/>
  <c r="CE265" i="19" s="1"/>
  <c r="CE161" i="19" a="1"/>
  <c r="CE161" i="19" s="1"/>
  <c r="CE704" i="19" a="1"/>
  <c r="CE704" i="19" s="1"/>
  <c r="CE600" i="19" a="1"/>
  <c r="CE600" i="19" s="1"/>
  <c r="CE552" i="19" a="1"/>
  <c r="CE552" i="19" s="1"/>
  <c r="CE504" i="19" a="1"/>
  <c r="CE504" i="19" s="1"/>
  <c r="CE456" i="19" a="1"/>
  <c r="CE456" i="19" s="1"/>
  <c r="CE408" i="19" a="1"/>
  <c r="CE408" i="19" s="1"/>
  <c r="CE360" i="19" a="1"/>
  <c r="CE360" i="19" s="1"/>
  <c r="CE312" i="19" a="1"/>
  <c r="CE312" i="19" s="1"/>
  <c r="CE264" i="19" a="1"/>
  <c r="CE264" i="19" s="1"/>
  <c r="CE216" i="19" a="1"/>
  <c r="CE216" i="19" s="1"/>
  <c r="CE168" i="19" a="1"/>
  <c r="CE168" i="19" s="1"/>
  <c r="CE120" i="19" a="1"/>
  <c r="CE120" i="19" s="1"/>
  <c r="CE719" i="19" a="1"/>
  <c r="CE719" i="19" s="1"/>
  <c r="CE671" i="19" a="1"/>
  <c r="CE671" i="19" s="1"/>
  <c r="CE623" i="19" a="1"/>
  <c r="CE623" i="19" s="1"/>
  <c r="CE494" i="19" a="1"/>
  <c r="CE494" i="19" s="1"/>
  <c r="CE206" i="19" a="1"/>
  <c r="CE206" i="19" s="1"/>
  <c r="CE565" i="19" a="1"/>
  <c r="CE565" i="19" s="1"/>
  <c r="CE277" i="19" a="1"/>
  <c r="CE277" i="19" s="1"/>
  <c r="CE636" i="19" a="1"/>
  <c r="CE636" i="19" s="1"/>
  <c r="CE348" i="19" a="1"/>
  <c r="CE348" i="19" s="1"/>
  <c r="CE707" i="19" a="1"/>
  <c r="CE707" i="19" s="1"/>
  <c r="CE419" i="19" a="1"/>
  <c r="CE419" i="19" s="1"/>
  <c r="CE131" i="19" a="1"/>
  <c r="CE131" i="19" s="1"/>
  <c r="CE498" i="19" a="1"/>
  <c r="CE498" i="19" s="1"/>
  <c r="CE338" i="19" a="1"/>
  <c r="CE338" i="19" s="1"/>
  <c r="CE234" i="19" a="1"/>
  <c r="CE234" i="19" s="1"/>
  <c r="CE130" i="19" a="1"/>
  <c r="CE130" i="19" s="1"/>
  <c r="CE681" i="19" a="1"/>
  <c r="CE681" i="19" s="1"/>
  <c r="CE577" i="19" a="1"/>
  <c r="CE577" i="19" s="1"/>
  <c r="CE417" i="19" a="1"/>
  <c r="CE417" i="19" s="1"/>
  <c r="CE19" i="19" a="1"/>
  <c r="CE19" i="19" s="1"/>
  <c r="CE68" i="19" a="1"/>
  <c r="CE68" i="19" s="1"/>
  <c r="CE53" i="19" a="1"/>
  <c r="CE53" i="19" s="1"/>
  <c r="CE22" i="19" a="1"/>
  <c r="CE22" i="19" s="1"/>
  <c r="CE70" i="19" a="1"/>
  <c r="CE70" i="19" s="1"/>
  <c r="CE47" i="19" a="1"/>
  <c r="CE47" i="19" s="1"/>
  <c r="CE24" i="19" a="1"/>
  <c r="CE24" i="19" s="1"/>
  <c r="CE72" i="19" a="1"/>
  <c r="CE72" i="19" s="1"/>
  <c r="CE49" i="19" a="1"/>
  <c r="CE49" i="19" s="1"/>
  <c r="CE18" i="19" a="1"/>
  <c r="CE18" i="19" s="1"/>
  <c r="CE66" i="19" a="1"/>
  <c r="CE66" i="19" s="1"/>
  <c r="CE119" i="19" a="1"/>
  <c r="CE119" i="19" s="1"/>
  <c r="CE167" i="19" a="1"/>
  <c r="CE167" i="19" s="1"/>
  <c r="CE215" i="19" a="1"/>
  <c r="CE215" i="19" s="1"/>
  <c r="CE263" i="19" a="1"/>
  <c r="CE263" i="19" s="1"/>
  <c r="CE311" i="19" a="1"/>
  <c r="CE311" i="19" s="1"/>
  <c r="CE359" i="19" a="1"/>
  <c r="CE359" i="19" s="1"/>
  <c r="CE407" i="19" a="1"/>
  <c r="CE407" i="19" s="1"/>
  <c r="CE455" i="19" a="1"/>
  <c r="CE455" i="19" s="1"/>
  <c r="CE503" i="19" a="1"/>
  <c r="CE503" i="19" s="1"/>
  <c r="CE551" i="19" a="1"/>
  <c r="CE551" i="19" s="1"/>
  <c r="CE599" i="19" a="1"/>
  <c r="CE599" i="19" s="1"/>
  <c r="CE703" i="19" a="1"/>
  <c r="CE703" i="19" s="1"/>
  <c r="CE160" i="19" a="1"/>
  <c r="CE160" i="19" s="1"/>
  <c r="CE320" i="19" a="1"/>
  <c r="CE320" i="19" s="1"/>
  <c r="CE424" i="19" a="1"/>
  <c r="CE424" i="19" s="1"/>
  <c r="CE528" i="19" a="1"/>
  <c r="CE528" i="19" s="1"/>
  <c r="CE632" i="19" a="1"/>
  <c r="CE632" i="19" s="1"/>
  <c r="CE217" i="19" a="1"/>
  <c r="CE217" i="19" s="1"/>
  <c r="CE273" i="19" a="1"/>
  <c r="CE273" i="19" s="1"/>
  <c r="CE449" i="19" a="1"/>
  <c r="CE449" i="19" s="1"/>
  <c r="CE641" i="19" a="1"/>
  <c r="CE641" i="19" s="1"/>
  <c r="CE170" i="19" a="1"/>
  <c r="CE170" i="19" s="1"/>
  <c r="CE362" i="19" a="1"/>
  <c r="CE362" i="19" s="1"/>
  <c r="CE482" i="19" a="1"/>
  <c r="CE482" i="19" s="1"/>
  <c r="CE554" i="19" a="1"/>
  <c r="CE554" i="19" s="1"/>
  <c r="CE626" i="19" a="1"/>
  <c r="CE626" i="19" s="1"/>
  <c r="CE698" i="19" a="1"/>
  <c r="CE698" i="19" s="1"/>
  <c r="CE107" i="19" a="1"/>
  <c r="CE107" i="19" s="1"/>
  <c r="CE243" i="19" a="1"/>
  <c r="CE243" i="19" s="1"/>
  <c r="CE387" i="19" a="1"/>
  <c r="CE387" i="19" s="1"/>
  <c r="CE451" i="19" a="1"/>
  <c r="CE451" i="19" s="1"/>
  <c r="CE523" i="19" a="1"/>
  <c r="CE523" i="19" s="1"/>
  <c r="CE587" i="19" a="1"/>
  <c r="CE587" i="19" s="1"/>
  <c r="CE667" i="19" a="1"/>
  <c r="CE667" i="19" s="1"/>
  <c r="CE84" i="19" a="1"/>
  <c r="CE84" i="19" s="1"/>
  <c r="CE220" i="19" a="1"/>
  <c r="CE220" i="19" s="1"/>
  <c r="CE284" i="19" a="1"/>
  <c r="CE284" i="19" s="1"/>
  <c r="CE364" i="19" a="1"/>
  <c r="CE364" i="19" s="1"/>
  <c r="CE428" i="19" a="1"/>
  <c r="CE428" i="19" s="1"/>
  <c r="CE500" i="19" a="1"/>
  <c r="CE500" i="19" s="1"/>
  <c r="CE564" i="19" a="1"/>
  <c r="CE564" i="19" s="1"/>
  <c r="CE708" i="19" a="1"/>
  <c r="CE708" i="19" s="1"/>
  <c r="CE197" i="19" a="1"/>
  <c r="CE197" i="19" s="1"/>
  <c r="CE261" i="19" a="1"/>
  <c r="CE261" i="19" s="1"/>
  <c r="CE333" i="19" a="1"/>
  <c r="CE333" i="19" s="1"/>
  <c r="CE405" i="19" a="1"/>
  <c r="CE405" i="19" s="1"/>
  <c r="CE477" i="19" a="1"/>
  <c r="CE477" i="19" s="1"/>
  <c r="CE541" i="19" a="1"/>
  <c r="CE541" i="19" s="1"/>
  <c r="CE677" i="19" a="1"/>
  <c r="CE677" i="19" s="1"/>
  <c r="CE174" i="19" a="1"/>
  <c r="CE174" i="19" s="1"/>
  <c r="CE238" i="19" a="1"/>
  <c r="CE238" i="19" s="1"/>
  <c r="CE310" i="19" a="1"/>
  <c r="CE310" i="19" s="1"/>
  <c r="CE374" i="19" a="1"/>
  <c r="CE374" i="19" s="1"/>
  <c r="CE454" i="19" a="1"/>
  <c r="CE454" i="19" s="1"/>
  <c r="CE518" i="19" a="1"/>
  <c r="CE518" i="19" s="1"/>
  <c r="CE654" i="19" a="1"/>
  <c r="CE654" i="19" s="1"/>
  <c r="B75" i="2"/>
  <c r="I59" i="3" l="1"/>
  <c r="N397" i="9"/>
  <c r="E400" i="9"/>
  <c r="A21" i="20"/>
  <c r="G645" i="1"/>
  <c r="G343" i="9"/>
  <c r="I707" i="1"/>
  <c r="L706" i="1"/>
  <c r="L707" i="1" s="1"/>
  <c r="I706" i="1"/>
  <c r="M24" i="14"/>
  <c r="E254" i="1"/>
  <c r="D173" i="3"/>
  <c r="L312" i="26"/>
  <c r="F51" i="5"/>
  <c r="W688" i="1"/>
  <c r="L300" i="26"/>
  <c r="I349" i="24"/>
  <c r="EN72" i="19"/>
  <c r="EV72" i="19" s="1"/>
  <c r="EN59" i="19"/>
  <c r="EV59" i="19" s="1"/>
  <c r="EN46" i="19"/>
  <c r="EV46" i="19" s="1"/>
  <c r="EN32" i="19"/>
  <c r="EV32" i="19" s="1"/>
  <c r="EN18" i="19"/>
  <c r="EV18" i="19" s="1"/>
  <c r="EN45" i="19"/>
  <c r="EV45" i="19" s="1"/>
  <c r="EN31" i="19"/>
  <c r="EV31" i="19" s="1"/>
  <c r="EN17" i="19"/>
  <c r="EV17" i="19" s="1"/>
  <c r="EN58" i="19"/>
  <c r="EV58" i="19" s="1"/>
  <c r="EN30" i="19"/>
  <c r="EV30" i="19" s="1"/>
  <c r="EN16" i="19"/>
  <c r="EV16" i="19" s="1"/>
  <c r="EN55" i="19"/>
  <c r="EV55" i="19" s="1"/>
  <c r="EN13" i="19"/>
  <c r="EV13" i="19" s="1"/>
  <c r="EN54" i="19"/>
  <c r="EV54" i="19" s="1"/>
  <c r="EN26" i="19"/>
  <c r="EV26" i="19" s="1"/>
  <c r="EN65" i="19"/>
  <c r="EV65" i="19" s="1"/>
  <c r="EN53" i="19"/>
  <c r="EV53" i="19" s="1"/>
  <c r="EN25" i="19"/>
  <c r="EV25" i="19" s="1"/>
  <c r="EN64" i="19"/>
  <c r="EV64" i="19" s="1"/>
  <c r="EN24" i="19"/>
  <c r="EV24" i="19" s="1"/>
  <c r="EN51" i="19"/>
  <c r="EV51" i="19" s="1"/>
  <c r="EN37" i="19"/>
  <c r="EV37" i="19" s="1"/>
  <c r="EN23" i="19"/>
  <c r="EV23" i="19" s="1"/>
  <c r="EN76" i="19"/>
  <c r="EV76" i="19" s="1"/>
  <c r="EN62" i="19"/>
  <c r="EV62" i="19" s="1"/>
  <c r="EN50" i="19"/>
  <c r="EV50" i="19" s="1"/>
  <c r="EN22" i="19"/>
  <c r="EV22" i="19" s="1"/>
  <c r="EN75" i="19"/>
  <c r="EV75" i="19" s="1"/>
  <c r="EN21" i="19"/>
  <c r="EV21" i="19" s="1"/>
  <c r="EN61" i="19"/>
  <c r="EV61" i="19" s="1"/>
  <c r="EN48" i="19"/>
  <c r="EV48" i="19" s="1"/>
  <c r="EN47" i="19"/>
  <c r="EV47" i="19" s="1"/>
  <c r="EN33" i="19"/>
  <c r="EV33" i="19" s="1"/>
  <c r="EN71" i="19"/>
  <c r="EV71" i="19" s="1"/>
  <c r="EN27" i="19"/>
  <c r="EV27" i="19" s="1"/>
  <c r="EN39" i="19"/>
  <c r="EV39" i="19" s="1"/>
  <c r="EN52" i="19"/>
  <c r="EV52" i="19" s="1"/>
  <c r="EN36" i="19"/>
  <c r="EV36" i="19" s="1"/>
  <c r="EN35" i="19"/>
  <c r="EV35" i="19" s="1"/>
  <c r="EN20" i="19"/>
  <c r="EV20" i="19" s="1"/>
  <c r="EN70" i="19"/>
  <c r="EV70" i="19" s="1"/>
  <c r="EN44" i="19"/>
  <c r="EV44" i="19" s="1"/>
  <c r="EN41" i="19"/>
  <c r="EV41" i="19" s="1"/>
  <c r="EN38" i="19"/>
  <c r="EV38" i="19" s="1"/>
  <c r="EN49" i="19"/>
  <c r="EV49" i="19" s="1"/>
  <c r="EN73" i="19"/>
  <c r="EV73" i="19" s="1"/>
  <c r="EN69" i="19"/>
  <c r="EV69" i="19" s="1"/>
  <c r="EN57" i="19"/>
  <c r="EV57" i="19" s="1"/>
  <c r="EN43" i="19"/>
  <c r="EV43" i="19" s="1"/>
  <c r="EN29" i="19"/>
  <c r="EV29" i="19" s="1"/>
  <c r="EN15" i="19"/>
  <c r="EV15" i="19" s="1"/>
  <c r="EN68" i="19"/>
  <c r="EV68" i="19" s="1"/>
  <c r="EN56" i="19"/>
  <c r="EV56" i="19" s="1"/>
  <c r="EN42" i="19"/>
  <c r="EV42" i="19" s="1"/>
  <c r="EN28" i="19"/>
  <c r="EV28" i="19" s="1"/>
  <c r="EN14" i="19"/>
  <c r="EV14" i="19" s="1"/>
  <c r="EN67" i="19"/>
  <c r="EV67" i="19" s="1"/>
  <c r="EN66" i="19"/>
  <c r="EV66" i="19" s="1"/>
  <c r="EN40" i="19"/>
  <c r="EV40" i="19" s="1"/>
  <c r="EN34" i="19"/>
  <c r="EV34" i="19" s="1"/>
  <c r="EN60" i="19"/>
  <c r="EV60" i="19" s="1"/>
  <c r="EN19" i="19"/>
  <c r="EV19" i="19" s="1"/>
  <c r="EN63" i="19"/>
  <c r="EV63" i="19" s="1"/>
  <c r="EN74" i="19"/>
  <c r="EV74" i="19" s="1"/>
  <c r="B593" i="9"/>
  <c r="B596" i="9" s="1"/>
  <c r="B599" i="9" s="1"/>
  <c r="G220" i="1"/>
  <c r="Q224" i="1"/>
  <c r="C825" i="1"/>
  <c r="D50" i="5"/>
  <c r="I673" i="1" s="1"/>
  <c r="B250" i="26"/>
  <c r="B252" i="26" s="1"/>
  <c r="E28" i="26"/>
  <c r="E31" i="26" s="1"/>
  <c r="G673" i="1"/>
  <c r="G674" i="1" s="1"/>
  <c r="B718" i="1"/>
  <c r="K54" i="5" s="1"/>
  <c r="E364" i="1"/>
  <c r="E365" i="1" s="1"/>
  <c r="F363" i="1"/>
  <c r="F364" i="1"/>
  <c r="B276" i="1" a="1"/>
  <c r="B276" i="1" s="1"/>
  <c r="A13" i="41"/>
  <c r="G123" i="1"/>
  <c r="Q145" i="1"/>
  <c r="B205" i="9"/>
  <c r="E280" i="24"/>
  <c r="F280" i="24" s="1"/>
  <c r="G280" i="24" s="1"/>
  <c r="Q564" i="9"/>
  <c r="I132" i="5"/>
  <c r="E837" i="1"/>
  <c r="A491" i="9" a="1"/>
  <c r="A491" i="9" s="1"/>
  <c r="E846" i="1" s="1"/>
  <c r="L14" i="47"/>
  <c r="O10" i="7"/>
  <c r="B10" i="7" s="1"/>
  <c r="N9" i="5"/>
  <c r="B3" i="5" s="1"/>
  <c r="L55" i="3"/>
  <c r="L30" i="3"/>
  <c r="B30" i="3" s="1"/>
  <c r="L14" i="3"/>
  <c r="L12" i="3"/>
  <c r="L6" i="3"/>
  <c r="L38" i="2"/>
  <c r="M34" i="3"/>
  <c r="A28" i="2"/>
  <c r="B30" i="2"/>
  <c r="B11" i="3"/>
  <c r="D122" i="2"/>
  <c r="E31" i="14"/>
  <c r="E33" i="14" s="1"/>
  <c r="G21" i="14"/>
  <c r="A25" i="4" a="1"/>
  <c r="A25" i="4" s="1"/>
  <c r="U510" i="1"/>
  <c r="V510" i="1" s="1"/>
  <c r="W510" i="1" s="1"/>
  <c r="H128" i="1"/>
  <c r="Q138" i="1" s="1"/>
  <c r="C175" i="2"/>
  <c r="C165" i="2"/>
  <c r="L121" i="1"/>
  <c r="Q147" i="2"/>
  <c r="Q146" i="2"/>
  <c r="B77" i="2"/>
  <c r="B93" i="2" s="1"/>
  <c r="T12" i="19"/>
  <c r="V12" i="19"/>
  <c r="AG520" i="1"/>
  <c r="AG522" i="1"/>
  <c r="AG513" i="1"/>
  <c r="AG519" i="1"/>
  <c r="AG523" i="1"/>
  <c r="AG518" i="1"/>
  <c r="AG521" i="1"/>
  <c r="AG517" i="1"/>
  <c r="EU32" i="19"/>
  <c r="EU53" i="19"/>
  <c r="G342" i="9"/>
  <c r="B822" i="1" s="1"/>
  <c r="G338" i="9" s="1"/>
  <c r="R12" i="19"/>
  <c r="G675" i="1"/>
  <c r="F52" i="5"/>
  <c r="C50" i="2"/>
  <c r="C51" i="2" s="1"/>
  <c r="H132" i="5" a="1"/>
  <c r="H132" i="5" s="1"/>
  <c r="H214" i="1"/>
  <c r="G214" i="1" s="1"/>
  <c r="Q134" i="2"/>
  <c r="Q154" i="2"/>
  <c r="J139" i="24"/>
  <c r="G128" i="24" s="1"/>
  <c r="I147" i="24"/>
  <c r="F218" i="2"/>
  <c r="H216" i="1"/>
  <c r="G216" i="1" s="1"/>
  <c r="H215" i="1"/>
  <c r="G215" i="1" s="1"/>
  <c r="I699" i="1"/>
  <c r="I698" i="1"/>
  <c r="J673" i="1"/>
  <c r="J674" i="1" s="1"/>
  <c r="G636" i="1"/>
  <c r="G642" i="1"/>
  <c r="B574" i="1"/>
  <c r="B571" i="1"/>
  <c r="C571" i="1" s="1"/>
  <c r="J642" i="1"/>
  <c r="L673" i="1"/>
  <c r="L698" i="1"/>
  <c r="L699" i="1" s="1"/>
  <c r="E236" i="1"/>
  <c r="L674" i="1"/>
  <c r="G84" i="5"/>
  <c r="H645" i="1" s="1"/>
  <c r="Q561" i="9"/>
  <c r="I482" i="9"/>
  <c r="I483" i="9" s="1"/>
  <c r="I489" i="9" s="1"/>
  <c r="J362" i="24" s="1"/>
  <c r="W394" i="1"/>
  <c r="W393" i="1"/>
  <c r="W397" i="1" s="1"/>
  <c r="H21" i="9"/>
  <c r="H59" i="9" s="1"/>
  <c r="F85" i="5"/>
  <c r="B307" i="1"/>
  <c r="E290" i="24"/>
  <c r="M290" i="24" s="1"/>
  <c r="L10" i="7"/>
  <c r="C398" i="1"/>
  <c r="Q394" i="1"/>
  <c r="J158" i="24"/>
  <c r="H161" i="24" s="1"/>
  <c r="I683" i="1"/>
  <c r="J683" i="1" s="1" a="1"/>
  <c r="J683" i="1" s="1"/>
  <c r="G85" i="5"/>
  <c r="H195" i="9"/>
  <c r="H197" i="9" s="1"/>
  <c r="BA12" i="19"/>
  <c r="CE12" i="19"/>
  <c r="CG12" i="19"/>
  <c r="BC12" i="19"/>
  <c r="W689" i="1"/>
  <c r="W690" i="1"/>
  <c r="I50" i="9"/>
  <c r="V682" i="1"/>
  <c r="E50" i="9"/>
  <c r="I664" i="1"/>
  <c r="J636" i="1"/>
  <c r="I514" i="9"/>
  <c r="C535" i="1"/>
  <c r="F307" i="1"/>
  <c r="B577" i="1"/>
  <c r="C13" i="5" a="1"/>
  <c r="C13" i="5" s="1"/>
  <c r="C19" i="5" a="1"/>
  <c r="C19" i="5" s="1"/>
  <c r="Q221" i="1"/>
  <c r="G325" i="9"/>
  <c r="C377" i="9" a="1"/>
  <c r="C377" i="9" s="1"/>
  <c r="C383" i="9" s="1" a="1"/>
  <c r="C383" i="9" s="1"/>
  <c r="E235" i="1"/>
  <c r="F417" i="1"/>
  <c r="F443" i="1"/>
  <c r="M422" i="1"/>
  <c r="Q422" i="1" s="1"/>
  <c r="Q427" i="1" s="1"/>
  <c r="I348" i="24"/>
  <c r="I345" i="24"/>
  <c r="I346" i="24"/>
  <c r="D332" i="9" a="1"/>
  <c r="D332" i="9" s="1"/>
  <c r="H48" i="9"/>
  <c r="M49" i="9"/>
  <c r="N99" i="24"/>
  <c r="O99" i="24" s="1"/>
  <c r="C507" i="1"/>
  <c r="C527" i="1" s="1"/>
  <c r="I344" i="24"/>
  <c r="I347" i="24"/>
  <c r="C513" i="1"/>
  <c r="I561" i="9"/>
  <c r="I562" i="9" s="1"/>
  <c r="M429" i="1"/>
  <c r="Q429" i="1" s="1"/>
  <c r="F415" i="1"/>
  <c r="F465" i="1"/>
  <c r="F414" i="1"/>
  <c r="F426" i="1"/>
  <c r="F463" i="1"/>
  <c r="F425" i="1"/>
  <c r="F462" i="1"/>
  <c r="F407" i="1"/>
  <c r="F416" i="1"/>
  <c r="F450" i="1"/>
  <c r="F437" i="1"/>
  <c r="F422" i="1"/>
  <c r="F470" i="1"/>
  <c r="F451" i="1"/>
  <c r="F452" i="1"/>
  <c r="F411" i="1"/>
  <c r="F460" i="1"/>
  <c r="F405" i="1"/>
  <c r="F420" i="1"/>
  <c r="F445" i="1"/>
  <c r="F430" i="1"/>
  <c r="F459" i="1"/>
  <c r="F412" i="1"/>
  <c r="F453" i="1"/>
  <c r="F438" i="1"/>
  <c r="F419" i="1"/>
  <c r="F467" i="1"/>
  <c r="F409" i="1"/>
  <c r="F457" i="1"/>
  <c r="F442" i="1"/>
  <c r="F423" i="1"/>
  <c r="F471" i="1"/>
  <c r="F424" i="1"/>
  <c r="F413" i="1"/>
  <c r="F461" i="1"/>
  <c r="F446" i="1"/>
  <c r="F427" i="1"/>
  <c r="F428" i="1"/>
  <c r="F448" i="1"/>
  <c r="F433" i="1"/>
  <c r="F418" i="1"/>
  <c r="F466" i="1"/>
  <c r="F447" i="1"/>
  <c r="F469" i="1"/>
  <c r="F406" i="1"/>
  <c r="F454" i="1"/>
  <c r="F435" i="1"/>
  <c r="F468" i="1"/>
  <c r="F436" i="1"/>
  <c r="F421" i="1"/>
  <c r="F455" i="1"/>
  <c r="F464" i="1"/>
  <c r="F410" i="1"/>
  <c r="F458" i="1"/>
  <c r="F408" i="1"/>
  <c r="F449" i="1"/>
  <c r="F431" i="1"/>
  <c r="F444" i="1"/>
  <c r="F456" i="1"/>
  <c r="F439" i="1"/>
  <c r="M434" i="1"/>
  <c r="Q434" i="1" s="1"/>
  <c r="F434" i="1"/>
  <c r="F432" i="1"/>
  <c r="F440" i="1"/>
  <c r="F441" i="1"/>
  <c r="F429" i="1"/>
  <c r="E398" i="1"/>
  <c r="D279" i="24"/>
  <c r="L299" i="26"/>
  <c r="L302" i="26"/>
  <c r="L297" i="26"/>
  <c r="L301" i="26"/>
  <c r="L298" i="26"/>
  <c r="I139" i="9"/>
  <c r="E275" i="24"/>
  <c r="F275" i="24" s="1"/>
  <c r="I516" i="9"/>
  <c r="I577" i="9"/>
  <c r="E279" i="24"/>
  <c r="F279" i="24" s="1"/>
  <c r="G279" i="24" s="1"/>
  <c r="I164" i="9"/>
  <c r="D275" i="24"/>
  <c r="U395" i="1"/>
  <c r="I350" i="24"/>
  <c r="I351" i="24"/>
  <c r="X397" i="1"/>
  <c r="X396" i="1"/>
  <c r="U394" i="1"/>
  <c r="L303" i="26"/>
  <c r="B316" i="1"/>
  <c r="D247" i="1" s="1"/>
  <c r="O390" i="1"/>
  <c r="I564" i="9"/>
  <c r="C220" i="2"/>
  <c r="C145" i="2"/>
  <c r="C155" i="2"/>
  <c r="A107" i="2" a="1"/>
  <c r="A107" i="2" s="1"/>
  <c r="C35" i="14"/>
  <c r="B260" i="1"/>
  <c r="A733" i="1"/>
  <c r="A723" i="1"/>
  <c r="B768" i="1" a="1"/>
  <c r="B768" i="1" s="1"/>
  <c r="A100" i="5" a="1"/>
  <c r="A100" i="5" s="1"/>
  <c r="A144" i="5" s="1" a="1"/>
  <c r="A144" i="5" s="1"/>
  <c r="B148" i="5"/>
  <c r="G333" i="9"/>
  <c r="P395" i="9" l="1"/>
  <c r="E395" i="9"/>
  <c r="A22" i="20"/>
  <c r="A23" i="20"/>
  <c r="B740" i="1"/>
  <c r="C102" i="24"/>
  <c r="E49" i="9"/>
  <c r="EU18" i="19"/>
  <c r="EU64" i="19"/>
  <c r="B602" i="9"/>
  <c r="J698" i="1" a="1"/>
  <c r="J698" i="1" s="1"/>
  <c r="J706" i="1" a="1"/>
  <c r="J706" i="1" s="1"/>
  <c r="J699" i="1" a="1"/>
  <c r="J699" i="1" s="1"/>
  <c r="J707" i="1" a="1"/>
  <c r="J707" i="1" s="1"/>
  <c r="EU73" i="19"/>
  <c r="EU47" i="19"/>
  <c r="EU61" i="19"/>
  <c r="EU49" i="19"/>
  <c r="EU31" i="19"/>
  <c r="EU25" i="19"/>
  <c r="EU66" i="19"/>
  <c r="EU28" i="19"/>
  <c r="M25" i="14"/>
  <c r="M26" i="14" s="1"/>
  <c r="EU72" i="19"/>
  <c r="EU70" i="19"/>
  <c r="EU24" i="19"/>
  <c r="EU67" i="19"/>
  <c r="EU33" i="19"/>
  <c r="EU60" i="19"/>
  <c r="EU23" i="19"/>
  <c r="ET23" i="19" s="1"/>
  <c r="EU59" i="19"/>
  <c r="EU14" i="19"/>
  <c r="ET14" i="19" s="1"/>
  <c r="EU65" i="19"/>
  <c r="EU21" i="19"/>
  <c r="ET21" i="19" s="1"/>
  <c r="EU69" i="19"/>
  <c r="EU26" i="19"/>
  <c r="EU51" i="19"/>
  <c r="EU50" i="19"/>
  <c r="EU13" i="19"/>
  <c r="ET13" i="19" s="1"/>
  <c r="EU68" i="19"/>
  <c r="EU55" i="19"/>
  <c r="EU56" i="19"/>
  <c r="EU16" i="19"/>
  <c r="ET16" i="19" s="1"/>
  <c r="EU48" i="19"/>
  <c r="L304" i="26"/>
  <c r="L305" i="26"/>
  <c r="L306" i="26"/>
  <c r="D313" i="26" s="1"/>
  <c r="F53" i="5"/>
  <c r="B254" i="26"/>
  <c r="L351" i="24"/>
  <c r="M350" i="24"/>
  <c r="L350" i="24"/>
  <c r="M351" i="24"/>
  <c r="M349" i="24"/>
  <c r="L349" i="24"/>
  <c r="EU29" i="19"/>
  <c r="ET29" i="19" s="1"/>
  <c r="EU75" i="19"/>
  <c r="EU54" i="19"/>
  <c r="EU58" i="19"/>
  <c r="EU71" i="19"/>
  <c r="EU17" i="19"/>
  <c r="ET17" i="19" s="1"/>
  <c r="EU30" i="19"/>
  <c r="EU20" i="19"/>
  <c r="EU74" i="19"/>
  <c r="EU19" i="19"/>
  <c r="EU52" i="19"/>
  <c r="EU15" i="19"/>
  <c r="ET15" i="19" s="1"/>
  <c r="EU76" i="19"/>
  <c r="EU57" i="19"/>
  <c r="EU34" i="19"/>
  <c r="EU27" i="19"/>
  <c r="EU22" i="19"/>
  <c r="ET22" i="19" s="1"/>
  <c r="EU44" i="19"/>
  <c r="EU45" i="19"/>
  <c r="EU40" i="19"/>
  <c r="EU38" i="19"/>
  <c r="EU36" i="19"/>
  <c r="EU39" i="19"/>
  <c r="EU62" i="19"/>
  <c r="EU63" i="19"/>
  <c r="EU41" i="19"/>
  <c r="EU35" i="19"/>
  <c r="EU42" i="19"/>
  <c r="EU46" i="19"/>
  <c r="EU37" i="19"/>
  <c r="EU43" i="19"/>
  <c r="Q603" i="1"/>
  <c r="B152" i="5"/>
  <c r="B742" i="1"/>
  <c r="A744" i="1"/>
  <c r="I518" i="9"/>
  <c r="H673" i="1"/>
  <c r="H135" i="5"/>
  <c r="K50" i="5"/>
  <c r="K57" i="5"/>
  <c r="C365" i="1"/>
  <c r="I135" i="5"/>
  <c r="F365" i="1"/>
  <c r="D175" i="3" s="1"/>
  <c r="G651" i="1"/>
  <c r="D365" i="1"/>
  <c r="H97" i="14"/>
  <c r="H105" i="14" s="1"/>
  <c r="H120" i="1"/>
  <c r="D180" i="2" s="1"/>
  <c r="B213" i="9"/>
  <c r="B239" i="9" s="1"/>
  <c r="A520" i="9" a="1"/>
  <c r="A520" i="9" s="1"/>
  <c r="Q122" i="5" s="1"/>
  <c r="B23" i="49"/>
  <c r="B15" i="47"/>
  <c r="B11" i="47"/>
  <c r="C15" i="47"/>
  <c r="C13" i="47"/>
  <c r="B14" i="47"/>
  <c r="M17" i="3"/>
  <c r="M16" i="3"/>
  <c r="C30" i="3"/>
  <c r="M22" i="3"/>
  <c r="B3" i="3"/>
  <c r="B36" i="3"/>
  <c r="M20" i="3"/>
  <c r="M26" i="3"/>
  <c r="M24" i="3"/>
  <c r="H249" i="1"/>
  <c r="C61" i="3"/>
  <c r="A47" i="4" a="1"/>
  <c r="A47" i="4" s="1"/>
  <c r="A3" i="14" s="1" a="1"/>
  <c r="A3" i="14" s="1"/>
  <c r="A53" i="14" s="1" a="1"/>
  <c r="A53" i="14" s="1"/>
  <c r="E569" i="1" s="1"/>
  <c r="M121" i="1"/>
  <c r="Q144" i="2"/>
  <c r="E346" i="9"/>
  <c r="K52" i="5"/>
  <c r="H636" i="1"/>
  <c r="C52" i="2"/>
  <c r="B46" i="2" s="1"/>
  <c r="C157" i="2"/>
  <c r="C177" i="2"/>
  <c r="Q174" i="2"/>
  <c r="C167" i="2"/>
  <c r="Q164" i="2"/>
  <c r="C147" i="2"/>
  <c r="C137" i="2"/>
  <c r="G137" i="2" s="1"/>
  <c r="C148" i="24"/>
  <c r="D233" i="9" s="1"/>
  <c r="C147" i="24"/>
  <c r="I228" i="9" s="1"/>
  <c r="I235" i="9" s="1"/>
  <c r="K121" i="1"/>
  <c r="E28" i="9"/>
  <c r="H642" i="1"/>
  <c r="H643" i="1"/>
  <c r="A222" i="2" a="1"/>
  <c r="A222" i="2" s="1"/>
  <c r="W396" i="1"/>
  <c r="W398" i="1" s="1"/>
  <c r="I130" i="24" s="1"/>
  <c r="K51" i="5"/>
  <c r="E53" i="9"/>
  <c r="H144" i="24"/>
  <c r="F290" i="24"/>
  <c r="O398" i="1"/>
  <c r="D126" i="3" s="1"/>
  <c r="H160" i="24"/>
  <c r="H217" i="9" s="1"/>
  <c r="J647" i="1"/>
  <c r="H647" i="1" s="1"/>
  <c r="G641" i="1"/>
  <c r="H641" i="1" s="1"/>
  <c r="V683" i="1"/>
  <c r="V684" i="1" s="1"/>
  <c r="H133" i="5"/>
  <c r="I133" i="5"/>
  <c r="G132" i="5"/>
  <c r="K132" i="5"/>
  <c r="L462" i="1"/>
  <c r="L463" i="1" s="1"/>
  <c r="L464" i="1" s="1"/>
  <c r="L465" i="1" s="1"/>
  <c r="L466" i="1" s="1"/>
  <c r="L467" i="1" s="1"/>
  <c r="L460" i="1"/>
  <c r="L410" i="26"/>
  <c r="L423" i="26" s="1"/>
  <c r="I674" i="1"/>
  <c r="H674" i="1" s="1"/>
  <c r="D504" i="1"/>
  <c r="A12" i="7"/>
  <c r="G128" i="1"/>
  <c r="J121" i="1"/>
  <c r="R422" i="1"/>
  <c r="C516" i="1"/>
  <c r="C518" i="1" s="1"/>
  <c r="I48" i="9"/>
  <c r="D337" i="9" a="1"/>
  <c r="D337" i="9" s="1"/>
  <c r="R434" i="1"/>
  <c r="R459" i="1"/>
  <c r="R464" i="1"/>
  <c r="R409" i="1"/>
  <c r="R469" i="1"/>
  <c r="R454" i="1"/>
  <c r="R462" i="1"/>
  <c r="R417" i="1"/>
  <c r="R461" i="1"/>
  <c r="R471" i="1"/>
  <c r="R439" i="1"/>
  <c r="R412" i="1"/>
  <c r="R432" i="1"/>
  <c r="R466" i="1"/>
  <c r="R458" i="1"/>
  <c r="R418" i="1"/>
  <c r="R426" i="1"/>
  <c r="R440" i="1"/>
  <c r="R453" i="1"/>
  <c r="R436" i="1"/>
  <c r="R423" i="1"/>
  <c r="R428" i="1"/>
  <c r="R415" i="1"/>
  <c r="R456" i="1"/>
  <c r="R465" i="1"/>
  <c r="R449" i="1"/>
  <c r="R413" i="1"/>
  <c r="R427" i="1"/>
  <c r="R468" i="1"/>
  <c r="R416" i="1"/>
  <c r="R410" i="1"/>
  <c r="R441" i="1"/>
  <c r="R463" i="1"/>
  <c r="R435" i="1"/>
  <c r="R443" i="1"/>
  <c r="R467" i="1"/>
  <c r="R470" i="1"/>
  <c r="R424" i="1"/>
  <c r="R437" i="1"/>
  <c r="R406" i="1"/>
  <c r="R411" i="1"/>
  <c r="R452" i="1"/>
  <c r="R447" i="1"/>
  <c r="R444" i="1"/>
  <c r="R430" i="1"/>
  <c r="R457" i="1"/>
  <c r="R438" i="1"/>
  <c r="R425" i="1"/>
  <c r="R408" i="1"/>
  <c r="R451" i="1"/>
  <c r="R446" i="1"/>
  <c r="R421" i="1"/>
  <c r="R448" i="1"/>
  <c r="R445" i="1"/>
  <c r="R431" i="1"/>
  <c r="R433" i="1"/>
  <c r="R450" i="1"/>
  <c r="R419" i="1"/>
  <c r="R455" i="1"/>
  <c r="R420" i="1"/>
  <c r="R460" i="1"/>
  <c r="R414" i="1"/>
  <c r="R405" i="1"/>
  <c r="R442" i="1"/>
  <c r="R407" i="1"/>
  <c r="R429" i="1"/>
  <c r="D822" i="1"/>
  <c r="E366" i="9" s="1"/>
  <c r="L342" i="24"/>
  <c r="C320" i="26" s="1"/>
  <c r="M342" i="24"/>
  <c r="I320" i="26" s="1"/>
  <c r="M344" i="24"/>
  <c r="I322" i="26" s="1"/>
  <c r="L322" i="26" s="1"/>
  <c r="M348" i="24"/>
  <c r="M347" i="24"/>
  <c r="L346" i="24"/>
  <c r="M345" i="24"/>
  <c r="L347" i="24"/>
  <c r="L343" i="24"/>
  <c r="C321" i="26" s="1"/>
  <c r="L348" i="24"/>
  <c r="M346" i="24"/>
  <c r="L344" i="24"/>
  <c r="C322" i="26" s="1"/>
  <c r="L345" i="24"/>
  <c r="M343" i="24"/>
  <c r="I321" i="26" s="1"/>
  <c r="U398" i="1"/>
  <c r="U399" i="1"/>
  <c r="I121" i="1"/>
  <c r="A147" i="5" a="1"/>
  <c r="A147" i="5" s="1"/>
  <c r="A155" i="5" s="1" a="1"/>
  <c r="A155" i="5" s="1"/>
  <c r="A24" i="20" l="1"/>
  <c r="B40" i="3"/>
  <c r="F55" i="5"/>
  <c r="L682" i="1" s="1"/>
  <c r="D115" i="26"/>
  <c r="D113" i="26"/>
  <c r="E41" i="26"/>
  <c r="L426" i="26"/>
  <c r="L437" i="26" s="1"/>
  <c r="P264" i="26"/>
  <c r="I481" i="9" s="1"/>
  <c r="I317" i="26"/>
  <c r="L317" i="26" s="1"/>
  <c r="L320" i="26" s="1"/>
  <c r="L321" i="26" s="1"/>
  <c r="C317" i="26"/>
  <c r="G585" i="1"/>
  <c r="H585" i="1"/>
  <c r="L690" i="1"/>
  <c r="L691" i="1" s="1"/>
  <c r="M27" i="14"/>
  <c r="M28" i="14" s="1"/>
  <c r="M29" i="14" s="1"/>
  <c r="C16" i="14" s="1"/>
  <c r="B830" i="1"/>
  <c r="G366" i="9"/>
  <c r="B827" i="1"/>
  <c r="H303" i="24"/>
  <c r="H302" i="24" a="1"/>
  <c r="H302" i="24" s="1"/>
  <c r="K53" i="5"/>
  <c r="A534" i="9" a="1"/>
  <c r="A534" i="9" s="1"/>
  <c r="A538" i="9" s="1" a="1"/>
  <c r="A538" i="9" s="1"/>
  <c r="A548" i="9" s="1" a="1"/>
  <c r="A548" i="9" s="1"/>
  <c r="H136" i="5"/>
  <c r="H137" i="5" s="1"/>
  <c r="H138" i="5" s="1"/>
  <c r="H139" i="5" s="1"/>
  <c r="K135" i="5"/>
  <c r="I136" i="5"/>
  <c r="B575" i="1"/>
  <c r="B580" i="1" s="1"/>
  <c r="F575" i="1"/>
  <c r="E114" i="3"/>
  <c r="E363" i="9"/>
  <c r="I362" i="9"/>
  <c r="G362" i="9"/>
  <c r="H101" i="14"/>
  <c r="H111" i="14" s="1"/>
  <c r="Q124" i="1"/>
  <c r="B279" i="9"/>
  <c r="B385" i="9" s="1"/>
  <c r="D71" i="9" s="1"/>
  <c r="B825" i="1"/>
  <c r="A812" i="1"/>
  <c r="A811" i="1"/>
  <c r="A810" i="1"/>
  <c r="A809" i="1"/>
  <c r="A808" i="1"/>
  <c r="B50" i="3"/>
  <c r="L89" i="14"/>
  <c r="L67" i="14"/>
  <c r="A67" i="14" s="1" a="1"/>
  <c r="A67" i="14" s="1"/>
  <c r="G120" i="1"/>
  <c r="H216" i="9"/>
  <c r="H218" i="9" s="1"/>
  <c r="D228" i="9"/>
  <c r="C522" i="1"/>
  <c r="C523" i="1"/>
  <c r="C519" i="1"/>
  <c r="A240" i="2" a="1"/>
  <c r="A240" i="2" s="1"/>
  <c r="A243" i="2" s="1" a="1"/>
  <c r="A243" i="2" s="1"/>
  <c r="I186" i="9"/>
  <c r="D186" i="9"/>
  <c r="Z523" i="1"/>
  <c r="Z522" i="1"/>
  <c r="Z519" i="1"/>
  <c r="Z520" i="1"/>
  <c r="Z518" i="1"/>
  <c r="Z521" i="1"/>
  <c r="Z517" i="1"/>
  <c r="G369" i="9"/>
  <c r="C524" i="1"/>
  <c r="C520" i="1"/>
  <c r="Q131" i="1"/>
  <c r="V685" i="1"/>
  <c r="V686" i="1" s="1"/>
  <c r="E372" i="9"/>
  <c r="J105" i="5"/>
  <c r="D346" i="9" a="1"/>
  <c r="D346" i="9" s="1"/>
  <c r="G347" i="9"/>
  <c r="B828" i="1"/>
  <c r="L468" i="1"/>
  <c r="L469" i="1" s="1"/>
  <c r="L470" i="1" s="1"/>
  <c r="I661" i="1" l="1"/>
  <c r="F56" i="5"/>
  <c r="K56" i="5" s="1"/>
  <c r="A25" i="20"/>
  <c r="A26" i="20" s="1"/>
  <c r="B85" i="3"/>
  <c r="H308" i="24"/>
  <c r="I308" i="24" s="1"/>
  <c r="H307" i="24"/>
  <c r="B116" i="3"/>
  <c r="L326" i="26"/>
  <c r="H304" i="24" s="1" a="1"/>
  <c r="H304" i="24" s="1"/>
  <c r="I304" i="24" s="1"/>
  <c r="J304" i="24" s="1"/>
  <c r="P619" i="1"/>
  <c r="P618" i="1"/>
  <c r="Q590" i="1"/>
  <c r="Q608" i="1"/>
  <c r="Q592" i="1"/>
  <c r="H56" i="26"/>
  <c r="N82" i="26"/>
  <c r="P158" i="26" s="1"/>
  <c r="N121" i="26"/>
  <c r="L383" i="26" s="1"/>
  <c r="N91" i="26"/>
  <c r="N72" i="26"/>
  <c r="K40" i="26"/>
  <c r="K69" i="26" s="1"/>
  <c r="H41" i="26"/>
  <c r="H70" i="26" s="1"/>
  <c r="C264" i="26"/>
  <c r="N50" i="26"/>
  <c r="P141" i="26" s="1"/>
  <c r="N103" i="26"/>
  <c r="P174" i="26" s="1"/>
  <c r="N78" i="26"/>
  <c r="K62" i="26"/>
  <c r="K108" i="26" s="1"/>
  <c r="H97" i="26"/>
  <c r="N97" i="26" s="1"/>
  <c r="N54" i="26"/>
  <c r="P145" i="26" s="1"/>
  <c r="N93" i="26"/>
  <c r="K41" i="26"/>
  <c r="K70" i="26" s="1"/>
  <c r="N101" i="26"/>
  <c r="N123" i="26"/>
  <c r="N48" i="26"/>
  <c r="N74" i="26"/>
  <c r="N80" i="26"/>
  <c r="N95" i="26"/>
  <c r="P167" i="26" s="1"/>
  <c r="C213" i="26"/>
  <c r="N106" i="26"/>
  <c r="N76" i="26"/>
  <c r="P152" i="26" s="1"/>
  <c r="Q43" i="26"/>
  <c r="Q70" i="26" s="1"/>
  <c r="N85" i="26"/>
  <c r="N46" i="26"/>
  <c r="L379" i="26" s="1"/>
  <c r="N52" i="26"/>
  <c r="M250" i="24" s="1"/>
  <c r="N44" i="26"/>
  <c r="N87" i="26"/>
  <c r="Q264" i="26"/>
  <c r="K55" i="5"/>
  <c r="I303" i="24"/>
  <c r="J303" i="24" s="1"/>
  <c r="I302" i="24"/>
  <c r="J106" i="5"/>
  <c r="K136" i="5"/>
  <c r="H140" i="5"/>
  <c r="I137" i="5"/>
  <c r="K137" i="5" s="1"/>
  <c r="B579" i="1"/>
  <c r="B582" i="1" s="1"/>
  <c r="F582" i="1" s="1"/>
  <c r="G381" i="9"/>
  <c r="H109" i="14"/>
  <c r="H107" i="14"/>
  <c r="B431" i="9"/>
  <c r="E824" i="1"/>
  <c r="E818" i="1"/>
  <c r="A557" i="9" a="1"/>
  <c r="A557" i="9" s="1"/>
  <c r="I220" i="9"/>
  <c r="I222" i="9" s="1"/>
  <c r="A288" i="2" a="1"/>
  <c r="A288" i="2" s="1"/>
  <c r="V687" i="1"/>
  <c r="B296" i="1"/>
  <c r="B328" i="1"/>
  <c r="B829" i="1"/>
  <c r="A70" i="14" a="1"/>
  <c r="A70" i="14" s="1"/>
  <c r="A78" i="14" s="1" a="1"/>
  <c r="A78" i="14" s="1"/>
  <c r="E355" i="9" s="1"/>
  <c r="B826" i="1"/>
  <c r="D355" i="9" a="1"/>
  <c r="D355" i="9" s="1"/>
  <c r="D365" i="9" s="1" a="1"/>
  <c r="D365" i="9" s="1"/>
  <c r="F825" i="1"/>
  <c r="F828" i="1"/>
  <c r="J107" i="5"/>
  <c r="L471" i="1"/>
  <c r="F58" i="5" l="1"/>
  <c r="K58" i="5" s="1"/>
  <c r="K92" i="24"/>
  <c r="K94" i="24" s="1"/>
  <c r="K93" i="24"/>
  <c r="F64" i="5"/>
  <c r="K64" i="5" s="1"/>
  <c r="A29" i="20"/>
  <c r="A30" i="20"/>
  <c r="L328" i="26"/>
  <c r="L334" i="26" s="1"/>
  <c r="K125" i="26"/>
  <c r="L421" i="26" s="1"/>
  <c r="H245" i="24"/>
  <c r="L407" i="26"/>
  <c r="L375" i="26"/>
  <c r="L451" i="26"/>
  <c r="K250" i="24"/>
  <c r="L377" i="26"/>
  <c r="L250" i="24"/>
  <c r="N56" i="26"/>
  <c r="I321" i="1"/>
  <c r="H321" i="1"/>
  <c r="H320" i="1"/>
  <c r="F88" i="26"/>
  <c r="P88" i="26" s="1"/>
  <c r="J315" i="24"/>
  <c r="L352" i="26"/>
  <c r="H246" i="24"/>
  <c r="Q125" i="26"/>
  <c r="H242" i="24"/>
  <c r="L406" i="26"/>
  <c r="L419" i="26"/>
  <c r="L373" i="26"/>
  <c r="N315" i="24"/>
  <c r="L354" i="26"/>
  <c r="D355" i="26" s="1"/>
  <c r="Q216" i="26"/>
  <c r="P216" i="26"/>
  <c r="E337" i="26"/>
  <c r="J302" i="24"/>
  <c r="L302" i="24" s="1"/>
  <c r="J308" i="24"/>
  <c r="L308" i="24" s="1"/>
  <c r="I588" i="9"/>
  <c r="C589" i="9" s="1"/>
  <c r="H309" i="24"/>
  <c r="I307" i="24"/>
  <c r="I312" i="24"/>
  <c r="J312" i="24" s="1"/>
  <c r="H311" i="24"/>
  <c r="H312" i="24"/>
  <c r="E331" i="26"/>
  <c r="M304" i="24"/>
  <c r="L304" i="24"/>
  <c r="H142" i="5"/>
  <c r="J122" i="5"/>
  <c r="I138" i="5"/>
  <c r="I139" i="5" s="1"/>
  <c r="I578" i="9"/>
  <c r="C579" i="9" s="1"/>
  <c r="I565" i="9"/>
  <c r="C566" i="9" s="1"/>
  <c r="A825" i="1"/>
  <c r="I569" i="9"/>
  <c r="C570" i="9" s="1"/>
  <c r="I574" i="9"/>
  <c r="C575" i="9" s="1"/>
  <c r="A822" i="1"/>
  <c r="A821" i="1"/>
  <c r="A819" i="1"/>
  <c r="A820" i="1"/>
  <c r="A89" i="14" a="1"/>
  <c r="A89" i="14" s="1"/>
  <c r="I224" i="9"/>
  <c r="M673" i="1"/>
  <c r="F827" i="1"/>
  <c r="D828" i="1"/>
  <c r="A827" i="1"/>
  <c r="D368" i="9" a="1"/>
  <c r="D368" i="9" s="1"/>
  <c r="G372" i="9" s="1"/>
  <c r="L424" i="26" s="1" a="1"/>
  <c r="L424" i="26" s="1"/>
  <c r="E358" i="9"/>
  <c r="A826" i="1"/>
  <c r="J110" i="5"/>
  <c r="A31" i="20" l="1"/>
  <c r="D329" i="26"/>
  <c r="P87" i="26"/>
  <c r="Q87" i="26"/>
  <c r="F60" i="26"/>
  <c r="H62" i="26" s="1"/>
  <c r="M245" i="24"/>
  <c r="F113" i="26" s="1"/>
  <c r="L245" i="24"/>
  <c r="L315" i="24"/>
  <c r="M315" i="24"/>
  <c r="D335" i="26"/>
  <c r="I311" i="24"/>
  <c r="J311" i="24" s="1"/>
  <c r="J313" i="24" s="1"/>
  <c r="J307" i="24"/>
  <c r="J305" i="24"/>
  <c r="M302" i="24"/>
  <c r="H313" i="24"/>
  <c r="M303" i="24"/>
  <c r="L303" i="24"/>
  <c r="L312" i="24" s="1"/>
  <c r="I309" i="24"/>
  <c r="I140" i="5"/>
  <c r="K140" i="5" s="1"/>
  <c r="K138" i="5"/>
  <c r="D274" i="24"/>
  <c r="I585" i="9"/>
  <c r="I566" i="9"/>
  <c r="I579" i="9"/>
  <c r="I589" i="9"/>
  <c r="C274" i="24"/>
  <c r="E274" i="24"/>
  <c r="F274" i="24" s="1"/>
  <c r="K139" i="5"/>
  <c r="A828" i="1"/>
  <c r="D371" i="9" a="1"/>
  <c r="D371" i="9" s="1"/>
  <c r="J115" i="5"/>
  <c r="J123" i="5" s="1"/>
  <c r="A32" i="20" l="1"/>
  <c r="A37" i="20" s="1"/>
  <c r="A33" i="20"/>
  <c r="A38" i="20"/>
  <c r="A39" i="20" s="1"/>
  <c r="N59" i="26"/>
  <c r="H317" i="1" s="1"/>
  <c r="P60" i="26"/>
  <c r="I317" i="1"/>
  <c r="I322" i="1" s="1"/>
  <c r="I324" i="1" s="1"/>
  <c r="I313" i="24"/>
  <c r="L307" i="24"/>
  <c r="J309" i="24"/>
  <c r="M305" i="24"/>
  <c r="M316" i="24" s="1"/>
  <c r="L305" i="24"/>
  <c r="I142" i="5"/>
  <c r="F143" i="5" s="1"/>
  <c r="K142" i="5"/>
  <c r="G274" i="24"/>
  <c r="A829" i="1"/>
  <c r="D374" i="9" a="1"/>
  <c r="D374" i="9" s="1"/>
  <c r="A830" i="1" s="1"/>
  <c r="C604" i="9"/>
  <c r="M674" i="1"/>
  <c r="L683" i="1"/>
  <c r="N62" i="26" l="1"/>
  <c r="F65" i="26" s="1"/>
  <c r="Q59" i="26"/>
  <c r="P59" i="26"/>
  <c r="L309" i="24"/>
  <c r="L311" i="24"/>
  <c r="H61" i="9"/>
  <c r="I63" i="9" s="1"/>
  <c r="H103" i="9"/>
  <c r="I105" i="9" s="1"/>
  <c r="I109" i="9" s="1"/>
  <c r="F66" i="5"/>
  <c r="B151" i="5" s="1"/>
  <c r="G637" i="1"/>
  <c r="K95" i="24"/>
  <c r="L93" i="24"/>
  <c r="F65" i="5"/>
  <c r="H24" i="9"/>
  <c r="H651" i="1"/>
  <c r="H318" i="1" l="1"/>
  <c r="H322" i="1" s="1"/>
  <c r="P65" i="26"/>
  <c r="N64" i="26"/>
  <c r="C74" i="3" s="1"/>
  <c r="H108" i="26"/>
  <c r="B727" i="1"/>
  <c r="I8" i="9" a="1"/>
  <c r="I8" i="9" s="1"/>
  <c r="L316" i="24"/>
  <c r="N316" i="24" s="1"/>
  <c r="N305" i="24" s="1"/>
  <c r="L340" i="26" s="1"/>
  <c r="L360" i="26" s="1"/>
  <c r="D343" i="26"/>
  <c r="I67" i="9"/>
  <c r="H33" i="9" s="1"/>
  <c r="E34" i="9" s="1"/>
  <c r="H26" i="9"/>
  <c r="B729" i="1"/>
  <c r="B739" i="1"/>
  <c r="B330" i="1"/>
  <c r="B329" i="1"/>
  <c r="B297" i="1"/>
  <c r="B298" i="1"/>
  <c r="I79" i="9"/>
  <c r="E77" i="9"/>
  <c r="I76" i="9"/>
  <c r="I93" i="9"/>
  <c r="B741" i="1"/>
  <c r="B730" i="1"/>
  <c r="B731" i="1"/>
  <c r="B743" i="1"/>
  <c r="B737" i="1"/>
  <c r="B735" i="1"/>
  <c r="B734" i="1"/>
  <c r="B738" i="1"/>
  <c r="B725" i="1"/>
  <c r="B724" i="1"/>
  <c r="B728" i="1"/>
  <c r="H22" i="9"/>
  <c r="K66" i="5"/>
  <c r="G590" i="1"/>
  <c r="Q606" i="1" s="1"/>
  <c r="O83" i="24"/>
  <c r="N83" i="24" s="1"/>
  <c r="E25" i="9"/>
  <c r="H8" i="9"/>
  <c r="I135" i="1"/>
  <c r="Q136" i="2" s="1"/>
  <c r="G134" i="1"/>
  <c r="L92" i="24" l="1"/>
  <c r="I35" i="9"/>
  <c r="H28" i="9"/>
  <c r="O85" i="24" s="1"/>
  <c r="N85" i="24" s="1"/>
  <c r="L364" i="26"/>
  <c r="H241" i="1" a="1"/>
  <c r="H241" i="1" s="1"/>
  <c r="B309" i="1"/>
  <c r="B338" i="1"/>
  <c r="B303" i="1"/>
  <c r="H251" i="1" a="1"/>
  <c r="H251" i="1" s="1"/>
  <c r="B335" i="1"/>
  <c r="H244" i="24"/>
  <c r="H243" i="24"/>
  <c r="Q108" i="26"/>
  <c r="N108" i="26"/>
  <c r="P64" i="26"/>
  <c r="Q64" i="26"/>
  <c r="D341" i="26"/>
  <c r="D365" i="26"/>
  <c r="D361" i="26"/>
  <c r="C103" i="24"/>
  <c r="E37" i="9" s="1"/>
  <c r="O88" i="24"/>
  <c r="N88" i="24" s="1"/>
  <c r="O84" i="24"/>
  <c r="N84" i="24" s="1"/>
  <c r="E27" i="9"/>
  <c r="D276" i="24" a="1"/>
  <c r="D276" i="24" s="1"/>
  <c r="A732" i="1"/>
  <c r="Q139" i="2"/>
  <c r="Q149" i="2" s="1"/>
  <c r="Q159" i="2" s="1"/>
  <c r="L94" i="24"/>
  <c r="L95" i="24" s="1"/>
  <c r="C571" i="9" s="1"/>
  <c r="E23" i="9"/>
  <c r="O82" i="24"/>
  <c r="N82" i="24" s="1"/>
  <c r="C100" i="24" l="1"/>
  <c r="C101" i="24" s="1"/>
  <c r="O89" i="24" s="1"/>
  <c r="E29" i="9"/>
  <c r="J246" i="24"/>
  <c r="H241" i="24"/>
  <c r="F122" i="26"/>
  <c r="P122" i="26" s="1"/>
  <c r="F118" i="26"/>
  <c r="N117" i="26" s="1"/>
  <c r="B304" i="1"/>
  <c r="B305" i="1" s="1"/>
  <c r="I73" i="3" s="1"/>
  <c r="B336" i="1"/>
  <c r="B337" i="1" s="1"/>
  <c r="I99" i="9"/>
  <c r="E276" i="24" s="1" a="1"/>
  <c r="E276" i="24" s="1"/>
  <c r="F276" i="24" s="1"/>
  <c r="G276" i="24" s="1"/>
  <c r="Q169" i="2"/>
  <c r="F122" i="3"/>
  <c r="D250" i="1" l="1"/>
  <c r="Q123" i="26"/>
  <c r="P121" i="26"/>
  <c r="L243" i="24"/>
  <c r="L246" i="24" s="1"/>
  <c r="J242" i="24"/>
  <c r="M243" i="24"/>
  <c r="F115" i="26" s="1"/>
  <c r="D111" i="9" a="1"/>
  <c r="D111" i="9" s="1"/>
  <c r="I573" i="9" a="1"/>
  <c r="I573" i="9" s="1"/>
  <c r="I575" i="9" s="1"/>
  <c r="I112" i="9"/>
  <c r="I142" i="9"/>
  <c r="I145" i="9" s="1"/>
  <c r="I151" i="9" s="1"/>
  <c r="C602" i="9"/>
  <c r="B16" i="7"/>
  <c r="H240" i="1"/>
  <c r="G276" i="1" s="1"/>
  <c r="B608" i="9"/>
  <c r="Q247" i="24" l="1"/>
  <c r="P247" i="24"/>
  <c r="Q245" i="24"/>
  <c r="F120" i="26"/>
  <c r="P248" i="24"/>
  <c r="Q248" i="24"/>
  <c r="L237" i="24"/>
  <c r="Q121" i="26" s="1"/>
  <c r="J247" i="24"/>
  <c r="M246" i="24"/>
  <c r="E776" i="1"/>
  <c r="G260" i="1"/>
  <c r="G309" i="1"/>
  <c r="G315" i="1"/>
  <c r="G282" i="1"/>
  <c r="G266" i="1"/>
  <c r="G338" i="1"/>
  <c r="G258" i="1"/>
  <c r="N114" i="26" l="1"/>
  <c r="H323" i="1" s="1"/>
  <c r="H324" i="1" s="1"/>
  <c r="B322" i="1" s="1"/>
  <c r="B326" i="1" s="1"/>
  <c r="N112" i="26"/>
  <c r="L408" i="26" l="1"/>
  <c r="L409" i="26" s="1"/>
  <c r="L412" i="26" s="1"/>
  <c r="L414" i="26" s="1"/>
  <c r="H119" i="26"/>
  <c r="B290" i="1"/>
  <c r="L420" i="26"/>
  <c r="N119" i="26"/>
  <c r="P113" i="26" s="1"/>
  <c r="Q112" i="26" s="1"/>
  <c r="B299" i="1"/>
  <c r="B331" i="1"/>
  <c r="B325" i="1"/>
  <c r="G325" i="1" s="1"/>
  <c r="I467" i="9"/>
  <c r="I466" i="9"/>
  <c r="I465" i="9"/>
  <c r="C555" i="9"/>
  <c r="V688" i="1"/>
  <c r="V689" i="1" s="1"/>
  <c r="H125" i="26" l="1"/>
  <c r="L450" i="26" s="1"/>
  <c r="L452" i="26" s="1"/>
  <c r="C187" i="24" s="1"/>
  <c r="P120" i="26"/>
  <c r="C72" i="3"/>
  <c r="B293" i="1"/>
  <c r="B294" i="1"/>
  <c r="P115" i="26"/>
  <c r="P114" i="26" s="1"/>
  <c r="N125" i="26"/>
  <c r="H193" i="9" s="1"/>
  <c r="D194" i="9" s="1"/>
  <c r="P112" i="26"/>
  <c r="B332" i="1"/>
  <c r="B333" i="1" s="1"/>
  <c r="G332" i="1"/>
  <c r="B300" i="1"/>
  <c r="B301" i="1" s="1"/>
  <c r="I71" i="3" s="1"/>
  <c r="I470" i="9"/>
  <c r="G275" i="24"/>
  <c r="V690" i="1"/>
  <c r="V691" i="1" s="1"/>
  <c r="I69" i="3" l="1"/>
  <c r="D174" i="3"/>
  <c r="I83" i="3" s="1"/>
  <c r="C70" i="3"/>
  <c r="Q119" i="26"/>
  <c r="P119" i="26"/>
  <c r="E263" i="1"/>
  <c r="E279" i="1"/>
  <c r="D248" i="1"/>
  <c r="D249" i="1"/>
  <c r="E312" i="1"/>
  <c r="C199" i="24"/>
  <c r="H50" i="9"/>
  <c r="I53" i="9" s="1"/>
  <c r="I57" i="9" s="1"/>
  <c r="L418" i="26"/>
  <c r="L422" i="26" s="1"/>
  <c r="L425" i="26" s="1"/>
  <c r="L427" i="26" s="1"/>
  <c r="L429" i="26" s="1"/>
  <c r="L443" i="26" s="1"/>
  <c r="H240" i="26"/>
  <c r="L433" i="26"/>
  <c r="H186" i="26"/>
  <c r="E131" i="9"/>
  <c r="L371" i="26"/>
  <c r="L385" i="26" s="1"/>
  <c r="L387" i="26" s="1"/>
  <c r="P387" i="26" s="1"/>
  <c r="Q114" i="26"/>
  <c r="E396" i="9"/>
  <c r="E401" i="9"/>
  <c r="I396" i="9"/>
  <c r="I398" i="9" s="1"/>
  <c r="I401" i="9"/>
  <c r="D195" i="24"/>
  <c r="C191" i="24"/>
  <c r="C195" i="24"/>
  <c r="D199" i="24" s="1"/>
  <c r="C193" i="24"/>
  <c r="V692" i="1"/>
  <c r="V693" i="1" s="1"/>
  <c r="D252" i="1" l="1"/>
  <c r="E51" i="9"/>
  <c r="D273" i="24"/>
  <c r="I403" i="9"/>
  <c r="D72" i="9" s="1"/>
  <c r="Q568" i="9"/>
  <c r="Q591" i="9" s="1"/>
  <c r="B558" i="9" s="1"/>
  <c r="I555" i="9"/>
  <c r="I568" i="9"/>
  <c r="I570" i="9" s="1"/>
  <c r="I571" i="9" s="1"/>
  <c r="I591" i="9" s="1"/>
  <c r="I594" i="9" s="1"/>
  <c r="I597" i="9" s="1"/>
  <c r="I600" i="9" s="1"/>
  <c r="I603" i="9" s="1"/>
  <c r="I604" i="9" s="1"/>
  <c r="J366" i="24" s="1"/>
  <c r="E273" i="24"/>
  <c r="F273" i="24" s="1"/>
  <c r="G273" i="24" s="1"/>
  <c r="G233" i="24"/>
  <c r="V694" i="1"/>
  <c r="V695" i="1" s="1"/>
  <c r="V696" i="1" s="1"/>
  <c r="D181" i="9"/>
  <c r="H586" i="1" l="1"/>
  <c r="H587" i="1" s="1"/>
  <c r="G586" i="1"/>
  <c r="G587" i="1" s="1"/>
  <c r="Q611" i="1" s="1"/>
  <c r="I407" i="9"/>
  <c r="I493" i="9"/>
  <c r="J363" i="24" s="1"/>
  <c r="B614" i="9"/>
  <c r="B612" i="9"/>
  <c r="J361" i="24"/>
  <c r="A128" i="24"/>
  <c r="I181" i="9"/>
  <c r="H143" i="24"/>
  <c r="D184" i="9"/>
  <c r="I414" i="9" l="1"/>
  <c r="I418" i="9" s="1"/>
  <c r="I420" i="9" s="1"/>
  <c r="H190" i="26" s="1"/>
  <c r="Q190" i="26" s="1"/>
  <c r="L453" i="26"/>
  <c r="L454" i="26" s="1"/>
  <c r="L455" i="26" s="1"/>
  <c r="E424" i="9" s="1"/>
  <c r="D412" i="9"/>
  <c r="D414" i="9"/>
  <c r="D409" i="9"/>
  <c r="O617" i="1" a="1"/>
  <c r="O617" i="1" s="1"/>
  <c r="Q596" i="1"/>
  <c r="C4" i="5" a="1"/>
  <c r="C4" i="5" s="1"/>
  <c r="Q613" i="1"/>
  <c r="Q594" i="1"/>
  <c r="P620" i="1"/>
  <c r="I188" i="9"/>
  <c r="H170" i="9"/>
  <c r="D188" i="9"/>
  <c r="K244" i="26" l="1"/>
  <c r="X244" i="26" s="1"/>
  <c r="K190" i="26"/>
  <c r="P190" i="26" s="1"/>
  <c r="I424" i="9"/>
  <c r="I173" i="9"/>
  <c r="H171" i="9"/>
  <c r="R190" i="26" l="1"/>
  <c r="I175" i="9"/>
  <c r="I177" i="9" s="1"/>
  <c r="D277" i="24" l="1"/>
  <c r="E277" i="24"/>
  <c r="F277" i="24" s="1"/>
  <c r="G277" i="24" s="1"/>
  <c r="J275" i="24" s="1"/>
  <c r="C277" i="24"/>
  <c r="B286" i="24" l="1"/>
  <c r="A286" i="24" s="1"/>
  <c r="J274" i="24"/>
  <c r="J277" i="24"/>
  <c r="B287" i="24"/>
  <c r="B260" i="26" s="1"/>
  <c r="B288" i="24"/>
  <c r="H208" i="26" s="1"/>
  <c r="J273" i="24"/>
  <c r="J276" i="24"/>
  <c r="B285" i="24"/>
  <c r="B202" i="26" s="1"/>
  <c r="C204" i="26" l="1"/>
  <c r="C258" i="26" s="1"/>
  <c r="B204" i="26"/>
  <c r="H204" i="26"/>
  <c r="Q204" i="26" s="1"/>
  <c r="B258" i="26"/>
  <c r="B262" i="26"/>
  <c r="A285" i="24"/>
  <c r="D285" i="24" s="1"/>
  <c r="K202" i="26" s="1"/>
  <c r="H206" i="26"/>
  <c r="H260" i="26" s="1"/>
  <c r="Q260" i="26" s="1"/>
  <c r="C208" i="26"/>
  <c r="C262" i="26" s="1"/>
  <c r="C206" i="26"/>
  <c r="C260" i="26" s="1"/>
  <c r="A287" i="24"/>
  <c r="C287" i="24" s="1"/>
  <c r="C202" i="26"/>
  <c r="C256" i="26" s="1"/>
  <c r="B256" i="26"/>
  <c r="B206" i="26"/>
  <c r="A288" i="24"/>
  <c r="E288" i="24" s="1"/>
  <c r="B208" i="26"/>
  <c r="Q208" i="26"/>
  <c r="H262" i="26"/>
  <c r="Q262" i="26" s="1"/>
  <c r="C286" i="24"/>
  <c r="D286" i="24"/>
  <c r="K204" i="26" s="1"/>
  <c r="E286" i="24"/>
  <c r="B264" i="26" l="1"/>
  <c r="B266" i="26" s="1"/>
  <c r="B268" i="26" s="1"/>
  <c r="B270" i="26" s="1"/>
  <c r="B272" i="26" s="1"/>
  <c r="D275" i="26" s="1"/>
  <c r="H258" i="26"/>
  <c r="Q258" i="26" s="1"/>
  <c r="B210" i="26"/>
  <c r="B218" i="26" s="1"/>
  <c r="B220" i="26" s="1"/>
  <c r="C285" i="24"/>
  <c r="E285" i="24"/>
  <c r="Q206" i="26"/>
  <c r="C288" i="24"/>
  <c r="M288" i="24" s="1"/>
  <c r="D288" i="24"/>
  <c r="K208" i="26" s="1"/>
  <c r="K262" i="26" s="1"/>
  <c r="E287" i="24"/>
  <c r="F287" i="24" s="1"/>
  <c r="D287" i="24"/>
  <c r="K206" i="26" s="1"/>
  <c r="K260" i="26" s="1"/>
  <c r="K256" i="26"/>
  <c r="R204" i="26"/>
  <c r="K258" i="26"/>
  <c r="F286" i="24"/>
  <c r="M286" i="24"/>
  <c r="H202" i="26" l="1"/>
  <c r="R202" i="26" s="1"/>
  <c r="B222" i="26"/>
  <c r="B224" i="26" s="1"/>
  <c r="D227" i="26" s="1"/>
  <c r="F285" i="24"/>
  <c r="M285" i="24"/>
  <c r="F288" i="24"/>
  <c r="R208" i="26"/>
  <c r="M287" i="24"/>
  <c r="R206" i="26"/>
  <c r="R258" i="26"/>
  <c r="X258" i="26"/>
  <c r="E47" i="9"/>
  <c r="X262" i="26"/>
  <c r="R262" i="26"/>
  <c r="X260" i="26"/>
  <c r="R260" i="26"/>
  <c r="Q202" i="26" l="1"/>
  <c r="H256" i="26"/>
  <c r="R256" i="26" s="1"/>
  <c r="H222" i="26"/>
  <c r="H224" i="26" s="1"/>
  <c r="H228" i="26" s="1"/>
  <c r="X256" i="26" l="1"/>
  <c r="X272" i="26" s="1"/>
  <c r="L434" i="26" s="1"/>
  <c r="L435" i="26" s="1"/>
  <c r="L438" i="26" s="1"/>
  <c r="L439" i="26" s="1"/>
  <c r="L444" i="26" s="1"/>
  <c r="L445" i="26" s="1"/>
  <c r="L446" i="26" s="1"/>
  <c r="H270" i="26"/>
  <c r="Q270" i="26" s="1"/>
  <c r="Q224" i="26"/>
  <c r="Q256" i="26"/>
  <c r="Q222" i="26"/>
  <c r="K222" i="26"/>
  <c r="P227" i="26"/>
  <c r="M230" i="26"/>
  <c r="Q228" i="26"/>
  <c r="H272" i="26" l="1"/>
  <c r="H276" i="26" s="1"/>
  <c r="K270" i="26"/>
  <c r="Q272" i="26" l="1"/>
  <c r="Q276" i="26"/>
  <c r="M278" i="26"/>
  <c r="P275" i="26"/>
  <c r="ET73" i="19"/>
  <c r="ET72" i="19"/>
  <c r="ET71" i="19"/>
  <c r="ET75" i="19"/>
  <c r="ET69" i="19"/>
  <c r="ET76" i="19"/>
  <c r="ET74" i="19"/>
  <c r="ET70" i="19"/>
  <c r="ET34" i="19"/>
  <c r="ET31" i="19"/>
  <c r="ET49" i="19"/>
  <c r="ET36" i="19"/>
  <c r="ET57" i="19"/>
  <c r="ET30" i="19"/>
  <c r="ET58" i="19"/>
  <c r="ET32" i="19"/>
  <c r="ET46" i="19"/>
  <c r="ET59" i="19"/>
  <c r="ET43" i="19"/>
  <c r="ET44" i="19"/>
  <c r="ET45" i="19"/>
  <c r="ET33" i="19"/>
  <c r="ET60" i="19"/>
  <c r="ET48" i="19"/>
  <c r="ET37" i="19"/>
  <c r="ET63" i="19"/>
  <c r="ET24" i="19"/>
  <c r="ET52" i="19"/>
  <c r="ET25" i="19"/>
  <c r="ET65" i="19"/>
  <c r="ET26" i="19"/>
  <c r="ET40" i="19"/>
  <c r="ET54" i="19"/>
  <c r="ET66" i="19"/>
  <c r="ET51" i="19"/>
  <c r="ET38" i="19"/>
  <c r="ET53" i="19"/>
  <c r="ET27" i="19"/>
  <c r="ET41" i="19"/>
  <c r="ET55" i="19"/>
  <c r="ET67" i="19"/>
  <c r="ET61" i="19"/>
  <c r="ET35" i="19"/>
  <c r="ET62" i="19"/>
  <c r="ET64" i="19"/>
  <c r="ET39" i="19"/>
  <c r="ET28" i="19"/>
  <c r="ET42" i="19"/>
  <c r="ET56" i="19"/>
  <c r="ET68" i="19"/>
  <c r="ET19" i="19"/>
  <c r="ET47" i="19"/>
  <c r="ET50" i="19"/>
  <c r="ET18" i="19"/>
  <c r="ET20" i="19"/>
  <c r="EU12" i="19"/>
  <c r="ES23" i="19" l="1"/>
  <c r="ES22" i="19"/>
  <c r="ES21" i="19"/>
  <c r="ES20" i="19"/>
  <c r="ES19" i="19"/>
  <c r="ES18" i="19"/>
  <c r="ES17" i="19"/>
  <c r="ES16" i="19"/>
  <c r="G65" i="14" s="1"/>
  <c r="ES15" i="19"/>
  <c r="G64" i="14" s="1"/>
  <c r="ES14" i="19"/>
  <c r="G63" i="14" s="1"/>
  <c r="ES13" i="19"/>
  <c r="G62" i="14" s="1"/>
  <c r="H115" i="14" l="1"/>
  <c r="B93" i="3" l="1"/>
  <c r="B99"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X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BE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I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M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50"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319" authorId="1" shapeId="0" xr:uid="{FFD35FE8-7103-47AA-B0C7-5BE994BFDC6F}">
      <text>
        <r>
          <rPr>
            <b/>
            <sz val="9"/>
            <color indexed="81"/>
            <rFont val="Tahoma"/>
            <family val="2"/>
          </rPr>
          <t>Matt Jugenheimer:</t>
        </r>
        <r>
          <rPr>
            <sz val="9"/>
            <color indexed="81"/>
            <rFont val="Tahoma"/>
            <family val="2"/>
          </rPr>
          <t xml:space="preserve">
HC Means "Hard Cost"</t>
        </r>
      </text>
    </comment>
    <comment ref="H319"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N404" authorId="0" shapeId="0" xr:uid="{9E6F6A40-E499-41C6-AD31-8682C7654BAD}">
      <text>
        <r>
          <rPr>
            <b/>
            <sz val="9"/>
            <color indexed="81"/>
            <rFont val="Tahoma"/>
            <family val="2"/>
          </rPr>
          <t>Kevin Tatreau:</t>
        </r>
        <r>
          <rPr>
            <sz val="9"/>
            <color indexed="81"/>
            <rFont val="Tahoma"/>
            <family val="2"/>
          </rPr>
          <t xml:space="preserve">
Demographic = Family</t>
        </r>
      </text>
    </comment>
    <comment ref="O404" authorId="0" shapeId="0" xr:uid="{F6E88684-5718-46D9-A2F6-084DC574199B}">
      <text>
        <r>
          <rPr>
            <b/>
            <sz val="9"/>
            <color indexed="81"/>
            <rFont val="Tahoma"/>
            <family val="2"/>
          </rPr>
          <t>Kevin Tatreau:</t>
        </r>
        <r>
          <rPr>
            <sz val="9"/>
            <color indexed="81"/>
            <rFont val="Tahoma"/>
            <family val="2"/>
          </rPr>
          <t xml:space="preserve">
Demographic = Elderly Non-ALF</t>
        </r>
      </text>
    </comment>
    <comment ref="P404" authorId="0" shapeId="0" xr:uid="{C65256B1-26E6-44D3-BB59-6204D5EE6BBE}">
      <text>
        <r>
          <rPr>
            <b/>
            <sz val="9"/>
            <color indexed="81"/>
            <rFont val="Tahoma"/>
            <family val="2"/>
          </rPr>
          <t>Kevin Tatreau:</t>
        </r>
        <r>
          <rPr>
            <sz val="9"/>
            <color indexed="81"/>
            <rFont val="Tahoma"/>
            <family val="2"/>
          </rPr>
          <t xml:space="preserve">
Demographic = Farmworker/Commercial Fish Worker, or Farmworker, or Unaccompanied Farmworker, or Commercial Fishing Worker, or Unaccompanied Commercial Fishing Worker.</t>
        </r>
      </text>
    </comment>
    <comment ref="B504"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505"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507"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9"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84"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84"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51"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44"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94"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<sst xmlns="http://schemas.openxmlformats.org/spreadsheetml/2006/main" count="47689" uniqueCount="3408">
  <si>
    <t>County</t>
  </si>
  <si>
    <t>Demographic</t>
  </si>
  <si>
    <t>DLP_latitude</t>
  </si>
  <si>
    <t>DLP_longitude</t>
  </si>
  <si>
    <t>DS_2023_County_GAOs</t>
  </si>
  <si>
    <t>DS_2023_County_QCTs</t>
  </si>
  <si>
    <t>DS_2023_Metro_QCT_Counties</t>
  </si>
  <si>
    <t>DS_2023_Metro_QCTs_Sorted</t>
  </si>
  <si>
    <t>DS_2023_NonMetro_QCT_Counties</t>
  </si>
  <si>
    <t>DS_2023_NonMetro_QCTs_Sorted</t>
  </si>
  <si>
    <t>DS_2023_ZCTAs_Sorted</t>
  </si>
  <si>
    <t>DS_MaxUnits_E_NonOccRehab</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</si>
  <si>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</si>
  <si>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</si>
  <si>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</si>
  <si>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</si>
  <si>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</si>
  <si>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</si>
  <si>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</si>
  <si>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</si>
  <si>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</si>
  <si>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</si>
  <si>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</si>
  <si>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</si>
  <si>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</si>
  <si>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</si>
  <si>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</si>
  <si>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</si>
  <si>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</si>
  <si>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</si>
  <si>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</si>
  <si>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</si>
  <si>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</si>
  <si>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</si>
  <si>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</si>
  <si>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</si>
  <si>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</si>
  <si>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</si>
  <si>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</si>
  <si>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</si>
  <si>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</si>
  <si>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</si>
  <si>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</si>
  <si>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</si>
  <si>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</si>
  <si>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</si>
  <si>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</si>
  <si>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</si>
  <si>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</si>
  <si>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</si>
  <si>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</si>
  <si>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</si>
  <si>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</si>
  <si>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</si>
  <si>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</si>
  <si>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</si>
  <si>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</si>
  <si>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</si>
  <si>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</si>
  <si>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</si>
  <si>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</si>
  <si>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</si>
  <si>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</si>
  <si>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</si>
  <si>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</si>
  <si>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</si>
  <si>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</si>
  <si>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</si>
  <si>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</si>
  <si>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</si>
  <si>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</si>
  <si>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</si>
  <si>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</si>
  <si>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</si>
  <si>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</si>
  <si>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</si>
  <si>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</si>
  <si>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</si>
  <si>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</si>
  <si>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</si>
  <si>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</si>
  <si>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</si>
  <si>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</si>
  <si>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</si>
  <si>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</si>
  <si>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</si>
  <si>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</si>
  <si>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</si>
  <si>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</si>
  <si>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</si>
  <si>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</si>
  <si>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</si>
  <si>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</si>
  <si>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</si>
  <si>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</si>
  <si>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</si>
  <si>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</si>
  <si>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</si>
  <si>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</si>
  <si>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</si>
  <si>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</si>
  <si>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</si>
  <si>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</si>
  <si>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</si>
  <si>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</si>
  <si>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</si>
  <si>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</si>
  <si>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</si>
  <si>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</si>
  <si>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</si>
  <si>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</si>
  <si>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</si>
  <si>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</si>
  <si>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</si>
  <si>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</si>
  <si>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</si>
  <si>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</si>
  <si>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</si>
  <si>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</si>
  <si>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</si>
  <si>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</si>
  <si>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</si>
  <si>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</si>
  <si>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</si>
  <si>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</si>
  <si>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</si>
  <si>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</si>
  <si>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</si>
  <si>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</si>
  <si>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</si>
  <si>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</si>
  <si>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</si>
  <si>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</si>
  <si>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</si>
  <si>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</si>
  <si>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</si>
  <si>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</si>
  <si>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</si>
  <si>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</si>
  <si>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</si>
  <si>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</si>
  <si>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</si>
  <si>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</si>
  <si>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</si>
  <si>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</si>
  <si>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</si>
  <si>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</si>
  <si>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</si>
  <si>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</si>
  <si>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</si>
  <si>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</si>
  <si>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</si>
  <si>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</si>
  <si>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</si>
  <si>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</si>
  <si>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</si>
  <si>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</si>
  <si>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</si>
  <si>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</si>
  <si>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</si>
  <si>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</si>
  <si>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</si>
  <si>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</si>
  <si>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</si>
  <si>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</si>
  <si>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</si>
  <si>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</si>
  <si>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</si>
  <si>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</si>
  <si>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</si>
  <si>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</si>
  <si>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</si>
  <si>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</si>
  <si>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</si>
  <si>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</si>
  <si>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</si>
  <si>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</si>
  <si>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</si>
  <si>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</si>
  <si>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</si>
  <si>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</si>
  <si>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</si>
  <si>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</si>
  <si>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</si>
  <si>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</si>
  <si>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</si>
  <si>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</si>
  <si>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</si>
  <si>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</si>
  <si>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</si>
  <si>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</si>
  <si>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</si>
  <si>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</si>
  <si>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</si>
  <si>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</si>
  <si>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</si>
  <si>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</si>
  <si>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</si>
  <si>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</si>
  <si>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</si>
  <si>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</si>
  <si>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</si>
  <si>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</si>
  <si>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</si>
  <si>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</si>
  <si>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</si>
  <si>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</si>
  <si>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</si>
  <si>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</si>
  <si>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</si>
  <si>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</si>
  <si>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</si>
  <si>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</si>
  <si>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</si>
  <si>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</si>
  <si>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</si>
  <si>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</si>
  <si>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</si>
  <si>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</si>
  <si>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</si>
  <si>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</si>
  <si>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</si>
  <si>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</si>
  <si>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</si>
  <si>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</si>
  <si>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</si>
  <si>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</si>
  <si>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</si>
  <si>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</si>
  <si>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</si>
  <si>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</si>
  <si>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</si>
  <si>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</si>
  <si>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</si>
  <si>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</si>
  <si>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</si>
  <si>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</si>
  <si>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</si>
  <si>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</si>
  <si>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</si>
  <si>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</si>
  <si>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</si>
  <si>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</si>
  <si>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</si>
  <si>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</si>
  <si>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</si>
  <si>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</si>
  <si>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</si>
  <si>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</si>
  <si>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</si>
  <si>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</si>
  <si>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</si>
  <si>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</si>
  <si>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</si>
  <si>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</si>
  <si>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</si>
  <si>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</si>
  <si>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</si>
  <si>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</si>
  <si>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</si>
  <si>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</si>
  <si>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</si>
  <si>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</si>
  <si>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</si>
  <si>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</si>
  <si>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</si>
  <si>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</si>
  <si>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</si>
  <si>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</si>
  <si>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</si>
  <si>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</si>
  <si>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</si>
  <si>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</si>
  <si>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</si>
  <si>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</si>
  <si>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</si>
  <si>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</si>
  <si>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</si>
  <si>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</si>
  <si>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</si>
  <si>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</si>
  <si>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</si>
  <si>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</si>
  <si>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</si>
  <si>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</si>
  <si>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</si>
  <si>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</si>
  <si>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</si>
  <si>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</si>
  <si>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</si>
  <si>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</si>
  <si>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</si>
  <si>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</si>
  <si>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</si>
  <si>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</si>
  <si>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</si>
  <si>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</si>
  <si>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</si>
  <si>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</si>
  <si>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</si>
  <si>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</si>
  <si>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</si>
  <si>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</si>
  <si>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</si>
  <si>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</si>
  <si>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</si>
  <si>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</si>
  <si>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</si>
  <si>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</si>
  <si>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</si>
  <si>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</si>
  <si>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</si>
  <si>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</si>
  <si>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</si>
  <si>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</si>
  <si>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</si>
  <si>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</si>
  <si>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</si>
  <si>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</si>
  <si>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</si>
  <si>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</si>
  <si>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</si>
  <si>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</si>
  <si>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</si>
  <si>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</si>
  <si>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</si>
  <si>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</si>
  <si>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</si>
  <si>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</si>
  <si>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</si>
  <si>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</si>
  <si>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</si>
  <si>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</si>
  <si>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</si>
  <si>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</si>
  <si>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</si>
  <si>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</si>
  <si>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</si>
  <si>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</si>
  <si>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</si>
  <si>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</si>
  <si>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</si>
  <si>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</si>
  <si>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</si>
  <si>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</si>
  <si>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</si>
  <si>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</si>
  <si>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</si>
  <si>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</si>
  <si>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</si>
  <si>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</si>
  <si>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</si>
  <si>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</si>
  <si>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</si>
  <si>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</si>
  <si>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</si>
  <si>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</si>
  <si>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</si>
  <si>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</si>
  <si>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</si>
  <si>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</si>
  <si>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</si>
  <si>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</si>
  <si>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</si>
  <si>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</si>
  <si>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</si>
  <si>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</si>
  <si>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</si>
  <si>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</si>
  <si>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</si>
  <si>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</si>
  <si>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</si>
  <si>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</si>
  <si>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</si>
  <si>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</si>
  <si>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</si>
  <si>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</si>
  <si>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</si>
  <si>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</si>
  <si>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</si>
  <si>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</si>
  <si>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</si>
  <si>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</si>
  <si>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</si>
  <si>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</si>
  <si>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</si>
  <si>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</si>
  <si>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</si>
  <si>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</si>
  <si>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</si>
  <si>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</si>
  <si>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</si>
  <si>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</si>
  <si>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</si>
  <si>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</si>
  <si>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</si>
  <si>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</si>
  <si>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</si>
  <si>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</si>
  <si>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</si>
  <si>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</si>
  <si>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</si>
  <si>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</si>
  <si>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</si>
  <si>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</si>
  <si>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</si>
  <si>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</si>
  <si>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</si>
  <si>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</si>
  <si>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</si>
  <si>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</si>
  <si>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</si>
  <si>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</si>
  <si>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</si>
  <si>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</si>
  <si>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</si>
  <si>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</si>
  <si>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</si>
  <si>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</si>
  <si>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</si>
  <si>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</si>
  <si>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</si>
  <si>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</si>
  <si>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</si>
  <si>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</si>
  <si>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</si>
  <si>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</si>
  <si>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</si>
  <si>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</si>
  <si>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</si>
  <si>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</si>
  <si>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</si>
  <si>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</si>
  <si>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</si>
  <si>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</si>
  <si>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</si>
  <si>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</si>
  <si>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</si>
  <si>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</si>
  <si>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</si>
  <si>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</si>
  <si>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</si>
  <si>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</si>
  <si>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</si>
  <si>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</si>
  <si>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</si>
  <si>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</si>
  <si>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</si>
  <si>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</si>
  <si>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</si>
  <si>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</si>
  <si>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</si>
  <si>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</si>
  <si>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</si>
  <si>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</si>
  <si>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</si>
  <si>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</si>
  <si>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</si>
  <si>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</si>
  <si>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</si>
  <si>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</si>
  <si>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</si>
  <si>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</si>
  <si>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</si>
  <si>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</si>
  <si>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</si>
  <si>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</si>
  <si>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</si>
  <si>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</si>
  <si>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</si>
  <si>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</si>
  <si>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</si>
  <si>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</si>
  <si>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</si>
  <si>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</si>
  <si>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</si>
  <si>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</si>
  <si>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</si>
  <si>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</si>
  <si>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</si>
  <si>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</si>
  <si>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</si>
  <si>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Minimum Loan-Only Set-Asides (6.d.(2)(a))</t>
  </si>
  <si>
    <t>Maximum Loan-Only AMI Set-Aside (6.d.(2)(a))</t>
  </si>
  <si>
    <t>AMI</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</si>
  <si>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</si>
  <si>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</si>
  <si>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</si>
  <si>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</si>
  <si>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</si>
  <si>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</si>
  <si>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</si>
  <si>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</si>
  <si>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</si>
  <si>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</si>
  <si>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</si>
  <si>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</si>
  <si>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</si>
  <si>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</si>
  <si>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</si>
  <si>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</si>
  <si>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</si>
  <si>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</si>
  <si>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</si>
  <si>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</si>
  <si>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</si>
  <si>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</si>
  <si>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</si>
  <si>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</si>
  <si>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</si>
  <si>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</si>
  <si>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</si>
  <si>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</si>
  <si>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</si>
  <si>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</si>
  <si>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</si>
  <si>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</si>
  <si>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</si>
  <si>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</si>
  <si>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</si>
  <si>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</si>
  <si>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</si>
  <si>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</si>
  <si>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</si>
  <si>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</si>
  <si>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</si>
  <si>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</si>
  <si>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</si>
  <si>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</si>
  <si>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</si>
  <si>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</si>
  <si>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</si>
  <si>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</si>
  <si>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</si>
  <si>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</si>
  <si>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</si>
  <si>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</si>
  <si>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</si>
  <si>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</si>
  <si>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</si>
  <si>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</si>
  <si>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</si>
  <si>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</si>
  <si>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</si>
  <si>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</si>
  <si>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</si>
  <si>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</si>
  <si>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</si>
  <si>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</si>
  <si>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</si>
  <si>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</si>
  <si>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</si>
  <si>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</si>
  <si>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</si>
  <si>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</si>
  <si>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</si>
  <si>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</si>
  <si>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</si>
  <si>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</si>
  <si>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</si>
  <si>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</si>
  <si>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</si>
  <si>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</si>
  <si>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</si>
  <si>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</si>
  <si>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</si>
  <si>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</si>
  <si>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</si>
  <si>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</si>
  <si>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</si>
  <si>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</si>
  <si>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</si>
  <si>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</si>
  <si>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</si>
  <si>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</si>
  <si>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</si>
  <si>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</si>
  <si>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</si>
  <si>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</si>
  <si>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</si>
  <si>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</si>
  <si>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(3) LGAO but does not qualify for the preferences</t>
  </si>
  <si>
    <t>Controls to hide RFA set-up guides (E Auto White's Out/ F is for reminders)</t>
  </si>
  <si>
    <t>Auto White-Out?</t>
  </si>
  <si>
    <t>Will this be Very-Hidden?</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</si>
  <si>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</si>
  <si>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</si>
  <si>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</si>
  <si>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</si>
  <si>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</si>
  <si>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</si>
  <si>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</si>
  <si>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</si>
  <si>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</si>
  <si>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</si>
  <si>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</si>
  <si>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</si>
  <si>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</si>
  <si>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</si>
  <si>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</si>
  <si>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</si>
  <si>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</si>
  <si>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</si>
  <si>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</si>
  <si>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</si>
  <si>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</si>
  <si>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</si>
  <si>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</si>
  <si>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</si>
  <si>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</si>
  <si>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</si>
  <si>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</si>
  <si>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</si>
  <si>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</si>
  <si>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</si>
  <si>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</si>
  <si>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</si>
  <si>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</si>
  <si>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</si>
  <si>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DS_2023_GAO_Counties</t>
  </si>
  <si>
    <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</si>
  <si>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</si>
  <si>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</si>
  <si>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</si>
  <si>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</si>
  <si>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</si>
  <si>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</si>
  <si>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</si>
  <si>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</si>
  <si>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</si>
  <si>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</si>
  <si>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</si>
  <si>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</si>
  <si>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</si>
  <si>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</si>
  <si>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</si>
  <si>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Y</t>
  </si>
  <si>
    <t>Yes/No Dropdown</t>
  </si>
  <si>
    <t>&lt;select from menu&gt;</t>
  </si>
  <si>
    <t>Yes/No/N/A Dropdown</t>
  </si>
  <si>
    <t>N/A</t>
  </si>
  <si>
    <t>Geographic Areas of Opportunity/SADDA Goal - Family Demographic</t>
  </si>
  <si>
    <t>Located entirely in a GAO</t>
  </si>
  <si>
    <t>Located entirely in a SADDA</t>
  </si>
  <si>
    <t>W</t>
  </si>
  <si>
    <t>Metro/Non-Metro QCT Dropdown</t>
  </si>
  <si>
    <t>Metro</t>
  </si>
  <si>
    <t>Non-Metro</t>
  </si>
  <si>
    <t xml:space="preserve"> </t>
  </si>
  <si>
    <t>Cutler Ridge</t>
  </si>
  <si>
    <t>Tier 1</t>
  </si>
  <si>
    <t>Downtown Kendall</t>
  </si>
  <si>
    <t>Goulds</t>
  </si>
  <si>
    <t>Tier 2</t>
  </si>
  <si>
    <t>Leisure City</t>
  </si>
  <si>
    <t>Model City</t>
  </si>
  <si>
    <t>Naranja</t>
  </si>
  <si>
    <t>North Central</t>
  </si>
  <si>
    <t>Ojus</t>
  </si>
  <si>
    <t>Perrine</t>
  </si>
  <si>
    <t>Princeton</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</si>
  <si>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</si>
  <si>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</si>
  <si>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</si>
  <si>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</si>
  <si>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</si>
  <si>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</si>
  <si>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</si>
  <si>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</si>
  <si>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</si>
  <si>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</si>
  <si>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</si>
  <si>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</si>
  <si>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</si>
  <si>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</si>
  <si>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</si>
  <si>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</si>
  <si>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</si>
  <si>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</si>
  <si>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</si>
  <si>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</si>
  <si>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</si>
  <si>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</si>
  <si>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</si>
  <si>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</si>
  <si>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</si>
  <si>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</si>
  <si>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</si>
  <si>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</si>
  <si>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</si>
  <si>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</si>
  <si>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</si>
  <si>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</si>
  <si>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</si>
  <si>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</si>
  <si>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</si>
  <si>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</si>
  <si>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</si>
  <si>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</si>
  <si>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</si>
  <si>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</si>
  <si>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</si>
  <si>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</si>
  <si>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</si>
  <si>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</si>
  <si>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</si>
  <si>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</si>
  <si>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</si>
  <si>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</si>
  <si>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</si>
  <si>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</si>
  <si>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</si>
  <si>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</si>
  <si>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</si>
  <si>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</si>
  <si>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</si>
  <si>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</si>
  <si>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</si>
  <si>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</si>
  <si>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</si>
  <si>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</si>
  <si>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</si>
  <si>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</si>
  <si>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</si>
  <si>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</si>
  <si>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</si>
  <si>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</si>
  <si>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</si>
  <si>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</si>
  <si>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</si>
  <si>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</si>
  <si>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</si>
  <si>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</si>
  <si>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</si>
  <si>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</si>
  <si>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</si>
  <si>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</si>
  <si>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</si>
  <si>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</si>
  <si>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</si>
  <si>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</si>
  <si>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</si>
  <si>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</si>
  <si>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</si>
  <si>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</si>
  <si>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</si>
  <si>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</si>
  <si>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</si>
  <si>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</si>
  <si>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</si>
  <si>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</si>
  <si>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</si>
  <si>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</si>
  <si>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</si>
  <si>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</si>
  <si>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</si>
  <si>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</si>
  <si>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</si>
  <si>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</si>
  <si>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</si>
  <si>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</si>
  <si>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</si>
  <si>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</si>
  <si>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</si>
  <si>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</si>
  <si>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</si>
  <si>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</si>
  <si>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</si>
  <si>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</si>
  <si>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</si>
  <si>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</si>
  <si>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</si>
  <si>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</si>
  <si>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</si>
  <si>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Only 5% on select RFA's</t>
  </si>
  <si>
    <t>Maximum % Operating Deficit Reserves</t>
  </si>
  <si>
    <r>
      <t xml:space="preserve">Pro Forma Sources: MMRB + Non-Corp Programs </t>
    </r>
    <r>
      <rPr>
        <b/>
        <sz val="9"/>
        <color rgb="FFFF0000"/>
        <rFont val="Calibri"/>
        <family val="2"/>
        <scheme val="minor"/>
      </rPr>
      <t>(ProAppSources)</t>
    </r>
  </si>
  <si>
    <t>Regulated Mortgage Lender</t>
  </si>
  <si>
    <t>Local Government Subsidy</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</si>
  <si>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</si>
  <si>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</si>
  <si>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</si>
  <si>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</si>
  <si>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</si>
  <si>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</si>
  <si>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</si>
  <si>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</si>
  <si>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</si>
  <si>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</si>
  <si>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</si>
  <si>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</si>
  <si>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</si>
  <si>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</si>
  <si>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</si>
  <si>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</si>
  <si>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</si>
  <si>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</si>
  <si>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</si>
  <si>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</si>
  <si>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</si>
  <si>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</si>
  <si>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</si>
  <si>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</si>
  <si>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</si>
  <si>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</si>
  <si>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</si>
  <si>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</si>
  <si>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</si>
  <si>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</si>
  <si>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</si>
  <si>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</si>
  <si>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</si>
  <si>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</si>
  <si>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</si>
  <si>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</si>
  <si>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</si>
  <si>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</si>
  <si>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</si>
  <si>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</si>
  <si>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</si>
  <si>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</si>
  <si>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</si>
  <si>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</si>
  <si>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</si>
  <si>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</si>
  <si>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</si>
  <si>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</si>
  <si>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</si>
  <si>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</si>
  <si>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</si>
  <si>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</si>
  <si>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</si>
  <si>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</si>
  <si>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</si>
  <si>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</si>
  <si>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</si>
  <si>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</si>
  <si>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</si>
  <si>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</si>
  <si>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</si>
  <si>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</si>
  <si>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</si>
  <si>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</si>
  <si>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</si>
  <si>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</si>
  <si>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</si>
  <si>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</si>
  <si>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</si>
  <si>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</si>
  <si>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</si>
  <si>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</si>
  <si>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</si>
  <si>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</si>
  <si>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</si>
  <si>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</si>
  <si>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</si>
  <si>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</si>
  <si>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</si>
  <si>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</si>
  <si>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</si>
  <si>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</si>
  <si>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</si>
  <si>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</si>
  <si>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</si>
  <si>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</si>
  <si>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</si>
  <si>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</si>
  <si>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</si>
  <si>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</si>
  <si>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</si>
  <si>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</si>
  <si>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</si>
  <si>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</si>
  <si>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</si>
  <si>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</si>
  <si>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</si>
  <si>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</si>
  <si>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</si>
  <si>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</si>
  <si>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</si>
  <si>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</si>
  <si>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</si>
  <si>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</si>
  <si>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</si>
  <si>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</si>
  <si>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</si>
  <si>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</si>
  <si>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</si>
  <si>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</si>
  <si>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</si>
  <si>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</si>
  <si>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</si>
  <si>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</si>
  <si>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</si>
  <si>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</si>
  <si>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</si>
  <si>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</si>
  <si>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</si>
  <si>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</si>
  <si>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</si>
  <si>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</si>
  <si>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</si>
  <si>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</si>
  <si>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</si>
  <si>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</si>
  <si>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</si>
  <si>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</si>
  <si>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</si>
  <si>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</si>
  <si>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</si>
  <si>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</si>
  <si>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</si>
  <si>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</si>
  <si>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</si>
  <si>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</si>
  <si>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</si>
  <si>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</si>
  <si>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</si>
  <si>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Currently Managing or Formerly Managed?</t>
  </si>
  <si>
    <t>Length of Time (number of years):</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</si>
  <si>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</si>
  <si>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</si>
  <si>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</si>
  <si>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</si>
  <si>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</si>
  <si>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</si>
  <si>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Section 4.A.4
General Proposed Development Information</t>
  </si>
  <si>
    <t>b.</t>
  </si>
  <si>
    <t>Select the Development Category:</t>
  </si>
  <si>
    <t xml:space="preserve"> Rental Assistance (RA) Level</t>
  </si>
  <si>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</si>
  <si>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</si>
  <si>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</si>
  <si>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</si>
  <si>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</si>
  <si>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</si>
  <si>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</si>
  <si>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</si>
  <si>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</si>
  <si>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</si>
  <si>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</si>
  <si>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</si>
  <si>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</si>
  <si>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</si>
  <si>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</si>
  <si>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</si>
  <si>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</si>
  <si>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</si>
  <si>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</si>
  <si>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</si>
  <si>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</si>
  <si>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</si>
  <si>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</si>
  <si>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</si>
  <si>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</si>
  <si>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</si>
  <si>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Street Address or closest designated intersection:</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</si>
  <si>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</si>
  <si>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</si>
  <si>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</si>
  <si>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</si>
  <si>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</si>
  <si>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</si>
  <si>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</si>
  <si>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</si>
  <si>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</si>
  <si>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</si>
  <si>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</si>
  <si>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</si>
  <si>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</si>
  <si>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</si>
  <si>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</si>
  <si>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</si>
  <si>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</si>
  <si>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</si>
  <si>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</si>
  <si>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</si>
  <si>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</si>
  <si>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</si>
  <si>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</si>
  <si>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</si>
  <si>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</si>
  <si>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</si>
  <si>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</si>
  <si>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</si>
  <si>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</si>
  <si>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</si>
  <si>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</si>
  <si>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</si>
  <si>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</si>
  <si>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</si>
  <si>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</si>
  <si>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</si>
  <si>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</si>
  <si>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</si>
  <si>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</si>
  <si>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</si>
  <si>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</si>
  <si>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</si>
  <si>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</si>
  <si>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</si>
  <si>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</si>
  <si>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</si>
  <si>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</si>
  <si>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</si>
  <si>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</si>
  <si>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</si>
  <si>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</si>
  <si>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</si>
  <si>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</si>
  <si>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</si>
  <si>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</si>
  <si>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</si>
  <si>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</si>
  <si>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</si>
  <si>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</si>
  <si>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</si>
  <si>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</si>
  <si>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</si>
  <si>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</si>
  <si>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Unit Mix Chart</t>
  </si>
  <si>
    <t>Complete the chart below:</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</si>
  <si>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</si>
  <si>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</si>
  <si>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</si>
  <si>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</si>
  <si>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</si>
  <si>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</si>
  <si>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</si>
  <si>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</si>
  <si>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</si>
  <si>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</si>
  <si>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</si>
  <si>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</si>
  <si>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</si>
  <si>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</si>
  <si>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</si>
  <si>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</si>
  <si>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</si>
  <si>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</si>
  <si>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</si>
  <si>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</si>
  <si>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</si>
  <si>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</si>
  <si>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</si>
  <si>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</si>
  <si>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</si>
  <si>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</si>
  <si>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</si>
  <si>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</si>
  <si>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</si>
  <si>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</si>
  <si>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</si>
  <si>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</si>
  <si>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</si>
  <si>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</si>
  <si>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</si>
  <si>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</si>
  <si>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</si>
  <si>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</si>
  <si>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</si>
  <si>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</si>
  <si>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</si>
  <si>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</si>
  <si>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</si>
  <si>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</si>
  <si>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</si>
  <si>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</si>
  <si>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</si>
  <si>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</si>
  <si>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</si>
  <si>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</si>
  <si>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</si>
  <si>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</si>
  <si>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</si>
  <si>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</si>
  <si>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</si>
  <si>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</si>
  <si>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</si>
  <si>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</si>
  <si>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</si>
  <si>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</si>
  <si>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</si>
  <si>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</si>
  <si>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</si>
  <si>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</si>
  <si>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</si>
  <si>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</si>
  <si>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</si>
  <si>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</si>
  <si>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</si>
  <si>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</si>
  <si>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</si>
  <si>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</si>
  <si>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</si>
  <si>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</si>
  <si>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</si>
  <si>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</si>
  <si>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</si>
  <si>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</si>
  <si>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</si>
  <si>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</si>
  <si>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</si>
  <si>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</si>
  <si>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</si>
  <si>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</si>
  <si>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</si>
  <si>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</si>
  <si>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</si>
  <si>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</si>
  <si>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</si>
  <si>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</si>
  <si>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</si>
  <si>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</si>
  <si>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</si>
  <si>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</si>
  <si>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</si>
  <si>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</si>
  <si>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</si>
  <si>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</si>
  <si>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</si>
  <si>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</si>
  <si>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</si>
  <si>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</si>
  <si>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</si>
  <si>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</si>
  <si>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</si>
  <si>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</si>
  <si>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</si>
  <si>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</si>
  <si>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</si>
  <si>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</si>
  <si>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</si>
  <si>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</si>
  <si>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</si>
  <si>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</si>
  <si>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</si>
  <si>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</si>
  <si>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</si>
  <si>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</si>
  <si>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</si>
  <si>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</si>
  <si>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</si>
  <si>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</si>
  <si>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</si>
  <si>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</si>
  <si>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</si>
  <si>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</si>
  <si>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</si>
  <si>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</si>
  <si>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</si>
  <si>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</si>
  <si>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</si>
  <si>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</si>
  <si>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</si>
  <si>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</si>
  <si>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</si>
  <si>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</si>
  <si>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</si>
  <si>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</si>
  <si>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</si>
  <si>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</si>
  <si>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</si>
  <si>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</si>
  <si>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</si>
  <si>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</si>
  <si>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</si>
  <si>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</si>
  <si>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</si>
  <si>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</si>
  <si>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</si>
  <si>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</si>
  <si>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</si>
  <si>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</si>
  <si>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</si>
  <si>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</si>
  <si>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</si>
  <si>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</si>
  <si>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</si>
  <si>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</si>
  <si>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</si>
  <si>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</si>
  <si>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</si>
  <si>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</si>
  <si>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</si>
  <si>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</si>
  <si>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HOME-Rental</t>
  </si>
  <si>
    <t>MMRB</t>
  </si>
  <si>
    <t>Non-Corporation Funding</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</si>
  <si>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</si>
  <si>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</si>
  <si>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</si>
  <si>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</si>
  <si>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</si>
  <si>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</si>
  <si>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</si>
  <si>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</si>
  <si>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</si>
  <si>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</si>
  <si>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</si>
  <si>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</si>
  <si>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</si>
  <si>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</si>
  <si>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</si>
  <si>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</si>
  <si>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</si>
  <si>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</si>
  <si>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</si>
  <si>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</si>
  <si>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</si>
  <si>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</si>
  <si>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</si>
  <si>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</si>
  <si>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</si>
  <si>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</si>
  <si>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</si>
  <si>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</si>
  <si>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</si>
  <si>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</si>
  <si>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</si>
  <si>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</si>
  <si>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</si>
  <si>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</si>
  <si>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</si>
  <si>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</si>
  <si>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</si>
  <si>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</si>
  <si>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</si>
  <si>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</si>
  <si>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</si>
  <si>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</si>
  <si>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</si>
  <si>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</si>
  <si>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</si>
  <si>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</si>
  <si>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</si>
  <si>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</si>
  <si>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</si>
  <si>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</si>
  <si>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</si>
  <si>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</si>
  <si>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</si>
  <si>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</si>
  <si>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</si>
  <si>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</si>
  <si>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</si>
  <si>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</si>
  <si>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</si>
  <si>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</si>
  <si>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</si>
  <si>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</si>
  <si>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</si>
  <si>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</si>
  <si>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</si>
  <si>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</si>
  <si>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</si>
  <si>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</si>
  <si>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</si>
  <si>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</si>
  <si>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</si>
  <si>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</si>
  <si>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</si>
  <si>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</si>
  <si>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</si>
  <si>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</si>
  <si>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</si>
  <si>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</si>
  <si>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</si>
  <si>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</si>
  <si>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</si>
  <si>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</si>
  <si>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</si>
  <si>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</si>
  <si>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</si>
  <si>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</si>
  <si>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</si>
  <si>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</si>
  <si>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</si>
  <si>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</si>
  <si>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</si>
  <si>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</si>
  <si>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</si>
  <si>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</si>
  <si>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</si>
  <si>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</si>
  <si>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</si>
  <si>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</si>
  <si>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</si>
  <si>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</si>
  <si>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</si>
  <si>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</si>
  <si>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</si>
  <si>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</si>
  <si>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</si>
  <si>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</si>
  <si>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</si>
  <si>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</si>
  <si>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</si>
  <si>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</si>
  <si>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</si>
  <si>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</si>
  <si>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</si>
  <si>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</si>
  <si>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</si>
  <si>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</si>
  <si>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</si>
  <si>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</si>
  <si>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</si>
  <si>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</si>
  <si>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</si>
  <si>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</si>
  <si>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</si>
  <si>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</si>
  <si>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</si>
  <si>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</si>
  <si>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</si>
  <si>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</si>
  <si>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</si>
  <si>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</si>
  <si>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</si>
  <si>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</si>
  <si>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</si>
  <si>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</si>
  <si>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</si>
  <si>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</si>
  <si>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</si>
  <si>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</si>
  <si>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</si>
  <si>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</si>
  <si>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</si>
  <si>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</si>
  <si>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</si>
  <si>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</si>
  <si>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</si>
  <si>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</si>
  <si>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</si>
  <si>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</si>
  <si>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</si>
  <si>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</si>
  <si>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</si>
  <si>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</si>
  <si>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</si>
  <si>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</si>
  <si>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</si>
  <si>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</si>
  <si>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</si>
  <si>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</si>
  <si>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</si>
  <si>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</si>
  <si>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</si>
  <si>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</si>
  <si>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</si>
  <si>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</si>
  <si>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</si>
  <si>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</si>
  <si>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</si>
  <si>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</si>
  <si>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</si>
  <si>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</si>
  <si>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</si>
  <si>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</si>
  <si>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</si>
  <si>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</si>
  <si>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</si>
  <si>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</si>
  <si>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</si>
  <si>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</si>
  <si>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</si>
  <si>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</si>
  <si>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</si>
  <si>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</si>
  <si>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</si>
  <si>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</si>
  <si>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</si>
  <si>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</si>
  <si>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</si>
  <si>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</si>
  <si>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</si>
  <si>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</si>
  <si>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</si>
  <si>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</si>
  <si>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</si>
  <si>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</si>
  <si>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</si>
  <si>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</si>
  <si>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</si>
  <si>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</si>
  <si>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</si>
  <si>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</si>
  <si>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</si>
  <si>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</si>
  <si>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</si>
  <si>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</si>
  <si>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</si>
  <si>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</si>
  <si>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</si>
  <si>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</si>
  <si>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</si>
  <si>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</si>
  <si>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</si>
  <si>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</si>
  <si>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</si>
  <si>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</si>
  <si>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</si>
  <si>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</si>
  <si>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</si>
  <si>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</si>
  <si>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</si>
  <si>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</si>
  <si>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</si>
  <si>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</si>
  <si>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</si>
  <si>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</si>
  <si>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</si>
  <si>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</si>
  <si>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</si>
  <si>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</si>
  <si>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</si>
  <si>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</si>
  <si>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</si>
  <si>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</si>
  <si>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</si>
  <si>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</si>
  <si>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</si>
  <si>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Total DEPRECIABLE Cost….........................................…..............................................................</t>
  </si>
  <si>
    <t>Plus Land Cost…....................................................................................................................</t>
  </si>
  <si>
    <t>Aggregate Basis…............…..............................................................................................................</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</si>
  <si>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</si>
  <si>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</si>
  <si>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</si>
  <si>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</si>
  <si>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</si>
  <si>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</si>
  <si>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</si>
  <si>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</si>
  <si>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</si>
  <si>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</si>
  <si>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</si>
  <si>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</si>
  <si>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</si>
  <si>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</si>
  <si>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</si>
  <si>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</si>
  <si>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</si>
  <si>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</si>
  <si>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</si>
  <si>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</si>
  <si>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</si>
  <si>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</si>
  <si>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</si>
  <si>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</si>
  <si>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</si>
  <si>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</si>
  <si>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</si>
  <si>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Local Government Areas of Opportunity Designation</t>
  </si>
  <si>
    <t>Name of Local Government</t>
  </si>
  <si>
    <t>Preferences within the Goal</t>
  </si>
  <si>
    <t>If the proposed Development is eligible for the Local Government Areas of Opportunity Designation Goal, select the preferences below that the Application also qualifies for.  The criteria are outlined in Section Four, A.11.b. of the RFA.</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</si>
  <si>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</si>
  <si>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</si>
  <si>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</si>
  <si>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</si>
  <si>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</si>
  <si>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</si>
  <si>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</si>
  <si>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</si>
  <si>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</si>
  <si>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</si>
  <si>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</si>
  <si>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</si>
  <si>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</si>
  <si>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</si>
  <si>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</si>
  <si>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</si>
  <si>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</si>
  <si>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</si>
  <si>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will be included in (i) a Land Use Restriction Agreement for the SAIL loan, and (ii) an Extended Use Agreement for the Housing Credits, and must be maintained in order for the Development to remain in compliance, unless the Board approves a change.</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</si>
  <si>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</si>
  <si>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</si>
  <si>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</si>
  <si>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</si>
  <si>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</si>
  <si>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</si>
  <si>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</si>
  <si>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invitation to enter credit underwriting will be rescinded if it is determined that the proposed Development was placed in-service prior to the year in which it received its allocation.</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</si>
  <si>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</si>
  <si>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</si>
  <si>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</si>
  <si>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</si>
  <si>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</si>
  <si>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</si>
  <si>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</si>
  <si>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</si>
  <si>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</si>
  <si>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</si>
  <si>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</si>
  <si>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</si>
  <si>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</si>
  <si>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</si>
  <si>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</si>
  <si>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</si>
  <si>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</si>
  <si>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</si>
  <si>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</si>
  <si>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</si>
  <si>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</si>
  <si>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</si>
  <si>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</si>
  <si>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</si>
  <si>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</si>
  <si>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</si>
  <si>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</si>
  <si>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</si>
  <si>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</si>
  <si>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</si>
  <si>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</si>
  <si>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</si>
  <si>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</si>
  <si>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</si>
  <si>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</si>
  <si>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</si>
  <si>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</si>
  <si>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</si>
  <si>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</si>
  <si>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</si>
  <si>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</si>
  <si>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</si>
  <si>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</si>
  <si>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</si>
  <si>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</si>
  <si>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</si>
  <si>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</si>
  <si>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</si>
  <si>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</si>
  <si>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</si>
  <si>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</si>
  <si>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</si>
  <si>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</si>
  <si>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</si>
  <si>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</si>
  <si>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</si>
  <si>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t>PBRA Units</t>
  </si>
  <si>
    <t>ACC Units</t>
  </si>
  <si>
    <t>4.A.4.b.(2)</t>
  </si>
  <si>
    <t>All Inclusive List - Redevelopment Rule Definition Programs</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</si>
  <si>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</si>
  <si>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</si>
  <si>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</si>
  <si>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</si>
  <si>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</si>
  <si>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</si>
  <si>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</si>
  <si>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</si>
  <si>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</si>
  <si>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</si>
  <si>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</si>
  <si>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</si>
  <si>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</si>
  <si>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</si>
  <si>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</si>
  <si>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</si>
  <si>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</si>
  <si>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</si>
  <si>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</si>
  <si>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</si>
  <si>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</si>
  <si>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</si>
  <si>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</si>
  <si>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</si>
  <si>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</si>
  <si>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</si>
  <si>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</si>
  <si>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</si>
  <si>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</si>
  <si>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</si>
  <si>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</si>
  <si>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</si>
  <si>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</si>
  <si>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</si>
  <si>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</si>
  <si>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</si>
  <si>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</si>
  <si>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</si>
  <si>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</si>
  <si>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</si>
  <si>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</si>
  <si>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</si>
  <si>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</si>
  <si>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</si>
  <si>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</si>
  <si>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</si>
  <si>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</si>
  <si>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</si>
  <si>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Local Government Contribution Minimum Amount</t>
  </si>
  <si>
    <t>Local Government Area of Opportunity Minimum Amount</t>
  </si>
  <si>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</si>
  <si>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</si>
  <si>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</si>
  <si>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</si>
  <si>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</si>
  <si>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</si>
  <si>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</si>
  <si>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</si>
  <si>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</si>
  <si>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</si>
  <si>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</si>
  <si>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</si>
  <si>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</si>
  <si>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</si>
  <si>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</si>
  <si>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</si>
  <si>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</si>
  <si>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</si>
  <si>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</si>
  <si>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</si>
  <si>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</si>
  <si>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</si>
  <si>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</si>
  <si>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</si>
  <si>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</si>
  <si>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</si>
  <si>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</si>
  <si>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</si>
  <si>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</si>
  <si>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</si>
  <si>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</si>
  <si>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</si>
  <si>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</si>
  <si>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</si>
  <si>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</si>
  <si>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</si>
  <si>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</si>
  <si>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</si>
  <si>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</si>
  <si>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</si>
  <si>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</si>
  <si>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</si>
  <si>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</si>
  <si>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</si>
  <si>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</si>
  <si>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</si>
  <si>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</si>
  <si>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</si>
  <si>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</si>
  <si>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</si>
  <si>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</si>
  <si>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</si>
  <si>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</si>
  <si>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</si>
  <si>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</si>
  <si>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</si>
  <si>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</si>
  <si>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</si>
  <si>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</si>
  <si>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</si>
  <si>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</si>
  <si>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</si>
  <si>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</si>
  <si>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</si>
  <si>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</si>
  <si>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</si>
  <si>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</si>
  <si>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Initial Date met w/ other ALL</t>
  </si>
  <si>
    <t>Program/Date met w/ other ALL</t>
  </si>
  <si>
    <t>Min Units met w/ other ALL</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</si>
  <si>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</si>
  <si>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</si>
  <si>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</si>
  <si>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</si>
  <si>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</si>
  <si>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</si>
  <si>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</si>
  <si>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</si>
  <si>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</si>
  <si>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</si>
  <si>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</si>
  <si>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</si>
  <si>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</si>
  <si>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</si>
  <si>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</si>
  <si>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</si>
  <si>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</si>
  <si>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</si>
  <si>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</si>
  <si>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</si>
  <si>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</si>
  <si>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</si>
  <si>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</si>
  <si>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</si>
  <si>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</si>
  <si>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</si>
  <si>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</si>
  <si>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</si>
  <si>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</si>
  <si>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</si>
  <si>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</si>
  <si>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</si>
  <si>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</si>
  <si>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Did the Applicant Commit to at least 30% ELI in the Housing Credit Set-Aside Chart?</t>
  </si>
  <si>
    <t>Conversion of km to mi:</t>
  </si>
  <si>
    <t>Rounding Factor:</t>
  </si>
  <si>
    <t>Cash Contributions:</t>
  </si>
  <si>
    <t>(Per County minimums found in DS_CountyData, column 3)</t>
  </si>
  <si>
    <t>Should Miami-Dade incorporate a mandated LGC? (usually RFA 205)</t>
  </si>
  <si>
    <t>Are Fee Deferrals to be excluded from Miami-Dade LGC? (usually RFA 205)</t>
  </si>
  <si>
    <t>Hides</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</si>
  <si>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</si>
  <si>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</si>
  <si>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</si>
  <si>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</si>
  <si>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</si>
  <si>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</si>
  <si>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</si>
  <si>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</si>
  <si>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</si>
  <si>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</si>
  <si>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</si>
  <si>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</si>
  <si>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</si>
  <si>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</si>
  <si>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</si>
  <si>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</si>
  <si>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</si>
  <si>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</si>
  <si>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</si>
  <si>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</si>
  <si>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</si>
  <si>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</si>
  <si>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</si>
  <si>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</si>
  <si>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</si>
  <si>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</si>
  <si>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</si>
  <si>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</si>
  <si>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</si>
  <si>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</si>
  <si>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</si>
  <si>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</si>
  <si>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</si>
  <si>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</si>
  <si>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</si>
  <si>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</si>
  <si>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</si>
  <si>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</si>
  <si>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</si>
  <si>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</si>
  <si>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</si>
  <si>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</si>
  <si>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</si>
  <si>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</si>
  <si>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</si>
  <si>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</si>
  <si>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</si>
  <si>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</si>
  <si>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</si>
  <si>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</si>
  <si>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</si>
  <si>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</si>
  <si>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</si>
  <si>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</si>
  <si>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</si>
  <si>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</si>
  <si>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</si>
  <si>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</si>
  <si>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</si>
  <si>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</si>
  <si>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</si>
  <si>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</si>
  <si>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</si>
  <si>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</si>
  <si>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</si>
  <si>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</si>
  <si>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</si>
  <si>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</si>
  <si>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</si>
  <si>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</si>
  <si>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</si>
  <si>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</si>
  <si>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</si>
  <si>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Exclude TDC?</t>
  </si>
  <si>
    <t>County Classification Active?:</t>
  </si>
  <si>
    <t>Tier</t>
  </si>
  <si>
    <t>Maximum Hard Cost PU Limitation</t>
  </si>
  <si>
    <t>Maximum % Developer Fee on Operating Deficit Reserves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</si>
  <si>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</si>
  <si>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</si>
  <si>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</si>
  <si>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</si>
  <si>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</si>
  <si>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</si>
  <si>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</si>
  <si>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</si>
  <si>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</si>
  <si>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</si>
  <si>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</si>
  <si>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</si>
  <si>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</si>
  <si>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</si>
  <si>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</si>
  <si>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</si>
  <si>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</si>
  <si>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</si>
  <si>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</si>
  <si>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</si>
  <si>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</si>
  <si>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</si>
  <si>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</si>
  <si>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</si>
  <si>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</si>
  <si>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</si>
  <si>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</si>
  <si>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</si>
  <si>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</si>
  <si>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</si>
  <si>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</si>
  <si>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</si>
  <si>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</si>
  <si>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</si>
  <si>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</si>
  <si>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</si>
  <si>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</si>
  <si>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</si>
  <si>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</si>
  <si>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</si>
  <si>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</si>
  <si>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</si>
  <si>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</si>
  <si>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</si>
  <si>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</si>
  <si>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</si>
  <si>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</si>
  <si>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</si>
  <si>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</si>
  <si>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</si>
  <si>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</si>
  <si>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</si>
  <si>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</si>
  <si>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</si>
  <si>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</si>
  <si>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</si>
  <si>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</si>
  <si>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</si>
  <si>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</si>
  <si>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</si>
  <si>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</si>
  <si>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</si>
  <si>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</si>
  <si>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</si>
  <si>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</si>
  <si>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</si>
  <si>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</si>
  <si>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</si>
  <si>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</si>
  <si>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</si>
  <si>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</si>
  <si>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</si>
  <si>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</si>
  <si>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</si>
  <si>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</si>
  <si>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</si>
  <si>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</si>
  <si>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</si>
  <si>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</si>
  <si>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</si>
  <si>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</si>
  <si>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</si>
  <si>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</si>
  <si>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</si>
  <si>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</si>
  <si>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</si>
  <si>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</si>
  <si>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</si>
  <si>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</si>
  <si>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</si>
  <si>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</si>
  <si>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</si>
  <si>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</si>
  <si>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</si>
  <si>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</si>
  <si>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</si>
  <si>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</si>
  <si>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</si>
  <si>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</si>
  <si>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</si>
  <si>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</si>
  <si>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</si>
  <si>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</si>
  <si>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</si>
  <si>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</si>
  <si>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</si>
  <si>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</si>
  <si>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</si>
  <si>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</si>
  <si>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</si>
  <si>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</si>
  <si>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</si>
  <si>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</si>
  <si>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</si>
  <si>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</si>
  <si>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</si>
  <si>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</si>
  <si>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</si>
  <si>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</si>
  <si>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</si>
  <si>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Programmable thermostat in each unit</t>
  </si>
  <si>
    <t xml:space="preserve">for the Development Category of New Construction; or (b) 15% of hard costs and 5% of soft costs for Development Categories of </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</si>
  <si>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Chapters 67-21 and 67-48, F.A.C.  The Applicant and all Financial Beneficiaries have read, understand and will comply with Section 42 of the Internal Revenue Code, as amended, and all related federal regulations.</t>
  </si>
  <si>
    <t>The Applicant has reviewed section 67-48.004, F.A.C., and subsections 67-48.009(5), F.A.C. and 67-21.027, F.A.C., and certifies to its eligibility to apply for the funding offered in this RFA.</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</si>
  <si>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</si>
  <si>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</si>
  <si>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</si>
  <si>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</si>
  <si>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</si>
  <si>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 xml:space="preserve">Sarasota </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</si>
  <si>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</si>
  <si>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</si>
  <si>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</si>
  <si>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</si>
  <si>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</si>
  <si>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</si>
  <si>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</si>
  <si>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</si>
  <si>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</si>
  <si>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</si>
  <si>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</si>
  <si>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</si>
  <si>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</si>
  <si>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</si>
  <si>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</si>
  <si>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</si>
  <si>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</si>
  <si>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</si>
  <si>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</si>
  <si>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</si>
  <si>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</si>
  <si>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</si>
  <si>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</si>
  <si>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</si>
  <si>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Excel_RFA_Number</t>
  </si>
  <si>
    <t>Limited Development Areas (LDA)</t>
  </si>
  <si>
    <t>Does the Application qualify for the Development Subcategory of Redevelopment, with or without Acquisition?</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</si>
  <si>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</si>
  <si>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</si>
  <si>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</si>
  <si>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</si>
  <si>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</si>
  <si>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</si>
  <si>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</si>
  <si>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</si>
  <si>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</si>
  <si>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</si>
  <si>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</si>
  <si>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</si>
  <si>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</si>
  <si>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</si>
  <si>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</si>
  <si>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</si>
  <si>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</si>
  <si>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</si>
  <si>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</si>
  <si>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</si>
  <si>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</si>
  <si>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</si>
  <si>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</si>
  <si>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</si>
  <si>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</si>
  <si>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</si>
  <si>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</si>
  <si>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</si>
  <si>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</si>
  <si>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</si>
  <si>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</si>
  <si>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</si>
  <si>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</si>
  <si>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</si>
  <si>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</si>
  <si>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</si>
  <si>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</si>
  <si>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</si>
  <si>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</si>
  <si>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</si>
  <si>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</si>
  <si>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</si>
  <si>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</si>
  <si>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</si>
  <si>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</si>
  <si>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</si>
  <si>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</si>
  <si>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</si>
  <si>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</si>
  <si>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</si>
  <si>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</si>
  <si>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</si>
  <si>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</si>
  <si>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</si>
  <si>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</si>
  <si>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</si>
  <si>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</si>
  <si>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</si>
  <si>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</si>
  <si>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</si>
  <si>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</si>
  <si>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</si>
  <si>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</si>
  <si>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</si>
  <si>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</si>
  <si>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</si>
  <si>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</si>
  <si>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</si>
  <si>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</si>
  <si>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</si>
  <si>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</si>
  <si>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</si>
  <si>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</si>
  <si>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</si>
  <si>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</si>
  <si>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</si>
  <si>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</si>
  <si>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</si>
  <si>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</si>
  <si>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</si>
  <si>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</si>
  <si>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</si>
  <si>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</si>
  <si>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</si>
  <si>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</si>
  <si>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</si>
  <si>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</si>
  <si>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</si>
  <si>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</si>
  <si>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</si>
  <si>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</si>
  <si>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</si>
  <si>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</si>
  <si>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</si>
  <si>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</si>
  <si>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</si>
  <si>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</si>
  <si>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</si>
  <si>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</si>
  <si>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</si>
  <si>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</si>
  <si>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</si>
  <si>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</si>
  <si>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</si>
  <si>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</si>
  <si>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</si>
  <si>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</si>
  <si>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</si>
  <si>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</si>
  <si>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</si>
  <si>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</si>
  <si>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</si>
  <si>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</si>
  <si>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</si>
  <si>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</si>
  <si>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</si>
  <si>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</si>
  <si>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</si>
  <si>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</si>
  <si>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LDA List</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</si>
  <si>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</si>
  <si>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</si>
  <si>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</si>
  <si>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</si>
  <si>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</si>
  <si>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</si>
  <si>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</si>
  <si>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</si>
  <si>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</si>
  <si>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</si>
  <si>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</si>
  <si>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Bottom of Meto QCTs</t>
  </si>
  <si>
    <t>End of Non-Metro QCTs</t>
  </si>
  <si>
    <t>End of ZCTAs</t>
  </si>
  <si>
    <t>End of GAOs</t>
  </si>
  <si>
    <t>(Manual works best for workforce set-asides, select "No" in cell above)</t>
  </si>
  <si>
    <t>Per Unit for Live Local HC 0-60% AMI</t>
  </si>
  <si>
    <t>Per Unit for Live Local HC 61%-80% AMI</t>
  </si>
  <si>
    <t>Per NC Unit - HC Unit =&lt; 60% AMI</t>
  </si>
  <si>
    <t>Per NC Unit - HC Unit &gt; 60% AMI &amp; =&lt; 80% AMI</t>
  </si>
  <si>
    <t>Per NC Unit - Non-HC Unit &gt; 60% AMI &amp; =&lt; 80% AMI</t>
  </si>
  <si>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</si>
  <si>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</si>
  <si>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</si>
  <si>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</si>
  <si>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</si>
  <si>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</si>
  <si>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</si>
  <si>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</si>
  <si>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</si>
  <si>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</si>
  <si>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</si>
  <si>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</si>
  <si>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</si>
  <si>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</si>
  <si>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</si>
  <si>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</si>
  <si>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</si>
  <si>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</si>
  <si>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</si>
  <si>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</si>
  <si>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</si>
  <si>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</si>
  <si>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</si>
  <si>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</si>
  <si>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</si>
  <si>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</si>
  <si>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</si>
  <si>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</si>
  <si>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</si>
  <si>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End of Non-Metro DDAs</t>
  </si>
  <si>
    <t>Effective for 2024 Database</t>
  </si>
  <si>
    <t>Meets criteria in Column B?</t>
  </si>
  <si>
    <t>Actual %</t>
  </si>
  <si>
    <t>Cushion:</t>
  </si>
  <si>
    <t>Highest HC</t>
  </si>
  <si>
    <t>Decreased</t>
  </si>
  <si>
    <t>Market</t>
  </si>
  <si>
    <t>Adjusted Percentage of Units</t>
  </si>
  <si>
    <t>205, 213</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</si>
  <si>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</si>
  <si>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</si>
  <si>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</si>
  <si>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</si>
  <si>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</si>
  <si>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</si>
  <si>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</si>
  <si>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</si>
  <si>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</si>
  <si>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</si>
  <si>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</si>
  <si>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</si>
  <si>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</si>
  <si>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</si>
  <si>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</si>
  <si>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</si>
  <si>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</si>
  <si>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</si>
  <si>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</si>
  <si>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</si>
  <si>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</si>
  <si>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</si>
  <si>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</si>
  <si>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</si>
  <si>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</si>
  <si>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</si>
  <si>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</si>
  <si>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</si>
  <si>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</si>
  <si>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</si>
  <si>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</si>
  <si>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</si>
  <si>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</si>
  <si>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</si>
  <si>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</si>
  <si>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</si>
  <si>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</si>
  <si>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</si>
  <si>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</si>
  <si>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</si>
  <si>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</si>
  <si>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</si>
  <si>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</si>
  <si>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</si>
  <si>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</si>
  <si>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DS_DevExpDescription_DDMenu</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</si>
  <si>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</si>
  <si>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</si>
  <si>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</si>
  <si>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</si>
  <si>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</si>
  <si>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</si>
  <si>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</si>
  <si>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</si>
  <si>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</si>
  <si>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</si>
  <si>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</si>
  <si>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</si>
  <si>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</si>
  <si>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</si>
  <si>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</si>
  <si>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</si>
  <si>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</si>
  <si>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</si>
  <si>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</si>
  <si>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</si>
  <si>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</si>
  <si>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</si>
  <si>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</si>
  <si>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</si>
  <si>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</si>
  <si>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</si>
  <si>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</si>
  <si>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</si>
  <si>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</si>
  <si>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</si>
  <si>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</si>
  <si>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</si>
  <si>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</si>
  <si>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</si>
  <si>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</si>
  <si>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</si>
  <si>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</si>
  <si>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</si>
  <si>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Is the ELI funding part of the LTC Limit?</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</si>
  <si>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</si>
  <si>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</si>
  <si>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</si>
  <si>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</si>
  <si>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</si>
  <si>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</si>
  <si>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</si>
  <si>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</si>
  <si>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</si>
  <si>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</si>
  <si>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</si>
  <si>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</si>
  <si>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</si>
  <si>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</si>
  <si>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</si>
  <si>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</si>
  <si>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</si>
  <si>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</si>
  <si>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</si>
  <si>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</si>
  <si>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</si>
  <si>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</si>
  <si>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</si>
  <si>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</si>
  <si>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</si>
  <si>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</si>
  <si>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</si>
  <si>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</si>
  <si>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</si>
  <si>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</si>
  <si>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</si>
  <si>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</si>
  <si>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</si>
  <si>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</si>
  <si>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</si>
  <si>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</si>
  <si>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</si>
  <si>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</si>
  <si>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</si>
  <si>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</si>
  <si>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</si>
  <si>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</si>
  <si>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</si>
  <si>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</si>
  <si>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</si>
  <si>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</si>
  <si>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</si>
  <si>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</si>
  <si>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</si>
  <si>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</si>
  <si>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</si>
  <si>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</si>
  <si>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</si>
  <si>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</si>
  <si>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</si>
  <si>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</si>
  <si>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</si>
  <si>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</si>
  <si>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</si>
  <si>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</si>
  <si>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</si>
  <si>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</si>
  <si>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</si>
  <si>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</si>
  <si>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</si>
  <si>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</si>
  <si>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</si>
  <si>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</si>
  <si>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</si>
  <si>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</si>
  <si>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</si>
  <si>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</si>
  <si>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</si>
  <si>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</si>
  <si>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</si>
  <si>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</si>
  <si>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</si>
  <si>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</si>
  <si>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</si>
  <si>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</si>
  <si>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</si>
  <si>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</si>
  <si>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</si>
  <si>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</si>
  <si>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</si>
  <si>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</si>
  <si>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</si>
  <si>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</si>
  <si>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</si>
  <si>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</si>
  <si>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</si>
  <si>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</si>
  <si>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</si>
  <si>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</si>
  <si>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</si>
  <si>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</si>
  <si>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</si>
  <si>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</si>
  <si>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</si>
  <si>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</si>
  <si>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</si>
  <si>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</si>
  <si>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</si>
  <si>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</si>
  <si>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</si>
  <si>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</si>
  <si>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</si>
  <si>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</si>
  <si>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</si>
  <si>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</si>
  <si>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</si>
  <si>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</si>
  <si>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</si>
  <si>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</si>
  <si>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</si>
  <si>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</si>
  <si>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</si>
  <si>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</si>
  <si>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</si>
  <si>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</si>
  <si>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</si>
  <si>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</si>
  <si>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</si>
  <si>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</si>
  <si>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</si>
  <si>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</si>
  <si>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</si>
  <si>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</si>
  <si>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Williston Pointe</t>
  </si>
  <si>
    <t>2024-124C</t>
  </si>
  <si>
    <t>Tranquility at Saint Andrews</t>
  </si>
  <si>
    <t>2024-113C</t>
  </si>
  <si>
    <t>Blue Deep Creek</t>
  </si>
  <si>
    <t>2024-073C</t>
  </si>
  <si>
    <t>Cardinal Oaks</t>
  </si>
  <si>
    <t>2024-055BSN</t>
  </si>
  <si>
    <t>Casa San Juan Diego</t>
  </si>
  <si>
    <t>Ekos on Collier</t>
  </si>
  <si>
    <t>Sweetwater Apartments Phase II</t>
  </si>
  <si>
    <t>2024-264BS</t>
  </si>
  <si>
    <t>Urick Street Apartments</t>
  </si>
  <si>
    <t>2024-028S</t>
  </si>
  <si>
    <t>Lake Bradford Apartments</t>
  </si>
  <si>
    <t>2024-253BS</t>
  </si>
  <si>
    <t>Ninth Street Apartments</t>
  </si>
  <si>
    <t>2024-093C</t>
  </si>
  <si>
    <t>Woodlock Manor</t>
  </si>
  <si>
    <t>2024-106C</t>
  </si>
  <si>
    <t>Ekos at Arbor Park Phase II</t>
  </si>
  <si>
    <t>2024-019S</t>
  </si>
  <si>
    <t>Riverbend Landings</t>
  </si>
  <si>
    <t>2024-237S</t>
  </si>
  <si>
    <t>Riverbend Landings - Phase II</t>
  </si>
  <si>
    <t>2024-134C</t>
  </si>
  <si>
    <t>Lake Sumter Reserve - Phase II</t>
  </si>
  <si>
    <t>2024-020BSN</t>
  </si>
  <si>
    <t>Arbours at Emerald Springs</t>
  </si>
  <si>
    <t>Designation of Linked Subject Application</t>
  </si>
  <si>
    <t>Davis-Bacon Multiplier</t>
  </si>
  <si>
    <t>Ekos at Bayonet Pointe fka Bayonet Gardens</t>
  </si>
  <si>
    <t>HC 2024-2025</t>
  </si>
  <si>
    <t>Local Government Area of Opportunity Contributors</t>
  </si>
  <si>
    <t>Type of LGAO Contribution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</si>
  <si>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</si>
  <si>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</si>
  <si>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</si>
  <si>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</si>
  <si>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</si>
  <si>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</si>
  <si>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</si>
  <si>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</si>
  <si>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</si>
  <si>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</si>
  <si>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</si>
  <si>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</si>
  <si>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</si>
  <si>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</si>
  <si>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</si>
  <si>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</si>
  <si>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</si>
  <si>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</si>
  <si>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</si>
  <si>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</si>
  <si>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</si>
  <si>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</si>
  <si>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</si>
  <si>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</si>
  <si>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</si>
  <si>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</si>
  <si>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</si>
  <si>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</si>
  <si>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</si>
  <si>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</si>
  <si>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</si>
  <si>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</si>
  <si>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</si>
  <si>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</si>
  <si>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</si>
  <si>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</si>
  <si>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</si>
  <si>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</si>
  <si>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</si>
  <si>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</si>
  <si>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</si>
  <si>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</si>
  <si>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</si>
  <si>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</si>
  <si>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</si>
  <si>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</si>
  <si>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</si>
  <si>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</si>
  <si>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</si>
  <si>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</si>
  <si>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</si>
  <si>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</si>
  <si>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</si>
  <si>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</si>
  <si>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</si>
  <si>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</si>
  <si>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</si>
  <si>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</si>
  <si>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</si>
  <si>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</si>
  <si>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</si>
  <si>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</si>
  <si>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</si>
  <si>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</si>
  <si>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</si>
  <si>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</si>
  <si>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</si>
  <si>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</si>
  <si>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</si>
  <si>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</si>
  <si>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</si>
  <si>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</si>
  <si>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</si>
  <si>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</si>
  <si>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</si>
  <si>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</si>
  <si>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</si>
  <si>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</si>
  <si>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</si>
  <si>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</si>
  <si>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</si>
  <si>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</si>
  <si>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</si>
  <si>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</si>
  <si>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</si>
  <si>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</si>
  <si>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</si>
  <si>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</si>
  <si>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</si>
  <si>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</si>
  <si>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</si>
  <si>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</si>
  <si>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</si>
  <si>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</si>
  <si>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</si>
  <si>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</si>
  <si>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</si>
  <si>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</si>
  <si>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</si>
  <si>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</si>
  <si>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</si>
  <si>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</si>
  <si>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</si>
  <si>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</si>
  <si>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</si>
  <si>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</si>
  <si>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</si>
  <si>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</si>
  <si>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</si>
  <si>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Actual % ELI Units in Charts</t>
  </si>
  <si>
    <t>Actual # ELI Units in Charts</t>
  </si>
  <si>
    <t>Actual % ELI in Applicable Table</t>
  </si>
  <si>
    <t>Min. # of Req. ELI Units</t>
  </si>
  <si>
    <t>% ELI Non-AIT</t>
  </si>
  <si>
    <t># ELI Non-AIT</t>
  </si>
  <si>
    <t>% ELI AIT</t>
  </si>
  <si>
    <t># ELI AIT</t>
  </si>
  <si>
    <t>Farmworker/Commercial Fishing Worker Set-Aside Selection RFA 104</t>
  </si>
  <si>
    <t>(not referenced)</t>
  </si>
  <si>
    <t>Meets Min?</t>
  </si>
  <si>
    <t>RFA Example Variables</t>
  </si>
  <si>
    <t xml:space="preserve">   Minimum ELI Set-Asides</t>
  </si>
  <si>
    <t>Re-distribution process:</t>
  </si>
  <si>
    <t>(Highest HC Preferred)</t>
  </si>
  <si>
    <t>Non-AIT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</si>
  <si>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</si>
  <si>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</si>
  <si>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</si>
  <si>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</si>
  <si>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</si>
  <si>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</si>
  <si>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</si>
  <si>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</si>
  <si>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</si>
  <si>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</si>
  <si>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</si>
  <si>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</si>
  <si>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</si>
  <si>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</si>
  <si>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</si>
  <si>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</si>
  <si>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</si>
  <si>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</si>
  <si>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</si>
  <si>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</si>
  <si>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</si>
  <si>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Effective for 2025 Database</t>
  </si>
  <si>
    <t>Must           SS        Applicant commit to Max Purchased ELI Units?</t>
  </si>
  <si>
    <r>
      <t xml:space="preserve">Tables (a) &amp; (b) for </t>
    </r>
    <r>
      <rPr>
        <b/>
        <i/>
        <u/>
        <sz val="11"/>
        <color rgb="FFFF0000"/>
        <rFont val="Calibri"/>
        <family val="2"/>
        <scheme val="minor"/>
      </rPr>
      <t>Housing Credits</t>
    </r>
  </si>
  <si>
    <t>2023-2024</t>
  </si>
  <si>
    <t>2020-2021</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</si>
  <si>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</si>
  <si>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Applicants will receive 5 points if the uploaded Principal Disclosure Form is stamped “Received” by the Corporation at least 14 Calendar Days prior to the Application Deadline AND stamped “Approved” prior to the Application Deadline.</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</si>
  <si>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</si>
  <si>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</si>
  <si>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</si>
  <si>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</si>
  <si>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</si>
  <si>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</si>
  <si>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</si>
  <si>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</si>
  <si>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</si>
  <si>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</si>
  <si>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</si>
  <si>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</si>
  <si>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</si>
  <si>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</si>
  <si>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</si>
  <si>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</si>
  <si>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</si>
  <si>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</si>
  <si>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</si>
  <si>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</si>
  <si>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</si>
  <si>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</si>
  <si>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</si>
  <si>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</si>
  <si>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</si>
  <si>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</si>
  <si>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</si>
  <si>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</si>
  <si>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</si>
  <si>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</si>
  <si>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</si>
  <si>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</si>
  <si>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</si>
  <si>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</si>
  <si>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</si>
  <si>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</si>
  <si>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</si>
  <si>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</si>
  <si>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Name of additional natural person Principal(s) with the required experience, if necessary:</t>
  </si>
  <si>
    <t>Name of Developer entity (for the proposed Development(s)) for which the above additional individual is a Principal:</t>
  </si>
  <si>
    <t xml:space="preserve">Select all that apply:   </t>
  </si>
  <si>
    <t>Number of Units</t>
  </si>
  <si>
    <t xml:space="preserve">Mixed-Income Development  </t>
  </si>
  <si>
    <t xml:space="preserve">Mixed-Use Development </t>
  </si>
  <si>
    <t>Comparable Complexity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</si>
  <si>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</si>
  <si>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</si>
  <si>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</si>
  <si>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</si>
  <si>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</si>
  <si>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SAIL Type:</t>
  </si>
  <si>
    <t>#8EA9DB=Color Code for conditional formatting darker blue background when section is turned off</t>
  </si>
  <si>
    <t>All New Construction Units</t>
  </si>
  <si>
    <t>All A/R Units</t>
  </si>
  <si>
    <t>All Rehab Units</t>
  </si>
  <si>
    <t>Always 0</t>
  </si>
  <si>
    <t>Does the Application qualify for the Construction Features Deduction described in the RFA?</t>
  </si>
  <si>
    <t>Miami-dade</t>
  </si>
  <si>
    <t>Desota</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</si>
  <si>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</si>
  <si>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</si>
  <si>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</si>
  <si>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</si>
  <si>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</si>
  <si>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</si>
  <si>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</si>
  <si>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</si>
  <si>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t xml:space="preserve">If the Applicant intends to utilize County HFA-issued Tax-Exempt Bonds for the proposed Development, provide the required documentation as </t>
    </r>
    <r>
      <rPr>
        <b/>
        <sz val="11"/>
        <color theme="1"/>
        <rFont val="Calibri"/>
        <family val="2"/>
        <scheme val="minor"/>
      </rPr>
      <t>Attachment 9.</t>
    </r>
  </si>
  <si>
    <r>
      <rPr>
        <b/>
        <sz val="11"/>
        <rFont val="Calibri"/>
        <family val="2"/>
        <scheme val="minor"/>
      </rPr>
      <t>2025</t>
    </r>
    <r>
      <rPr>
        <b/>
        <u/>
        <sz val="11"/>
        <rFont val="Calibri"/>
        <family val="2"/>
        <scheme val="minor"/>
      </rPr>
      <t xml:space="preserve">
ELI %</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</si>
  <si>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</si>
  <si>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</si>
  <si>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</si>
  <si>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All Inclusive List - Tier (Tier)</t>
  </si>
  <si>
    <t>Closing Deadlines and Future Funding Opportunity Implications</t>
  </si>
  <si>
    <t>The closing deadlines and future funding opportunity implications are outlined in the RFA.</t>
  </si>
  <si>
    <t>Is this property a Mixed-Use Development?</t>
  </si>
  <si>
    <t>Private Entity Financing</t>
  </si>
  <si>
    <t>Tier Level</t>
  </si>
  <si>
    <t>NOT PROGRAMMED</t>
  </si>
  <si>
    <t>Market Study</t>
  </si>
  <si>
    <t>Does the Applicant indicate it qualifies to be a Priority 1 Application and is the Development located within the Florida Keys Area (i.e., qualifies for the Florida Keys Area Goal)?</t>
  </si>
  <si>
    <t>RFAs that may need a formula: 213</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</si>
  <si>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</si>
  <si>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t>HC 2025-2026</t>
  </si>
  <si>
    <t>Elderly</t>
  </si>
  <si>
    <t>Farm/Fish</t>
  </si>
  <si>
    <t>Demographic LDA (1=Yes,0=No)</t>
  </si>
  <si>
    <t>Does it need to have a specific Funding Program tracked?</t>
  </si>
  <si>
    <t>Affordable Rental Housing Development</t>
  </si>
  <si>
    <t>Minimum 20@50 &amp; 40@60 HC ELI Commitment (not purchased)</t>
  </si>
  <si>
    <t>Minimum ELI Commitment (not purchased)</t>
  </si>
  <si>
    <r>
      <t xml:space="preserve">Minimum </t>
    </r>
    <r>
      <rPr>
        <u/>
        <sz val="11"/>
        <color rgb="FF7030A0"/>
        <rFont val="Calibri"/>
        <family val="2"/>
        <scheme val="minor"/>
      </rPr>
      <t>Below 50% AMI</t>
    </r>
    <r>
      <rPr>
        <sz val="11"/>
        <color rgb="FF7030A0"/>
        <rFont val="Calibri"/>
        <family val="2"/>
        <scheme val="minor"/>
      </rPr>
      <t xml:space="preserve"> Commitment</t>
    </r>
  </si>
  <si>
    <t>Minimum AIT HC ELI Commitment (not purchased)</t>
  </si>
  <si>
    <t>All LDA:</t>
  </si>
  <si>
    <t>ELI Unit Ceiling:</t>
  </si>
  <si>
    <t>Do we need to update HFA Bonds to Non-Corporation Tax-Exempt Bonds?</t>
  </si>
  <si>
    <t>Minimum # of Units - Polk, Lee</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</si>
  <si>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</si>
  <si>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</si>
  <si>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r>
      <t xml:space="preserve">If "Yes", provide the required letter as </t>
    </r>
    <r>
      <rPr>
        <b/>
        <sz val="11"/>
        <color theme="1"/>
        <rFont val="Calibri"/>
        <family val="2"/>
        <scheme val="minor"/>
      </rPr>
      <t>Attachment 10</t>
    </r>
    <r>
      <rPr>
        <sz val="11"/>
        <color theme="1"/>
        <rFont val="Calibri"/>
        <family val="2"/>
        <scheme val="minor"/>
      </rPr>
      <t>.</t>
    </r>
  </si>
  <si>
    <t>Show Program Date:</t>
  </si>
  <si>
    <t>Tax Exempt Bond 25% Test</t>
  </si>
  <si>
    <t>Level Designation</t>
  </si>
  <si>
    <t>Level 1</t>
  </si>
  <si>
    <t>Level 2</t>
  </si>
  <si>
    <t>Level Designation:</t>
  </si>
  <si>
    <t>Is this Application the only Application submission within the RFA by any Principal of the Application’s Applicant or Developer that is eligible for the Tier 1 Permit Ready Application in this RFA?</t>
  </si>
  <si>
    <t>800.adt.238.2727</t>
  </si>
  <si>
    <t>D181, D184</t>
  </si>
  <si>
    <t>Max. Total HOME-ARP Units (% of Total Units) [Req+Opt]</t>
  </si>
  <si>
    <t>Max. Total HOME-ARP Units (# of Units) [Req+Opt]</t>
  </si>
  <si>
    <t>Absolute Max Total</t>
  </si>
  <si>
    <t>County Size</t>
  </si>
  <si>
    <t>What RFA provides for Loan Only and a criteria if no units are entered at 60% AMI? (E635 and B635)</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</si>
  <si>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</si>
  <si>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4.A.5.e.(5)</t>
  </si>
  <si>
    <r>
      <rPr>
        <b/>
        <sz val="11"/>
        <color theme="1"/>
        <rFont val="Calibri"/>
        <family val="2"/>
        <scheme val="minor"/>
      </rPr>
      <t xml:space="preserve">Deland / Amtrak </t>
    </r>
    <r>
      <rPr>
        <sz val="11"/>
        <color theme="1"/>
        <rFont val="Calibri"/>
        <family val="2"/>
        <scheme val="minor"/>
      </rPr>
      <t>(2491 Old New Yourk Avenue, DeLand, FL)</t>
    </r>
  </si>
  <si>
    <t>Permit Ready Application</t>
  </si>
  <si>
    <t>Per Development - Lee, Polk</t>
  </si>
  <si>
    <t>Lee, Polk</t>
  </si>
  <si>
    <t>Duval, Pinellas</t>
  </si>
  <si>
    <t>Young adults formerly in foster care who are eligible for services under Sections 39.6251 and/or 409.1451, F.S.; and/or</t>
  </si>
  <si>
    <t>Due to the likelihood that some or all residents of the subpopulations described in (1) and (2) above will have Mobility Impairments now or later in their lives, Applicants that select either (1) and/or (2) above must at a minimum meet the accessibility, adaptability, universal design and visitability features requirements outlined in Section Four A.8.c.(1) of the RFA, (“Level 1 Accessibility Requirements”).</t>
  </si>
  <si>
    <t>Because residents of the subpopulation described in (3), (4) and (5) above are less likely to have Mobility Impairments, Applicants that select (3), (4), and/or (5) above and that do not also select (1) and/or (2) above must at a minimum meet the accessibility, adaptability, universal design and visitability features requirements outlined in Section Four A.8.c.(2) of the RFA, (“Level 2 Accessibility Requirements”).</t>
  </si>
  <si>
    <r>
      <t>Principals Disclosure for the Applicant and for each Develope</t>
    </r>
    <r>
      <rPr>
        <sz val="11"/>
        <color theme="1"/>
        <rFont val="Calibri"/>
        <family val="2"/>
        <scheme val="minor"/>
      </rPr>
      <t>r</t>
    </r>
  </si>
  <si>
    <t>Are the percentage set-asides entered in Table (a) limited to whole percentages?</t>
  </si>
  <si>
    <t>Variance</t>
  </si>
  <si>
    <t>Result from Table</t>
  </si>
  <si>
    <t>Calc. Result</t>
  </si>
  <si>
    <t>=3959 * ACOS(COS(RADIANS(90 - A1)) * COS(RADIANS(90 - A2)) + SIN(RADIANS(90 - A1)) * SIN(RADIANS(90 - A2)) * COS(RADIANS(B1 - B2)))</t>
  </si>
  <si>
    <t>More accurate =3959 * 2 * ASIN(SQRT(POWER(SIN(RADIANS((A2 - A1)/2)), 2) + COS(RADIANS(A1)) * COS(RADIANS(A2)) * POWER(SIN(RADIANS((B2 - B1)/2)), 2)))</t>
  </si>
  <si>
    <t>Here are the more accurate numbers:</t>
  </si>
  <si>
    <r>
      <t>Equatorial radius</t>
    </r>
    <r>
      <rPr>
        <sz val="11"/>
        <color theme="1"/>
        <rFont val="Segoe UI"/>
        <family val="2"/>
      </rPr>
      <t xml:space="preserve">: </t>
    </r>
    <r>
      <rPr>
        <b/>
        <sz val="11"/>
        <color theme="1"/>
        <rFont val="Segoe UI"/>
        <family val="2"/>
      </rPr>
      <t>3,963.2 miles</t>
    </r>
    <r>
      <rPr>
        <sz val="11"/>
        <color theme="1"/>
        <rFont val="Segoe UI"/>
        <family val="2"/>
      </rPr>
      <t xml:space="preserve"> (6,378.1 km)</t>
    </r>
  </si>
  <si>
    <r>
      <t>Polar radius</t>
    </r>
    <r>
      <rPr>
        <sz val="11"/>
        <color theme="1"/>
        <rFont val="Segoe UI"/>
        <family val="2"/>
      </rPr>
      <t xml:space="preserve">: </t>
    </r>
    <r>
      <rPr>
        <b/>
        <sz val="11"/>
        <color theme="1"/>
        <rFont val="Segoe UI"/>
        <family val="2"/>
      </rPr>
      <t>3,949.9 miles</t>
    </r>
    <r>
      <rPr>
        <sz val="11"/>
        <color theme="1"/>
        <rFont val="Segoe UI"/>
        <family val="2"/>
      </rPr>
      <t xml:space="preserve"> (6,356.8 km)</t>
    </r>
  </si>
  <si>
    <r>
      <t>Mean radius</t>
    </r>
    <r>
      <rPr>
        <sz val="11"/>
        <color theme="1"/>
        <rFont val="Segoe UI"/>
        <family val="2"/>
      </rPr>
      <t xml:space="preserve"> (used for most calculations): </t>
    </r>
    <r>
      <rPr>
        <b/>
        <sz val="11"/>
        <color theme="1"/>
        <rFont val="Segoe UI"/>
        <family val="2"/>
      </rPr>
      <t>3,958.8 miles</t>
    </r>
    <r>
      <rPr>
        <sz val="11"/>
        <color theme="1"/>
        <rFont val="Segoe UI"/>
        <family val="2"/>
      </rPr>
      <t xml:space="preserve"> (6,371.0 km)</t>
    </r>
  </si>
  <si>
    <r>
      <rPr>
        <b/>
        <sz val="11"/>
        <color theme="1"/>
        <rFont val="Segoe UI"/>
        <family val="2"/>
      </rPr>
      <t>3,959 miles</t>
    </r>
    <r>
      <rPr>
        <sz val="11"/>
        <color theme="1"/>
        <rFont val="Segoe UI"/>
        <family val="2"/>
      </rPr>
      <t xml:space="preserve"> is a commonly cited average radius, but it’s not the most precise value because Earth is not a perfect sphere—it’s an </t>
    </r>
    <r>
      <rPr>
        <b/>
        <sz val="11"/>
        <color theme="1"/>
        <rFont val="Segoe UI"/>
        <family val="2"/>
      </rPr>
      <t>oblate spheroid</t>
    </r>
    <r>
      <rPr>
        <sz val="11"/>
        <color theme="1"/>
        <rFont val="Segoe UI"/>
        <family val="2"/>
      </rPr>
      <t xml:space="preserve"> (slightly flattened at the poles).</t>
    </r>
  </si>
  <si>
    <t>Comparitive Lat</t>
  </si>
  <si>
    <t>Comparitive Long</t>
  </si>
  <si>
    <t>Radius of Earth at Equater</t>
  </si>
  <si>
    <t>Radius of Earth at Poles</t>
  </si>
  <si>
    <t>Mean Radius of Earth</t>
  </si>
  <si>
    <t>=R at Local Lat</t>
  </si>
  <si>
    <t>=R at Poles</t>
  </si>
  <si>
    <t>=R at Equator</t>
  </si>
  <si>
    <t>365 CoPilot</t>
  </si>
  <si>
    <t>Kathy's</t>
  </si>
  <si>
    <t>Haversine formula</t>
  </si>
  <si>
    <t>Local Radius</t>
  </si>
  <si>
    <t>Miles</t>
  </si>
  <si>
    <t>Kilometers</t>
  </si>
  <si>
    <t>WGS84</t>
  </si>
  <si>
    <t>WGS84 formula</t>
  </si>
  <si>
    <t>DD:MM:S.ss</t>
  </si>
  <si>
    <t>DD:MM.mmm</t>
  </si>
  <si>
    <t>2026 ZCTAs
sorted by ZCTA</t>
  </si>
  <si>
    <t>2026 Metro QCT's
sorted by QCT</t>
  </si>
  <si>
    <t>2026 Non-Metro QCT's
sorted by QCT</t>
  </si>
  <si>
    <t>DS_2026_Metro_QCT_Counties</t>
  </si>
  <si>
    <t>DS_2026_NonMetro_QCT_Counties</t>
  </si>
  <si>
    <t>DS_2026_County_QCTs</t>
  </si>
  <si>
    <t>Effective for 2026 Database</t>
  </si>
  <si>
    <t>DS_2026_ZCTAs_Sorted</t>
  </si>
  <si>
    <t>DS_2026_Metro_QCTs_Sorted</t>
  </si>
  <si>
    <t>DS_2026_NonMetro_QCTs_Sorted</t>
  </si>
  <si>
    <t>THIS 2026 DATA IS BEING REFERENCED FOR TEB TRANSACTIONS WHEN APPLICABLE. IT IS A PLACE HOLDER FOR 2030 DATA.</t>
  </si>
  <si>
    <t>When 1 ZCTA is listed for 2 Counties, use a formula to switch</t>
  </si>
  <si>
    <t>Calculated Distance</t>
  </si>
  <si>
    <r>
      <t>Equatorial radius</t>
    </r>
    <r>
      <rPr>
        <sz val="11"/>
        <color theme="1"/>
        <rFont val="Calibri"/>
        <family val="2"/>
      </rPr>
      <t xml:space="preserve">: </t>
    </r>
    <r>
      <rPr>
        <b/>
        <sz val="11"/>
        <color theme="1"/>
        <rFont val="Calibri"/>
        <family val="2"/>
      </rPr>
      <t>3,963.2 miles</t>
    </r>
    <r>
      <rPr>
        <sz val="11"/>
        <color theme="1"/>
        <rFont val="Calibri"/>
        <family val="2"/>
      </rPr>
      <t xml:space="preserve"> (6,378.1 km)</t>
    </r>
  </si>
  <si>
    <r>
      <t>Polar radius</t>
    </r>
    <r>
      <rPr>
        <sz val="11"/>
        <color theme="1"/>
        <rFont val="Calibri"/>
        <family val="2"/>
      </rPr>
      <t xml:space="preserve">: </t>
    </r>
    <r>
      <rPr>
        <b/>
        <sz val="11"/>
        <color theme="1"/>
        <rFont val="Calibri"/>
        <family val="2"/>
      </rPr>
      <t>3,949.9 miles</t>
    </r>
    <r>
      <rPr>
        <sz val="11"/>
        <color theme="1"/>
        <rFont val="Calibri"/>
        <family val="2"/>
      </rPr>
      <t xml:space="preserve"> (6,356.8 km)</t>
    </r>
  </si>
  <si>
    <t>D O   N O T   T O U C H</t>
  </si>
  <si>
    <t>LAT</t>
  </si>
  <si>
    <t>LONG</t>
  </si>
  <si>
    <t>Demo Match</t>
  </si>
  <si>
    <t>Proposed is an LDA Development</t>
  </si>
  <si>
    <t>Prox List Dev at least 31 units</t>
  </si>
  <si>
    <t>Prox List Dev less than 31 units</t>
  </si>
  <si>
    <t>Size</t>
  </si>
  <si>
    <t>Publish Sequence</t>
  </si>
  <si>
    <t>Large*</t>
  </si>
  <si>
    <t>*If there is at least one "NA" under Large, then none of the Large County proposed Developments will be checked.</t>
  </si>
  <si>
    <t>Properties Near Site 1*</t>
  </si>
  <si>
    <t>Property Description to Publish</t>
  </si>
  <si>
    <t>Override Lat</t>
  </si>
  <si>
    <t>Override Long</t>
  </si>
  <si>
    <t>Publish This Information (up to top 4)</t>
  </si>
  <si>
    <t>Turn off multiple sites for a single Development? (Default="Yes")</t>
  </si>
  <si>
    <t>Corporation-Issued MMRB</t>
  </si>
  <si>
    <t>Multi-Site Name</t>
  </si>
  <si>
    <t>How many decimals should be displayed when indicating distance (in miles)?</t>
  </si>
  <si>
    <t>Multi-Site Selection</t>
  </si>
  <si>
    <t>PROPOSED DEV LOCATION DATA POINTS</t>
  </si>
  <si>
    <t>Rental Assistance History Preference</t>
  </si>
  <si>
    <t>Does the Application qualify for the Rental Assistance History Preference?</t>
  </si>
  <si>
    <r>
      <t xml:space="preserve">If "Yes", provide the required documentation behind  </t>
    </r>
    <r>
      <rPr>
        <b/>
        <sz val="11"/>
        <color theme="1"/>
        <rFont val="Calibri"/>
        <family val="2"/>
        <scheme val="minor"/>
      </rPr>
      <t>Attachment 12</t>
    </r>
    <r>
      <rPr>
        <sz val="11"/>
        <color theme="1"/>
        <rFont val="Calibri"/>
        <family val="2"/>
        <scheme val="minor"/>
      </rPr>
      <t>.</t>
    </r>
  </si>
  <si>
    <r>
      <t xml:space="preserve">What is the total number of units and/or tenants that received Rental Assistance, as demonstrated within the documentation provided as </t>
    </r>
    <r>
      <rPr>
        <b/>
        <sz val="11"/>
        <color theme="1"/>
        <rFont val="Calibri"/>
        <family val="2"/>
        <scheme val="minor"/>
      </rPr>
      <t>Attachment 12</t>
    </r>
    <r>
      <rPr>
        <sz val="11"/>
        <color theme="1"/>
        <rFont val="Calibri"/>
        <family val="2"/>
        <scheme val="minor"/>
      </rPr>
      <t xml:space="preserve">?  </t>
    </r>
  </si>
  <si>
    <t>Supportive Services Funding History Preference</t>
  </si>
  <si>
    <t>Does the Application qualify for the Supportive Services Funding History Preference?</t>
  </si>
  <si>
    <r>
      <t xml:space="preserve">If "Yes", provide the required documentation behind </t>
    </r>
    <r>
      <rPr>
        <b/>
        <sz val="11"/>
        <color theme="1"/>
        <rFont val="Calibri"/>
        <family val="2"/>
        <scheme val="minor"/>
      </rPr>
      <t>Attachment 13</t>
    </r>
    <r>
      <rPr>
        <sz val="11"/>
        <color theme="1"/>
        <rFont val="Calibri"/>
        <family val="2"/>
        <scheme val="minor"/>
      </rPr>
      <t>.</t>
    </r>
  </si>
  <si>
    <r>
      <t xml:space="preserve">What is the total amount of Supportive Services Funding obtained and used within these properties, as demonstrated within the documentation provided as </t>
    </r>
    <r>
      <rPr>
        <b/>
        <sz val="11"/>
        <color theme="1"/>
        <rFont val="Calibri"/>
        <family val="2"/>
        <scheme val="minor"/>
      </rPr>
      <t>Attachment 13</t>
    </r>
    <r>
      <rPr>
        <sz val="11"/>
        <color theme="1"/>
        <rFont val="Calibri"/>
        <family val="2"/>
        <scheme val="minor"/>
      </rPr>
      <t>?</t>
    </r>
  </si>
  <si>
    <t>Two Factor List</t>
  </si>
  <si>
    <t>Three Factor List</t>
  </si>
  <si>
    <t>DS_2026_County_2F_GAOs</t>
  </si>
  <si>
    <t>DS_2026_County_3F_GAOs</t>
  </si>
  <si>
    <t>2F GAOs</t>
  </si>
  <si>
    <t>3F GAOs</t>
  </si>
  <si>
    <t>DS_2026_2F_GAO_Counties</t>
  </si>
  <si>
    <t>DS_2026_3F_GAO_Counties</t>
  </si>
  <si>
    <t># of Factors Selected</t>
  </si>
  <si>
    <t>2 Factor GAO</t>
  </si>
  <si>
    <t>Bonds FHFC MMRB</t>
  </si>
  <si>
    <t>Bonds Local HFA</t>
  </si>
  <si>
    <t>T, TE</t>
  </si>
  <si>
    <t>Current Year Tax Exempt Bond Allocation Amount…............…..............................................................................................................</t>
  </si>
  <si>
    <t>Self-Sourced: Bond Allocation</t>
  </si>
  <si>
    <t>Row Height for 0=73; 1=65 (PSH)</t>
  </si>
  <si>
    <t>Always On</t>
  </si>
  <si>
    <t>Boxes and labels below in this column are for error checking and monitoring Developer &amp; Manager experience</t>
  </si>
  <si>
    <t>When Master is "On", Column K controls this row.</t>
  </si>
  <si>
    <t>When Master is "On", Column K controls this row. Column L adds automated formatting.</t>
  </si>
  <si>
    <t>When Master is on, zero will turn off all rows [Subsection Master (a)]. Otherwise each row is controlled separately.</t>
  </si>
  <si>
    <t>When Master is on, zero will turn off all rows [Subsection Master (b)]. Otherwise each row is controlled separately.</t>
  </si>
  <si>
    <r>
      <t xml:space="preserve">White-out the input &amp; marker indicators in columns O:R in </t>
    </r>
    <r>
      <rPr>
        <b/>
        <sz val="11"/>
        <color theme="1"/>
        <rFont val="Calibri"/>
        <family val="2"/>
        <scheme val="minor"/>
      </rPr>
      <t>Proposed Development Info</t>
    </r>
    <r>
      <rPr>
        <sz val="11"/>
        <color theme="1"/>
        <rFont val="Calibri"/>
        <family val="2"/>
        <scheme val="minor"/>
      </rPr>
      <t xml:space="preserve"> tab:</t>
    </r>
  </si>
  <si>
    <r>
      <t xml:space="preserve">If </t>
    </r>
    <r>
      <rPr>
        <b/>
        <i/>
        <sz val="11"/>
        <color rgb="FFC00000"/>
        <rFont val="Calibri"/>
        <family val="2"/>
        <scheme val="minor"/>
      </rPr>
      <t>Affordable Housing Program</t>
    </r>
    <r>
      <rPr>
        <i/>
        <sz val="11"/>
        <color rgb="FFC00000"/>
        <rFont val="Calibri"/>
        <family val="2"/>
        <scheme val="minor"/>
      </rPr>
      <t xml:space="preserve"> is </t>
    </r>
    <r>
      <rPr>
        <i/>
        <u/>
        <sz val="11"/>
        <color rgb="FFC00000"/>
        <rFont val="Calibri"/>
        <family val="2"/>
        <scheme val="minor"/>
      </rPr>
      <t>pre-selected</t>
    </r>
    <r>
      <rPr>
        <i/>
        <sz val="11"/>
        <color rgb="FFC00000"/>
        <rFont val="Calibri"/>
        <family val="2"/>
        <scheme val="minor"/>
      </rPr>
      <t xml:space="preserve"> and </t>
    </r>
    <r>
      <rPr>
        <i/>
        <u/>
        <sz val="11"/>
        <color rgb="FFC00000"/>
        <rFont val="Calibri"/>
        <family val="2"/>
        <scheme val="minor"/>
      </rPr>
      <t>locked</t>
    </r>
    <r>
      <rPr>
        <i/>
        <sz val="11"/>
        <color rgb="FFC00000"/>
        <rFont val="Calibri"/>
        <family val="2"/>
        <scheme val="minor"/>
      </rPr>
      <t xml:space="preserve"> in any of the five subsections below, erase comment in G:H on same row.</t>
    </r>
  </si>
  <si>
    <r>
      <t xml:space="preserve">Verify </t>
    </r>
    <r>
      <rPr>
        <b/>
        <i/>
        <sz val="11"/>
        <color rgb="FFC00000"/>
        <rFont val="Calibri"/>
        <family val="2"/>
        <scheme val="minor"/>
      </rPr>
      <t>Attachment #</t>
    </r>
    <r>
      <rPr>
        <i/>
        <sz val="11"/>
        <color rgb="FFC00000"/>
        <rFont val="Calibri"/>
        <family val="2"/>
        <scheme val="minor"/>
      </rPr>
      <t>s are accurate</t>
    </r>
  </si>
  <si>
    <t>Controlled by Development_Category and Development_SubCategory responses. This row asks either a DOT question (Redev) or a Prior Rehab Expenditure question (Prez).</t>
  </si>
  <si>
    <r>
      <t xml:space="preserve">Turns </t>
    </r>
    <r>
      <rPr>
        <b/>
        <i/>
        <sz val="11"/>
        <color theme="1"/>
        <rFont val="Calibri"/>
        <family val="2"/>
        <scheme val="minor"/>
      </rPr>
      <t>off</t>
    </r>
    <r>
      <rPr>
        <i/>
        <sz val="11"/>
        <color theme="1"/>
        <rFont val="Calibri"/>
        <family val="2"/>
        <scheme val="minor"/>
      </rPr>
      <t xml:space="preserve"> when 214 is "On"; Turns </t>
    </r>
    <r>
      <rPr>
        <b/>
        <i/>
        <sz val="11"/>
        <color theme="1"/>
        <rFont val="Calibri"/>
        <family val="2"/>
        <scheme val="minor"/>
      </rPr>
      <t>on</t>
    </r>
    <r>
      <rPr>
        <i/>
        <sz val="11"/>
        <color theme="1"/>
        <rFont val="Calibri"/>
        <family val="2"/>
        <scheme val="minor"/>
      </rPr>
      <t xml:space="preserve"> when RFA is NOT 214.</t>
    </r>
  </si>
  <si>
    <t>Needed for Rental Assistance Qualification Letter (Redev or Prez)</t>
  </si>
  <si>
    <t>Controlled by Development_Category and Development_SubCategory responses. This row asks to identify a HUD or RD financing program.</t>
  </si>
  <si>
    <t>When Subsection Master (i) is "On", Column L controls this row.</t>
  </si>
  <si>
    <t>When Subsection Master (i) is "On", Column L controls this row. Column M adds automated formatting.</t>
  </si>
  <si>
    <t>When Subsection Master (ii) is "On", Column L controls this row.</t>
  </si>
  <si>
    <t>When Subsection Master (ii) is "On", Column L controls this row. Column M adds automated formatting.</t>
  </si>
  <si>
    <t>When Subsection Master (iii) is "On", Column L controls this row.</t>
  </si>
  <si>
    <t>When Subsection Master (iii) is "On", Column L controls this row. Column M adds automated formatting.</t>
  </si>
  <si>
    <t>When Subsection Master (iv) is "On", Column L controls this row.</t>
  </si>
  <si>
    <t>When Subsection Master (iv) is "On", Column L controls this row. Column M adds automated formatting.</t>
  </si>
  <si>
    <t>When Subsection Master (v) is "On", Column L controls this row.</t>
  </si>
  <si>
    <t>When Subsection Master (v) is "On", Column L controls this row. Column M adds automated formatting.</t>
  </si>
  <si>
    <t>Zero will turn off all rows [Master]. Otherwise certain rows are controlled separately.</t>
  </si>
  <si>
    <t>Column K controls only the Section numbering through "Non-Profit Applicant Qualifications" row item.</t>
  </si>
  <si>
    <t>When Master and Subsection Master (ii) is "On", Column M controls this row.</t>
  </si>
  <si>
    <t>When Master and Subsection Master (a) is "On", Column M controls this row.</t>
  </si>
  <si>
    <t>When Master is "On", Column L controls this row.</t>
  </si>
  <si>
    <t>When Master and Subsection Master (b) is "On", Column M controls this row.</t>
  </si>
  <si>
    <t>When Master and Subsection Master (a) is "On", Column M controls this row. Column R adds automated formatting.</t>
  </si>
  <si>
    <t>Controls shading in the table for this row.</t>
  </si>
  <si>
    <t>Controls this row.</t>
  </si>
  <si>
    <r>
      <t xml:space="preserve">When RFA 214 Master is on, </t>
    </r>
    <r>
      <rPr>
        <b/>
        <i/>
        <sz val="11"/>
        <rFont val="Calibri"/>
        <family val="2"/>
        <scheme val="minor"/>
      </rPr>
      <t>Link Classification</t>
    </r>
    <r>
      <rPr>
        <i/>
        <sz val="11"/>
        <rFont val="Calibri"/>
        <family val="2"/>
        <scheme val="minor"/>
      </rPr>
      <t xml:space="preserve"> controls font on this row</t>
    </r>
  </si>
  <si>
    <t>If the proposed Development will serve the Elderly (Non-ALF) Demographic Commitment, does the Applicant commit to provide Private Transportation?</t>
  </si>
  <si>
    <t>Will not turn on in RFA 104.</t>
  </si>
  <si>
    <t>…</t>
  </si>
  <si>
    <t>Turns off for Farm/Fish RFA 104 or if all 4 Set-Aside charts are turned off.</t>
  </si>
  <si>
    <t>Controls this row when Master (a) is "On".</t>
  </si>
  <si>
    <t>Controls this row when Master (b) is "On".</t>
  </si>
  <si>
    <t>Continuation of Master (b) control.</t>
  </si>
  <si>
    <t>Controls this row when Master 3 is "On".</t>
  </si>
  <si>
    <t>Turns on automatically if any of the NHTF funding lines are turned on in the Funding tab.</t>
  </si>
  <si>
    <t>To turn off, both L5 &amp; L10 must be off.</t>
  </si>
  <si>
    <t>Column M automatically controls fonts/shading for this row.</t>
  </si>
  <si>
    <t>Controls only this row.</t>
  </si>
  <si>
    <t>To turn off, L5, L10, L17, L21, L35 and L42 must be off.</t>
  </si>
  <si>
    <t>Turns On when any Elderly Demo is available in the Demo dropdown menu</t>
  </si>
  <si>
    <t>Automatically turns off when Elderly ALF is not available in the Demographic dropdown menu. Will also remove the ALF reference in the next row.</t>
  </si>
  <si>
    <t>Any Application with an Occupied Development (either Combination or Linked New Development) will have the same Demographic selected for the Development that is the subject of this Application below.</t>
  </si>
  <si>
    <t>Font controlled by Link_Classification response.</t>
  </si>
  <si>
    <r>
      <t xml:space="preserve">White-out the input &amp; marker indicators in columns N:P in </t>
    </r>
    <r>
      <rPr>
        <b/>
        <sz val="11"/>
        <color theme="1"/>
        <rFont val="Calibri"/>
        <family val="2"/>
        <scheme val="minor"/>
      </rPr>
      <t>Goals</t>
    </r>
    <r>
      <rPr>
        <sz val="11"/>
        <color theme="1"/>
        <rFont val="Calibri"/>
        <family val="2"/>
        <scheme val="minor"/>
      </rPr>
      <t xml:space="preserve"> tab:</t>
    </r>
  </si>
  <si>
    <t>Controls this one row when Master is "On"</t>
  </si>
  <si>
    <r>
      <rPr>
        <b/>
        <sz val="11"/>
        <color rgb="FF8300C4"/>
        <rFont val="Arial"/>
        <family val="2"/>
      </rPr>
      <t>Amortizing</t>
    </r>
    <r>
      <rPr>
        <b/>
        <sz val="10"/>
        <color rgb="FF8300C4"/>
        <rFont val="Arial"/>
        <family val="2"/>
      </rPr>
      <t xml:space="preserve"> Loan w/ or w/o a Balloon</t>
    </r>
    <r>
      <rPr>
        <b/>
        <sz val="10"/>
        <rFont val="Arial"/>
        <family val="2"/>
      </rPr>
      <t xml:space="preserve"> (</t>
    </r>
    <r>
      <rPr>
        <b/>
        <i/>
        <u/>
        <sz val="10"/>
        <rFont val="Arial"/>
        <family val="2"/>
      </rPr>
      <t>Traditional</t>
    </r>
    <r>
      <rPr>
        <b/>
        <sz val="10"/>
        <rFont val="Arial"/>
        <family val="2"/>
      </rPr>
      <t xml:space="preserve"> Payments)</t>
    </r>
  </si>
  <si>
    <r>
      <rPr>
        <b/>
        <sz val="11"/>
        <color theme="8" tint="-0.249977111117893"/>
        <rFont val="Arial"/>
        <family val="2"/>
      </rPr>
      <t>Interest Only</t>
    </r>
    <r>
      <rPr>
        <b/>
        <sz val="10"/>
        <rFont val="Arial"/>
        <family val="2"/>
      </rPr>
      <t xml:space="preserve"> Loan with a Balloon</t>
    </r>
  </si>
  <si>
    <t>Determining the Discount Rate</t>
  </si>
  <si>
    <t>Beginning Principal Amount</t>
  </si>
  <si>
    <t>Amortization Term, in Years</t>
  </si>
  <si>
    <t>Year in which Loan Balloons</t>
  </si>
  <si>
    <t>Effective COB Date:</t>
  </si>
  <si>
    <t>Payments per Year</t>
  </si>
  <si>
    <t>10-Yr Treasury Rate at COB:</t>
  </si>
  <si>
    <t>Total Amorization Periods</t>
  </si>
  <si>
    <t>Spread over Treasury:</t>
  </si>
  <si>
    <r>
      <t xml:space="preserve">Which Period is the last payment </t>
    </r>
    <r>
      <rPr>
        <sz val="8"/>
        <rFont val="Arial"/>
        <family val="2"/>
      </rPr>
      <t>(i.e., period of a balloon payment or full term if fully amortized)</t>
    </r>
  </si>
  <si>
    <t>Blended Rate:</t>
  </si>
  <si>
    <r>
      <t>Initial Interest Rate</t>
    </r>
    <r>
      <rPr>
        <sz val="8"/>
        <rFont val="Arial"/>
        <family val="2"/>
      </rPr>
      <t xml:space="preserve"> (Subsequent Interest Rate changes are entered below)</t>
    </r>
  </si>
  <si>
    <t>Minimum Rate:</t>
  </si>
  <si>
    <t>Mathimatical Initial Periodic Payment</t>
  </si>
  <si>
    <t>Discount Rate:</t>
  </si>
  <si>
    <t>Pmt Rounded to nearest Penny</t>
  </si>
  <si>
    <t>Discount Rate (provided by FHFC in RFAs)</t>
  </si>
  <si>
    <t>NPV of Payment Stream</t>
  </si>
  <si>
    <t>These columns are used in providing an automated example for the HOME RFA regarding matching funds.  This data is taken from the example in columns B:F and H:L to the left and putting it in a HOME friendly format.  Changes must be done to the example in columns B:F or columns H:L to affect this table. (see cells B664:C672 below)</t>
  </si>
  <si>
    <t>X</t>
  </si>
  <si>
    <t>Period</t>
  </si>
  <si>
    <t>Periodic Payment</t>
  </si>
  <si>
    <t>Interest Rate for next Period</t>
  </si>
  <si>
    <t>Oustanding Principal Balance</t>
  </si>
  <si>
    <r>
      <t xml:space="preserve"># of times
Int Rate </t>
    </r>
    <r>
      <rPr>
        <sz val="10"/>
        <rFont val="Calibri"/>
        <family val="2"/>
      </rPr>
      <t>∆</t>
    </r>
  </si>
  <si>
    <t>Amort Pmt @
Disc Rate</t>
  </si>
  <si>
    <r>
      <rPr>
        <b/>
        <sz val="10"/>
        <color rgb="FF8300C4"/>
        <rFont val="Calibri"/>
        <family val="2"/>
      </rPr>
      <t>∆</t>
    </r>
    <r>
      <rPr>
        <b/>
        <sz val="10"/>
        <color rgb="FF8300C4"/>
        <rFont val="Arial"/>
        <family val="2"/>
      </rPr>
      <t xml:space="preserve"> in Amort Pmts</t>
    </r>
  </si>
  <si>
    <t>Outstanding P for Amort</t>
  </si>
  <si>
    <t>IO Pmt @
Disc Rate</t>
  </si>
  <si>
    <r>
      <rPr>
        <b/>
        <sz val="10"/>
        <color rgb="FF31869B"/>
        <rFont val="Calibri"/>
        <family val="2"/>
      </rPr>
      <t>∆</t>
    </r>
    <r>
      <rPr>
        <b/>
        <sz val="10"/>
        <color rgb="FF31869B"/>
        <rFont val="Arial"/>
        <family val="2"/>
      </rPr>
      <t xml:space="preserve"> in IO Pmts</t>
    </r>
  </si>
  <si>
    <t>This box is used for the formulas below.</t>
  </si>
  <si>
    <r>
      <rPr>
        <b/>
        <u/>
        <sz val="10"/>
        <color rgb="FFFFFF00"/>
        <rFont val="Arial"/>
        <family val="2"/>
      </rPr>
      <t>For Non-HOME RFAs</t>
    </r>
    <r>
      <rPr>
        <b/>
        <sz val="10"/>
        <color rgb="FFFFFF00"/>
        <rFont val="Arial"/>
        <family val="2"/>
      </rPr>
      <t>: To transfer these updated examples ino the RFA, copy cells D648:E662 (the area below with a black line on top and left sides) and then paste as text only into the Word document.  You may still need to do some formatting corrections.  (Tabs and font should be okay, but the hanging indent is the issue.)</t>
    </r>
  </si>
  <si>
    <t>Number of unique interest rates during loan term:</t>
  </si>
  <si>
    <t>Fully Amortizing Example</t>
  </si>
  <si>
    <t>Example:</t>
  </si>
  <si>
    <t>Interest Only w/ Balloon Example</t>
  </si>
  <si>
    <r>
      <rPr>
        <b/>
        <u/>
        <sz val="10"/>
        <color rgb="FFFFFF00"/>
        <rFont val="Arial"/>
        <family val="2"/>
      </rPr>
      <t>For HOME RFAs</t>
    </r>
    <r>
      <rPr>
        <b/>
        <sz val="10"/>
        <color rgb="FFFFFF00"/>
        <rFont val="Arial"/>
        <family val="2"/>
      </rPr>
      <t>: To transfer these updated examples ino the RFA, copy cell C672 and then paste as text only into the Word document.  The first example assumes a structure of a fully amortizing loan and the second is interest only with a balloon.  Automation of an example can only handle up to a total of 3 interest rates over life of loan (an initial rate and up to 2 changes during the term).</t>
    </r>
  </si>
  <si>
    <t>Individual sentences for Example.</t>
  </si>
  <si>
    <t>Concatenated Example:</t>
  </si>
  <si>
    <t>TBD</t>
  </si>
  <si>
    <r>
      <t xml:space="preserve">When RFA 214 Master is on, </t>
    </r>
    <r>
      <rPr>
        <b/>
        <i/>
        <sz val="11"/>
        <rFont val="Calibri"/>
        <family val="2"/>
        <scheme val="minor"/>
      </rPr>
      <t>Link Classification</t>
    </r>
    <r>
      <rPr>
        <i/>
        <sz val="11"/>
        <rFont val="Calibri"/>
        <family val="2"/>
        <scheme val="minor"/>
      </rPr>
      <t xml:space="preserve"> controls font on this row
</t>
    </r>
    <r>
      <rPr>
        <i/>
        <sz val="10"/>
        <rFont val="Calibri"/>
        <family val="2"/>
        <scheme val="minor"/>
      </rPr>
      <t xml:space="preserve">
</t>
    </r>
    <r>
      <rPr>
        <i/>
        <sz val="10"/>
        <color rgb="FFC00000"/>
        <rFont val="Calibri"/>
        <family val="2"/>
        <scheme val="minor"/>
      </rPr>
      <t xml:space="preserve">If Link Classification is either </t>
    </r>
    <r>
      <rPr>
        <b/>
        <i/>
        <sz val="10"/>
        <color rgb="FFC00000"/>
        <rFont val="Calibri"/>
        <family val="2"/>
        <scheme val="minor"/>
      </rPr>
      <t>New Development</t>
    </r>
    <r>
      <rPr>
        <i/>
        <sz val="10"/>
        <color rgb="FFC00000"/>
        <rFont val="Calibri"/>
        <family val="2"/>
        <scheme val="minor"/>
      </rPr>
      <t xml:space="preserve"> or </t>
    </r>
    <r>
      <rPr>
        <b/>
        <i/>
        <sz val="10"/>
        <color rgb="FFC00000"/>
        <rFont val="Calibri"/>
        <family val="2"/>
        <scheme val="minor"/>
      </rPr>
      <t>Combination Application</t>
    </r>
    <r>
      <rPr>
        <i/>
        <sz val="10"/>
        <color rgb="FFC00000"/>
        <rFont val="Calibri"/>
        <family val="2"/>
        <scheme val="minor"/>
      </rPr>
      <t xml:space="preserve">, this section will have black font and expect data input with wording that includes these Classifications.
If Link Classification is </t>
    </r>
    <r>
      <rPr>
        <b/>
        <i/>
        <sz val="10"/>
        <color rgb="FFC00000"/>
        <rFont val="Calibri"/>
        <family val="2"/>
        <scheme val="minor"/>
      </rPr>
      <t>Reconstructed Development</t>
    </r>
    <r>
      <rPr>
        <i/>
        <sz val="10"/>
        <color rgb="FFC00000"/>
        <rFont val="Calibri"/>
        <family val="2"/>
        <scheme val="minor"/>
      </rPr>
      <t>, this section will have gray font and NOT expect data input except for one question, with wording that includes this Classification.</t>
    </r>
  </si>
  <si>
    <t>Will automatically turn on when Exhibit A is for RFA 213</t>
  </si>
  <si>
    <t>Loan with forgiveness</t>
  </si>
  <si>
    <t>Loan to be repaid</t>
  </si>
  <si>
    <t>Fee Waiver</t>
  </si>
  <si>
    <t>Fee Deferral</t>
  </si>
  <si>
    <t>Not applicable</t>
  </si>
  <si>
    <t>Non-Cash Contributions:</t>
  </si>
  <si>
    <t>(New Location)</t>
  </si>
  <si>
    <t>LGAO Loan to be repaid</t>
  </si>
  <si>
    <t>LGAO Loan w/ forgiveness</t>
  </si>
  <si>
    <r>
      <t>White-out the input &amp; marker indicators in columns M:Q in</t>
    </r>
    <r>
      <rPr>
        <b/>
        <sz val="11"/>
        <color theme="1"/>
        <rFont val="Calibri"/>
        <family val="2"/>
        <scheme val="minor"/>
      </rPr>
      <t xml:space="preserve"> LGC Points</t>
    </r>
    <r>
      <rPr>
        <sz val="11"/>
        <color theme="1"/>
        <rFont val="Calibri"/>
        <family val="2"/>
        <scheme val="minor"/>
      </rPr>
      <t xml:space="preserve"> tab:</t>
    </r>
  </si>
  <si>
    <r>
      <t>White-out the input &amp; marker indicators in columns M:Q in</t>
    </r>
    <r>
      <rPr>
        <b/>
        <sz val="11"/>
        <color theme="1"/>
        <rFont val="Calibri"/>
        <family val="2"/>
        <scheme val="minor"/>
      </rPr>
      <t xml:space="preserve"> LGAO Status</t>
    </r>
    <r>
      <rPr>
        <sz val="11"/>
        <color theme="1"/>
        <rFont val="Calibri"/>
        <family val="2"/>
        <scheme val="minor"/>
      </rPr>
      <t xml:space="preserve"> tab:</t>
    </r>
  </si>
  <si>
    <t>d</t>
  </si>
  <si>
    <t>c</t>
  </si>
  <si>
    <t>Grey's out when max ELI = $0</t>
  </si>
  <si>
    <t>Controlled by both L21 and L59.</t>
  </si>
  <si>
    <t>Controlled by Self-Sourced Off/On</t>
  </si>
  <si>
    <t>Font turns grey when there is a request amount for either 4%HCs or MMRB and both (a) and (b) are turned on for RRLP.</t>
  </si>
  <si>
    <t>Controls Land Acquisition Section for CDBG-DR.</t>
  </si>
  <si>
    <t>Controls Development Funding Section for CDBG-DR.</t>
  </si>
  <si>
    <t>Used to calculated PU Total for mandated # of units w/o a Development limit.</t>
  </si>
  <si>
    <t>Used to calcuate PU Total for mandated # of units w/ a Development limit. No optional units included.</t>
  </si>
  <si>
    <t>RFA 2022-109 Structure</t>
  </si>
  <si>
    <t>Controls Competitive Credit items.</t>
  </si>
  <si>
    <t>Previously applied for Non-Competitive Credits AND invited into C/U.</t>
  </si>
  <si>
    <t>Controls Non-Competitive Credit items.</t>
  </si>
  <si>
    <t>Controlled by Self-Sourced Off/On.</t>
  </si>
  <si>
    <t>Auto response relies on input from the Pro Forma &amp; Request Amounts.</t>
  </si>
  <si>
    <t># of Request Amts that were reduced</t>
  </si>
  <si>
    <t>Each option in Column L controls that one row and can turn on Section Intro</t>
  </si>
  <si>
    <t>(Taken from General Information tab, Cell N2)</t>
  </si>
  <si>
    <t xml:space="preserve">All required data fields have entries. </t>
  </si>
  <si>
    <t>Earned 5-point Local Government Contribution Points (LGC Points tab)</t>
  </si>
  <si>
    <t>Earned 5-point Local Government Contribution Points (LGAO Status tab)</t>
  </si>
  <si>
    <t>Zero will turn off all rows.</t>
  </si>
  <si>
    <t>Does it appear the proposed Development meets the Mandatory Distance Requirements?</t>
  </si>
  <si>
    <t>(Dashed lines on left will be hidden once this column is "Whited-Out")</t>
  </si>
  <si>
    <t>[0=All Developments; 1= Level 1/2]</t>
  </si>
  <si>
    <t>[MJ] Do we also need Attachment 15 and proof of ability to fund?</t>
  </si>
  <si>
    <t>IF(OR(AND(Data1!$B$842="NPV",County&lt;&gt;"Miami-Dade"),AND(Data1!$B$844="NPV",County="Miami-Dade",Data1!$B$847="No"))</t>
  </si>
  <si>
    <t>p15, Rev. Proc 2025-32 for 2026</t>
  </si>
  <si>
    <t>...of the units must be classified as New Construction</t>
  </si>
  <si>
    <t>...of the units must be classified as New Construction or Redevelopment</t>
  </si>
  <si>
    <t>(Reserved for '104' RFAs, i.e. FF)</t>
  </si>
  <si>
    <t>To meet Rule Definition of Redevelopment, must meet either (a) and (b) and both (c)s OR (a) and (b) and both (d)s.</t>
  </si>
  <si>
    <t>Select the minimum MMRB Set-Aside Commitment for the MMRB Funding:</t>
  </si>
  <si>
    <t>AIT Actual Units</t>
  </si>
  <si>
    <t>AIT Actual %</t>
  </si>
  <si>
    <t>SUM</t>
  </si>
  <si>
    <t>New Construction Maximum % Developer Fee on Acquisition Costs</t>
  </si>
  <si>
    <t>New Construction Maximum % Developer Fee on non-Acquisition Costs</t>
  </si>
  <si>
    <t>Maximum % Developer Fee on Total Gen. Development Costs, including Financial Costs (Soft Costs)</t>
  </si>
  <si>
    <t>Maximum % Developer Fee on Acquisition Costs (excluding Land and any cash reserves/deposits)</t>
  </si>
  <si>
    <t>Actual in §4.A.6.(e)(3)(a)</t>
  </si>
  <si>
    <t>Table (a) Only [Loan only (no HC)]: Minimum % Units at or below 50% AMI</t>
  </si>
  <si>
    <t>Does the proposed Development qualify for the QAP-Designated Previously Submitted Permit Ready Area of Opportunity basis boost?</t>
  </si>
  <si>
    <t>Keep 3 cells below. Referenced in G</t>
  </si>
  <si>
    <t>below was intended to be tied to LGC Preferences (1) below so this cell removed from said link. Is that ok?</t>
  </si>
  <si>
    <r>
      <t xml:space="preserve">Non-AIT </t>
    </r>
    <r>
      <rPr>
        <b/>
        <sz val="8"/>
        <color rgb="FFFF0000"/>
        <rFont val="Calibri"/>
        <family val="2"/>
        <scheme val="minor"/>
      </rPr>
      <t>(table a)</t>
    </r>
    <r>
      <rPr>
        <b/>
        <sz val="11"/>
        <color rgb="FFFF0000"/>
        <rFont val="Calibri"/>
        <family val="2"/>
        <scheme val="minor"/>
      </rPr>
      <t>, Non-Self-Sourced, Non-LDA:</t>
    </r>
  </si>
  <si>
    <r>
      <t xml:space="preserve">Non-AIT </t>
    </r>
    <r>
      <rPr>
        <b/>
        <sz val="8"/>
        <color rgb="FFFF0000"/>
        <rFont val="Calibri"/>
        <family val="2"/>
        <scheme val="minor"/>
      </rPr>
      <t>(table a)</t>
    </r>
    <r>
      <rPr>
        <b/>
        <sz val="11"/>
        <color rgb="FFFF0000"/>
        <rFont val="Calibri"/>
        <family val="2"/>
        <scheme val="minor"/>
      </rPr>
      <t>, Self-Sourced, Non-LDA:</t>
    </r>
  </si>
  <si>
    <r>
      <t xml:space="preserve">AIT </t>
    </r>
    <r>
      <rPr>
        <b/>
        <sz val="8"/>
        <color rgb="FFFF0000"/>
        <rFont val="Calibri"/>
        <family val="2"/>
        <scheme val="minor"/>
      </rPr>
      <t>(table b)</t>
    </r>
    <r>
      <rPr>
        <b/>
        <sz val="11"/>
        <color rgb="FFFF0000"/>
        <rFont val="Calibri"/>
        <family val="2"/>
        <scheme val="minor"/>
      </rPr>
      <t>, Non-Self-Sourced, Non-LDA:</t>
    </r>
  </si>
  <si>
    <r>
      <t xml:space="preserve">AIT </t>
    </r>
    <r>
      <rPr>
        <b/>
        <sz val="8"/>
        <color rgb="FFFF0000"/>
        <rFont val="Calibri"/>
        <family val="2"/>
        <scheme val="minor"/>
      </rPr>
      <t>(table b)</t>
    </r>
    <r>
      <rPr>
        <b/>
        <sz val="11"/>
        <color rgb="FFFF0000"/>
        <rFont val="Calibri"/>
        <family val="2"/>
        <scheme val="minor"/>
      </rPr>
      <t>, Self-Sourced, Non-LDA:</t>
    </r>
  </si>
  <si>
    <t>Loan Only Funding</t>
  </si>
  <si>
    <t>Does the Proposed Development meet the criteria for the Miniumum Unit Requirements</t>
  </si>
  <si>
    <t>Does the Proposed Development meet the criteria for the Minimum Hard Costs Expenditures Requirements</t>
  </si>
  <si>
    <t>Does the Proposed Development meet the Non-Profit Status Criteria</t>
  </si>
  <si>
    <t>It's best to use this row to have something when the App is blank. Otherwise, the minimum will appear to be 0.</t>
  </si>
  <si>
    <t>It's best to use this row to have something when the App is blank. Otherwise, the maximum will appear to be 0.</t>
  </si>
  <si>
    <r>
      <t xml:space="preserve">Row Height: RFA 214 - 80; All other - </t>
    </r>
    <r>
      <rPr>
        <i/>
        <strike/>
        <sz val="11"/>
        <color rgb="FFC00000"/>
        <rFont val="Calibri"/>
        <family val="2"/>
        <scheme val="minor"/>
      </rPr>
      <t>35</t>
    </r>
    <r>
      <rPr>
        <i/>
        <u/>
        <sz val="11"/>
        <color rgb="FFC00000"/>
        <rFont val="Calibri"/>
        <family val="2"/>
        <scheme val="minor"/>
      </rPr>
      <t>50</t>
    </r>
  </si>
  <si>
    <t>Program Name of Loan-Only Program OR RFA 213/214 Gap Program</t>
  </si>
  <si>
    <t>Gap Loan 1: Name (Bond/4%HC/Gap)</t>
  </si>
  <si>
    <t>Gap Loan 2: Name (Bond/4%HC/Gap)</t>
  </si>
  <si>
    <t>(This name feeds into the 4th 'Minimum IRS Set-Aside' menu option) (Effective only if Loan Only chosen OR 213/214)</t>
  </si>
  <si>
    <t>Table (a) and (b) when HCs AND Gap funding is offered</t>
  </si>
  <si>
    <t>Is there a 2nd Gap Loan Program in this RFA?</t>
  </si>
  <si>
    <t>Is there at least 1 Gap Loan Program in this RFA?</t>
  </si>
  <si>
    <t>loan only, AIT table, w/ (0) or w/o SS; then Either not loan only, AIT</t>
  </si>
  <si>
    <t>AIT</t>
  </si>
  <si>
    <t>Florida Housing has reviewed some of the above information through an automated process and has made the determinations below. Items not specifically addressed by these determination statements are not being automatically reviewed.</t>
  </si>
  <si>
    <t>Pro Forma Note:</t>
  </si>
  <si>
    <t>Acq Costs:</t>
  </si>
  <si>
    <t>Non-Acq Costs:</t>
  </si>
  <si>
    <t>Total Max Dev Fee:</t>
  </si>
  <si>
    <t>If there isn't a gap loan in the RFA, BOTH of these must be turned to "No"</t>
  </si>
  <si>
    <t>Florida Housing’s automated process has not reviewed any of the information provided above.</t>
  </si>
  <si>
    <t>Row height=55 when detail is turned on, otherwise 17.5.</t>
  </si>
  <si>
    <t>Enter 0 to reflect Workforce, 1 for Market Rate, 2 for Live Local, 3 for Loan Only or Gap Loan funding for both charts.</t>
  </si>
  <si>
    <r>
      <t xml:space="preserve">ELI Set-Aside Requirements </t>
    </r>
    <r>
      <rPr>
        <b/>
        <u/>
        <sz val="11"/>
        <color rgb="FFFF0000"/>
        <rFont val="Calibri"/>
        <family val="2"/>
        <scheme val="minor"/>
      </rPr>
      <t>based on responses below</t>
    </r>
  </si>
  <si>
    <t>--- NOT BEING USED ---</t>
  </si>
  <si>
    <t>5 Bedrooms*</t>
  </si>
  <si>
    <r>
      <t xml:space="preserve">D52 labels: 0=Workforce, 1="", 2=Live Local, 3=Restricted. Column J </t>
    </r>
    <r>
      <rPr>
        <sz val="10"/>
        <color rgb="FFC00000"/>
        <rFont val="Calibri"/>
        <family val="2"/>
      </rPr>
      <t>∆: 3=</t>
    </r>
    <r>
      <rPr>
        <sz val="10"/>
        <color rgb="FFC00000"/>
        <rFont val="Calibri"/>
        <family val="2"/>
        <scheme val="minor"/>
      </rPr>
      <t>FHFC Loan Only/FHFC Gap Loan</t>
    </r>
  </si>
  <si>
    <t>Not programmed</t>
  </si>
  <si>
    <t>DS_2026_Metro_QCTs</t>
  </si>
  <si>
    <t>DS_2026_ZCTAs</t>
  </si>
  <si>
    <t>DS_2026_NonMetro_DDAs</t>
  </si>
  <si>
    <t>DS_2026_NonMetro_QCTs</t>
  </si>
  <si>
    <t>DS_2023_ZCTAs</t>
  </si>
  <si>
    <t>DS_2023_NonMetro_DDAs</t>
  </si>
  <si>
    <t>DS_2023_Metro_QCTs</t>
  </si>
  <si>
    <t>DS_2023_NonMetro_QCTs</t>
  </si>
  <si>
    <t>DS_2024_ZCTAs</t>
  </si>
  <si>
    <t>DS_2024_NonMetro_DDAs</t>
  </si>
  <si>
    <t>DS_2024_Metro_QCTs</t>
  </si>
  <si>
    <t>DS_2024_NonMetro_QCTs</t>
  </si>
  <si>
    <t>DS_2025_ZCTAs</t>
  </si>
  <si>
    <t>DS_2025_NonMetro_DDAs</t>
  </si>
  <si>
    <t>DS_2025_Metro_QCTs</t>
  </si>
  <si>
    <t>DS_2025_NonMetro_QCTs</t>
  </si>
  <si>
    <t>DS_2023_GAO_QCTs</t>
  </si>
  <si>
    <t>DS_2024_GAO_QCTs</t>
  </si>
  <si>
    <t>DS_2025_GAO_QCTs</t>
  </si>
  <si>
    <t>C</t>
  </si>
  <si>
    <t>2 Columns</t>
  </si>
  <si>
    <t>3 Columns</t>
  </si>
  <si>
    <t>A</t>
  </si>
  <si>
    <t>N(Developer_fee_acq_eligible)</t>
  </si>
  <si>
    <t>B</t>
  </si>
  <si>
    <t>N(Developer_fee_acq_ineligible)</t>
  </si>
  <si>
    <t>N(Developer_fee_acq_total)</t>
  </si>
  <si>
    <t>D</t>
  </si>
  <si>
    <t>N(Developer_fee_non_acq_eligible)</t>
  </si>
  <si>
    <t>N(Developer_fee_non_acq_ineligible)</t>
  </si>
  <si>
    <t>N(Developer_fee_non_acq_total)</t>
  </si>
  <si>
    <t>G</t>
  </si>
  <si>
    <t>N(Developer_fee_demo_eligible)</t>
  </si>
  <si>
    <t>H</t>
  </si>
  <si>
    <t>N(Developer_fee_demo_ineligible)</t>
  </si>
  <si>
    <t>I</t>
  </si>
  <si>
    <t>N(Developer_fee_demo_total)</t>
  </si>
  <si>
    <t>J</t>
  </si>
  <si>
    <t>N(Developer_fee_eligible)</t>
  </si>
  <si>
    <t>K</t>
  </si>
  <si>
    <t>N(Developer_fee_ineligible)</t>
  </si>
  <si>
    <t>L</t>
  </si>
  <si>
    <t>N(Developer_fee_total)</t>
  </si>
  <si>
    <t>N(Dev_Fee_Max_Acq)</t>
  </si>
  <si>
    <t>N(Dev_Fee_Max_Non_Acq)</t>
  </si>
  <si>
    <t>N(Dev_Fee_Max_Demo)</t>
  </si>
  <si>
    <t>Z</t>
  </si>
  <si>
    <t>N(Dev_Fee_Max_Total)</t>
  </si>
  <si>
    <t>2026-Size 1</t>
  </si>
  <si>
    <t>2026-Size 2</t>
  </si>
  <si>
    <t>Programmed for Demgraphic specific w/ an out for RFA 104</t>
  </si>
  <si>
    <t>Bonds: FHFC MMRB Tax Exempt</t>
  </si>
  <si>
    <t>Bonds: FHFC MMRB Taxable Tail</t>
  </si>
  <si>
    <t>Bonds: Local HFA Tax Exempt</t>
  </si>
  <si>
    <t>Bonds: Local HFA Taxable Tail</t>
  </si>
  <si>
    <t>Florida Housing has reviewed some of the above Management Company experience information through an automated process and has made the determinations below. Items not specifically addressed by these determination statements are not being automatically reviewed.</t>
  </si>
  <si>
    <t>Florida Housing has reviewed some of the above Developer Experience information through an automated process and has made the determinations below. Items not specifically addressed by these determination statements are not being automatically reviewed.</t>
  </si>
  <si>
    <t>&gt;1 bedroom</t>
  </si>
  <si>
    <t>Units with more that 1 bedroom</t>
  </si>
  <si>
    <t>This section is not incorporated.</t>
  </si>
  <si>
    <t>Self-Sourced Financing</t>
  </si>
  <si>
    <t>HC 2026-2027</t>
  </si>
  <si>
    <r>
      <t>Maximum</t>
    </r>
    <r>
      <rPr>
        <u/>
        <sz val="11"/>
        <color theme="1"/>
        <rFont val="Calibri"/>
        <family val="2"/>
        <scheme val="minor"/>
      </rPr>
      <t xml:space="preserve"> 5 Bedroom</t>
    </r>
    <r>
      <rPr>
        <sz val="11"/>
        <color theme="1"/>
        <rFont val="Calibri"/>
        <family val="2"/>
        <scheme val="minor"/>
      </rPr>
      <t xml:space="preserve"> Units (% of Total), </t>
    </r>
    <r>
      <rPr>
        <b/>
        <sz val="11"/>
        <color theme="1"/>
        <rFont val="Calibri"/>
        <family val="2"/>
        <scheme val="minor"/>
      </rPr>
      <t>Family &amp; PHA</t>
    </r>
  </si>
  <si>
    <r>
      <t>Maximum</t>
    </r>
    <r>
      <rPr>
        <u/>
        <sz val="11"/>
        <color theme="1"/>
        <rFont val="Calibri"/>
        <family val="2"/>
        <scheme val="minor"/>
      </rPr>
      <t xml:space="preserve"> 5 Bedroom</t>
    </r>
    <r>
      <rPr>
        <sz val="11"/>
        <color theme="1"/>
        <rFont val="Calibri"/>
        <family val="2"/>
        <scheme val="minor"/>
      </rPr>
      <t xml:space="preserve"> Units (#), </t>
    </r>
    <r>
      <rPr>
        <b/>
        <sz val="11"/>
        <color theme="1"/>
        <rFont val="Calibri"/>
        <family val="2"/>
        <scheme val="minor"/>
      </rPr>
      <t>Family &amp; PHA</t>
    </r>
  </si>
  <si>
    <t>The maximum 5-bedroom unit requirement is not met.</t>
  </si>
  <si>
    <t>No. SW 224th St</t>
  </si>
  <si>
    <t>So. SW 224th St</t>
  </si>
  <si>
    <t>(Total Units must have an entry to turn on some of the validation formulas in Exhibit A</t>
  </si>
  <si>
    <t>SAU=0, LinkClass selected</t>
  </si>
  <si>
    <t>LinkClass=Combo</t>
  </si>
  <si>
    <t>There is no maximum unit limit.</t>
  </si>
  <si>
    <t>Max.Units="No Limit"</t>
  </si>
  <si>
    <t>Max.Units&lt;&gt;"No Limit"</t>
  </si>
  <si>
    <t>Total Units(TU)=""</t>
  </si>
  <si>
    <t>TU&lt;&gt;"",County=""</t>
  </si>
  <si>
    <t>RFA&lt;&gt;214</t>
  </si>
  <si>
    <t>1.</t>
  </si>
  <si>
    <t>2.</t>
  </si>
  <si>
    <t>3.</t>
  </si>
  <si>
    <t>3.a.</t>
  </si>
  <si>
    <t>3.b.</t>
  </si>
  <si>
    <t>3.c.</t>
  </si>
  <si>
    <t>3.d.</t>
  </si>
  <si>
    <t>3.e.</t>
  </si>
  <si>
    <t>3.f.</t>
  </si>
  <si>
    <t>TU&gt;0,Min.Units&lt;&gt;"No Limit",Total/SAU&lt;Min.Units</t>
  </si>
  <si>
    <t>TU&gt;0,Min.Units="No Limit",Total/SAU&gt;=Min.Units</t>
  </si>
  <si>
    <t>TU&gt;0,Max.Units&lt;&gt;"No Limit",Total/SAU&gt;Max.Units</t>
  </si>
  <si>
    <t>TU&gt;0,Max.Units&lt;&gt;"No Limit",Total/SAU&lt;=Max.Units</t>
  </si>
  <si>
    <t>Err/No Err in Min/Max_met_1 or Min/max_met_2</t>
  </si>
  <si>
    <t>Min.Units="&gt;=90% of Exist.Units",Exist.Units=0</t>
  </si>
  <si>
    <t>4.</t>
  </si>
  <si>
    <t>4.a.</t>
  </si>
  <si>
    <r>
      <t>TU&gt;0,</t>
    </r>
    <r>
      <rPr>
        <b/>
        <sz val="11"/>
        <color theme="1"/>
        <rFont val="Calibri"/>
        <family val="2"/>
        <scheme val="minor"/>
      </rPr>
      <t>RFA=214</t>
    </r>
  </si>
  <si>
    <t>LinkClass not selected</t>
  </si>
  <si>
    <t>4.b.</t>
  </si>
  <si>
    <t>4.c.</t>
  </si>
  <si>
    <t>4.c.(1).</t>
  </si>
  <si>
    <t>5.</t>
  </si>
  <si>
    <t>SAU&gt;0</t>
  </si>
  <si>
    <t>5.a.</t>
  </si>
  <si>
    <t>Min.Units&lt;&gt;"No Limit",SAU&lt;Min.Units</t>
  </si>
  <si>
    <t>or(SAU&gt;=Min.Units,Min.Units&lt;&gt;"No Limit")</t>
  </si>
  <si>
    <t>Max.Units&lt;&gt;"No Limit",SAU&lt;=Max.Units</t>
  </si>
  <si>
    <t>5.b.</t>
  </si>
  <si>
    <t>6.a.</t>
  </si>
  <si>
    <t>SAU&gt;Max.Units</t>
  </si>
  <si>
    <t>6.</t>
  </si>
  <si>
    <t>6.b.</t>
  </si>
  <si>
    <t>6.c.</t>
  </si>
  <si>
    <t>7.</t>
  </si>
  <si>
    <t>Actual Formula:</t>
  </si>
  <si>
    <r>
      <rPr>
        <b/>
        <u/>
        <sz val="11"/>
        <rFont val="Calibri"/>
        <family val="2"/>
        <scheme val="minor"/>
      </rPr>
      <t>Comments for Compliance with Unit Criteria</t>
    </r>
    <r>
      <rPr>
        <sz val="11"/>
        <rFont val="Calibri"/>
        <family val="2"/>
        <scheme val="minor"/>
      </rPr>
      <t xml:space="preserve"> (in sequential order)</t>
    </r>
  </si>
  <si>
    <t>DS_Units_for_Min</t>
  </si>
  <si>
    <t>DS_Absolute_Min_Units_1</t>
  </si>
  <si>
    <t>DS_Unit_Min_Descr</t>
  </si>
  <si>
    <t>=IF(Unit_Min_Limit_Basis="Total",Total_Units,Set_Asides_from_Charts)</t>
  </si>
  <si>
    <t>=IF(DS_Min_Units_1="&gt;=90% of Existing Units",90%*N(Existing_Units),N(DS_Min_Units_1))</t>
  </si>
  <si>
    <t>=IF(Unit_Min_Limit_Basis="Total","","Set-Aside ")</t>
  </si>
  <si>
    <t>=IF(Unit_Max_Limit_Basis="Total",Total_Units,Set_Asides_from_Charts)</t>
  </si>
  <si>
    <t>DS_Units_for_Max</t>
  </si>
  <si>
    <t>=IF(DS_Min_Units_1="&gt;=90% of Existing Units",90%*N(Existing_Units),N(DS_Min_Units_1)+N(IF(Link_Classification=Data1!$A$16,N(DS_Min_Units_2),0)))</t>
  </si>
  <si>
    <t>DS_Absolute_Min_Units_214</t>
  </si>
  <si>
    <t>=N(DS_Max_Units_1)+N(IF(Link_Classification=Data1!$A$16,N(DS_Max_Units_2),0))</t>
  </si>
  <si>
    <t>DS_Max_Combo_Units</t>
  </si>
  <si>
    <t xml:space="preserve">Brevard </t>
  </si>
  <si>
    <t xml:space="preserve">Dixie </t>
  </si>
  <si>
    <t xml:space="preserve">Gulf </t>
  </si>
  <si>
    <t xml:space="preserve">Hernando </t>
  </si>
  <si>
    <t xml:space="preserve">Leon </t>
  </si>
  <si>
    <t xml:space="preserve">Marion </t>
  </si>
  <si>
    <t xml:space="preserve">Osceola </t>
  </si>
  <si>
    <t>2026-024BS</t>
  </si>
  <si>
    <t>GHA Build First Site</t>
  </si>
  <si>
    <t>2024-133CN</t>
  </si>
  <si>
    <t>2025-228SA</t>
  </si>
  <si>
    <t>2026-136BSA</t>
  </si>
  <si>
    <t xml:space="preserve">Latitude 30 Villas </t>
  </si>
  <si>
    <t>2025-167BS</t>
  </si>
  <si>
    <t xml:space="preserve">New River Place </t>
  </si>
  <si>
    <t>2026-355S</t>
  </si>
  <si>
    <t>Dominium Cocoa West</t>
  </si>
  <si>
    <t>2026-066BS</t>
  </si>
  <si>
    <t xml:space="preserve">Rockledge Apartments </t>
  </si>
  <si>
    <t>2026-237C</t>
  </si>
  <si>
    <t>FBC Affordable P1C</t>
  </si>
  <si>
    <t>2025-038C</t>
  </si>
  <si>
    <t>Forest Glen</t>
  </si>
  <si>
    <t>2026-055BS</t>
  </si>
  <si>
    <t>Freedom Point Apartments</t>
  </si>
  <si>
    <t>2026-196C</t>
  </si>
  <si>
    <t>Longwood Gardens</t>
  </si>
  <si>
    <t>2026-218C</t>
  </si>
  <si>
    <t>Kelli Grove</t>
  </si>
  <si>
    <t>2024-249BS</t>
  </si>
  <si>
    <t>2024-128CN</t>
  </si>
  <si>
    <t>2026-338SH</t>
  </si>
  <si>
    <t>Serenity at Arcadia</t>
  </si>
  <si>
    <t>2025-022C</t>
  </si>
  <si>
    <t xml:space="preserve">Prince Pointe </t>
  </si>
  <si>
    <t>2025-163BS</t>
  </si>
  <si>
    <t>Ekos at Warrington</t>
  </si>
  <si>
    <t>2025-273BSA</t>
  </si>
  <si>
    <t xml:space="preserve">Cross Creek Gardens at Quincy </t>
  </si>
  <si>
    <t>2026-192C</t>
  </si>
  <si>
    <t>Vista Pointe at St. Joe</t>
  </si>
  <si>
    <t>2026-341SH</t>
  </si>
  <si>
    <t>Sandcastle Way</t>
  </si>
  <si>
    <t>2025-271BSA</t>
  </si>
  <si>
    <t>2024-077CN</t>
  </si>
  <si>
    <t>Addison Grove</t>
  </si>
  <si>
    <t>2026-337SH</t>
  </si>
  <si>
    <t>Serenity at Holly Park</t>
  </si>
  <si>
    <t>2025-035C</t>
  </si>
  <si>
    <t xml:space="preserve">Lake Saunders Apartments </t>
  </si>
  <si>
    <t>2025-003C</t>
  </si>
  <si>
    <t xml:space="preserve">The Heights on Orange </t>
  </si>
  <si>
    <t>2026-042S</t>
  </si>
  <si>
    <t>Orange on 14th Street</t>
  </si>
  <si>
    <t>2026-146BS</t>
  </si>
  <si>
    <t>University Parkway</t>
  </si>
  <si>
    <t>2026-205C</t>
  </si>
  <si>
    <t>Vista at Poinciana</t>
  </si>
  <si>
    <t>2026-206C</t>
  </si>
  <si>
    <t>Madison Oaks East</t>
  </si>
  <si>
    <t>2025-304CS</t>
  </si>
  <si>
    <t>Lofts at Tavernier</t>
  </si>
  <si>
    <t>2026-018BS</t>
  </si>
  <si>
    <t>Lofts at Trumbo</t>
  </si>
  <si>
    <t>2026-097S</t>
  </si>
  <si>
    <t>Dominium Kissimmee Family</t>
  </si>
  <si>
    <t>2025-025C</t>
  </si>
  <si>
    <t xml:space="preserve">Simpson Crossings </t>
  </si>
  <si>
    <t>2025-014C</t>
  </si>
  <si>
    <t>Woodlock Manor Phase Two</t>
  </si>
  <si>
    <t>2026-006S</t>
  </si>
  <si>
    <t>Ekos at Bayonet Point III</t>
  </si>
  <si>
    <t>2024-130CN</t>
  </si>
  <si>
    <t>2025-275BSA</t>
  </si>
  <si>
    <t xml:space="preserve">Ekos at Bayonet Pointe II </t>
  </si>
  <si>
    <t>2025-350BS</t>
  </si>
  <si>
    <t>3 McCown Tower</t>
  </si>
  <si>
    <t>2026-238C</t>
  </si>
  <si>
    <t>Autumn Palms North Port</t>
  </si>
  <si>
    <t>2026-141BSA</t>
  </si>
  <si>
    <t>2025-234SA</t>
  </si>
  <si>
    <t>2026-178C</t>
  </si>
  <si>
    <t>Spring Meadows</t>
  </si>
  <si>
    <t>2025-031C</t>
  </si>
  <si>
    <t xml:space="preserve">Sunrise Village </t>
  </si>
  <si>
    <t>2026-203C</t>
  </si>
  <si>
    <t>Sunray Station</t>
  </si>
  <si>
    <t>2026-342SH</t>
  </si>
  <si>
    <t>Tranquility at DeFuniak Springs</t>
  </si>
  <si>
    <t>2026-340SH</t>
  </si>
  <si>
    <t>Tranquility at Chipley</t>
  </si>
  <si>
    <t>F,F</t>
  </si>
  <si>
    <t>2026-2027 DS_Proximity_DDMenu</t>
  </si>
  <si>
    <t>Any entry in above cells will be prioritized over Applicant Lat Long calculations</t>
  </si>
  <si>
    <t>Woodland Park II - Site 1</t>
  </si>
  <si>
    <t>Woodland Park II - Site 2</t>
  </si>
  <si>
    <t>Woodland Park II - Site 3</t>
  </si>
  <si>
    <t>Summit Villas - Site 1</t>
  </si>
  <si>
    <t>Summit Villas - Site 2</t>
  </si>
  <si>
    <t>Amaryllis Park Place 4 - Site 1</t>
  </si>
  <si>
    <t>Amaryllis Park Place 4 - Site 2</t>
  </si>
  <si>
    <t>BABA Multiplier</t>
  </si>
  <si>
    <t>ODR</t>
  </si>
  <si>
    <t>Actual Used</t>
  </si>
  <si>
    <t>TDC Hard &amp; Soft Multiplier for New Construction:</t>
  </si>
  <si>
    <t>TDC Hard &amp; Soft Multiplier for Rehab:</t>
  </si>
  <si>
    <t>Calc Max SC:</t>
  </si>
  <si>
    <t>Acq:</t>
  </si>
  <si>
    <t>W/Add Multi</t>
  </si>
  <si>
    <t>All-In</t>
  </si>
  <si>
    <t>Per Dev</t>
  </si>
  <si>
    <t>Rehab %'s</t>
  </si>
  <si>
    <t>Per Dev*Rehab%</t>
  </si>
  <si>
    <t>Per Dev*18%</t>
  </si>
  <si>
    <t>Actual</t>
  </si>
  <si>
    <t>NC Maximum % Developer Fee on Total Actual Construction Costs (Hard Costs)</t>
  </si>
  <si>
    <t>AR Maximum % Developer Fee on Total Actual Construction Costs (Hard Costs)</t>
  </si>
  <si>
    <t>Blended Hard Cost Factor Per Unit</t>
  </si>
  <si>
    <t>NC Hard Cost Factor Per Unit</t>
  </si>
  <si>
    <t>SC Hard Cost Factor Per Unit</t>
  </si>
  <si>
    <t>NC Calc Max HC:</t>
  </si>
  <si>
    <t>AR Calc Max HC:</t>
  </si>
  <si>
    <t>NC Calc Max SC:</t>
  </si>
  <si>
    <t>AR Calc Max SC:</t>
  </si>
  <si>
    <t>Subtotal</t>
  </si>
  <si>
    <t>06/26/26 Final Version</t>
  </si>
  <si>
    <t>2026 ELI Funding Per Unit</t>
  </si>
  <si>
    <t>2026 Min. NHTF Funding PU</t>
  </si>
  <si>
    <t>Location -  City:</t>
  </si>
  <si>
    <t>Location - State:</t>
  </si>
  <si>
    <t>Provide the Development name(s) of the other Priority 1 Related Applications submitted in this RFA.</t>
  </si>
  <si>
    <t>Zero will turn off all rows [Master]. Otherwise certain rows are controlled separately. Only for RFA 206.</t>
  </si>
  <si>
    <t>First Completed Stabilized Affordable Rental Housing Development that meets the management experience requirement outlined in Section Four of the RFA</t>
  </si>
  <si>
    <t>Second Completed Stabilized Affordable Rental Housing Development that meets the management experience requirement outlined in Section Four of the RFA</t>
  </si>
  <si>
    <t>The proposed Development qualifies for the Local Government Areas of Opportunity Designation?</t>
  </si>
  <si>
    <t>Level</t>
  </si>
  <si>
    <t>2026 MetroRail Menu</t>
  </si>
  <si>
    <t>2026 Urban Center</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</si>
  <si>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10</t>
    </r>
    <r>
      <rPr>
        <sz val="11"/>
        <color theme="1"/>
        <rFont val="Calibri"/>
        <family val="2"/>
        <scheme val="minor"/>
      </rPr>
      <t xml:space="preserve"> to Exhibit A.</t>
    </r>
  </si>
  <si>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</si>
  <si>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</si>
  <si>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Only for RFA 205.</t>
  </si>
  <si>
    <t>Section 4.A.11
Local Government Area of Opportunity Contributions</t>
  </si>
  <si>
    <r>
      <t xml:space="preserve">To demonstrate the LGAO Contribution, provide the Local Government Area of Opportunity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</si>
  <si>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The Local Government Area of Opportunity form(s) </t>
    </r>
    <r>
      <rPr>
        <b/>
        <i/>
        <sz val="13"/>
        <color theme="1"/>
        <rFont val="Calibri"/>
        <family val="2"/>
        <scheme val="minor"/>
      </rPr>
      <t xml:space="preserve">must be dated within </t>
    </r>
    <r>
      <rPr>
        <b/>
        <i/>
        <u/>
        <sz val="13"/>
        <color theme="1"/>
        <rFont val="Calibri"/>
        <family val="2"/>
        <scheme val="minor"/>
      </rPr>
      <t>NINE</t>
    </r>
    <r>
      <rPr>
        <b/>
        <i/>
        <sz val="13"/>
        <color theme="1"/>
        <rFont val="Calibri"/>
        <family val="2"/>
        <scheme val="minor"/>
      </rPr>
      <t xml:space="preserve"> months of the Application Deadline</t>
    </r>
    <r>
      <rPr>
        <i/>
        <sz val="13"/>
        <color theme="1"/>
        <rFont val="Calibri"/>
        <family val="2"/>
        <scheme val="minor"/>
      </rPr>
      <t>.</t>
    </r>
  </si>
  <si>
    <t>LGAO Contribution Funding Table</t>
  </si>
  <si>
    <t>Amount</t>
  </si>
  <si>
    <t>Loan</t>
  </si>
  <si>
    <r>
      <t xml:space="preserve">Does the documentation provided as </t>
    </r>
    <r>
      <rPr>
        <b/>
        <sz val="11"/>
        <color theme="1"/>
        <rFont val="Calibri"/>
        <family val="2"/>
        <scheme val="minor"/>
      </rPr>
      <t>Attachment 12</t>
    </r>
    <r>
      <rPr>
        <sz val="11"/>
        <color theme="1"/>
        <rFont val="Calibri"/>
        <family val="2"/>
        <scheme val="minor"/>
      </rPr>
      <t xml:space="preserve"> demonstrate that the Application qualifies for the Local Government Areas of Opportunity Designation, as outlined in Section Four, A.11. of the RFA?</t>
    </r>
  </si>
  <si>
    <t>Section 4.A.3.b.(3)(b)
Developer Experience Funding Preference</t>
  </si>
  <si>
    <t>Does the liquidity of the Principal(s) meet the criteria outlined in 
Section 4.A.3.b.(3)(b) of the RFA?</t>
  </si>
  <si>
    <t>Developer Experience Preference Check Box Reference Cells</t>
  </si>
  <si>
    <t>Development 5: Number of Units Test</t>
  </si>
  <si>
    <t>Development 5: Mixed Income</t>
  </si>
  <si>
    <t>Development 5: Mixed Use</t>
  </si>
  <si>
    <t>Development 5: Comparable Complexity</t>
  </si>
  <si>
    <t>Option (i) - Demonstration of successful completion of Affordable Rental Housing Developments</t>
  </si>
  <si>
    <t>Option (ii) - Demonstration of ownership in Affordable Rental Housing Developments</t>
  </si>
  <si>
    <t>Option (iii) - Demonstration of Developer Financial Liquidity / Capacity of the Above-Named Principal(s):</t>
  </si>
  <si>
    <t>Developer Experience Points earned toward the Developer Experience Funding Preference:</t>
  </si>
  <si>
    <t>Option (i):</t>
  </si>
  <si>
    <t>Option (ii):</t>
  </si>
  <si>
    <t>Option (iii):</t>
  </si>
  <si>
    <t>Completed</t>
  </si>
  <si>
    <t>Pts</t>
  </si>
  <si>
    <t>Option (ii) Input Comple?</t>
  </si>
  <si>
    <t>Option (ii) Tracking</t>
  </si>
  <si>
    <t>Option (i) Tracking</t>
  </si>
  <si>
    <t>Option (i) Input Comple?</t>
  </si>
  <si>
    <t>Total Developer Experience Points Earned:</t>
  </si>
  <si>
    <t>Is the Applicant eligible for the Developer Experience Funding Preference?</t>
  </si>
  <si>
    <r>
      <t xml:space="preserve">White-out the input &amp; marker indicators in columns N:R in </t>
    </r>
    <r>
      <rPr>
        <b/>
        <sz val="11"/>
        <color theme="1"/>
        <rFont val="Calibri"/>
        <family val="2"/>
        <scheme val="minor"/>
      </rPr>
      <t>Developer Pref</t>
    </r>
    <r>
      <rPr>
        <sz val="11"/>
        <color theme="1"/>
        <rFont val="Calibri"/>
        <family val="2"/>
        <scheme val="minor"/>
      </rPr>
      <t xml:space="preserve"> tab:</t>
    </r>
  </si>
  <si>
    <t>Option (i) - Development #1:</t>
  </si>
  <si>
    <t>Option (i) - Development #2:</t>
  </si>
  <si>
    <t>Option (i) - Development #3:</t>
  </si>
  <si>
    <t>Option (i) - Development #4:</t>
  </si>
  <si>
    <t>Option (i) - Development #5:</t>
  </si>
  <si>
    <t>Option (ii) - Development #1:</t>
  </si>
  <si>
    <t>Option (ii) - Development #2:</t>
  </si>
  <si>
    <t>Option (ii) - Development #3:</t>
  </si>
  <si>
    <t>Option (ii) - Development #4:</t>
  </si>
  <si>
    <t>Option (ii) - Development #5:</t>
  </si>
  <si>
    <t>2025-2026</t>
  </si>
  <si>
    <t>Which natural person Principal identified above was also a Principal of this Development?</t>
  </si>
  <si>
    <t>Natural Person 1:</t>
  </si>
  <si>
    <t>Natural Person 2:</t>
  </si>
  <si>
    <t>Natural Person 1</t>
  </si>
  <si>
    <t>Natural Person 2</t>
  </si>
  <si>
    <t>Both Natural Persons</t>
  </si>
  <si>
    <t>The Applicant can earn Developer Experience points for the purpose of being eligible for the Developer Experience Funding Preference. To be eligible for this preference, the Applications must achieve a minimum of 20 points that must include a minimuim of 5 points in criteria (i) and a minimum of 5 points in criteria (ii). When completing the funding preference information below, the Applicant may also reference the Development(s) listed in the Required Developer Experience section in the General Information tab.</t>
  </si>
  <si>
    <t>(1) Two Years of continuous LGAO support</t>
  </si>
  <si>
    <t>(2) One Year of continuous LGAO support</t>
  </si>
  <si>
    <t>Look at when this section gets "blued-out"</t>
  </si>
  <si>
    <r>
      <t xml:space="preserve">To demonstrate the Local Government Contribution, provide the applicable Local Government Verification of Contribution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</si>
  <si>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Please enter the total values of all relative forms provided as </t>
    </r>
    <r>
      <rPr>
        <b/>
        <sz val="11"/>
        <color theme="1"/>
        <rFont val="Calibri"/>
        <family val="2"/>
        <scheme val="minor"/>
      </rPr>
      <t>Attachment 12</t>
    </r>
    <r>
      <rPr>
        <sz val="11"/>
        <color theme="1"/>
        <rFont val="Calibri"/>
        <family val="2"/>
        <scheme val="minor"/>
      </rPr>
      <t xml:space="preserve">. If more than one form of the same kind is provided, please add the amounts together and enter the total. The Value of Contribution (if applicable) is calculated automatically by taking the Face Amount and subtracting the Net Present Value of the repayment terms. </t>
    </r>
  </si>
  <si>
    <r>
      <t xml:space="preserve">Please enter the total values of all relative forms provided as </t>
    </r>
    <r>
      <rPr>
        <b/>
        <sz val="11"/>
        <color theme="1"/>
        <rFont val="Calibri"/>
        <family val="2"/>
        <scheme val="minor"/>
      </rPr>
      <t>Attachment 12</t>
    </r>
    <r>
      <rPr>
        <sz val="11"/>
        <color theme="1"/>
        <rFont val="Calibri"/>
        <family val="2"/>
        <scheme val="minor"/>
      </rPr>
      <t>. If more than one form of the same kind is provided, please add the amounts together and enter the total.</t>
    </r>
  </si>
  <si>
    <t>Developer Experience Funding Preference</t>
  </si>
  <si>
    <t>To receive the preference, the criteria outlined in Section Four A.3.b.(3)(b) of the RFA must be met. Enter appropriate responses in the Developer Pref worksheet tab.</t>
  </si>
  <si>
    <t>Column M turns off Data1 e. Proximity items</t>
  </si>
  <si>
    <t>Jean would like to ncorporate a lower maximum if LDA is kept</t>
  </si>
  <si>
    <r>
      <t xml:space="preserve">When Subsection Master (i) is "On", Column L controls this row.
</t>
    </r>
    <r>
      <rPr>
        <b/>
        <i/>
        <sz val="10"/>
        <color theme="4"/>
        <rFont val="Calibri"/>
        <family val="2"/>
        <scheme val="minor"/>
      </rPr>
      <t>Includes a POP-UP message in this row when the indicated Development is NOT in Florida.</t>
    </r>
  </si>
  <si>
    <r>
      <t xml:space="preserve">The proposed Development's Market Study, when completed, must meet the criteria set forth in </t>
    </r>
    <r>
      <rPr>
        <b/>
        <sz val="11"/>
        <color theme="1"/>
        <rFont val="Calibri"/>
        <family val="2"/>
        <scheme val="minor"/>
      </rPr>
      <t>Section 4.A.5.h.</t>
    </r>
  </si>
  <si>
    <t>If Applicant is a Self-Sourced Applicant, does it commit to the Conversion Option and all of the criteria in Section 4.A.6.f.(1)(a) to achieve three Compliance Period points towards the total Self-Sourced Applicant points?</t>
  </si>
  <si>
    <t>If Applicant is a Self-Sourced Applicant, does it commit to the Waiver Option and all of the criteria in Section 4.A.6.f.(1)(b) to achieve six Compliance Period points towards the total Self-Sourced Applicant points?</t>
  </si>
  <si>
    <r>
      <t xml:space="preserve">Per Development - </t>
    </r>
    <r>
      <rPr>
        <b/>
        <sz val="11"/>
        <color theme="1"/>
        <rFont val="Calibri"/>
        <family val="2"/>
        <scheme val="minor"/>
      </rPr>
      <t>Minimum</t>
    </r>
    <r>
      <rPr>
        <sz val="11"/>
        <color theme="1"/>
        <rFont val="Calibri"/>
        <family val="2"/>
        <scheme val="minor"/>
      </rPr>
      <t xml:space="preserve"> for All Counties</t>
    </r>
  </si>
  <si>
    <t>Per Development - Minimum All Counties</t>
  </si>
  <si>
    <t>* Any interest earned on the investment of the Tax Exempt Bond Allocation will be considered in credit underwriting.</t>
  </si>
  <si>
    <t>Aggregate Basis</t>
  </si>
  <si>
    <t>Maximum Dollar Request Amount</t>
  </si>
  <si>
    <t>Maximum % of Aggregate Basis for New Construction</t>
  </si>
  <si>
    <t>Maximum Request Amount Variables</t>
  </si>
  <si>
    <t>Dollar amount for maximum % of Aggregate Basis for New Construction</t>
  </si>
  <si>
    <t>Minimum % of Aggregate Basis</t>
  </si>
  <si>
    <t>1st Mortgage from the Pro Forma's Perm Analysis</t>
  </si>
  <si>
    <t>Minimum Request Amount Variable</t>
  </si>
  <si>
    <t>Limitation Test</t>
  </si>
  <si>
    <t>Maximum % of Aggregate Basis for Rehabilitation w/ or w/o Acquisition (Default)</t>
  </si>
  <si>
    <t>Dollar amount for maximum % of Aggregate Basis for Rehabilitation w/ or w/o Acquisition (Default)</t>
  </si>
  <si>
    <t>2026-2027</t>
  </si>
  <si>
    <t>Formula</t>
  </si>
  <si>
    <t>This includes 2- &amp; 3-Factor CTs</t>
  </si>
  <si>
    <t>All 2026 2F GAOs
sorted by CT</t>
  </si>
  <si>
    <t>All 2026 3F GAOs
sorted by CT</t>
  </si>
  <si>
    <t>DS_2026_2F_GAO_CTs</t>
  </si>
  <si>
    <t>DS_2026_3F_GAO_CTs</t>
  </si>
  <si>
    <t>DS_2026_2F_GAO_CTs_Sorted</t>
  </si>
  <si>
    <t>DS_2026_3F_GAO_CTs_Sorted</t>
  </si>
  <si>
    <t>Includes 2- &amp; 3-Factor CTs</t>
  </si>
  <si>
    <t>What is the maximum permanent supportable debt on the development?</t>
  </si>
  <si>
    <t>*This amount will be transferred automatically to the First Mortgage Financing line item in the Permanent Funding Sources section of the Pro Forma tab.</t>
  </si>
  <si>
    <t>Non-Corporation-issued Tax-Exempt Bonds</t>
  </si>
  <si>
    <t>This is the amount to show up in Construciton</t>
  </si>
  <si>
    <r>
      <t xml:space="preserve">If "Yes", provide the Urban Infill Development Form as </t>
    </r>
    <r>
      <rPr>
        <b/>
        <sz val="11"/>
        <color theme="1"/>
        <rFont val="Calibri"/>
        <family val="2"/>
        <scheme val="minor"/>
      </rPr>
      <t>Attachment 1</t>
    </r>
    <r>
      <rPr>
        <sz val="11"/>
        <color theme="1"/>
        <rFont val="Calibri"/>
        <family val="2"/>
        <scheme val="minor"/>
      </rPr>
      <t>.</t>
    </r>
  </si>
  <si>
    <t>Youth Aging Out of Foster Care Goal in Family Developments</t>
  </si>
  <si>
    <t>Regardless of the issuing agency for the Tax-Exempt Bonds (Corporation-Issued MMRB or Non-Corporation-issued Tax-Exempt Bonds), what is the maximum permanent supportable debt on the development?*</t>
  </si>
  <si>
    <t>If the Applicant does not want Corporation-Issued MMRB funding, enter a value in the Non-Corporation-issued Tax-Exempt Bonds section below.</t>
  </si>
  <si>
    <t>Applicant's Corporation-Issued MMRB Request Amount</t>
  </si>
  <si>
    <t>(A)</t>
  </si>
  <si>
    <t>This is the amount to show up in Permanent Sources</t>
  </si>
  <si>
    <t>This is the MMRB Tax-Exempt PAB Allocation Request Amount and for 25% Test</t>
  </si>
  <si>
    <t>(B)</t>
  </si>
  <si>
    <t>(C)</t>
  </si>
  <si>
    <t>Applicant's Corporation-Issued Tax-Exempt MMRB Request Amount:</t>
  </si>
  <si>
    <t>Applicant's Eligible Corporation-Issued Tax-Exempt MMRB Request Amount:</t>
  </si>
  <si>
    <t>Taxable-Tail</t>
  </si>
  <si>
    <t>Applicant's Corporation-Issued Taxable-Tail MMRB Request Amount:</t>
  </si>
  <si>
    <t>Applicant's Eligible Corporation-Issued Taxable-Tail MMRB Request Amount:</t>
  </si>
  <si>
    <t>Total Amount of Corporation-Issued bond funding to be incorporated as the construction first mortgage MMRB loan:</t>
  </si>
  <si>
    <t>Does the Applicant Qualify for the Funding Preference for Applicants Requesting Lower Percentage of MMRB Allocation?</t>
  </si>
  <si>
    <t>Total Non-Corporation-issued Bond Amount. This will be incorporated as the First Mortgage Financing within the Construction Funding Sources.</t>
  </si>
  <si>
    <t>Delete, not referenced</t>
  </si>
  <si>
    <t>Syndicator</t>
  </si>
  <si>
    <t>RFA 2026-204 SAIL FINANCING FOR THE PRESERVATION OF ELDERLY DEVELOPMENTS</t>
  </si>
  <si>
    <t>RFA 2026-204</t>
  </si>
  <si>
    <t>Auto Off if "New Construction" is not available.</t>
  </si>
  <si>
    <t>Expiration Date of Compliance / Affordability Period</t>
  </si>
  <si>
    <t>Designate the Development's Portfolio Status</t>
  </si>
  <si>
    <t>Is the existing Development currently in the Corporation Portfolio?</t>
  </si>
  <si>
    <t>If Yes, Provide the following information:</t>
  </si>
  <si>
    <t>Application Number of the Development</t>
  </si>
  <si>
    <t>Previous name of Development if different than proposed Development's name.</t>
  </si>
  <si>
    <t>Does the Affordability Period of the proposed Development expire between the Application Deadline of this RFA and December 31, 2031?</t>
  </si>
  <si>
    <t>b</t>
  </si>
  <si>
    <t>=IF(AND(DS_HC_Funding="Yes",OR(Development_Category="Rehabilitation",Development_Category="Acquisition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Acquisition)"),IF(Data1!B302=1,"not ",""),IF(Data1!B270=1,"not ",""))&amp;"qualify for the basis boost, the adjusted basis of the rehabilitation expenditures is "&amp;TEXT(IF(AND(OR(Development_Category="Rehabilitation",Development_Category="Acquisition and Rehabilitation"),Development_SubCategory&lt;&gt;"Preservation (w/ or w/o Acquisition)"),IF(LEFT(Data1!B305,1)="(",0,Data1!B305),IF(LEFT(Data1!B273,1)="(",0,Data1!B273)),"$#,##0.00")&amp;" ("&amp;TEXT(IF(AND(OR(Development_Category="Rehabilitation",Development_Category="Acquisition and Rehabilitation"),Development_SubCategory&lt;&gt;"Preservation (w/ or w/o Acquisition)"),IF(LEFT(Data1!B296,1)="(",0,Data1!B296),IF(LEFT(Data1!B264,1)="(",0,Data1!B264)),"$#,##0.00")&amp;" x "&amp;TEXT(IF(AND(OR(Development_Category="Rehabilitation",Development_Category="Acquisition and Rehabilitation"),Development_SubCategory&lt;&gt;"Preservation (w/ or w/o Acquisition)"),Data1!B302,Data1!B270),"0.00x")&amp;" Basis Boost x "&amp;TEXT(IF(AND(OR(Development_Category="Rehabilitation",Development_Category="Acquisition and Rehabilitation"),Development_SubCategory&lt;&gt;"Preservation (w/ or w/o Acquisition)"),N(Data1!B303),N(Data1!B271)),"0%")&amp;" Applicable Fraction). The qualified basis per housing credit unit is "&amp;TEXT(IF(AND(OR(Development_Category="Rehabilitation",Development_Category="Acquisition and Rehabilitation"),Development_SubCategory&lt;&gt;"Preservation (w/ or w/o Acquisition)"),IF(LEFT(Data1!B306,1)="(",0,Data1!B306),IF(LEFT(Data1!B274,1)="(",0,Data1!B274)),"$#,##0.00")&amp;", which is "&amp;IF(AND(OR(Development_Category="Rehabilitation",Development_Category="Acquisition and Rehabilitation"),Development_SubCategory&lt;&gt;"Preservation (w/ or w/o Acquisition)"),IF(IF(LEFT(Data1!B306,1)="(",0,Data1!B306)&gt;Data1!B301,"greater than ",IF(IF(LEFT(Data1!B306,1)="(",0,Data1!B306)=Data1!B301,"equal to ","less than ")),IF(IF(LEFT(Data1!B274,1)="(",0,Data1!B274)&gt;Data1!B269,"greater than ",IF(IF(LEFT(Data1!B274,1)="(",0,Data1!B274)=Data1!B269,"equal to ","less than ")))&amp;TEXT(IF(AND(OR(Development_Category="Rehabilitation",Development_Category="Acquisition and Rehabilitation"),Development_SubCategory&lt;&gt;"Preservation (w/ or w/o Acquisition)"),Data1!B301,Data1!B269),"$#,##0")&amp;".","")</t>
  </si>
  <si>
    <t>Prior</t>
  </si>
  <si>
    <t>New</t>
  </si>
  <si>
    <t>Named</t>
  </si>
  <si>
    <t>Data1!B270</t>
  </si>
  <si>
    <t>Data1!B296</t>
  </si>
  <si>
    <t>Data1!B264</t>
  </si>
  <si>
    <t>Data1!B301</t>
  </si>
  <si>
    <t>Preservation</t>
  </si>
  <si>
    <t>Data1!B289</t>
  </si>
  <si>
    <t>Data1!B294</t>
  </si>
  <si>
    <t>Data1!B295</t>
  </si>
  <si>
    <t>Data1!B298</t>
  </si>
  <si>
    <t>Data1!B299</t>
  </si>
  <si>
    <t>Data1!B321</t>
  </si>
  <si>
    <t>Data1!B326</t>
  </si>
  <si>
    <t>Data1!B327</t>
  </si>
  <si>
    <t>Data1!B328</t>
  </si>
  <si>
    <t>Data1!B330</t>
  </si>
  <si>
    <t>Data1!B331</t>
  </si>
  <si>
    <t>DS_HC_Funding</t>
  </si>
  <si>
    <t>Data1!B229</t>
  </si>
  <si>
    <t>Data1!B300</t>
  </si>
  <si>
    <t>Data1!B304</t>
  </si>
  <si>
    <t>Data1!B332</t>
  </si>
  <si>
    <t>Data1!B333</t>
  </si>
  <si>
    <t>Data1!B336</t>
  </si>
  <si>
    <t>Dev Category</t>
  </si>
  <si>
    <t>Data1!B244</t>
  </si>
  <si>
    <t>Data1!B320</t>
  </si>
  <si>
    <t>Data1!B255</t>
  </si>
  <si>
    <t>Data1!B232</t>
  </si>
  <si>
    <t>Data1!B256</t>
  </si>
  <si>
    <t>Data1!B290</t>
  </si>
  <si>
    <t>Data1!B235</t>
  </si>
  <si>
    <t>Data1!B259</t>
  </si>
  <si>
    <t>Data1!B267</t>
  </si>
  <si>
    <t>Data1!B188</t>
  </si>
  <si>
    <t>Does the Proposed Development meet the criteria for the IRC Minimum Rehab Expenses Requirements</t>
  </si>
  <si>
    <t>Does the Proposed Development meet the criteria for the IRC Minimum QualBasis Requirements</t>
  </si>
  <si>
    <t>Data1!B254</t>
  </si>
  <si>
    <t>Data1!B222</t>
  </si>
  <si>
    <t>Data1!B288</t>
  </si>
  <si>
    <t>Data1!B293</t>
  </si>
  <si>
    <t>Data1!B325</t>
  </si>
  <si>
    <t>Data1!B227</t>
  </si>
  <si>
    <t>Data1!B223</t>
  </si>
  <si>
    <t>Data1!B323</t>
  </si>
  <si>
    <t>Data1!B257</t>
  </si>
  <si>
    <t>Data1!B225</t>
  </si>
  <si>
    <t>Data1!B291</t>
  </si>
  <si>
    <t>Data1!B224</t>
  </si>
  <si>
    <t>Data1!B322</t>
  </si>
  <si>
    <t>Data1!B228</t>
  </si>
  <si>
    <t>Data1!B260</t>
  </si>
  <si>
    <t>Data1!B234</t>
  </si>
  <si>
    <t>Data1!B266</t>
  </si>
  <si>
    <t>Begins</t>
  </si>
  <si>
    <t>Data1!B261</t>
  </si>
  <si>
    <t>Data1!B262</t>
  </si>
  <si>
    <t>Data1!B230</t>
  </si>
  <si>
    <t>Data1!B265</t>
  </si>
  <si>
    <t>Data1!B233</t>
  </si>
  <si>
    <t>Data1!B238</t>
  </si>
  <si>
    <t xml:space="preserve">     (d) 20% of adjusted basis of acquired building</t>
  </si>
  <si>
    <t xml:space="preserve">     (iii)(A) 20% of adjusted basis of acquired building</t>
  </si>
  <si>
    <t>DS_IRC_Min_Rehab_Costs_PU</t>
  </si>
  <si>
    <t>DS_IRC_Rehab_Costs_Rehab</t>
  </si>
  <si>
    <t>DS_Basis_Boost_Rehab</t>
  </si>
  <si>
    <t>DS_SetAside_Percent_Rehab</t>
  </si>
  <si>
    <t>DS_QB_Rehab_Costs_Rehab</t>
  </si>
  <si>
    <t>DS_QB_Rehab_Costs_HC_Units_Rehab</t>
  </si>
  <si>
    <t>DS_IRC_Qual_Basis_Rehab</t>
  </si>
  <si>
    <t>DS_FHFC_Min_Rehab_Costs_PU</t>
  </si>
  <si>
    <t>DS_FHFC_Min_Hard_Cost_Met_Rehab</t>
  </si>
  <si>
    <t>DS_IRC_Min_Cost_Bldg_Rehab</t>
  </si>
  <si>
    <t>DS_IRC_Adj_Basis_Bldg_Rehab</t>
  </si>
  <si>
    <t>DS_IRC_Min_Adj_Basis_Bldg_Rehab</t>
  </si>
  <si>
    <t>DS_IRC_Min_AB_Bldg_Met_Rehab</t>
  </si>
  <si>
    <t>DS_IRC_Min_Cost_Bldg_Pres</t>
  </si>
  <si>
    <t>DS_IRC_Rehab_Costs_Pres</t>
  </si>
  <si>
    <t>DS_IRC_Adj_Basis_Bldg_Pres</t>
  </si>
  <si>
    <t>DS_IRC_Min_Adj_Basis_Bldg_Pres</t>
  </si>
  <si>
    <t>DS_IRC_Min_AB_Bldg_Met_Pres</t>
  </si>
  <si>
    <t>DS_IRC_Min_Pres_Costs_PU</t>
  </si>
  <si>
    <t>DS_Basis_Boost_Pres</t>
  </si>
  <si>
    <t>DS_SetAside_Percent_Pres</t>
  </si>
  <si>
    <t>DS_QB_Rehab_Costs_Pres</t>
  </si>
  <si>
    <t>DS_QB_Rehab_Costs_HC_Units_Pres</t>
  </si>
  <si>
    <t>DS_IRC_Qual_Basis_Pres</t>
  </si>
  <si>
    <t>DS_FHFC_Min_Pres_Costs_PU</t>
  </si>
  <si>
    <t>DS_FHFC_Min_Hard_Cost_Met_Pres</t>
  </si>
  <si>
    <r>
      <t xml:space="preserve">If "Yes", provide the required letter as </t>
    </r>
    <r>
      <rPr>
        <b/>
        <sz val="11"/>
        <color theme="1"/>
        <rFont val="Calibri"/>
        <family val="2"/>
        <scheme val="minor"/>
      </rPr>
      <t>Attachment 4</t>
    </r>
    <r>
      <rPr>
        <sz val="11"/>
        <color theme="1"/>
        <rFont val="Calibri"/>
        <family val="2"/>
        <scheme val="minor"/>
      </rPr>
      <t>.</t>
    </r>
  </si>
  <si>
    <t>Age of Development:</t>
  </si>
  <si>
    <t>RFA Definition override from Rule Chapter</t>
  </si>
  <si>
    <t xml:space="preserve">     (b) Minimum RFA Age 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</si>
</sst>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9">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 Enter a 0 to exclude section: &quot;0"/>
    <numFmt numFmtId="177" formatCode="#,##0.0_);[Red]\(#,##0.0\)"/>
    <numFmt numFmtId="178" formatCode="#,##0.000_);[Red]\(#,##0.000\)"/>
    <numFmt numFmtId="179" formatCode="0.0000"/>
    <numFmt numFmtId="180" formatCode="0.0000&quot;**&quot;"/>
    <numFmt numFmtId="181" formatCode="mm/dd/yyyy;@"/>
    <numFmt numFmtId="182" formatCode="0.0%"/>
    <numFmt numFmtId="183" formatCode="#,##0.00&quot;x&quot;"/>
    <numFmt numFmtId="184" formatCode="#,##0.00000_);[Red]\(#,##0.00000\)"/>
    <numFmt numFmtId="185" formatCode="0.0000%"/>
    <numFmt numFmtId="186" formatCode="&quot;$&quot;#,##0.0000"/>
    <numFmt numFmtId="187" formatCode="0_);[Red]\(0\)"/>
    <numFmt numFmtId="188" formatCode="#,##0&quot; Units&quot;"/>
    <numFmt numFmtId="189" formatCode="#,##0.000&quot; mi&quot;"/>
    <numFmt numFmtId="190" formatCode="#,##0.00&quot; mi&quot;"/>
    <numFmt numFmtId="191" formatCode="#,##0.00&quot; km&quot;"/>
    <numFmt numFmtId="192" formatCode="&quot;Code: &quot;0"/>
    <numFmt numFmtId="193" formatCode="&quot;&lt;= &quot;0.00&quot; mi&quot;"/>
    <numFmt numFmtId="194" formatCode="&quot;&gt; &quot;0.00&quot; mi&quot;"/>
    <numFmt numFmtId="195" formatCode="0.0"/>
    <numFmt numFmtId="196" formatCode="#,##0.0"/>
    <numFmt numFmtId="197" formatCode="#,##0.000"/>
    <numFmt numFmtId="198" formatCode="0.000000"/>
    <numFmt numFmtId="199" formatCode="0&quot; Years&quot;"/>
    <numFmt numFmtId="200" formatCode="0&quot; Total Units over the Maximum Bedroom Count&quot;"/>
    <numFmt numFmtId="201" formatCode="&quot;Description of Highest Ranking [&quot;0&quot;]&quot;"/>
    <numFmt numFmtId="202" formatCode="&quot;Simple Avg: &quot;&quot;$&quot;#,##0_)"/>
    <numFmt numFmtId="203" formatCode="&quot;Weighted Avg: &quot;&quot;$&quot;#,##0_)"/>
    <numFmt numFmtId="204" formatCode="&quot;Maximum: &quot;&quot;$&quot;#,##0_)"/>
    <numFmt numFmtId="205" formatCode="&quot;&gt;= &quot;0.0%"/>
    <numFmt numFmtId="206" formatCode="&quot;&lt; &quot;0.0%"/>
    <numFmt numFmtId="207" formatCode="&quot;Level &quot;0"/>
    <numFmt numFmtId="208" formatCode="0%&quot; of Total Units&quot;"/>
    <numFmt numFmtId="209" formatCode="&quot;$&quot;#,##0.000_);[Red]\(&quot;$&quot;#,##0.000\)"/>
    <numFmt numFmtId="210" formatCode="0&quot; SAUs&quot;"/>
    <numFmt numFmtId="211" formatCode="&quot;Enter 0 or 1 for Δ wording: &quot;0"/>
    <numFmt numFmtId="212" formatCode="&quot; Enter a 0 to exclude line: &quot;0"/>
    <numFmt numFmtId="213" formatCode="&quot; Enter a 0 to exclude row 29: &quot;0"/>
    <numFmt numFmtId="214" formatCode="0&quot; Total 0- &amp; 1-Bedroom Units&quot;"/>
    <numFmt numFmtId="215" formatCode="0&quot; Total Units over 2-Bedrooms&quot;"/>
    <numFmt numFmtId="216" formatCode="0&quot; Total 0-Bedroom Units&quot;"/>
    <numFmt numFmtId="217" formatCode="0&quot; Total 1-Bedroom Units&quot;"/>
    <numFmt numFmtId="218" formatCode="0&quot; Total 3-Bedroom Units&quot;"/>
    <numFmt numFmtId="219" formatCode="&quot;Min Hurdle: &quot;0&quot; Units&quot;"/>
    <numFmt numFmtId="220" formatCode="&quot;RA Level &quot;0"/>
    <numFmt numFmtId="221" formatCode="&quot;Test Hurdle: &gt;&quot;0%"/>
    <numFmt numFmtId="222" formatCode="&quot;Test Hurdle: &gt;=&quot;0%"/>
    <numFmt numFmtId="223" formatCode="&quot;(&quot;0&quot; Units)&quot;"/>
    <numFmt numFmtId="224" formatCode="#,##0.000000&quot; mi&quot;"/>
    <numFmt numFmtId="225" formatCode="#,##0.000000&quot; km&quot;"/>
    <numFmt numFmtId="226" formatCode="&quot; Enter a 0 before hiding worksheet: &quot;0"/>
    <numFmt numFmtId="227" formatCode="0&quot; County&quot;"/>
    <numFmt numFmtId="228" formatCode="0.00000"/>
    <numFmt numFmtId="229" formatCode="&quot;$&quot;#,##0.0000000_);[Red]\(&quot;$&quot;#,##0.0000000\)"/>
    <numFmt numFmtId="230" formatCode="#,##0.000000_);[Red]\(#,##0.000000\)"/>
    <numFmt numFmtId="231" formatCode="###\ ###\ ###\ ###\ ###\ ###\ ###\ ###"/>
    <numFmt numFmtId="232" formatCode="&quot;Status: &quot;@&quot; &quot;"/>
    <numFmt numFmtId="233" formatCode="0&quot; years old&quot;"/>
    <numFmt numFmtId="234" formatCode="_(&quot;$&quot;* #,##0_);_(&quot;$&quot;* \(#,##0\);_(&quot;$&quot;* &quot;-&quot;??_);_(@_)"/>
    <numFmt numFmtId="235" formatCode="&quot;Website Link is: &quot;"/>
    <numFmt numFmtId="236" formatCode="&quot;Auto Δ wording: &quot;0"/>
    <numFmt numFmtId="237" formatCode="#,##0&quot; Min&quot;"/>
    <numFmt numFmtId="238" formatCode="#,##0&quot; Max&quot;"/>
    <numFmt numFmtId="239" formatCode="&quot;Max Total: &quot;0"/>
    <numFmt numFmtId="240" formatCode="&quot;Min Req: &quot;0"/>
    <numFmt numFmtId="241" formatCode="&quot;Max Req: &quot;0"/>
    <numFmt numFmtId="242" formatCode="&quot;Max Opt: &quot;0"/>
    <numFmt numFmtId="243" formatCode="0&quot; Total Units&quot;"/>
    <numFmt numFmtId="244" formatCode="0.00_);[Red]\(0.00\)"/>
    <numFmt numFmtId="245" formatCode="&quot;Total Units: &quot;0"/>
    <numFmt numFmtId="246" formatCode="#,##0.000000"/>
    <numFmt numFmtId="247" formatCode="&quot;List: &quot;0"/>
    <numFmt numFmtId="248" formatCode="0.0&quot; mi&quot;"/>
    <numFmt numFmtId="249" formatCode="0.00000&quot; mi&quot;"/>
    <numFmt numFmtId="250" formatCode="&quot;Enter 0 to Exclude; 1 to Include: &quot;0"/>
    <numFmt numFmtId="251" formatCode="mm/dd/yyyy"/>
    <numFmt numFmtId="252" formatCode="&quot;$&quot;#,##0.0000_);[Red]\(&quot;$&quot;#,##0.0000\)"/>
    <numFmt numFmtId="253" formatCode="#,##0.000&quot; km&quot;"/>
    <numFmt numFmtId="254" formatCode="#,##0.000000000&quot; km/mi&quot;"/>
    <numFmt numFmtId="255" formatCode="&quot;0=Preference; 1=100% NC Requirement: &quot;0"/>
    <numFmt numFmtId="256" formatCode="0&quot; Total 5-Bedroom Units&quot;"/>
    <numFmt numFmtId="257" formatCode="mm/dd/yy;@"/>
    <numFmt numFmtId="258" formatCode="0.000"/>
  </numFmts>
  <fonts count="227">
    <font>
      <sz val="11"/>
      <color theme="1"/>
      <name val="Calibri"/>
      <family val="2"/>
      <scheme val="minor"/>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sz val="10"/>
      <color theme="1"/>
      <name val="Calibri"/>
      <family val="2"/>
    </font>
    <font>
      <sz val="11"/>
      <color rgb="FFFFFF00"/>
      <name val="Calibri"/>
      <family val="2"/>
      <scheme val="minor"/>
    </font>
    <font>
      <i/>
      <sz val="11"/>
      <color rgb="FF7030A0"/>
      <name val="Calibri"/>
      <family val="2"/>
      <scheme val="minor"/>
    </font>
    <font>
      <b/>
      <i/>
      <sz val="11"/>
      <color rgb="FF7030A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
      <sz val="11"/>
      <color theme="1"/>
      <name val="Segoe UI"/>
      <family val="2"/>
    </font>
    <font>
      <b/>
      <sz val="11"/>
      <color theme="1"/>
      <name val="Segoe UI"/>
      <family val="2"/>
    </font>
    <font>
      <b/>
      <sz val="11"/>
      <color theme="1"/>
      <name val="Calibri"/>
      <family val="2"/>
    </font>
    <font>
      <sz val="9"/>
      <color rgb="FF0000FF"/>
      <name val="Calibri"/>
      <family val="2"/>
      <scheme val="minor"/>
    </font>
    <font>
      <sz val="11"/>
      <name val="Calibri"/>
      <family val="2"/>
    </font>
    <font>
      <i/>
      <u/>
      <sz val="11"/>
      <color rgb="FFC00000"/>
      <name val="Calibri"/>
      <family val="2"/>
      <scheme val="minor"/>
    </font>
    <font>
      <b/>
      <i/>
      <sz val="11"/>
      <color theme="1"/>
      <name val="Calibri"/>
      <family val="2"/>
      <scheme val="minor"/>
    </font>
    <font>
      <i/>
      <sz val="10"/>
      <name val="Calibri"/>
      <family val="2"/>
      <scheme val="minor"/>
    </font>
    <font>
      <b/>
      <sz val="11"/>
      <color rgb="FF00AA4B"/>
      <name val="Calibri"/>
      <family val="2"/>
      <scheme val="minor"/>
    </font>
    <font>
      <b/>
      <i/>
      <sz val="11"/>
      <name val="Calibri"/>
      <family val="2"/>
      <scheme val="minor"/>
    </font>
    <font>
      <sz val="10"/>
      <color theme="0" tint="-4.9989318521683403E-2"/>
      <name val="Calibri"/>
      <family val="2"/>
      <scheme val="minor"/>
    </font>
    <font>
      <b/>
      <i/>
      <sz val="10"/>
      <color rgb="FFC00000"/>
      <name val="Calibri"/>
      <family val="2"/>
      <scheme val="minor"/>
    </font>
    <font>
      <b/>
      <sz val="11"/>
      <color rgb="FF8300C4"/>
      <name val="Arial"/>
      <family val="2"/>
    </font>
    <font>
      <b/>
      <sz val="10"/>
      <color rgb="FF8300C4"/>
      <name val="Arial"/>
      <family val="2"/>
    </font>
    <font>
      <b/>
      <i/>
      <u/>
      <sz val="10"/>
      <name val="Arial"/>
      <family val="2"/>
    </font>
    <font>
      <b/>
      <sz val="11"/>
      <color theme="8" tint="-0.249977111117893"/>
      <name val="Arial"/>
      <family val="2"/>
    </font>
    <font>
      <b/>
      <sz val="10"/>
      <color rgb="FF008BAC"/>
      <name val="Arial"/>
      <family val="2"/>
    </font>
    <font>
      <sz val="10"/>
      <color rgb="FF008BAC"/>
      <name val="Arial"/>
      <family val="2"/>
    </font>
    <font>
      <sz val="10"/>
      <name val="Calibri"/>
      <family val="2"/>
    </font>
    <font>
      <b/>
      <sz val="10"/>
      <color rgb="FF8300C4"/>
      <name val="Calibri"/>
      <family val="2"/>
    </font>
    <font>
      <b/>
      <sz val="10"/>
      <color rgb="FF31869B"/>
      <name val="Arial"/>
      <family val="2"/>
    </font>
    <font>
      <b/>
      <sz val="10"/>
      <color rgb="FF31869B"/>
      <name val="Calibri"/>
      <family val="2"/>
    </font>
    <font>
      <b/>
      <sz val="10"/>
      <color rgb="FFFFFF00"/>
      <name val="Arial"/>
      <family val="2"/>
    </font>
    <font>
      <b/>
      <u/>
      <sz val="10"/>
      <color rgb="FFFFFF00"/>
      <name val="Arial"/>
      <family val="2"/>
    </font>
    <font>
      <sz val="10"/>
      <color theme="1"/>
      <name val="Times New Roman"/>
      <family val="1"/>
    </font>
    <font>
      <sz val="10"/>
      <color rgb="FF0070C0"/>
      <name val="Times New Roman"/>
      <family val="1"/>
    </font>
    <font>
      <sz val="10"/>
      <color rgb="FFC00000"/>
      <name val="Calibri"/>
      <family val="2"/>
      <scheme val="minor"/>
    </font>
    <font>
      <sz val="14"/>
      <color theme="1"/>
      <name val="Calibri"/>
      <family val="2"/>
    </font>
    <font>
      <i/>
      <sz val="13"/>
      <color theme="1"/>
      <name val="Calibri"/>
      <family val="2"/>
      <scheme val="minor"/>
    </font>
    <font>
      <b/>
      <i/>
      <sz val="13"/>
      <color theme="1"/>
      <name val="Calibri"/>
      <family val="2"/>
      <scheme val="minor"/>
    </font>
    <font>
      <b/>
      <i/>
      <u/>
      <sz val="13"/>
      <color theme="1"/>
      <name val="Calibri"/>
      <family val="2"/>
      <scheme val="minor"/>
    </font>
    <font>
      <i/>
      <strike/>
      <sz val="11"/>
      <color rgb="FFC00000"/>
      <name val="Calibri"/>
      <family val="2"/>
      <scheme val="minor"/>
    </font>
    <font>
      <sz val="14"/>
      <color theme="1"/>
      <name val="Calibri"/>
      <family val="2"/>
      <scheme val="minor"/>
    </font>
    <font>
      <b/>
      <u/>
      <sz val="11"/>
      <color rgb="FFFF0000"/>
      <name val="Calibri"/>
      <family val="2"/>
      <scheme val="minor"/>
    </font>
    <font>
      <sz val="10"/>
      <color rgb="FFC00000"/>
      <name val="Calibri"/>
      <family val="2"/>
    </font>
    <font>
      <i/>
      <sz val="11"/>
      <name val="Calibri"/>
      <family val="2"/>
    </font>
    <font>
      <strike/>
      <sz val="11"/>
      <color theme="1"/>
      <name val="Calibri"/>
      <family val="2"/>
      <scheme val="minor"/>
    </font>
    <font>
      <sz val="11"/>
      <color theme="4" tint="-0.249977111117893"/>
      <name val="Calibri"/>
      <family val="2"/>
      <scheme val="minor"/>
    </font>
    <font>
      <sz val="11"/>
      <color theme="3" tint="0.79998168889431442"/>
      <name val="Calibri"/>
      <family val="2"/>
      <scheme val="minor"/>
    </font>
    <font>
      <i/>
      <sz val="8"/>
      <color theme="1"/>
      <name val="Arial"/>
      <family val="2"/>
    </font>
    <font>
      <b/>
      <sz val="11"/>
      <color theme="0"/>
      <name val="Calibri"/>
      <family val="2"/>
      <scheme val="minor"/>
    </font>
    <font>
      <b/>
      <u/>
      <sz val="11"/>
      <color theme="0" tint="-0.34998626667073579"/>
      <name val="Calibri"/>
      <family val="2"/>
      <scheme val="minor"/>
    </font>
    <font>
      <b/>
      <sz val="10"/>
      <color rgb="FF00AA4B"/>
      <name val="Calibri"/>
      <family val="2"/>
      <scheme val="minor"/>
    </font>
    <font>
      <sz val="11"/>
      <color rgb="FF00AA4B"/>
      <name val="Calibri"/>
      <family val="2"/>
      <scheme val="minor"/>
    </font>
    <font>
      <b/>
      <i/>
      <sz val="10"/>
      <color theme="4"/>
      <name val="Calibri"/>
      <family val="2"/>
      <scheme val="minor"/>
    </font>
    <font>
      <sz val="8"/>
      <color rgb="FFC00000"/>
      <name val="Calibri"/>
      <family val="2"/>
      <scheme val="minor"/>
    </font>
    <font>
      <strike/>
      <sz val="11"/>
      <color rgb="FF0000FF"/>
      <name val="Calibri"/>
      <family val="2"/>
      <scheme val="minor"/>
    </font>
  </fonts>
  <fills count="111">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
      <patternFill patternType="solid">
        <fgColor rgb="FFFFFFCC"/>
        <bgColor indexed="64"/>
      </patternFill>
    </fill>
    <fill>
      <patternFill patternType="darkUp">
        <fgColor theme="0" tint="-0.24994659260841701"/>
        <bgColor auto="1"/>
      </patternFill>
    </fill>
    <fill>
      <patternFill patternType="solid">
        <fgColor rgb="FF81B2DF"/>
        <bgColor indexed="64"/>
      </patternFill>
    </fill>
    <fill>
      <patternFill patternType="lightGray">
        <fgColor theme="0"/>
        <bgColor rgb="FFFFFFCC"/>
      </patternFill>
    </fill>
    <fill>
      <patternFill patternType="solid">
        <fgColor theme="0"/>
        <bgColor auto="1"/>
      </patternFill>
    </fill>
    <fill>
      <patternFill patternType="solid">
        <fgColor theme="7" tint="0.79998168889431442"/>
        <bgColor auto="1"/>
      </patternFill>
    </fill>
    <fill>
      <patternFill patternType="solid">
        <fgColor rgb="FFE1FAFF"/>
        <bgColor indexed="64"/>
      </patternFill>
    </fill>
    <fill>
      <patternFill patternType="solid">
        <fgColor rgb="FFFFF0B4"/>
        <bgColor indexed="64"/>
      </patternFill>
    </fill>
    <fill>
      <patternFill patternType="solid">
        <fgColor rgb="FFDCFFB9"/>
        <bgColor indexed="64"/>
      </patternFill>
    </fill>
    <fill>
      <patternFill patternType="mediumGray">
        <fgColor theme="0"/>
        <bgColor rgb="FFDCFFB9"/>
      </patternFill>
    </fill>
    <fill>
      <patternFill patternType="solid">
        <fgColor rgb="FFCCECFF"/>
        <bgColor indexed="64"/>
      </patternFill>
    </fill>
    <fill>
      <patternFill patternType="solid">
        <fgColor rgb="FFFED894"/>
        <bgColor indexed="64"/>
      </patternFill>
    </fill>
    <fill>
      <patternFill patternType="mediumGray">
        <fgColor rgb="FFFFFFCC"/>
        <bgColor theme="0"/>
      </patternFill>
    </fill>
    <fill>
      <patternFill patternType="mediumGray">
        <fgColor rgb="FFFFFFCC"/>
      </patternFill>
    </fill>
    <fill>
      <patternFill patternType="solid">
        <fgColor theme="0"/>
        <bgColor theme="0"/>
      </patternFill>
    </fill>
    <fill>
      <patternFill patternType="lightUp">
        <fgColor theme="0" tint="-0.14996795556505021"/>
        <bgColor theme="0"/>
      </patternFill>
    </fill>
    <fill>
      <patternFill patternType="solid">
        <fgColor rgb="FFFEEBCA"/>
        <bgColor indexed="64"/>
      </patternFill>
    </fill>
    <fill>
      <patternFill patternType="solid">
        <fgColor rgb="FFC00000"/>
        <bgColor indexed="64"/>
      </patternFill>
    </fill>
    <fill>
      <patternFill patternType="solid">
        <fgColor rgb="FF00B050"/>
        <bgColor indexed="64"/>
      </patternFill>
    </fill>
    <fill>
      <patternFill patternType="mediumGray">
        <fgColor theme="0"/>
        <bgColor rgb="FFFFFF00"/>
      </patternFill>
    </fill>
    <fill>
      <patternFill patternType="solid">
        <fgColor rgb="FFCDFFCD"/>
        <bgColor indexed="64"/>
      </patternFill>
    </fill>
    <fill>
      <patternFill patternType="mediumGray">
        <fgColor theme="0"/>
        <bgColor rgb="FF00AA4B"/>
      </patternFill>
    </fill>
    <fill>
      <patternFill patternType="darkUp">
        <fgColor theme="0"/>
        <bgColor rgb="FFFFFFCC"/>
      </patternFill>
    </fill>
    <fill>
      <patternFill patternType="solid">
        <fgColor rgb="FFFFFF99"/>
        <bgColor indexed="64"/>
      </patternFill>
    </fill>
    <fill>
      <patternFill patternType="solid">
        <fgColor rgb="FFC1FFF3"/>
        <bgColor indexed="64"/>
      </patternFill>
    </fill>
    <fill>
      <patternFill patternType="solid">
        <fgColor rgb="FFFFE575"/>
        <bgColor indexed="64"/>
      </patternFill>
    </fill>
    <fill>
      <patternFill patternType="solid">
        <fgColor rgb="FFAFF2FF"/>
        <bgColor indexed="64"/>
      </patternFill>
    </fill>
    <fill>
      <patternFill patternType="solid">
        <fgColor rgb="FFFFD009"/>
        <bgColor indexed="64"/>
      </patternFill>
    </fill>
    <fill>
      <patternFill patternType="solid">
        <fgColor theme="7"/>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00FF00"/>
        <bgColor indexed="64"/>
      </patternFill>
    </fill>
    <fill>
      <patternFill patternType="solid">
        <fgColor rgb="FF000099"/>
        <bgColor indexed="64"/>
      </patternFill>
    </fill>
    <fill>
      <patternFill patternType="solid">
        <fgColor theme="5" tint="0.59999389629810485"/>
        <bgColor indexed="64"/>
      </patternFill>
    </fill>
    <fill>
      <patternFill patternType="mediumGray">
        <fgColor theme="0"/>
        <bgColor theme="9" tint="0.79998168889431442"/>
      </patternFill>
    </fill>
    <fill>
      <patternFill patternType="mediumGray">
        <fgColor theme="0"/>
        <bgColor theme="5" tint="0.59999389629810485"/>
      </patternFill>
    </fill>
    <fill>
      <patternFill patternType="solid">
        <fgColor rgb="FF00B0F0"/>
        <bgColor indexed="64"/>
      </patternFill>
    </fill>
  </fills>
  <borders count="381">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ashed">
        <color auto="1"/>
      </bottom>
      <diagonal/>
    </border>
    <border>
      <left style="thin">
        <color indexed="64"/>
      </left>
      <right style="thin">
        <color indexed="64"/>
      </right>
      <top/>
      <bottom style="dashed">
        <color auto="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top style="thin">
        <color theme="0" tint="-4.9989318521683403E-2"/>
      </top>
      <bottom/>
      <diagonal/>
    </border>
    <border>
      <left style="thin">
        <color theme="0" tint="-4.9989318521683403E-2"/>
      </left>
      <right/>
      <top/>
      <bottom/>
      <diagonal/>
    </border>
    <border>
      <left style="thin">
        <color indexed="64"/>
      </left>
      <right/>
      <top style="thin">
        <color theme="0" tint="-4.9989318521683403E-2"/>
      </top>
      <bottom/>
      <diagonal/>
    </border>
    <border>
      <left style="dashed">
        <color theme="0" tint="-4.9989318521683403E-2"/>
      </left>
      <right style="dashed">
        <color theme="0" tint="-4.9989318521683403E-2"/>
      </right>
      <top style="dashed">
        <color theme="0" tint="-4.9989318521683403E-2"/>
      </top>
      <bottom style="dashed">
        <color theme="0" tint="-4.9989318521683403E-2"/>
      </bottom>
      <diagonal/>
    </border>
    <border>
      <left style="dashed">
        <color theme="0" tint="-4.9989318521683403E-2"/>
      </left>
      <right style="dashed">
        <color theme="0" tint="-4.9989318521683403E-2"/>
      </right>
      <top style="dashed">
        <color theme="0" tint="-4.9989318521683403E-2"/>
      </top>
      <bottom/>
      <diagonal/>
    </border>
    <border>
      <left/>
      <right style="thin">
        <color theme="0" tint="-4.9989318521683403E-2"/>
      </right>
      <top/>
      <bottom style="thin">
        <color theme="0" tint="-4.9989318521683403E-2"/>
      </bottom>
      <diagonal/>
    </border>
    <border>
      <left/>
      <right/>
      <top/>
      <bottom style="thin">
        <color theme="0" tint="-4.9989318521683403E-2"/>
      </bottom>
      <diagonal/>
    </border>
    <border>
      <left style="thin">
        <color theme="0" tint="-4.9989318521683403E-2"/>
      </left>
      <right style="thin">
        <color theme="0" tint="-4.9989318521683403E-2"/>
      </right>
      <top/>
      <bottom/>
      <diagonal/>
    </border>
    <border>
      <left style="dashed">
        <color theme="0" tint="-4.9989318521683403E-2"/>
      </left>
      <right style="dashed">
        <color theme="0" tint="-4.9989318521683403E-2"/>
      </right>
      <top/>
      <bottom style="dashed">
        <color theme="0" tint="-4.9989318521683403E-2"/>
      </bottom>
      <diagonal/>
    </border>
    <border>
      <left style="thin">
        <color indexed="64"/>
      </left>
      <right style="thin">
        <color indexed="64"/>
      </right>
      <top style="dashed">
        <color auto="1"/>
      </top>
      <bottom/>
      <diagonal/>
    </border>
    <border>
      <left style="medium">
        <color rgb="FF7030A0"/>
      </left>
      <right/>
      <top style="medium">
        <color rgb="FF7030A0"/>
      </top>
      <bottom style="thin">
        <color indexed="64"/>
      </bottom>
      <diagonal/>
    </border>
    <border>
      <left/>
      <right/>
      <top style="medium">
        <color rgb="FF7030A0"/>
      </top>
      <bottom style="thin">
        <color indexed="64"/>
      </bottom>
      <diagonal/>
    </border>
    <border>
      <left/>
      <right style="medium">
        <color rgb="FF7030A0"/>
      </right>
      <top style="medium">
        <color rgb="FF7030A0"/>
      </top>
      <bottom style="thin">
        <color indexed="64"/>
      </bottom>
      <diagonal/>
    </border>
    <border>
      <left style="medium">
        <color rgb="FF0070C0"/>
      </left>
      <right/>
      <top style="medium">
        <color rgb="FF0070C0"/>
      </top>
      <bottom style="thin">
        <color indexed="64"/>
      </bottom>
      <diagonal/>
    </border>
    <border>
      <left/>
      <right/>
      <top style="medium">
        <color rgb="FF0070C0"/>
      </top>
      <bottom style="thin">
        <color indexed="64"/>
      </bottom>
      <diagonal/>
    </border>
    <border>
      <left/>
      <right style="medium">
        <color rgb="FF0070C0"/>
      </right>
      <top style="medium">
        <color rgb="FF0070C0"/>
      </top>
      <bottom style="thin">
        <color indexed="64"/>
      </bottom>
      <diagonal/>
    </border>
    <border>
      <left style="medium">
        <color rgb="FF7030A0"/>
      </left>
      <right/>
      <top/>
      <bottom/>
      <diagonal/>
    </border>
    <border>
      <left/>
      <right style="medium">
        <color rgb="FF7030A0"/>
      </right>
      <top style="thin">
        <color indexed="64"/>
      </top>
      <bottom style="hair">
        <color indexed="64"/>
      </bottom>
      <diagonal/>
    </border>
    <border>
      <left style="medium">
        <color rgb="FF0070C0"/>
      </left>
      <right/>
      <top/>
      <bottom/>
      <diagonal/>
    </border>
    <border>
      <left/>
      <right style="medium">
        <color rgb="FF0070C0"/>
      </right>
      <top style="thin">
        <color indexed="64"/>
      </top>
      <bottom style="hair">
        <color indexed="64"/>
      </bottom>
      <diagonal/>
    </border>
    <border>
      <left/>
      <right style="medium">
        <color rgb="FF7030A0"/>
      </right>
      <top style="hair">
        <color indexed="64"/>
      </top>
      <bottom style="hair">
        <color indexed="64"/>
      </bottom>
      <diagonal/>
    </border>
    <border>
      <left/>
      <right style="medium">
        <color rgb="FF0070C0"/>
      </right>
      <top style="hair">
        <color indexed="64"/>
      </top>
      <bottom style="hair">
        <color indexed="64"/>
      </bottom>
      <diagonal/>
    </border>
    <border>
      <left/>
      <right style="medium">
        <color rgb="FF7030A0"/>
      </right>
      <top/>
      <bottom style="thin">
        <color auto="1"/>
      </bottom>
      <diagonal/>
    </border>
    <border>
      <left/>
      <right style="medium">
        <color rgb="FF0070C0"/>
      </right>
      <top/>
      <bottom style="thin">
        <color auto="1"/>
      </bottom>
      <diagonal/>
    </border>
    <border>
      <left/>
      <right style="medium">
        <color rgb="FF7030A0"/>
      </right>
      <top style="thin">
        <color auto="1"/>
      </top>
      <bottom style="thin">
        <color auto="1"/>
      </bottom>
      <diagonal/>
    </border>
    <border>
      <left/>
      <right style="medium">
        <color rgb="FF0070C0"/>
      </right>
      <top style="thin">
        <color indexed="64"/>
      </top>
      <bottom style="thin">
        <color indexed="64"/>
      </bottom>
      <diagonal/>
    </border>
    <border>
      <left/>
      <right style="medium">
        <color rgb="FF7030A0"/>
      </right>
      <top/>
      <bottom/>
      <diagonal/>
    </border>
    <border>
      <left/>
      <right style="medium">
        <color rgb="FF0070C0"/>
      </right>
      <top/>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7030A0"/>
      </left>
      <right style="medium">
        <color rgb="FF0070C0"/>
      </right>
      <top/>
      <bottom style="thin">
        <color indexed="64"/>
      </bottom>
      <diagonal/>
    </border>
    <border>
      <left style="medium">
        <color rgb="FF7030A0"/>
      </left>
      <right/>
      <top/>
      <bottom style="medium">
        <color indexed="64"/>
      </bottom>
      <diagonal/>
    </border>
    <border>
      <left style="medium">
        <color rgb="FF0070C0"/>
      </left>
      <right/>
      <top/>
      <bottom style="medium">
        <color indexed="64"/>
      </bottom>
      <diagonal/>
    </border>
    <border>
      <left style="medium">
        <color rgb="FF8300C4"/>
      </left>
      <right style="medium">
        <color rgb="FF8300C4"/>
      </right>
      <top style="medium">
        <color rgb="FF8300C4"/>
      </top>
      <bottom style="medium">
        <color rgb="FF8300C4"/>
      </bottom>
      <diagonal/>
    </border>
    <border>
      <left style="medium">
        <color rgb="FF31869B"/>
      </left>
      <right style="medium">
        <color rgb="FF31869B"/>
      </right>
      <top style="medium">
        <color rgb="FF31869B"/>
      </top>
      <bottom style="medium">
        <color rgb="FF31869B"/>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indexed="64"/>
      </left>
      <right/>
      <top style="thin">
        <color indexed="64"/>
      </top>
      <bottom/>
      <diagonal/>
    </border>
    <border>
      <left/>
      <right style="thin">
        <color indexed="64"/>
      </right>
      <top/>
      <bottom style="thin">
        <color rgb="FF0000FF"/>
      </bottom>
      <diagonal/>
    </border>
    <border>
      <left/>
      <right style="dashed">
        <color auto="1"/>
      </right>
      <top style="dashed">
        <color auto="1"/>
      </top>
      <bottom style="dashed">
        <color auto="1"/>
      </bottom>
      <diagonal/>
    </border>
    <border>
      <left/>
      <right/>
      <top style="hair">
        <color auto="1"/>
      </top>
      <bottom style="thin">
        <color rgb="FF0000FF"/>
      </bottom>
      <diagonal/>
    </border>
    <border>
      <left/>
      <right/>
      <top style="double">
        <color theme="0" tint="-4.9989318521683403E-2"/>
      </top>
      <bottom/>
      <diagonal/>
    </border>
    <border>
      <left/>
      <right style="thin">
        <color indexed="64"/>
      </right>
      <top/>
      <bottom style="dotted">
        <color indexed="64"/>
      </bottom>
      <diagonal/>
    </border>
    <border>
      <left/>
      <right/>
      <top/>
      <bottom style="dotted">
        <color theme="0" tint="-0.24994659260841701"/>
      </bottom>
      <diagonal/>
    </border>
    <border>
      <left/>
      <right/>
      <top style="dotted">
        <color theme="0" tint="-0.24994659260841701"/>
      </top>
      <bottom/>
      <diagonal/>
    </border>
    <border>
      <left/>
      <right/>
      <top/>
      <bottom style="dotted">
        <color theme="0" tint="-0.499984740745262"/>
      </bottom>
      <diagonal/>
    </border>
    <border>
      <left/>
      <right/>
      <top style="dotted">
        <color theme="0" tint="-0.499984740745262"/>
      </top>
      <bottom/>
      <diagonal/>
    </border>
    <border>
      <left/>
      <right style="thin">
        <color indexed="64"/>
      </right>
      <top style="dotted">
        <color auto="1"/>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rgb="FF0000FF"/>
      </top>
      <bottom style="thin">
        <color indexed="64"/>
      </bottom>
      <diagonal/>
    </border>
    <border>
      <left/>
      <right style="thin">
        <color indexed="64"/>
      </right>
      <top style="hair">
        <color rgb="FF0000FF"/>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ck">
        <color rgb="FF00B050"/>
      </left>
      <right style="thick">
        <color rgb="FF00B050"/>
      </right>
      <top style="thick">
        <color rgb="FF00B050"/>
      </top>
      <bottom/>
      <diagonal/>
    </border>
    <border>
      <left style="thick">
        <color rgb="FF00B050"/>
      </left>
      <right style="thick">
        <color rgb="FF00B050"/>
      </right>
      <top/>
      <bottom style="thick">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style="dotted">
        <color auto="1"/>
      </bottom>
      <diagonal/>
    </border>
    <border>
      <left style="medium">
        <color rgb="FF00B050"/>
      </left>
      <right style="medium">
        <color rgb="FF00B050"/>
      </right>
      <top/>
      <bottom style="medium">
        <color rgb="FF00B050"/>
      </bottom>
      <diagonal/>
    </border>
    <border>
      <left style="medium">
        <color rgb="FF00B050"/>
      </left>
      <right style="medium">
        <color rgb="FF00B050"/>
      </right>
      <top/>
      <bottom style="hair">
        <color auto="1"/>
      </bottom>
      <diagonal/>
    </border>
    <border>
      <left style="medium">
        <color rgb="FF00B050"/>
      </left>
      <right style="medium">
        <color rgb="FF00B050"/>
      </right>
      <top style="hair">
        <color auto="1"/>
      </top>
      <bottom style="hair">
        <color auto="1"/>
      </bottom>
      <diagonal/>
    </border>
    <border>
      <left style="medium">
        <color rgb="FF00B050"/>
      </left>
      <right style="medium">
        <color rgb="FF00B050"/>
      </right>
      <top style="hair">
        <color auto="1"/>
      </top>
      <bottom style="medium">
        <color rgb="FF00B050"/>
      </bottom>
      <diagonal/>
    </border>
    <border>
      <left style="medium">
        <color rgb="FF00B050"/>
      </left>
      <right style="medium">
        <color rgb="FF00B050"/>
      </right>
      <top style="medium">
        <color rgb="FF00B050"/>
      </top>
      <bottom style="dotted">
        <color auto="1"/>
      </bottom>
      <diagonal/>
    </border>
    <border>
      <left style="medium">
        <color rgb="FF00B050"/>
      </left>
      <right style="medium">
        <color rgb="FF00B050"/>
      </right>
      <top style="dotted">
        <color auto="1"/>
      </top>
      <bottom style="dotted">
        <color auto="1"/>
      </bottom>
      <diagonal/>
    </border>
    <border>
      <left style="medium">
        <color rgb="FF00B050"/>
      </left>
      <right style="medium">
        <color rgb="FF00B050"/>
      </right>
      <top style="dotted">
        <color auto="1"/>
      </top>
      <bottom style="medium">
        <color rgb="FF00B050"/>
      </bottom>
      <diagonal/>
    </border>
    <border>
      <left style="thin">
        <color indexed="64"/>
      </left>
      <right/>
      <top/>
      <bottom style="dotted">
        <color theme="0" tint="-0.24994659260841701"/>
      </bottom>
      <diagonal/>
    </border>
    <border>
      <left style="thin">
        <color indexed="64"/>
      </left>
      <right/>
      <top style="dotted">
        <color theme="0" tint="-0.24994659260841701"/>
      </top>
      <bottom style="dotted">
        <color theme="0" tint="-0.24994659260841701"/>
      </bottom>
      <diagonal/>
    </border>
    <border>
      <left style="thin">
        <color indexed="64"/>
      </left>
      <right/>
      <top style="dotted">
        <color theme="0" tint="-0.24994659260841701"/>
      </top>
      <bottom/>
      <diagonal/>
    </border>
    <border>
      <left style="thin">
        <color indexed="64"/>
      </left>
      <right/>
      <top/>
      <bottom style="dotted">
        <color theme="0" tint="-0.499984740745262"/>
      </bottom>
      <diagonal/>
    </border>
    <border>
      <left style="thin">
        <color indexed="64"/>
      </left>
      <right/>
      <top style="dotted">
        <color theme="0" tint="-0.499984740745262"/>
      </top>
      <bottom/>
      <diagonal/>
    </border>
    <border>
      <left/>
      <right style="medium">
        <color indexed="64"/>
      </right>
      <top style="thin">
        <color indexed="64"/>
      </top>
      <bottom style="double">
        <color indexed="64"/>
      </bottom>
      <diagonal/>
    </border>
    <border>
      <left/>
      <right/>
      <top/>
      <bottom style="thin">
        <color auto="1"/>
      </bottom>
      <diagonal/>
    </border>
    <border>
      <left/>
      <right/>
      <top style="dotted">
        <color auto="1"/>
      </top>
      <bottom style="thin">
        <color rgb="FFC00000"/>
      </bottom>
      <diagonal/>
    </border>
    <border>
      <left/>
      <right style="medium">
        <color indexed="64"/>
      </right>
      <top style="dotted">
        <color auto="1"/>
      </top>
      <bottom style="thin">
        <color rgb="FFC00000"/>
      </bottom>
      <diagonal/>
    </border>
    <border>
      <left/>
      <right/>
      <top style="thin">
        <color rgb="FFC00000"/>
      </top>
      <bottom style="dotted">
        <color auto="1"/>
      </bottom>
      <diagonal/>
    </border>
    <border>
      <left/>
      <right/>
      <top style="thin">
        <color rgb="FFC00000"/>
      </top>
      <bottom/>
      <diagonal/>
    </border>
  </borders>
  <cellStyleXfs count="15">
    <xf numFmtId="0" fontId="0" fillId="0" borderId="0"/>
    <xf numFmtId="44" fontId="5" fillId="0" borderId="0" applyFont="0" applyFill="0" applyBorder="0" applyAlignment="0" applyProtection="0"/>
    <xf numFmtId="0" fontId="11" fillId="0" borderId="0"/>
    <xf numFmtId="9" fontId="11" fillId="0" borderId="0" applyFont="0" applyFill="0" applyBorder="0" applyAlignment="0" applyProtection="0"/>
    <xf numFmtId="9" fontId="5" fillId="0" borderId="0" applyFont="0" applyFill="0" applyBorder="0" applyAlignment="0" applyProtection="0"/>
    <xf numFmtId="0" fontId="91" fillId="0" borderId="0" applyNumberFormat="0" applyFill="0" applyBorder="0" applyAlignment="0" applyProtection="0"/>
    <xf numFmtId="0" fontId="118" fillId="0" borderId="0" applyNumberFormat="0" applyFill="0" applyBorder="0" applyAlignment="0" applyProtection="0"/>
    <xf numFmtId="0" fontId="31" fillId="0" borderId="0"/>
    <xf numFmtId="0" fontId="5" fillId="0" borderId="0"/>
    <xf numFmtId="0" fontId="5" fillId="0" borderId="0"/>
    <xf numFmtId="0" fontId="5" fillId="0" borderId="0"/>
    <xf numFmtId="0" fontId="31" fillId="0" borderId="0"/>
    <xf numFmtId="43" fontId="5"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cellStyleXfs>
  <cellXfs count="3753">
    <xf numFmtId="0" fontId="0" fillId="0" borderId="0" xfId="0"/>
    <xf numFmtId="0" fontId="10"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7" fillId="0" borderId="0" xfId="0" applyFont="1"/>
    <xf numFmtId="0" fontId="0" fillId="0" borderId="0" xfId="0" applyAlignment="1">
      <alignment vertical="center"/>
    </xf>
    <xf numFmtId="0" fontId="16" fillId="0" borderId="0" xfId="0" applyFont="1"/>
    <xf numFmtId="0" fontId="6" fillId="0" borderId="0" xfId="0" applyFont="1" applyAlignment="1">
      <alignmen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vertical="top" wrapText="1"/>
    </xf>
    <xf numFmtId="0" fontId="13" fillId="0" borderId="0" xfId="0" applyFont="1" applyAlignment="1">
      <alignment vertical="center" wrapText="1"/>
    </xf>
    <xf numFmtId="49" fontId="0" fillId="0" borderId="0" xfId="0" applyNumberFormat="1" applyAlignment="1">
      <alignment vertical="center" wrapText="1"/>
    </xf>
    <xf numFmtId="0" fontId="26" fillId="0" borderId="0" xfId="0" applyFont="1" applyAlignment="1">
      <alignment horizontal="left" vertical="center" wrapText="1"/>
    </xf>
    <xf numFmtId="0" fontId="8" fillId="0" borderId="0" xfId="0" applyFont="1" applyAlignment="1">
      <alignment vertical="center"/>
    </xf>
    <xf numFmtId="0" fontId="15" fillId="0" borderId="0" xfId="0" applyFont="1" applyAlignment="1">
      <alignment horizontal="right" vertical="center" wrapText="1"/>
    </xf>
    <xf numFmtId="0" fontId="0" fillId="0" borderId="0" xfId="0" applyAlignment="1">
      <alignment horizontal="left" vertical="top"/>
    </xf>
    <xf numFmtId="0" fontId="8" fillId="0" borderId="0" xfId="0" applyFont="1" applyAlignment="1">
      <alignment horizontal="left" vertical="top"/>
    </xf>
    <xf numFmtId="49" fontId="0" fillId="0" borderId="0" xfId="0" applyNumberFormat="1" applyAlignment="1">
      <alignment horizontal="left" vertical="top"/>
    </xf>
    <xf numFmtId="0" fontId="13" fillId="0" borderId="0" xfId="0" applyFont="1" applyAlignment="1">
      <alignment horizontal="left" vertical="top" wrapText="1"/>
    </xf>
    <xf numFmtId="0" fontId="6" fillId="0" borderId="0" xfId="0" applyFont="1" applyAlignment="1">
      <alignment horizontal="left" vertical="top"/>
    </xf>
    <xf numFmtId="0" fontId="13" fillId="0" borderId="0" xfId="0" applyFont="1" applyAlignment="1">
      <alignment horizontal="left" vertical="top"/>
    </xf>
    <xf numFmtId="0" fontId="13" fillId="0" borderId="0" xfId="0" applyFont="1" applyAlignment="1">
      <alignment horizontal="center" vertical="center" wrapText="1"/>
    </xf>
    <xf numFmtId="0" fontId="8" fillId="0" borderId="0" xfId="0" applyFont="1"/>
    <xf numFmtId="0" fontId="6" fillId="0" borderId="0" xfId="0" applyFont="1"/>
    <xf numFmtId="0" fontId="6" fillId="0" borderId="7" xfId="0" applyFont="1" applyBorder="1"/>
    <xf numFmtId="0" fontId="16" fillId="0" borderId="0" xfId="0" applyFont="1" applyAlignment="1">
      <alignment horizontal="left" vertical="top" wrapText="1"/>
    </xf>
    <xf numFmtId="0" fontId="13" fillId="0" borderId="0" xfId="0" applyFont="1" applyAlignment="1">
      <alignment horizontal="center"/>
    </xf>
    <xf numFmtId="0" fontId="6" fillId="0" borderId="0" xfId="0" applyFont="1" applyAlignment="1">
      <alignment horizontal="center" wrapText="1"/>
    </xf>
    <xf numFmtId="0" fontId="15" fillId="0" borderId="0" xfId="0" applyFont="1" applyAlignment="1">
      <alignment vertical="top"/>
    </xf>
    <xf numFmtId="0" fontId="10" fillId="0" borderId="0" xfId="0" applyFont="1" applyAlignment="1">
      <alignment horizontal="left" indent="1"/>
    </xf>
    <xf numFmtId="0" fontId="8" fillId="0" borderId="0" xfId="0" applyFont="1" applyAlignment="1">
      <alignment horizontal="left" indent="1"/>
    </xf>
    <xf numFmtId="0" fontId="16" fillId="0" borderId="0" xfId="0" applyFont="1" applyAlignment="1">
      <alignment horizontal="left" vertical="top"/>
    </xf>
    <xf numFmtId="8" fontId="16" fillId="0" borderId="0" xfId="1" applyNumberFormat="1" applyFont="1" applyFill="1" applyBorder="1" applyAlignment="1" applyProtection="1">
      <alignment horizontal="left" vertical="top"/>
    </xf>
    <xf numFmtId="0" fontId="8" fillId="0" borderId="7" xfId="0" applyFont="1" applyBorder="1" applyAlignment="1">
      <alignment horizontal="center" vertical="top" wrapText="1"/>
    </xf>
    <xf numFmtId="0" fontId="0" fillId="2" borderId="0" xfId="0" applyFill="1"/>
    <xf numFmtId="0" fontId="9"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6" fillId="0" borderId="0" xfId="0" applyFont="1" applyAlignment="1">
      <alignment horizontal="left" vertical="center" wrapText="1"/>
    </xf>
    <xf numFmtId="0" fontId="0" fillId="0" borderId="0" xfId="0" applyAlignment="1">
      <alignment horizontal="right"/>
    </xf>
    <xf numFmtId="0" fontId="23" fillId="0" borderId="7" xfId="0" applyFont="1" applyBorder="1" applyAlignment="1">
      <alignment horizontal="left" vertical="center" wrapText="1"/>
    </xf>
    <xf numFmtId="0" fontId="14" fillId="0" borderId="7" xfId="0" applyFont="1" applyBorder="1" applyAlignment="1">
      <alignment horizontal="left" vertical="center" wrapText="1"/>
    </xf>
    <xf numFmtId="0" fontId="16" fillId="2" borderId="7" xfId="0" applyFont="1" applyFill="1" applyBorder="1" applyAlignment="1" applyProtection="1">
      <alignment horizontal="left" vertical="center"/>
      <protection locked="0"/>
    </xf>
    <xf numFmtId="0" fontId="15" fillId="0" borderId="0" xfId="0" applyFont="1" applyAlignment="1">
      <alignment vertical="center"/>
    </xf>
    <xf numFmtId="0" fontId="6" fillId="0" borderId="7" xfId="0" applyFont="1" applyBorder="1" applyAlignment="1">
      <alignment horizontal="center" wrapText="1"/>
    </xf>
    <xf numFmtId="0" fontId="15" fillId="0" borderId="0" xfId="0" applyFont="1" applyAlignment="1">
      <alignment vertical="top" wrapText="1"/>
    </xf>
    <xf numFmtId="0" fontId="0" fillId="0" borderId="0" xfId="0" applyAlignment="1">
      <alignment vertical="center" wrapText="1"/>
    </xf>
    <xf numFmtId="0" fontId="16" fillId="0" borderId="0" xfId="0" applyFont="1" applyAlignment="1">
      <alignment horizontal="center" vertical="center"/>
    </xf>
    <xf numFmtId="0" fontId="19" fillId="0" borderId="0" xfId="0" applyFont="1" applyAlignment="1">
      <alignment vertical="center"/>
    </xf>
    <xf numFmtId="0" fontId="0" fillId="0" borderId="7" xfId="0" applyBorder="1" applyAlignment="1">
      <alignment horizontal="center" wrapText="1"/>
    </xf>
    <xf numFmtId="0" fontId="22" fillId="0" borderId="0" xfId="0" applyFont="1" applyAlignment="1">
      <alignment horizontal="left" vertical="center" wrapText="1"/>
    </xf>
    <xf numFmtId="8" fontId="16" fillId="2" borderId="1" xfId="1" applyNumberFormat="1" applyFont="1" applyFill="1" applyBorder="1" applyAlignment="1" applyProtection="1">
      <alignment horizontal="left" vertical="center"/>
      <protection locked="0"/>
    </xf>
    <xf numFmtId="8" fontId="16" fillId="2" borderId="7" xfId="0" applyNumberFormat="1" applyFont="1" applyFill="1" applyBorder="1" applyAlignment="1" applyProtection="1">
      <alignment horizontal="left" vertical="center"/>
      <protection locked="0"/>
    </xf>
    <xf numFmtId="0" fontId="16" fillId="6" borderId="15" xfId="0" applyFont="1" applyFill="1" applyBorder="1" applyAlignment="1">
      <alignment horizontal="center" vertical="center"/>
    </xf>
    <xf numFmtId="0" fontId="16"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10" fillId="0" borderId="7" xfId="0" applyFont="1" applyBorder="1" applyAlignment="1">
      <alignment horizontal="center"/>
    </xf>
    <xf numFmtId="49" fontId="0" fillId="0" borderId="0" xfId="0" applyNumberFormat="1" applyAlignment="1">
      <alignment horizontal="left" vertical="center"/>
    </xf>
    <xf numFmtId="0" fontId="8" fillId="7" borderId="0" xfId="0" applyFont="1" applyFill="1" applyAlignment="1">
      <alignment vertical="center"/>
    </xf>
    <xf numFmtId="0" fontId="0" fillId="7" borderId="0" xfId="0" applyFill="1" applyAlignment="1">
      <alignment vertical="center"/>
    </xf>
    <xf numFmtId="0" fontId="10"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6" fillId="0" borderId="0" xfId="0" applyNumberFormat="1" applyFont="1" applyAlignment="1">
      <alignment horizontal="left" vertical="top" wrapText="1"/>
    </xf>
    <xf numFmtId="0" fontId="29" fillId="0" borderId="0" xfId="0" applyFont="1" applyAlignment="1">
      <alignment horizontal="left" vertical="center" wrapText="1"/>
    </xf>
    <xf numFmtId="0" fontId="29" fillId="0" borderId="0" xfId="0" applyFont="1" applyAlignment="1">
      <alignment vertical="center"/>
    </xf>
    <xf numFmtId="0" fontId="28" fillId="0" borderId="0" xfId="0" applyFont="1" applyAlignment="1">
      <alignment horizontal="left" vertical="center"/>
    </xf>
    <xf numFmtId="0" fontId="29" fillId="0" borderId="0" xfId="0" applyFont="1" applyAlignment="1">
      <alignment horizontal="left" vertical="center"/>
    </xf>
    <xf numFmtId="0" fontId="28" fillId="0" borderId="0" xfId="0" applyFont="1" applyAlignment="1">
      <alignment vertical="center"/>
    </xf>
    <xf numFmtId="0" fontId="28" fillId="0" borderId="0" xfId="0" applyFont="1" applyAlignment="1">
      <alignment horizontal="left" vertical="center" wrapText="1"/>
    </xf>
    <xf numFmtId="0" fontId="6" fillId="0" borderId="0" xfId="0" quotePrefix="1" applyFont="1" applyAlignment="1">
      <alignment horizontal="left" vertical="top"/>
    </xf>
    <xf numFmtId="0" fontId="6" fillId="0" borderId="0" xfId="0" quotePrefix="1" applyFont="1" applyAlignment="1">
      <alignment horizontal="left" vertical="center"/>
    </xf>
    <xf numFmtId="0" fontId="6" fillId="0" borderId="0" xfId="0" quotePrefix="1" applyFont="1" applyAlignment="1">
      <alignment horizontal="left" vertical="top" wrapText="1"/>
    </xf>
    <xf numFmtId="0" fontId="6" fillId="0" borderId="0" xfId="0" quotePrefix="1" applyFont="1" applyAlignment="1">
      <alignment vertical="top" wrapText="1"/>
    </xf>
    <xf numFmtId="49" fontId="6" fillId="0" borderId="0" xfId="0" applyNumberFormat="1" applyFont="1" applyAlignment="1">
      <alignment vertical="top"/>
    </xf>
    <xf numFmtId="49" fontId="6" fillId="0" borderId="0" xfId="0" applyNumberFormat="1" applyFont="1" applyAlignment="1">
      <alignment horizontal="left" vertical="center"/>
    </xf>
    <xf numFmtId="0" fontId="14" fillId="0" borderId="0" xfId="0" applyFont="1" applyAlignment="1">
      <alignment horizontal="left" vertical="center" wrapText="1"/>
    </xf>
    <xf numFmtId="0" fontId="6" fillId="0" borderId="7" xfId="0" applyFont="1" applyBorder="1" applyAlignment="1">
      <alignment horizontal="center" vertical="center" wrapText="1"/>
    </xf>
    <xf numFmtId="0" fontId="16" fillId="8" borderId="0" xfId="0" applyFont="1" applyFill="1" applyAlignment="1">
      <alignment horizontal="left" vertical="center" wrapText="1"/>
    </xf>
    <xf numFmtId="0" fontId="0" fillId="7" borderId="0" xfId="0" applyFill="1"/>
    <xf numFmtId="0" fontId="6" fillId="0" borderId="0" xfId="0" applyFont="1" applyAlignment="1">
      <alignment horizontal="right" vertical="top" wrapText="1"/>
    </xf>
    <xf numFmtId="0" fontId="6" fillId="0" borderId="0" xfId="0" applyFont="1" applyAlignment="1">
      <alignment vertical="top"/>
    </xf>
    <xf numFmtId="49" fontId="6" fillId="0" borderId="0" xfId="0" applyNumberFormat="1" applyFont="1" applyAlignment="1">
      <alignment horizontal="left" vertical="top"/>
    </xf>
    <xf numFmtId="0" fontId="15" fillId="0" borderId="0" xfId="0" applyFont="1" applyAlignment="1">
      <alignment horizontal="left" vertical="center"/>
    </xf>
    <xf numFmtId="166" fontId="6" fillId="0" borderId="0" xfId="0" applyNumberFormat="1" applyFont="1" applyAlignment="1">
      <alignment vertical="top"/>
    </xf>
    <xf numFmtId="167" fontId="6" fillId="0" borderId="0" xfId="0" applyNumberFormat="1" applyFont="1" applyAlignment="1">
      <alignment horizontal="left" vertical="top"/>
    </xf>
    <xf numFmtId="166" fontId="6" fillId="0" borderId="0" xfId="0" applyNumberFormat="1" applyFont="1" applyAlignment="1">
      <alignment horizontal="left" vertical="top"/>
    </xf>
    <xf numFmtId="168" fontId="6" fillId="0" borderId="0" xfId="0" applyNumberFormat="1" applyFont="1" applyAlignment="1">
      <alignment horizontal="left" vertical="top"/>
    </xf>
    <xf numFmtId="0" fontId="7" fillId="0" borderId="0" xfId="0" applyFont="1" applyAlignment="1">
      <alignment vertical="center"/>
    </xf>
    <xf numFmtId="0" fontId="6" fillId="0" borderId="7" xfId="0" applyFont="1" applyBorder="1" applyAlignment="1">
      <alignment vertical="center"/>
    </xf>
    <xf numFmtId="0" fontId="6" fillId="0" borderId="7" xfId="0" applyFont="1" applyBorder="1" applyAlignment="1">
      <alignment vertical="center" wrapText="1"/>
    </xf>
    <xf numFmtId="0" fontId="0" fillId="2" borderId="0" xfId="0" applyFill="1" applyAlignment="1">
      <alignment horizontal="center" vertical="center"/>
    </xf>
    <xf numFmtId="0" fontId="19"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9" fillId="0" borderId="0" xfId="0" applyFont="1" applyAlignment="1">
      <alignment horizontal="center"/>
    </xf>
    <xf numFmtId="0" fontId="17" fillId="0" borderId="0" xfId="0" applyFont="1" applyAlignment="1">
      <alignment horizontal="left"/>
    </xf>
    <xf numFmtId="6" fontId="61" fillId="0" borderId="0" xfId="0" applyNumberFormat="1" applyFont="1" applyAlignment="1">
      <alignment vertical="center"/>
    </xf>
    <xf numFmtId="0" fontId="17" fillId="0" borderId="0" xfId="0" applyFont="1" applyAlignment="1">
      <alignment horizontal="center" wrapText="1"/>
    </xf>
    <xf numFmtId="0" fontId="17" fillId="0" borderId="0" xfId="0" applyFont="1" applyAlignment="1">
      <alignment horizontal="center"/>
    </xf>
    <xf numFmtId="6" fontId="0" fillId="0" borderId="0" xfId="0" applyNumberFormat="1" applyAlignment="1">
      <alignment horizontal="center" vertical="center"/>
    </xf>
    <xf numFmtId="49" fontId="8" fillId="0" borderId="0" xfId="0" applyNumberFormat="1" applyFont="1"/>
    <xf numFmtId="0" fontId="64" fillId="0" borderId="0" xfId="0" applyFont="1"/>
    <xf numFmtId="0" fontId="14" fillId="0" borderId="0" xfId="0" applyFont="1"/>
    <xf numFmtId="0" fontId="11" fillId="0" borderId="0" xfId="2"/>
    <xf numFmtId="0" fontId="11" fillId="0" borderId="0" xfId="2" applyAlignment="1">
      <alignment horizontal="left" vertical="center"/>
    </xf>
    <xf numFmtId="0" fontId="31" fillId="0" borderId="0" xfId="2" applyFont="1" applyAlignment="1">
      <alignment horizontal="left" vertical="center"/>
    </xf>
    <xf numFmtId="0" fontId="68" fillId="0" borderId="0" xfId="2" applyFont="1"/>
    <xf numFmtId="0" fontId="68" fillId="0" borderId="0" xfId="2" applyFont="1" applyAlignment="1">
      <alignment horizontal="left" vertical="center"/>
    </xf>
    <xf numFmtId="0" fontId="31" fillId="0" borderId="0" xfId="2" applyFont="1" applyAlignment="1">
      <alignment horizontal="right"/>
    </xf>
    <xf numFmtId="0" fontId="38" fillId="0" borderId="0" xfId="2" applyFont="1" applyAlignment="1">
      <alignment horizontal="right"/>
    </xf>
    <xf numFmtId="0" fontId="31" fillId="0" borderId="0" xfId="2" applyFont="1"/>
    <xf numFmtId="0" fontId="41" fillId="0" borderId="0" xfId="2" applyFont="1"/>
    <xf numFmtId="0" fontId="71" fillId="0" borderId="0" xfId="2" applyFont="1"/>
    <xf numFmtId="0" fontId="11" fillId="0" borderId="0" xfId="2" quotePrefix="1"/>
    <xf numFmtId="0" fontId="11" fillId="0" borderId="0" xfId="2" applyAlignment="1">
      <alignment horizontal="center" vertical="center"/>
    </xf>
    <xf numFmtId="0" fontId="73" fillId="0" borderId="0" xfId="2" applyFont="1" applyAlignment="1">
      <alignment horizontal="right"/>
    </xf>
    <xf numFmtId="0" fontId="37" fillId="0" borderId="0" xfId="2" applyFont="1"/>
    <xf numFmtId="0" fontId="33" fillId="0" borderId="0" xfId="2" applyFont="1"/>
    <xf numFmtId="0" fontId="74" fillId="0" borderId="0" xfId="2" applyFont="1" applyAlignment="1">
      <alignment horizontal="right"/>
    </xf>
    <xf numFmtId="0" fontId="36" fillId="0" borderId="0" xfId="2" applyFont="1"/>
    <xf numFmtId="0" fontId="11" fillId="0" borderId="24" xfId="2" applyBorder="1"/>
    <xf numFmtId="0" fontId="62" fillId="0" borderId="0" xfId="2" applyFont="1" applyAlignment="1">
      <alignment horizontal="center" vertical="center"/>
    </xf>
    <xf numFmtId="0" fontId="77" fillId="0" borderId="0" xfId="2" applyFont="1"/>
    <xf numFmtId="0" fontId="81" fillId="0" borderId="0" xfId="2" applyFont="1"/>
    <xf numFmtId="0" fontId="81" fillId="0" borderId="0" xfId="2" applyFont="1" applyAlignment="1">
      <alignment vertical="center" wrapText="1"/>
    </xf>
    <xf numFmtId="0" fontId="81" fillId="0" borderId="38" xfId="2" applyFont="1" applyBorder="1" applyAlignment="1">
      <alignment vertical="center" wrapText="1"/>
    </xf>
    <xf numFmtId="0" fontId="11" fillId="0" borderId="0" xfId="2" applyAlignment="1">
      <alignment horizontal="center" vertical="center" wrapText="1"/>
    </xf>
    <xf numFmtId="0" fontId="11" fillId="0" borderId="0" xfId="2" applyAlignment="1">
      <alignment vertical="center"/>
    </xf>
    <xf numFmtId="0" fontId="11" fillId="0" borderId="0" xfId="2" applyAlignment="1">
      <alignment horizontal="center" wrapText="1"/>
    </xf>
    <xf numFmtId="0" fontId="37" fillId="0" borderId="0" xfId="2" applyFont="1" applyAlignment="1">
      <alignment vertical="center" wrapText="1"/>
    </xf>
    <xf numFmtId="0" fontId="82" fillId="0" borderId="38" xfId="2" applyFont="1" applyBorder="1" applyAlignment="1">
      <alignment vertical="center"/>
    </xf>
    <xf numFmtId="0" fontId="38" fillId="0" borderId="0" xfId="2" applyFont="1"/>
    <xf numFmtId="40" fontId="43" fillId="0" borderId="31" xfId="2" applyNumberFormat="1" applyFont="1" applyBorder="1"/>
    <xf numFmtId="0" fontId="37" fillId="0" borderId="0" xfId="2" applyFont="1" applyAlignment="1">
      <alignment horizontal="right"/>
    </xf>
    <xf numFmtId="0" fontId="32" fillId="0" borderId="0" xfId="2" applyFont="1"/>
    <xf numFmtId="40" fontId="31" fillId="0" borderId="0" xfId="2" applyNumberFormat="1" applyFont="1"/>
    <xf numFmtId="40" fontId="11" fillId="0" borderId="0" xfId="2" applyNumberFormat="1"/>
    <xf numFmtId="49" fontId="31" fillId="0" borderId="0" xfId="2" applyNumberFormat="1" applyFont="1" applyAlignment="1">
      <alignment horizontal="right"/>
    </xf>
    <xf numFmtId="8" fontId="11" fillId="0" borderId="0" xfId="2" quotePrefix="1" applyNumberFormat="1" applyAlignment="1">
      <alignment horizontal="center"/>
    </xf>
    <xf numFmtId="169" fontId="37" fillId="0" borderId="0" xfId="2" applyNumberFormat="1" applyFont="1" applyAlignment="1">
      <alignment horizontal="right"/>
    </xf>
    <xf numFmtId="0" fontId="32" fillId="0" borderId="0" xfId="2" applyFont="1" applyAlignment="1">
      <alignment horizontal="left" vertical="center" wrapText="1"/>
    </xf>
    <xf numFmtId="40" fontId="42" fillId="0" borderId="23" xfId="2" applyNumberFormat="1" applyFont="1" applyBorder="1" applyProtection="1">
      <protection locked="0"/>
    </xf>
    <xf numFmtId="169" fontId="31" fillId="0" borderId="0" xfId="2" applyNumberFormat="1" applyFont="1" applyAlignment="1">
      <alignment horizontal="right"/>
    </xf>
    <xf numFmtId="40" fontId="58" fillId="0" borderId="0" xfId="2" applyNumberFormat="1" applyFont="1"/>
    <xf numFmtId="0" fontId="55" fillId="0" borderId="0" xfId="2" applyFont="1"/>
    <xf numFmtId="0" fontId="38" fillId="0" borderId="0" xfId="2" applyFont="1" applyAlignment="1">
      <alignment horizontal="left"/>
    </xf>
    <xf numFmtId="0" fontId="58" fillId="0" borderId="0" xfId="2" applyFont="1" applyAlignment="1">
      <alignment horizontal="center"/>
    </xf>
    <xf numFmtId="0" fontId="31" fillId="0" borderId="0" xfId="2" applyFont="1" applyAlignment="1">
      <alignment horizontal="left"/>
    </xf>
    <xf numFmtId="40" fontId="43" fillId="0" borderId="0" xfId="2" applyNumberFormat="1" applyFont="1"/>
    <xf numFmtId="40" fontId="42" fillId="0" borderId="0" xfId="2" applyNumberFormat="1" applyFont="1"/>
    <xf numFmtId="0" fontId="54" fillId="0" borderId="0" xfId="2" quotePrefix="1" applyFont="1"/>
    <xf numFmtId="0" fontId="80" fillId="0" borderId="0" xfId="2" applyFont="1"/>
    <xf numFmtId="0" fontId="84" fillId="0" borderId="0" xfId="2" applyFont="1" applyAlignment="1">
      <alignment vertical="center" wrapText="1"/>
    </xf>
    <xf numFmtId="0" fontId="84" fillId="0" borderId="47" xfId="2" applyFont="1" applyBorder="1" applyAlignment="1">
      <alignment vertical="center" wrapText="1"/>
    </xf>
    <xf numFmtId="0" fontId="54" fillId="0" borderId="0" xfId="2" applyFont="1"/>
    <xf numFmtId="6" fontId="11" fillId="0" borderId="0" xfId="2" applyNumberFormat="1" applyAlignment="1">
      <alignment horizontal="right"/>
    </xf>
    <xf numFmtId="6" fontId="31" fillId="0" borderId="0" xfId="2" applyNumberFormat="1" applyFont="1" applyAlignment="1">
      <alignment horizontal="right"/>
    </xf>
    <xf numFmtId="0" fontId="31" fillId="0" borderId="0" xfId="2" applyFont="1" applyAlignment="1">
      <alignment horizontal="centerContinuous"/>
    </xf>
    <xf numFmtId="0" fontId="37" fillId="0" borderId="0" xfId="2" applyFont="1" applyAlignment="1">
      <alignment horizontal="centerContinuous"/>
    </xf>
    <xf numFmtId="0" fontId="36" fillId="0" borderId="24" xfId="2" applyFont="1" applyBorder="1"/>
    <xf numFmtId="0" fontId="31" fillId="0" borderId="24" xfId="2" applyFont="1" applyBorder="1" applyAlignment="1">
      <alignment horizontal="centerContinuous"/>
    </xf>
    <xf numFmtId="0" fontId="37" fillId="0" borderId="24" xfId="2" applyFont="1" applyBorder="1" applyAlignment="1">
      <alignment horizontal="centerContinuous"/>
    </xf>
    <xf numFmtId="0" fontId="37" fillId="0" borderId="24" xfId="2" applyFont="1" applyBorder="1" applyAlignment="1">
      <alignment horizontal="left"/>
    </xf>
    <xf numFmtId="40" fontId="38" fillId="0" borderId="0" xfId="2" applyNumberFormat="1" applyFont="1"/>
    <xf numFmtId="0" fontId="31" fillId="0" borderId="0" xfId="2" quotePrefix="1" applyFont="1"/>
    <xf numFmtId="0" fontId="52" fillId="0" borderId="0" xfId="2" applyFont="1"/>
    <xf numFmtId="0" fontId="39" fillId="0" borderId="0" xfId="2" applyFont="1" applyAlignment="1">
      <alignment vertical="center" wrapText="1"/>
    </xf>
    <xf numFmtId="0" fontId="39" fillId="0" borderId="47" xfId="2" applyFont="1" applyBorder="1" applyAlignment="1">
      <alignment vertical="center" wrapText="1"/>
    </xf>
    <xf numFmtId="170" fontId="31" fillId="0" borderId="0" xfId="2" applyNumberFormat="1" applyFont="1" applyAlignment="1">
      <alignment horizontal="right"/>
    </xf>
    <xf numFmtId="0" fontId="81" fillId="0" borderId="0" xfId="2" quotePrefix="1" applyFont="1" applyAlignment="1">
      <alignment horizontal="center"/>
    </xf>
    <xf numFmtId="0" fontId="35" fillId="0" borderId="0" xfId="2" applyFont="1" applyAlignment="1">
      <alignment horizontal="centerContinuous"/>
    </xf>
    <xf numFmtId="0" fontId="51" fillId="0" borderId="0" xfId="2" applyFont="1"/>
    <xf numFmtId="0" fontId="56" fillId="0" borderId="0" xfId="2" applyFont="1"/>
    <xf numFmtId="0" fontId="46" fillId="0" borderId="0" xfId="2" applyFont="1"/>
    <xf numFmtId="0" fontId="53" fillId="0" borderId="0" xfId="2" applyFont="1"/>
    <xf numFmtId="49" fontId="57" fillId="0" borderId="0" xfId="2" applyNumberFormat="1" applyFont="1" applyAlignment="1">
      <alignment horizontal="left"/>
    </xf>
    <xf numFmtId="0" fontId="39" fillId="0" borderId="0" xfId="2" applyFont="1"/>
    <xf numFmtId="40" fontId="41" fillId="0" borderId="0" xfId="2" applyNumberFormat="1" applyFont="1"/>
    <xf numFmtId="40" fontId="43" fillId="0" borderId="0" xfId="2" applyNumberFormat="1" applyFont="1" applyAlignment="1">
      <alignment horizontal="right"/>
    </xf>
    <xf numFmtId="0" fontId="43" fillId="0" borderId="0" xfId="2" applyFont="1"/>
    <xf numFmtId="0" fontId="43" fillId="0" borderId="0" xfId="2" applyFont="1" applyAlignment="1">
      <alignment horizontal="right"/>
    </xf>
    <xf numFmtId="40" fontId="11" fillId="0" borderId="22" xfId="2" applyNumberFormat="1" applyBorder="1"/>
    <xf numFmtId="0" fontId="50" fillId="0" borderId="0" xfId="2" applyFont="1"/>
    <xf numFmtId="40" fontId="42" fillId="0" borderId="0" xfId="2" applyNumberFormat="1" applyFont="1" applyProtection="1">
      <protection locked="0"/>
    </xf>
    <xf numFmtId="0" fontId="45" fillId="0" borderId="0" xfId="2" applyFont="1"/>
    <xf numFmtId="0" fontId="45" fillId="0" borderId="0" xfId="2" applyFont="1" applyAlignment="1">
      <alignment horizontal="right"/>
    </xf>
    <xf numFmtId="0" fontId="44" fillId="0" borderId="0" xfId="2" applyFont="1"/>
    <xf numFmtId="0" fontId="43" fillId="0" borderId="0" xfId="2" applyFont="1" applyAlignment="1">
      <alignment horizontal="left" indent="1"/>
    </xf>
    <xf numFmtId="0" fontId="43" fillId="0" borderId="0" xfId="2" applyFont="1" applyAlignment="1">
      <alignment horizontal="right" indent="1"/>
    </xf>
    <xf numFmtId="40" fontId="47" fillId="0" borderId="0" xfId="2" applyNumberFormat="1" applyFont="1"/>
    <xf numFmtId="40" fontId="48" fillId="0" borderId="0" xfId="2" applyNumberFormat="1" applyFont="1"/>
    <xf numFmtId="40" fontId="49" fillId="0" borderId="0" xfId="2" applyNumberFormat="1" applyFont="1"/>
    <xf numFmtId="40" fontId="46" fillId="0" borderId="0" xfId="2" applyNumberFormat="1" applyFont="1"/>
    <xf numFmtId="0" fontId="39" fillId="0" borderId="0" xfId="2" applyFont="1" applyAlignment="1">
      <alignment horizontal="left"/>
    </xf>
    <xf numFmtId="0" fontId="47" fillId="0" borderId="0" xfId="2" applyFont="1" applyAlignment="1">
      <alignment horizontal="left" indent="1"/>
    </xf>
    <xf numFmtId="0" fontId="47" fillId="0" borderId="0" xfId="2" applyFont="1" applyAlignment="1">
      <alignment horizontal="right" indent="1"/>
    </xf>
    <xf numFmtId="0" fontId="43" fillId="0" borderId="0" xfId="2" applyFont="1" applyAlignment="1">
      <alignment horizontal="left"/>
    </xf>
    <xf numFmtId="40" fontId="11" fillId="0" borderId="2" xfId="2" applyNumberFormat="1" applyBorder="1"/>
    <xf numFmtId="0" fontId="35" fillId="0" borderId="0" xfId="2" applyFont="1" applyAlignment="1">
      <alignment horizontal="center" wrapText="1"/>
    </xf>
    <xf numFmtId="0" fontId="35" fillId="0" borderId="0" xfId="2" applyFont="1" applyAlignment="1">
      <alignment horizontal="centerContinuous" wrapText="1"/>
    </xf>
    <xf numFmtId="0" fontId="35" fillId="0" borderId="0" xfId="2" applyFont="1" applyAlignment="1">
      <alignment horizontal="center"/>
    </xf>
    <xf numFmtId="0" fontId="69" fillId="0" borderId="0" xfId="2" applyFont="1"/>
    <xf numFmtId="8" fontId="11" fillId="0" borderId="0" xfId="2" applyNumberFormat="1"/>
    <xf numFmtId="0" fontId="35" fillId="0" borderId="0" xfId="2" applyFont="1" applyAlignment="1">
      <alignment horizontal="center" vertical="center" wrapText="1"/>
    </xf>
    <xf numFmtId="0" fontId="35" fillId="0" borderId="0" xfId="2" applyFont="1" applyAlignment="1">
      <alignment horizontal="center" vertical="center"/>
    </xf>
    <xf numFmtId="49" fontId="32" fillId="0" borderId="0" xfId="2" applyNumberFormat="1" applyFont="1" applyAlignment="1">
      <alignment horizontal="center"/>
    </xf>
    <xf numFmtId="0" fontId="35" fillId="0" borderId="0" xfId="2" applyFont="1"/>
    <xf numFmtId="167" fontId="33" fillId="0" borderId="0" xfId="2" applyNumberFormat="1" applyFont="1" applyAlignment="1">
      <alignment horizontal="center"/>
    </xf>
    <xf numFmtId="167" fontId="32" fillId="0" borderId="0" xfId="2" applyNumberFormat="1" applyFont="1" applyAlignment="1">
      <alignment horizontal="center"/>
    </xf>
    <xf numFmtId="0" fontId="32" fillId="0" borderId="0" xfId="2" quotePrefix="1" applyFont="1" applyAlignment="1">
      <alignment horizontal="center"/>
    </xf>
    <xf numFmtId="0" fontId="63" fillId="0" borderId="0" xfId="2" applyFont="1"/>
    <xf numFmtId="49" fontId="33" fillId="0" borderId="0" xfId="2" applyNumberFormat="1" applyFont="1" applyAlignment="1">
      <alignment horizontal="center"/>
    </xf>
    <xf numFmtId="0" fontId="33" fillId="0" borderId="0" xfId="2" applyFont="1" applyAlignment="1">
      <alignment horizontal="center"/>
    </xf>
    <xf numFmtId="0" fontId="32" fillId="0" borderId="0" xfId="2" applyFont="1" applyAlignment="1">
      <alignment horizontal="right"/>
    </xf>
    <xf numFmtId="0" fontId="87" fillId="0" borderId="0" xfId="2" applyFont="1" applyAlignment="1">
      <alignment horizontal="left" vertical="center" wrapText="1"/>
    </xf>
    <xf numFmtId="49" fontId="33" fillId="12" borderId="0" xfId="2" applyNumberFormat="1" applyFont="1" applyFill="1" applyAlignment="1">
      <alignment horizontal="center"/>
    </xf>
    <xf numFmtId="0" fontId="33" fillId="12" borderId="0" xfId="2" quotePrefix="1" applyFont="1" applyFill="1" applyAlignment="1">
      <alignment horizontal="center"/>
    </xf>
    <xf numFmtId="0" fontId="32" fillId="12" borderId="0" xfId="2" quotePrefix="1" applyFont="1" applyFill="1" applyAlignment="1">
      <alignment horizontal="center"/>
    </xf>
    <xf numFmtId="40" fontId="31" fillId="0" borderId="2" xfId="2" applyNumberFormat="1" applyFont="1" applyBorder="1"/>
    <xf numFmtId="0" fontId="31" fillId="0" borderId="24" xfId="2" applyFont="1" applyBorder="1"/>
    <xf numFmtId="0" fontId="89" fillId="0" borderId="0" xfId="0" applyFont="1" applyAlignment="1">
      <alignment horizontal="center"/>
    </xf>
    <xf numFmtId="40" fontId="40" fillId="0" borderId="0" xfId="2" applyNumberFormat="1" applyFont="1" applyProtection="1">
      <protection locked="0"/>
    </xf>
    <xf numFmtId="40" fontId="40" fillId="0" borderId="23" xfId="2" applyNumberFormat="1" applyFont="1" applyBorder="1" applyProtection="1">
      <protection locked="0"/>
    </xf>
    <xf numFmtId="0" fontId="0" fillId="13" borderId="0" xfId="0" applyFill="1"/>
    <xf numFmtId="0" fontId="14" fillId="0" borderId="0" xfId="0" applyFont="1" applyAlignment="1">
      <alignment horizontal="center" vertical="center" wrapText="1"/>
    </xf>
    <xf numFmtId="0" fontId="14" fillId="0" borderId="0" xfId="0" applyFont="1" applyAlignment="1">
      <alignment vertical="center"/>
    </xf>
    <xf numFmtId="38" fontId="0" fillId="0" borderId="0" xfId="0" applyNumberFormat="1" applyAlignment="1">
      <alignment horizontal="center" vertical="center"/>
    </xf>
    <xf numFmtId="38" fontId="6" fillId="0" borderId="0" xfId="0" applyNumberFormat="1" applyFont="1" applyAlignment="1">
      <alignment horizontal="center" vertical="center" wrapText="1"/>
    </xf>
    <xf numFmtId="0" fontId="8" fillId="0" borderId="0" xfId="0" applyFont="1" applyAlignment="1">
      <alignment vertical="top" wrapText="1"/>
    </xf>
    <xf numFmtId="0" fontId="14" fillId="0" borderId="0" xfId="0" applyFont="1" applyAlignment="1">
      <alignment horizontal="left" vertical="top"/>
    </xf>
    <xf numFmtId="0" fontId="8" fillId="7" borderId="0" xfId="0" applyFont="1" applyFill="1"/>
    <xf numFmtId="38" fontId="16" fillId="6" borderId="53" xfId="0" applyNumberFormat="1" applyFont="1" applyFill="1" applyBorder="1" applyAlignment="1">
      <alignment horizontal="center" vertical="center"/>
    </xf>
    <xf numFmtId="0" fontId="30"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6" fillId="0" borderId="54" xfId="0" applyFont="1" applyBorder="1" applyAlignment="1">
      <alignment vertical="center"/>
    </xf>
    <xf numFmtId="0" fontId="0" fillId="0" borderId="55" xfId="0" applyBorder="1"/>
    <xf numFmtId="0" fontId="0" fillId="0" borderId="60" xfId="0" applyBorder="1" applyAlignment="1">
      <alignment vertical="center"/>
    </xf>
    <xf numFmtId="0" fontId="0" fillId="0" borderId="16" xfId="0" applyBorder="1"/>
    <xf numFmtId="0" fontId="6" fillId="0" borderId="55" xfId="0" applyFont="1" applyBorder="1" applyAlignment="1">
      <alignment horizontal="right"/>
    </xf>
    <xf numFmtId="0" fontId="6" fillId="0" borderId="56" xfId="0" applyFont="1" applyBorder="1" applyAlignment="1">
      <alignment horizontal="right"/>
    </xf>
    <xf numFmtId="0" fontId="0" fillId="0" borderId="62" xfId="0" applyBorder="1" applyAlignment="1">
      <alignment vertical="center"/>
    </xf>
    <xf numFmtId="0" fontId="0" fillId="0" borderId="63" xfId="0" applyBorder="1"/>
    <xf numFmtId="8" fontId="0" fillId="0" borderId="64" xfId="0" applyNumberFormat="1" applyBorder="1"/>
    <xf numFmtId="6" fontId="61" fillId="0" borderId="0" xfId="0" applyNumberFormat="1" applyFont="1" applyAlignment="1">
      <alignment horizontal="right" vertical="center"/>
    </xf>
    <xf numFmtId="0" fontId="0" fillId="0" borderId="63" xfId="0" applyBorder="1" applyAlignment="1">
      <alignment horizontal="right" vertical="center"/>
    </xf>
    <xf numFmtId="175" fontId="0" fillId="0" borderId="0" xfId="0" applyNumberFormat="1" applyAlignment="1">
      <alignment vertical="top"/>
    </xf>
    <xf numFmtId="175" fontId="8" fillId="0" borderId="63" xfId="0" applyNumberFormat="1" applyFont="1" applyBorder="1" applyAlignment="1">
      <alignment vertical="center"/>
    </xf>
    <xf numFmtId="0" fontId="92" fillId="0" borderId="0" xfId="0" applyFont="1" applyAlignment="1">
      <alignment horizontal="center" vertical="top" wrapText="1"/>
    </xf>
    <xf numFmtId="0" fontId="10"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6"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49"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6" fillId="0" borderId="0" xfId="0" applyNumberFormat="1" applyFont="1" applyAlignment="1">
      <alignment horizontal="left"/>
    </xf>
    <xf numFmtId="0" fontId="0" fillId="0" borderId="49" xfId="0" applyBorder="1" applyAlignment="1">
      <alignment vertical="top"/>
    </xf>
    <xf numFmtId="0" fontId="15" fillId="0" borderId="49" xfId="0" applyFont="1" applyBorder="1" applyAlignment="1">
      <alignment vertical="top"/>
    </xf>
    <xf numFmtId="0" fontId="15" fillId="0" borderId="0" xfId="0" applyFont="1" applyAlignment="1">
      <alignment horizontal="right" vertical="center"/>
    </xf>
    <xf numFmtId="6" fontId="0" fillId="0" borderId="1" xfId="0" applyNumberFormat="1" applyBorder="1" applyAlignment="1">
      <alignment horizontal="right" vertical="top"/>
    </xf>
    <xf numFmtId="0" fontId="14" fillId="0" borderId="0" xfId="0" applyFont="1" applyAlignment="1">
      <alignment horizontal="center"/>
    </xf>
    <xf numFmtId="9" fontId="8" fillId="0" borderId="0" xfId="4" applyFont="1" applyAlignment="1">
      <alignment horizontal="center" vertical="center"/>
    </xf>
    <xf numFmtId="38" fontId="0" fillId="0" borderId="0" xfId="0" applyNumberFormat="1" applyAlignment="1">
      <alignment horizontal="right" vertical="center" indent="1"/>
    </xf>
    <xf numFmtId="49" fontId="0" fillId="0" borderId="60"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1" xfId="0" applyNumberFormat="1" applyBorder="1" applyAlignment="1">
      <alignment horizontal="right" vertical="center"/>
    </xf>
    <xf numFmtId="0" fontId="0" fillId="0" borderId="6" xfId="0" applyBorder="1" applyAlignment="1">
      <alignment horizontal="right" vertical="center"/>
    </xf>
    <xf numFmtId="9" fontId="16" fillId="6" borderId="52" xfId="4" applyFont="1" applyFill="1" applyBorder="1" applyAlignment="1">
      <alignment horizontal="center" vertical="center"/>
    </xf>
    <xf numFmtId="9" fontId="16" fillId="6" borderId="53" xfId="4" applyFont="1" applyFill="1" applyBorder="1" applyAlignment="1">
      <alignment horizontal="center" vertical="center"/>
    </xf>
    <xf numFmtId="0" fontId="0" fillId="0" borderId="5" xfId="0" applyBorder="1" applyAlignment="1">
      <alignment horizontal="right" vertical="center" indent="1"/>
    </xf>
    <xf numFmtId="38" fontId="0" fillId="0" borderId="60" xfId="0" applyNumberFormat="1" applyBorder="1" applyAlignment="1">
      <alignment horizontal="center" vertical="center"/>
    </xf>
    <xf numFmtId="38" fontId="6" fillId="0" borderId="62" xfId="0" applyNumberFormat="1" applyFont="1" applyBorder="1" applyAlignment="1">
      <alignment horizontal="center" vertical="center"/>
    </xf>
    <xf numFmtId="6" fontId="6" fillId="0" borderId="64"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48" xfId="0" applyBorder="1" applyAlignment="1">
      <alignment horizontal="right" vertical="center"/>
    </xf>
    <xf numFmtId="38" fontId="0" fillId="0" borderId="65" xfId="0" applyNumberFormat="1" applyBorder="1" applyAlignment="1">
      <alignment horizontal="center" vertical="center"/>
    </xf>
    <xf numFmtId="6" fontId="0" fillId="0" borderId="15" xfId="0" applyNumberFormat="1" applyBorder="1" applyAlignment="1">
      <alignment horizontal="center" vertical="top"/>
    </xf>
    <xf numFmtId="6" fontId="0" fillId="0" borderId="66"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0" xfId="0" applyNumberFormat="1" applyBorder="1" applyAlignment="1">
      <alignment horizontal="right" vertical="center"/>
    </xf>
    <xf numFmtId="0" fontId="8" fillId="0" borderId="0" xfId="0" quotePrefix="1" applyFont="1"/>
    <xf numFmtId="6" fontId="0" fillId="0" borderId="0" xfId="0" applyNumberFormat="1" applyAlignment="1">
      <alignment vertical="center"/>
    </xf>
    <xf numFmtId="0" fontId="7" fillId="0" borderId="0" xfId="0" applyFont="1"/>
    <xf numFmtId="0" fontId="23" fillId="0" borderId="5" xfId="0" applyFont="1" applyBorder="1" applyAlignment="1">
      <alignment vertical="center" wrapText="1"/>
    </xf>
    <xf numFmtId="0" fontId="97" fillId="0" borderId="40" xfId="0" applyFont="1" applyBorder="1" applyAlignment="1">
      <alignment vertical="center" wrapText="1"/>
    </xf>
    <xf numFmtId="167" fontId="6" fillId="0" borderId="0" xfId="0" applyNumberFormat="1" applyFont="1" applyAlignment="1">
      <alignment horizontal="left" vertical="center"/>
    </xf>
    <xf numFmtId="0" fontId="0" fillId="0" borderId="0" xfId="0" quotePrefix="1" applyAlignment="1">
      <alignment vertical="center"/>
    </xf>
    <xf numFmtId="0" fontId="0" fillId="7" borderId="52" xfId="0" applyFill="1" applyBorder="1"/>
    <xf numFmtId="0" fontId="6" fillId="0" borderId="15" xfId="0" applyFont="1" applyBorder="1"/>
    <xf numFmtId="0" fontId="16" fillId="6" borderId="52" xfId="0" applyFont="1" applyFill="1" applyBorder="1" applyAlignment="1">
      <alignment vertical="center"/>
    </xf>
    <xf numFmtId="177" fontId="16" fillId="6" borderId="52" xfId="0" applyNumberFormat="1" applyFont="1" applyFill="1" applyBorder="1" applyAlignment="1">
      <alignment horizontal="center" vertical="center"/>
    </xf>
    <xf numFmtId="40" fontId="16" fillId="6" borderId="52" xfId="0" applyNumberFormat="1" applyFont="1" applyFill="1" applyBorder="1" applyAlignment="1">
      <alignment horizontal="center" vertical="center"/>
    </xf>
    <xf numFmtId="178" fontId="16" fillId="6" borderId="52" xfId="0" applyNumberFormat="1" applyFont="1" applyFill="1" applyBorder="1" applyAlignment="1">
      <alignment horizontal="center" vertical="center"/>
    </xf>
    <xf numFmtId="177" fontId="8" fillId="0" borderId="52" xfId="0" applyNumberFormat="1" applyFont="1" applyBorder="1" applyAlignment="1">
      <alignment horizontal="center" vertical="center"/>
    </xf>
    <xf numFmtId="6" fontId="0" fillId="0" borderId="1" xfId="0" applyNumberFormat="1" applyBorder="1" applyAlignment="1">
      <alignment vertical="center"/>
    </xf>
    <xf numFmtId="0" fontId="33" fillId="0" borderId="0" xfId="2" applyFont="1" applyAlignment="1">
      <alignment horizontal="center" vertical="center" wrapText="1"/>
    </xf>
    <xf numFmtId="0" fontId="11"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2" fillId="0" borderId="0" xfId="2" applyFont="1" applyAlignment="1">
      <alignment horizontal="center" vertical="center" wrapText="1"/>
    </xf>
    <xf numFmtId="179" fontId="8" fillId="0" borderId="7" xfId="0" applyNumberFormat="1" applyFont="1" applyBorder="1" applyAlignment="1">
      <alignment horizontal="center" vertical="center"/>
    </xf>
    <xf numFmtId="180" fontId="8" fillId="0" borderId="51" xfId="0" applyNumberFormat="1" applyFont="1" applyBorder="1" applyAlignment="1">
      <alignment horizontal="center" vertical="center"/>
    </xf>
    <xf numFmtId="6" fontId="0" fillId="0" borderId="2" xfId="0" applyNumberFormat="1" applyBorder="1" applyAlignment="1">
      <alignment vertical="center"/>
    </xf>
    <xf numFmtId="0" fontId="0" fillId="0" borderId="49" xfId="0" applyBorder="1" applyAlignment="1">
      <alignment vertical="center"/>
    </xf>
    <xf numFmtId="0" fontId="0" fillId="0" borderId="70" xfId="0" applyBorder="1" applyAlignment="1">
      <alignment vertical="center"/>
    </xf>
    <xf numFmtId="0" fontId="0" fillId="0" borderId="70" xfId="0" applyBorder="1"/>
    <xf numFmtId="0" fontId="99" fillId="0" borderId="0" xfId="0" applyFont="1"/>
    <xf numFmtId="0" fontId="99" fillId="0" borderId="0" xfId="0" applyFont="1" applyAlignment="1">
      <alignment vertical="center"/>
    </xf>
    <xf numFmtId="0" fontId="8" fillId="0" borderId="0" xfId="0" applyFont="1" applyAlignment="1">
      <alignment horizontal="right"/>
    </xf>
    <xf numFmtId="168" fontId="6" fillId="0" borderId="0" xfId="0" applyNumberFormat="1" applyFont="1" applyAlignment="1">
      <alignment vertical="top"/>
    </xf>
    <xf numFmtId="168" fontId="6" fillId="0" borderId="0" xfId="0" applyNumberFormat="1" applyFont="1" applyAlignment="1">
      <alignment horizontal="right" vertical="top" wrapText="1"/>
    </xf>
    <xf numFmtId="0" fontId="0" fillId="0" borderId="0" xfId="0" applyAlignment="1">
      <alignment horizontal="right" vertical="top"/>
    </xf>
    <xf numFmtId="181" fontId="16" fillId="6" borderId="69"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8" fillId="13" borderId="0" xfId="0" applyFont="1" applyFill="1" applyAlignment="1">
      <alignment vertical="center"/>
    </xf>
    <xf numFmtId="0" fontId="0" fillId="13" borderId="0" xfId="0" applyFill="1" applyAlignment="1">
      <alignment horizontal="right" vertical="center"/>
    </xf>
    <xf numFmtId="0" fontId="102" fillId="0" borderId="0" xfId="2" applyFont="1"/>
    <xf numFmtId="38" fontId="8" fillId="0" borderId="0" xfId="0" quotePrefix="1" applyNumberFormat="1" applyFont="1" applyAlignment="1">
      <alignment horizontal="center" vertical="center"/>
    </xf>
    <xf numFmtId="0" fontId="16" fillId="0" borderId="0" xfId="0" applyFont="1" applyAlignment="1">
      <alignment horizontal="left" vertical="center"/>
    </xf>
    <xf numFmtId="44" fontId="95" fillId="0" borderId="0" xfId="1" applyFont="1" applyFill="1" applyBorder="1" applyAlignment="1" applyProtection="1">
      <alignment horizontal="right" vertical="center"/>
    </xf>
    <xf numFmtId="44" fontId="93" fillId="0" borderId="0" xfId="1" applyFont="1" applyFill="1" applyBorder="1" applyAlignment="1" applyProtection="1">
      <alignment horizontal="left" vertical="center"/>
    </xf>
    <xf numFmtId="38" fontId="8" fillId="0" borderId="0" xfId="0" applyNumberFormat="1" applyFont="1" applyAlignment="1">
      <alignment vertical="center"/>
    </xf>
    <xf numFmtId="0" fontId="0" fillId="0" borderId="0" xfId="0" applyAlignment="1">
      <alignment horizontal="center" vertical="top"/>
    </xf>
    <xf numFmtId="38" fontId="8" fillId="0" borderId="0" xfId="0" applyNumberFormat="1" applyFont="1" applyAlignment="1">
      <alignment horizontal="center"/>
    </xf>
    <xf numFmtId="38" fontId="0" fillId="0" borderId="0" xfId="0" applyNumberFormat="1" applyAlignment="1">
      <alignment horizontal="center"/>
    </xf>
    <xf numFmtId="0" fontId="70" fillId="0" borderId="0" xfId="2" applyFont="1" applyAlignment="1">
      <alignment horizontal="right"/>
    </xf>
    <xf numFmtId="0" fontId="53" fillId="0" borderId="0" xfId="2" applyFont="1" applyAlignment="1">
      <alignment vertical="top" wrapText="1"/>
    </xf>
    <xf numFmtId="0" fontId="64"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11" fillId="0" borderId="22" xfId="2" applyBorder="1"/>
    <xf numFmtId="0" fontId="11" fillId="0" borderId="2" xfId="2" applyBorder="1"/>
    <xf numFmtId="9" fontId="16"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76" xfId="0" applyBorder="1"/>
    <xf numFmtId="9" fontId="16" fillId="6" borderId="76" xfId="4" applyFont="1" applyFill="1" applyBorder="1" applyAlignment="1">
      <alignment horizontal="center" vertical="center"/>
    </xf>
    <xf numFmtId="9" fontId="16" fillId="6" borderId="77" xfId="4" applyFont="1" applyFill="1" applyBorder="1" applyAlignment="1">
      <alignment horizontal="center" vertical="center"/>
    </xf>
    <xf numFmtId="38" fontId="16" fillId="6" borderId="78" xfId="0" applyNumberFormat="1" applyFont="1" applyFill="1" applyBorder="1" applyAlignment="1">
      <alignment horizontal="center" vertical="center"/>
    </xf>
    <xf numFmtId="0" fontId="0" fillId="7" borderId="15" xfId="0" applyFill="1" applyBorder="1"/>
    <xf numFmtId="0" fontId="0" fillId="7" borderId="70" xfId="0" applyFill="1" applyBorder="1"/>
    <xf numFmtId="0" fontId="0" fillId="7" borderId="78" xfId="0" applyFill="1" applyBorder="1"/>
    <xf numFmtId="0" fontId="0" fillId="7" borderId="16" xfId="0" applyFill="1" applyBorder="1"/>
    <xf numFmtId="0" fontId="11" fillId="0" borderId="0" xfId="2" applyAlignment="1">
      <alignment horizontal="right"/>
    </xf>
    <xf numFmtId="171" fontId="11" fillId="0" borderId="0" xfId="2" applyNumberFormat="1" applyAlignment="1">
      <alignment horizontal="center" vertical="center"/>
    </xf>
    <xf numFmtId="185" fontId="0" fillId="0" borderId="15" xfId="4" applyNumberFormat="1" applyFont="1" applyBorder="1" applyAlignment="1">
      <alignment horizontal="center" vertical="center"/>
    </xf>
    <xf numFmtId="166" fontId="6" fillId="0" borderId="0" xfId="0" applyNumberFormat="1" applyFont="1" applyAlignment="1">
      <alignment horizontal="right" vertical="top" wrapText="1"/>
    </xf>
    <xf numFmtId="0" fontId="0" fillId="0" borderId="76" xfId="0" applyBorder="1" applyAlignment="1">
      <alignment vertical="center"/>
    </xf>
    <xf numFmtId="9" fontId="8" fillId="0" borderId="70" xfId="4" applyFont="1" applyFill="1" applyBorder="1" applyAlignment="1">
      <alignment horizontal="center" vertical="center"/>
    </xf>
    <xf numFmtId="0" fontId="8" fillId="0" borderId="0" xfId="0" applyFont="1" applyAlignment="1">
      <alignment vertical="top"/>
    </xf>
    <xf numFmtId="0" fontId="0" fillId="0" borderId="15" xfId="0" applyBorder="1" applyAlignment="1">
      <alignment horizontal="center" vertical="center"/>
    </xf>
    <xf numFmtId="0" fontId="0" fillId="0" borderId="76" xfId="0" applyBorder="1" applyAlignment="1">
      <alignment horizontal="center" vertical="center"/>
    </xf>
    <xf numFmtId="0" fontId="0" fillId="0" borderId="70" xfId="0" applyBorder="1" applyAlignment="1">
      <alignment horizontal="center" vertical="center"/>
    </xf>
    <xf numFmtId="40" fontId="16" fillId="17" borderId="52" xfId="0" applyNumberFormat="1" applyFont="1" applyFill="1" applyBorder="1" applyAlignment="1">
      <alignment horizontal="center" vertical="center"/>
    </xf>
    <xf numFmtId="0" fontId="6" fillId="0" borderId="0" xfId="0" applyFont="1" applyAlignment="1">
      <alignment horizontal="center"/>
    </xf>
    <xf numFmtId="0" fontId="6" fillId="16" borderId="0" xfId="0" applyFont="1" applyFill="1" applyAlignment="1">
      <alignment horizontal="center"/>
    </xf>
    <xf numFmtId="0" fontId="106" fillId="0" borderId="0" xfId="2" applyFont="1"/>
    <xf numFmtId="0" fontId="0" fillId="7" borderId="70" xfId="0" applyFill="1" applyBorder="1" applyAlignment="1">
      <alignment vertical="center"/>
    </xf>
    <xf numFmtId="0" fontId="0" fillId="7" borderId="78" xfId="0" applyFill="1" applyBorder="1" applyAlignment="1">
      <alignment vertical="center"/>
    </xf>
    <xf numFmtId="0" fontId="0" fillId="7" borderId="52" xfId="0" applyFill="1" applyBorder="1" applyAlignment="1">
      <alignment vertical="center"/>
    </xf>
    <xf numFmtId="0" fontId="0" fillId="0" borderId="69"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77" xfId="0" applyBorder="1" applyAlignment="1">
      <alignment vertical="center"/>
    </xf>
    <xf numFmtId="0" fontId="7" fillId="0" borderId="78" xfId="0" applyFont="1" applyBorder="1" applyAlignment="1">
      <alignment vertical="center"/>
    </xf>
    <xf numFmtId="0" fontId="0" fillId="0" borderId="78" xfId="0" applyBorder="1" applyAlignment="1">
      <alignment vertical="center"/>
    </xf>
    <xf numFmtId="0" fontId="0" fillId="0" borderId="78" xfId="0" applyBorder="1" applyAlignment="1">
      <alignment horizontal="center" vertical="center"/>
    </xf>
    <xf numFmtId="0" fontId="0" fillId="0" borderId="52" xfId="0" applyBorder="1" applyAlignment="1">
      <alignment horizontal="center" vertical="center"/>
    </xf>
    <xf numFmtId="0" fontId="0" fillId="0" borderId="16" xfId="0" applyBorder="1" applyAlignment="1">
      <alignment horizontal="center" vertical="center"/>
    </xf>
    <xf numFmtId="0" fontId="0" fillId="19" borderId="15" xfId="0" applyFill="1" applyBorder="1" applyAlignment="1">
      <alignment vertical="center"/>
    </xf>
    <xf numFmtId="0" fontId="0" fillId="19" borderId="76" xfId="0" applyFill="1" applyBorder="1" applyAlignment="1">
      <alignment vertical="center"/>
    </xf>
    <xf numFmtId="0" fontId="0" fillId="19" borderId="71" xfId="0" applyFill="1" applyBorder="1" applyAlignment="1">
      <alignment vertical="center"/>
    </xf>
    <xf numFmtId="0" fontId="9" fillId="0" borderId="0" xfId="0" applyFont="1" applyAlignment="1">
      <alignment vertical="center"/>
    </xf>
    <xf numFmtId="0" fontId="51" fillId="0" borderId="0" xfId="2" applyFont="1" applyAlignment="1">
      <alignment horizontal="right"/>
    </xf>
    <xf numFmtId="9" fontId="11" fillId="0" borderId="0" xfId="2" applyNumberFormat="1" applyAlignment="1">
      <alignment horizontal="center" vertical="center"/>
    </xf>
    <xf numFmtId="10" fontId="11" fillId="0" borderId="0" xfId="2" applyNumberFormat="1" applyAlignment="1">
      <alignment horizontal="center" vertical="center"/>
    </xf>
    <xf numFmtId="0" fontId="79" fillId="0" borderId="0" xfId="2" applyFont="1" applyAlignment="1">
      <alignment horizontal="right" vertical="center"/>
    </xf>
    <xf numFmtId="0" fontId="107" fillId="0" borderId="0" xfId="2" applyFont="1" applyAlignment="1">
      <alignment horizontal="left" vertical="center" wrapText="1"/>
    </xf>
    <xf numFmtId="0" fontId="79" fillId="0" borderId="0" xfId="2" applyFont="1" applyAlignment="1">
      <alignment horizontal="right" wrapText="1"/>
    </xf>
    <xf numFmtId="0" fontId="79" fillId="0" borderId="0" xfId="2" applyFont="1" applyAlignment="1">
      <alignment horizontal="left" vertical="center" wrapText="1"/>
    </xf>
    <xf numFmtId="0" fontId="79" fillId="0" borderId="0" xfId="2" quotePrefix="1" applyFont="1" applyAlignment="1">
      <alignment horizontal="left" vertical="center" wrapText="1"/>
    </xf>
    <xf numFmtId="0" fontId="11" fillId="0" borderId="0" xfId="2" applyAlignment="1">
      <alignment horizontal="left" vertical="center" wrapText="1"/>
    </xf>
    <xf numFmtId="0" fontId="81" fillId="0" borderId="0" xfId="2" applyFont="1" applyAlignment="1">
      <alignment horizontal="center" wrapText="1"/>
    </xf>
    <xf numFmtId="0" fontId="81" fillId="0" borderId="0" xfId="2" applyFont="1" applyAlignment="1">
      <alignment horizontal="left"/>
    </xf>
    <xf numFmtId="174" fontId="11" fillId="0" borderId="0" xfId="2" applyNumberFormat="1"/>
    <xf numFmtId="0" fontId="9" fillId="0" borderId="0" xfId="0" applyFont="1"/>
    <xf numFmtId="38" fontId="6" fillId="0" borderId="63"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11" fillId="0" borderId="0" xfId="1" applyFont="1"/>
    <xf numFmtId="0" fontId="108" fillId="0" borderId="0" xfId="2" applyFont="1"/>
    <xf numFmtId="0" fontId="83" fillId="0" borderId="0" xfId="2" quotePrefix="1" applyFont="1"/>
    <xf numFmtId="173" fontId="78" fillId="0" borderId="0" xfId="2" applyNumberFormat="1" applyFont="1"/>
    <xf numFmtId="0" fontId="0" fillId="3" borderId="13" xfId="0" applyFill="1" applyBorder="1" applyAlignment="1">
      <alignment horizontal="left" vertical="center"/>
    </xf>
    <xf numFmtId="1" fontId="0" fillId="0" borderId="21" xfId="0" applyNumberFormat="1" applyBorder="1" applyAlignment="1">
      <alignment horizontal="center" vertical="center"/>
    </xf>
    <xf numFmtId="1" fontId="0" fillId="0" borderId="84" xfId="0" applyNumberFormat="1" applyBorder="1" applyAlignment="1">
      <alignment horizontal="center" vertical="center"/>
    </xf>
    <xf numFmtId="0" fontId="0" fillId="0" borderId="85"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5" xfId="4" applyFont="1" applyBorder="1" applyAlignment="1" applyProtection="1">
      <alignment horizontal="center" vertical="center"/>
    </xf>
    <xf numFmtId="1" fontId="0" fillId="0" borderId="96" xfId="0" applyNumberFormat="1" applyBorder="1" applyAlignment="1">
      <alignment horizontal="center" vertical="center"/>
    </xf>
    <xf numFmtId="0" fontId="0" fillId="3" borderId="82" xfId="0" applyFill="1" applyBorder="1" applyAlignment="1">
      <alignment horizontal="left" vertical="center"/>
    </xf>
    <xf numFmtId="9" fontId="0" fillId="0" borderId="85" xfId="4" applyFont="1" applyBorder="1" applyAlignment="1" applyProtection="1">
      <alignment horizontal="center" vertical="center"/>
    </xf>
    <xf numFmtId="1" fontId="0" fillId="0" borderId="97" xfId="0" applyNumberFormat="1" applyBorder="1" applyAlignment="1">
      <alignment horizontal="center" vertical="center"/>
    </xf>
    <xf numFmtId="0" fontId="0" fillId="3" borderId="100" xfId="0" applyFill="1" applyBorder="1" applyAlignment="1">
      <alignment horizontal="left" vertical="center"/>
    </xf>
    <xf numFmtId="9" fontId="0" fillId="0" borderId="101" xfId="4" applyFont="1" applyBorder="1" applyAlignment="1" applyProtection="1">
      <alignment horizontal="center" vertical="center" wrapText="1"/>
    </xf>
    <xf numFmtId="0" fontId="0" fillId="0" borderId="102" xfId="0" applyBorder="1" applyAlignment="1">
      <alignment horizontal="center" wrapText="1"/>
    </xf>
    <xf numFmtId="1" fontId="0" fillId="0" borderId="104" xfId="0" applyNumberFormat="1" applyBorder="1" applyAlignment="1">
      <alignment horizontal="center" vertical="center"/>
    </xf>
    <xf numFmtId="9" fontId="0" fillId="7" borderId="0" xfId="4" applyFont="1" applyFill="1" applyAlignment="1">
      <alignment horizontal="center" vertical="center"/>
    </xf>
    <xf numFmtId="0" fontId="8" fillId="7" borderId="0" xfId="0" applyFont="1" applyFill="1" applyAlignment="1">
      <alignment horizontal="center" vertical="center"/>
    </xf>
    <xf numFmtId="0" fontId="0" fillId="0" borderId="0" xfId="4" applyNumberFormat="1" applyFont="1" applyAlignment="1">
      <alignment vertical="top" wrapText="1"/>
    </xf>
    <xf numFmtId="0" fontId="8" fillId="0" borderId="15" xfId="0" applyFont="1" applyBorder="1"/>
    <xf numFmtId="0" fontId="8" fillId="0" borderId="16" xfId="0" applyFont="1" applyBorder="1"/>
    <xf numFmtId="0" fontId="0" fillId="0" borderId="78" xfId="0" applyBorder="1"/>
    <xf numFmtId="0" fontId="0" fillId="0" borderId="87" xfId="0" applyBorder="1" applyAlignment="1">
      <alignment horizontal="center" wrapText="1"/>
    </xf>
    <xf numFmtId="0" fontId="0" fillId="0" borderId="83" xfId="0" applyBorder="1" applyAlignment="1">
      <alignment horizontal="center" wrapText="1"/>
    </xf>
    <xf numFmtId="0" fontId="0" fillId="0" borderId="83" xfId="0" applyBorder="1" applyAlignment="1">
      <alignment horizontal="center"/>
    </xf>
    <xf numFmtId="0" fontId="0" fillId="8" borderId="0" xfId="0" applyFill="1"/>
    <xf numFmtId="0" fontId="8" fillId="0" borderId="0" xfId="0" applyFont="1" applyAlignment="1">
      <alignment horizontal="center" vertical="center"/>
    </xf>
    <xf numFmtId="0" fontId="31" fillId="0" borderId="2" xfId="2" applyFont="1" applyBorder="1"/>
    <xf numFmtId="40" fontId="47" fillId="0" borderId="2" xfId="2" applyNumberFormat="1" applyFont="1" applyBorder="1"/>
    <xf numFmtId="40" fontId="43" fillId="0" borderId="2" xfId="2" applyNumberFormat="1" applyFont="1" applyBorder="1"/>
    <xf numFmtId="40" fontId="37" fillId="0" borderId="0" xfId="2" applyNumberFormat="1" applyFont="1"/>
    <xf numFmtId="0" fontId="6" fillId="8" borderId="0" xfId="0" applyFont="1" applyFill="1" applyAlignment="1">
      <alignment vertical="top"/>
    </xf>
    <xf numFmtId="0" fontId="6"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5"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0"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3" fillId="0" borderId="0" xfId="2" applyFont="1"/>
    <xf numFmtId="1" fontId="0" fillId="0" borderId="106" xfId="0" applyNumberFormat="1" applyBorder="1" applyAlignment="1">
      <alignment horizontal="center" vertical="center"/>
    </xf>
    <xf numFmtId="0" fontId="41" fillId="0" borderId="0" xfId="2" applyFont="1" applyAlignment="1">
      <alignment horizontal="center"/>
    </xf>
    <xf numFmtId="174" fontId="85" fillId="0" borderId="0" xfId="2" applyNumberFormat="1" applyFont="1"/>
    <xf numFmtId="174" fontId="85" fillId="0" borderId="0" xfId="2" quotePrefix="1" applyNumberFormat="1" applyFont="1"/>
    <xf numFmtId="0" fontId="88" fillId="0" borderId="15" xfId="0" applyFont="1" applyBorder="1" applyAlignment="1">
      <alignment vertical="center"/>
    </xf>
    <xf numFmtId="0" fontId="11" fillId="0" borderId="15" xfId="2" applyBorder="1"/>
    <xf numFmtId="8" fontId="11" fillId="0" borderId="15" xfId="2" applyNumberFormat="1" applyBorder="1"/>
    <xf numFmtId="0" fontId="11" fillId="0" borderId="15" xfId="2" quotePrefix="1" applyBorder="1"/>
    <xf numFmtId="0" fontId="0" fillId="0" borderId="0" xfId="4" applyNumberFormat="1" applyFont="1" applyAlignment="1">
      <alignment vertical="top"/>
    </xf>
    <xf numFmtId="0" fontId="0" fillId="0" borderId="0" xfId="4" applyNumberFormat="1" applyFont="1" applyAlignment="1"/>
    <xf numFmtId="0" fontId="12" fillId="0" borderId="0" xfId="0" applyFont="1"/>
    <xf numFmtId="0" fontId="61" fillId="0" borderId="70" xfId="0" applyFont="1" applyBorder="1" applyAlignment="1">
      <alignment vertical="center"/>
    </xf>
    <xf numFmtId="0" fontId="0" fillId="0" borderId="52" xfId="0" applyBorder="1"/>
    <xf numFmtId="0" fontId="0" fillId="0" borderId="95" xfId="0" applyBorder="1" applyAlignment="1">
      <alignment horizontal="center" vertical="center"/>
    </xf>
    <xf numFmtId="6" fontId="0" fillId="0" borderId="95" xfId="0" applyNumberFormat="1" applyBorder="1" applyAlignment="1">
      <alignment horizontal="center" vertical="center"/>
    </xf>
    <xf numFmtId="6" fontId="0" fillId="0" borderId="95" xfId="0" applyNumberFormat="1" applyBorder="1" applyAlignment="1">
      <alignment horizontal="right" vertical="center" indent="1"/>
    </xf>
    <xf numFmtId="0" fontId="103" fillId="0" borderId="0" xfId="0" applyFont="1"/>
    <xf numFmtId="0" fontId="8" fillId="0" borderId="0" xfId="4" applyNumberFormat="1" applyFont="1" applyFill="1" applyBorder="1" applyAlignment="1">
      <alignment horizontal="center" vertical="center"/>
    </xf>
    <xf numFmtId="0" fontId="0" fillId="0" borderId="69" xfId="0" applyBorder="1"/>
    <xf numFmtId="0" fontId="13" fillId="20" borderId="7" xfId="0" applyFont="1" applyFill="1" applyBorder="1"/>
    <xf numFmtId="0" fontId="10" fillId="0" borderId="6" xfId="0" applyFont="1" applyBorder="1" applyAlignment="1">
      <alignment horizontal="center"/>
    </xf>
    <xf numFmtId="0" fontId="0" fillId="20" borderId="1" xfId="0" applyFill="1" applyBorder="1"/>
    <xf numFmtId="0" fontId="0" fillId="20" borderId="6" xfId="0" applyFill="1" applyBorder="1" applyAlignment="1">
      <alignment horizontal="center"/>
    </xf>
    <xf numFmtId="0" fontId="11" fillId="7" borderId="0" xfId="2" applyFill="1"/>
    <xf numFmtId="0" fontId="101" fillId="0" borderId="0" xfId="0" applyFont="1" applyAlignment="1">
      <alignment vertical="center"/>
    </xf>
    <xf numFmtId="0" fontId="83" fillId="0" borderId="0" xfId="2" applyFont="1"/>
    <xf numFmtId="0" fontId="37" fillId="0" borderId="0" xfId="2" applyFont="1" applyAlignment="1">
      <alignment horizontal="center" vertical="center"/>
    </xf>
    <xf numFmtId="0" fontId="75" fillId="0" borderId="0" xfId="2" applyFont="1" applyAlignment="1">
      <alignment vertical="center" wrapText="1"/>
    </xf>
    <xf numFmtId="173" fontId="38" fillId="0" borderId="0" xfId="2" applyNumberFormat="1" applyFont="1"/>
    <xf numFmtId="0" fontId="0" fillId="0" borderId="16" xfId="0" quotePrefix="1" applyBorder="1" applyAlignment="1">
      <alignment horizontal="center" vertical="center"/>
    </xf>
    <xf numFmtId="185" fontId="0" fillId="0" borderId="70" xfId="4" applyNumberFormat="1" applyFont="1" applyFill="1" applyBorder="1" applyAlignment="1">
      <alignment horizontal="center" vertical="center"/>
    </xf>
    <xf numFmtId="0" fontId="0" fillId="0" borderId="49" xfId="0" applyBorder="1" applyAlignment="1">
      <alignment horizontal="center" vertical="center"/>
    </xf>
    <xf numFmtId="9" fontId="0" fillId="0" borderId="0" xfId="0" applyNumberFormat="1" applyAlignment="1">
      <alignment horizontal="center" vertical="center"/>
    </xf>
    <xf numFmtId="185" fontId="0" fillId="0" borderId="0" xfId="4" applyNumberFormat="1" applyFont="1" applyFill="1" applyBorder="1" applyAlignment="1">
      <alignment horizontal="center" vertical="center"/>
    </xf>
    <xf numFmtId="9" fontId="0" fillId="0" borderId="70" xfId="0" applyNumberFormat="1" applyBorder="1" applyAlignment="1">
      <alignment horizontal="center" vertical="center"/>
    </xf>
    <xf numFmtId="0" fontId="16" fillId="6" borderId="0" xfId="0" applyFont="1" applyFill="1" applyAlignment="1">
      <alignment horizontal="center" vertical="center"/>
    </xf>
    <xf numFmtId="0" fontId="16" fillId="6" borderId="70" xfId="0" applyFont="1" applyFill="1" applyBorder="1" applyAlignment="1">
      <alignment horizontal="center" vertical="center"/>
    </xf>
    <xf numFmtId="0" fontId="113" fillId="8" borderId="0" xfId="0" quotePrefix="1" applyFont="1" applyFill="1" applyAlignment="1">
      <alignment vertical="center"/>
    </xf>
    <xf numFmtId="38" fontId="0" fillId="0" borderId="0" xfId="0" applyNumberFormat="1"/>
    <xf numFmtId="0" fontId="10" fillId="0" borderId="0" xfId="0" applyFont="1" applyAlignment="1">
      <alignment horizontal="left" vertical="top"/>
    </xf>
    <xf numFmtId="188" fontId="0" fillId="0" borderId="1" xfId="0" applyNumberFormat="1" applyBorder="1" applyAlignment="1">
      <alignment vertical="center"/>
    </xf>
    <xf numFmtId="0" fontId="0" fillId="0" borderId="49" xfId="0" applyBorder="1" applyAlignment="1">
      <alignment horizontal="left" vertical="center"/>
    </xf>
    <xf numFmtId="171" fontId="0" fillId="0" borderId="2" xfId="0" applyNumberFormat="1" applyBorder="1" applyAlignment="1">
      <alignment vertical="center"/>
    </xf>
    <xf numFmtId="0" fontId="6" fillId="0" borderId="0" xfId="0" applyFont="1" applyAlignment="1">
      <alignment horizontal="right" vertical="center"/>
    </xf>
    <xf numFmtId="0" fontId="6" fillId="0" borderId="0" xfId="0" applyFont="1" applyAlignment="1">
      <alignment horizontal="right" vertical="top"/>
    </xf>
    <xf numFmtId="168" fontId="6" fillId="0" borderId="0" xfId="0" applyNumberFormat="1" applyFont="1" applyAlignment="1">
      <alignment horizontal="right" vertical="top"/>
    </xf>
    <xf numFmtId="168" fontId="6" fillId="0" borderId="0" xfId="0" applyNumberFormat="1" applyFont="1" applyAlignment="1">
      <alignment horizontal="right"/>
    </xf>
    <xf numFmtId="168" fontId="6" fillId="0" borderId="0" xfId="0" applyNumberFormat="1" applyFont="1" applyAlignment="1">
      <alignment horizontal="right" vertical="center"/>
    </xf>
    <xf numFmtId="0" fontId="0" fillId="0" borderId="12" xfId="0" applyBorder="1"/>
    <xf numFmtId="0" fontId="0" fillId="0" borderId="42" xfId="0" applyBorder="1"/>
    <xf numFmtId="190" fontId="0" fillId="0" borderId="0" xfId="0" applyNumberFormat="1" applyAlignment="1">
      <alignment vertical="center"/>
    </xf>
    <xf numFmtId="174" fontId="41" fillId="0" borderId="10" xfId="2" quotePrefix="1" applyNumberFormat="1" applyFont="1" applyBorder="1"/>
    <xf numFmtId="174" fontId="41" fillId="0" borderId="13" xfId="2" applyNumberFormat="1" applyFont="1" applyBorder="1"/>
    <xf numFmtId="174" fontId="41" fillId="0" borderId="13" xfId="2" quotePrefix="1" applyNumberFormat="1" applyFont="1" applyBorder="1"/>
    <xf numFmtId="174" fontId="112" fillId="0" borderId="13" xfId="2" applyNumberFormat="1" applyFont="1" applyBorder="1"/>
    <xf numFmtId="0" fontId="41" fillId="0" borderId="13" xfId="2" quotePrefix="1" applyFont="1" applyBorder="1"/>
    <xf numFmtId="174" fontId="41" fillId="0" borderId="11" xfId="2" applyNumberFormat="1" applyFont="1" applyBorder="1"/>
    <xf numFmtId="0" fontId="16" fillId="0" borderId="0" xfId="0" applyFont="1" applyAlignment="1">
      <alignment vertical="center"/>
    </xf>
    <xf numFmtId="179" fontId="8" fillId="0" borderId="10" xfId="0" applyNumberFormat="1" applyFont="1" applyBorder="1" applyAlignment="1">
      <alignment horizontal="center" vertical="center"/>
    </xf>
    <xf numFmtId="0" fontId="8" fillId="8" borderId="0" xfId="0" applyFont="1" applyFill="1" applyAlignment="1">
      <alignment horizontal="left" vertical="top"/>
    </xf>
    <xf numFmtId="0" fontId="8" fillId="8" borderId="0" xfId="0" applyFont="1" applyFill="1" applyAlignment="1">
      <alignment horizontal="left" vertical="top" wrapText="1"/>
    </xf>
    <xf numFmtId="168" fontId="14" fillId="0" borderId="0" xfId="0" applyNumberFormat="1" applyFont="1" applyAlignment="1">
      <alignment horizontal="right" vertical="top"/>
    </xf>
    <xf numFmtId="0" fontId="0" fillId="8" borderId="0" xfId="0" applyFill="1" applyAlignment="1">
      <alignment vertical="center"/>
    </xf>
    <xf numFmtId="0" fontId="115" fillId="0" borderId="0" xfId="0" applyFont="1"/>
    <xf numFmtId="0" fontId="115"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2" fontId="0" fillId="0" borderId="0" xfId="0" applyNumberFormat="1" applyAlignment="1">
      <alignment horizontal="center" vertical="center"/>
    </xf>
    <xf numFmtId="185" fontId="0" fillId="0" borderId="0" xfId="4" applyNumberFormat="1" applyFont="1" applyBorder="1" applyAlignment="1">
      <alignment horizontal="center" vertical="center"/>
    </xf>
    <xf numFmtId="0" fontId="9" fillId="0" borderId="0" xfId="0" applyFont="1" applyAlignment="1">
      <alignment horizontal="center"/>
    </xf>
    <xf numFmtId="9" fontId="0" fillId="0" borderId="69" xfId="4" applyFont="1" applyFill="1" applyBorder="1" applyAlignment="1">
      <alignment horizontal="center" vertical="center"/>
    </xf>
    <xf numFmtId="0" fontId="0" fillId="0" borderId="69" xfId="0" applyBorder="1" applyAlignment="1">
      <alignment horizontal="center" vertical="center"/>
    </xf>
    <xf numFmtId="0" fontId="13" fillId="0" borderId="7" xfId="0" applyFont="1" applyBorder="1" applyAlignment="1">
      <alignment vertical="center"/>
    </xf>
    <xf numFmtId="0" fontId="10" fillId="0" borderId="7" xfId="0" applyFont="1" applyBorder="1" applyAlignment="1">
      <alignment horizontal="center" vertical="center"/>
    </xf>
    <xf numFmtId="0" fontId="16" fillId="6" borderId="69" xfId="0" applyFont="1" applyFill="1" applyBorder="1" applyAlignment="1">
      <alignment horizontal="center" vertical="center"/>
    </xf>
    <xf numFmtId="0" fontId="101" fillId="0" borderId="0" xfId="0" applyFont="1" applyAlignment="1">
      <alignment horizontal="right" vertical="center"/>
    </xf>
    <xf numFmtId="193" fontId="16" fillId="6" borderId="52" xfId="0" applyNumberFormat="1" applyFont="1" applyFill="1" applyBorder="1" applyAlignment="1">
      <alignment horizontal="center" vertical="center"/>
    </xf>
    <xf numFmtId="193" fontId="16" fillId="6" borderId="53" xfId="0" applyNumberFormat="1" applyFont="1" applyFill="1" applyBorder="1" applyAlignment="1">
      <alignment horizontal="center" vertical="center"/>
    </xf>
    <xf numFmtId="194" fontId="8" fillId="0" borderId="109" xfId="0" applyNumberFormat="1" applyFont="1" applyBorder="1" applyAlignment="1">
      <alignment horizontal="center" vertical="center"/>
    </xf>
    <xf numFmtId="177" fontId="0" fillId="0" borderId="0" xfId="0" applyNumberFormat="1" applyAlignment="1">
      <alignment horizontal="center" vertical="center"/>
    </xf>
    <xf numFmtId="177" fontId="0" fillId="0" borderId="7" xfId="0" applyNumberFormat="1" applyBorder="1" applyAlignment="1">
      <alignment horizontal="center" vertical="center"/>
    </xf>
    <xf numFmtId="0" fontId="91" fillId="0" borderId="0" xfId="5"/>
    <xf numFmtId="190" fontId="0" fillId="0" borderId="52" xfId="0" applyNumberFormat="1" applyBorder="1" applyAlignment="1">
      <alignment vertical="center"/>
    </xf>
    <xf numFmtId="177" fontId="0" fillId="0" borderId="52" xfId="0" applyNumberFormat="1" applyBorder="1" applyAlignment="1">
      <alignment horizontal="center" vertical="center"/>
    </xf>
    <xf numFmtId="191" fontId="9" fillId="0" borderId="0" xfId="0" applyNumberFormat="1" applyFont="1" applyAlignment="1">
      <alignment horizontal="right"/>
    </xf>
    <xf numFmtId="177" fontId="6" fillId="0" borderId="7" xfId="0" applyNumberFormat="1" applyFont="1" applyBorder="1" applyAlignment="1">
      <alignment horizontal="center" vertical="center"/>
    </xf>
    <xf numFmtId="0" fontId="99" fillId="0" borderId="0" xfId="0" applyFont="1" applyAlignment="1">
      <alignment vertical="top"/>
    </xf>
    <xf numFmtId="193" fontId="16" fillId="6" borderId="107"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12" fillId="13" borderId="0" xfId="7" applyFont="1" applyFill="1" applyAlignment="1">
      <alignment horizontal="left" vertical="center" wrapText="1"/>
    </xf>
    <xf numFmtId="0" fontId="12" fillId="13" borderId="0" xfId="6" applyFont="1" applyFill="1" applyBorder="1" applyAlignment="1" applyProtection="1">
      <alignment horizontal="left" vertical="center" wrapText="1"/>
    </xf>
    <xf numFmtId="0" fontId="12" fillId="13" borderId="0" xfId="9" applyFont="1" applyFill="1" applyAlignment="1">
      <alignment horizontal="center" vertical="center" wrapText="1"/>
    </xf>
    <xf numFmtId="0" fontId="12" fillId="13" borderId="0" xfId="6" applyFont="1" applyFill="1" applyBorder="1" applyAlignment="1" applyProtection="1">
      <alignment horizontal="center" vertical="center" wrapText="1"/>
    </xf>
    <xf numFmtId="0" fontId="12" fillId="13" borderId="0" xfId="7" applyFont="1" applyFill="1" applyAlignment="1">
      <alignment horizontal="center" vertical="center" wrapText="1"/>
    </xf>
    <xf numFmtId="0" fontId="12" fillId="13" borderId="0" xfId="7" applyFont="1" applyFill="1" applyAlignment="1">
      <alignment horizontal="left" vertical="center"/>
    </xf>
    <xf numFmtId="0" fontId="12" fillId="13" borderId="0" xfId="7" applyFont="1" applyFill="1" applyAlignment="1">
      <alignment horizontal="center" vertical="center"/>
    </xf>
    <xf numFmtId="198" fontId="12" fillId="13" borderId="0" xfId="8" applyNumberFormat="1" applyFont="1" applyFill="1" applyAlignment="1">
      <alignment horizontal="left" vertical="center" wrapText="1"/>
    </xf>
    <xf numFmtId="0" fontId="12" fillId="13" borderId="0" xfId="8" applyFont="1" applyFill="1" applyAlignment="1">
      <alignment horizontal="left" vertical="center" wrapText="1"/>
    </xf>
    <xf numFmtId="198" fontId="12" fillId="13" borderId="0" xfId="7" applyNumberFormat="1" applyFont="1" applyFill="1" applyAlignment="1">
      <alignment horizontal="left" vertical="center" wrapText="1"/>
    </xf>
    <xf numFmtId="198" fontId="119" fillId="13" borderId="0" xfId="8" applyNumberFormat="1" applyFont="1" applyFill="1" applyAlignment="1">
      <alignment horizontal="left" vertical="center" wrapText="1" readingOrder="1"/>
    </xf>
    <xf numFmtId="0" fontId="119" fillId="13" borderId="0" xfId="8" applyFont="1" applyFill="1" applyAlignment="1">
      <alignment horizontal="left" vertical="center" wrapText="1" readingOrder="1"/>
    </xf>
    <xf numFmtId="0" fontId="120" fillId="13" borderId="0" xfId="6" applyFont="1" applyFill="1" applyBorder="1" applyAlignment="1" applyProtection="1">
      <alignment horizontal="left" vertical="center" wrapText="1"/>
    </xf>
    <xf numFmtId="0" fontId="120" fillId="13" borderId="0" xfId="7" applyFont="1" applyFill="1" applyAlignment="1">
      <alignment horizontal="left" vertical="center"/>
    </xf>
    <xf numFmtId="0" fontId="120" fillId="13" borderId="0" xfId="7" applyFont="1" applyFill="1" applyAlignment="1">
      <alignment horizontal="left" vertical="center" wrapText="1"/>
    </xf>
    <xf numFmtId="0" fontId="120" fillId="13" borderId="0" xfId="7" applyFont="1" applyFill="1" applyAlignment="1">
      <alignment horizontal="center" vertical="center" wrapText="1"/>
    </xf>
    <xf numFmtId="0" fontId="120" fillId="13" borderId="0" xfId="7" applyFont="1" applyFill="1" applyAlignment="1">
      <alignment horizontal="center" vertical="center"/>
    </xf>
    <xf numFmtId="0" fontId="12" fillId="13" borderId="0" xfId="11" applyFont="1" applyFill="1" applyAlignment="1">
      <alignment horizontal="left" vertical="center" wrapText="1"/>
    </xf>
    <xf numFmtId="49" fontId="12" fillId="13" borderId="0" xfId="7" applyNumberFormat="1" applyFont="1" applyFill="1" applyAlignment="1">
      <alignment horizontal="left" vertical="center" wrapText="1"/>
    </xf>
    <xf numFmtId="2" fontId="8" fillId="0" borderId="1" xfId="0" applyNumberFormat="1" applyFont="1" applyBorder="1" applyAlignment="1">
      <alignment horizontal="center" vertical="center"/>
    </xf>
    <xf numFmtId="38" fontId="16" fillId="2" borderId="18" xfId="0" applyNumberFormat="1" applyFont="1" applyFill="1" applyBorder="1" applyAlignment="1" applyProtection="1">
      <alignment horizontal="center" vertical="center"/>
      <protection locked="0"/>
    </xf>
    <xf numFmtId="38" fontId="16" fillId="2" borderId="19" xfId="0" applyNumberFormat="1" applyFont="1" applyFill="1" applyBorder="1" applyAlignment="1" applyProtection="1">
      <alignment horizontal="center" vertical="center"/>
      <protection locked="0"/>
    </xf>
    <xf numFmtId="38" fontId="16" fillId="2" borderId="95" xfId="0" applyNumberFormat="1" applyFont="1" applyFill="1" applyBorder="1" applyAlignment="1" applyProtection="1">
      <alignment horizontal="center" vertical="center"/>
      <protection locked="0"/>
    </xf>
    <xf numFmtId="38" fontId="8" fillId="0" borderId="11" xfId="0" applyNumberFormat="1" applyFont="1" applyBorder="1" applyAlignment="1">
      <alignment horizontal="right" vertical="center" indent="1"/>
    </xf>
    <xf numFmtId="49" fontId="0" fillId="0" borderId="65" xfId="0" applyNumberFormat="1" applyBorder="1" applyAlignment="1">
      <alignment vertical="center"/>
    </xf>
    <xf numFmtId="0" fontId="14" fillId="0" borderId="7" xfId="0" applyFont="1" applyBorder="1" applyAlignment="1">
      <alignment horizontal="center"/>
    </xf>
    <xf numFmtId="0" fontId="8" fillId="8" borderId="0" xfId="0" applyFont="1" applyFill="1"/>
    <xf numFmtId="49" fontId="0" fillId="8" borderId="0" xfId="0" applyNumberFormat="1" applyFill="1"/>
    <xf numFmtId="0" fontId="0" fillId="8" borderId="0" xfId="0" applyFill="1" applyAlignment="1">
      <alignment horizontal="left" vertical="center"/>
    </xf>
    <xf numFmtId="0" fontId="8" fillId="8" borderId="0" xfId="0" applyFont="1" applyFill="1" applyAlignment="1">
      <alignment vertical="center"/>
    </xf>
    <xf numFmtId="0" fontId="16" fillId="2" borderId="0" xfId="0" applyFont="1" applyFill="1" applyAlignment="1">
      <alignment vertical="center"/>
    </xf>
    <xf numFmtId="167" fontId="6" fillId="0" borderId="0" xfId="0" applyNumberFormat="1" applyFont="1" applyAlignment="1">
      <alignment horizontal="left" vertical="top" wrapText="1"/>
    </xf>
    <xf numFmtId="0" fontId="113" fillId="0" borderId="0" xfId="0" applyFont="1" applyAlignment="1">
      <alignment vertical="top" wrapText="1"/>
    </xf>
    <xf numFmtId="0" fontId="8" fillId="8" borderId="0" xfId="0" applyFont="1" applyFill="1" applyAlignment="1">
      <alignment horizontal="left" vertical="center"/>
    </xf>
    <xf numFmtId="0" fontId="8" fillId="8" borderId="0" xfId="0" applyFont="1" applyFill="1" applyAlignment="1">
      <alignment horizontal="left"/>
    </xf>
    <xf numFmtId="0" fontId="92" fillId="0" borderId="0" xfId="0" applyFont="1" applyAlignment="1">
      <alignment horizontal="left" vertical="center"/>
    </xf>
    <xf numFmtId="0" fontId="0" fillId="15" borderId="0" xfId="0" applyFill="1"/>
    <xf numFmtId="0" fontId="17" fillId="0" borderId="0" xfId="0" applyFont="1" applyAlignment="1">
      <alignment horizontal="center" vertical="center"/>
    </xf>
    <xf numFmtId="0" fontId="99" fillId="0" borderId="0" xfId="0" applyFont="1" applyAlignment="1">
      <alignment horizontal="center" vertical="center"/>
    </xf>
    <xf numFmtId="0" fontId="8" fillId="0" borderId="0" xfId="0" applyFont="1" applyAlignment="1" applyProtection="1">
      <alignment vertical="center"/>
      <protection locked="0"/>
    </xf>
    <xf numFmtId="177" fontId="8" fillId="8" borderId="7" xfId="0" applyNumberFormat="1" applyFont="1" applyFill="1" applyBorder="1" applyAlignment="1">
      <alignment horizontal="center" vertical="center"/>
    </xf>
    <xf numFmtId="0" fontId="0" fillId="0" borderId="0" xfId="0" applyProtection="1">
      <protection locked="0"/>
    </xf>
    <xf numFmtId="49" fontId="9"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0" xfId="0" applyNumberFormat="1" applyBorder="1"/>
    <xf numFmtId="0" fontId="0" fillId="0" borderId="70" xfId="0" applyBorder="1" applyAlignment="1" applyProtection="1">
      <alignment horizontal="center" vertical="top"/>
      <protection locked="0"/>
    </xf>
    <xf numFmtId="0" fontId="8" fillId="0" borderId="15" xfId="0" applyFont="1" applyBorder="1" applyAlignment="1" applyProtection="1">
      <alignment horizontal="center" vertical="center"/>
      <protection locked="0"/>
    </xf>
    <xf numFmtId="0" fontId="8" fillId="0" borderId="70"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5" fillId="0" borderId="0" xfId="0" applyFont="1" applyAlignment="1">
      <alignment vertical="center"/>
    </xf>
    <xf numFmtId="0" fontId="25" fillId="0" borderId="0" xfId="0" applyFont="1" applyAlignment="1">
      <alignment horizontal="right" vertical="center"/>
    </xf>
    <xf numFmtId="38" fontId="16" fillId="2" borderId="23" xfId="0" applyNumberFormat="1" applyFont="1" applyFill="1" applyBorder="1" applyAlignment="1" applyProtection="1">
      <alignment horizontal="left" vertical="center" wrapText="1"/>
      <protection locked="0"/>
    </xf>
    <xf numFmtId="38" fontId="8" fillId="0" borderId="0" xfId="0" applyNumberFormat="1" applyFont="1" applyAlignment="1">
      <alignment vertical="center" wrapText="1"/>
    </xf>
    <xf numFmtId="0" fontId="10"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7" fillId="8" borderId="0" xfId="0" applyFont="1" applyFill="1" applyAlignment="1">
      <alignment horizontal="left" vertical="center"/>
    </xf>
    <xf numFmtId="0" fontId="6" fillId="8" borderId="0" xfId="0" applyFont="1" applyFill="1" applyAlignment="1">
      <alignment vertical="center"/>
    </xf>
    <xf numFmtId="49" fontId="0" fillId="8" borderId="0" xfId="0" applyNumberFormat="1" applyFill="1" applyAlignment="1">
      <alignment vertical="center"/>
    </xf>
    <xf numFmtId="0" fontId="16" fillId="8" borderId="0" xfId="0" applyFont="1" applyFill="1" applyAlignment="1">
      <alignment vertical="center"/>
    </xf>
    <xf numFmtId="0" fontId="5" fillId="0" borderId="0" xfId="7" applyFont="1" applyAlignment="1">
      <alignment horizontal="left" vertical="center"/>
    </xf>
    <xf numFmtId="0" fontId="5" fillId="0" borderId="0" xfId="7" applyFont="1" applyAlignment="1">
      <alignment horizontal="left" vertical="center" wrapText="1"/>
    </xf>
    <xf numFmtId="0" fontId="5" fillId="0" borderId="0" xfId="6" applyFont="1" applyFill="1" applyBorder="1" applyAlignment="1" applyProtection="1">
      <alignment horizontal="left" vertical="center" wrapText="1"/>
    </xf>
    <xf numFmtId="0" fontId="5" fillId="0" borderId="0" xfId="6" applyFont="1" applyFill="1" applyBorder="1" applyAlignment="1" applyProtection="1">
      <alignment horizontal="center" vertical="center" wrapText="1"/>
    </xf>
    <xf numFmtId="0" fontId="8" fillId="0" borderId="0" xfId="6" applyFont="1" applyFill="1" applyBorder="1" applyAlignment="1" applyProtection="1">
      <alignment horizontal="left" vertical="center" wrapText="1"/>
    </xf>
    <xf numFmtId="0" fontId="5" fillId="0" borderId="0" xfId="0" applyFont="1"/>
    <xf numFmtId="0" fontId="122" fillId="0" borderId="0" xfId="0" applyFont="1" applyAlignment="1">
      <alignment horizontal="left" vertical="top"/>
    </xf>
    <xf numFmtId="0" fontId="6" fillId="0" borderId="55" xfId="0" applyFont="1" applyBorder="1"/>
    <xf numFmtId="38" fontId="6" fillId="0" borderId="55" xfId="0" applyNumberFormat="1" applyFont="1" applyBorder="1" applyAlignment="1">
      <alignment horizontal="center" vertical="center"/>
    </xf>
    <xf numFmtId="0" fontId="6" fillId="0" borderId="55" xfId="0" applyFont="1" applyBorder="1" applyAlignment="1">
      <alignment horizontal="center" vertical="center"/>
    </xf>
    <xf numFmtId="38" fontId="0" fillId="0" borderId="55" xfId="0" applyNumberFormat="1" applyBorder="1" applyAlignment="1">
      <alignment horizontal="center" vertical="center"/>
    </xf>
    <xf numFmtId="0" fontId="17" fillId="0" borderId="14" xfId="0" applyFont="1" applyBorder="1" applyAlignment="1">
      <alignment horizontal="center"/>
    </xf>
    <xf numFmtId="0" fontId="17" fillId="0" borderId="117" xfId="0" applyFont="1" applyBorder="1" applyAlignment="1">
      <alignment horizontal="center"/>
    </xf>
    <xf numFmtId="0" fontId="17" fillId="0" borderId="118" xfId="0" applyFont="1" applyBorder="1" applyAlignment="1">
      <alignment horizontal="center"/>
    </xf>
    <xf numFmtId="0" fontId="17" fillId="0" borderId="40" xfId="0" applyFont="1" applyBorder="1" applyAlignment="1">
      <alignment horizontal="center"/>
    </xf>
    <xf numFmtId="0" fontId="17" fillId="0" borderId="12" xfId="0" applyFont="1" applyBorder="1" applyAlignment="1">
      <alignment horizontal="center"/>
    </xf>
    <xf numFmtId="0" fontId="17" fillId="0" borderId="2" xfId="0" applyFont="1" applyBorder="1" applyAlignment="1">
      <alignment horizontal="center"/>
    </xf>
    <xf numFmtId="0" fontId="17" fillId="0" borderId="48" xfId="0" applyFont="1" applyBorder="1" applyAlignment="1">
      <alignment horizontal="center"/>
    </xf>
    <xf numFmtId="0" fontId="0" fillId="0" borderId="14" xfId="0" applyBorder="1" applyAlignment="1">
      <alignment horizontal="center" vertical="center"/>
    </xf>
    <xf numFmtId="0" fontId="0" fillId="0" borderId="117" xfId="0" applyBorder="1" applyAlignment="1">
      <alignment horizontal="center" vertical="center"/>
    </xf>
    <xf numFmtId="0" fontId="0" fillId="0" borderId="117" xfId="0" applyBorder="1" applyAlignment="1">
      <alignment horizontal="left" vertical="center"/>
    </xf>
    <xf numFmtId="0" fontId="0" fillId="0" borderId="40" xfId="0" applyBorder="1" applyAlignment="1">
      <alignment horizontal="left"/>
    </xf>
    <xf numFmtId="6" fontId="0" fillId="0" borderId="14" xfId="0" applyNumberFormat="1" applyBorder="1" applyAlignment="1">
      <alignment horizontal="center" vertical="center"/>
    </xf>
    <xf numFmtId="6" fontId="0" fillId="0" borderId="40" xfId="0" applyNumberFormat="1" applyBorder="1" applyAlignment="1">
      <alignment horizontal="center" vertical="center"/>
    </xf>
    <xf numFmtId="0" fontId="0" fillId="15" borderId="117" xfId="0" applyFill="1" applyBorder="1" applyAlignment="1">
      <alignment horizontal="center" vertical="center"/>
    </xf>
    <xf numFmtId="0" fontId="0" fillId="0" borderId="14" xfId="0" applyBorder="1" applyAlignment="1">
      <alignment horizontal="left"/>
    </xf>
    <xf numFmtId="0" fontId="0" fillId="15" borderId="117" xfId="0" applyFill="1" applyBorder="1" applyAlignment="1">
      <alignment horizontal="left"/>
    </xf>
    <xf numFmtId="0" fontId="0" fillId="15" borderId="40" xfId="0" applyFill="1" applyBorder="1" applyAlignment="1">
      <alignment horizontal="left"/>
    </xf>
    <xf numFmtId="6" fontId="0" fillId="15" borderId="40" xfId="0" applyNumberFormat="1" applyFill="1" applyBorder="1" applyAlignment="1">
      <alignment horizontal="center"/>
    </xf>
    <xf numFmtId="0" fontId="0" fillId="0" borderId="117" xfId="0" applyBorder="1" applyAlignment="1">
      <alignment horizontal="left"/>
    </xf>
    <xf numFmtId="0" fontId="0" fillId="15" borderId="0" xfId="0" applyFill="1" applyAlignment="1">
      <alignment horizontal="left"/>
    </xf>
    <xf numFmtId="0" fontId="0" fillId="0" borderId="42" xfId="0" applyBorder="1" applyAlignment="1">
      <alignment horizontal="center" vertical="center"/>
    </xf>
    <xf numFmtId="0" fontId="0" fillId="0" borderId="113" xfId="0" applyBorder="1" applyAlignment="1">
      <alignment horizontal="center" vertical="center"/>
    </xf>
    <xf numFmtId="0" fontId="0" fillId="0" borderId="42" xfId="0" applyBorder="1" applyAlignment="1">
      <alignment horizontal="left"/>
    </xf>
    <xf numFmtId="0" fontId="0" fillId="0" borderId="113" xfId="0" applyBorder="1" applyAlignment="1">
      <alignment horizontal="left"/>
    </xf>
    <xf numFmtId="6" fontId="0" fillId="0" borderId="42" xfId="0" applyNumberFormat="1" applyBorder="1" applyAlignment="1">
      <alignment horizontal="center" vertical="center"/>
    </xf>
    <xf numFmtId="0" fontId="104" fillId="0" borderId="23" xfId="2" applyFont="1" applyBorder="1" applyAlignment="1" applyProtection="1">
      <alignment horizontal="center" vertical="center"/>
      <protection locked="0"/>
    </xf>
    <xf numFmtId="38" fontId="55" fillId="0" borderId="0" xfId="2" applyNumberFormat="1" applyFont="1" applyAlignment="1">
      <alignment horizontal="center" vertical="center"/>
    </xf>
    <xf numFmtId="0" fontId="8" fillId="0" borderId="15" xfId="0" applyFont="1" applyBorder="1" applyProtection="1">
      <protection locked="0"/>
    </xf>
    <xf numFmtId="0" fontId="8" fillId="0" borderId="16" xfId="0" applyFont="1" applyBorder="1" applyProtection="1">
      <protection locked="0"/>
    </xf>
    <xf numFmtId="0" fontId="8" fillId="0" borderId="70" xfId="0" applyFont="1" applyBorder="1" applyProtection="1">
      <protection locked="0"/>
    </xf>
    <xf numFmtId="0" fontId="19" fillId="8" borderId="0" xfId="0" applyFont="1" applyFill="1" applyAlignment="1">
      <alignment horizontal="center" vertical="center"/>
    </xf>
    <xf numFmtId="0" fontId="16" fillId="2" borderId="23" xfId="0" applyFont="1" applyFill="1" applyBorder="1" applyAlignment="1" applyProtection="1">
      <alignment vertical="center"/>
      <protection locked="0"/>
    </xf>
    <xf numFmtId="187" fontId="29" fillId="2" borderId="32" xfId="0" applyNumberFormat="1" applyFont="1" applyFill="1" applyBorder="1" applyAlignment="1" applyProtection="1">
      <alignment horizontal="left" vertical="center" wrapText="1"/>
      <protection locked="0"/>
    </xf>
    <xf numFmtId="0" fontId="29" fillId="2" borderId="32" xfId="0" applyFont="1" applyFill="1" applyBorder="1" applyAlignment="1" applyProtection="1">
      <alignment vertical="center"/>
      <protection locked="0"/>
    </xf>
    <xf numFmtId="165" fontId="29" fillId="2" borderId="32" xfId="0" applyNumberFormat="1" applyFont="1" applyFill="1" applyBorder="1" applyAlignment="1" applyProtection="1">
      <alignment horizontal="left" vertical="center"/>
      <protection locked="0"/>
    </xf>
    <xf numFmtId="0" fontId="29" fillId="2" borderId="23" xfId="0" applyFont="1" applyFill="1" applyBorder="1" applyAlignment="1" applyProtection="1">
      <alignment vertical="center"/>
      <protection locked="0"/>
    </xf>
    <xf numFmtId="0" fontId="16" fillId="2" borderId="23" xfId="0" applyFont="1" applyFill="1" applyBorder="1" applyAlignment="1" applyProtection="1">
      <alignment horizontal="center" vertical="center"/>
      <protection locked="0"/>
    </xf>
    <xf numFmtId="1" fontId="16" fillId="2" borderId="124" xfId="0" applyNumberFormat="1" applyFont="1" applyFill="1" applyBorder="1" applyAlignment="1" applyProtection="1">
      <alignment horizontal="center" vertical="center"/>
      <protection locked="0"/>
    </xf>
    <xf numFmtId="1" fontId="16" fillId="2" borderId="125" xfId="0" applyNumberFormat="1" applyFont="1" applyFill="1" applyBorder="1" applyAlignment="1" applyProtection="1">
      <alignment horizontal="center" vertical="center"/>
      <protection locked="0"/>
    </xf>
    <xf numFmtId="1" fontId="16" fillId="2" borderId="126" xfId="0" applyNumberFormat="1" applyFont="1" applyFill="1" applyBorder="1" applyAlignment="1" applyProtection="1">
      <alignment horizontal="center" vertical="center"/>
      <protection locked="0"/>
    </xf>
    <xf numFmtId="0" fontId="0" fillId="12" borderId="0" xfId="0" applyFill="1"/>
    <xf numFmtId="49" fontId="0" fillId="12" borderId="49" xfId="0" applyNumberFormat="1" applyFill="1" applyBorder="1" applyAlignment="1">
      <alignment vertical="center"/>
    </xf>
    <xf numFmtId="0" fontId="16"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6" fillId="12" borderId="0" xfId="0" applyNumberFormat="1" applyFont="1" applyFill="1" applyAlignment="1">
      <alignment horizontal="center" vertical="center"/>
    </xf>
    <xf numFmtId="49" fontId="0" fillId="12" borderId="0" xfId="0" applyNumberFormat="1" applyFill="1" applyAlignment="1">
      <alignment vertical="center"/>
    </xf>
    <xf numFmtId="0" fontId="6" fillId="0" borderId="16" xfId="0" applyFont="1" applyBorder="1" applyAlignment="1">
      <alignment vertical="center"/>
    </xf>
    <xf numFmtId="0" fontId="16" fillId="8" borderId="0" xfId="0" applyFont="1" applyFill="1" applyAlignment="1">
      <alignment horizontal="center" vertical="center"/>
    </xf>
    <xf numFmtId="0" fontId="6" fillId="15" borderId="16" xfId="0" applyFont="1" applyFill="1" applyBorder="1" applyAlignment="1">
      <alignment vertical="center"/>
    </xf>
    <xf numFmtId="0" fontId="8" fillId="0" borderId="2" xfId="0" applyFont="1" applyBorder="1" applyAlignment="1">
      <alignment horizontal="left" vertical="top"/>
    </xf>
    <xf numFmtId="38" fontId="8" fillId="23" borderId="108" xfId="0" applyNumberFormat="1" applyFont="1" applyFill="1" applyBorder="1" applyAlignment="1">
      <alignment horizontal="center" vertical="center"/>
    </xf>
    <xf numFmtId="38" fontId="8" fillId="0" borderId="2" xfId="0" applyNumberFormat="1" applyFont="1" applyBorder="1" applyAlignment="1">
      <alignment horizontal="center" vertical="center"/>
    </xf>
    <xf numFmtId="38" fontId="16" fillId="6" borderId="129"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30" xfId="0" applyBorder="1"/>
    <xf numFmtId="0" fontId="0" fillId="7" borderId="0" xfId="0" quotePrefix="1" applyFill="1" applyAlignment="1">
      <alignment vertical="center"/>
    </xf>
    <xf numFmtId="0" fontId="92" fillId="0" borderId="0" xfId="0" applyFont="1" applyAlignment="1">
      <alignment vertical="center"/>
    </xf>
    <xf numFmtId="0" fontId="6" fillId="0" borderId="33" xfId="0" applyFont="1" applyBorder="1" applyAlignment="1">
      <alignment vertical="center"/>
    </xf>
    <xf numFmtId="0" fontId="0" fillId="0" borderId="33" xfId="0" applyBorder="1" applyAlignment="1">
      <alignment vertical="center"/>
    </xf>
    <xf numFmtId="0" fontId="0" fillId="0" borderId="33" xfId="0" applyBorder="1"/>
    <xf numFmtId="0" fontId="6" fillId="24" borderId="33" xfId="0" applyFont="1" applyFill="1" applyBorder="1" applyAlignment="1">
      <alignment vertical="center"/>
    </xf>
    <xf numFmtId="0" fontId="0" fillId="24" borderId="33" xfId="0" applyFill="1" applyBorder="1"/>
    <xf numFmtId="9" fontId="0" fillId="0" borderId="134" xfId="4" applyFont="1" applyBorder="1" applyAlignment="1">
      <alignment horizontal="center" vertical="center"/>
    </xf>
    <xf numFmtId="9" fontId="8" fillId="0" borderId="135" xfId="4" applyFont="1" applyBorder="1" applyAlignment="1">
      <alignment horizontal="center" vertical="center"/>
    </xf>
    <xf numFmtId="9" fontId="0" fillId="0" borderId="136" xfId="4" applyFont="1" applyBorder="1" applyAlignment="1">
      <alignment horizontal="center" vertical="center"/>
    </xf>
    <xf numFmtId="9" fontId="0" fillId="0" borderId="138" xfId="4" applyFont="1" applyBorder="1" applyAlignment="1">
      <alignment horizontal="center" vertical="center"/>
    </xf>
    <xf numFmtId="0" fontId="0" fillId="15" borderId="143" xfId="0" applyFill="1" applyBorder="1"/>
    <xf numFmtId="0" fontId="0" fillId="0" borderId="144" xfId="0" applyBorder="1" applyAlignment="1">
      <alignment horizontal="center" vertical="center"/>
    </xf>
    <xf numFmtId="0" fontId="0" fillId="15" borderId="133" xfId="0" applyFill="1" applyBorder="1" applyAlignment="1">
      <alignment horizontal="center" vertical="center"/>
    </xf>
    <xf numFmtId="0" fontId="0" fillId="15" borderId="144" xfId="0" applyFill="1" applyBorder="1" applyAlignment="1">
      <alignment horizontal="center" vertical="center"/>
    </xf>
    <xf numFmtId="0" fontId="0" fillId="15" borderId="134" xfId="0" applyFill="1" applyBorder="1" applyAlignment="1">
      <alignment horizontal="center" vertical="center"/>
    </xf>
    <xf numFmtId="0" fontId="0" fillId="15" borderId="135" xfId="0" applyFill="1" applyBorder="1" applyAlignment="1">
      <alignment horizontal="center" vertical="center"/>
    </xf>
    <xf numFmtId="0" fontId="0" fillId="15" borderId="145" xfId="0" applyFill="1" applyBorder="1" applyAlignment="1">
      <alignment horizontal="center" vertical="center"/>
    </xf>
    <xf numFmtId="0" fontId="0" fillId="15" borderId="136" xfId="0" applyFill="1" applyBorder="1" applyAlignment="1">
      <alignment horizontal="center" vertical="center"/>
    </xf>
    <xf numFmtId="207" fontId="16" fillId="6" borderId="18" xfId="0" applyNumberFormat="1" applyFont="1" applyFill="1" applyBorder="1" applyAlignment="1">
      <alignment horizontal="center" vertical="center"/>
    </xf>
    <xf numFmtId="207" fontId="16" fillId="6" borderId="19" xfId="0" applyNumberFormat="1" applyFont="1" applyFill="1" applyBorder="1" applyAlignment="1">
      <alignment horizontal="center" vertical="center"/>
    </xf>
    <xf numFmtId="207" fontId="16" fillId="6" borderId="20" xfId="0" applyNumberFormat="1" applyFont="1" applyFill="1" applyBorder="1" applyAlignment="1">
      <alignment horizontal="center" vertical="center"/>
    </xf>
    <xf numFmtId="9" fontId="16" fillId="6" borderId="133" xfId="4" applyFont="1" applyFill="1" applyBorder="1" applyAlignment="1">
      <alignment horizontal="center" vertical="center"/>
    </xf>
    <xf numFmtId="0" fontId="16" fillId="6" borderId="132" xfId="0" applyFont="1" applyFill="1" applyBorder="1" applyAlignment="1">
      <alignment horizontal="center" vertical="center"/>
    </xf>
    <xf numFmtId="0" fontId="16" fillId="6" borderId="133" xfId="0" applyFont="1" applyFill="1" applyBorder="1" applyAlignment="1">
      <alignment horizontal="center" vertical="center"/>
    </xf>
    <xf numFmtId="208" fontId="16" fillId="6" borderId="138" xfId="4" applyNumberFormat="1" applyFont="1" applyFill="1" applyBorder="1" applyAlignment="1">
      <alignment horizontal="center" vertical="center"/>
    </xf>
    <xf numFmtId="208" fontId="16" fillId="6" borderId="134" xfId="4" applyNumberFormat="1" applyFont="1" applyFill="1" applyBorder="1" applyAlignment="1">
      <alignment horizontal="center" vertical="center"/>
    </xf>
    <xf numFmtId="0" fontId="6" fillId="0" borderId="140" xfId="0" applyFont="1" applyBorder="1" applyAlignment="1">
      <alignment horizontal="center"/>
    </xf>
    <xf numFmtId="0" fontId="6" fillId="0" borderId="139" xfId="0" applyFont="1" applyBorder="1" applyAlignment="1">
      <alignment horizontal="center"/>
    </xf>
    <xf numFmtId="0" fontId="6" fillId="0" borderId="141" xfId="0" applyFont="1" applyBorder="1" applyAlignment="1">
      <alignment horizontal="center"/>
    </xf>
    <xf numFmtId="0" fontId="6" fillId="0" borderId="142" xfId="0" applyFont="1" applyBorder="1" applyAlignment="1">
      <alignment horizontal="center"/>
    </xf>
    <xf numFmtId="174" fontId="85" fillId="0" borderId="0" xfId="1" applyNumberFormat="1" applyFont="1" applyFill="1"/>
    <xf numFmtId="9" fontId="16" fillId="0" borderId="0" xfId="4" applyFont="1" applyFill="1" applyBorder="1" applyAlignment="1">
      <alignment horizontal="center" vertical="center"/>
    </xf>
    <xf numFmtId="38" fontId="19" fillId="8" borderId="0" xfId="0" applyNumberFormat="1" applyFont="1" applyFill="1" applyAlignment="1">
      <alignment horizontal="center" vertical="center"/>
    </xf>
    <xf numFmtId="0" fontId="8" fillId="0" borderId="0" xfId="0" applyFont="1" applyAlignment="1">
      <alignment horizontal="center" vertical="top"/>
    </xf>
    <xf numFmtId="0" fontId="16" fillId="2" borderId="1" xfId="0" applyFont="1" applyFill="1" applyBorder="1" applyAlignment="1">
      <alignment horizontal="center" vertical="center"/>
    </xf>
    <xf numFmtId="0" fontId="12" fillId="0" borderId="0" xfId="0" applyFont="1" applyAlignment="1">
      <alignment vertical="center"/>
    </xf>
    <xf numFmtId="0" fontId="113" fillId="0" borderId="0" xfId="0" applyFont="1" applyAlignment="1">
      <alignment horizontal="left" wrapText="1"/>
    </xf>
    <xf numFmtId="0" fontId="99" fillId="0" borderId="0" xfId="0" quotePrefix="1" applyFont="1" applyAlignment="1">
      <alignment horizontal="right" vertical="center"/>
    </xf>
    <xf numFmtId="0" fontId="8" fillId="0" borderId="15" xfId="0" applyFont="1" applyBorder="1" applyAlignment="1">
      <alignment horizontal="center" vertical="center"/>
    </xf>
    <xf numFmtId="0" fontId="8" fillId="0" borderId="39" xfId="0" applyFont="1" applyBorder="1" applyAlignment="1">
      <alignment horizontal="center" vertical="center"/>
    </xf>
    <xf numFmtId="0" fontId="99" fillId="8" borderId="0" xfId="0" applyFont="1" applyFill="1"/>
    <xf numFmtId="0" fontId="19" fillId="0" borderId="0" xfId="0" applyFont="1" applyAlignment="1">
      <alignment horizontal="center" vertical="top"/>
    </xf>
    <xf numFmtId="0" fontId="19" fillId="8" borderId="0" xfId="0" applyFont="1" applyFill="1" applyAlignment="1">
      <alignment horizontal="center" vertical="top"/>
    </xf>
    <xf numFmtId="0" fontId="123" fillId="0" borderId="0" xfId="0" applyFont="1" applyAlignment="1">
      <alignment horizontal="left" vertical="center"/>
    </xf>
    <xf numFmtId="0" fontId="123" fillId="0" borderId="0" xfId="0" applyFont="1"/>
    <xf numFmtId="0" fontId="123" fillId="0" borderId="0" xfId="0" applyFont="1" applyAlignment="1">
      <alignment horizontal="left" vertical="top"/>
    </xf>
    <xf numFmtId="38" fontId="0" fillId="0" borderId="1" xfId="0" applyNumberFormat="1" applyBorder="1" applyAlignment="1">
      <alignment horizontal="center" vertical="center" wrapText="1"/>
    </xf>
    <xf numFmtId="0" fontId="8" fillId="0" borderId="0" xfId="0" quotePrefix="1" applyFont="1" applyAlignment="1">
      <alignment horizontal="left" vertical="center"/>
    </xf>
    <xf numFmtId="0" fontId="28"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0" xfId="0" quotePrefix="1" applyAlignment="1">
      <alignment horizontal="center" vertical="center"/>
    </xf>
    <xf numFmtId="185"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8" fillId="0" borderId="149" xfId="0" applyNumberFormat="1" applyFont="1" applyBorder="1" applyAlignment="1">
      <alignment horizontal="center" vertical="center"/>
    </xf>
    <xf numFmtId="0" fontId="8"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5" fillId="0" borderId="0" xfId="0" applyFont="1" applyAlignment="1">
      <alignment textRotation="90"/>
    </xf>
    <xf numFmtId="200" fontId="99" fillId="0" borderId="78" xfId="0" applyNumberFormat="1" applyFont="1" applyBorder="1" applyAlignment="1">
      <alignment vertical="center"/>
    </xf>
    <xf numFmtId="164" fontId="28" fillId="0" borderId="137" xfId="4" applyNumberFormat="1" applyFont="1" applyBorder="1" applyAlignment="1">
      <alignment horizontal="center" vertical="center"/>
    </xf>
    <xf numFmtId="164" fontId="28" fillId="0" borderId="134" xfId="4" applyNumberFormat="1" applyFont="1" applyBorder="1" applyAlignment="1">
      <alignment horizontal="center" vertical="center"/>
    </xf>
    <xf numFmtId="0" fontId="125" fillId="0" borderId="63"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9" fillId="0" borderId="0" xfId="0" applyNumberFormat="1" applyFont="1" applyAlignment="1">
      <alignment horizontal="center" vertical="center"/>
    </xf>
    <xf numFmtId="0" fontId="7" fillId="0" borderId="15" xfId="0" applyFont="1" applyBorder="1"/>
    <xf numFmtId="0" fontId="0" fillId="0" borderId="16" xfId="0" applyBorder="1" applyAlignment="1">
      <alignment horizontal="center"/>
    </xf>
    <xf numFmtId="0" fontId="8" fillId="0" borderId="16" xfId="0" applyFont="1" applyBorder="1" applyAlignment="1">
      <alignment horizontal="center" vertical="center"/>
    </xf>
    <xf numFmtId="0" fontId="8" fillId="0" borderId="16" xfId="0" applyFont="1" applyBorder="1" applyAlignment="1">
      <alignment horizontal="right" vertical="center"/>
    </xf>
    <xf numFmtId="38" fontId="19" fillId="26" borderId="52" xfId="0" applyNumberFormat="1" applyFont="1" applyFill="1" applyBorder="1" applyAlignment="1">
      <alignment horizontal="center" vertical="center"/>
    </xf>
    <xf numFmtId="0" fontId="0" fillId="0" borderId="15" xfId="0" quotePrefix="1" applyBorder="1" applyAlignment="1">
      <alignment vertical="top"/>
    </xf>
    <xf numFmtId="1" fontId="19" fillId="0" borderId="40" xfId="0" applyNumberFormat="1" applyFont="1" applyBorder="1" applyAlignment="1">
      <alignment horizontal="center" vertical="center"/>
    </xf>
    <xf numFmtId="0" fontId="28" fillId="0" borderId="0" xfId="0" quotePrefix="1" applyFont="1" applyAlignment="1">
      <alignment vertical="center"/>
    </xf>
    <xf numFmtId="0" fontId="0" fillId="19" borderId="0" xfId="0" applyFill="1"/>
    <xf numFmtId="1" fontId="0" fillId="0" borderId="69" xfId="0" applyNumberFormat="1" applyBorder="1" applyAlignment="1">
      <alignment horizontal="center" vertical="center"/>
    </xf>
    <xf numFmtId="0" fontId="99" fillId="10" borderId="0" xfId="0" applyFont="1" applyFill="1" applyAlignment="1">
      <alignment vertical="center"/>
    </xf>
    <xf numFmtId="0" fontId="19" fillId="0" borderId="0" xfId="0" applyFont="1" applyAlignment="1">
      <alignment horizontal="left" vertical="top"/>
    </xf>
    <xf numFmtId="168" fontId="6" fillId="0" borderId="0" xfId="0" applyNumberFormat="1" applyFont="1" applyAlignment="1">
      <alignment horizontal="left" vertical="top" wrapText="1"/>
    </xf>
    <xf numFmtId="170" fontId="0" fillId="0" borderId="0" xfId="0" applyNumberFormat="1" applyAlignment="1">
      <alignment horizontal="left" vertical="top" wrapText="1"/>
    </xf>
    <xf numFmtId="0" fontId="99" fillId="10" borderId="0" xfId="0" applyFont="1" applyFill="1" applyAlignment="1">
      <alignment vertical="center" textRotation="90"/>
    </xf>
    <xf numFmtId="212" fontId="16" fillId="6" borderId="52" xfId="0" applyNumberFormat="1" applyFont="1" applyFill="1" applyBorder="1" applyAlignment="1">
      <alignment horizontal="center" vertical="center" wrapText="1"/>
    </xf>
    <xf numFmtId="44" fontId="0" fillId="0" borderId="0" xfId="0" quotePrefix="1" applyNumberFormat="1" applyAlignment="1">
      <alignment horizontal="center"/>
    </xf>
    <xf numFmtId="0" fontId="8" fillId="0" borderId="0" xfId="0" quotePrefix="1" applyFont="1" applyAlignment="1">
      <alignment horizontal="center"/>
    </xf>
    <xf numFmtId="174" fontId="0" fillId="0" borderId="0" xfId="0" applyNumberFormat="1" applyAlignment="1">
      <alignment horizontal="center"/>
    </xf>
    <xf numFmtId="0" fontId="92" fillId="0" borderId="0" xfId="0" applyFont="1" applyAlignment="1">
      <alignment horizontal="center"/>
    </xf>
    <xf numFmtId="0" fontId="7" fillId="0" borderId="16" xfId="0" applyFont="1" applyBorder="1" applyAlignment="1">
      <alignment vertical="center"/>
    </xf>
    <xf numFmtId="9" fontId="8" fillId="0" borderId="69" xfId="4" applyFont="1" applyFill="1" applyBorder="1" applyAlignment="1" applyProtection="1">
      <alignment horizontal="center" vertical="center"/>
    </xf>
    <xf numFmtId="185" fontId="8"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6" fillId="9" borderId="7" xfId="0" applyFont="1" applyFill="1" applyBorder="1" applyAlignment="1">
      <alignment horizontal="center" wrapText="1"/>
    </xf>
    <xf numFmtId="0" fontId="6" fillId="27" borderId="8" xfId="0" applyFont="1" applyFill="1" applyBorder="1"/>
    <xf numFmtId="0" fontId="6" fillId="27" borderId="7" xfId="0" applyFont="1" applyFill="1" applyBorder="1" applyAlignment="1">
      <alignment wrapText="1"/>
    </xf>
    <xf numFmtId="0" fontId="6" fillId="27" borderId="5" xfId="0" applyFont="1" applyFill="1" applyBorder="1"/>
    <xf numFmtId="0" fontId="0" fillId="28" borderId="0" xfId="0" applyFill="1" applyAlignment="1">
      <alignment vertical="center"/>
    </xf>
    <xf numFmtId="0" fontId="29" fillId="2" borderId="23" xfId="0" applyFont="1" applyFill="1" applyBorder="1" applyAlignment="1" applyProtection="1">
      <alignment vertical="center" wrapText="1"/>
      <protection locked="0"/>
    </xf>
    <xf numFmtId="0" fontId="12" fillId="28" borderId="0" xfId="7" applyFont="1" applyFill="1" applyAlignment="1">
      <alignment horizontal="left" vertical="center" wrapText="1"/>
    </xf>
    <xf numFmtId="0" fontId="0" fillId="29" borderId="0" xfId="0" applyFill="1" applyAlignment="1">
      <alignment horizontal="right"/>
    </xf>
    <xf numFmtId="0" fontId="8" fillId="0" borderId="0" xfId="0" applyFont="1" applyAlignment="1">
      <alignment vertical="center" wrapText="1"/>
    </xf>
    <xf numFmtId="6" fontId="0" fillId="0" borderId="0" xfId="0" applyNumberFormat="1" applyAlignment="1">
      <alignment vertical="top"/>
    </xf>
    <xf numFmtId="0" fontId="8" fillId="29" borderId="7" xfId="0" applyFont="1" applyFill="1" applyBorder="1" applyAlignment="1">
      <alignment horizontal="center" vertical="center" wrapText="1"/>
    </xf>
    <xf numFmtId="0" fontId="8" fillId="29" borderId="0" xfId="0" applyFont="1" applyFill="1" applyAlignment="1">
      <alignment vertical="center"/>
    </xf>
    <xf numFmtId="0" fontId="8" fillId="29" borderId="0" xfId="0" applyFont="1" applyFill="1" applyAlignment="1">
      <alignment horizontal="right"/>
    </xf>
    <xf numFmtId="0" fontId="8" fillId="29" borderId="0" xfId="0" applyFont="1" applyFill="1" applyAlignment="1">
      <alignment horizontal="right" vertical="center"/>
    </xf>
    <xf numFmtId="0" fontId="0" fillId="0" borderId="0" xfId="0" applyAlignment="1">
      <alignment horizontal="left" vertical="top" indent="2"/>
    </xf>
    <xf numFmtId="9" fontId="16" fillId="2" borderId="23" xfId="0" applyNumberFormat="1" applyFont="1" applyFill="1" applyBorder="1" applyAlignment="1" applyProtection="1">
      <alignment horizontal="center" vertical="center"/>
      <protection locked="0"/>
    </xf>
    <xf numFmtId="0" fontId="6" fillId="8" borderId="0" xfId="0" applyFont="1" applyFill="1" applyAlignment="1">
      <alignment horizontal="right" vertical="top"/>
    </xf>
    <xf numFmtId="0" fontId="7" fillId="0" borderId="0" xfId="0" applyFont="1" applyAlignment="1">
      <alignment horizontal="center"/>
    </xf>
    <xf numFmtId="6" fontId="0" fillId="0" borderId="153" xfId="0" applyNumberFormat="1" applyBorder="1" applyAlignment="1">
      <alignment horizontal="right" vertical="top"/>
    </xf>
    <xf numFmtId="6" fontId="0" fillId="0" borderId="153" xfId="0" applyNumberFormat="1" applyBorder="1"/>
    <xf numFmtId="10" fontId="0" fillId="0" borderId="153" xfId="4" applyNumberFormat="1" applyFont="1" applyBorder="1" applyProtection="1"/>
    <xf numFmtId="38" fontId="0" fillId="0" borderId="153" xfId="0" applyNumberFormat="1" applyBorder="1"/>
    <xf numFmtId="9" fontId="0" fillId="0" borderId="153" xfId="4" applyFont="1" applyBorder="1" applyProtection="1"/>
    <xf numFmtId="0" fontId="28" fillId="0" borderId="14" xfId="0" applyFont="1" applyBorder="1" applyAlignment="1">
      <alignment vertical="center"/>
    </xf>
    <xf numFmtId="8" fontId="0" fillId="0" borderId="153" xfId="0" applyNumberFormat="1" applyBorder="1" applyAlignment="1">
      <alignment horizontal="right"/>
    </xf>
    <xf numFmtId="10" fontId="0" fillId="0" borderId="153" xfId="0" applyNumberFormat="1" applyBorder="1"/>
    <xf numFmtId="38" fontId="8" fillId="0" borderId="153" xfId="0" applyNumberFormat="1" applyFont="1" applyBorder="1"/>
    <xf numFmtId="8" fontId="8" fillId="0" borderId="153" xfId="0" applyNumberFormat="1" applyFont="1" applyBorder="1"/>
    <xf numFmtId="10" fontId="0" fillId="0" borderId="0" xfId="0" applyNumberFormat="1"/>
    <xf numFmtId="0" fontId="8" fillId="0" borderId="0" xfId="0" applyFont="1" applyAlignment="1">
      <alignment wrapText="1"/>
    </xf>
    <xf numFmtId="0" fontId="16" fillId="2" borderId="153" xfId="0" applyFont="1" applyFill="1" applyBorder="1" applyAlignment="1" applyProtection="1">
      <alignment horizontal="center" vertical="center"/>
      <protection locked="0"/>
    </xf>
    <xf numFmtId="49" fontId="29" fillId="2" borderId="32" xfId="0" applyNumberFormat="1" applyFont="1" applyFill="1" applyBorder="1" applyAlignment="1" applyProtection="1">
      <alignment horizontal="left" vertical="center"/>
      <protection locked="0"/>
    </xf>
    <xf numFmtId="49" fontId="29" fillId="2" borderId="32" xfId="0" applyNumberFormat="1" applyFont="1" applyFill="1" applyBorder="1" applyAlignment="1" applyProtection="1">
      <alignment horizontal="left" vertical="center" wrapText="1"/>
      <protection locked="0"/>
    </xf>
    <xf numFmtId="0" fontId="16" fillId="15" borderId="32" xfId="0" applyFont="1" applyFill="1" applyBorder="1" applyAlignment="1">
      <alignment horizontal="center" vertical="center"/>
    </xf>
    <xf numFmtId="0" fontId="16" fillId="15" borderId="0" xfId="0" applyFont="1" applyFill="1" applyAlignment="1">
      <alignment horizontal="center" vertical="center"/>
    </xf>
    <xf numFmtId="0" fontId="28" fillId="0" borderId="0" xfId="0" applyFont="1"/>
    <xf numFmtId="0" fontId="43" fillId="12" borderId="0" xfId="2" applyFont="1" applyFill="1" applyAlignment="1">
      <alignment horizontal="right" indent="1"/>
    </xf>
    <xf numFmtId="0" fontId="43" fillId="12" borderId="0" xfId="2" applyFont="1" applyFill="1" applyAlignment="1">
      <alignment horizontal="left" indent="1"/>
    </xf>
    <xf numFmtId="0" fontId="11" fillId="0" borderId="0" xfId="2" applyAlignment="1">
      <alignment horizontal="right" indent="1"/>
    </xf>
    <xf numFmtId="0" fontId="8" fillId="8" borderId="153" xfId="0" applyFont="1" applyFill="1" applyBorder="1" applyAlignment="1">
      <alignment horizontal="center" vertical="center"/>
    </xf>
    <xf numFmtId="0" fontId="0" fillId="0" borderId="153" xfId="0" applyBorder="1" applyAlignment="1">
      <alignment horizontal="center" vertical="center"/>
    </xf>
    <xf numFmtId="0" fontId="126" fillId="0" borderId="0" xfId="0" applyFont="1" applyAlignment="1">
      <alignment horizontal="right" vertical="center"/>
    </xf>
    <xf numFmtId="8" fontId="16" fillId="6" borderId="16" xfId="0" applyNumberFormat="1" applyFont="1" applyFill="1" applyBorder="1" applyAlignment="1">
      <alignment horizontal="right" vertical="center"/>
    </xf>
    <xf numFmtId="8" fontId="8"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6" fillId="6" borderId="16" xfId="4" applyFont="1" applyFill="1" applyBorder="1" applyAlignment="1">
      <alignment horizontal="right" vertical="center"/>
    </xf>
    <xf numFmtId="0" fontId="16" fillId="6" borderId="16" xfId="0" applyFont="1" applyFill="1" applyBorder="1" applyAlignment="1">
      <alignment horizontal="right" vertical="center"/>
    </xf>
    <xf numFmtId="0" fontId="17" fillId="0" borderId="16" xfId="0" applyFont="1" applyBorder="1" applyAlignment="1">
      <alignment horizontal="center"/>
    </xf>
    <xf numFmtId="6" fontId="0" fillId="0" borderId="16" xfId="0" applyNumberFormat="1" applyBorder="1" applyAlignment="1">
      <alignment horizontal="center"/>
    </xf>
    <xf numFmtId="0" fontId="9" fillId="0" borderId="16" xfId="0" applyFont="1" applyBorder="1" applyAlignment="1">
      <alignment horizontal="right"/>
    </xf>
    <xf numFmtId="9" fontId="16" fillId="6" borderId="16" xfId="4" applyFont="1" applyFill="1" applyBorder="1" applyAlignment="1" applyProtection="1">
      <alignment horizontal="right" vertical="center"/>
    </xf>
    <xf numFmtId="0" fontId="16" fillId="6" borderId="23" xfId="0" applyFont="1" applyFill="1" applyBorder="1" applyAlignment="1">
      <alignment horizontal="center" vertical="center"/>
    </xf>
    <xf numFmtId="0" fontId="0" fillId="0" borderId="0" xfId="0" applyAlignment="1">
      <alignment horizontal="center" vertical="center"/>
    </xf>
    <xf numFmtId="0" fontId="6" fillId="0" borderId="7" xfId="0" applyFont="1" applyBorder="1" applyAlignment="1">
      <alignment horizontal="center"/>
    </xf>
    <xf numFmtId="0" fontId="0" fillId="0" borderId="40"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0" xfId="0" applyBorder="1" applyAlignment="1">
      <alignment horizontal="left" vertical="center"/>
    </xf>
    <xf numFmtId="0" fontId="0" fillId="0" borderId="42" xfId="0" applyBorder="1" applyAlignment="1">
      <alignment horizontal="left" vertical="center"/>
    </xf>
    <xf numFmtId="0" fontId="0" fillId="0" borderId="130" xfId="0" applyBorder="1" applyAlignment="1">
      <alignment horizontal="left" vertical="center"/>
    </xf>
    <xf numFmtId="0" fontId="16" fillId="6" borderId="32" xfId="0" applyFont="1" applyFill="1" applyBorder="1" applyAlignment="1">
      <alignment horizontal="center" vertical="center"/>
    </xf>
    <xf numFmtId="9" fontId="16" fillId="6" borderId="15" xfId="4" applyFont="1" applyFill="1" applyBorder="1" applyAlignment="1">
      <alignment horizontal="center" vertical="center"/>
    </xf>
    <xf numFmtId="0" fontId="14" fillId="0" borderId="6" xfId="0" applyFont="1" applyBorder="1" applyAlignment="1">
      <alignment horizontal="center"/>
    </xf>
    <xf numFmtId="0" fontId="28" fillId="0" borderId="0" xfId="0" applyFont="1" applyAlignment="1">
      <alignment horizontal="right" vertical="center" wrapText="1"/>
    </xf>
    <xf numFmtId="0" fontId="29" fillId="2" borderId="23" xfId="0" applyFont="1" applyFill="1" applyBorder="1" applyAlignment="1" applyProtection="1">
      <alignment horizontal="left" vertical="center" wrapText="1"/>
      <protection locked="0"/>
    </xf>
    <xf numFmtId="0" fontId="28" fillId="0" borderId="0" xfId="0" applyFont="1" applyAlignment="1">
      <alignment horizontal="right" vertical="center"/>
    </xf>
    <xf numFmtId="0" fontId="6" fillId="0" borderId="0" xfId="0" applyFont="1" applyAlignment="1">
      <alignment horizontal="center" vertical="center" wrapText="1"/>
    </xf>
    <xf numFmtId="0" fontId="0" fillId="8" borderId="0" xfId="0" applyFill="1" applyAlignment="1">
      <alignment horizontal="left" vertical="top" wrapText="1"/>
    </xf>
    <xf numFmtId="0" fontId="16" fillId="2" borderId="23" xfId="0" applyFont="1" applyFill="1" applyBorder="1" applyAlignment="1" applyProtection="1">
      <alignment horizontal="left" vertical="center"/>
      <protection locked="0"/>
    </xf>
    <xf numFmtId="0" fontId="6" fillId="0" borderId="0" xfId="0" applyFont="1" applyAlignment="1">
      <alignment horizontal="left" vertical="top" wrapText="1"/>
    </xf>
    <xf numFmtId="0" fontId="29"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applyFont="1" applyAlignment="1">
      <alignment horizontal="left" vertical="center" wrapText="1"/>
    </xf>
    <xf numFmtId="0" fontId="0" fillId="0" borderId="0" xfId="0" applyAlignment="1">
      <alignment horizontal="left" vertical="center" wrapText="1"/>
    </xf>
    <xf numFmtId="0" fontId="8" fillId="0" borderId="0" xfId="0" applyFont="1" applyAlignment="1">
      <alignment horizontal="right" vertical="center"/>
    </xf>
    <xf numFmtId="0" fontId="6" fillId="0" borderId="0" xfId="0" applyFont="1" applyAlignment="1">
      <alignment horizontal="left" vertical="center"/>
    </xf>
    <xf numFmtId="0" fontId="0" fillId="0" borderId="0" xfId="0" applyAlignment="1">
      <alignment horizontal="right" vertical="center"/>
    </xf>
    <xf numFmtId="0" fontId="7" fillId="0" borderId="0" xfId="0" applyFont="1" applyAlignment="1">
      <alignment horizontal="left" vertical="top" wrapText="1"/>
    </xf>
    <xf numFmtId="0" fontId="8" fillId="0" borderId="0" xfId="0" applyFont="1" applyAlignment="1">
      <alignment horizontal="left" vertical="center" wrapText="1"/>
    </xf>
    <xf numFmtId="0" fontId="6" fillId="0" borderId="7" xfId="0" applyFont="1" applyBorder="1" applyAlignment="1">
      <alignment horizontal="left" vertical="center" wrapText="1"/>
    </xf>
    <xf numFmtId="38" fontId="19" fillId="26" borderId="0" xfId="0" applyNumberFormat="1" applyFont="1" applyFill="1" applyAlignment="1">
      <alignment horizontal="center" vertical="center"/>
    </xf>
    <xf numFmtId="0" fontId="0" fillId="0" borderId="0" xfId="0" applyAlignment="1">
      <alignment horizontal="center" vertical="center" wrapText="1"/>
    </xf>
    <xf numFmtId="38" fontId="8" fillId="0" borderId="0" xfId="0" applyNumberFormat="1" applyFont="1" applyAlignment="1">
      <alignment horizontal="center" vertical="center"/>
    </xf>
    <xf numFmtId="0" fontId="6" fillId="0" borderId="0" xfId="0" applyFont="1" applyAlignment="1">
      <alignment horizontal="left"/>
    </xf>
    <xf numFmtId="0" fontId="8" fillId="0" borderId="0" xfId="0" applyFont="1" applyAlignment="1">
      <alignment horizontal="left" vertical="center"/>
    </xf>
    <xf numFmtId="0" fontId="0" fillId="0" borderId="0" xfId="0" applyAlignment="1">
      <alignment horizontal="left"/>
    </xf>
    <xf numFmtId="0" fontId="28" fillId="0" borderId="0" xfId="0" applyFont="1" applyAlignment="1">
      <alignment horizontal="left" vertical="top" wrapText="1"/>
    </xf>
    <xf numFmtId="0" fontId="0" fillId="0" borderId="88" xfId="0" applyBorder="1" applyAlignment="1">
      <alignment horizontal="center" wrapText="1"/>
    </xf>
    <xf numFmtId="0" fontId="0" fillId="0" borderId="0" xfId="0" applyAlignment="1">
      <alignment horizontal="left" wrapText="1"/>
    </xf>
    <xf numFmtId="0" fontId="6" fillId="0" borderId="0" xfId="0" applyFont="1" applyAlignment="1">
      <alignment horizontal="left" wrapText="1"/>
    </xf>
    <xf numFmtId="0" fontId="6" fillId="0" borderId="0" xfId="0" applyFont="1" applyAlignment="1">
      <alignment horizontal="left" vertical="center" wrapText="1"/>
    </xf>
    <xf numFmtId="0" fontId="28" fillId="0" borderId="0" xfId="0" quotePrefix="1" applyFont="1" applyAlignment="1">
      <alignment horizontal="left" vertical="top" wrapText="1"/>
    </xf>
    <xf numFmtId="0" fontId="0" fillId="0" borderId="0" xfId="0" applyAlignment="1">
      <alignment vertical="top"/>
    </xf>
    <xf numFmtId="0" fontId="15" fillId="0" borderId="0" xfId="0" applyFont="1" applyAlignment="1">
      <alignment horizontal="left" vertical="center" wrapText="1"/>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5" fillId="0" borderId="0" xfId="4" quotePrefix="1" applyFont="1" applyAlignment="1">
      <alignment horizontal="right"/>
    </xf>
    <xf numFmtId="0" fontId="11" fillId="0" borderId="0" xfId="2" applyAlignment="1">
      <alignment horizontal="right" vertical="center"/>
    </xf>
    <xf numFmtId="0" fontId="37" fillId="0" borderId="0" xfId="2" applyFont="1" applyAlignment="1">
      <alignment horizontal="center"/>
    </xf>
    <xf numFmtId="0" fontId="81" fillId="0" borderId="0" xfId="2" applyFont="1" applyAlignment="1">
      <alignment horizontal="center"/>
    </xf>
    <xf numFmtId="38" fontId="16" fillId="6" borderId="52" xfId="0" applyNumberFormat="1" applyFont="1" applyFill="1" applyBorder="1" applyAlignment="1">
      <alignment horizontal="center" vertical="center"/>
    </xf>
    <xf numFmtId="0" fontId="0" fillId="0" borderId="0" xfId="0" applyAlignment="1">
      <alignment vertical="top" wrapText="1"/>
    </xf>
    <xf numFmtId="0" fontId="0" fillId="0" borderId="153" xfId="0" applyBorder="1"/>
    <xf numFmtId="0" fontId="0" fillId="15" borderId="153" xfId="0" applyFill="1" applyBorder="1" applyAlignment="1">
      <alignment horizontal="center" vertical="center"/>
    </xf>
    <xf numFmtId="0" fontId="0" fillId="15" borderId="130" xfId="0" applyFill="1" applyBorder="1" applyAlignment="1">
      <alignment horizontal="center" vertical="center"/>
    </xf>
    <xf numFmtId="0" fontId="0" fillId="15" borderId="153" xfId="0" applyFill="1" applyBorder="1" applyAlignment="1">
      <alignment horizontal="left"/>
    </xf>
    <xf numFmtId="0" fontId="0" fillId="15" borderId="130" xfId="0" applyFill="1" applyBorder="1" applyAlignment="1">
      <alignment horizontal="left"/>
    </xf>
    <xf numFmtId="6" fontId="0" fillId="0" borderId="130" xfId="0" applyNumberFormat="1" applyBorder="1" applyAlignment="1">
      <alignment horizontal="center" vertical="center"/>
    </xf>
    <xf numFmtId="194" fontId="8" fillId="0" borderId="153" xfId="0" applyNumberFormat="1" applyFont="1" applyBorder="1" applyAlignment="1">
      <alignment horizontal="center" vertical="center"/>
    </xf>
    <xf numFmtId="190" fontId="0" fillId="0" borderId="153" xfId="0" applyNumberFormat="1" applyBorder="1" applyAlignment="1">
      <alignment vertical="center"/>
    </xf>
    <xf numFmtId="177" fontId="0" fillId="0" borderId="153" xfId="0" applyNumberFormat="1" applyBorder="1" applyAlignment="1">
      <alignment horizontal="center" vertical="center"/>
    </xf>
    <xf numFmtId="6" fontId="16" fillId="6" borderId="153" xfId="0" applyNumberFormat="1" applyFont="1" applyFill="1" applyBorder="1" applyAlignment="1">
      <alignment horizontal="center" vertical="center"/>
    </xf>
    <xf numFmtId="0" fontId="92" fillId="0" borderId="0" xfId="0" applyFont="1"/>
    <xf numFmtId="0" fontId="8" fillId="0" borderId="153" xfId="0" applyFont="1" applyBorder="1" applyAlignment="1">
      <alignment horizontal="center" vertical="center"/>
    </xf>
    <xf numFmtId="0" fontId="0" fillId="0" borderId="153" xfId="0" applyBorder="1" applyAlignment="1">
      <alignment horizontal="center"/>
    </xf>
    <xf numFmtId="40" fontId="16" fillId="17" borderId="153" xfId="0" applyNumberFormat="1" applyFont="1" applyFill="1" applyBorder="1" applyAlignment="1">
      <alignment horizontal="center" vertical="center"/>
    </xf>
    <xf numFmtId="0" fontId="6" fillId="0" borderId="153" xfId="0" applyFont="1" applyBorder="1" applyAlignment="1">
      <alignment horizontal="center" vertical="center"/>
    </xf>
    <xf numFmtId="0" fontId="16" fillId="2" borderId="153" xfId="0" applyFont="1" applyFill="1" applyBorder="1" applyAlignment="1" applyProtection="1">
      <alignment vertical="center"/>
      <protection locked="0"/>
    </xf>
    <xf numFmtId="0" fontId="8" fillId="0" borderId="153" xfId="0" applyFont="1" applyBorder="1" applyAlignment="1">
      <alignment horizontal="center" vertical="center" wrapText="1"/>
    </xf>
    <xf numFmtId="199" fontId="8" fillId="0" borderId="153" xfId="0" applyNumberFormat="1" applyFont="1" applyBorder="1"/>
    <xf numFmtId="38" fontId="8" fillId="0" borderId="153" xfId="0" applyNumberFormat="1" applyFont="1" applyBorder="1" applyAlignment="1">
      <alignment horizontal="center" vertical="center" wrapText="1"/>
    </xf>
    <xf numFmtId="6" fontId="0" fillId="0" borderId="153" xfId="0" applyNumberFormat="1" applyBorder="1" applyAlignment="1">
      <alignment horizontal="right" vertical="center"/>
    </xf>
    <xf numFmtId="6" fontId="16" fillId="2" borderId="153" xfId="1" applyNumberFormat="1" applyFont="1" applyFill="1" applyBorder="1" applyAlignment="1" applyProtection="1">
      <alignment horizontal="right" vertical="center"/>
      <protection locked="0"/>
    </xf>
    <xf numFmtId="6" fontId="0" fillId="0" borderId="153" xfId="0" applyNumberFormat="1" applyBorder="1" applyAlignment="1">
      <alignment vertical="center"/>
    </xf>
    <xf numFmtId="6" fontId="0" fillId="0" borderId="153" xfId="0" applyNumberFormat="1" applyBorder="1" applyAlignment="1">
      <alignment horizontal="right" vertical="center" indent="1"/>
    </xf>
    <xf numFmtId="6" fontId="0" fillId="8" borderId="153" xfId="0" applyNumberFormat="1" applyFill="1" applyBorder="1" applyAlignment="1">
      <alignment vertical="center"/>
    </xf>
    <xf numFmtId="0" fontId="16" fillId="2" borderId="153" xfId="0" applyFont="1" applyFill="1" applyBorder="1" applyAlignment="1" applyProtection="1">
      <alignment horizontal="right" vertical="center"/>
      <protection locked="0"/>
    </xf>
    <xf numFmtId="6" fontId="8" fillId="8" borderId="153" xfId="1" applyNumberFormat="1" applyFont="1" applyFill="1" applyBorder="1" applyAlignment="1" applyProtection="1">
      <alignment horizontal="right" vertical="center"/>
    </xf>
    <xf numFmtId="6" fontId="8" fillId="0" borderId="153" xfId="0" applyNumberFormat="1" applyFont="1" applyBorder="1" applyAlignment="1">
      <alignment horizontal="right" vertical="center"/>
    </xf>
    <xf numFmtId="6" fontId="8" fillId="0" borderId="153" xfId="0" quotePrefix="1" applyNumberFormat="1" applyFont="1" applyBorder="1" applyAlignment="1">
      <alignment horizontal="right" vertical="center"/>
    </xf>
    <xf numFmtId="0" fontId="16" fillId="2" borderId="153" xfId="0" applyFont="1" applyFill="1" applyBorder="1" applyAlignment="1" applyProtection="1">
      <alignment horizontal="left" vertical="center"/>
      <protection locked="0"/>
    </xf>
    <xf numFmtId="8" fontId="0" fillId="0" borderId="153" xfId="0" applyNumberFormat="1" applyBorder="1" applyAlignment="1">
      <alignment horizontal="center" vertical="center"/>
    </xf>
    <xf numFmtId="8" fontId="0" fillId="8" borderId="153" xfId="0" applyNumberFormat="1" applyFill="1" applyBorder="1" applyAlignment="1">
      <alignment horizontal="right" vertical="center"/>
    </xf>
    <xf numFmtId="8" fontId="0" fillId="0" borderId="153" xfId="0" applyNumberFormat="1" applyBorder="1" applyAlignment="1">
      <alignment horizontal="right" vertical="center"/>
    </xf>
    <xf numFmtId="0" fontId="0" fillId="0" borderId="153" xfId="0" applyBorder="1" applyAlignment="1">
      <alignment horizontal="right" vertical="center"/>
    </xf>
    <xf numFmtId="184" fontId="0" fillId="0" borderId="153" xfId="0" applyNumberFormat="1" applyBorder="1" applyAlignment="1">
      <alignment horizontal="right" vertical="center"/>
    </xf>
    <xf numFmtId="171" fontId="11" fillId="0" borderId="153" xfId="2" applyNumberFormat="1" applyBorder="1" applyAlignment="1">
      <alignment horizontal="center" vertical="center"/>
    </xf>
    <xf numFmtId="40" fontId="43" fillId="0" borderId="153" xfId="2" applyNumberFormat="1" applyFont="1" applyBorder="1"/>
    <xf numFmtId="40" fontId="43" fillId="0" borderId="154" xfId="2" applyNumberFormat="1" applyFont="1" applyBorder="1"/>
    <xf numFmtId="40" fontId="45" fillId="0" borderId="153" xfId="2" applyNumberFormat="1" applyFont="1" applyBorder="1"/>
    <xf numFmtId="0" fontId="81" fillId="0" borderId="153" xfId="2" quotePrefix="1" applyFont="1" applyBorder="1" applyAlignment="1">
      <alignment horizontal="center"/>
    </xf>
    <xf numFmtId="9" fontId="11" fillId="0" borderId="0" xfId="4" applyFont="1" applyFill="1" applyAlignment="1">
      <alignment horizontal="center"/>
    </xf>
    <xf numFmtId="9" fontId="11" fillId="0" borderId="0" xfId="4" applyFont="1" applyAlignment="1">
      <alignment horizontal="center"/>
    </xf>
    <xf numFmtId="0" fontId="16" fillId="2" borderId="153"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6"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4" fontId="0" fillId="0" borderId="15" xfId="0" applyNumberFormat="1" applyBorder="1" applyAlignment="1">
      <alignment vertical="center"/>
    </xf>
    <xf numFmtId="215" fontId="0" fillId="0" borderId="69" xfId="0" applyNumberFormat="1" applyBorder="1" applyAlignment="1">
      <alignment vertical="center"/>
    </xf>
    <xf numFmtId="215" fontId="0" fillId="0" borderId="52" xfId="0" applyNumberFormat="1" applyBorder="1" applyAlignment="1">
      <alignment vertical="center"/>
    </xf>
    <xf numFmtId="214" fontId="0" fillId="0" borderId="53" xfId="0" applyNumberFormat="1" applyBorder="1" applyAlignment="1">
      <alignment vertical="center"/>
    </xf>
    <xf numFmtId="216" fontId="0" fillId="0" borderId="77" xfId="0" applyNumberFormat="1" applyBorder="1" applyAlignment="1">
      <alignment vertical="center"/>
    </xf>
    <xf numFmtId="217" fontId="0" fillId="0" borderId="16" xfId="0" applyNumberFormat="1" applyBorder="1" applyAlignment="1">
      <alignment vertical="center"/>
    </xf>
    <xf numFmtId="218" fontId="0" fillId="0" borderId="16" xfId="0" applyNumberFormat="1" applyBorder="1" applyAlignment="1">
      <alignment vertical="center"/>
    </xf>
    <xf numFmtId="214" fontId="0" fillId="0" borderId="77" xfId="0" applyNumberFormat="1" applyBorder="1" applyAlignment="1">
      <alignment vertical="center"/>
    </xf>
    <xf numFmtId="193" fontId="16" fillId="6" borderId="108" xfId="0" applyNumberFormat="1" applyFont="1" applyFill="1" applyBorder="1" applyAlignment="1">
      <alignment horizontal="center" vertical="center"/>
    </xf>
    <xf numFmtId="0" fontId="0" fillId="0" borderId="153" xfId="0" applyBorder="1" applyAlignment="1">
      <alignment vertical="center"/>
    </xf>
    <xf numFmtId="0" fontId="0" fillId="0" borderId="146" xfId="0" applyBorder="1" applyAlignment="1">
      <alignment vertical="center"/>
    </xf>
    <xf numFmtId="197" fontId="0" fillId="0" borderId="24" xfId="0" quotePrefix="1" applyNumberFormat="1" applyBorder="1" applyAlignment="1">
      <alignment vertical="center"/>
    </xf>
    <xf numFmtId="0" fontId="0" fillId="0" borderId="24" xfId="0" applyBorder="1" applyAlignment="1">
      <alignment vertical="center"/>
    </xf>
    <xf numFmtId="0" fontId="0" fillId="0" borderId="155"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56" xfId="0" applyBorder="1" applyAlignment="1">
      <alignment horizontal="right" vertical="center"/>
    </xf>
    <xf numFmtId="0" fontId="0" fillId="0" borderId="110" xfId="0" applyBorder="1" applyAlignment="1">
      <alignment vertical="center"/>
    </xf>
    <xf numFmtId="0" fontId="0" fillId="0" borderId="111" xfId="0" applyBorder="1" applyAlignment="1">
      <alignment vertical="center"/>
    </xf>
    <xf numFmtId="0" fontId="0" fillId="2" borderId="0" xfId="0" applyFill="1" applyAlignment="1">
      <alignment vertical="center"/>
    </xf>
    <xf numFmtId="0" fontId="0" fillId="0" borderId="157" xfId="0" applyBorder="1" applyAlignment="1">
      <alignment horizontal="right" vertical="center"/>
    </xf>
    <xf numFmtId="0" fontId="0" fillId="0" borderId="79" xfId="0" applyBorder="1" applyAlignment="1">
      <alignment vertical="center"/>
    </xf>
    <xf numFmtId="0" fontId="0" fillId="0" borderId="158" xfId="0" applyBorder="1" applyAlignment="1">
      <alignment horizontal="right" vertical="center"/>
    </xf>
    <xf numFmtId="0" fontId="0" fillId="0" borderId="112" xfId="0" applyBorder="1" applyAlignment="1">
      <alignment vertical="center"/>
    </xf>
    <xf numFmtId="0" fontId="0" fillId="0" borderId="159" xfId="0" applyBorder="1" applyAlignment="1">
      <alignment horizontal="right" vertical="center"/>
    </xf>
    <xf numFmtId="0" fontId="0" fillId="0" borderId="160" xfId="0" applyBorder="1" applyAlignment="1">
      <alignment vertical="center"/>
    </xf>
    <xf numFmtId="0" fontId="0" fillId="0" borderId="34" xfId="0" applyBorder="1" applyAlignment="1">
      <alignment vertical="center"/>
    </xf>
    <xf numFmtId="191" fontId="0" fillId="0" borderId="153" xfId="0" applyNumberFormat="1" applyBorder="1" applyAlignment="1">
      <alignment horizontal="right" vertical="center"/>
    </xf>
    <xf numFmtId="0" fontId="0" fillId="15" borderId="0" xfId="0" applyFill="1" applyAlignment="1">
      <alignment vertical="center"/>
    </xf>
    <xf numFmtId="0" fontId="19" fillId="11" borderId="0" xfId="0" applyFont="1" applyFill="1"/>
    <xf numFmtId="0" fontId="88" fillId="0" borderId="0" xfId="0" applyFont="1" applyAlignment="1">
      <alignment vertical="top" wrapText="1"/>
    </xf>
    <xf numFmtId="177" fontId="0" fillId="0" borderId="5" xfId="0" applyNumberFormat="1" applyBorder="1" applyAlignment="1">
      <alignment horizontal="center" vertical="center"/>
    </xf>
    <xf numFmtId="177" fontId="0" fillId="0" borderId="12" xfId="0" applyNumberFormat="1" applyBorder="1" applyAlignment="1">
      <alignment horizontal="center" vertical="center"/>
    </xf>
    <xf numFmtId="191" fontId="0" fillId="0" borderId="0" xfId="0" applyNumberFormat="1" applyAlignment="1">
      <alignment horizontal="right" vertical="center"/>
    </xf>
    <xf numFmtId="191" fontId="0" fillId="0" borderId="2" xfId="0" applyNumberFormat="1" applyBorder="1" applyAlignment="1">
      <alignment horizontal="right" vertical="center"/>
    </xf>
    <xf numFmtId="0" fontId="88" fillId="0" borderId="0" xfId="0" applyFont="1" applyAlignment="1">
      <alignment horizontal="right" vertical="center"/>
    </xf>
    <xf numFmtId="0" fontId="0" fillId="0" borderId="109" xfId="0" applyBorder="1" applyAlignment="1">
      <alignment horizontal="center" vertical="center"/>
    </xf>
    <xf numFmtId="0" fontId="109" fillId="0" borderId="0" xfId="0" applyFont="1" applyAlignment="1">
      <alignment horizontal="center"/>
    </xf>
    <xf numFmtId="190" fontId="61" fillId="0" borderId="0" xfId="0" applyNumberFormat="1" applyFont="1" applyAlignment="1">
      <alignment horizontal="center" vertical="center"/>
    </xf>
    <xf numFmtId="190" fontId="61" fillId="0" borderId="153" xfId="0" applyNumberFormat="1" applyFont="1" applyBorder="1" applyAlignment="1">
      <alignment horizontal="center" vertical="center"/>
    </xf>
    <xf numFmtId="0" fontId="9" fillId="24" borderId="0" xfId="0" applyFont="1" applyFill="1" applyAlignment="1">
      <alignment horizontal="center"/>
    </xf>
    <xf numFmtId="190" fontId="9" fillId="13" borderId="0" xfId="0" applyNumberFormat="1" applyFont="1" applyFill="1" applyAlignment="1">
      <alignment horizontal="center" vertical="center"/>
    </xf>
    <xf numFmtId="190" fontId="0" fillId="13" borderId="0" xfId="0" applyNumberFormat="1" applyFill="1" applyAlignment="1">
      <alignment horizontal="center" vertical="center"/>
    </xf>
    <xf numFmtId="190" fontId="0" fillId="24" borderId="0" xfId="0" applyNumberFormat="1" applyFill="1" applyAlignment="1">
      <alignment horizontal="center" vertical="center"/>
    </xf>
    <xf numFmtId="0" fontId="0" fillId="15" borderId="16" xfId="0" applyFill="1" applyBorder="1" applyAlignment="1">
      <alignment vertical="center"/>
    </xf>
    <xf numFmtId="0" fontId="6" fillId="0" borderId="16" xfId="0" applyFont="1" applyBorder="1" applyAlignment="1">
      <alignment horizontal="center" vertical="center"/>
    </xf>
    <xf numFmtId="40" fontId="0" fillId="0" borderId="0" xfId="0" applyNumberFormat="1" applyAlignment="1">
      <alignment horizontal="center"/>
    </xf>
    <xf numFmtId="40" fontId="8" fillId="0" borderId="0" xfId="0" applyNumberFormat="1" applyFont="1" applyAlignment="1">
      <alignment horizontal="center"/>
    </xf>
    <xf numFmtId="0" fontId="8" fillId="0" borderId="0" xfId="0" applyFont="1" applyAlignment="1">
      <alignment horizontal="right" vertical="top" wrapText="1"/>
    </xf>
    <xf numFmtId="38" fontId="16" fillId="2" borderId="7" xfId="0" applyNumberFormat="1" applyFont="1" applyFill="1" applyBorder="1" applyAlignment="1" applyProtection="1">
      <alignment horizontal="center" vertical="center"/>
      <protection locked="0"/>
    </xf>
    <xf numFmtId="0" fontId="16" fillId="2" borderId="7" xfId="0" applyFont="1" applyFill="1" applyBorder="1" applyAlignment="1" applyProtection="1">
      <alignment horizontal="center" vertical="center"/>
      <protection locked="0"/>
    </xf>
    <xf numFmtId="0" fontId="9" fillId="0" borderId="78" xfId="0" applyFont="1" applyBorder="1" applyAlignment="1">
      <alignment vertical="center"/>
    </xf>
    <xf numFmtId="0" fontId="19" fillId="0" borderId="40" xfId="0" applyFont="1" applyBorder="1" applyAlignment="1" applyProtection="1">
      <alignment horizontal="center" vertical="center"/>
      <protection locked="0"/>
    </xf>
    <xf numFmtId="167" fontId="6" fillId="0" borderId="0" xfId="0" applyNumberFormat="1" applyFont="1" applyAlignment="1">
      <alignment vertical="top"/>
    </xf>
    <xf numFmtId="190" fontId="0" fillId="0" borderId="16" xfId="0" applyNumberFormat="1" applyBorder="1" applyAlignment="1">
      <alignment vertical="center"/>
    </xf>
    <xf numFmtId="220" fontId="8"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7" fillId="0" borderId="16" xfId="0" applyFont="1" applyBorder="1"/>
    <xf numFmtId="0" fontId="99" fillId="0" borderId="0" xfId="0" applyFont="1" applyAlignment="1">
      <alignment horizontal="center" wrapText="1"/>
    </xf>
    <xf numFmtId="0" fontId="6" fillId="0" borderId="16" xfId="0" applyFont="1" applyBorder="1"/>
    <xf numFmtId="0" fontId="28" fillId="0" borderId="7" xfId="0" applyFont="1" applyBorder="1" applyAlignment="1">
      <alignment horizontal="center" wrapText="1"/>
    </xf>
    <xf numFmtId="1" fontId="16" fillId="2" borderId="153" xfId="0" applyNumberFormat="1" applyFont="1" applyFill="1" applyBorder="1" applyAlignment="1" applyProtection="1">
      <alignment horizontal="center" vertical="center"/>
      <protection locked="0"/>
    </xf>
    <xf numFmtId="0" fontId="134" fillId="0" borderId="33" xfId="0" applyFont="1" applyBorder="1" applyAlignment="1">
      <alignment horizontal="right" vertical="center"/>
    </xf>
    <xf numFmtId="0" fontId="103" fillId="7" borderId="15" xfId="0" applyFont="1" applyFill="1" applyBorder="1" applyAlignment="1">
      <alignment vertical="center"/>
    </xf>
    <xf numFmtId="0" fontId="113" fillId="0" borderId="0" xfId="0" applyFont="1" applyAlignment="1">
      <alignment horizontal="left" vertical="center"/>
    </xf>
    <xf numFmtId="0" fontId="6" fillId="0" borderId="0" xfId="0" applyFont="1" applyAlignment="1">
      <alignment horizontal="right"/>
    </xf>
    <xf numFmtId="0" fontId="8" fillId="33" borderId="0" xfId="0" applyFont="1" applyFill="1" applyAlignment="1">
      <alignment horizontal="right" vertical="center"/>
    </xf>
    <xf numFmtId="0" fontId="0" fillId="25" borderId="16" xfId="0" applyFill="1" applyBorder="1"/>
    <xf numFmtId="0" fontId="0" fillId="7" borderId="0" xfId="0" applyFill="1" applyAlignment="1">
      <alignment horizontal="left" vertical="center"/>
    </xf>
    <xf numFmtId="0" fontId="8" fillId="7" borderId="0" xfId="0" applyFont="1" applyFill="1" applyAlignment="1">
      <alignment horizontal="left" vertical="center"/>
    </xf>
    <xf numFmtId="0" fontId="10" fillId="0" borderId="15" xfId="0" applyFont="1" applyBorder="1" applyAlignment="1">
      <alignment horizontal="left" indent="1"/>
    </xf>
    <xf numFmtId="195" fontId="16" fillId="6" borderId="15" xfId="0" applyNumberFormat="1" applyFont="1" applyFill="1" applyBorder="1" applyAlignment="1">
      <alignment horizontal="center" vertical="center"/>
    </xf>
    <xf numFmtId="195" fontId="16" fillId="6" borderId="16" xfId="0" applyNumberFormat="1" applyFont="1" applyFill="1" applyBorder="1" applyAlignment="1">
      <alignment horizontal="center" vertical="center"/>
    </xf>
    <xf numFmtId="195" fontId="16" fillId="6" borderId="49" xfId="0" applyNumberFormat="1" applyFont="1" applyFill="1" applyBorder="1" applyAlignment="1">
      <alignment horizontal="center" vertical="center"/>
    </xf>
    <xf numFmtId="195" fontId="16" fillId="6" borderId="153" xfId="0" applyNumberFormat="1" applyFont="1" applyFill="1" applyBorder="1" applyAlignment="1">
      <alignment horizontal="center" vertical="center"/>
    </xf>
    <xf numFmtId="195" fontId="16" fillId="6" borderId="50" xfId="0" applyNumberFormat="1" applyFont="1" applyFill="1" applyBorder="1" applyAlignment="1">
      <alignment horizontal="center" vertical="center"/>
    </xf>
    <xf numFmtId="194" fontId="8" fillId="0" borderId="53" xfId="0" applyNumberFormat="1" applyFont="1" applyBorder="1" applyAlignment="1">
      <alignment horizontal="center" vertical="center"/>
    </xf>
    <xf numFmtId="0" fontId="7" fillId="0" borderId="0" xfId="0" applyFont="1" applyAlignment="1">
      <alignment horizontal="left" vertical="center" wrapText="1"/>
    </xf>
    <xf numFmtId="9" fontId="16" fillId="6" borderId="15" xfId="4" applyFont="1" applyFill="1" applyBorder="1" applyAlignment="1">
      <alignment horizontal="right" vertical="center"/>
    </xf>
    <xf numFmtId="0" fontId="0" fillId="20" borderId="0" xfId="0" applyFill="1" applyAlignment="1">
      <alignment horizontal="center"/>
    </xf>
    <xf numFmtId="0" fontId="137" fillId="0" borderId="0" xfId="0" applyFont="1" applyAlignment="1">
      <alignment vertical="center"/>
    </xf>
    <xf numFmtId="0" fontId="137" fillId="0" borderId="153" xfId="0" applyFont="1" applyBorder="1" applyAlignment="1">
      <alignment vertical="center"/>
    </xf>
    <xf numFmtId="0" fontId="6" fillId="0" borderId="131" xfId="0" applyFont="1" applyBorder="1" applyAlignment="1">
      <alignment vertical="center"/>
    </xf>
    <xf numFmtId="0" fontId="0" fillId="0" borderId="131" xfId="0" applyBorder="1" applyAlignment="1">
      <alignment vertical="center"/>
    </xf>
    <xf numFmtId="0" fontId="0" fillId="2" borderId="0" xfId="0" applyFill="1" applyAlignment="1">
      <alignment horizontal="left" vertical="center" wrapText="1"/>
    </xf>
    <xf numFmtId="49" fontId="16" fillId="2" borderId="153" xfId="0" applyNumberFormat="1" applyFont="1" applyFill="1" applyBorder="1" applyAlignment="1" applyProtection="1">
      <alignment horizontal="center" vertical="center" wrapText="1"/>
      <protection locked="0"/>
    </xf>
    <xf numFmtId="8" fontId="16" fillId="2" borderId="23" xfId="0" applyNumberFormat="1" applyFont="1" applyFill="1" applyBorder="1" applyAlignment="1" applyProtection="1">
      <alignment horizontal="right" vertical="center" wrapText="1" indent="1"/>
      <protection locked="0"/>
    </xf>
    <xf numFmtId="8" fontId="8" fillId="0" borderId="23" xfId="0" applyNumberFormat="1" applyFont="1" applyBorder="1" applyAlignment="1">
      <alignment horizontal="right" vertical="center"/>
    </xf>
    <xf numFmtId="0" fontId="0" fillId="36" borderId="70" xfId="0" applyFill="1" applyBorder="1"/>
    <xf numFmtId="0" fontId="0" fillId="7" borderId="15" xfId="0" applyFill="1" applyBorder="1" applyAlignment="1">
      <alignment horizontal="left" vertical="center"/>
    </xf>
    <xf numFmtId="0" fontId="0" fillId="7" borderId="70" xfId="0" applyFill="1" applyBorder="1" applyAlignment="1">
      <alignment horizontal="left" vertical="center"/>
    </xf>
    <xf numFmtId="0" fontId="0" fillId="7" borderId="16" xfId="0" applyFill="1" applyBorder="1" applyAlignment="1">
      <alignment horizontal="left" vertical="center"/>
    </xf>
    <xf numFmtId="0" fontId="0" fillId="2" borderId="76" xfId="0" applyFill="1" applyBorder="1"/>
    <xf numFmtId="0" fontId="0" fillId="2" borderId="76" xfId="0" applyFill="1" applyBorder="1" applyAlignment="1">
      <alignment horizontal="right" vertical="center"/>
    </xf>
    <xf numFmtId="0" fontId="0" fillId="2" borderId="16" xfId="0" applyFill="1" applyBorder="1"/>
    <xf numFmtId="0" fontId="0" fillId="25" borderId="16" xfId="0" applyFill="1" applyBorder="1" applyAlignment="1">
      <alignment horizontal="right" vertical="center"/>
    </xf>
    <xf numFmtId="0" fontId="0" fillId="25" borderId="15" xfId="0" applyFill="1" applyBorder="1"/>
    <xf numFmtId="0" fontId="0" fillId="2" borderId="15" xfId="0" applyFill="1" applyBorder="1"/>
    <xf numFmtId="0" fontId="0" fillId="2" borderId="15" xfId="0" applyFill="1" applyBorder="1" applyAlignment="1">
      <alignment horizontal="right" vertical="center"/>
    </xf>
    <xf numFmtId="0" fontId="0" fillId="36" borderId="15" xfId="0" applyFill="1" applyBorder="1"/>
    <xf numFmtId="0" fontId="0" fillId="36" borderId="15" xfId="0" applyFill="1" applyBorder="1" applyAlignment="1">
      <alignment horizontal="right" vertical="center"/>
    </xf>
    <xf numFmtId="0" fontId="8" fillId="7" borderId="70" xfId="0" applyFont="1" applyFill="1" applyBorder="1" applyAlignment="1">
      <alignment horizontal="left" vertical="center"/>
    </xf>
    <xf numFmtId="0" fontId="0" fillId="0" borderId="77" xfId="0" applyBorder="1" applyAlignment="1">
      <alignment horizontal="right" vertical="center"/>
    </xf>
    <xf numFmtId="0" fontId="0" fillId="0" borderId="78" xfId="0" applyBorder="1" applyAlignment="1">
      <alignment horizontal="right" vertical="center"/>
    </xf>
    <xf numFmtId="8" fontId="8" fillId="0" borderId="15" xfId="0" applyNumberFormat="1" applyFont="1" applyBorder="1" applyAlignment="1">
      <alignment horizontal="right" vertical="center"/>
    </xf>
    <xf numFmtId="0" fontId="16" fillId="6" borderId="78" xfId="0" applyFont="1" applyFill="1" applyBorder="1" applyAlignment="1">
      <alignment horizontal="center" vertical="center"/>
    </xf>
    <xf numFmtId="181" fontId="0" fillId="0" borderId="0" xfId="0" applyNumberFormat="1"/>
    <xf numFmtId="0" fontId="0" fillId="7" borderId="70" xfId="0" quotePrefix="1" applyFill="1" applyBorder="1" applyAlignment="1">
      <alignment horizontal="left" vertical="center"/>
    </xf>
    <xf numFmtId="0" fontId="0" fillId="25" borderId="0" xfId="0" applyFill="1" applyAlignment="1">
      <alignment vertical="center"/>
    </xf>
    <xf numFmtId="0" fontId="0" fillId="25" borderId="0" xfId="0" applyFill="1"/>
    <xf numFmtId="0" fontId="0" fillId="25" borderId="0" xfId="0" applyFill="1" applyAlignment="1">
      <alignment horizontal="center" vertical="center"/>
    </xf>
    <xf numFmtId="38" fontId="0" fillId="25"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2" borderId="0" xfId="0" applyFill="1"/>
    <xf numFmtId="38" fontId="0" fillId="36" borderId="15" xfId="0" applyNumberFormat="1" applyFill="1" applyBorder="1" applyAlignment="1">
      <alignment horizontal="center" vertical="center"/>
    </xf>
    <xf numFmtId="0" fontId="0" fillId="36" borderId="0" xfId="0" applyFill="1" applyAlignment="1">
      <alignment vertical="center"/>
    </xf>
    <xf numFmtId="0" fontId="0" fillId="36" borderId="0" xfId="0" applyFill="1"/>
    <xf numFmtId="0" fontId="0" fillId="36" borderId="0" xfId="0" applyFill="1" applyAlignment="1">
      <alignment horizontal="center" vertical="center"/>
    </xf>
    <xf numFmtId="0" fontId="0" fillId="2" borderId="16" xfId="0" applyFill="1" applyBorder="1" applyAlignment="1">
      <alignment horizontal="right" vertical="center"/>
    </xf>
    <xf numFmtId="0" fontId="0" fillId="25" borderId="15" xfId="0" applyFill="1" applyBorder="1" applyAlignment="1">
      <alignment horizontal="right" vertical="center"/>
    </xf>
    <xf numFmtId="0" fontId="0" fillId="36" borderId="16" xfId="0" applyFill="1" applyBorder="1" applyAlignment="1">
      <alignment horizontal="right" vertical="center"/>
    </xf>
    <xf numFmtId="0" fontId="0" fillId="36" borderId="16" xfId="0" applyFill="1" applyBorder="1" applyAlignment="1">
      <alignment vertical="center"/>
    </xf>
    <xf numFmtId="0" fontId="8" fillId="7" borderId="70" xfId="0" quotePrefix="1" applyFont="1" applyFill="1" applyBorder="1" applyAlignment="1">
      <alignment horizontal="left" vertical="center"/>
    </xf>
    <xf numFmtId="0" fontId="8" fillId="25" borderId="0" xfId="0" applyFont="1" applyFill="1" applyAlignment="1">
      <alignment horizontal="center" vertical="center"/>
    </xf>
    <xf numFmtId="0" fontId="8" fillId="36" borderId="0" xfId="0" applyFont="1" applyFill="1" applyAlignment="1">
      <alignment horizontal="center" vertical="center"/>
    </xf>
    <xf numFmtId="38" fontId="0" fillId="36" borderId="16" xfId="0" applyNumberFormat="1" applyFill="1" applyBorder="1" applyAlignment="1">
      <alignment horizontal="center" vertical="center"/>
    </xf>
    <xf numFmtId="0" fontId="0" fillId="22" borderId="0" xfId="0" applyFill="1"/>
    <xf numFmtId="38" fontId="0" fillId="22" borderId="16" xfId="0" applyNumberFormat="1" applyFill="1" applyBorder="1" applyAlignment="1">
      <alignment horizontal="center" vertical="center"/>
    </xf>
    <xf numFmtId="0" fontId="0" fillId="22" borderId="0" xfId="0" applyFill="1" applyAlignment="1">
      <alignment vertical="center"/>
    </xf>
    <xf numFmtId="0" fontId="0" fillId="0" borderId="7" xfId="0" applyBorder="1" applyAlignment="1">
      <alignment horizontal="center" vertical="center"/>
    </xf>
    <xf numFmtId="20" fontId="0" fillId="0" borderId="0" xfId="0" applyNumberFormat="1"/>
    <xf numFmtId="0" fontId="99" fillId="30" borderId="0" xfId="0" applyFont="1" applyFill="1" applyAlignment="1">
      <alignment vertical="top"/>
    </xf>
    <xf numFmtId="0" fontId="105" fillId="0" borderId="0" xfId="0" applyFont="1" applyAlignment="1">
      <alignment horizontal="left" vertical="center"/>
    </xf>
    <xf numFmtId="0" fontId="105" fillId="0" borderId="0" xfId="0" applyFont="1" applyAlignment="1">
      <alignment vertical="top"/>
    </xf>
    <xf numFmtId="0" fontId="15" fillId="0" borderId="0" xfId="0" applyFont="1"/>
    <xf numFmtId="0" fontId="15" fillId="0" borderId="153" xfId="0" applyFont="1" applyBorder="1"/>
    <xf numFmtId="0" fontId="0" fillId="30" borderId="0" xfId="0" applyFill="1" applyAlignment="1">
      <alignment horizontal="center" vertical="center"/>
    </xf>
    <xf numFmtId="0" fontId="91" fillId="0" borderId="0" xfId="5" applyAlignment="1">
      <alignment vertical="center"/>
    </xf>
    <xf numFmtId="184" fontId="0" fillId="0" borderId="0" xfId="0" applyNumberFormat="1"/>
    <xf numFmtId="0" fontId="8" fillId="0" borderId="49" xfId="0" applyFont="1" applyBorder="1" applyAlignment="1">
      <alignment vertical="center"/>
    </xf>
    <xf numFmtId="0" fontId="16" fillId="0" borderId="0" xfId="0" applyFont="1" applyAlignment="1">
      <alignment horizontal="right" vertical="center"/>
    </xf>
    <xf numFmtId="0" fontId="17" fillId="0" borderId="0" xfId="0" applyFont="1" applyAlignment="1">
      <alignment horizontal="right"/>
    </xf>
    <xf numFmtId="224" fontId="0" fillId="0" borderId="48" xfId="0" applyNumberFormat="1" applyBorder="1" applyAlignment="1">
      <alignment horizontal="center" vertical="center"/>
    </xf>
    <xf numFmtId="224" fontId="0" fillId="0" borderId="40" xfId="0" applyNumberFormat="1" applyBorder="1" applyAlignment="1">
      <alignment horizontal="center" vertical="center"/>
    </xf>
    <xf numFmtId="224" fontId="0" fillId="0" borderId="130" xfId="0" applyNumberFormat="1" applyBorder="1" applyAlignment="1">
      <alignment horizontal="center" vertical="center"/>
    </xf>
    <xf numFmtId="225" fontId="0" fillId="0" borderId="12" xfId="0" applyNumberFormat="1" applyBorder="1" applyAlignment="1">
      <alignment horizontal="center" vertical="center"/>
    </xf>
    <xf numFmtId="225" fontId="0" fillId="0" borderId="14" xfId="0" applyNumberFormat="1" applyBorder="1" applyAlignment="1">
      <alignment horizontal="center" vertical="center"/>
    </xf>
    <xf numFmtId="225" fontId="0" fillId="0" borderId="42" xfId="0" applyNumberFormat="1" applyBorder="1" applyAlignment="1">
      <alignment horizontal="center" vertical="center"/>
    </xf>
    <xf numFmtId="224" fontId="0" fillId="0" borderId="2" xfId="0" applyNumberFormat="1" applyBorder="1" applyAlignment="1">
      <alignment vertical="center"/>
    </xf>
    <xf numFmtId="224" fontId="0" fillId="0" borderId="0" xfId="0" applyNumberFormat="1" applyAlignment="1">
      <alignment vertical="center"/>
    </xf>
    <xf numFmtId="224" fontId="0" fillId="0" borderId="153" xfId="0" applyNumberFormat="1" applyBorder="1" applyAlignment="1">
      <alignment vertical="center"/>
    </xf>
    <xf numFmtId="164" fontId="0" fillId="0" borderId="16" xfId="4" applyNumberFormat="1" applyFont="1" applyBorder="1" applyAlignment="1">
      <alignment horizontal="center" vertical="center"/>
    </xf>
    <xf numFmtId="0" fontId="0" fillId="0" borderId="65" xfId="0" applyBorder="1" applyAlignment="1">
      <alignment vertical="center"/>
    </xf>
    <xf numFmtId="0" fontId="59" fillId="0" borderId="88" xfId="0" applyFont="1" applyBorder="1" applyAlignment="1">
      <alignment vertical="center"/>
    </xf>
    <xf numFmtId="0" fontId="59" fillId="0" borderId="24" xfId="0" applyFont="1" applyBorder="1"/>
    <xf numFmtId="0" fontId="59" fillId="0" borderId="24" xfId="0" applyFont="1" applyBorder="1" applyAlignment="1">
      <alignment horizontal="right"/>
    </xf>
    <xf numFmtId="0" fontId="59" fillId="0" borderId="89" xfId="0" applyFont="1" applyBorder="1" applyAlignment="1">
      <alignment horizontal="right"/>
    </xf>
    <xf numFmtId="0" fontId="0" fillId="0" borderId="177" xfId="0" applyBorder="1"/>
    <xf numFmtId="0" fontId="0" fillId="0" borderId="178" xfId="0" applyBorder="1"/>
    <xf numFmtId="0" fontId="90" fillId="0" borderId="0" xfId="0" applyFont="1" applyAlignment="1">
      <alignment horizontal="right"/>
    </xf>
    <xf numFmtId="0" fontId="0" fillId="0" borderId="169" xfId="0" applyBorder="1"/>
    <xf numFmtId="0" fontId="0" fillId="0" borderId="72" xfId="0" applyBorder="1" applyAlignment="1">
      <alignment vertical="center"/>
    </xf>
    <xf numFmtId="8" fontId="16" fillId="14" borderId="23" xfId="0" applyNumberFormat="1" applyFont="1" applyFill="1" applyBorder="1" applyAlignment="1" applyProtection="1">
      <alignment vertical="center"/>
      <protection locked="0"/>
    </xf>
    <xf numFmtId="8" fontId="0" fillId="0" borderId="66" xfId="0" applyNumberFormat="1" applyBorder="1" applyAlignment="1">
      <alignment vertical="center"/>
    </xf>
    <xf numFmtId="8" fontId="16" fillId="14" borderId="32" xfId="0" applyNumberFormat="1" applyFont="1" applyFill="1" applyBorder="1" applyAlignment="1" applyProtection="1">
      <alignment vertical="center"/>
      <protection locked="0"/>
    </xf>
    <xf numFmtId="8" fontId="0" fillId="0" borderId="61" xfId="0" applyNumberFormat="1" applyBorder="1" applyAlignment="1">
      <alignment horizontal="right" vertical="center"/>
    </xf>
    <xf numFmtId="8" fontId="16" fillId="0" borderId="0" xfId="0" applyNumberFormat="1" applyFont="1" applyAlignment="1">
      <alignment vertical="center"/>
    </xf>
    <xf numFmtId="8" fontId="0" fillId="0" borderId="40" xfId="0" applyNumberFormat="1" applyBorder="1" applyAlignment="1">
      <alignment vertical="center"/>
    </xf>
    <xf numFmtId="8" fontId="0" fillId="0" borderId="0" xfId="0" applyNumberFormat="1"/>
    <xf numFmtId="0" fontId="9" fillId="0" borderId="12" xfId="0" applyFont="1" applyBorder="1" applyAlignment="1">
      <alignment horizontal="center"/>
    </xf>
    <xf numFmtId="0" fontId="9" fillId="0" borderId="2" xfId="0" applyFont="1" applyBorder="1" applyAlignment="1">
      <alignment horizontal="center"/>
    </xf>
    <xf numFmtId="0" fontId="9" fillId="0" borderId="48" xfId="0" applyFont="1" applyBorder="1" applyAlignment="1">
      <alignment horizontal="center"/>
    </xf>
    <xf numFmtId="0" fontId="7"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99" fillId="8" borderId="0" xfId="0" quotePrefix="1" applyFont="1" applyFill="1"/>
    <xf numFmtId="8" fontId="16" fillId="0" borderId="16" xfId="0" applyNumberFormat="1" applyFont="1" applyBorder="1" applyAlignment="1">
      <alignment horizontal="right" vertical="center"/>
    </xf>
    <xf numFmtId="8" fontId="16"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6" fillId="6" borderId="6" xfId="0" applyFont="1" applyFill="1" applyBorder="1" applyAlignment="1">
      <alignment horizontal="center" vertical="center"/>
    </xf>
    <xf numFmtId="8" fontId="16" fillId="6" borderId="50" xfId="0" applyNumberFormat="1" applyFont="1" applyFill="1" applyBorder="1" applyAlignment="1">
      <alignment horizontal="right" vertical="center"/>
    </xf>
    <xf numFmtId="0" fontId="0" fillId="0" borderId="50" xfId="0" applyBorder="1" applyAlignment="1">
      <alignment horizontal="center" vertical="center"/>
    </xf>
    <xf numFmtId="9" fontId="16"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53" xfId="0" applyNumberFormat="1" applyBorder="1" applyAlignment="1">
      <alignment horizontal="right"/>
    </xf>
    <xf numFmtId="6" fontId="0" fillId="0" borderId="16" xfId="0" applyNumberFormat="1" applyBorder="1" applyAlignment="1">
      <alignment horizontal="center" vertical="center"/>
    </xf>
    <xf numFmtId="6" fontId="0" fillId="0" borderId="179" xfId="0" applyNumberFormat="1" applyBorder="1" applyAlignment="1">
      <alignment horizontal="right" vertical="center"/>
    </xf>
    <xf numFmtId="8" fontId="8" fillId="0" borderId="179" xfId="0" applyNumberFormat="1" applyFont="1" applyBorder="1" applyAlignment="1">
      <alignment vertical="top"/>
    </xf>
    <xf numFmtId="38" fontId="8" fillId="2" borderId="18" xfId="0" applyNumberFormat="1" applyFont="1" applyFill="1" applyBorder="1" applyAlignment="1" applyProtection="1">
      <alignment horizontal="center" vertical="center"/>
      <protection locked="0"/>
    </xf>
    <xf numFmtId="38" fontId="8" fillId="2" borderId="19" xfId="0" applyNumberFormat="1" applyFont="1" applyFill="1" applyBorder="1" applyAlignment="1" applyProtection="1">
      <alignment horizontal="center" vertical="center"/>
      <protection locked="0"/>
    </xf>
    <xf numFmtId="38" fontId="8" fillId="2" borderId="95" xfId="0" applyNumberFormat="1" applyFont="1" applyFill="1" applyBorder="1" applyAlignment="1" applyProtection="1">
      <alignment horizontal="center" vertical="center"/>
      <protection locked="0"/>
    </xf>
    <xf numFmtId="6" fontId="8" fillId="0" borderId="179" xfId="0" applyNumberFormat="1" applyFont="1" applyBorder="1"/>
    <xf numFmtId="6" fontId="16" fillId="2" borderId="179" xfId="1" applyNumberFormat="1" applyFont="1" applyFill="1" applyBorder="1" applyAlignment="1" applyProtection="1">
      <alignment horizontal="right" vertical="center"/>
      <protection locked="0"/>
    </xf>
    <xf numFmtId="6" fontId="0" fillId="0" borderId="179" xfId="0" applyNumberFormat="1" applyBorder="1"/>
    <xf numFmtId="38" fontId="16" fillId="6" borderId="16" xfId="0" applyNumberFormat="1" applyFont="1" applyFill="1" applyBorder="1" applyAlignment="1">
      <alignment horizontal="right" vertical="center"/>
    </xf>
    <xf numFmtId="0" fontId="19" fillId="26" borderId="180" xfId="0" applyFont="1" applyFill="1" applyBorder="1" applyAlignment="1">
      <alignment horizontal="center" vertical="center"/>
    </xf>
    <xf numFmtId="0" fontId="0" fillId="0" borderId="67" xfId="0" applyBorder="1" applyAlignment="1">
      <alignment vertical="center"/>
    </xf>
    <xf numFmtId="0" fontId="0" fillId="0" borderId="17" xfId="0" applyBorder="1" applyAlignment="1">
      <alignment vertical="center"/>
    </xf>
    <xf numFmtId="0" fontId="0" fillId="0" borderId="40" xfId="0" applyBorder="1" applyAlignment="1">
      <alignment vertical="center"/>
    </xf>
    <xf numFmtId="0" fontId="0" fillId="0" borderId="176" xfId="0" applyBorder="1" applyAlignment="1">
      <alignment vertical="center"/>
    </xf>
    <xf numFmtId="0" fontId="0" fillId="0" borderId="50" xfId="0" applyBorder="1" applyAlignment="1">
      <alignment vertical="center"/>
    </xf>
    <xf numFmtId="0" fontId="0" fillId="0" borderId="130" xfId="0" applyBorder="1" applyAlignment="1">
      <alignment vertical="center"/>
    </xf>
    <xf numFmtId="0" fontId="16" fillId="6" borderId="16" xfId="0" applyFont="1" applyFill="1" applyBorder="1" applyAlignment="1">
      <alignment vertical="center"/>
    </xf>
    <xf numFmtId="0" fontId="0" fillId="25" borderId="16" xfId="0" applyFill="1" applyBorder="1" applyAlignment="1">
      <alignment vertical="center"/>
    </xf>
    <xf numFmtId="0" fontId="0" fillId="25" borderId="16" xfId="0" applyFill="1" applyBorder="1" applyAlignment="1">
      <alignment horizontal="center" vertical="center"/>
    </xf>
    <xf numFmtId="0" fontId="0" fillId="25" borderId="78" xfId="0" applyFill="1" applyBorder="1" applyAlignment="1">
      <alignment vertical="center"/>
    </xf>
    <xf numFmtId="0" fontId="0" fillId="25" borderId="78" xfId="0" applyFill="1" applyBorder="1" applyAlignment="1">
      <alignment horizontal="center" vertical="center"/>
    </xf>
    <xf numFmtId="0" fontId="0" fillId="13" borderId="15" xfId="0" applyFill="1" applyBorder="1" applyAlignment="1">
      <alignment vertical="center"/>
    </xf>
    <xf numFmtId="0" fontId="0" fillId="35" borderId="77" xfId="0" applyFill="1" applyBorder="1" applyAlignment="1">
      <alignment vertical="center"/>
    </xf>
    <xf numFmtId="0" fontId="0" fillId="35" borderId="77" xfId="0" applyFill="1" applyBorder="1" applyAlignment="1">
      <alignment horizontal="center" vertical="center"/>
    </xf>
    <xf numFmtId="0" fontId="0" fillId="35" borderId="78" xfId="0" applyFill="1" applyBorder="1" applyAlignment="1">
      <alignment vertical="center"/>
    </xf>
    <xf numFmtId="0" fontId="0" fillId="35" borderId="78" xfId="0" applyFill="1" applyBorder="1" applyAlignment="1">
      <alignment horizontal="center" vertical="center"/>
    </xf>
    <xf numFmtId="0" fontId="0" fillId="35" borderId="15" xfId="0" applyFill="1" applyBorder="1" applyAlignment="1">
      <alignment vertical="center"/>
    </xf>
    <xf numFmtId="0" fontId="0" fillId="35" borderId="15" xfId="0" applyFill="1" applyBorder="1" applyAlignment="1">
      <alignment horizontal="center" vertical="center"/>
    </xf>
    <xf numFmtId="0" fontId="16" fillId="6" borderId="16" xfId="0" applyFont="1" applyFill="1" applyBorder="1" applyAlignment="1">
      <alignment horizontal="left" vertical="center"/>
    </xf>
    <xf numFmtId="0" fontId="0" fillId="0" borderId="16" xfId="0" applyBorder="1" applyAlignment="1">
      <alignment horizontal="right" vertical="center"/>
    </xf>
    <xf numFmtId="0" fontId="9" fillId="0" borderId="16" xfId="0" applyFont="1" applyBorder="1" applyAlignment="1">
      <alignment horizontal="right" vertical="center"/>
    </xf>
    <xf numFmtId="6" fontId="16" fillId="2" borderId="23" xfId="0" applyNumberFormat="1" applyFont="1" applyFill="1" applyBorder="1" applyProtection="1">
      <protection locked="0"/>
    </xf>
    <xf numFmtId="8" fontId="0" fillId="0" borderId="63" xfId="0" applyNumberFormat="1" applyBorder="1" applyAlignment="1">
      <alignment vertical="center"/>
    </xf>
    <xf numFmtId="8" fontId="0" fillId="0" borderId="64" xfId="0" applyNumberFormat="1" applyBorder="1" applyAlignment="1">
      <alignment vertical="center"/>
    </xf>
    <xf numFmtId="0" fontId="7" fillId="0" borderId="0" xfId="0" quotePrefix="1" applyFont="1"/>
    <xf numFmtId="0" fontId="115" fillId="0" borderId="15" xfId="0" applyFont="1" applyBorder="1" applyAlignment="1">
      <alignment horizontal="right" vertical="center"/>
    </xf>
    <xf numFmtId="0" fontId="9" fillId="0" borderId="0" xfId="0" applyFont="1" applyAlignment="1">
      <alignment horizontal="right"/>
    </xf>
    <xf numFmtId="0" fontId="9" fillId="0" borderId="0" xfId="0" applyFont="1" applyAlignment="1">
      <alignment horizontal="left"/>
    </xf>
    <xf numFmtId="0" fontId="0" fillId="0" borderId="13" xfId="0" applyBorder="1"/>
    <xf numFmtId="0" fontId="0" fillId="0" borderId="11" xfId="0" applyBorder="1"/>
    <xf numFmtId="6" fontId="0" fillId="0" borderId="179" xfId="0" quotePrefix="1" applyNumberFormat="1" applyBorder="1"/>
    <xf numFmtId="0" fontId="37" fillId="0" borderId="0" xfId="2" quotePrefix="1" applyFont="1" applyAlignment="1">
      <alignment horizontal="center"/>
    </xf>
    <xf numFmtId="49" fontId="37" fillId="0" borderId="0" xfId="2" applyNumberFormat="1" applyFont="1" applyAlignment="1">
      <alignment horizontal="center"/>
    </xf>
    <xf numFmtId="6" fontId="0" fillId="0" borderId="0" xfId="0" applyNumberFormat="1" applyAlignment="1">
      <alignment horizontal="right" vertical="center"/>
    </xf>
    <xf numFmtId="8" fontId="8" fillId="0" borderId="179" xfId="0" applyNumberFormat="1" applyFont="1" applyBorder="1" applyAlignment="1">
      <alignment horizontal="right" vertical="center"/>
    </xf>
    <xf numFmtId="0" fontId="16" fillId="6" borderId="7" xfId="0" applyFont="1" applyFill="1" applyBorder="1" applyAlignment="1">
      <alignment horizontal="center"/>
    </xf>
    <xf numFmtId="0" fontId="8" fillId="0" borderId="179" xfId="0" applyFont="1" applyBorder="1" applyAlignment="1">
      <alignment horizontal="center" vertical="center"/>
    </xf>
    <xf numFmtId="0" fontId="102" fillId="0" borderId="0" xfId="2" quotePrefix="1" applyFont="1"/>
    <xf numFmtId="172" fontId="11" fillId="0" borderId="0" xfId="2" applyNumberFormat="1" applyAlignment="1">
      <alignment horizontal="center" vertical="center"/>
    </xf>
    <xf numFmtId="0" fontId="11" fillId="0" borderId="0" xfId="2" applyAlignment="1">
      <alignment horizontal="center"/>
    </xf>
    <xf numFmtId="174" fontId="11" fillId="0" borderId="0" xfId="2" applyNumberFormat="1" applyAlignment="1">
      <alignment horizontal="center" vertical="center"/>
    </xf>
    <xf numFmtId="9" fontId="11" fillId="0" borderId="0" xfId="4" applyFont="1" applyAlignment="1">
      <alignment horizontal="center" vertical="center"/>
    </xf>
    <xf numFmtId="9" fontId="139" fillId="0" borderId="0" xfId="4" applyFont="1" applyAlignment="1">
      <alignment horizontal="center" vertical="center"/>
    </xf>
    <xf numFmtId="172" fontId="11" fillId="0" borderId="0" xfId="2" applyNumberFormat="1"/>
    <xf numFmtId="174" fontId="139" fillId="0" borderId="0" xfId="2" applyNumberFormat="1" applyFont="1" applyAlignment="1">
      <alignment horizontal="center" vertical="center"/>
    </xf>
    <xf numFmtId="174" fontId="139" fillId="0" borderId="0" xfId="2" applyNumberFormat="1" applyFont="1"/>
    <xf numFmtId="182" fontId="139" fillId="0" borderId="0" xfId="4" applyNumberFormat="1" applyFont="1"/>
    <xf numFmtId="6" fontId="11" fillId="0" borderId="0" xfId="2" applyNumberFormat="1" applyAlignment="1">
      <alignment horizontal="center"/>
    </xf>
    <xf numFmtId="0" fontId="79" fillId="0" borderId="0" xfId="2" quotePrefix="1" applyFont="1"/>
    <xf numFmtId="0" fontId="8" fillId="0" borderId="7" xfId="0" applyFont="1" applyBorder="1" applyAlignment="1">
      <alignment horizontal="center" vertical="center"/>
    </xf>
    <xf numFmtId="0" fontId="11" fillId="0" borderId="12" xfId="2" applyBorder="1"/>
    <xf numFmtId="0" fontId="11" fillId="0" borderId="48" xfId="2" applyBorder="1"/>
    <xf numFmtId="0" fontId="81" fillId="0" borderId="14" xfId="2" applyFont="1" applyBorder="1"/>
    <xf numFmtId="0" fontId="11" fillId="0" borderId="42" xfId="2" applyBorder="1"/>
    <xf numFmtId="0" fontId="11" fillId="0" borderId="153" xfId="2" applyBorder="1"/>
    <xf numFmtId="0" fontId="12" fillId="28" borderId="0" xfId="0" applyFont="1" applyFill="1"/>
    <xf numFmtId="0" fontId="141" fillId="0" borderId="0" xfId="0" applyFont="1" applyAlignment="1">
      <alignment horizontal="right"/>
    </xf>
    <xf numFmtId="0" fontId="8" fillId="0" borderId="15" xfId="0" applyFont="1" applyBorder="1" applyAlignment="1">
      <alignment vertical="center"/>
    </xf>
    <xf numFmtId="0" fontId="8" fillId="0" borderId="15" xfId="0" applyFont="1" applyBorder="1" applyAlignment="1">
      <alignment horizontal="right" vertical="center" wrapText="1"/>
    </xf>
    <xf numFmtId="0" fontId="8" fillId="0" borderId="7" xfId="0" applyFont="1" applyBorder="1" applyAlignment="1">
      <alignment horizontal="center"/>
    </xf>
    <xf numFmtId="0" fontId="17" fillId="38" borderId="0" xfId="0" applyFont="1" applyFill="1" applyAlignment="1">
      <alignment horizontal="center" vertical="center"/>
    </xf>
    <xf numFmtId="182" fontId="8" fillId="38" borderId="0" xfId="4" applyNumberFormat="1" applyFont="1" applyFill="1" applyBorder="1" applyAlignment="1">
      <alignment horizontal="center" vertical="center"/>
    </xf>
    <xf numFmtId="38" fontId="8" fillId="38" borderId="0" xfId="0" applyNumberFormat="1" applyFont="1" applyFill="1" applyAlignment="1">
      <alignment horizontal="center" vertical="center"/>
    </xf>
    <xf numFmtId="0" fontId="8" fillId="38" borderId="0" xfId="0" applyFont="1" applyFill="1" applyAlignment="1">
      <alignment horizontal="center" vertical="center"/>
    </xf>
    <xf numFmtId="0" fontId="17" fillId="38" borderId="0" xfId="0" applyFont="1" applyFill="1" applyAlignment="1">
      <alignment horizontal="left" vertical="center"/>
    </xf>
    <xf numFmtId="220" fontId="8" fillId="38" borderId="0" xfId="0" applyNumberFormat="1" applyFont="1" applyFill="1" applyAlignment="1">
      <alignment horizontal="left" vertical="center"/>
    </xf>
    <xf numFmtId="207" fontId="8" fillId="38" borderId="0" xfId="0" applyNumberFormat="1" applyFont="1" applyFill="1" applyAlignment="1">
      <alignment horizontal="left" vertical="center"/>
    </xf>
    <xf numFmtId="0" fontId="9" fillId="39" borderId="0" xfId="0" applyFont="1" applyFill="1" applyAlignment="1">
      <alignment horizontal="center" vertical="center"/>
    </xf>
    <xf numFmtId="182" fontId="8" fillId="39" borderId="0" xfId="4" applyNumberFormat="1" applyFont="1" applyFill="1" applyBorder="1" applyAlignment="1">
      <alignment horizontal="center" vertical="center"/>
    </xf>
    <xf numFmtId="38" fontId="8" fillId="39" borderId="0" xfId="0" applyNumberFormat="1" applyFont="1" applyFill="1" applyAlignment="1">
      <alignment horizontal="center" vertical="center"/>
    </xf>
    <xf numFmtId="0" fontId="8" fillId="39" borderId="0" xfId="0" applyFont="1" applyFill="1" applyAlignment="1">
      <alignment horizontal="center" vertical="center"/>
    </xf>
    <xf numFmtId="0" fontId="9" fillId="39" borderId="0" xfId="0" applyFont="1" applyFill="1" applyAlignment="1">
      <alignment horizontal="left" vertical="center"/>
    </xf>
    <xf numFmtId="220" fontId="8" fillId="39" borderId="0" xfId="0" applyNumberFormat="1" applyFont="1" applyFill="1" applyAlignment="1">
      <alignment horizontal="left" vertical="center"/>
    </xf>
    <xf numFmtId="207" fontId="8" fillId="39" borderId="0" xfId="0" applyNumberFormat="1" applyFont="1" applyFill="1" applyAlignment="1">
      <alignment horizontal="left" vertical="center"/>
    </xf>
    <xf numFmtId="0" fontId="16" fillId="2" borderId="182" xfId="0" applyFont="1" applyFill="1" applyBorder="1" applyAlignment="1" applyProtection="1">
      <alignment vertical="center" wrapText="1"/>
      <protection locked="0"/>
    </xf>
    <xf numFmtId="2" fontId="16" fillId="2" borderId="182" xfId="0" applyNumberFormat="1" applyFont="1" applyFill="1" applyBorder="1" applyAlignment="1" applyProtection="1">
      <alignment horizontal="center" vertical="center"/>
      <protection locked="0"/>
    </xf>
    <xf numFmtId="0" fontId="16" fillId="2" borderId="183" xfId="0" applyFont="1" applyFill="1" applyBorder="1" applyAlignment="1" applyProtection="1">
      <alignment vertical="center" wrapText="1"/>
      <protection locked="0"/>
    </xf>
    <xf numFmtId="2" fontId="16" fillId="2" borderId="183" xfId="0" applyNumberFormat="1" applyFont="1" applyFill="1" applyBorder="1" applyAlignment="1" applyProtection="1">
      <alignment horizontal="center" vertical="center"/>
      <protection locked="0"/>
    </xf>
    <xf numFmtId="49" fontId="16" fillId="2" borderId="182" xfId="0" applyNumberFormat="1" applyFont="1" applyFill="1" applyBorder="1" applyAlignment="1" applyProtection="1">
      <alignment horizontal="center" vertical="center"/>
      <protection locked="0"/>
    </xf>
    <xf numFmtId="49" fontId="16" fillId="2" borderId="183" xfId="0" applyNumberFormat="1" applyFont="1" applyFill="1" applyBorder="1" applyAlignment="1" applyProtection="1">
      <alignment horizontal="center" vertical="center"/>
      <protection locked="0"/>
    </xf>
    <xf numFmtId="38" fontId="16" fillId="2" borderId="23" xfId="0" applyNumberFormat="1" applyFont="1" applyFill="1" applyBorder="1" applyAlignment="1" applyProtection="1">
      <alignment horizontal="center" vertical="center"/>
      <protection locked="0"/>
    </xf>
    <xf numFmtId="0" fontId="8" fillId="0" borderId="32" xfId="0" applyFont="1" applyBorder="1" applyAlignment="1">
      <alignment horizontal="center" vertical="center"/>
    </xf>
    <xf numFmtId="9" fontId="11" fillId="0" borderId="0" xfId="4" quotePrefix="1" applyFont="1" applyAlignment="1">
      <alignment horizontal="center"/>
    </xf>
    <xf numFmtId="9" fontId="11" fillId="0" borderId="0" xfId="4" applyFont="1" applyBorder="1" applyAlignment="1">
      <alignment horizontal="center"/>
    </xf>
    <xf numFmtId="0" fontId="11" fillId="0" borderId="0" xfId="2" applyAlignment="1">
      <alignment horizontal="left"/>
    </xf>
    <xf numFmtId="172" fontId="11" fillId="0" borderId="0" xfId="1" quotePrefix="1" applyNumberFormat="1" applyFont="1" applyFill="1" applyBorder="1" applyAlignment="1"/>
    <xf numFmtId="172" fontId="11" fillId="0" borderId="0" xfId="1" applyNumberFormat="1" applyFont="1" applyFill="1" applyBorder="1" applyAlignment="1"/>
    <xf numFmtId="174" fontId="11" fillId="0" borderId="0" xfId="2" quotePrefix="1" applyNumberFormat="1"/>
    <xf numFmtId="0" fontId="72" fillId="0" borderId="0" xfId="2" applyFont="1"/>
    <xf numFmtId="44" fontId="11" fillId="0" borderId="0" xfId="2" applyNumberFormat="1" applyAlignment="1">
      <alignment horizontal="center"/>
    </xf>
    <xf numFmtId="44" fontId="11" fillId="0" borderId="0" xfId="2" quotePrefix="1" applyNumberFormat="1" applyAlignment="1">
      <alignment horizontal="center"/>
    </xf>
    <xf numFmtId="44" fontId="11" fillId="0" borderId="22" xfId="2" applyNumberFormat="1" applyBorder="1"/>
    <xf numFmtId="44" fontId="11" fillId="0" borderId="0" xfId="2" applyNumberFormat="1"/>
    <xf numFmtId="0" fontId="138" fillId="0" borderId="0" xfId="2" applyFont="1"/>
    <xf numFmtId="172" fontId="11" fillId="0" borderId="0" xfId="2" quotePrefix="1" applyNumberFormat="1"/>
    <xf numFmtId="0" fontId="140" fillId="0" borderId="0" xfId="2" applyFont="1"/>
    <xf numFmtId="40" fontId="38" fillId="0" borderId="153" xfId="2" applyNumberFormat="1" applyFont="1" applyBorder="1"/>
    <xf numFmtId="0" fontId="143" fillId="0" borderId="0" xfId="2" applyFont="1"/>
    <xf numFmtId="0" fontId="142" fillId="0" borderId="0" xfId="2" applyFont="1" applyAlignment="1">
      <alignment horizontal="center"/>
    </xf>
    <xf numFmtId="0" fontId="127" fillId="37" borderId="0" xfId="0" applyFont="1" applyFill="1"/>
    <xf numFmtId="164" fontId="16" fillId="6" borderId="15" xfId="4" applyNumberFormat="1" applyFont="1" applyFill="1" applyBorder="1" applyAlignment="1">
      <alignment horizontal="center" vertical="center"/>
    </xf>
    <xf numFmtId="0" fontId="127" fillId="37" borderId="0" xfId="0" applyFont="1" applyFill="1" applyAlignment="1">
      <alignment horizontal="center"/>
    </xf>
    <xf numFmtId="0" fontId="110" fillId="37" borderId="0" xfId="0" applyFont="1" applyFill="1"/>
    <xf numFmtId="167" fontId="33" fillId="41" borderId="0" xfId="2" applyNumberFormat="1" applyFont="1" applyFill="1" applyAlignment="1">
      <alignment horizontal="center"/>
    </xf>
    <xf numFmtId="0" fontId="11" fillId="0" borderId="0" xfId="2" applyAlignment="1">
      <alignment horizontal="left" vertical="top" wrapText="1"/>
    </xf>
    <xf numFmtId="0" fontId="85" fillId="0" borderId="0" xfId="2" applyFont="1" applyAlignment="1">
      <alignment horizontal="right"/>
    </xf>
    <xf numFmtId="172" fontId="16" fillId="6" borderId="53" xfId="1" applyNumberFormat="1" applyFont="1" applyFill="1" applyBorder="1" applyAlignment="1">
      <alignment horizontal="center" vertical="center"/>
    </xf>
    <xf numFmtId="40" fontId="42" fillId="11" borderId="153" xfId="2" applyNumberFormat="1" applyFont="1" applyFill="1" applyBorder="1" applyProtection="1">
      <protection locked="0"/>
    </xf>
    <xf numFmtId="0" fontId="75" fillId="0" borderId="16" xfId="2" applyFont="1" applyBorder="1" applyAlignment="1">
      <alignment vertical="center" wrapText="1"/>
    </xf>
    <xf numFmtId="40" fontId="38" fillId="11" borderId="153" xfId="2" applyNumberFormat="1" applyFont="1" applyFill="1" applyBorder="1" applyProtection="1">
      <protection locked="0"/>
    </xf>
    <xf numFmtId="40" fontId="43" fillId="11" borderId="153" xfId="2" applyNumberFormat="1" applyFont="1" applyFill="1" applyBorder="1"/>
    <xf numFmtId="167" fontId="14" fillId="0" borderId="0" xfId="0" applyNumberFormat="1" applyFont="1" applyAlignment="1">
      <alignment vertical="top"/>
    </xf>
    <xf numFmtId="0" fontId="16" fillId="40" borderId="23" xfId="0" applyFont="1" applyFill="1" applyBorder="1" applyAlignment="1">
      <alignment horizontal="center" vertical="center"/>
    </xf>
    <xf numFmtId="199" fontId="16" fillId="2" borderId="23" xfId="0" applyNumberFormat="1" applyFont="1" applyFill="1" applyBorder="1" applyAlignment="1" applyProtection="1">
      <alignment vertical="center"/>
      <protection locked="0"/>
    </xf>
    <xf numFmtId="0" fontId="12" fillId="13" borderId="0" xfId="6" applyFont="1" applyFill="1" applyAlignment="1">
      <alignment horizontal="left" vertical="center" wrapText="1"/>
    </xf>
    <xf numFmtId="0" fontId="12" fillId="13" borderId="0" xfId="6" applyFont="1" applyFill="1" applyAlignment="1">
      <alignment horizontal="center" vertical="center" wrapText="1"/>
    </xf>
    <xf numFmtId="0" fontId="78" fillId="0" borderId="0" xfId="2" applyFont="1" applyAlignment="1">
      <alignment horizontal="right"/>
    </xf>
    <xf numFmtId="0" fontId="78" fillId="0" borderId="0" xfId="2" applyFont="1" applyAlignment="1">
      <alignment horizontal="center"/>
    </xf>
    <xf numFmtId="0" fontId="69" fillId="0" borderId="0" xfId="2" applyFont="1" applyAlignment="1">
      <alignment horizontal="right"/>
    </xf>
    <xf numFmtId="0" fontId="11" fillId="0" borderId="33" xfId="2" applyBorder="1"/>
    <xf numFmtId="0" fontId="79" fillId="0" borderId="33" xfId="2" quotePrefix="1" applyFont="1" applyBorder="1"/>
    <xf numFmtId="44" fontId="11" fillId="0" borderId="33" xfId="2" applyNumberFormat="1" applyBorder="1" applyAlignment="1">
      <alignment horizontal="center"/>
    </xf>
    <xf numFmtId="38" fontId="8" fillId="0" borderId="7" xfId="0" applyNumberFormat="1" applyFont="1" applyBorder="1" applyAlignment="1">
      <alignment horizontal="center" vertical="center"/>
    </xf>
    <xf numFmtId="164" fontId="8"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7" borderId="7" xfId="0" applyFill="1" applyBorder="1" applyAlignment="1">
      <alignment horizontal="left" vertical="center" wrapText="1"/>
    </xf>
    <xf numFmtId="0" fontId="12" fillId="28" borderId="0" xfId="0" applyFont="1" applyFill="1" applyAlignment="1">
      <alignment horizontal="left" vertical="center"/>
    </xf>
    <xf numFmtId="0" fontId="12" fillId="27" borderId="11" xfId="7" applyFont="1" applyFill="1" applyBorder="1" applyAlignment="1">
      <alignment horizontal="left" vertical="center" wrapText="1"/>
    </xf>
    <xf numFmtId="0" fontId="0" fillId="28"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5" fillId="28" borderId="0" xfId="7" applyFont="1" applyFill="1" applyAlignment="1">
      <alignment horizontal="left" vertical="center" wrapText="1"/>
    </xf>
    <xf numFmtId="0" fontId="0" fillId="27" borderId="42" xfId="0" applyFill="1" applyBorder="1" applyAlignment="1">
      <alignment horizontal="left" vertical="center" wrapText="1"/>
    </xf>
    <xf numFmtId="0" fontId="0" fillId="27" borderId="6" xfId="0" applyFill="1" applyBorder="1" applyAlignment="1">
      <alignment horizontal="left" vertical="center" wrapText="1"/>
    </xf>
    <xf numFmtId="6" fontId="0" fillId="0" borderId="153" xfId="0" quotePrefix="1" applyNumberFormat="1" applyBorder="1"/>
    <xf numFmtId="0" fontId="0" fillId="0" borderId="11" xfId="0" applyBorder="1" applyAlignment="1">
      <alignment horizontal="center" vertical="center"/>
    </xf>
    <xf numFmtId="0" fontId="8" fillId="7" borderId="10" xfId="0" applyFont="1" applyFill="1" applyBorder="1" applyAlignment="1">
      <alignment vertical="center"/>
    </xf>
    <xf numFmtId="0" fontId="8" fillId="7" borderId="13" xfId="0" applyFont="1" applyFill="1" applyBorder="1" applyAlignment="1">
      <alignment vertical="center"/>
    </xf>
    <xf numFmtId="0" fontId="8" fillId="7" borderId="11" xfId="0" applyFont="1" applyFill="1" applyBorder="1" applyAlignment="1">
      <alignment vertical="center"/>
    </xf>
    <xf numFmtId="0" fontId="16" fillId="6" borderId="11" xfId="0" applyFont="1" applyFill="1" applyBorder="1" applyAlignment="1">
      <alignment horizontal="center" vertical="center"/>
    </xf>
    <xf numFmtId="9" fontId="16" fillId="6" borderId="49" xfId="4" applyFont="1" applyFill="1" applyBorder="1" applyAlignment="1">
      <alignment horizontal="center" vertical="center"/>
    </xf>
    <xf numFmtId="38" fontId="16" fillId="6" borderId="76" xfId="4" applyNumberFormat="1" applyFont="1" applyFill="1" applyBorder="1" applyAlignment="1">
      <alignment horizontal="center" vertical="center"/>
    </xf>
    <xf numFmtId="38" fontId="16" fillId="6" borderId="70" xfId="4" applyNumberFormat="1" applyFont="1" applyFill="1" applyBorder="1" applyAlignment="1">
      <alignment horizontal="center" vertical="center"/>
    </xf>
    <xf numFmtId="38" fontId="16" fillId="6" borderId="69" xfId="4" applyNumberFormat="1" applyFont="1" applyFill="1" applyBorder="1" applyAlignment="1">
      <alignment horizontal="center" vertical="center"/>
    </xf>
    <xf numFmtId="0" fontId="16" fillId="0" borderId="52" xfId="0" applyFont="1" applyBorder="1" applyAlignment="1">
      <alignment horizontal="center" vertical="center"/>
    </xf>
    <xf numFmtId="0" fontId="0" fillId="0" borderId="179" xfId="0" quotePrefix="1" applyBorder="1" applyAlignment="1">
      <alignment horizontal="center" vertical="center"/>
    </xf>
    <xf numFmtId="0" fontId="0" fillId="0" borderId="2" xfId="0" quotePrefix="1" applyBorder="1" applyAlignment="1">
      <alignment horizontal="center" vertical="center"/>
    </xf>
    <xf numFmtId="0" fontId="7" fillId="0" borderId="0" xfId="0" applyFont="1" applyAlignment="1">
      <alignment horizontal="left" vertical="center"/>
    </xf>
    <xf numFmtId="0" fontId="146" fillId="0" borderId="0" xfId="0" applyFont="1" applyAlignment="1">
      <alignment horizontal="center" vertical="center" wrapText="1"/>
    </xf>
    <xf numFmtId="0" fontId="34" fillId="0" borderId="16" xfId="0" applyFont="1" applyBorder="1" applyAlignment="1">
      <alignment horizontal="center" vertical="center"/>
    </xf>
    <xf numFmtId="40" fontId="16" fillId="6" borderId="153" xfId="0" applyNumberFormat="1" applyFont="1" applyFill="1" applyBorder="1" applyAlignment="1">
      <alignment horizontal="center" vertical="center"/>
    </xf>
    <xf numFmtId="38" fontId="16" fillId="15" borderId="7" xfId="0" applyNumberFormat="1" applyFont="1" applyFill="1" applyBorder="1" applyAlignment="1">
      <alignment horizontal="center" vertical="center"/>
    </xf>
    <xf numFmtId="0" fontId="16" fillId="15" borderId="7" xfId="0" applyFont="1" applyFill="1" applyBorder="1" applyAlignment="1">
      <alignment horizontal="center" vertical="center"/>
    </xf>
    <xf numFmtId="0" fontId="8" fillId="0" borderId="186" xfId="0" applyFont="1" applyBorder="1" applyAlignment="1">
      <alignment vertical="center"/>
    </xf>
    <xf numFmtId="0" fontId="8" fillId="15" borderId="186" xfId="0" applyFont="1" applyFill="1" applyBorder="1" applyAlignment="1">
      <alignment vertical="center"/>
    </xf>
    <xf numFmtId="9" fontId="8" fillId="0" borderId="16" xfId="4" applyFont="1" applyFill="1" applyBorder="1" applyAlignment="1">
      <alignment horizontal="center" vertical="center"/>
    </xf>
    <xf numFmtId="0" fontId="148" fillId="0" borderId="0" xfId="0" applyFont="1" applyAlignment="1">
      <alignment horizontal="left"/>
    </xf>
    <xf numFmtId="8" fontId="0" fillId="0" borderId="16" xfId="0" applyNumberFormat="1" applyBorder="1" applyAlignment="1">
      <alignment vertical="center"/>
    </xf>
    <xf numFmtId="0" fontId="138" fillId="0" borderId="0" xfId="0" applyFont="1" applyAlignment="1">
      <alignment vertical="center"/>
    </xf>
    <xf numFmtId="0" fontId="16"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6" fillId="6" borderId="0" xfId="0" applyNumberFormat="1" applyFont="1" applyFill="1" applyAlignment="1">
      <alignment horizontal="center" vertical="center"/>
    </xf>
    <xf numFmtId="0" fontId="8" fillId="0" borderId="187" xfId="0" applyFont="1" applyBorder="1" applyAlignment="1">
      <alignment horizontal="center" vertical="center" wrapText="1"/>
    </xf>
    <xf numFmtId="0" fontId="6" fillId="0" borderId="190" xfId="0" applyFont="1" applyBorder="1" applyAlignment="1">
      <alignment vertical="center"/>
    </xf>
    <xf numFmtId="0" fontId="0" fillId="0" borderId="190" xfId="0" applyBorder="1"/>
    <xf numFmtId="0" fontId="0" fillId="2" borderId="15" xfId="0" applyFill="1" applyBorder="1" applyAlignment="1">
      <alignment vertical="center"/>
    </xf>
    <xf numFmtId="0" fontId="0" fillId="25" borderId="15" xfId="0" applyFill="1" applyBorder="1" applyAlignment="1">
      <alignment vertical="center"/>
    </xf>
    <xf numFmtId="0" fontId="6" fillId="0" borderId="15" xfId="0" applyFont="1" applyBorder="1" applyAlignment="1">
      <alignment vertical="center"/>
    </xf>
    <xf numFmtId="199" fontId="16" fillId="6" borderId="191" xfId="4" applyNumberFormat="1" applyFont="1" applyFill="1" applyBorder="1" applyAlignment="1">
      <alignment horizontal="center" vertical="center"/>
    </xf>
    <xf numFmtId="199" fontId="8" fillId="0" borderId="191" xfId="4" applyNumberFormat="1" applyFont="1" applyFill="1" applyBorder="1" applyAlignment="1">
      <alignment vertical="center"/>
    </xf>
    <xf numFmtId="0" fontId="0" fillId="0" borderId="190" xfId="0" applyBorder="1" applyAlignment="1">
      <alignment vertical="center"/>
    </xf>
    <xf numFmtId="0" fontId="0" fillId="2" borderId="190" xfId="0" applyFill="1" applyBorder="1" applyAlignment="1">
      <alignment vertical="center"/>
    </xf>
    <xf numFmtId="0" fontId="0" fillId="2" borderId="190" xfId="0" applyFill="1" applyBorder="1"/>
    <xf numFmtId="0" fontId="0" fillId="25" borderId="190" xfId="0" applyFill="1" applyBorder="1" applyAlignment="1">
      <alignment vertical="center"/>
    </xf>
    <xf numFmtId="0" fontId="0" fillId="25" borderId="190" xfId="0" applyFill="1" applyBorder="1"/>
    <xf numFmtId="0" fontId="0" fillId="0" borderId="191" xfId="0" applyBorder="1"/>
    <xf numFmtId="0" fontId="6" fillId="15" borderId="15" xfId="0" applyFont="1" applyFill="1" applyBorder="1" applyAlignment="1">
      <alignment vertical="center"/>
    </xf>
    <xf numFmtId="0" fontId="6" fillId="0" borderId="193" xfId="0" applyFont="1" applyBorder="1" applyAlignment="1">
      <alignment vertical="center"/>
    </xf>
    <xf numFmtId="0" fontId="6" fillId="0" borderId="191" xfId="0" applyFont="1" applyBorder="1" applyAlignment="1">
      <alignment vertical="center"/>
    </xf>
    <xf numFmtId="0" fontId="0" fillId="0" borderId="191" xfId="0" applyBorder="1" applyAlignment="1">
      <alignment vertical="center"/>
    </xf>
    <xf numFmtId="38" fontId="16" fillId="2" borderId="10" xfId="0" applyNumberFormat="1" applyFont="1" applyFill="1" applyBorder="1" applyAlignment="1" applyProtection="1">
      <alignment horizontal="center" vertical="center"/>
      <protection locked="0"/>
    </xf>
    <xf numFmtId="38" fontId="6" fillId="0" borderId="51" xfId="0" applyNumberFormat="1" applyFont="1" applyBorder="1" applyAlignment="1">
      <alignment horizontal="center" vertical="center"/>
    </xf>
    <xf numFmtId="40" fontId="43" fillId="0" borderId="153" xfId="2" quotePrefix="1" applyNumberFormat="1" applyFont="1" applyBorder="1"/>
    <xf numFmtId="0" fontId="0" fillId="0" borderId="14" xfId="0" applyBorder="1" applyAlignment="1">
      <alignment horizontal="left" vertical="center" wrapText="1"/>
    </xf>
    <xf numFmtId="0" fontId="0" fillId="0" borderId="193" xfId="0" applyBorder="1" applyAlignment="1">
      <alignment vertical="center"/>
    </xf>
    <xf numFmtId="0" fontId="8" fillId="0" borderId="33" xfId="0" applyFont="1" applyBorder="1" applyAlignment="1">
      <alignment vertical="center"/>
    </xf>
    <xf numFmtId="38" fontId="147" fillId="42" borderId="108" xfId="0" applyNumberFormat="1" applyFont="1" applyFill="1" applyBorder="1" applyAlignment="1">
      <alignment horizontal="center" vertical="center"/>
    </xf>
    <xf numFmtId="0" fontId="0" fillId="43" borderId="188" xfId="0" applyFill="1" applyBorder="1"/>
    <xf numFmtId="0" fontId="8" fillId="43" borderId="2" xfId="0" applyFont="1" applyFill="1" applyBorder="1" applyAlignment="1">
      <alignment horizontal="left" vertical="top"/>
    </xf>
    <xf numFmtId="38" fontId="8" fillId="43" borderId="2" xfId="0" applyNumberFormat="1" applyFont="1" applyFill="1" applyBorder="1" applyAlignment="1">
      <alignment horizontal="center" vertical="center"/>
    </xf>
    <xf numFmtId="0" fontId="0" fillId="43" borderId="2" xfId="0" applyFill="1" applyBorder="1" applyAlignment="1">
      <alignment horizontal="left" vertical="center"/>
    </xf>
    <xf numFmtId="0" fontId="0" fillId="43" borderId="188" xfId="0" applyFill="1" applyBorder="1" applyAlignment="1">
      <alignment horizontal="center"/>
    </xf>
    <xf numFmtId="0" fontId="0" fillId="43" borderId="194" xfId="0" applyFill="1" applyBorder="1" applyAlignment="1">
      <alignment horizontal="center"/>
    </xf>
    <xf numFmtId="0" fontId="6" fillId="15" borderId="193" xfId="0" applyFont="1" applyFill="1" applyBorder="1" applyAlignment="1">
      <alignment vertical="center"/>
    </xf>
    <xf numFmtId="0" fontId="8" fillId="0" borderId="193" xfId="0" applyFont="1" applyBorder="1" applyAlignment="1">
      <alignment vertical="center"/>
    </xf>
    <xf numFmtId="9" fontId="0" fillId="0" borderId="196" xfId="4" applyFont="1" applyFill="1" applyBorder="1" applyAlignment="1" applyProtection="1">
      <alignment horizontal="center" vertical="center" wrapText="1"/>
    </xf>
    <xf numFmtId="9" fontId="0" fillId="0" borderId="197" xfId="4" applyFont="1" applyFill="1" applyBorder="1" applyAlignment="1" applyProtection="1">
      <alignment horizontal="center" vertical="center" wrapText="1"/>
    </xf>
    <xf numFmtId="1" fontId="8" fillId="0" borderId="37" xfId="0" applyNumberFormat="1" applyFont="1" applyBorder="1" applyAlignment="1">
      <alignment horizontal="center" vertical="center"/>
    </xf>
    <xf numFmtId="9" fontId="0" fillId="0" borderId="200" xfId="4" applyFont="1" applyBorder="1" applyAlignment="1" applyProtection="1">
      <alignment horizontal="center" vertical="center"/>
    </xf>
    <xf numFmtId="9" fontId="0" fillId="0" borderId="195"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0" fontId="10" fillId="0" borderId="0" xfId="0" applyFont="1" applyAlignment="1">
      <alignment horizontal="center" vertical="center"/>
    </xf>
    <xf numFmtId="0" fontId="16" fillId="2" borderId="188" xfId="0" applyFont="1" applyFill="1" applyBorder="1" applyAlignment="1" applyProtection="1">
      <alignment horizontal="left" vertical="center"/>
      <protection locked="0"/>
    </xf>
    <xf numFmtId="6" fontId="0" fillId="0" borderId="188" xfId="0" applyNumberFormat="1" applyBorder="1" applyAlignment="1">
      <alignment vertical="center"/>
    </xf>
    <xf numFmtId="0" fontId="19" fillId="0" borderId="40" xfId="0" applyFont="1" applyBorder="1" applyAlignment="1">
      <alignment horizontal="center" vertical="center"/>
    </xf>
    <xf numFmtId="38" fontId="16" fillId="2" borderId="0" xfId="0" applyNumberFormat="1" applyFont="1" applyFill="1" applyAlignment="1" applyProtection="1">
      <alignment horizontal="center" vertical="center"/>
      <protection locked="0"/>
    </xf>
    <xf numFmtId="0" fontId="16" fillId="0" borderId="0" xfId="0" applyFont="1" applyAlignment="1">
      <alignment horizontal="center" vertical="center" wrapText="1"/>
    </xf>
    <xf numFmtId="0" fontId="103" fillId="10" borderId="0" xfId="0" applyFont="1" applyFill="1"/>
    <xf numFmtId="6" fontId="8" fillId="0" borderId="188" xfId="1" applyNumberFormat="1" applyFont="1" applyFill="1" applyBorder="1" applyAlignment="1">
      <alignment horizontal="right" vertical="center"/>
    </xf>
    <xf numFmtId="6" fontId="0" fillId="0" borderId="188" xfId="0" applyNumberFormat="1" applyBorder="1"/>
    <xf numFmtId="167" fontId="6" fillId="0" borderId="0" xfId="0" quotePrefix="1" applyNumberFormat="1" applyFont="1" applyAlignment="1">
      <alignment horizontal="left" vertical="top"/>
    </xf>
    <xf numFmtId="0" fontId="8" fillId="0" borderId="16" xfId="0" applyFont="1" applyBorder="1" applyAlignment="1">
      <alignment vertical="center"/>
    </xf>
    <xf numFmtId="0" fontId="0" fillId="0" borderId="162" xfId="0" applyBorder="1"/>
    <xf numFmtId="0" fontId="6" fillId="0" borderId="162" xfId="0" applyFont="1" applyBorder="1" applyAlignment="1">
      <alignment horizontal="center"/>
    </xf>
    <xf numFmtId="0" fontId="9" fillId="0" borderId="162" xfId="0" applyFont="1" applyBorder="1" applyAlignment="1">
      <alignment horizontal="center"/>
    </xf>
    <xf numFmtId="0" fontId="0" fillId="7" borderId="201" xfId="0" applyFill="1" applyBorder="1" applyAlignment="1">
      <alignment horizontal="center" vertical="center"/>
    </xf>
    <xf numFmtId="0" fontId="0" fillId="7" borderId="162" xfId="0" applyFill="1" applyBorder="1" applyAlignment="1">
      <alignment horizontal="center" vertical="center"/>
    </xf>
    <xf numFmtId="0" fontId="0" fillId="7" borderId="202" xfId="0" applyFill="1" applyBorder="1" applyAlignment="1">
      <alignment horizontal="center" vertical="center"/>
    </xf>
    <xf numFmtId="0" fontId="9" fillId="0" borderId="162" xfId="0" applyFont="1" applyBorder="1" applyAlignment="1">
      <alignment horizontal="center" vertical="center"/>
    </xf>
    <xf numFmtId="0" fontId="135" fillId="7" borderId="162" xfId="0" applyFont="1" applyFill="1" applyBorder="1" applyAlignment="1">
      <alignment horizontal="center" vertical="center"/>
    </xf>
    <xf numFmtId="9" fontId="8" fillId="34" borderId="162" xfId="4" applyFont="1" applyFill="1" applyBorder="1" applyAlignment="1" applyProtection="1">
      <alignment horizontal="center" vertical="center"/>
    </xf>
    <xf numFmtId="9" fontId="8" fillId="34" borderId="202" xfId="4" applyFont="1" applyFill="1" applyBorder="1" applyAlignment="1" applyProtection="1">
      <alignment horizontal="center" vertical="center"/>
    </xf>
    <xf numFmtId="8" fontId="64" fillId="0" borderId="15" xfId="0" applyNumberFormat="1" applyFont="1" applyBorder="1" applyAlignment="1">
      <alignment horizontal="left" vertical="center"/>
    </xf>
    <xf numFmtId="0" fontId="10" fillId="0" borderId="15" xfId="0" applyFont="1" applyBorder="1" applyAlignment="1">
      <alignment horizontal="left" vertical="center"/>
    </xf>
    <xf numFmtId="0" fontId="7" fillId="0" borderId="0" xfId="0" applyFont="1" applyAlignment="1">
      <alignment horizontal="center" vertical="center"/>
    </xf>
    <xf numFmtId="171" fontId="16" fillId="2" borderId="188" xfId="0" applyNumberFormat="1" applyFont="1" applyFill="1" applyBorder="1" applyAlignment="1" applyProtection="1">
      <alignment horizontal="right" vertical="center"/>
      <protection locked="0"/>
    </xf>
    <xf numFmtId="0" fontId="6" fillId="0" borderId="188" xfId="0" applyFont="1" applyBorder="1"/>
    <xf numFmtId="0" fontId="17" fillId="15" borderId="0" xfId="0" applyFont="1" applyFill="1" applyAlignment="1">
      <alignment horizontal="center" wrapText="1"/>
    </xf>
    <xf numFmtId="6" fontId="0" fillId="15" borderId="0" xfId="0" applyNumberFormat="1" applyFill="1" applyAlignment="1">
      <alignment horizontal="center" vertical="center"/>
    </xf>
    <xf numFmtId="6" fontId="8" fillId="0" borderId="0" xfId="0" applyNumberFormat="1" applyFont="1" applyAlignment="1">
      <alignment horizontal="right" vertical="center"/>
    </xf>
    <xf numFmtId="6" fontId="8" fillId="0" borderId="153" xfId="0" applyNumberFormat="1" applyFont="1" applyBorder="1" applyAlignment="1">
      <alignment horizontal="right"/>
    </xf>
    <xf numFmtId="213" fontId="8" fillId="0" borderId="0" xfId="0" applyNumberFormat="1" applyFont="1" applyAlignment="1">
      <alignment vertical="center" textRotation="90"/>
    </xf>
    <xf numFmtId="38" fontId="10" fillId="0" borderId="0" xfId="0" applyNumberFormat="1" applyFont="1" applyAlignment="1">
      <alignment horizontal="center" vertical="center"/>
    </xf>
    <xf numFmtId="38" fontId="6" fillId="0" borderId="0" xfId="0" applyNumberFormat="1" applyFont="1" applyAlignment="1">
      <alignment horizontal="center" vertical="center"/>
    </xf>
    <xf numFmtId="203" fontId="0" fillId="0" borderId="0" xfId="0" applyNumberFormat="1" applyAlignment="1">
      <alignment horizontal="center" vertical="center"/>
    </xf>
    <xf numFmtId="0" fontId="8" fillId="45" borderId="7" xfId="0" applyFont="1" applyFill="1" applyBorder="1" applyAlignment="1">
      <alignment horizontal="center" vertical="center" wrapText="1"/>
    </xf>
    <xf numFmtId="0" fontId="0" fillId="47" borderId="7" xfId="0" applyFill="1" applyBorder="1" applyAlignment="1">
      <alignment horizontal="center" vertical="center" wrapText="1"/>
    </xf>
    <xf numFmtId="0" fontId="6" fillId="9" borderId="8" xfId="0" applyFont="1" applyFill="1" applyBorder="1" applyAlignment="1">
      <alignment horizontal="center" wrapText="1"/>
    </xf>
    <xf numFmtId="9" fontId="0" fillId="0" borderId="200" xfId="4" applyFont="1" applyFill="1" applyBorder="1" applyAlignment="1" applyProtection="1">
      <alignment horizontal="center" vertical="center" wrapText="1"/>
    </xf>
    <xf numFmtId="9" fontId="0" fillId="0" borderId="204" xfId="4" applyFont="1" applyFill="1" applyBorder="1" applyAlignment="1" applyProtection="1">
      <alignment horizontal="center" vertical="center" wrapText="1"/>
    </xf>
    <xf numFmtId="9" fontId="0" fillId="0" borderId="65" xfId="4" applyFont="1" applyFill="1" applyBorder="1" applyAlignment="1" applyProtection="1">
      <alignment horizontal="center" vertical="center" wrapText="1"/>
    </xf>
    <xf numFmtId="9" fontId="0" fillId="0" borderId="205" xfId="4" applyFont="1" applyFill="1" applyBorder="1" applyAlignment="1" applyProtection="1">
      <alignment horizontal="center" vertical="center" wrapText="1"/>
    </xf>
    <xf numFmtId="9" fontId="0" fillId="0" borderId="95" xfId="4" applyFont="1" applyFill="1" applyBorder="1" applyAlignment="1" applyProtection="1">
      <alignment horizontal="center" vertical="center" wrapText="1"/>
    </xf>
    <xf numFmtId="9" fontId="0" fillId="0" borderId="206" xfId="4" applyFont="1" applyFill="1" applyBorder="1" applyAlignment="1" applyProtection="1">
      <alignment horizontal="center" vertical="center" wrapText="1"/>
    </xf>
    <xf numFmtId="1" fontId="16" fillId="2" borderId="207" xfId="0" applyNumberFormat="1" applyFont="1" applyFill="1" applyBorder="1" applyAlignment="1" applyProtection="1">
      <alignment horizontal="center" vertical="center"/>
      <protection locked="0"/>
    </xf>
    <xf numFmtId="1" fontId="16" fillId="2" borderId="208" xfId="0" applyNumberFormat="1" applyFont="1" applyFill="1" applyBorder="1" applyAlignment="1" applyProtection="1">
      <alignment horizontal="center" vertical="center"/>
      <protection locked="0"/>
    </xf>
    <xf numFmtId="210" fontId="0" fillId="0" borderId="69" xfId="4" applyNumberFormat="1" applyFont="1" applyFill="1" applyBorder="1" applyAlignment="1">
      <alignment horizontal="center" vertical="center"/>
    </xf>
    <xf numFmtId="185" fontId="0" fillId="0" borderId="15" xfId="4" applyNumberFormat="1" applyFont="1" applyFill="1" applyBorder="1" applyAlignment="1">
      <alignment horizontal="center" vertical="center"/>
    </xf>
    <xf numFmtId="6" fontId="0" fillId="0" borderId="50"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229" fontId="0" fillId="0" borderId="0" xfId="0"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28" fontId="0" fillId="0" borderId="21" xfId="4" applyNumberFormat="1" applyFont="1" applyFill="1" applyBorder="1" applyAlignment="1" applyProtection="1">
      <alignment horizontal="center" vertical="center"/>
    </xf>
    <xf numFmtId="230" fontId="28" fillId="0" borderId="0" xfId="0" applyNumberFormat="1" applyFont="1" applyAlignment="1">
      <alignment horizontal="center" vertical="center"/>
    </xf>
    <xf numFmtId="0" fontId="8" fillId="0" borderId="0" xfId="0" applyFont="1" applyAlignment="1">
      <alignment horizontal="right" vertical="center" wrapText="1"/>
    </xf>
    <xf numFmtId="185" fontId="0" fillId="0" borderId="69" xfId="4" applyNumberFormat="1" applyFont="1" applyFill="1" applyBorder="1" applyAlignment="1">
      <alignment horizontal="center" vertical="center"/>
    </xf>
    <xf numFmtId="0" fontId="8" fillId="0" borderId="70" xfId="0" applyFont="1" applyBorder="1" applyAlignment="1">
      <alignment vertical="center"/>
    </xf>
    <xf numFmtId="0" fontId="157" fillId="7" borderId="0" xfId="0" applyFont="1" applyFill="1"/>
    <xf numFmtId="9" fontId="16" fillId="6" borderId="69" xfId="4" applyFont="1" applyFill="1" applyBorder="1" applyAlignment="1">
      <alignment horizontal="center" vertical="center"/>
    </xf>
    <xf numFmtId="0" fontId="0" fillId="8" borderId="2" xfId="0" applyFill="1" applyBorder="1"/>
    <xf numFmtId="0" fontId="0" fillId="49" borderId="0" xfId="0" applyFill="1" applyAlignment="1">
      <alignment horizontal="center" vertical="center" wrapText="1"/>
    </xf>
    <xf numFmtId="0" fontId="0" fillId="44" borderId="7" xfId="0" applyFill="1" applyBorder="1" applyAlignment="1">
      <alignment horizontal="center" vertical="center"/>
    </xf>
    <xf numFmtId="0" fontId="0" fillId="49" borderId="0" xfId="0" applyFill="1"/>
    <xf numFmtId="0" fontId="0" fillId="48"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8" fillId="0" borderId="0" xfId="0" applyFont="1" applyAlignment="1">
      <alignment vertical="center"/>
    </xf>
    <xf numFmtId="0" fontId="99" fillId="29" borderId="0" xfId="0" applyFont="1" applyFill="1" applyAlignment="1">
      <alignment vertical="center"/>
    </xf>
    <xf numFmtId="0" fontId="99" fillId="29" borderId="0" xfId="0" applyFont="1" applyFill="1" applyAlignment="1">
      <alignment horizontal="right"/>
    </xf>
    <xf numFmtId="0" fontId="153" fillId="0" borderId="14" xfId="0" applyFont="1" applyBorder="1" applyAlignment="1">
      <alignment horizontal="right"/>
    </xf>
    <xf numFmtId="0" fontId="153" fillId="0" borderId="0" xfId="0" applyFont="1" applyAlignment="1">
      <alignment horizontal="right"/>
    </xf>
    <xf numFmtId="0" fontId="153" fillId="0" borderId="40" xfId="0" applyFont="1" applyBorder="1" applyAlignment="1">
      <alignment horizontal="right"/>
    </xf>
    <xf numFmtId="0" fontId="0" fillId="0" borderId="14" xfId="0" applyBorder="1"/>
    <xf numFmtId="0" fontId="0" fillId="0" borderId="40" xfId="0" applyBorder="1"/>
    <xf numFmtId="0" fontId="0" fillId="0" borderId="188" xfId="0" applyBorder="1"/>
    <xf numFmtId="0" fontId="0" fillId="0" borderId="176" xfId="0" applyBorder="1"/>
    <xf numFmtId="0" fontId="0" fillId="0" borderId="167" xfId="0" applyBorder="1" applyAlignment="1">
      <alignment horizontal="center" vertical="center"/>
    </xf>
    <xf numFmtId="0" fontId="0" fillId="0" borderId="66" xfId="0" applyBorder="1" applyAlignment="1">
      <alignment horizontal="center" vertical="center"/>
    </xf>
    <xf numFmtId="0" fontId="0" fillId="0" borderId="68" xfId="0" applyBorder="1" applyAlignment="1">
      <alignment horizontal="left" vertical="center"/>
    </xf>
    <xf numFmtId="0" fontId="0" fillId="0" borderId="66" xfId="0" applyBorder="1" applyAlignment="1">
      <alignment horizontal="left" vertical="center"/>
    </xf>
    <xf numFmtId="38" fontId="0" fillId="0" borderId="72" xfId="0" applyNumberFormat="1" applyBorder="1" applyAlignment="1">
      <alignment horizontal="center" vertical="center"/>
    </xf>
    <xf numFmtId="10" fontId="0" fillId="0" borderId="176" xfId="4" applyNumberFormat="1" applyFont="1" applyBorder="1" applyAlignment="1">
      <alignment horizontal="center" vertical="center"/>
    </xf>
    <xf numFmtId="0" fontId="0" fillId="0" borderId="167" xfId="0" applyBorder="1" applyAlignment="1">
      <alignment horizontal="left" vertical="center"/>
    </xf>
    <xf numFmtId="0" fontId="0" fillId="0" borderId="70" xfId="0" quotePrefix="1" applyBorder="1" applyAlignment="1">
      <alignment vertical="center"/>
    </xf>
    <xf numFmtId="0" fontId="88" fillId="0" borderId="76" xfId="0" applyFont="1" applyBorder="1" applyAlignment="1">
      <alignment horizontal="left" vertical="center"/>
    </xf>
    <xf numFmtId="185" fontId="0" fillId="0" borderId="14" xfId="4" applyNumberFormat="1" applyFont="1" applyBorder="1" applyAlignment="1">
      <alignment horizontal="center" vertical="center"/>
    </xf>
    <xf numFmtId="185" fontId="0" fillId="0" borderId="211" xfId="4" applyNumberFormat="1" applyFont="1" applyFill="1" applyBorder="1" applyAlignment="1">
      <alignment horizontal="center" vertical="center"/>
    </xf>
    <xf numFmtId="0" fontId="0" fillId="0" borderId="212" xfId="0" applyBorder="1" applyAlignment="1">
      <alignment horizontal="center" vertical="center"/>
    </xf>
    <xf numFmtId="0" fontId="0" fillId="0" borderId="189" xfId="0" applyBorder="1" applyAlignment="1">
      <alignment horizontal="center" vertical="center"/>
    </xf>
    <xf numFmtId="0" fontId="6" fillId="0" borderId="5" xfId="0" applyFont="1" applyBorder="1" applyAlignment="1">
      <alignment horizontal="center"/>
    </xf>
    <xf numFmtId="0" fontId="6" fillId="0" borderId="1" xfId="0" applyFont="1" applyBorder="1" applyAlignment="1">
      <alignment horizontal="center"/>
    </xf>
    <xf numFmtId="0" fontId="8" fillId="0" borderId="1" xfId="0" applyFont="1" applyBorder="1" applyAlignment="1">
      <alignment horizontal="center"/>
    </xf>
    <xf numFmtId="0" fontId="0" fillId="0" borderId="6" xfId="0" applyBorder="1" applyAlignment="1">
      <alignment horizontal="center"/>
    </xf>
    <xf numFmtId="178" fontId="0" fillId="0" borderId="14" xfId="0" applyNumberFormat="1" applyBorder="1" applyAlignment="1">
      <alignment horizontal="center" vertical="center"/>
    </xf>
    <xf numFmtId="178" fontId="8" fillId="0" borderId="0" xfId="0" applyNumberFormat="1" applyFont="1" applyAlignment="1">
      <alignment horizontal="center" vertical="center"/>
    </xf>
    <xf numFmtId="178" fontId="0" fillId="15" borderId="0" xfId="0" applyNumberFormat="1" applyFill="1" applyAlignment="1">
      <alignment horizontal="center" vertical="center"/>
    </xf>
    <xf numFmtId="9" fontId="0" fillId="0" borderId="40" xfId="4" applyFont="1" applyBorder="1" applyAlignment="1">
      <alignment horizontal="center" vertical="center"/>
    </xf>
    <xf numFmtId="178" fontId="0" fillId="15" borderId="14" xfId="0" applyNumberFormat="1" applyFill="1" applyBorder="1" applyAlignment="1">
      <alignment horizontal="center" vertical="center"/>
    </xf>
    <xf numFmtId="178" fontId="0" fillId="0" borderId="0" xfId="0" applyNumberFormat="1" applyAlignment="1">
      <alignment horizontal="center" vertical="center"/>
    </xf>
    <xf numFmtId="9" fontId="0" fillId="0" borderId="40" xfId="0" applyNumberFormat="1" applyBorder="1" applyAlignment="1">
      <alignment horizontal="center" vertical="center"/>
    </xf>
    <xf numFmtId="178" fontId="0" fillId="15" borderId="42" xfId="0" applyNumberFormat="1" applyFill="1" applyBorder="1" applyAlignment="1">
      <alignment horizontal="center" vertical="center"/>
    </xf>
    <xf numFmtId="178" fontId="8" fillId="0" borderId="188" xfId="0" applyNumberFormat="1" applyFont="1" applyBorder="1" applyAlignment="1">
      <alignment horizontal="center" vertical="center"/>
    </xf>
    <xf numFmtId="178" fontId="0" fillId="15" borderId="188" xfId="0" applyNumberFormat="1" applyFill="1" applyBorder="1" applyAlignment="1">
      <alignment horizontal="center" vertical="center"/>
    </xf>
    <xf numFmtId="0" fontId="0" fillId="0" borderId="216" xfId="0" applyBorder="1" applyAlignment="1">
      <alignment horizontal="center" vertical="center" wrapText="1"/>
    </xf>
    <xf numFmtId="164" fontId="8" fillId="0" borderId="213" xfId="4" applyNumberFormat="1" applyFont="1" applyFill="1" applyBorder="1" applyAlignment="1" applyProtection="1">
      <alignment horizontal="center" vertical="center"/>
    </xf>
    <xf numFmtId="164" fontId="8" fillId="0" borderId="214" xfId="4" applyNumberFormat="1" applyFont="1" applyFill="1" applyBorder="1" applyAlignment="1" applyProtection="1">
      <alignment horizontal="center" vertical="center"/>
    </xf>
    <xf numFmtId="164" fontId="8" fillId="0" borderId="215" xfId="4" applyNumberFormat="1" applyFont="1" applyFill="1" applyBorder="1" applyAlignment="1" applyProtection="1">
      <alignment horizontal="center" vertical="center"/>
    </xf>
    <xf numFmtId="164" fontId="8" fillId="3" borderId="217" xfId="4" applyNumberFormat="1" applyFont="1" applyFill="1" applyBorder="1" applyAlignment="1">
      <alignment horizontal="center" vertical="center" wrapText="1"/>
    </xf>
    <xf numFmtId="164" fontId="8" fillId="0" borderId="163" xfId="4" applyNumberFormat="1" applyFont="1" applyFill="1" applyBorder="1" applyAlignment="1">
      <alignment horizontal="center" vertical="center" wrapText="1"/>
    </xf>
    <xf numFmtId="230" fontId="28" fillId="0" borderId="15" xfId="0" applyNumberFormat="1" applyFont="1" applyBorder="1" applyAlignment="1">
      <alignment horizontal="center" vertical="center"/>
    </xf>
    <xf numFmtId="6" fontId="28" fillId="0" borderId="15" xfId="0" applyNumberFormat="1" applyFont="1" applyBorder="1" applyAlignment="1">
      <alignment horizontal="center" vertical="center"/>
    </xf>
    <xf numFmtId="230" fontId="28" fillId="0" borderId="16" xfId="0" applyNumberFormat="1" applyFont="1" applyBorder="1" applyAlignment="1">
      <alignment horizontal="center" vertical="center"/>
    </xf>
    <xf numFmtId="0" fontId="28" fillId="0" borderId="15" xfId="0" applyFont="1" applyBorder="1" applyAlignment="1">
      <alignment horizontal="center" vertical="center"/>
    </xf>
    <xf numFmtId="0" fontId="155" fillId="0" borderId="15" xfId="0" applyFont="1" applyBorder="1" applyAlignment="1">
      <alignment horizontal="center" vertical="center"/>
    </xf>
    <xf numFmtId="0" fontId="155" fillId="0" borderId="16" xfId="0" applyFont="1" applyBorder="1" applyAlignment="1">
      <alignment horizontal="center" vertical="center"/>
    </xf>
    <xf numFmtId="6" fontId="28" fillId="0" borderId="16" xfId="0" applyNumberFormat="1" applyFont="1" applyBorder="1" applyAlignment="1">
      <alignment horizontal="center" vertical="center"/>
    </xf>
    <xf numFmtId="38" fontId="28" fillId="0" borderId="16" xfId="0" applyNumberFormat="1" applyFont="1" applyBorder="1" applyAlignment="1">
      <alignment horizontal="center" vertical="center"/>
    </xf>
    <xf numFmtId="0" fontId="0" fillId="0" borderId="33" xfId="0" applyBorder="1" applyAlignment="1">
      <alignment vertical="center" wrapText="1"/>
    </xf>
    <xf numFmtId="0" fontId="8" fillId="7" borderId="15" xfId="0" applyFont="1" applyFill="1" applyBorder="1" applyAlignment="1">
      <alignment vertical="center"/>
    </xf>
    <xf numFmtId="0" fontId="19" fillId="0" borderId="0" xfId="0" applyFont="1"/>
    <xf numFmtId="49" fontId="0" fillId="2" borderId="0" xfId="0" applyNumberFormat="1" applyFill="1" applyAlignment="1">
      <alignment vertical="center"/>
    </xf>
    <xf numFmtId="0" fontId="13" fillId="0" borderId="1" xfId="0" applyFont="1" applyBorder="1" applyAlignment="1">
      <alignment vertical="center"/>
    </xf>
    <xf numFmtId="0" fontId="7" fillId="15" borderId="0" xfId="0" applyFont="1" applyFill="1" applyAlignment="1">
      <alignment vertical="center"/>
    </xf>
    <xf numFmtId="0" fontId="16" fillId="51" borderId="0" xfId="0" applyFont="1" applyFill="1"/>
    <xf numFmtId="0" fontId="0" fillId="0" borderId="0" xfId="0" quotePrefix="1" applyAlignment="1">
      <alignment horizontal="right"/>
    </xf>
    <xf numFmtId="0" fontId="8" fillId="0" borderId="7" xfId="0" applyFont="1" applyBorder="1"/>
    <xf numFmtId="0" fontId="8" fillId="0" borderId="76" xfId="0" applyFont="1" applyBorder="1" applyAlignment="1">
      <alignment vertical="center"/>
    </xf>
    <xf numFmtId="0" fontId="7" fillId="0" borderId="0" xfId="0" applyFont="1" applyAlignment="1">
      <alignment horizontal="right" vertical="top"/>
    </xf>
    <xf numFmtId="0" fontId="7" fillId="0" borderId="0" xfId="0" applyFont="1" applyAlignment="1">
      <alignment horizontal="right" vertical="center"/>
    </xf>
    <xf numFmtId="0" fontId="121" fillId="0" borderId="0" xfId="0" applyFont="1" applyAlignment="1">
      <alignment horizontal="right" vertical="top"/>
    </xf>
    <xf numFmtId="0" fontId="0" fillId="52" borderId="15" xfId="0" applyFill="1" applyBorder="1" applyAlignment="1">
      <alignment horizontal="center" vertical="center"/>
    </xf>
    <xf numFmtId="0" fontId="159" fillId="52"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5" borderId="15" xfId="0" quotePrefix="1" applyFill="1" applyBorder="1" applyAlignment="1">
      <alignment horizontal="center" vertical="center"/>
    </xf>
    <xf numFmtId="0" fontId="8" fillId="2" borderId="76" xfId="0" applyFont="1" applyFill="1" applyBorder="1" applyAlignment="1">
      <alignment horizontal="right" vertical="center"/>
    </xf>
    <xf numFmtId="0" fontId="14" fillId="36" borderId="70" xfId="0" applyFont="1" applyFill="1" applyBorder="1" applyAlignment="1">
      <alignment horizontal="right" vertical="center"/>
    </xf>
    <xf numFmtId="9" fontId="0" fillId="0" borderId="86"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10" fillId="0" borderId="7" xfId="0" applyFont="1" applyBorder="1" applyAlignment="1">
      <alignment horizontal="left" vertical="center"/>
    </xf>
    <xf numFmtId="40" fontId="28" fillId="0" borderId="0" xfId="0" applyNumberFormat="1" applyFont="1" applyAlignment="1">
      <alignment horizontal="center" vertical="top" wrapText="1"/>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1" fontId="0" fillId="0" borderId="203" xfId="0" applyNumberFormat="1" applyBorder="1" applyAlignment="1">
      <alignment horizontal="center" vertical="center"/>
    </xf>
    <xf numFmtId="9" fontId="0" fillId="0" borderId="218" xfId="4" applyFont="1" applyFill="1" applyBorder="1" applyAlignment="1" applyProtection="1">
      <alignment horizontal="center" vertical="center" wrapText="1"/>
    </xf>
    <xf numFmtId="8" fontId="16" fillId="6" borderId="49" xfId="0" applyNumberFormat="1" applyFont="1" applyFill="1" applyBorder="1" applyAlignment="1">
      <alignment horizontal="right" vertical="center"/>
    </xf>
    <xf numFmtId="0" fontId="156" fillId="0" borderId="16" xfId="0" applyFont="1" applyBorder="1" applyAlignment="1">
      <alignment horizontal="center" vertical="center"/>
    </xf>
    <xf numFmtId="0" fontId="0" fillId="0" borderId="0" xfId="0" applyAlignment="1" applyProtection="1">
      <alignment vertical="center"/>
      <protection locked="0"/>
    </xf>
    <xf numFmtId="0" fontId="0" fillId="15" borderId="0" xfId="0" applyFill="1" applyProtection="1">
      <protection locked="0"/>
    </xf>
    <xf numFmtId="0" fontId="0" fillId="0" borderId="188" xfId="0" applyBorder="1" applyAlignment="1">
      <alignment horizontal="center" vertical="center"/>
    </xf>
    <xf numFmtId="0" fontId="0" fillId="0" borderId="188" xfId="0" applyBorder="1" applyAlignment="1">
      <alignment vertical="center"/>
    </xf>
    <xf numFmtId="8" fontId="16" fillId="6" borderId="188"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0" xfId="0" applyNumberFormat="1" applyBorder="1" applyAlignment="1">
      <alignment horizontal="right" vertical="center"/>
    </xf>
    <xf numFmtId="8" fontId="0" fillId="0" borderId="188" xfId="0" applyNumberFormat="1" applyBorder="1" applyAlignment="1">
      <alignment horizontal="right" vertical="center"/>
    </xf>
    <xf numFmtId="230" fontId="28" fillId="0" borderId="50" xfId="0" applyNumberFormat="1" applyFont="1" applyBorder="1" applyAlignment="1">
      <alignment horizontal="center" vertical="center"/>
    </xf>
    <xf numFmtId="0" fontId="0" fillId="2" borderId="69" xfId="0" applyFill="1" applyBorder="1" applyAlignment="1">
      <alignment vertical="center"/>
    </xf>
    <xf numFmtId="0" fontId="0" fillId="0" borderId="69" xfId="0" applyBorder="1" applyAlignment="1">
      <alignment horizontal="left" vertical="center"/>
    </xf>
    <xf numFmtId="0" fontId="113" fillId="0" borderId="0" xfId="0" applyFont="1" applyAlignment="1">
      <alignment horizontal="center" vertical="center"/>
    </xf>
    <xf numFmtId="0" fontId="28" fillId="0" borderId="0" xfId="0" applyFont="1" applyAlignment="1">
      <alignment horizontal="center" vertical="center"/>
    </xf>
    <xf numFmtId="185" fontId="0" fillId="0" borderId="0" xfId="4" quotePrefix="1" applyNumberFormat="1" applyFont="1" applyFill="1" applyBorder="1" applyAlignment="1">
      <alignment horizontal="center" vertical="center"/>
    </xf>
    <xf numFmtId="0" fontId="0" fillId="15" borderId="0" xfId="0" quotePrefix="1" applyFill="1" applyAlignment="1">
      <alignment horizontal="center" vertical="center"/>
    </xf>
    <xf numFmtId="0" fontId="95" fillId="0" borderId="0" xfId="1" applyNumberFormat="1" applyFont="1" applyFill="1" applyAlignment="1">
      <alignment horizontal="right" wrapText="1"/>
    </xf>
    <xf numFmtId="44" fontId="95" fillId="0" borderId="0" xfId="1" applyFont="1" applyFill="1" applyBorder="1" applyAlignment="1" applyProtection="1">
      <alignment horizontal="right" wrapText="1"/>
    </xf>
    <xf numFmtId="0" fontId="60" fillId="0" borderId="0" xfId="0" applyFont="1" applyAlignment="1">
      <alignment wrapText="1"/>
    </xf>
    <xf numFmtId="0" fontId="19" fillId="42" borderId="16" xfId="0" applyFont="1" applyFill="1" applyBorder="1" applyAlignment="1">
      <alignment horizontal="right" vertical="center"/>
    </xf>
    <xf numFmtId="0" fontId="60" fillId="15" borderId="0" xfId="0" applyFont="1" applyFill="1" applyAlignment="1">
      <alignment wrapText="1"/>
    </xf>
    <xf numFmtId="0" fontId="17" fillId="15" borderId="0" xfId="0" applyFont="1" applyFill="1" applyAlignment="1">
      <alignment horizontal="left"/>
    </xf>
    <xf numFmtId="0" fontId="0" fillId="15" borderId="0" xfId="0" applyFill="1" applyAlignment="1">
      <alignment horizontal="left" vertical="center"/>
    </xf>
    <xf numFmtId="0" fontId="15" fillId="0" borderId="0" xfId="0" applyFont="1" applyAlignment="1">
      <alignment wrapText="1"/>
    </xf>
    <xf numFmtId="0" fontId="28" fillId="0" borderId="0" xfId="0" applyFont="1" applyAlignment="1">
      <alignment wrapText="1"/>
    </xf>
    <xf numFmtId="0" fontId="9" fillId="0" borderId="15" xfId="0" applyFont="1" applyBorder="1" applyAlignment="1">
      <alignment horizontal="right" vertical="center"/>
    </xf>
    <xf numFmtId="0" fontId="0" fillId="0" borderId="33" xfId="0" applyBorder="1" applyAlignment="1">
      <alignment horizontal="right" vertical="center"/>
    </xf>
    <xf numFmtId="0" fontId="0" fillId="0" borderId="103" xfId="0" applyBorder="1" applyAlignment="1">
      <alignment horizontal="center" vertical="center"/>
    </xf>
    <xf numFmtId="0" fontId="0" fillId="0" borderId="221" xfId="0" applyBorder="1" applyAlignment="1">
      <alignment horizontal="center" vertical="center" wrapText="1"/>
    </xf>
    <xf numFmtId="0" fontId="0" fillId="0" borderId="222" xfId="0" applyBorder="1" applyAlignment="1">
      <alignment horizontal="center" vertical="center" wrapText="1"/>
    </xf>
    <xf numFmtId="0" fontId="0" fillId="0" borderId="223" xfId="0" applyBorder="1" applyAlignment="1">
      <alignment horizontal="center" vertical="center" wrapText="1"/>
    </xf>
    <xf numFmtId="0" fontId="0" fillId="15" borderId="222" xfId="0" applyFill="1" applyBorder="1" applyAlignment="1">
      <alignment horizontal="center" vertical="center" wrapText="1"/>
    </xf>
    <xf numFmtId="0" fontId="0" fillId="15" borderId="79" xfId="0" applyFill="1" applyBorder="1" applyAlignment="1">
      <alignment horizontal="center" vertical="center" wrapText="1"/>
    </xf>
    <xf numFmtId="0" fontId="0" fillId="15" borderId="69" xfId="0" applyFill="1" applyBorder="1" applyAlignment="1">
      <alignment horizontal="center" vertical="center" wrapText="1"/>
    </xf>
    <xf numFmtId="0" fontId="0" fillId="54" borderId="0" xfId="0" applyFill="1"/>
    <xf numFmtId="0" fontId="0" fillId="54" borderId="0" xfId="0" applyFill="1" applyAlignment="1">
      <alignment horizontal="center" vertical="center"/>
    </xf>
    <xf numFmtId="0" fontId="161" fillId="53" borderId="16" xfId="0" applyFont="1" applyFill="1" applyBorder="1" applyAlignment="1">
      <alignment vertical="center"/>
    </xf>
    <xf numFmtId="0" fontId="8" fillId="0" borderId="0" xfId="0" applyFont="1" applyAlignment="1">
      <alignment horizontal="left" vertical="top" wrapText="1"/>
    </xf>
    <xf numFmtId="0" fontId="8" fillId="0" borderId="22" xfId="0" applyFont="1" applyBorder="1" applyAlignment="1">
      <alignment horizontal="left" vertical="top" wrapText="1"/>
    </xf>
    <xf numFmtId="0" fontId="14" fillId="0" borderId="0" xfId="0" applyFont="1" applyAlignment="1">
      <alignment horizontal="center" vertical="top"/>
    </xf>
    <xf numFmtId="38" fontId="162" fillId="6" borderId="52" xfId="0" applyNumberFormat="1" applyFont="1" applyFill="1" applyBorder="1" applyAlignment="1">
      <alignment horizontal="center" vertical="center" wrapText="1"/>
    </xf>
    <xf numFmtId="0" fontId="99" fillId="0" borderId="0" xfId="0" applyFont="1" applyAlignment="1">
      <alignment horizontal="right" vertical="center"/>
    </xf>
    <xf numFmtId="0" fontId="19" fillId="0" borderId="0" xfId="0" applyFont="1" applyAlignment="1">
      <alignment horizontal="right" vertical="top"/>
    </xf>
    <xf numFmtId="38" fontId="0" fillId="0" borderId="0" xfId="0" applyNumberFormat="1" applyAlignment="1">
      <alignment horizontal="center" vertical="center" wrapText="1"/>
    </xf>
    <xf numFmtId="232" fontId="0" fillId="0" borderId="0" xfId="0" applyNumberFormat="1"/>
    <xf numFmtId="0" fontId="0" fillId="0" borderId="0" xfId="0" applyAlignment="1">
      <alignment horizontal="right" vertical="center" indent="1"/>
    </xf>
    <xf numFmtId="40" fontId="163" fillId="0" borderId="0" xfId="2" applyNumberFormat="1" applyFont="1"/>
    <xf numFmtId="40" fontId="81" fillId="0" borderId="22" xfId="2" applyNumberFormat="1" applyFont="1" applyBorder="1"/>
    <xf numFmtId="0" fontId="28" fillId="0" borderId="69" xfId="0" applyFont="1" applyBorder="1" applyAlignment="1">
      <alignment vertical="center"/>
    </xf>
    <xf numFmtId="0" fontId="7" fillId="0" borderId="70" xfId="0" applyFont="1" applyBorder="1"/>
    <xf numFmtId="233" fontId="0" fillId="0" borderId="0" xfId="0" applyNumberFormat="1" applyAlignment="1">
      <alignment horizontal="center" vertical="top"/>
    </xf>
    <xf numFmtId="1" fontId="19" fillId="0" borderId="0" xfId="0" applyNumberFormat="1" applyFont="1" applyAlignment="1">
      <alignment horizontal="center" vertical="center"/>
    </xf>
    <xf numFmtId="0" fontId="112" fillId="0" borderId="0" xfId="2" applyFont="1" applyAlignment="1">
      <alignment horizontal="center"/>
    </xf>
    <xf numFmtId="40" fontId="38" fillId="0" borderId="179" xfId="2" applyNumberFormat="1" applyFont="1" applyBorder="1"/>
    <xf numFmtId="43" fontId="78" fillId="0" borderId="184" xfId="12" applyFont="1" applyFill="1" applyBorder="1" applyAlignment="1">
      <alignment horizontal="center"/>
    </xf>
    <xf numFmtId="0" fontId="9" fillId="0" borderId="0" xfId="0" applyFont="1" applyAlignment="1">
      <alignment horizontal="center" wrapText="1"/>
    </xf>
    <xf numFmtId="1" fontId="16"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3" fillId="0" borderId="0" xfId="0" applyFont="1"/>
    <xf numFmtId="0" fontId="127" fillId="0" borderId="0" xfId="0" applyFont="1"/>
    <xf numFmtId="0" fontId="16" fillId="0" borderId="52" xfId="0" applyFont="1" applyBorder="1" applyAlignment="1">
      <alignment vertical="center" wrapText="1"/>
    </xf>
    <xf numFmtId="0" fontId="16" fillId="0" borderId="53" xfId="0" applyFont="1" applyBorder="1" applyAlignment="1">
      <alignment vertical="center" wrapText="1"/>
    </xf>
    <xf numFmtId="0" fontId="15" fillId="0" borderId="0" xfId="0" applyFont="1" applyAlignment="1">
      <alignment horizontal="right" vertical="top" wrapText="1"/>
    </xf>
    <xf numFmtId="38" fontId="0" fillId="0" borderId="188" xfId="0" applyNumberFormat="1" applyBorder="1" applyAlignment="1">
      <alignment horizontal="center" vertical="center"/>
    </xf>
    <xf numFmtId="0" fontId="165" fillId="0" borderId="16" xfId="0" applyFont="1" applyBorder="1" applyAlignment="1">
      <alignment vertical="center"/>
    </xf>
    <xf numFmtId="0" fontId="0" fillId="0" borderId="179" xfId="0" applyBorder="1"/>
    <xf numFmtId="0" fontId="28" fillId="10" borderId="0" xfId="0" applyFont="1" applyFill="1"/>
    <xf numFmtId="0" fontId="28" fillId="13" borderId="0" xfId="0" applyFont="1" applyFill="1"/>
    <xf numFmtId="0" fontId="28" fillId="13" borderId="0" xfId="0" quotePrefix="1" applyFont="1" applyFill="1"/>
    <xf numFmtId="44" fontId="28" fillId="13" borderId="0" xfId="0" quotePrefix="1" applyNumberFormat="1" applyFont="1" applyFill="1"/>
    <xf numFmtId="0" fontId="155" fillId="10" borderId="0" xfId="0" applyFont="1" applyFill="1"/>
    <xf numFmtId="0" fontId="28" fillId="21" borderId="0" xfId="0" applyFont="1" applyFill="1"/>
    <xf numFmtId="0" fontId="155" fillId="9" borderId="6" xfId="0" applyFont="1" applyFill="1" applyBorder="1" applyAlignment="1">
      <alignment horizontal="left" wrapText="1"/>
    </xf>
    <xf numFmtId="0" fontId="155" fillId="9" borderId="7" xfId="0" applyFont="1" applyFill="1" applyBorder="1" applyAlignment="1">
      <alignment horizontal="center" wrapText="1"/>
    </xf>
    <xf numFmtId="0" fontId="155" fillId="22" borderId="7" xfId="0" applyFont="1" applyFill="1" applyBorder="1" applyAlignment="1">
      <alignment horizontal="center" wrapText="1"/>
    </xf>
    <xf numFmtId="0" fontId="28" fillId="10" borderId="0" xfId="0" applyFont="1" applyFill="1" applyAlignment="1">
      <alignment wrapText="1"/>
    </xf>
    <xf numFmtId="44" fontId="28" fillId="13" borderId="0" xfId="1" quotePrefix="1" applyFont="1" applyFill="1"/>
    <xf numFmtId="44" fontId="28" fillId="0" borderId="0" xfId="1" applyFont="1"/>
    <xf numFmtId="44" fontId="28" fillId="21" borderId="0" xfId="1" applyFont="1" applyFill="1"/>
    <xf numFmtId="0" fontId="0" fillId="0" borderId="224" xfId="0" applyBorder="1" applyAlignment="1">
      <alignment horizontal="center" vertical="center"/>
    </xf>
    <xf numFmtId="0" fontId="0" fillId="0" borderId="226" xfId="0" applyBorder="1" applyAlignment="1">
      <alignment horizontal="center" vertical="center"/>
    </xf>
    <xf numFmtId="0" fontId="0" fillId="0" borderId="227" xfId="0" applyBorder="1" applyAlignment="1">
      <alignment vertical="center"/>
    </xf>
    <xf numFmtId="0" fontId="0" fillId="0" borderId="228" xfId="0" applyBorder="1" applyAlignment="1">
      <alignment horizontal="center" vertical="center"/>
    </xf>
    <xf numFmtId="0" fontId="0" fillId="0" borderId="229" xfId="0" applyBorder="1" applyAlignment="1">
      <alignment vertical="center"/>
    </xf>
    <xf numFmtId="234" fontId="28" fillId="0" borderId="0" xfId="1" applyNumberFormat="1" applyFont="1" applyFill="1"/>
    <xf numFmtId="0" fontId="28" fillId="0" borderId="0" xfId="0" applyFont="1" applyAlignment="1">
      <alignment horizontal="left"/>
    </xf>
    <xf numFmtId="9" fontId="11" fillId="0" borderId="0" xfId="4" applyFont="1" applyFill="1" applyBorder="1" applyAlignment="1"/>
    <xf numFmtId="9" fontId="11" fillId="0" borderId="153" xfId="4" applyFont="1" applyBorder="1" applyAlignment="1"/>
    <xf numFmtId="0" fontId="16" fillId="0" borderId="15" xfId="0" applyFont="1" applyBorder="1" applyAlignment="1">
      <alignment horizontal="center" vertical="center"/>
    </xf>
    <xf numFmtId="0" fontId="10" fillId="0" borderId="55" xfId="0" applyFont="1" applyBorder="1" applyAlignment="1">
      <alignment horizontal="center"/>
    </xf>
    <xf numFmtId="0" fontId="0" fillId="0" borderId="55" xfId="0" applyBorder="1" applyAlignment="1">
      <alignment horizontal="center"/>
    </xf>
    <xf numFmtId="0" fontId="0" fillId="0" borderId="33" xfId="0" applyBorder="1" applyAlignment="1">
      <alignment horizontal="center"/>
    </xf>
    <xf numFmtId="0" fontId="167" fillId="0" borderId="15" xfId="0" applyFont="1" applyBorder="1" applyAlignment="1">
      <alignment horizontal="center" vertical="center"/>
    </xf>
    <xf numFmtId="0" fontId="0" fillId="56" borderId="0" xfId="0" applyFill="1"/>
    <xf numFmtId="0" fontId="8" fillId="0" borderId="179" xfId="0" applyFont="1" applyBorder="1"/>
    <xf numFmtId="0" fontId="0" fillId="0" borderId="179" xfId="0" applyBorder="1" applyAlignment="1">
      <alignment horizontal="center"/>
    </xf>
    <xf numFmtId="0" fontId="16" fillId="6" borderId="179" xfId="0" applyFont="1" applyFill="1" applyBorder="1" applyAlignment="1">
      <alignment horizontal="center" vertical="center"/>
    </xf>
    <xf numFmtId="0" fontId="15" fillId="0" borderId="179" xfId="0" applyFont="1" applyBorder="1"/>
    <xf numFmtId="0" fontId="167" fillId="0" borderId="179" xfId="0" applyFont="1" applyBorder="1" applyAlignment="1">
      <alignment horizontal="center" vertical="center"/>
    </xf>
    <xf numFmtId="0" fontId="16" fillId="51" borderId="179" xfId="0" applyFont="1" applyFill="1" applyBorder="1" applyAlignment="1">
      <alignment horizontal="center" vertical="center"/>
    </xf>
    <xf numFmtId="0" fontId="16" fillId="0" borderId="179" xfId="0" applyFont="1" applyBorder="1"/>
    <xf numFmtId="0" fontId="0" fillId="0" borderId="179"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5" fillId="0" borderId="1" xfId="0" applyFont="1" applyBorder="1"/>
    <xf numFmtId="0" fontId="95" fillId="0" borderId="0" xfId="0" applyFont="1"/>
    <xf numFmtId="0" fontId="95" fillId="0" borderId="179" xfId="0" applyFont="1" applyBorder="1"/>
    <xf numFmtId="2" fontId="167" fillId="0" borderId="179" xfId="0" applyNumberFormat="1" applyFont="1" applyBorder="1" applyAlignment="1">
      <alignment horizontal="center" vertical="center"/>
    </xf>
    <xf numFmtId="2" fontId="167" fillId="0" borderId="1" xfId="0" applyNumberFormat="1" applyFont="1" applyBorder="1" applyAlignment="1">
      <alignment horizontal="center" vertical="center"/>
    </xf>
    <xf numFmtId="2" fontId="8" fillId="0" borderId="15" xfId="0" applyNumberFormat="1" applyFont="1" applyBorder="1" applyAlignment="1">
      <alignment horizontal="center" vertical="center"/>
    </xf>
    <xf numFmtId="0" fontId="11" fillId="0" borderId="14" xfId="2" applyBorder="1"/>
    <xf numFmtId="0" fontId="31" fillId="0" borderId="14" xfId="2" applyFont="1" applyBorder="1"/>
    <xf numFmtId="0" fontId="0" fillId="13" borderId="0" xfId="0" applyFill="1" applyAlignment="1">
      <alignment horizontal="right"/>
    </xf>
    <xf numFmtId="0" fontId="12" fillId="0" borderId="0" xfId="7" applyFont="1" applyAlignment="1">
      <alignment horizontal="left" vertical="center" wrapText="1"/>
    </xf>
    <xf numFmtId="0" fontId="12" fillId="0" borderId="0" xfId="6" applyFont="1" applyFill="1" applyAlignment="1">
      <alignment horizontal="left" vertical="center" wrapText="1"/>
    </xf>
    <xf numFmtId="0" fontId="12" fillId="0" borderId="0" xfId="9" applyFont="1" applyAlignment="1">
      <alignment horizontal="center" vertical="center" wrapText="1"/>
    </xf>
    <xf numFmtId="0" fontId="12" fillId="0" borderId="0" xfId="6" applyFont="1" applyFill="1" applyAlignment="1">
      <alignment horizontal="center" vertical="center" wrapText="1"/>
    </xf>
    <xf numFmtId="0" fontId="0" fillId="7" borderId="69" xfId="0" applyFill="1" applyBorder="1" applyAlignment="1">
      <alignment vertical="center"/>
    </xf>
    <xf numFmtId="0" fontId="120" fillId="55" borderId="153" xfId="0" applyFont="1" applyFill="1" applyBorder="1" applyAlignment="1">
      <alignment horizontal="center" vertical="center"/>
    </xf>
    <xf numFmtId="0" fontId="168" fillId="0" borderId="0" xfId="2" applyFont="1" applyAlignment="1">
      <alignment vertical="center" wrapText="1"/>
    </xf>
    <xf numFmtId="9" fontId="16" fillId="57" borderId="52" xfId="4" applyFont="1" applyFill="1" applyBorder="1" applyAlignment="1">
      <alignment horizontal="center" vertical="center"/>
    </xf>
    <xf numFmtId="9" fontId="0" fillId="0" borderId="92" xfId="4" applyFont="1" applyFill="1" applyBorder="1" applyAlignment="1" applyProtection="1">
      <alignment horizontal="center" vertical="center" wrapText="1"/>
    </xf>
    <xf numFmtId="9" fontId="0" fillId="0" borderId="232" xfId="4" applyFont="1" applyFill="1" applyBorder="1" applyAlignment="1" applyProtection="1">
      <alignment horizontal="center" vertical="center" wrapText="1"/>
    </xf>
    <xf numFmtId="9" fontId="0" fillId="0" borderId="235"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8" fillId="0" borderId="38" xfId="0" applyFont="1" applyBorder="1" applyAlignment="1">
      <alignment horizontal="center" vertical="center" wrapText="1"/>
    </xf>
    <xf numFmtId="0" fontId="0" fillId="37" borderId="0" xfId="0" applyFill="1"/>
    <xf numFmtId="0" fontId="6" fillId="0" borderId="238" xfId="0" applyFont="1" applyBorder="1" applyAlignment="1">
      <alignment horizontal="center"/>
    </xf>
    <xf numFmtId="0" fontId="6" fillId="16" borderId="239" xfId="0" applyFont="1" applyFill="1" applyBorder="1" applyAlignment="1">
      <alignment horizontal="center"/>
    </xf>
    <xf numFmtId="40" fontId="16" fillId="6" borderId="240" xfId="0" applyNumberFormat="1" applyFont="1" applyFill="1" applyBorder="1" applyAlignment="1">
      <alignment horizontal="center" vertical="center"/>
    </xf>
    <xf numFmtId="40" fontId="16" fillId="17" borderId="241" xfId="0" applyNumberFormat="1" applyFont="1" applyFill="1" applyBorder="1" applyAlignment="1">
      <alignment horizontal="center" vertical="center"/>
    </xf>
    <xf numFmtId="40" fontId="111" fillId="15" borderId="240" xfId="0" applyNumberFormat="1" applyFont="1" applyFill="1" applyBorder="1" applyAlignment="1">
      <alignment horizontal="center" vertical="center"/>
    </xf>
    <xf numFmtId="40" fontId="111" fillId="15" borderId="241" xfId="0" applyNumberFormat="1" applyFont="1" applyFill="1" applyBorder="1" applyAlignment="1">
      <alignment horizontal="center" vertical="center"/>
    </xf>
    <xf numFmtId="40" fontId="111" fillId="15" borderId="242" xfId="0" applyNumberFormat="1" applyFont="1" applyFill="1" applyBorder="1" applyAlignment="1">
      <alignment horizontal="center" vertical="center"/>
    </xf>
    <xf numFmtId="40" fontId="111" fillId="15" borderId="243" xfId="0" applyNumberFormat="1" applyFont="1" applyFill="1" applyBorder="1" applyAlignment="1">
      <alignment horizontal="center" vertical="center"/>
    </xf>
    <xf numFmtId="40" fontId="111" fillId="15" borderId="244" xfId="0" applyNumberFormat="1" applyFont="1" applyFill="1" applyBorder="1" applyAlignment="1">
      <alignment horizontal="center" vertical="center"/>
    </xf>
    <xf numFmtId="40" fontId="111" fillId="15" borderId="245" xfId="0" applyNumberFormat="1" applyFont="1" applyFill="1" applyBorder="1" applyAlignment="1">
      <alignment horizontal="center" vertical="center"/>
    </xf>
    <xf numFmtId="38" fontId="0" fillId="37" borderId="0" xfId="0" applyNumberFormat="1" applyFill="1" applyAlignment="1">
      <alignment horizontal="center" vertical="center"/>
    </xf>
    <xf numFmtId="38" fontId="0" fillId="37" borderId="0" xfId="0" quotePrefix="1" applyNumberFormat="1" applyFill="1" applyAlignment="1">
      <alignment horizontal="center" vertical="center"/>
    </xf>
    <xf numFmtId="0" fontId="16" fillId="2" borderId="23" xfId="0" applyFont="1" applyFill="1" applyBorder="1" applyAlignment="1">
      <alignment horizontal="center" vertical="center"/>
    </xf>
    <xf numFmtId="0" fontId="16" fillId="2" borderId="246" xfId="0" applyFont="1" applyFill="1" applyBorder="1" applyAlignment="1">
      <alignment horizontal="center" vertical="center"/>
    </xf>
    <xf numFmtId="0" fontId="95" fillId="0" borderId="0" xfId="0" applyFont="1" applyAlignment="1">
      <alignment vertical="top"/>
    </xf>
    <xf numFmtId="0" fontId="138" fillId="0" borderId="0" xfId="0" applyFont="1" applyAlignment="1">
      <alignment vertical="center" wrapText="1"/>
    </xf>
    <xf numFmtId="9" fontId="138" fillId="0" borderId="0" xfId="0" applyNumberFormat="1" applyFont="1" applyAlignment="1">
      <alignment horizontal="center" vertical="center" wrapText="1"/>
    </xf>
    <xf numFmtId="0" fontId="138" fillId="0" borderId="0" xfId="0" applyFont="1" applyAlignment="1">
      <alignment horizontal="center" vertical="center" wrapText="1"/>
    </xf>
    <xf numFmtId="0" fontId="169" fillId="0" borderId="33" xfId="0" applyFont="1" applyBorder="1" applyAlignment="1">
      <alignment vertical="center" wrapText="1"/>
    </xf>
    <xf numFmtId="0" fontId="169" fillId="0" borderId="33" xfId="0" applyFont="1" applyBorder="1" applyAlignment="1">
      <alignment horizontal="center" vertical="center" wrapText="1"/>
    </xf>
    <xf numFmtId="168" fontId="6" fillId="0" borderId="0" xfId="0" applyNumberFormat="1" applyFont="1"/>
    <xf numFmtId="49" fontId="16" fillId="2" borderId="179" xfId="0" applyNumberFormat="1" applyFont="1" applyFill="1" applyBorder="1" applyAlignment="1" applyProtection="1">
      <alignment horizontal="right" vertical="center"/>
      <protection locked="0"/>
    </xf>
    <xf numFmtId="0" fontId="16" fillId="2" borderId="179" xfId="0" applyFont="1" applyFill="1" applyBorder="1" applyAlignment="1" applyProtection="1">
      <alignment horizontal="right" vertical="center"/>
      <protection locked="0"/>
    </xf>
    <xf numFmtId="0" fontId="88" fillId="0" borderId="0" xfId="0" applyFont="1" applyAlignment="1">
      <alignment horizontal="right"/>
    </xf>
    <xf numFmtId="38" fontId="16" fillId="2" borderId="23" xfId="0" applyNumberFormat="1" applyFont="1" applyFill="1" applyBorder="1" applyAlignment="1">
      <alignment horizontal="center" vertical="center" wrapText="1"/>
    </xf>
    <xf numFmtId="0" fontId="14" fillId="8" borderId="0" xfId="0" applyFont="1" applyFill="1" applyAlignment="1">
      <alignment vertical="center"/>
    </xf>
    <xf numFmtId="0" fontId="28" fillId="0" borderId="16" xfId="0" applyFont="1" applyBorder="1" applyAlignment="1">
      <alignment horizontal="left" vertical="center"/>
    </xf>
    <xf numFmtId="0" fontId="6" fillId="0" borderId="0" xfId="0" quotePrefix="1" applyFont="1" applyAlignment="1">
      <alignment vertical="top"/>
    </xf>
    <xf numFmtId="0" fontId="170" fillId="55" borderId="0" xfId="0" applyFont="1" applyFill="1"/>
    <xf numFmtId="237" fontId="0" fillId="0" borderId="15" xfId="0" quotePrefix="1" applyNumberFormat="1" applyBorder="1" applyAlignment="1">
      <alignment horizontal="center" vertical="center"/>
    </xf>
    <xf numFmtId="238" fontId="0" fillId="0" borderId="16" xfId="0" applyNumberFormat="1" applyBorder="1" applyAlignment="1">
      <alignment horizontal="center" vertical="center"/>
    </xf>
    <xf numFmtId="1" fontId="16" fillId="2" borderId="247" xfId="0" applyNumberFormat="1" applyFont="1" applyFill="1" applyBorder="1" applyAlignment="1" applyProtection="1">
      <alignment horizontal="center" vertical="center"/>
      <protection locked="0"/>
    </xf>
    <xf numFmtId="9" fontId="0" fillId="0" borderId="0" xfId="4" applyFont="1" applyBorder="1" applyAlignment="1">
      <alignment horizontal="center" vertical="center"/>
    </xf>
    <xf numFmtId="185" fontId="0" fillId="0" borderId="70" xfId="4" quotePrefix="1" applyNumberFormat="1" applyFont="1" applyFill="1" applyBorder="1" applyAlignment="1">
      <alignment horizontal="center" vertical="center"/>
    </xf>
    <xf numFmtId="0" fontId="0" fillId="0" borderId="70" xfId="0" quotePrefix="1" applyBorder="1" applyAlignment="1">
      <alignment horizontal="center" vertical="center"/>
    </xf>
    <xf numFmtId="0" fontId="0" fillId="0" borderId="70" xfId="0" applyBorder="1" applyAlignment="1">
      <alignment horizontal="right" vertical="center" wrapText="1"/>
    </xf>
    <xf numFmtId="0" fontId="8" fillId="0" borderId="70" xfId="0" applyFont="1" applyBorder="1" applyAlignment="1">
      <alignment horizontal="center" vertical="center"/>
    </xf>
    <xf numFmtId="0" fontId="171" fillId="0" borderId="70" xfId="0" applyFont="1" applyBorder="1" applyAlignment="1">
      <alignment vertical="top"/>
    </xf>
    <xf numFmtId="9" fontId="16" fillId="0" borderId="70" xfId="4" applyFont="1" applyFill="1" applyBorder="1" applyAlignment="1">
      <alignment horizontal="center" vertical="center"/>
    </xf>
    <xf numFmtId="9" fontId="0" fillId="0" borderId="0" xfId="4" applyFont="1" applyFill="1" applyBorder="1" applyAlignment="1">
      <alignment horizontal="center" vertical="center"/>
    </xf>
    <xf numFmtId="0" fontId="16" fillId="6" borderId="49" xfId="0" applyFont="1" applyFill="1" applyBorder="1" applyAlignment="1">
      <alignment horizontal="center" vertical="center"/>
    </xf>
    <xf numFmtId="38" fontId="0" fillId="0" borderId="69" xfId="0" applyNumberFormat="1" applyBorder="1" applyAlignment="1">
      <alignment horizontal="center" vertical="center"/>
    </xf>
    <xf numFmtId="38" fontId="0" fillId="0" borderId="76" xfId="0" applyNumberFormat="1" applyBorder="1" applyAlignment="1">
      <alignment horizontal="center" vertical="center"/>
    </xf>
    <xf numFmtId="0" fontId="0" fillId="0" borderId="185" xfId="0" applyBorder="1" applyAlignment="1">
      <alignment horizontal="center" vertical="center"/>
    </xf>
    <xf numFmtId="0" fontId="13" fillId="0" borderId="10" xfId="0" applyFont="1" applyBorder="1" applyAlignment="1">
      <alignment vertical="center"/>
    </xf>
    <xf numFmtId="0" fontId="0" fillId="0" borderId="79" xfId="0" applyBorder="1" applyAlignment="1">
      <alignment horizontal="center" vertical="center"/>
    </xf>
    <xf numFmtId="185" fontId="0" fillId="0" borderId="79" xfId="4" applyNumberFormat="1" applyFont="1" applyBorder="1" applyAlignment="1">
      <alignment horizontal="center" vertical="center"/>
    </xf>
    <xf numFmtId="0" fontId="0" fillId="0" borderId="79" xfId="0" applyBorder="1"/>
    <xf numFmtId="0" fontId="0" fillId="0" borderId="79" xfId="0" quotePrefix="1" applyBorder="1"/>
    <xf numFmtId="0" fontId="0" fillId="0" borderId="77" xfId="0" applyBorder="1"/>
    <xf numFmtId="0" fontId="16" fillId="58" borderId="77" xfId="0" applyFont="1" applyFill="1" applyBorder="1" applyAlignment="1">
      <alignment horizontal="center" vertical="center"/>
    </xf>
    <xf numFmtId="0" fontId="0" fillId="0" borderId="76" xfId="0" applyBorder="1" applyAlignment="1">
      <alignment horizontal="left" vertical="center"/>
    </xf>
    <xf numFmtId="0" fontId="0" fillId="0" borderId="52" xfId="0" applyBorder="1" applyAlignment="1">
      <alignment horizontal="left" vertical="center"/>
    </xf>
    <xf numFmtId="0" fontId="16" fillId="6" borderId="52" xfId="0" applyFont="1" applyFill="1" applyBorder="1" applyAlignment="1">
      <alignment horizontal="center" vertical="center"/>
    </xf>
    <xf numFmtId="0" fontId="10" fillId="0" borderId="52" xfId="0" applyFont="1" applyBorder="1" applyAlignment="1">
      <alignment horizontal="left" vertical="center"/>
    </xf>
    <xf numFmtId="0" fontId="7" fillId="0" borderId="69" xfId="0" applyFont="1" applyBorder="1" applyAlignment="1">
      <alignment horizontal="center" vertical="center"/>
    </xf>
    <xf numFmtId="0" fontId="7" fillId="0" borderId="15" xfId="0" applyFont="1" applyBorder="1" applyAlignment="1">
      <alignment horizontal="center" vertical="center"/>
    </xf>
    <xf numFmtId="0" fontId="88" fillId="0" borderId="0" xfId="0" applyFont="1" applyAlignment="1">
      <alignment vertical="center"/>
    </xf>
    <xf numFmtId="0" fontId="0" fillId="59" borderId="16" xfId="0" applyFill="1" applyBorder="1" applyAlignment="1">
      <alignment vertical="center"/>
    </xf>
    <xf numFmtId="0" fontId="0" fillId="59" borderId="16" xfId="0" applyFill="1" applyBorder="1"/>
    <xf numFmtId="0" fontId="0" fillId="59" borderId="16" xfId="0" quotePrefix="1" applyFill="1" applyBorder="1"/>
    <xf numFmtId="0" fontId="8" fillId="59" borderId="15" xfId="0" applyFont="1" applyFill="1" applyBorder="1"/>
    <xf numFmtId="0" fontId="0" fillId="59" borderId="131" xfId="0" applyFill="1" applyBorder="1" applyAlignment="1">
      <alignment vertical="center"/>
    </xf>
    <xf numFmtId="0" fontId="0" fillId="59" borderId="15" xfId="0" applyFill="1" applyBorder="1"/>
    <xf numFmtId="0" fontId="13" fillId="20" borderId="248" xfId="0" applyFont="1" applyFill="1" applyBorder="1" applyAlignment="1">
      <alignment horizontal="left"/>
    </xf>
    <xf numFmtId="0" fontId="13" fillId="20" borderId="69" xfId="0" applyFont="1" applyFill="1" applyBorder="1" applyAlignment="1">
      <alignment horizontal="left"/>
    </xf>
    <xf numFmtId="0" fontId="13" fillId="20" borderId="249" xfId="0" applyFont="1" applyFill="1" applyBorder="1" applyAlignment="1">
      <alignment horizontal="left"/>
    </xf>
    <xf numFmtId="0" fontId="13" fillId="20" borderId="71" xfId="0" applyFont="1" applyFill="1" applyBorder="1" applyAlignment="1">
      <alignment horizontal="left"/>
    </xf>
    <xf numFmtId="0" fontId="16" fillId="6" borderId="71" xfId="0" applyFont="1" applyFill="1" applyBorder="1" applyAlignment="1">
      <alignment horizontal="center" vertical="center"/>
    </xf>
    <xf numFmtId="166" fontId="14" fillId="0" borderId="0" xfId="0" applyNumberFormat="1" applyFont="1" applyAlignment="1">
      <alignment horizontal="right" vertical="top" indent="1"/>
    </xf>
    <xf numFmtId="166" fontId="6" fillId="0" borderId="0" xfId="0" applyNumberFormat="1" applyFont="1" applyAlignment="1">
      <alignment horizontal="right" vertical="top" indent="1"/>
    </xf>
    <xf numFmtId="0" fontId="158" fillId="0" borderId="0" xfId="0" applyFont="1" applyAlignment="1">
      <alignment horizontal="center" vertical="center" wrapText="1"/>
    </xf>
    <xf numFmtId="0" fontId="0" fillId="60" borderId="0" xfId="0" applyFill="1" applyAlignment="1">
      <alignment horizontal="center" vertical="center" wrapText="1"/>
    </xf>
    <xf numFmtId="0" fontId="0" fillId="60" borderId="0" xfId="0" applyFill="1"/>
    <xf numFmtId="0" fontId="0" fillId="60" borderId="0" xfId="0" applyFill="1" applyAlignment="1">
      <alignment horizontal="center" vertical="center"/>
    </xf>
    <xf numFmtId="40" fontId="42" fillId="11" borderId="0" xfId="2" applyNumberFormat="1" applyFont="1" applyFill="1" applyProtection="1">
      <protection locked="0"/>
    </xf>
    <xf numFmtId="0" fontId="0" fillId="61" borderId="0" xfId="0" applyFill="1" applyAlignment="1">
      <alignment horizontal="center" vertical="center"/>
    </xf>
    <xf numFmtId="0" fontId="0" fillId="44" borderId="0" xfId="0" applyFill="1"/>
    <xf numFmtId="0" fontId="121" fillId="0" borderId="15" xfId="0" applyFont="1" applyBorder="1" applyAlignment="1">
      <alignment vertical="center"/>
    </xf>
    <xf numFmtId="0" fontId="127" fillId="43" borderId="1" xfId="0" applyFont="1" applyFill="1" applyBorder="1" applyAlignment="1">
      <alignment vertical="center"/>
    </xf>
    <xf numFmtId="9" fontId="138" fillId="0" borderId="250" xfId="0" applyNumberFormat="1" applyFont="1" applyBorder="1" applyAlignment="1">
      <alignment horizontal="center" vertical="center" wrapText="1"/>
    </xf>
    <xf numFmtId="0" fontId="0" fillId="0" borderId="250" xfId="0" applyBorder="1" applyAlignment="1">
      <alignment horizontal="center" vertical="center"/>
    </xf>
    <xf numFmtId="177" fontId="0" fillId="0" borderId="53" xfId="0" applyNumberFormat="1" applyBorder="1" applyAlignment="1">
      <alignment horizontal="center" vertical="center"/>
    </xf>
    <xf numFmtId="0" fontId="0" fillId="0" borderId="53" xfId="0" applyBorder="1"/>
    <xf numFmtId="8" fontId="8" fillId="0" borderId="0" xfId="0" applyNumberFormat="1" applyFont="1" applyAlignment="1">
      <alignment horizontal="right" vertical="center"/>
    </xf>
    <xf numFmtId="8" fontId="8" fillId="0" borderId="49" xfId="0" applyNumberFormat="1" applyFont="1" applyBorder="1" applyAlignment="1">
      <alignment horizontal="right" vertical="center"/>
    </xf>
    <xf numFmtId="8" fontId="8" fillId="0" borderId="17" xfId="0" applyNumberFormat="1" applyFont="1" applyBorder="1" applyAlignment="1">
      <alignment horizontal="right" vertical="center"/>
    </xf>
    <xf numFmtId="8" fontId="8" fillId="0" borderId="50" xfId="0" applyNumberFormat="1" applyFont="1" applyBorder="1" applyAlignment="1">
      <alignment horizontal="right" vertical="center"/>
    </xf>
    <xf numFmtId="223" fontId="28" fillId="25" borderId="16" xfId="0" applyNumberFormat="1" applyFont="1" applyFill="1" applyBorder="1" applyAlignment="1">
      <alignment horizontal="center" vertical="center"/>
    </xf>
    <xf numFmtId="0" fontId="7" fillId="25" borderId="49" xfId="0" applyFont="1" applyFill="1" applyBorder="1" applyAlignment="1">
      <alignment horizontal="center" vertical="center"/>
    </xf>
    <xf numFmtId="38" fontId="16" fillId="6" borderId="49" xfId="0" applyNumberFormat="1" applyFont="1" applyFill="1" applyBorder="1" applyAlignment="1">
      <alignment horizontal="right" vertical="center"/>
    </xf>
    <xf numFmtId="223" fontId="28" fillId="62" borderId="17" xfId="0" applyNumberFormat="1" applyFont="1" applyFill="1" applyBorder="1" applyAlignment="1">
      <alignment horizontal="center" vertical="center"/>
    </xf>
    <xf numFmtId="9" fontId="16" fillId="6" borderId="17" xfId="4" applyFont="1" applyFill="1" applyBorder="1" applyAlignment="1">
      <alignment horizontal="right" vertical="center"/>
    </xf>
    <xf numFmtId="0" fontId="0" fillId="13" borderId="16" xfId="0" applyFill="1" applyBorder="1" applyAlignment="1">
      <alignment horizontal="center" vertical="center"/>
    </xf>
    <xf numFmtId="0" fontId="7" fillId="13" borderId="16" xfId="0" applyFont="1" applyFill="1" applyBorder="1" applyAlignment="1">
      <alignment horizontal="center" vertical="center"/>
    </xf>
    <xf numFmtId="0" fontId="7" fillId="13" borderId="50" xfId="0" applyFont="1" applyFill="1" applyBorder="1" applyAlignment="1">
      <alignment horizontal="center" vertical="center"/>
    </xf>
    <xf numFmtId="38" fontId="16" fillId="6" borderId="50" xfId="0" applyNumberFormat="1" applyFont="1" applyFill="1" applyBorder="1" applyAlignment="1">
      <alignment horizontal="right" vertical="center"/>
    </xf>
    <xf numFmtId="0" fontId="7" fillId="63" borderId="17" xfId="0" applyFont="1" applyFill="1" applyBorder="1" applyAlignment="1">
      <alignment horizontal="center" vertical="center"/>
    </xf>
    <xf numFmtId="38" fontId="16" fillId="6" borderId="17" xfId="0" applyNumberFormat="1" applyFont="1" applyFill="1" applyBorder="1" applyAlignment="1">
      <alignment horizontal="right" vertical="center"/>
    </xf>
    <xf numFmtId="0" fontId="7" fillId="63" borderId="16" xfId="0" applyFont="1" applyFill="1" applyBorder="1" applyAlignment="1">
      <alignment horizontal="center" vertical="center"/>
    </xf>
    <xf numFmtId="0" fontId="7" fillId="63" borderId="50" xfId="0" applyFont="1" applyFill="1" applyBorder="1" applyAlignment="1">
      <alignment horizontal="center" vertical="center"/>
    </xf>
    <xf numFmtId="223" fontId="28" fillId="35" borderId="17" xfId="0" applyNumberFormat="1" applyFont="1" applyFill="1" applyBorder="1" applyAlignment="1">
      <alignment horizontal="center" vertical="center"/>
    </xf>
    <xf numFmtId="0" fontId="0" fillId="62" borderId="17" xfId="0" applyFill="1" applyBorder="1" applyAlignment="1">
      <alignment vertical="center"/>
    </xf>
    <xf numFmtId="0" fontId="0" fillId="62" borderId="17" xfId="0" applyFill="1" applyBorder="1" applyAlignment="1">
      <alignment horizontal="center" vertical="center"/>
    </xf>
    <xf numFmtId="0" fontId="0" fillId="13" borderId="16" xfId="0" applyFill="1" applyBorder="1" applyAlignment="1">
      <alignment vertical="center"/>
    </xf>
    <xf numFmtId="0" fontId="0" fillId="13" borderId="50" xfId="0" applyFill="1" applyBorder="1" applyAlignment="1">
      <alignment vertical="center"/>
    </xf>
    <xf numFmtId="0" fontId="0" fillId="13" borderId="50" xfId="0" applyFill="1" applyBorder="1" applyAlignment="1">
      <alignment horizontal="center" vertical="center"/>
    </xf>
    <xf numFmtId="0" fontId="0" fillId="63" borderId="17" xfId="0" applyFill="1" applyBorder="1" applyAlignment="1">
      <alignment vertical="center"/>
    </xf>
    <xf numFmtId="0" fontId="0" fillId="63" borderId="17" xfId="0" applyFill="1" applyBorder="1" applyAlignment="1">
      <alignment horizontal="center" vertical="center"/>
    </xf>
    <xf numFmtId="0" fontId="0" fillId="63" borderId="16" xfId="0" applyFill="1" applyBorder="1" applyAlignment="1">
      <alignment vertical="center"/>
    </xf>
    <xf numFmtId="0" fontId="0" fillId="63" borderId="16" xfId="0" applyFill="1" applyBorder="1" applyAlignment="1">
      <alignment horizontal="center" vertical="center"/>
    </xf>
    <xf numFmtId="0" fontId="0" fillId="63" borderId="50" xfId="0" applyFill="1" applyBorder="1" applyAlignment="1">
      <alignment vertical="center"/>
    </xf>
    <xf numFmtId="0" fontId="0" fillId="63" borderId="50" xfId="0" applyFill="1" applyBorder="1" applyAlignment="1">
      <alignment horizontal="center" vertical="center"/>
    </xf>
    <xf numFmtId="0" fontId="0" fillId="63" borderId="15" xfId="0" applyFill="1" applyBorder="1" applyAlignment="1">
      <alignment horizontal="center" vertical="center"/>
    </xf>
    <xf numFmtId="0" fontId="12" fillId="0" borderId="16" xfId="0" applyFont="1" applyBorder="1" applyAlignment="1">
      <alignment horizontal="center"/>
    </xf>
    <xf numFmtId="0" fontId="16" fillId="6" borderId="50" xfId="0" applyFont="1" applyFill="1" applyBorder="1" applyAlignment="1">
      <alignment horizontal="center" vertical="center"/>
    </xf>
    <xf numFmtId="0" fontId="175" fillId="0" borderId="150" xfId="0" applyFont="1" applyBorder="1" applyAlignment="1">
      <alignment horizontal="center"/>
    </xf>
    <xf numFmtId="0" fontId="16" fillId="6" borderId="148" xfId="0" applyFont="1" applyFill="1" applyBorder="1" applyAlignment="1">
      <alignment horizontal="center" vertical="center"/>
    </xf>
    <xf numFmtId="0" fontId="9" fillId="0" borderId="150" xfId="0" applyFont="1" applyBorder="1" applyAlignment="1">
      <alignment horizontal="center"/>
    </xf>
    <xf numFmtId="171" fontId="16" fillId="2" borderId="250" xfId="0" applyNumberFormat="1" applyFont="1" applyFill="1" applyBorder="1" applyAlignment="1" applyProtection="1">
      <alignment horizontal="right" vertical="center"/>
      <protection locked="0"/>
    </xf>
    <xf numFmtId="6" fontId="8" fillId="0" borderId="250" xfId="0" applyNumberFormat="1" applyFont="1" applyBorder="1" applyAlignment="1">
      <alignment horizontal="right"/>
    </xf>
    <xf numFmtId="6" fontId="8" fillId="0" borderId="250" xfId="0" applyNumberFormat="1" applyFont="1" applyBorder="1" applyAlignment="1">
      <alignment horizontal="right" vertical="center"/>
    </xf>
    <xf numFmtId="9" fontId="16" fillId="6" borderId="0" xfId="4" applyFont="1" applyFill="1" applyBorder="1" applyAlignment="1">
      <alignment horizontal="right" vertical="center"/>
    </xf>
    <xf numFmtId="0" fontId="9" fillId="0" borderId="10" xfId="0" applyFont="1" applyBorder="1" applyAlignment="1">
      <alignment horizontal="center"/>
    </xf>
    <xf numFmtId="0" fontId="9" fillId="0" borderId="49" xfId="0" applyFont="1" applyBorder="1" applyAlignment="1">
      <alignment horizontal="right"/>
    </xf>
    <xf numFmtId="8" fontId="8" fillId="0" borderId="70" xfId="0" applyNumberFormat="1" applyFont="1" applyBorder="1" applyAlignment="1">
      <alignment horizontal="right" vertical="center"/>
    </xf>
    <xf numFmtId="0" fontId="7" fillId="63" borderId="49" xfId="0" applyFont="1" applyFill="1" applyBorder="1" applyAlignment="1">
      <alignment horizontal="center" vertical="center"/>
    </xf>
    <xf numFmtId="0" fontId="0" fillId="63" borderId="49" xfId="0" applyFill="1" applyBorder="1" applyAlignment="1">
      <alignment vertical="center"/>
    </xf>
    <xf numFmtId="0" fontId="0" fillId="63" borderId="49" xfId="0" applyFill="1" applyBorder="1" applyAlignment="1">
      <alignment horizontal="center" vertical="center"/>
    </xf>
    <xf numFmtId="0" fontId="0" fillId="35" borderId="17" xfId="0" applyFill="1" applyBorder="1" applyAlignment="1">
      <alignment vertical="center"/>
    </xf>
    <xf numFmtId="0" fontId="0" fillId="35" borderId="17" xfId="0" applyFill="1" applyBorder="1" applyAlignment="1">
      <alignment horizontal="center" vertical="center"/>
    </xf>
    <xf numFmtId="0" fontId="0" fillId="35" borderId="50" xfId="0" applyFill="1" applyBorder="1" applyAlignment="1">
      <alignment vertical="center"/>
    </xf>
    <xf numFmtId="0" fontId="0" fillId="35" borderId="50" xfId="0" applyFill="1" applyBorder="1" applyAlignment="1">
      <alignment horizontal="center" vertical="center"/>
    </xf>
    <xf numFmtId="0" fontId="8" fillId="0" borderId="15" xfId="0" applyFont="1" applyBorder="1" applyAlignment="1">
      <alignment horizontal="right" vertical="center"/>
    </xf>
    <xf numFmtId="9" fontId="16" fillId="6" borderId="50" xfId="4" applyFont="1" applyFill="1" applyBorder="1" applyAlignment="1">
      <alignment horizontal="right" vertical="center"/>
    </xf>
    <xf numFmtId="0" fontId="8" fillId="0" borderId="50" xfId="0" applyFont="1" applyBorder="1" applyAlignment="1">
      <alignment horizontal="center" vertical="center"/>
    </xf>
    <xf numFmtId="0" fontId="0" fillId="63" borderId="0" xfId="0" applyFill="1" applyAlignment="1">
      <alignment horizontal="center" vertical="center"/>
    </xf>
    <xf numFmtId="0" fontId="0" fillId="35" borderId="16" xfId="0" applyFill="1" applyBorder="1" applyAlignment="1">
      <alignment vertical="center"/>
    </xf>
    <xf numFmtId="0" fontId="0" fillId="0" borderId="5" xfId="0" applyBorder="1" applyAlignment="1">
      <alignment horizontal="right" vertical="center"/>
    </xf>
    <xf numFmtId="185" fontId="0" fillId="0" borderId="6" xfId="4" applyNumberFormat="1" applyFont="1" applyFill="1" applyBorder="1" applyAlignment="1">
      <alignment horizontal="center" vertical="center"/>
    </xf>
    <xf numFmtId="0" fontId="17" fillId="0" borderId="258" xfId="0" quotePrefix="1" applyFont="1" applyBorder="1" applyAlignment="1">
      <alignment horizontal="center"/>
    </xf>
    <xf numFmtId="0" fontId="17" fillId="0" borderId="258" xfId="0" applyFont="1" applyBorder="1" applyAlignment="1">
      <alignment horizontal="center"/>
    </xf>
    <xf numFmtId="9" fontId="0" fillId="0" borderId="259" xfId="4" quotePrefix="1" applyFont="1" applyBorder="1" applyAlignment="1">
      <alignment horizontal="center" vertical="center"/>
    </xf>
    <xf numFmtId="9" fontId="0" fillId="0" borderId="260" xfId="4" quotePrefix="1" applyFont="1" applyBorder="1" applyAlignment="1">
      <alignment horizontal="center" vertical="center"/>
    </xf>
    <xf numFmtId="0" fontId="0" fillId="15" borderId="259" xfId="0" quotePrefix="1" applyFill="1" applyBorder="1" applyAlignment="1">
      <alignment horizontal="center" vertical="center"/>
    </xf>
    <xf numFmtId="0" fontId="0" fillId="15" borderId="260" xfId="0" quotePrefix="1" applyFill="1" applyBorder="1" applyAlignment="1">
      <alignment horizontal="center" vertical="center"/>
    </xf>
    <xf numFmtId="0" fontId="0" fillId="0" borderId="260" xfId="0" quotePrefix="1" applyBorder="1" applyAlignment="1">
      <alignment horizontal="center" vertical="center"/>
    </xf>
    <xf numFmtId="9" fontId="0" fillId="0" borderId="260" xfId="4" quotePrefix="1" applyFont="1" applyFill="1" applyBorder="1" applyAlignment="1">
      <alignment horizontal="center" vertical="center"/>
    </xf>
    <xf numFmtId="0" fontId="0" fillId="0" borderId="260" xfId="0" applyBorder="1" applyAlignment="1">
      <alignment horizontal="center" vertical="center"/>
    </xf>
    <xf numFmtId="0" fontId="0" fillId="0" borderId="260" xfId="0" applyBorder="1" applyAlignment="1">
      <alignment horizontal="center" vertical="center" wrapText="1"/>
    </xf>
    <xf numFmtId="0" fontId="0" fillId="0" borderId="250" xfId="0" applyBorder="1" applyAlignment="1">
      <alignment horizontal="center" vertical="center" wrapText="1"/>
    </xf>
    <xf numFmtId="0" fontId="17" fillId="0" borderId="0" xfId="0" applyFont="1" applyAlignment="1">
      <alignment vertical="center"/>
    </xf>
    <xf numFmtId="226" fontId="99"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1" fontId="16" fillId="6" borderId="15" xfId="0" applyNumberFormat="1" applyFont="1" applyFill="1" applyBorder="1" applyAlignment="1">
      <alignment horizontal="center" vertical="center"/>
    </xf>
    <xf numFmtId="0" fontId="0" fillId="2" borderId="264" xfId="0" applyFill="1" applyBorder="1"/>
    <xf numFmtId="0" fontId="0" fillId="2" borderId="265" xfId="0" applyFill="1" applyBorder="1"/>
    <xf numFmtId="0" fontId="0" fillId="2" borderId="266" xfId="0" applyFill="1" applyBorder="1"/>
    <xf numFmtId="0" fontId="0" fillId="2" borderId="70" xfId="0" applyFill="1" applyBorder="1"/>
    <xf numFmtId="0" fontId="0" fillId="64" borderId="15" xfId="0" applyFill="1" applyBorder="1" applyAlignment="1">
      <alignment vertical="center"/>
    </xf>
    <xf numFmtId="0" fontId="0" fillId="64" borderId="70" xfId="0" applyFill="1" applyBorder="1" applyAlignment="1">
      <alignment vertical="center"/>
    </xf>
    <xf numFmtId="38" fontId="0" fillId="64" borderId="15" xfId="0" applyNumberFormat="1" applyFill="1" applyBorder="1" applyAlignment="1">
      <alignment horizontal="center" vertical="center"/>
    </xf>
    <xf numFmtId="0" fontId="0" fillId="64" borderId="0" xfId="0" applyFill="1" applyAlignment="1">
      <alignment vertical="center"/>
    </xf>
    <xf numFmtId="0" fontId="0" fillId="64" borderId="0" xfId="0" applyFill="1"/>
    <xf numFmtId="0" fontId="0" fillId="64" borderId="264" xfId="0" applyFill="1" applyBorder="1"/>
    <xf numFmtId="0" fontId="0" fillId="64" borderId="15" xfId="0" applyFill="1" applyBorder="1"/>
    <xf numFmtId="0" fontId="0" fillId="64" borderId="15" xfId="0" applyFill="1" applyBorder="1" applyAlignment="1">
      <alignment horizontal="right" vertical="center"/>
    </xf>
    <xf numFmtId="0" fontId="0" fillId="64" borderId="16" xfId="0" applyFill="1" applyBorder="1" applyAlignment="1">
      <alignment horizontal="right" vertical="center"/>
    </xf>
    <xf numFmtId="0" fontId="8" fillId="64" borderId="16" xfId="0" applyFont="1" applyFill="1" applyBorder="1" applyAlignment="1">
      <alignment horizontal="right" vertical="center"/>
    </xf>
    <xf numFmtId="0" fontId="0" fillId="64" borderId="266" xfId="0" applyFill="1" applyBorder="1"/>
    <xf numFmtId="0" fontId="0" fillId="64" borderId="70" xfId="0" applyFill="1" applyBorder="1"/>
    <xf numFmtId="0" fontId="14" fillId="64" borderId="70" xfId="0" applyFont="1" applyFill="1" applyBorder="1" applyAlignment="1">
      <alignment horizontal="right" vertical="center"/>
    </xf>
    <xf numFmtId="0" fontId="0" fillId="36" borderId="69" xfId="0" applyFill="1" applyBorder="1" applyAlignment="1">
      <alignment vertical="center"/>
    </xf>
    <xf numFmtId="0" fontId="0" fillId="36" borderId="16" xfId="0" applyFill="1" applyBorder="1"/>
    <xf numFmtId="0" fontId="8" fillId="36" borderId="16" xfId="0" applyFont="1" applyFill="1" applyBorder="1" applyAlignment="1">
      <alignment horizontal="right" vertical="center"/>
    </xf>
    <xf numFmtId="0" fontId="14" fillId="2" borderId="70" xfId="0" applyFont="1" applyFill="1" applyBorder="1" applyAlignment="1">
      <alignment horizontal="right" vertical="center"/>
    </xf>
    <xf numFmtId="0" fontId="0" fillId="36" borderId="264" xfId="0" applyFill="1" applyBorder="1"/>
    <xf numFmtId="0" fontId="0" fillId="36" borderId="168" xfId="0" applyFill="1" applyBorder="1"/>
    <xf numFmtId="0" fontId="0" fillId="36" borderId="266" xfId="0" applyFill="1" applyBorder="1"/>
    <xf numFmtId="0" fontId="0" fillId="2" borderId="69" xfId="0" applyFill="1" applyBorder="1" applyAlignment="1">
      <alignment horizontal="center" vertical="center"/>
    </xf>
    <xf numFmtId="0" fontId="0" fillId="64" borderId="69" xfId="0" applyFill="1" applyBorder="1" applyAlignment="1">
      <alignment horizontal="center" vertical="center"/>
    </xf>
    <xf numFmtId="0" fontId="0" fillId="64" borderId="267" xfId="0" applyFill="1" applyBorder="1" applyAlignment="1">
      <alignment horizontal="center" vertical="center"/>
    </xf>
    <xf numFmtId="0" fontId="7" fillId="0" borderId="69" xfId="0" applyFont="1" applyBorder="1"/>
    <xf numFmtId="0" fontId="0" fillId="0" borderId="24" xfId="0" applyBorder="1" applyAlignment="1">
      <alignment horizontal="left" vertical="center" wrapText="1"/>
    </xf>
    <xf numFmtId="0" fontId="0" fillId="50" borderId="158" xfId="0" applyFill="1" applyBorder="1"/>
    <xf numFmtId="0" fontId="0" fillId="50" borderId="69" xfId="0" applyFill="1" applyBorder="1"/>
    <xf numFmtId="0" fontId="0" fillId="50" borderId="69" xfId="0" applyFill="1" applyBorder="1" applyAlignment="1">
      <alignment horizontal="right" vertical="center"/>
    </xf>
    <xf numFmtId="0" fontId="0" fillId="7" borderId="69" xfId="0" applyFill="1" applyBorder="1" applyAlignment="1">
      <alignment horizontal="left" vertical="center"/>
    </xf>
    <xf numFmtId="0" fontId="0" fillId="7" borderId="69" xfId="0" applyFill="1" applyBorder="1"/>
    <xf numFmtId="0" fontId="6" fillId="65" borderId="0" xfId="0" applyFont="1" applyFill="1"/>
    <xf numFmtId="0" fontId="19" fillId="0" borderId="0" xfId="0" applyFont="1" applyAlignment="1">
      <alignment horizontal="center" vertical="center"/>
    </xf>
    <xf numFmtId="0" fontId="121" fillId="0" borderId="1" xfId="0" applyFont="1" applyBorder="1" applyAlignment="1">
      <alignment horizontal="center"/>
    </xf>
    <xf numFmtId="0" fontId="16" fillId="66" borderId="1" xfId="0" applyFont="1" applyFill="1" applyBorder="1" applyAlignment="1">
      <alignment horizontal="center" vertical="center"/>
    </xf>
    <xf numFmtId="0" fontId="8" fillId="67" borderId="1" xfId="0" applyFont="1" applyFill="1" applyBorder="1"/>
    <xf numFmtId="0" fontId="0" fillId="67" borderId="1" xfId="0" applyFill="1" applyBorder="1"/>
    <xf numFmtId="44" fontId="11" fillId="0" borderId="268" xfId="2" applyNumberFormat="1" applyBorder="1"/>
    <xf numFmtId="244"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4" fillId="0" borderId="0" xfId="0" applyFont="1" applyAlignment="1">
      <alignment horizontal="center" wrapText="1"/>
    </xf>
    <xf numFmtId="8" fontId="16"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49" xfId="0" applyNumberFormat="1" applyBorder="1" applyAlignment="1">
      <alignment vertical="center"/>
    </xf>
    <xf numFmtId="38" fontId="0" fillId="0" borderId="50" xfId="0" applyNumberFormat="1" applyBorder="1" applyAlignment="1">
      <alignment vertical="center"/>
    </xf>
    <xf numFmtId="0" fontId="29" fillId="0" borderId="0" xfId="0" applyFont="1" applyAlignment="1" applyProtection="1">
      <alignment horizontal="left" vertical="center" wrapText="1"/>
      <protection locked="0"/>
    </xf>
    <xf numFmtId="0" fontId="29" fillId="2" borderId="0" xfId="0" applyFont="1" applyFill="1" applyAlignment="1" applyProtection="1">
      <alignment horizontal="left" vertical="center" wrapText="1"/>
      <protection locked="0"/>
    </xf>
    <xf numFmtId="0" fontId="10" fillId="10" borderId="0" xfId="0" applyFont="1" applyFill="1"/>
    <xf numFmtId="0" fontId="16" fillId="0" borderId="0" xfId="0" applyFont="1" applyAlignment="1" applyProtection="1">
      <alignment horizontal="left" vertical="center" wrapText="1"/>
      <protection locked="0"/>
    </xf>
    <xf numFmtId="0" fontId="6" fillId="9" borderId="5" xfId="0" applyFont="1" applyFill="1" applyBorder="1"/>
    <xf numFmtId="0" fontId="6" fillId="9" borderId="1" xfId="0" applyFont="1" applyFill="1" applyBorder="1"/>
    <xf numFmtId="0" fontId="6" fillId="9" borderId="6" xfId="0" applyFont="1" applyFill="1" applyBorder="1"/>
    <xf numFmtId="0" fontId="8" fillId="0" borderId="5" xfId="0" applyFont="1" applyBorder="1" applyAlignment="1">
      <alignment horizontal="center"/>
    </xf>
    <xf numFmtId="38" fontId="16" fillId="6" borderId="16" xfId="0" applyNumberFormat="1" applyFont="1" applyFill="1" applyBorder="1" applyAlignment="1">
      <alignment horizontal="center" vertical="center"/>
    </xf>
    <xf numFmtId="0" fontId="0" fillId="64" borderId="69" xfId="0" applyFill="1" applyBorder="1" applyAlignment="1">
      <alignment vertical="center"/>
    </xf>
    <xf numFmtId="0" fontId="0" fillId="36" borderId="70" xfId="0" applyFill="1" applyBorder="1" applyAlignment="1">
      <alignment vertical="center"/>
    </xf>
    <xf numFmtId="0" fontId="16" fillId="0" borderId="70" xfId="0" applyFont="1" applyBorder="1" applyAlignment="1">
      <alignment horizontal="center" vertical="center"/>
    </xf>
    <xf numFmtId="0" fontId="0" fillId="36" borderId="76" xfId="0" applyFill="1" applyBorder="1" applyAlignment="1">
      <alignment vertical="center"/>
    </xf>
    <xf numFmtId="0" fontId="0" fillId="69" borderId="15" xfId="0" applyFill="1" applyBorder="1" applyAlignment="1">
      <alignment vertical="center"/>
    </xf>
    <xf numFmtId="0" fontId="0" fillId="69" borderId="16" xfId="0" applyFill="1" applyBorder="1" applyAlignment="1">
      <alignment vertical="center"/>
    </xf>
    <xf numFmtId="0" fontId="0" fillId="69" borderId="70" xfId="0" applyFill="1" applyBorder="1" applyAlignment="1">
      <alignment vertical="center"/>
    </xf>
    <xf numFmtId="0" fontId="6" fillId="0" borderId="49" xfId="0" applyFont="1" applyBorder="1" applyAlignment="1">
      <alignment vertical="center" wrapText="1"/>
    </xf>
    <xf numFmtId="38" fontId="0" fillId="69" borderId="69" xfId="0" applyNumberFormat="1" applyFill="1" applyBorder="1" applyAlignment="1">
      <alignment horizontal="center" vertical="center"/>
    </xf>
    <xf numFmtId="0" fontId="0" fillId="69" borderId="69" xfId="0" applyFill="1" applyBorder="1" applyAlignment="1">
      <alignment vertical="center"/>
    </xf>
    <xf numFmtId="0" fontId="0" fillId="69" borderId="69" xfId="0" applyFill="1" applyBorder="1"/>
    <xf numFmtId="0" fontId="0" fillId="69" borderId="267" xfId="0" applyFill="1" applyBorder="1"/>
    <xf numFmtId="0" fontId="0" fillId="69" borderId="0" xfId="0" applyFill="1" applyAlignment="1">
      <alignment horizontal="center" vertical="center"/>
    </xf>
    <xf numFmtId="0" fontId="0" fillId="69" borderId="0" xfId="0" applyFill="1"/>
    <xf numFmtId="0" fontId="0" fillId="69" borderId="264" xfId="0" applyFill="1" applyBorder="1"/>
    <xf numFmtId="0" fontId="0" fillId="69" borderId="15" xfId="0" applyFill="1" applyBorder="1"/>
    <xf numFmtId="0" fontId="0" fillId="69" borderId="15" xfId="0" applyFill="1" applyBorder="1" applyAlignment="1">
      <alignment horizontal="right" vertical="center"/>
    </xf>
    <xf numFmtId="0" fontId="8" fillId="69" borderId="15" xfId="0" applyFont="1" applyFill="1" applyBorder="1" applyAlignment="1">
      <alignment horizontal="right" vertical="center"/>
    </xf>
    <xf numFmtId="0" fontId="0" fillId="69" borderId="266" xfId="0" applyFill="1" applyBorder="1"/>
    <xf numFmtId="0" fontId="0" fillId="69" borderId="70" xfId="0" applyFill="1" applyBorder="1"/>
    <xf numFmtId="0" fontId="14" fillId="69" borderId="70" xfId="0" applyFont="1" applyFill="1" applyBorder="1" applyAlignment="1">
      <alignment horizontal="right" vertical="center"/>
    </xf>
    <xf numFmtId="0" fontId="6" fillId="0" borderId="3" xfId="0" applyFont="1" applyBorder="1"/>
    <xf numFmtId="0" fontId="6" fillId="0" borderId="4" xfId="0" applyFont="1" applyBorder="1"/>
    <xf numFmtId="0" fontId="6" fillId="0" borderId="9" xfId="0" applyFont="1" applyBorder="1"/>
    <xf numFmtId="0" fontId="6" fillId="0" borderId="1" xfId="0" applyFont="1" applyBorder="1"/>
    <xf numFmtId="0" fontId="6" fillId="0" borderId="6" xfId="0" applyFont="1" applyBorder="1"/>
    <xf numFmtId="0" fontId="8" fillId="59" borderId="0" xfId="0" applyFont="1" applyFill="1"/>
    <xf numFmtId="0" fontId="61" fillId="59" borderId="15" xfId="0" applyFont="1" applyFill="1" applyBorder="1" applyAlignment="1">
      <alignment vertical="center"/>
    </xf>
    <xf numFmtId="0" fontId="61" fillId="59" borderId="16" xfId="0" applyFont="1" applyFill="1" applyBorder="1" applyAlignment="1">
      <alignment vertical="center"/>
    </xf>
    <xf numFmtId="9" fontId="16" fillId="6" borderId="131" xfId="4" applyFont="1" applyFill="1" applyBorder="1" applyAlignment="1">
      <alignment horizontal="center" vertical="center"/>
    </xf>
    <xf numFmtId="0" fontId="0" fillId="70" borderId="269" xfId="0" applyFill="1" applyBorder="1"/>
    <xf numFmtId="185" fontId="0" fillId="70" borderId="269" xfId="4" quotePrefix="1" applyNumberFormat="1" applyFont="1" applyFill="1" applyBorder="1" applyAlignment="1">
      <alignment horizontal="center" vertical="center"/>
    </xf>
    <xf numFmtId="0" fontId="0" fillId="70" borderId="269" xfId="0" quotePrefix="1" applyFill="1" applyBorder="1" applyAlignment="1">
      <alignment horizontal="center" vertical="center"/>
    </xf>
    <xf numFmtId="9" fontId="0" fillId="0" borderId="270" xfId="4" quotePrefix="1" applyFont="1" applyBorder="1" applyAlignment="1">
      <alignment horizontal="center" vertical="center"/>
    </xf>
    <xf numFmtId="9" fontId="0" fillId="0" borderId="269" xfId="4" applyFont="1" applyBorder="1" applyAlignment="1">
      <alignment horizontal="center" vertical="center"/>
    </xf>
    <xf numFmtId="0" fontId="0" fillId="70" borderId="160" xfId="0" applyFill="1" applyBorder="1"/>
    <xf numFmtId="185" fontId="0" fillId="70" borderId="160" xfId="4" quotePrefix="1" applyNumberFormat="1" applyFont="1" applyFill="1" applyBorder="1" applyAlignment="1">
      <alignment horizontal="center" vertical="center"/>
    </xf>
    <xf numFmtId="0" fontId="0" fillId="70" borderId="160" xfId="0" quotePrefix="1" applyFill="1" applyBorder="1" applyAlignment="1">
      <alignment horizontal="center" vertical="center"/>
    </xf>
    <xf numFmtId="9" fontId="0" fillId="0" borderId="271" xfId="4" quotePrefix="1" applyFont="1" applyBorder="1" applyAlignment="1">
      <alignment horizontal="center" vertical="center"/>
    </xf>
    <xf numFmtId="9" fontId="0" fillId="0" borderId="160" xfId="4" applyFont="1" applyBorder="1" applyAlignment="1">
      <alignment horizontal="center" vertical="center"/>
    </xf>
    <xf numFmtId="0" fontId="172" fillId="0" borderId="0" xfId="0" applyFont="1" applyAlignment="1">
      <alignment vertical="top"/>
    </xf>
    <xf numFmtId="0" fontId="61" fillId="59" borderId="50" xfId="0" applyFont="1" applyFill="1" applyBorder="1" applyAlignment="1">
      <alignment vertical="center"/>
    </xf>
    <xf numFmtId="0" fontId="61" fillId="59" borderId="49" xfId="0" applyFont="1" applyFill="1" applyBorder="1" applyAlignment="1">
      <alignment vertical="center"/>
    </xf>
    <xf numFmtId="9" fontId="16" fillId="6" borderId="50" xfId="4" applyFont="1" applyFill="1" applyBorder="1" applyAlignment="1">
      <alignment horizontal="center" vertical="center"/>
    </xf>
    <xf numFmtId="0" fontId="8" fillId="59" borderId="50" xfId="0" applyFont="1" applyFill="1" applyBorder="1" applyAlignment="1">
      <alignment vertical="center"/>
    </xf>
    <xf numFmtId="0" fontId="8" fillId="59" borderId="50" xfId="0" applyFont="1" applyFill="1" applyBorder="1"/>
    <xf numFmtId="0" fontId="16" fillId="6" borderId="1" xfId="0" applyFont="1" applyFill="1" applyBorder="1" applyAlignment="1">
      <alignment horizontal="center" vertical="center"/>
    </xf>
    <xf numFmtId="0" fontId="61" fillId="0" borderId="0" xfId="0" applyFont="1" applyAlignment="1">
      <alignment vertical="center"/>
    </xf>
    <xf numFmtId="0" fontId="0" fillId="70" borderId="269" xfId="0" applyFill="1" applyBorder="1" applyAlignment="1">
      <alignment horizontal="center" vertical="center"/>
    </xf>
    <xf numFmtId="0" fontId="0" fillId="0" borderId="270" xfId="0" quotePrefix="1" applyBorder="1" applyAlignment="1">
      <alignment horizontal="center" vertical="center"/>
    </xf>
    <xf numFmtId="0" fontId="0" fillId="0" borderId="269" xfId="0" quotePrefix="1" applyBorder="1" applyAlignment="1">
      <alignment horizontal="center" vertical="center"/>
    </xf>
    <xf numFmtId="0" fontId="0" fillId="70" borderId="160" xfId="0" applyFill="1" applyBorder="1" applyAlignment="1">
      <alignment horizontal="center" vertical="center"/>
    </xf>
    <xf numFmtId="0" fontId="0" fillId="0" borderId="271" xfId="0" quotePrefix="1" applyBorder="1" applyAlignment="1">
      <alignment horizontal="center" vertical="center"/>
    </xf>
    <xf numFmtId="0" fontId="0" fillId="0" borderId="160" xfId="0" quotePrefix="1" applyBorder="1" applyAlignment="1">
      <alignment horizontal="center" vertical="center"/>
    </xf>
    <xf numFmtId="0" fontId="61" fillId="70" borderId="269" xfId="0" applyFont="1" applyFill="1" applyBorder="1" applyAlignment="1">
      <alignment vertical="center"/>
    </xf>
    <xf numFmtId="9" fontId="16" fillId="70" borderId="269" xfId="4" applyFont="1" applyFill="1" applyBorder="1" applyAlignment="1">
      <alignment horizontal="center" vertical="center"/>
    </xf>
    <xf numFmtId="0" fontId="0" fillId="70" borderId="269" xfId="0" applyFill="1" applyBorder="1" applyAlignment="1">
      <alignment vertical="center"/>
    </xf>
    <xf numFmtId="0" fontId="0" fillId="70" borderId="272" xfId="0" quotePrefix="1" applyFill="1" applyBorder="1" applyAlignment="1">
      <alignment horizontal="center" vertical="center"/>
    </xf>
    <xf numFmtId="0" fontId="61" fillId="70" borderId="160" xfId="0" applyFont="1" applyFill="1" applyBorder="1" applyAlignment="1">
      <alignment vertical="center"/>
    </xf>
    <xf numFmtId="9" fontId="16" fillId="70" borderId="160" xfId="4" applyFont="1" applyFill="1" applyBorder="1" applyAlignment="1">
      <alignment horizontal="center" vertical="center"/>
    </xf>
    <xf numFmtId="0" fontId="0" fillId="70" borderId="160" xfId="0" applyFill="1" applyBorder="1" applyAlignment="1">
      <alignment vertical="center"/>
    </xf>
    <xf numFmtId="0" fontId="0" fillId="70" borderId="273" xfId="0" quotePrefix="1" applyFill="1" applyBorder="1" applyAlignment="1">
      <alignment horizontal="center" vertical="center"/>
    </xf>
    <xf numFmtId="9" fontId="16" fillId="0" borderId="0" xfId="4" applyFont="1" applyAlignment="1">
      <alignment horizontal="center" vertical="center"/>
    </xf>
    <xf numFmtId="185" fontId="0" fillId="0" borderId="0" xfId="4" quotePrefix="1" applyNumberFormat="1" applyFont="1" applyAlignment="1">
      <alignment horizontal="center" vertical="center"/>
    </xf>
    <xf numFmtId="0" fontId="8" fillId="59" borderId="49" xfId="0" applyFont="1" applyFill="1" applyBorder="1" applyAlignment="1">
      <alignment vertical="center"/>
    </xf>
    <xf numFmtId="0" fontId="8" fillId="59" borderId="49" xfId="0" applyFont="1" applyFill="1" applyBorder="1"/>
    <xf numFmtId="0" fontId="0" fillId="0" borderId="261" xfId="0" quotePrefix="1" applyBorder="1" applyAlignment="1">
      <alignment horizontal="center" vertical="center"/>
    </xf>
    <xf numFmtId="9" fontId="0" fillId="0" borderId="261" xfId="4" quotePrefix="1" applyFont="1" applyFill="1" applyBorder="1" applyAlignment="1">
      <alignment horizontal="center" vertical="center"/>
    </xf>
    <xf numFmtId="0" fontId="0" fillId="10" borderId="0" xfId="0" applyFill="1" applyAlignment="1">
      <alignment vertical="center"/>
    </xf>
    <xf numFmtId="0" fontId="61" fillId="71" borderId="49" xfId="0" applyFont="1" applyFill="1" applyBorder="1" applyAlignment="1">
      <alignment vertical="center"/>
    </xf>
    <xf numFmtId="0" fontId="8" fillId="71" borderId="15" xfId="0" applyFont="1" applyFill="1" applyBorder="1"/>
    <xf numFmtId="0" fontId="8" fillId="71" borderId="0" xfId="0" applyFont="1" applyFill="1"/>
    <xf numFmtId="0" fontId="61" fillId="71" borderId="16" xfId="0" applyFont="1" applyFill="1" applyBorder="1" applyAlignment="1">
      <alignment vertical="center"/>
    </xf>
    <xf numFmtId="9" fontId="16" fillId="6" borderId="0" xfId="4" applyFont="1" applyFill="1" applyBorder="1" applyAlignment="1">
      <alignment horizontal="center" vertical="center"/>
    </xf>
    <xf numFmtId="0" fontId="10" fillId="0" borderId="0" xfId="0" applyFont="1" applyAlignment="1">
      <alignment vertical="top" wrapText="1"/>
    </xf>
    <xf numFmtId="0" fontId="0" fillId="0" borderId="274" xfId="0" applyBorder="1"/>
    <xf numFmtId="9" fontId="8" fillId="0" borderId="275" xfId="4" applyFont="1" applyFill="1" applyBorder="1" applyAlignment="1">
      <alignment horizontal="center" vertical="center"/>
    </xf>
    <xf numFmtId="0" fontId="61" fillId="72" borderId="0" xfId="0" applyFont="1" applyFill="1" applyAlignment="1">
      <alignment vertical="center"/>
    </xf>
    <xf numFmtId="0" fontId="8" fillId="72" borderId="15" xfId="0" applyFont="1" applyFill="1" applyBorder="1"/>
    <xf numFmtId="0" fontId="61" fillId="72" borderId="49" xfId="0" applyFont="1" applyFill="1" applyBorder="1" applyAlignment="1">
      <alignment vertical="center"/>
    </xf>
    <xf numFmtId="0" fontId="8" fillId="72" borderId="16" xfId="0" applyFont="1" applyFill="1" applyBorder="1" applyAlignment="1">
      <alignment vertical="center"/>
    </xf>
    <xf numFmtId="0" fontId="8" fillId="72" borderId="16" xfId="0" applyFont="1" applyFill="1" applyBorder="1"/>
    <xf numFmtId="0" fontId="0" fillId="36" borderId="0" xfId="0" applyFill="1" applyAlignment="1">
      <alignment horizontal="right" vertical="center"/>
    </xf>
    <xf numFmtId="0" fontId="0" fillId="36" borderId="0" xfId="0" quotePrefix="1" applyFill="1" applyAlignment="1">
      <alignment horizontal="center" vertical="center"/>
    </xf>
    <xf numFmtId="0" fontId="0" fillId="37" borderId="0" xfId="0" applyFill="1" applyAlignment="1">
      <alignment horizontal="center" vertical="center"/>
    </xf>
    <xf numFmtId="0" fontId="0" fillId="0" borderId="250" xfId="0" applyBorder="1" applyAlignment="1">
      <alignment horizontal="center"/>
    </xf>
    <xf numFmtId="177" fontId="0" fillId="37" borderId="0" xfId="0" applyNumberFormat="1" applyFill="1" applyAlignment="1">
      <alignment horizontal="center" vertical="center"/>
    </xf>
    <xf numFmtId="0" fontId="0" fillId="10" borderId="15" xfId="0" applyFill="1" applyBorder="1" applyAlignment="1">
      <alignment vertical="center"/>
    </xf>
    <xf numFmtId="8" fontId="8" fillId="73" borderId="277" xfId="0" applyNumberFormat="1" applyFont="1" applyFill="1" applyBorder="1" applyAlignment="1">
      <alignment horizontal="center" vertical="center"/>
    </xf>
    <xf numFmtId="8" fontId="16" fillId="10" borderId="16" xfId="0" applyNumberFormat="1" applyFont="1" applyFill="1" applyBorder="1" applyAlignment="1">
      <alignment horizontal="left" vertical="center"/>
    </xf>
    <xf numFmtId="0" fontId="16" fillId="6" borderId="42" xfId="0" applyFont="1" applyFill="1" applyBorder="1" applyAlignment="1">
      <alignment horizontal="center" vertical="center"/>
    </xf>
    <xf numFmtId="0" fontId="175" fillId="25" borderId="0" xfId="0" applyFont="1" applyFill="1" applyAlignment="1">
      <alignment horizontal="center" vertical="center"/>
    </xf>
    <xf numFmtId="0" fontId="28" fillId="25" borderId="0" xfId="0" applyFont="1" applyFill="1" applyAlignment="1">
      <alignment horizontal="center" vertical="center"/>
    </xf>
    <xf numFmtId="8" fontId="179" fillId="73" borderId="276" xfId="0" applyNumberFormat="1" applyFont="1" applyFill="1" applyBorder="1" applyAlignment="1">
      <alignment horizontal="center" vertical="center"/>
    </xf>
    <xf numFmtId="0" fontId="9" fillId="0" borderId="278" xfId="0" applyFont="1" applyBorder="1" applyAlignment="1">
      <alignment horizontal="center"/>
    </xf>
    <xf numFmtId="223" fontId="28" fillId="25" borderId="15" xfId="0" applyNumberFormat="1" applyFont="1" applyFill="1" applyBorder="1" applyAlignment="1">
      <alignment horizontal="center" vertical="center"/>
    </xf>
    <xf numFmtId="9" fontId="16" fillId="6" borderId="15" xfId="4" applyFont="1" applyFill="1" applyBorder="1" applyAlignment="1" applyProtection="1">
      <alignment horizontal="right" vertical="center"/>
    </xf>
    <xf numFmtId="0" fontId="0" fillId="25" borderId="15" xfId="0" applyFill="1" applyBorder="1" applyAlignment="1">
      <alignment horizontal="center" vertical="center"/>
    </xf>
    <xf numFmtId="6" fontId="13" fillId="10" borderId="16" xfId="0" applyNumberFormat="1" applyFont="1" applyFill="1" applyBorder="1" applyAlignment="1">
      <alignment horizontal="left"/>
    </xf>
    <xf numFmtId="0" fontId="7" fillId="10" borderId="0" xfId="0" applyFont="1" applyFill="1"/>
    <xf numFmtId="0" fontId="0" fillId="0" borderId="15" xfId="0" applyBorder="1" applyProtection="1">
      <protection locked="0"/>
    </xf>
    <xf numFmtId="0" fontId="6" fillId="37" borderId="146" xfId="0" applyFont="1" applyFill="1" applyBorder="1"/>
    <xf numFmtId="0" fontId="6" fillId="37" borderId="24" xfId="0" applyFont="1" applyFill="1" applyBorder="1"/>
    <xf numFmtId="0" fontId="6" fillId="37" borderId="155" xfId="0" applyFont="1" applyFill="1" applyBorder="1"/>
    <xf numFmtId="0" fontId="17" fillId="37" borderId="21" xfId="0" applyFont="1" applyFill="1" applyBorder="1" applyAlignment="1">
      <alignment horizontal="right"/>
    </xf>
    <xf numFmtId="0" fontId="22" fillId="40" borderId="15" xfId="0" applyFont="1" applyFill="1" applyBorder="1" applyAlignment="1">
      <alignment horizontal="center" vertical="center"/>
    </xf>
    <xf numFmtId="0" fontId="6" fillId="37" borderId="38" xfId="0" applyFont="1" applyFill="1" applyBorder="1"/>
    <xf numFmtId="0" fontId="6" fillId="37" borderId="37" xfId="0" applyFont="1" applyFill="1" applyBorder="1"/>
    <xf numFmtId="0" fontId="6" fillId="37" borderId="33" xfId="0" applyFont="1" applyFill="1" applyBorder="1"/>
    <xf numFmtId="0" fontId="6" fillId="37" borderId="34" xfId="0" applyFont="1" applyFill="1" applyBorder="1"/>
    <xf numFmtId="0" fontId="16" fillId="0" borderId="0" xfId="0" applyFont="1" applyAlignment="1">
      <alignment horizontal="right"/>
    </xf>
    <xf numFmtId="0" fontId="180" fillId="0" borderId="0" xfId="0" applyFont="1" applyAlignment="1">
      <alignment vertical="center"/>
    </xf>
    <xf numFmtId="0" fontId="181" fillId="0" borderId="0" xfId="0" applyFont="1" applyAlignment="1">
      <alignment horizontal="left" vertical="center" indent="1"/>
    </xf>
    <xf numFmtId="184" fontId="0" fillId="0" borderId="0" xfId="0" applyNumberFormat="1" applyAlignment="1">
      <alignment vertical="center"/>
    </xf>
    <xf numFmtId="0" fontId="0" fillId="0" borderId="37" xfId="0" applyBorder="1" applyAlignment="1">
      <alignment vertical="center"/>
    </xf>
    <xf numFmtId="179" fontId="0" fillId="0" borderId="33" xfId="0" applyNumberFormat="1" applyBorder="1" applyAlignment="1">
      <alignment vertical="center"/>
    </xf>
    <xf numFmtId="0" fontId="0" fillId="0" borderId="46" xfId="0" applyBorder="1" applyAlignment="1">
      <alignment horizontal="right" vertical="center"/>
    </xf>
    <xf numFmtId="0" fontId="0" fillId="0" borderId="45" xfId="0" applyBorder="1" applyAlignment="1">
      <alignment horizontal="right" vertical="center"/>
    </xf>
    <xf numFmtId="0" fontId="0" fillId="0" borderId="83" xfId="0" applyBorder="1"/>
    <xf numFmtId="0" fontId="0" fillId="0" borderId="151" xfId="0" quotePrefix="1" applyBorder="1" applyAlignment="1">
      <alignment vertical="center"/>
    </xf>
    <xf numFmtId="0" fontId="0" fillId="0" borderId="282" xfId="0" quotePrefix="1" applyBorder="1" applyAlignment="1">
      <alignment vertical="center"/>
    </xf>
    <xf numFmtId="246" fontId="16" fillId="0" borderId="6" xfId="0" applyNumberFormat="1" applyFont="1" applyBorder="1" applyAlignment="1">
      <alignment horizontal="center" vertical="center"/>
    </xf>
    <xf numFmtId="0" fontId="6" fillId="0" borderId="5" xfId="0" applyFont="1" applyBorder="1" applyAlignment="1">
      <alignment horizontal="center" vertical="center"/>
    </xf>
    <xf numFmtId="225" fontId="0" fillId="0" borderId="12" xfId="0" applyNumberFormat="1" applyBorder="1" applyAlignment="1">
      <alignment vertical="center"/>
    </xf>
    <xf numFmtId="225" fontId="0" fillId="0" borderId="14" xfId="0" applyNumberFormat="1" applyBorder="1" applyAlignment="1">
      <alignment vertical="center"/>
    </xf>
    <xf numFmtId="225" fontId="0" fillId="0" borderId="42" xfId="0" applyNumberFormat="1" applyBorder="1" applyAlignment="1">
      <alignment vertical="center"/>
    </xf>
    <xf numFmtId="0" fontId="0" fillId="9" borderId="6" xfId="0" applyFill="1" applyBorder="1" applyAlignment="1">
      <alignment horizontal="center" wrapText="1"/>
    </xf>
    <xf numFmtId="0" fontId="0" fillId="0" borderId="13" xfId="0" applyBorder="1" applyAlignment="1">
      <alignment horizontal="center" vertical="center"/>
    </xf>
    <xf numFmtId="198" fontId="0" fillId="0" borderId="0" xfId="0" applyNumberFormat="1"/>
    <xf numFmtId="0" fontId="0" fillId="0" borderId="6" xfId="0" applyBorder="1" applyAlignment="1">
      <alignment horizontal="left" vertical="center"/>
    </xf>
    <xf numFmtId="0" fontId="0" fillId="9" borderId="5" xfId="0" applyFill="1" applyBorder="1" applyAlignment="1">
      <alignment horizontal="center" wrapText="1"/>
    </xf>
    <xf numFmtId="0" fontId="16" fillId="74" borderId="7" xfId="0" applyFont="1" applyFill="1" applyBorder="1" applyAlignment="1">
      <alignment horizontal="center" vertical="center"/>
    </xf>
    <xf numFmtId="249" fontId="29" fillId="75" borderId="5" xfId="0" applyNumberFormat="1" applyFont="1" applyFill="1" applyBorder="1" applyAlignment="1">
      <alignment horizontal="center" vertical="center"/>
    </xf>
    <xf numFmtId="249" fontId="29" fillId="75" borderId="1" xfId="0" applyNumberFormat="1" applyFont="1" applyFill="1" applyBorder="1" applyAlignment="1">
      <alignment horizontal="center" vertical="center"/>
    </xf>
    <xf numFmtId="0" fontId="16" fillId="74" borderId="11" xfId="0" applyFont="1" applyFill="1" applyBorder="1" applyAlignment="1">
      <alignment horizontal="center" vertical="center"/>
    </xf>
    <xf numFmtId="0" fontId="88" fillId="0" borderId="0" xfId="0" applyFont="1" applyAlignment="1">
      <alignment horizontal="left" vertical="top" wrapText="1"/>
    </xf>
    <xf numFmtId="6" fontId="16" fillId="2" borderId="153" xfId="1" applyNumberFormat="1" applyFont="1" applyFill="1" applyBorder="1" applyAlignment="1" applyProtection="1">
      <alignment horizontal="right" vertical="center" wrapText="1"/>
      <protection locked="0"/>
    </xf>
    <xf numFmtId="0" fontId="0" fillId="0" borderId="251" xfId="0" applyBorder="1" applyAlignment="1">
      <alignment horizontal="center" vertical="center"/>
    </xf>
    <xf numFmtId="0" fontId="0" fillId="0" borderId="251" xfId="0" applyBorder="1"/>
    <xf numFmtId="0" fontId="0" fillId="76" borderId="7" xfId="0" applyFill="1" applyBorder="1" applyAlignment="1">
      <alignment horizontal="center" wrapText="1"/>
    </xf>
    <xf numFmtId="0" fontId="0" fillId="76" borderId="40" xfId="0" applyFill="1" applyBorder="1" applyAlignment="1">
      <alignment horizontal="center" wrapText="1"/>
    </xf>
    <xf numFmtId="0" fontId="0" fillId="76" borderId="5" xfId="0" applyFill="1" applyBorder="1" applyAlignment="1">
      <alignment horizontal="center" wrapText="1"/>
    </xf>
    <xf numFmtId="0" fontId="0" fillId="76" borderId="6" xfId="0" applyFill="1" applyBorder="1" applyAlignment="1">
      <alignment horizontal="center" wrapText="1"/>
    </xf>
    <xf numFmtId="0" fontId="0" fillId="76" borderId="2" xfId="0" applyFill="1" applyBorder="1" applyAlignment="1">
      <alignment horizontal="center" wrapText="1"/>
    </xf>
    <xf numFmtId="0" fontId="28" fillId="76" borderId="7" xfId="0" applyFont="1" applyFill="1" applyBorder="1" applyAlignment="1">
      <alignment horizontal="center" wrapText="1"/>
    </xf>
    <xf numFmtId="247" fontId="0" fillId="76" borderId="7" xfId="0" applyNumberFormat="1" applyFill="1" applyBorder="1" applyAlignment="1">
      <alignment horizontal="center"/>
    </xf>
    <xf numFmtId="0" fontId="6" fillId="76" borderId="5" xfId="0" applyFont="1" applyFill="1" applyBorder="1" applyAlignment="1">
      <alignment horizontal="center"/>
    </xf>
    <xf numFmtId="0" fontId="6" fillId="76" borderId="1" xfId="0" applyFont="1" applyFill="1" applyBorder="1" applyAlignment="1">
      <alignment horizontal="center"/>
    </xf>
    <xf numFmtId="0" fontId="0" fillId="76" borderId="6" xfId="0" applyFill="1" applyBorder="1"/>
    <xf numFmtId="0" fontId="28" fillId="76" borderId="18" xfId="0" applyFont="1" applyFill="1" applyBorder="1" applyAlignment="1">
      <alignment horizontal="center"/>
    </xf>
    <xf numFmtId="0" fontId="0" fillId="0" borderId="35" xfId="0" applyBorder="1"/>
    <xf numFmtId="0" fontId="105" fillId="0" borderId="88" xfId="0" applyFont="1" applyBorder="1"/>
    <xf numFmtId="0" fontId="105" fillId="0" borderId="14" xfId="0" applyFont="1" applyBorder="1"/>
    <xf numFmtId="0" fontId="105" fillId="0" borderId="42" xfId="0" applyFont="1" applyBorder="1"/>
    <xf numFmtId="0" fontId="16" fillId="77" borderId="23" xfId="0" applyFont="1" applyFill="1" applyBorder="1" applyAlignment="1">
      <alignment horizontal="center" vertical="center"/>
    </xf>
    <xf numFmtId="0" fontId="6" fillId="76" borderId="1" xfId="0" quotePrefix="1" applyFont="1" applyFill="1" applyBorder="1" applyAlignment="1">
      <alignment horizontal="center"/>
    </xf>
    <xf numFmtId="0" fontId="6" fillId="0" borderId="5" xfId="0" applyFont="1" applyBorder="1" applyAlignment="1">
      <alignment horizontal="left" vertical="center"/>
    </xf>
    <xf numFmtId="0" fontId="16" fillId="2" borderId="23" xfId="0" applyFont="1" applyFill="1" applyBorder="1" applyAlignment="1" applyProtection="1">
      <alignment horizontal="right" vertical="center"/>
      <protection locked="0"/>
    </xf>
    <xf numFmtId="0" fontId="19" fillId="0" borderId="0" xfId="0" applyFont="1" applyAlignment="1">
      <alignment horizontal="center"/>
    </xf>
    <xf numFmtId="174" fontId="16" fillId="2" borderId="23" xfId="1" applyNumberFormat="1" applyFont="1" applyFill="1" applyBorder="1" applyAlignment="1" applyProtection="1">
      <alignment horizontal="right" vertical="center"/>
      <protection locked="0"/>
    </xf>
    <xf numFmtId="0" fontId="182" fillId="0" borderId="0" xfId="0" applyFont="1" applyAlignment="1">
      <alignment horizontal="left" vertical="center" indent="1"/>
    </xf>
    <xf numFmtId="0" fontId="6" fillId="76" borderId="1" xfId="0" applyFont="1" applyFill="1" applyBorder="1"/>
    <xf numFmtId="0" fontId="6" fillId="0" borderId="250" xfId="0" applyFont="1" applyBorder="1" applyAlignment="1">
      <alignment horizontal="left" vertical="center"/>
    </xf>
    <xf numFmtId="0" fontId="6" fillId="0" borderId="1" xfId="0" applyFont="1" applyBorder="1" applyAlignment="1">
      <alignment horizontal="left" vertical="center"/>
    </xf>
    <xf numFmtId="0" fontId="182" fillId="0" borderId="250" xfId="0" applyFont="1" applyBorder="1" applyAlignment="1">
      <alignment horizontal="left" vertical="center" indent="1"/>
    </xf>
    <xf numFmtId="248" fontId="16" fillId="77" borderId="67" xfId="0" applyNumberFormat="1" applyFont="1" applyFill="1" applyBorder="1" applyAlignment="1">
      <alignment horizontal="center" vertical="center"/>
    </xf>
    <xf numFmtId="248" fontId="16" fillId="77" borderId="17" xfId="0" applyNumberFormat="1" applyFont="1" applyFill="1" applyBorder="1" applyAlignment="1">
      <alignment horizontal="center" vertical="center"/>
    </xf>
    <xf numFmtId="195" fontId="16" fillId="77" borderId="17" xfId="0" applyNumberFormat="1" applyFont="1" applyFill="1" applyBorder="1" applyAlignment="1">
      <alignment horizontal="center" vertical="center"/>
    </xf>
    <xf numFmtId="248" fontId="16" fillId="77" borderId="60" xfId="0" applyNumberFormat="1" applyFont="1" applyFill="1" applyBorder="1" applyAlignment="1">
      <alignment horizontal="center" vertical="center"/>
    </xf>
    <xf numFmtId="248" fontId="16" fillId="77" borderId="16" xfId="0" applyNumberFormat="1" applyFont="1" applyFill="1" applyBorder="1" applyAlignment="1">
      <alignment horizontal="center" vertical="center"/>
    </xf>
    <xf numFmtId="195" fontId="16" fillId="77" borderId="16" xfId="0" applyNumberFormat="1" applyFont="1" applyFill="1" applyBorder="1" applyAlignment="1">
      <alignment horizontal="center" vertical="center"/>
    </xf>
    <xf numFmtId="0" fontId="0" fillId="0" borderId="61" xfId="0" applyBorder="1" applyAlignment="1">
      <alignment horizontal="left" vertical="center"/>
    </xf>
    <xf numFmtId="248" fontId="16" fillId="77" borderId="176" xfId="0" applyNumberFormat="1" applyFont="1" applyFill="1" applyBorder="1" applyAlignment="1">
      <alignment horizontal="center" vertical="center"/>
    </xf>
    <xf numFmtId="248" fontId="16" fillId="77" borderId="50" xfId="0" applyNumberFormat="1" applyFont="1" applyFill="1" applyBorder="1" applyAlignment="1">
      <alignment horizontal="center" vertical="center"/>
    </xf>
    <xf numFmtId="195" fontId="16" fillId="77" borderId="50" xfId="0" applyNumberFormat="1" applyFont="1" applyFill="1" applyBorder="1" applyAlignment="1">
      <alignment horizontal="center" vertical="center"/>
    </xf>
    <xf numFmtId="0" fontId="126" fillId="29" borderId="7" xfId="0" applyFont="1" applyFill="1" applyBorder="1" applyAlignment="1">
      <alignment horizontal="center" vertical="center" wrapText="1"/>
    </xf>
    <xf numFmtId="0" fontId="130" fillId="0" borderId="0" xfId="0" applyFont="1" applyAlignment="1">
      <alignment horizontal="left" wrapText="1"/>
    </xf>
    <xf numFmtId="0" fontId="8" fillId="0" borderId="0" xfId="0" applyFont="1" applyAlignment="1">
      <alignment horizontal="center" wrapText="1"/>
    </xf>
    <xf numFmtId="250" fontId="0" fillId="0" borderId="0" xfId="0" quotePrefix="1" applyNumberFormat="1" applyAlignment="1">
      <alignment horizontal="center" vertical="center" wrapText="1"/>
    </xf>
    <xf numFmtId="38" fontId="16" fillId="77" borderId="10" xfId="0" applyNumberFormat="1" applyFont="1" applyFill="1" applyBorder="1" applyAlignment="1">
      <alignment horizontal="center" vertical="top"/>
    </xf>
    <xf numFmtId="0" fontId="88" fillId="0" borderId="0" xfId="0" applyFont="1" applyAlignment="1">
      <alignment vertical="center" wrapText="1"/>
    </xf>
    <xf numFmtId="0" fontId="8" fillId="78" borderId="0" xfId="0" applyFont="1" applyFill="1" applyAlignment="1">
      <alignment vertical="center"/>
    </xf>
    <xf numFmtId="0" fontId="99" fillId="78" borderId="0" xfId="0" applyFont="1" applyFill="1" applyAlignment="1">
      <alignment horizontal="right" vertical="center"/>
    </xf>
    <xf numFmtId="0" fontId="8" fillId="18" borderId="0" xfId="0" applyFont="1" applyFill="1" applyAlignment="1">
      <alignment horizontal="right" vertical="center"/>
    </xf>
    <xf numFmtId="38" fontId="147" fillId="26" borderId="7" xfId="0" applyNumberFormat="1" applyFont="1" applyFill="1" applyBorder="1" applyAlignment="1">
      <alignment horizontal="center" vertical="top"/>
    </xf>
    <xf numFmtId="38" fontId="184" fillId="0" borderId="0" xfId="0" applyNumberFormat="1" applyFont="1" applyAlignment="1">
      <alignment horizontal="center" vertical="center"/>
    </xf>
    <xf numFmtId="38" fontId="16" fillId="77" borderId="6" xfId="0" applyNumberFormat="1" applyFont="1" applyFill="1" applyBorder="1" applyAlignment="1">
      <alignment horizontal="center" vertical="top"/>
    </xf>
    <xf numFmtId="211" fontId="16" fillId="77" borderId="7" xfId="0" applyNumberFormat="1" applyFont="1" applyFill="1" applyBorder="1" applyAlignment="1">
      <alignment horizontal="center" vertical="center"/>
    </xf>
    <xf numFmtId="38" fontId="16" fillId="77" borderId="7" xfId="0" applyNumberFormat="1" applyFont="1" applyFill="1" applyBorder="1" applyAlignment="1">
      <alignment horizontal="center" vertical="top"/>
    </xf>
    <xf numFmtId="0" fontId="0" fillId="0" borderId="7" xfId="0" applyBorder="1" applyAlignment="1">
      <alignment horizontal="center" vertical="center" wrapText="1"/>
    </xf>
    <xf numFmtId="38" fontId="19" fillId="26" borderId="285" xfId="0" applyNumberFormat="1" applyFont="1" applyFill="1" applyBorder="1" applyAlignment="1">
      <alignment horizontal="center" vertical="top"/>
    </xf>
    <xf numFmtId="38" fontId="16" fillId="77" borderId="5" xfId="0" applyNumberFormat="1" applyFont="1" applyFill="1" applyBorder="1" applyAlignment="1">
      <alignment horizontal="center" vertical="top"/>
    </xf>
    <xf numFmtId="38" fontId="19" fillId="26" borderId="286" xfId="0" applyNumberFormat="1" applyFont="1" applyFill="1" applyBorder="1" applyAlignment="1">
      <alignment horizontal="center" vertical="top"/>
    </xf>
    <xf numFmtId="0" fontId="88" fillId="80" borderId="0" xfId="0" applyFont="1" applyFill="1" applyAlignment="1">
      <alignment horizontal="left" vertical="top" wrapText="1"/>
    </xf>
    <xf numFmtId="0" fontId="88" fillId="81" borderId="0" xfId="0" applyFont="1" applyFill="1" applyAlignment="1">
      <alignment horizontal="left" vertical="top" wrapText="1"/>
    </xf>
    <xf numFmtId="0" fontId="88" fillId="0" borderId="0" xfId="0" applyFont="1" applyAlignment="1">
      <alignment vertical="top"/>
    </xf>
    <xf numFmtId="0" fontId="28" fillId="0" borderId="7" xfId="0" applyFont="1" applyBorder="1" applyAlignment="1">
      <alignment horizontal="center" vertical="center"/>
    </xf>
    <xf numFmtId="38" fontId="19" fillId="26" borderId="0" xfId="0" applyNumberFormat="1" applyFont="1" applyFill="1" applyAlignment="1">
      <alignment horizontal="center" vertical="top"/>
    </xf>
    <xf numFmtId="38" fontId="8" fillId="0" borderId="0" xfId="0" applyNumberFormat="1" applyFont="1" applyAlignment="1">
      <alignment horizontal="center" vertical="top"/>
    </xf>
    <xf numFmtId="38" fontId="147" fillId="11" borderId="285" xfId="0" applyNumberFormat="1" applyFont="1" applyFill="1" applyBorder="1" applyAlignment="1">
      <alignment horizontal="center" vertical="top" wrapText="1"/>
    </xf>
    <xf numFmtId="0" fontId="88" fillId="81" borderId="0" xfId="0" applyFont="1" applyFill="1" applyAlignment="1">
      <alignment vertical="top"/>
    </xf>
    <xf numFmtId="0" fontId="88" fillId="80" borderId="0" xfId="0" applyFont="1" applyFill="1" applyAlignment="1">
      <alignment vertical="top"/>
    </xf>
    <xf numFmtId="0" fontId="0" fillId="8" borderId="283" xfId="0" applyFill="1" applyBorder="1" applyAlignment="1">
      <alignment horizontal="center" vertical="top"/>
    </xf>
    <xf numFmtId="181" fontId="8" fillId="6" borderId="69" xfId="0" applyNumberFormat="1" applyFont="1" applyFill="1" applyBorder="1" applyAlignment="1">
      <alignment horizontal="center" vertical="center"/>
    </xf>
    <xf numFmtId="0" fontId="8" fillId="0" borderId="0" xfId="0" quotePrefix="1" applyFont="1" applyAlignment="1">
      <alignment vertical="top" wrapText="1"/>
    </xf>
    <xf numFmtId="0" fontId="121" fillId="19" borderId="7" xfId="0" applyFont="1" applyFill="1" applyBorder="1" applyAlignment="1">
      <alignment vertical="center" wrapText="1"/>
    </xf>
    <xf numFmtId="0" fontId="121" fillId="19" borderId="7" xfId="0" applyFont="1" applyFill="1" applyBorder="1" applyAlignment="1">
      <alignment horizontal="center" vertical="center" wrapText="1"/>
    </xf>
    <xf numFmtId="38" fontId="19" fillId="42" borderId="52" xfId="0" applyNumberFormat="1" applyFont="1" applyFill="1" applyBorder="1" applyAlignment="1">
      <alignment horizontal="center" vertical="top"/>
    </xf>
    <xf numFmtId="38" fontId="19" fillId="0" borderId="0" xfId="0" applyNumberFormat="1" applyFont="1" applyAlignment="1">
      <alignment horizontal="center" vertical="top"/>
    </xf>
    <xf numFmtId="0" fontId="122" fillId="19" borderId="7" xfId="0" applyFont="1" applyFill="1" applyBorder="1" applyAlignment="1">
      <alignment horizontal="center" vertical="center" wrapText="1"/>
    </xf>
    <xf numFmtId="0" fontId="64" fillId="0" borderId="0" xfId="0" applyFont="1" applyAlignment="1">
      <alignment horizontal="left" vertical="top"/>
    </xf>
    <xf numFmtId="0" fontId="8" fillId="0" borderId="0" xfId="0" applyFont="1" applyAlignment="1">
      <alignment vertical="center" textRotation="90" wrapText="1"/>
    </xf>
    <xf numFmtId="0" fontId="28" fillId="0" borderId="0" xfId="0" applyFont="1" applyAlignment="1">
      <alignment horizontal="center" vertical="top" wrapText="1"/>
    </xf>
    <xf numFmtId="38" fontId="147" fillId="42" borderId="286" xfId="0" applyNumberFormat="1" applyFont="1" applyFill="1" applyBorder="1" applyAlignment="1">
      <alignment horizontal="center" vertical="center"/>
    </xf>
    <xf numFmtId="38" fontId="16" fillId="0" borderId="0" xfId="0" applyNumberFormat="1" applyFont="1" applyAlignment="1">
      <alignment horizontal="center" vertical="top"/>
    </xf>
    <xf numFmtId="38" fontId="147" fillId="0" borderId="0" xfId="0" applyNumberFormat="1" applyFont="1" applyAlignment="1">
      <alignment horizontal="center" vertical="top"/>
    </xf>
    <xf numFmtId="0" fontId="7" fillId="0" borderId="14" xfId="0" applyFont="1" applyBorder="1" applyAlignment="1">
      <alignment vertical="top"/>
    </xf>
    <xf numFmtId="0" fontId="7" fillId="0" borderId="0" xfId="0" applyFont="1" applyAlignment="1">
      <alignment vertical="top"/>
    </xf>
    <xf numFmtId="38" fontId="8" fillId="0" borderId="0" xfId="0" applyNumberFormat="1" applyFont="1" applyAlignment="1">
      <alignment horizontal="center" vertical="center" textRotation="90" wrapText="1"/>
    </xf>
    <xf numFmtId="0" fontId="188" fillId="0" borderId="0" xfId="0" applyFont="1" applyAlignment="1">
      <alignment horizontal="center" vertical="center" textRotation="90" wrapText="1"/>
    </xf>
    <xf numFmtId="0" fontId="0" fillId="0" borderId="0" xfId="0" applyAlignment="1">
      <alignment horizontal="center" vertical="center" textRotation="90" wrapText="1"/>
    </xf>
    <xf numFmtId="38" fontId="16" fillId="0" borderId="0" xfId="0" applyNumberFormat="1" applyFont="1" applyAlignment="1">
      <alignment horizontal="center" vertical="top" wrapText="1"/>
    </xf>
    <xf numFmtId="38" fontId="147" fillId="0" borderId="14" xfId="0" applyNumberFormat="1" applyFont="1" applyBorder="1" applyAlignment="1">
      <alignment horizontal="center" vertical="top"/>
    </xf>
    <xf numFmtId="38" fontId="16" fillId="0" borderId="0" xfId="0" applyNumberFormat="1" applyFont="1" applyAlignment="1">
      <alignment horizontal="center"/>
    </xf>
    <xf numFmtId="0" fontId="99" fillId="0" borderId="0" xfId="0" applyFont="1" applyAlignment="1">
      <alignment horizontal="center" vertical="center" wrapText="1"/>
    </xf>
    <xf numFmtId="38" fontId="16" fillId="0" borderId="40" xfId="0" applyNumberFormat="1" applyFont="1" applyBorder="1" applyAlignment="1">
      <alignment horizontal="center" vertical="top" wrapText="1"/>
    </xf>
    <xf numFmtId="38" fontId="147" fillId="0" borderId="13" xfId="0" applyNumberFormat="1" applyFont="1" applyBorder="1" applyAlignment="1">
      <alignment horizontal="center" vertical="top"/>
    </xf>
    <xf numFmtId="38" fontId="16" fillId="0" borderId="13" xfId="0" applyNumberFormat="1" applyFont="1" applyBorder="1" applyAlignment="1">
      <alignment horizontal="center" vertical="top"/>
    </xf>
    <xf numFmtId="0" fontId="88" fillId="0" borderId="0" xfId="0" applyFont="1" applyAlignment="1">
      <alignment horizontal="left" vertical="center" wrapText="1"/>
    </xf>
    <xf numFmtId="38" fontId="19" fillId="26" borderId="294" xfId="0" applyNumberFormat="1" applyFont="1" applyFill="1" applyBorder="1" applyAlignment="1">
      <alignment horizontal="center" vertical="top"/>
    </xf>
    <xf numFmtId="38" fontId="16" fillId="77" borderId="7" xfId="0" applyNumberFormat="1" applyFont="1" applyFill="1" applyBorder="1" applyAlignment="1">
      <alignment horizontal="center" vertical="center"/>
    </xf>
    <xf numFmtId="38" fontId="147" fillId="26" borderId="285" xfId="0" applyNumberFormat="1" applyFont="1" applyFill="1" applyBorder="1" applyAlignment="1">
      <alignment horizontal="center" vertical="top"/>
    </xf>
    <xf numFmtId="0" fontId="64" fillId="0" borderId="0" xfId="0" applyFont="1" applyAlignment="1">
      <alignment vertical="top"/>
    </xf>
    <xf numFmtId="38" fontId="147" fillId="11" borderId="0" xfId="0" applyNumberFormat="1" applyFont="1" applyFill="1" applyAlignment="1">
      <alignment horizontal="center" vertical="center"/>
    </xf>
    <xf numFmtId="38" fontId="147" fillId="11" borderId="0" xfId="0" applyNumberFormat="1" applyFont="1" applyFill="1" applyAlignment="1">
      <alignment horizontal="center" vertical="top"/>
    </xf>
    <xf numFmtId="0" fontId="187" fillId="0" borderId="0" xfId="0" applyFont="1" applyAlignment="1">
      <alignment horizontal="left" vertical="top" wrapText="1"/>
    </xf>
    <xf numFmtId="38" fontId="19" fillId="31" borderId="0" xfId="0" applyNumberFormat="1" applyFont="1" applyFill="1" applyAlignment="1">
      <alignment horizontal="center" vertical="top"/>
    </xf>
    <xf numFmtId="0" fontId="64" fillId="0" borderId="0" xfId="0" quotePrefix="1" applyFont="1" applyAlignment="1">
      <alignment horizontal="left" vertical="top"/>
    </xf>
    <xf numFmtId="0" fontId="64" fillId="0" borderId="0" xfId="0" applyFont="1" applyAlignment="1">
      <alignment horizontal="left" vertical="top" wrapText="1"/>
    </xf>
    <xf numFmtId="38" fontId="147" fillId="11" borderId="285" xfId="0" applyNumberFormat="1" applyFont="1" applyFill="1" applyBorder="1" applyAlignment="1">
      <alignment horizontal="center" vertical="center"/>
    </xf>
    <xf numFmtId="38" fontId="16" fillId="77" borderId="7" xfId="0" applyNumberFormat="1" applyFont="1" applyFill="1" applyBorder="1" applyAlignment="1">
      <alignment horizontal="center" vertical="top" wrapText="1"/>
    </xf>
    <xf numFmtId="181" fontId="16" fillId="77" borderId="11" xfId="0" applyNumberFormat="1" applyFont="1" applyFill="1" applyBorder="1" applyAlignment="1">
      <alignment horizontal="center" vertical="center"/>
    </xf>
    <xf numFmtId="0" fontId="28" fillId="0" borderId="0" xfId="0" applyFont="1" applyAlignment="1">
      <alignment vertical="top" wrapText="1"/>
    </xf>
    <xf numFmtId="0" fontId="147" fillId="43" borderId="13" xfId="0" applyFont="1" applyFill="1" applyBorder="1" applyAlignment="1">
      <alignment horizontal="left" vertical="center"/>
    </xf>
    <xf numFmtId="0" fontId="147" fillId="43" borderId="13" xfId="0" applyFont="1" applyFill="1" applyBorder="1"/>
    <xf numFmtId="38" fontId="147" fillId="26" borderId="13" xfId="0" applyNumberFormat="1" applyFont="1" applyFill="1" applyBorder="1" applyAlignment="1">
      <alignment horizontal="center"/>
    </xf>
    <xf numFmtId="0" fontId="188" fillId="82" borderId="7" xfId="0" applyFont="1" applyFill="1" applyBorder="1"/>
    <xf numFmtId="38" fontId="19" fillId="42" borderId="0" xfId="0" applyNumberFormat="1" applyFont="1" applyFill="1" applyAlignment="1">
      <alignment horizontal="center" vertical="center"/>
    </xf>
    <xf numFmtId="38" fontId="16" fillId="6" borderId="0" xfId="0" applyNumberFormat="1" applyFont="1" applyFill="1" applyAlignment="1">
      <alignment horizontal="center" vertical="top"/>
    </xf>
    <xf numFmtId="38" fontId="14" fillId="0" borderId="0" xfId="0" applyNumberFormat="1" applyFont="1" applyAlignment="1">
      <alignment vertical="center" wrapText="1"/>
    </xf>
    <xf numFmtId="236" fontId="19" fillId="26" borderId="283" xfId="0" applyNumberFormat="1" applyFont="1" applyFill="1" applyBorder="1" applyAlignment="1">
      <alignment horizontal="center" vertical="center"/>
    </xf>
    <xf numFmtId="226" fontId="99" fillId="0" borderId="0" xfId="0" applyNumberFormat="1" applyFont="1"/>
    <xf numFmtId="38" fontId="190" fillId="11" borderId="0" xfId="0" applyNumberFormat="1" applyFont="1" applyFill="1" applyAlignment="1">
      <alignment horizontal="center" vertical="center" wrapText="1"/>
    </xf>
    <xf numFmtId="38" fontId="16" fillId="77" borderId="52" xfId="0" applyNumberFormat="1" applyFont="1" applyFill="1" applyBorder="1" applyAlignment="1">
      <alignment horizontal="center" vertical="center"/>
    </xf>
    <xf numFmtId="38" fontId="16" fillId="74" borderId="11" xfId="0" applyNumberFormat="1" applyFont="1" applyFill="1" applyBorder="1" applyAlignment="1">
      <alignment horizontal="center" vertical="center"/>
    </xf>
    <xf numFmtId="38" fontId="16" fillId="77" borderId="11" xfId="0" applyNumberFormat="1" applyFont="1" applyFill="1" applyBorder="1" applyAlignment="1">
      <alignment horizontal="center" vertical="top"/>
    </xf>
    <xf numFmtId="0" fontId="126" fillId="0" borderId="0" xfId="0" applyFont="1"/>
    <xf numFmtId="0" fontId="31" fillId="0" borderId="0" xfId="7"/>
    <xf numFmtId="0" fontId="37" fillId="0" borderId="0" xfId="7" applyFont="1"/>
    <xf numFmtId="0" fontId="31" fillId="8" borderId="305" xfId="7" applyFill="1" applyBorder="1"/>
    <xf numFmtId="8" fontId="55" fillId="86" borderId="250" xfId="7" applyNumberFormat="1" applyFont="1" applyFill="1" applyBorder="1" applyProtection="1">
      <protection locked="0"/>
    </xf>
    <xf numFmtId="0" fontId="31" fillId="8" borderId="307" xfId="7" applyFill="1" applyBorder="1"/>
    <xf numFmtId="8" fontId="55" fillId="87" borderId="250" xfId="7" applyNumberFormat="1" applyFont="1" applyFill="1" applyBorder="1" applyProtection="1">
      <protection locked="0"/>
    </xf>
    <xf numFmtId="0" fontId="31" fillId="8" borderId="146" xfId="7" applyFill="1" applyBorder="1"/>
    <xf numFmtId="0" fontId="31" fillId="8" borderId="24" xfId="7" applyFill="1" applyBorder="1"/>
    <xf numFmtId="0" fontId="31" fillId="8" borderId="155" xfId="7" applyFill="1" applyBorder="1"/>
    <xf numFmtId="40" fontId="55" fillId="86" borderId="250" xfId="13" applyNumberFormat="1" applyFont="1" applyFill="1" applyBorder="1" applyProtection="1">
      <protection locked="0"/>
    </xf>
    <xf numFmtId="209" fontId="31" fillId="0" borderId="0" xfId="7" applyNumberFormat="1"/>
    <xf numFmtId="0" fontId="31" fillId="8" borderId="21" xfId="7" applyFill="1" applyBorder="1"/>
    <xf numFmtId="0" fontId="31" fillId="8" borderId="0" xfId="7" applyFill="1"/>
    <xf numFmtId="0" fontId="31" fillId="8" borderId="0" xfId="7" applyFill="1" applyAlignment="1">
      <alignment horizontal="right"/>
    </xf>
    <xf numFmtId="251" fontId="55" fillId="86" borderId="23" xfId="7" applyNumberFormat="1" applyFont="1" applyFill="1" applyBorder="1" applyAlignment="1">
      <alignment horizontal="center"/>
    </xf>
    <xf numFmtId="0" fontId="31" fillId="8" borderId="38" xfId="7" applyFill="1" applyBorder="1"/>
    <xf numFmtId="164" fontId="31" fillId="0" borderId="23" xfId="14" applyNumberFormat="1" applyFont="1" applyFill="1" applyBorder="1" applyAlignment="1">
      <alignment horizontal="center"/>
    </xf>
    <xf numFmtId="38" fontId="31" fillId="88" borderId="250" xfId="13" applyNumberFormat="1" applyFont="1" applyFill="1" applyBorder="1"/>
    <xf numFmtId="164" fontId="55" fillId="86" borderId="23" xfId="14" applyNumberFormat="1" applyFont="1" applyFill="1" applyBorder="1" applyAlignment="1">
      <alignment horizontal="center"/>
    </xf>
    <xf numFmtId="38" fontId="55" fillId="86" borderId="250" xfId="13" applyNumberFormat="1" applyFont="1" applyFill="1" applyBorder="1" applyAlignment="1" applyProtection="1">
      <alignment vertical="center"/>
      <protection locked="0"/>
    </xf>
    <xf numFmtId="40" fontId="55" fillId="89" borderId="17" xfId="13" applyNumberFormat="1" applyFont="1" applyFill="1" applyBorder="1" applyAlignment="1">
      <alignment vertical="center"/>
    </xf>
    <xf numFmtId="164" fontId="0" fillId="8" borderId="81" xfId="14" applyNumberFormat="1" applyFont="1" applyFill="1" applyBorder="1" applyAlignment="1">
      <alignment horizontal="center"/>
    </xf>
    <xf numFmtId="164" fontId="55" fillId="86" borderId="250" xfId="14" applyNumberFormat="1" applyFont="1" applyFill="1" applyBorder="1" applyAlignment="1" applyProtection="1">
      <alignment vertical="center"/>
      <protection locked="0"/>
    </xf>
    <xf numFmtId="252" fontId="31" fillId="8" borderId="0" xfId="7" applyNumberFormat="1" applyFill="1"/>
    <xf numFmtId="8" fontId="31" fillId="8" borderId="5" xfId="7" applyNumberFormat="1" applyFill="1" applyBorder="1"/>
    <xf numFmtId="0" fontId="37" fillId="8" borderId="1" xfId="7" applyFont="1" applyFill="1" applyBorder="1"/>
    <xf numFmtId="0" fontId="31" fillId="8" borderId="1" xfId="7" applyFill="1" applyBorder="1"/>
    <xf numFmtId="0" fontId="31" fillId="8" borderId="313" xfId="7" applyFill="1" applyBorder="1"/>
    <xf numFmtId="0" fontId="31" fillId="8" borderId="314" xfId="7" applyFill="1" applyBorder="1"/>
    <xf numFmtId="0" fontId="31" fillId="8" borderId="37" xfId="7" applyFill="1" applyBorder="1"/>
    <xf numFmtId="0" fontId="31" fillId="8" borderId="33" xfId="7" applyFill="1" applyBorder="1"/>
    <xf numFmtId="0" fontId="31" fillId="8" borderId="34" xfId="7" applyFill="1" applyBorder="1"/>
    <xf numFmtId="164" fontId="55" fillId="86" borderId="250" xfId="14" applyNumberFormat="1" applyFont="1" applyFill="1" applyBorder="1"/>
    <xf numFmtId="8" fontId="31" fillId="8" borderId="0" xfId="7" applyNumberFormat="1" applyFill="1"/>
    <xf numFmtId="0" fontId="31" fillId="8" borderId="315" xfId="7" applyFill="1" applyBorder="1"/>
    <xf numFmtId="0" fontId="31" fillId="8" borderId="316" xfId="7" applyFill="1" applyBorder="1"/>
    <xf numFmtId="8" fontId="193" fillId="84" borderId="317" xfId="7" applyNumberFormat="1" applyFont="1" applyFill="1" applyBorder="1" applyAlignment="1">
      <alignment vertical="center"/>
    </xf>
    <xf numFmtId="0" fontId="193" fillId="84" borderId="318" xfId="7" applyFont="1" applyFill="1" applyBorder="1" applyAlignment="1">
      <alignment vertical="center"/>
    </xf>
    <xf numFmtId="0" fontId="31" fillId="84" borderId="319" xfId="7" applyFill="1" applyBorder="1" applyAlignment="1">
      <alignment vertical="center"/>
    </xf>
    <xf numFmtId="8" fontId="196" fillId="90" borderId="320" xfId="7" applyNumberFormat="1" applyFont="1" applyFill="1" applyBorder="1" applyAlignment="1">
      <alignment vertical="center"/>
    </xf>
    <xf numFmtId="0" fontId="196" fillId="90" borderId="321" xfId="7" applyFont="1" applyFill="1" applyBorder="1" applyAlignment="1">
      <alignment vertical="center"/>
    </xf>
    <xf numFmtId="0" fontId="197" fillId="90" borderId="322" xfId="7" applyFont="1" applyFill="1" applyBorder="1" applyAlignment="1">
      <alignment vertical="center"/>
    </xf>
    <xf numFmtId="10" fontId="0" fillId="8" borderId="316" xfId="14" applyNumberFormat="1" applyFont="1" applyFill="1" applyBorder="1"/>
    <xf numFmtId="0" fontId="37" fillId="8" borderId="323" xfId="7" applyFont="1" applyFill="1" applyBorder="1" applyAlignment="1">
      <alignment horizontal="center" wrapText="1"/>
    </xf>
    <xf numFmtId="0" fontId="31" fillId="8" borderId="324" xfId="7" applyFill="1" applyBorder="1" applyAlignment="1">
      <alignment horizontal="center" wrapText="1"/>
    </xf>
    <xf numFmtId="0" fontId="31" fillId="8" borderId="33" xfId="7" applyFill="1" applyBorder="1" applyAlignment="1">
      <alignment horizontal="center" wrapText="1"/>
    </xf>
    <xf numFmtId="0" fontId="31" fillId="8" borderId="33" xfId="7" applyFill="1" applyBorder="1" applyAlignment="1">
      <alignment horizontal="right" wrapText="1"/>
    </xf>
    <xf numFmtId="0" fontId="31" fillId="8" borderId="315" xfId="7" applyFill="1" applyBorder="1" applyAlignment="1">
      <alignment horizontal="right" wrapText="1"/>
    </xf>
    <xf numFmtId="0" fontId="31" fillId="8" borderId="325" xfId="7" applyFill="1" applyBorder="1" applyAlignment="1">
      <alignment horizontal="center" wrapText="1"/>
    </xf>
    <xf numFmtId="0" fontId="31" fillId="8" borderId="0" xfId="7" applyFill="1" applyAlignment="1">
      <alignment horizontal="right" wrapText="1"/>
    </xf>
    <xf numFmtId="0" fontId="31" fillId="8" borderId="316" xfId="7" applyFill="1" applyBorder="1" applyAlignment="1">
      <alignment horizontal="right" wrapText="1"/>
    </xf>
    <xf numFmtId="0" fontId="193" fillId="84" borderId="0" xfId="7" applyFont="1" applyFill="1" applyAlignment="1">
      <alignment horizontal="right" wrapText="1"/>
    </xf>
    <xf numFmtId="0" fontId="200" fillId="85" borderId="0" xfId="7" applyFont="1" applyFill="1" applyAlignment="1">
      <alignment horizontal="right" wrapText="1"/>
    </xf>
    <xf numFmtId="178" fontId="41" fillId="8" borderId="0" xfId="7" applyNumberFormat="1" applyFont="1" applyFill="1" applyAlignment="1">
      <alignment horizontal="center" vertical="center"/>
    </xf>
    <xf numFmtId="164" fontId="55" fillId="86" borderId="0" xfId="14" applyNumberFormat="1" applyFont="1" applyFill="1" applyBorder="1" applyAlignment="1" applyProtection="1">
      <alignment horizontal="center"/>
      <protection locked="0"/>
    </xf>
    <xf numFmtId="38" fontId="31" fillId="8" borderId="315" xfId="14" applyNumberFormat="1" applyFont="1" applyFill="1" applyBorder="1" applyAlignment="1">
      <alignment horizontal="center" vertical="center"/>
    </xf>
    <xf numFmtId="38" fontId="41" fillId="8" borderId="0" xfId="7" applyNumberFormat="1" applyFont="1" applyFill="1" applyAlignment="1">
      <alignment horizontal="center" vertical="center"/>
    </xf>
    <xf numFmtId="40" fontId="31" fillId="8" borderId="0" xfId="7" applyNumberFormat="1" applyFill="1"/>
    <xf numFmtId="185" fontId="0" fillId="8" borderId="316" xfId="14" applyNumberFormat="1" applyFont="1" applyFill="1" applyBorder="1"/>
    <xf numFmtId="38" fontId="31" fillId="0" borderId="0" xfId="7" applyNumberFormat="1"/>
    <xf numFmtId="8" fontId="31" fillId="0" borderId="0" xfId="7" applyNumberFormat="1"/>
    <xf numFmtId="8" fontId="193" fillId="84" borderId="326" xfId="7" applyNumberFormat="1" applyFont="1" applyFill="1" applyBorder="1"/>
    <xf numFmtId="8" fontId="200" fillId="85" borderId="327" xfId="7" applyNumberFormat="1" applyFont="1" applyFill="1" applyBorder="1"/>
    <xf numFmtId="1" fontId="31" fillId="8" borderId="0" xfId="7" applyNumberFormat="1" applyFill="1"/>
    <xf numFmtId="38" fontId="41" fillId="8" borderId="315" xfId="14" applyNumberFormat="1" applyFont="1" applyFill="1" applyBorder="1" applyAlignment="1">
      <alignment horizontal="center" vertical="center"/>
    </xf>
    <xf numFmtId="38" fontId="31" fillId="0" borderId="0" xfId="7" applyNumberFormat="1" applyAlignment="1">
      <alignment horizontal="center" vertical="center"/>
    </xf>
    <xf numFmtId="0" fontId="31" fillId="8" borderId="328" xfId="7" applyFill="1" applyBorder="1"/>
    <xf numFmtId="0" fontId="31" fillId="8" borderId="329" xfId="7" applyFill="1" applyBorder="1"/>
    <xf numFmtId="0" fontId="31" fillId="8" borderId="330" xfId="7" applyFill="1" applyBorder="1"/>
    <xf numFmtId="0" fontId="31" fillId="8" borderId="331" xfId="7" applyFill="1" applyBorder="1"/>
    <xf numFmtId="0" fontId="31" fillId="8" borderId="332" xfId="7" applyFill="1" applyBorder="1"/>
    <xf numFmtId="0" fontId="31" fillId="8" borderId="333" xfId="7" applyFill="1" applyBorder="1"/>
    <xf numFmtId="0" fontId="31" fillId="0" borderId="12" xfId="7" applyBorder="1"/>
    <xf numFmtId="0" fontId="31" fillId="0" borderId="2" xfId="7" applyBorder="1"/>
    <xf numFmtId="0" fontId="31" fillId="0" borderId="48" xfId="7" applyBorder="1" applyAlignment="1">
      <alignment horizontal="center"/>
    </xf>
    <xf numFmtId="0" fontId="31" fillId="0" borderId="14" xfId="7" applyBorder="1"/>
    <xf numFmtId="0" fontId="31" fillId="0" borderId="0" xfId="7" applyAlignment="1">
      <alignment horizontal="center"/>
    </xf>
    <xf numFmtId="0" fontId="31" fillId="0" borderId="40" xfId="7" applyBorder="1" applyAlignment="1">
      <alignment horizontal="center"/>
    </xf>
    <xf numFmtId="38" fontId="31" fillId="0" borderId="0" xfId="7" quotePrefix="1" applyNumberFormat="1"/>
    <xf numFmtId="0" fontId="31" fillId="0" borderId="0" xfId="7" quotePrefix="1"/>
    <xf numFmtId="0" fontId="31" fillId="0" borderId="42" xfId="7" applyBorder="1"/>
    <xf numFmtId="0" fontId="31" fillId="0" borderId="250" xfId="7" applyBorder="1"/>
    <xf numFmtId="0" fontId="31" fillId="0" borderId="250" xfId="7" applyBorder="1" applyAlignment="1">
      <alignment horizontal="center"/>
    </xf>
    <xf numFmtId="0" fontId="31" fillId="0" borderId="251" xfId="7" applyBorder="1" applyAlignment="1">
      <alignment horizontal="center"/>
    </xf>
    <xf numFmtId="0" fontId="202" fillId="0" borderId="0" xfId="7" applyFont="1" applyAlignment="1">
      <alignment horizontal="left" vertical="top" wrapText="1"/>
    </xf>
    <xf numFmtId="0" fontId="204" fillId="8" borderId="24" xfId="7" applyFont="1" applyFill="1" applyBorder="1" applyAlignment="1">
      <alignment horizontal="left" vertical="center"/>
    </xf>
    <xf numFmtId="0" fontId="31" fillId="0" borderId="24" xfId="7" applyBorder="1"/>
    <xf numFmtId="0" fontId="204" fillId="8" borderId="0" xfId="7" applyFont="1" applyFill="1" applyAlignment="1">
      <alignment horizontal="left" vertical="center"/>
    </xf>
    <xf numFmtId="0" fontId="204" fillId="8" borderId="0" xfId="7" quotePrefix="1" applyFont="1" applyFill="1" applyAlignment="1">
      <alignment horizontal="left" vertical="center"/>
    </xf>
    <xf numFmtId="0" fontId="204" fillId="8" borderId="250" xfId="7" applyFont="1" applyFill="1" applyBorder="1" applyAlignment="1">
      <alignment horizontal="left" vertical="center"/>
    </xf>
    <xf numFmtId="0" fontId="31" fillId="8" borderId="250" xfId="7" applyFill="1" applyBorder="1"/>
    <xf numFmtId="0" fontId="204" fillId="8" borderId="37" xfId="7" applyFont="1" applyFill="1" applyBorder="1" applyAlignment="1">
      <alignment vertical="center" wrapText="1"/>
    </xf>
    <xf numFmtId="0" fontId="204" fillId="8" borderId="334" xfId="7" applyFont="1" applyFill="1" applyBorder="1" applyAlignment="1">
      <alignment horizontal="left" vertical="center"/>
    </xf>
    <xf numFmtId="0" fontId="204" fillId="8" borderId="2" xfId="7" applyFont="1" applyFill="1" applyBorder="1" applyAlignment="1">
      <alignment horizontal="left" vertical="center"/>
    </xf>
    <xf numFmtId="0" fontId="204" fillId="8" borderId="21" xfId="7" applyFont="1" applyFill="1" applyBorder="1" applyAlignment="1">
      <alignment horizontal="left" vertical="center"/>
    </xf>
    <xf numFmtId="0" fontId="204" fillId="8" borderId="37" xfId="7" applyFont="1" applyFill="1" applyBorder="1" applyAlignment="1">
      <alignment horizontal="left" vertical="center"/>
    </xf>
    <xf numFmtId="0" fontId="204" fillId="8" borderId="33" xfId="7" applyFont="1" applyFill="1" applyBorder="1" applyAlignment="1">
      <alignment horizontal="left" vertical="center"/>
    </xf>
    <xf numFmtId="0" fontId="31" fillId="0" borderId="33" xfId="7" applyBorder="1"/>
    <xf numFmtId="0" fontId="205" fillId="8" borderId="0" xfId="7" applyFont="1" applyFill="1" applyAlignment="1">
      <alignment vertical="center" wrapText="1"/>
    </xf>
    <xf numFmtId="0" fontId="205" fillId="8" borderId="24" xfId="7" applyFont="1" applyFill="1" applyBorder="1" applyAlignment="1">
      <alignment horizontal="left" vertical="center"/>
    </xf>
    <xf numFmtId="0" fontId="205" fillId="8" borderId="0" xfId="7" applyFont="1" applyFill="1" applyAlignment="1">
      <alignment horizontal="left" vertical="center"/>
    </xf>
    <xf numFmtId="0" fontId="205" fillId="8" borderId="250" xfId="7" applyFont="1" applyFill="1" applyBorder="1" applyAlignment="1">
      <alignment horizontal="left" vertical="center"/>
    </xf>
    <xf numFmtId="0" fontId="205" fillId="8" borderId="33" xfId="7" applyFont="1" applyFill="1" applyBorder="1" applyAlignment="1">
      <alignment horizontal="left" vertical="center"/>
    </xf>
    <xf numFmtId="14" fontId="31" fillId="0" borderId="0" xfId="7" applyNumberFormat="1"/>
    <xf numFmtId="164" fontId="0" fillId="0" borderId="0" xfId="14" applyNumberFormat="1" applyFont="1" applyAlignment="1" applyProtection="1">
      <alignment horizontal="center" vertical="center"/>
    </xf>
    <xf numFmtId="0" fontId="31" fillId="0" borderId="0" xfId="7" applyAlignment="1">
      <alignment horizontal="center" vertical="center"/>
    </xf>
    <xf numFmtId="0" fontId="89" fillId="0" borderId="0" xfId="0" applyFont="1" applyAlignment="1">
      <alignment horizontal="right"/>
    </xf>
    <xf numFmtId="8" fontId="16" fillId="14" borderId="335" xfId="0" applyNumberFormat="1" applyFont="1" applyFill="1" applyBorder="1" applyAlignment="1" applyProtection="1">
      <alignment vertical="center"/>
      <protection locked="0"/>
    </xf>
    <xf numFmtId="8" fontId="16" fillId="14" borderId="166" xfId="0" applyNumberFormat="1" applyFont="1" applyFill="1" applyBorder="1" applyAlignment="1" applyProtection="1">
      <alignment vertical="center"/>
      <protection locked="0"/>
    </xf>
    <xf numFmtId="8" fontId="16" fillId="0" borderId="40" xfId="0" applyNumberFormat="1" applyFont="1" applyBorder="1" applyAlignment="1">
      <alignment vertical="center"/>
    </xf>
    <xf numFmtId="8" fontId="0" fillId="0" borderId="61" xfId="0" applyNumberFormat="1" applyBorder="1" applyAlignment="1">
      <alignment vertical="center"/>
    </xf>
    <xf numFmtId="8" fontId="0" fillId="0" borderId="66" xfId="0" applyNumberFormat="1" applyBorder="1" applyAlignment="1">
      <alignment horizontal="right" vertical="center"/>
    </xf>
    <xf numFmtId="8" fontId="8" fillId="0" borderId="0" xfId="0" applyNumberFormat="1" applyFont="1" applyAlignment="1">
      <alignment vertical="center"/>
    </xf>
    <xf numFmtId="8" fontId="183" fillId="14" borderId="59" xfId="0" applyNumberFormat="1" applyFont="1" applyFill="1" applyBorder="1" applyAlignment="1" applyProtection="1">
      <alignment horizontal="center" vertical="center"/>
      <protection locked="0"/>
    </xf>
    <xf numFmtId="8" fontId="183" fillId="14" borderId="61" xfId="0" applyNumberFormat="1" applyFont="1" applyFill="1" applyBorder="1" applyAlignment="1" applyProtection="1">
      <alignment horizontal="center" vertical="center"/>
      <protection locked="0"/>
    </xf>
    <xf numFmtId="38" fontId="16" fillId="6" borderId="7" xfId="0" applyNumberFormat="1" applyFont="1" applyFill="1" applyBorder="1" applyAlignment="1">
      <alignment horizontal="center" vertical="top"/>
    </xf>
    <xf numFmtId="38" fontId="19" fillId="26" borderId="7" xfId="0" applyNumberFormat="1" applyFont="1" applyFill="1" applyBorder="1" applyAlignment="1">
      <alignment horizontal="center" vertical="top"/>
    </xf>
    <xf numFmtId="3" fontId="16" fillId="77" borderId="336" xfId="0" applyNumberFormat="1" applyFont="1" applyFill="1" applyBorder="1" applyAlignment="1">
      <alignment horizontal="center" vertical="center"/>
    </xf>
    <xf numFmtId="3" fontId="16" fillId="77" borderId="7" xfId="0" applyNumberFormat="1" applyFont="1" applyFill="1" applyBorder="1" applyAlignment="1">
      <alignment horizontal="center" vertical="top"/>
    </xf>
    <xf numFmtId="3" fontId="16" fillId="77" borderId="6" xfId="0" applyNumberFormat="1" applyFont="1" applyFill="1" applyBorder="1" applyAlignment="1">
      <alignment horizontal="center" vertical="top"/>
    </xf>
    <xf numFmtId="38" fontId="19" fillId="26" borderId="6" xfId="0" applyNumberFormat="1" applyFont="1" applyFill="1" applyBorder="1" applyAlignment="1">
      <alignment horizontal="center" vertical="top"/>
    </xf>
    <xf numFmtId="38" fontId="16" fillId="6" borderId="7" xfId="0" applyNumberFormat="1" applyFont="1" applyFill="1" applyBorder="1" applyAlignment="1">
      <alignment horizontal="center" vertical="center"/>
    </xf>
    <xf numFmtId="0" fontId="103" fillId="0" borderId="0" xfId="0" applyFont="1" applyAlignment="1">
      <alignment vertical="center" textRotation="90"/>
    </xf>
    <xf numFmtId="38" fontId="8" fillId="0" borderId="0" xfId="0" applyNumberFormat="1" applyFont="1"/>
    <xf numFmtId="0" fontId="59" fillId="0" borderId="72" xfId="0" applyFont="1" applyBorder="1" applyAlignment="1">
      <alignment vertical="center"/>
    </xf>
    <xf numFmtId="8" fontId="16" fillId="14" borderId="23" xfId="0" applyNumberFormat="1" applyFont="1" applyFill="1" applyBorder="1" applyAlignment="1" applyProtection="1">
      <alignment horizontal="right" vertical="center"/>
      <protection locked="0"/>
    </xf>
    <xf numFmtId="8" fontId="16" fillId="14" borderId="337" xfId="0" applyNumberFormat="1" applyFont="1" applyFill="1" applyBorder="1" applyAlignment="1" applyProtection="1">
      <alignment vertical="center"/>
      <protection locked="0"/>
    </xf>
    <xf numFmtId="176" fontId="8" fillId="0" borderId="0" xfId="0" applyNumberFormat="1" applyFont="1"/>
    <xf numFmtId="0" fontId="8" fillId="0" borderId="0" xfId="0" applyFont="1" applyAlignment="1">
      <alignment textRotation="90"/>
    </xf>
    <xf numFmtId="38" fontId="147" fillId="11" borderId="0" xfId="0" applyNumberFormat="1" applyFont="1" applyFill="1"/>
    <xf numFmtId="38" fontId="147" fillId="11" borderId="338" xfId="0" applyNumberFormat="1" applyFont="1" applyFill="1" applyBorder="1" applyAlignment="1">
      <alignment horizontal="center" vertical="center"/>
    </xf>
    <xf numFmtId="38" fontId="147" fillId="11" borderId="0" xfId="0" applyNumberFormat="1" applyFont="1" applyFill="1" applyAlignment="1">
      <alignment vertical="center"/>
    </xf>
    <xf numFmtId="38" fontId="147" fillId="11" borderId="295" xfId="0" applyNumberFormat="1" applyFont="1" applyFill="1" applyBorder="1" applyAlignment="1">
      <alignment horizontal="center" vertical="center"/>
    </xf>
    <xf numFmtId="38" fontId="16" fillId="0" borderId="0" xfId="0" applyNumberFormat="1" applyFont="1" applyAlignment="1">
      <alignment horizontal="center" vertical="center"/>
    </xf>
    <xf numFmtId="38" fontId="19" fillId="26" borderId="288" xfId="0" applyNumberFormat="1" applyFont="1" applyFill="1" applyBorder="1" applyAlignment="1">
      <alignment horizontal="center" vertical="top"/>
    </xf>
    <xf numFmtId="0" fontId="7" fillId="0" borderId="250" xfId="0" applyFont="1" applyBorder="1"/>
    <xf numFmtId="0" fontId="7" fillId="0" borderId="0" xfId="0" applyFont="1" applyAlignment="1">
      <alignment horizontal="left" vertical="top"/>
    </xf>
    <xf numFmtId="0" fontId="7" fillId="0" borderId="0" xfId="0" quotePrefix="1" applyFont="1" applyAlignment="1">
      <alignment horizontal="left" vertical="top"/>
    </xf>
    <xf numFmtId="38" fontId="8" fillId="0" borderId="287" xfId="0" applyNumberFormat="1" applyFont="1" applyBorder="1"/>
    <xf numFmtId="0" fontId="0" fillId="0" borderId="10" xfId="0" applyBorder="1" applyAlignment="1">
      <alignment horizontal="center" vertical="center"/>
    </xf>
    <xf numFmtId="0" fontId="16" fillId="93" borderId="15" xfId="0" applyFont="1" applyFill="1" applyBorder="1" applyAlignment="1">
      <alignment horizontal="center" vertical="center"/>
    </xf>
    <xf numFmtId="38" fontId="147" fillId="11" borderId="11" xfId="0" applyNumberFormat="1" applyFont="1" applyFill="1" applyBorder="1" applyAlignment="1">
      <alignment horizontal="center" vertical="top"/>
    </xf>
    <xf numFmtId="38" fontId="16" fillId="77" borderId="12" xfId="0" applyNumberFormat="1" applyFont="1" applyFill="1" applyBorder="1" applyAlignment="1">
      <alignment horizontal="center" vertical="top"/>
    </xf>
    <xf numFmtId="0" fontId="0" fillId="0" borderId="339" xfId="0" applyBorder="1" applyAlignment="1">
      <alignment vertical="center"/>
    </xf>
    <xf numFmtId="253" fontId="3" fillId="0" borderId="14" xfId="0" applyNumberFormat="1" applyFont="1" applyBorder="1" applyAlignment="1">
      <alignment horizontal="center" vertical="center"/>
    </xf>
    <xf numFmtId="225" fontId="3" fillId="0" borderId="14" xfId="0" applyNumberFormat="1" applyFont="1" applyBorder="1" applyAlignment="1">
      <alignment horizontal="center" vertical="center"/>
    </xf>
    <xf numFmtId="254" fontId="184" fillId="6" borderId="42" xfId="0" applyNumberFormat="1" applyFont="1" applyFill="1" applyBorder="1" applyAlignment="1">
      <alignment horizontal="center" vertical="center"/>
    </xf>
    <xf numFmtId="0" fontId="0" fillId="18" borderId="343" xfId="0" applyFill="1" applyBorder="1" applyAlignment="1">
      <alignment horizontal="left" vertical="center" wrapText="1"/>
    </xf>
    <xf numFmtId="0" fontId="0" fillId="0" borderId="339" xfId="0" applyBorder="1"/>
    <xf numFmtId="0" fontId="0" fillId="0" borderId="344" xfId="0" applyBorder="1"/>
    <xf numFmtId="0" fontId="0" fillId="0" borderId="343" xfId="0" applyBorder="1" applyAlignment="1">
      <alignment horizontal="left" vertical="center" wrapText="1"/>
    </xf>
    <xf numFmtId="0" fontId="0" fillId="0" borderId="341" xfId="0" applyBorder="1" applyAlignment="1">
      <alignment horizontal="left" vertical="top" wrapText="1"/>
    </xf>
    <xf numFmtId="0" fontId="0" fillId="0" borderId="343" xfId="0" applyBorder="1" applyAlignment="1">
      <alignment horizontal="left" vertical="top" wrapText="1"/>
    </xf>
    <xf numFmtId="0" fontId="8" fillId="0" borderId="0" xfId="0" applyFont="1" applyAlignment="1">
      <alignment horizontal="left" vertical="center" textRotation="90"/>
    </xf>
    <xf numFmtId="38" fontId="8" fillId="0" borderId="0" xfId="0" quotePrefix="1" applyNumberFormat="1" applyFont="1"/>
    <xf numFmtId="0" fontId="0" fillId="0" borderId="179" xfId="0" applyBorder="1" applyAlignment="1">
      <alignment horizontal="center" vertical="center"/>
    </xf>
    <xf numFmtId="209" fontId="91" fillId="0" borderId="16" xfId="5" applyNumberFormat="1" applyBorder="1" applyAlignment="1">
      <alignment vertical="center"/>
    </xf>
    <xf numFmtId="49" fontId="0" fillId="0" borderId="191" xfId="0" quotePrefix="1" applyNumberFormat="1" applyBorder="1" applyAlignment="1">
      <alignment vertical="center"/>
    </xf>
    <xf numFmtId="0" fontId="0" fillId="0" borderId="190" xfId="0" applyBorder="1" applyAlignment="1">
      <alignment horizontal="left" vertical="center"/>
    </xf>
    <xf numFmtId="0" fontId="7" fillId="10" borderId="16" xfId="0" applyFont="1" applyFill="1" applyBorder="1" applyAlignment="1">
      <alignment vertical="center"/>
    </xf>
    <xf numFmtId="0" fontId="19" fillId="0" borderId="40" xfId="0" applyFont="1" applyBorder="1" applyAlignment="1" applyProtection="1">
      <alignment horizontal="center" vertical="center" wrapText="1"/>
      <protection locked="0"/>
    </xf>
    <xf numFmtId="9" fontId="5" fillId="0" borderId="0" xfId="4" applyFont="1" applyFill="1" applyBorder="1" applyAlignment="1">
      <alignment horizontal="center" vertical="center"/>
    </xf>
    <xf numFmtId="0" fontId="0" fillId="0" borderId="13" xfId="0" applyBorder="1" applyAlignment="1">
      <alignment vertical="center"/>
    </xf>
    <xf numFmtId="38" fontId="0" fillId="0" borderId="67" xfId="0" applyNumberFormat="1" applyBorder="1" applyAlignment="1">
      <alignment horizontal="center" vertical="center"/>
    </xf>
    <xf numFmtId="10" fontId="0" fillId="0" borderId="60" xfId="4" applyNumberFormat="1" applyFont="1" applyFill="1" applyBorder="1" applyAlignment="1">
      <alignment horizontal="center" vertical="center"/>
    </xf>
    <xf numFmtId="185" fontId="0" fillId="0" borderId="65" xfId="0" applyNumberFormat="1" applyBorder="1" applyAlignment="1">
      <alignment horizontal="center" vertical="center"/>
    </xf>
    <xf numFmtId="0" fontId="0" fillId="37" borderId="225" xfId="0" applyFill="1" applyBorder="1" applyAlignment="1">
      <alignment vertical="center"/>
    </xf>
    <xf numFmtId="44" fontId="0" fillId="0" borderId="0" xfId="1" applyFont="1"/>
    <xf numFmtId="44" fontId="0" fillId="0" borderId="39" xfId="1" applyFont="1" applyBorder="1"/>
    <xf numFmtId="0" fontId="0" fillId="0" borderId="39" xfId="0" applyBorder="1"/>
    <xf numFmtId="0" fontId="0" fillId="0" borderId="39" xfId="0" applyBorder="1" applyAlignment="1">
      <alignment horizontal="center"/>
    </xf>
    <xf numFmtId="9" fontId="16" fillId="6" borderId="39" xfId="4" applyFont="1" applyFill="1" applyBorder="1" applyAlignment="1">
      <alignment horizontal="center" vertical="center"/>
    </xf>
    <xf numFmtId="44" fontId="6" fillId="0" borderId="39" xfId="0" applyNumberFormat="1" applyFont="1" applyBorder="1"/>
    <xf numFmtId="38" fontId="16" fillId="77" borderId="346" xfId="0" applyNumberFormat="1" applyFont="1" applyFill="1" applyBorder="1" applyAlignment="1">
      <alignment horizontal="center" vertical="top"/>
    </xf>
    <xf numFmtId="0" fontId="0" fillId="3" borderId="233" xfId="0" applyFill="1" applyBorder="1" applyAlignment="1">
      <alignment horizontal="left" vertical="center"/>
    </xf>
    <xf numFmtId="0" fontId="0" fillId="3" borderId="4" xfId="0" applyFill="1" applyBorder="1" applyAlignment="1">
      <alignment horizontal="left" vertical="center"/>
    </xf>
    <xf numFmtId="164" fontId="0" fillId="0" borderId="233" xfId="4" applyNumberFormat="1" applyFont="1" applyFill="1" applyBorder="1" applyAlignment="1" applyProtection="1">
      <alignment horizontal="center" vertical="center"/>
    </xf>
    <xf numFmtId="0" fontId="0" fillId="3" borderId="106" xfId="0" applyFill="1" applyBorder="1" applyAlignment="1">
      <alignment vertical="center"/>
    </xf>
    <xf numFmtId="0" fontId="0" fillId="0" borderId="348" xfId="0" applyBorder="1" applyAlignment="1">
      <alignment horizontal="center" vertical="center" wrapText="1"/>
    </xf>
    <xf numFmtId="8" fontId="16" fillId="0" borderId="49" xfId="0" applyNumberFormat="1" applyFont="1" applyBorder="1" applyAlignment="1">
      <alignment horizontal="right" vertical="center"/>
    </xf>
    <xf numFmtId="9" fontId="8" fillId="0" borderId="15" xfId="4" applyFont="1" applyFill="1" applyBorder="1" applyAlignment="1">
      <alignment horizontal="center" vertical="center"/>
    </xf>
    <xf numFmtId="0" fontId="34" fillId="0" borderId="0" xfId="0" applyFont="1" applyAlignment="1">
      <alignment vertical="center"/>
    </xf>
    <xf numFmtId="0" fontId="28" fillId="0" borderId="0" xfId="0" applyFont="1" applyAlignment="1">
      <alignment horizontal="center" vertical="center" wrapText="1"/>
    </xf>
    <xf numFmtId="0" fontId="10" fillId="0" borderId="107" xfId="0" quotePrefix="1" applyFont="1" applyBorder="1" applyAlignment="1">
      <alignment horizontal="left" vertical="center"/>
    </xf>
    <xf numFmtId="0" fontId="0" fillId="0" borderId="107" xfId="0" applyBorder="1" applyAlignment="1">
      <alignment horizontal="right" vertical="center"/>
    </xf>
    <xf numFmtId="0" fontId="0" fillId="0" borderId="107" xfId="0" applyBorder="1"/>
    <xf numFmtId="0" fontId="0" fillId="0" borderId="107" xfId="0" applyBorder="1" applyAlignment="1">
      <alignment horizontal="center" vertical="center"/>
    </xf>
    <xf numFmtId="185" fontId="0" fillId="0" borderId="107" xfId="4" applyNumberFormat="1" applyFont="1" applyBorder="1" applyAlignment="1">
      <alignment horizontal="center" vertical="center"/>
    </xf>
    <xf numFmtId="0" fontId="0" fillId="0" borderId="107" xfId="0" quotePrefix="1" applyBorder="1"/>
    <xf numFmtId="0" fontId="0" fillId="0" borderId="146" xfId="0" applyBorder="1"/>
    <xf numFmtId="0" fontId="0" fillId="0" borderId="24" xfId="0" applyBorder="1"/>
    <xf numFmtId="0" fontId="0" fillId="0" borderId="24" xfId="0" applyBorder="1" applyAlignment="1">
      <alignment horizontal="right" vertical="center"/>
    </xf>
    <xf numFmtId="0" fontId="0" fillId="0" borderId="21" xfId="0" applyBorder="1"/>
    <xf numFmtId="0" fontId="0" fillId="0" borderId="37" xfId="0" applyBorder="1"/>
    <xf numFmtId="191" fontId="0" fillId="0" borderId="0" xfId="0" quotePrefix="1" applyNumberFormat="1" applyAlignment="1">
      <alignment horizontal="right" vertical="center"/>
    </xf>
    <xf numFmtId="1" fontId="0" fillId="0" borderId="90" xfId="0" applyNumberFormat="1" applyBorder="1" applyAlignment="1">
      <alignment horizontal="center" vertical="center"/>
    </xf>
    <xf numFmtId="1" fontId="0" fillId="0" borderId="91" xfId="0" applyNumberFormat="1" applyBorder="1" applyAlignment="1">
      <alignment horizontal="center" vertical="center"/>
    </xf>
    <xf numFmtId="1" fontId="0" fillId="0" borderId="220" xfId="0" applyNumberFormat="1" applyBorder="1" applyAlignment="1">
      <alignment horizontal="center" vertical="center"/>
    </xf>
    <xf numFmtId="0" fontId="16" fillId="77" borderId="76" xfId="0" applyFont="1" applyFill="1" applyBorder="1" applyAlignment="1">
      <alignment horizontal="center" vertical="center"/>
    </xf>
    <xf numFmtId="44" fontId="0" fillId="0" borderId="0" xfId="1" applyFont="1" applyFill="1"/>
    <xf numFmtId="0" fontId="6" fillId="0" borderId="39" xfId="0" applyFont="1" applyBorder="1" applyAlignment="1">
      <alignment horizontal="center"/>
    </xf>
    <xf numFmtId="0" fontId="6" fillId="0" borderId="80" xfId="0" applyFont="1" applyBorder="1" applyAlignment="1">
      <alignment horizontal="right"/>
    </xf>
    <xf numFmtId="44" fontId="0" fillId="0" borderId="0" xfId="1" applyFont="1" applyBorder="1"/>
    <xf numFmtId="3" fontId="16" fillId="77" borderId="7" xfId="0" applyNumberFormat="1" applyFont="1" applyFill="1" applyBorder="1" applyAlignment="1">
      <alignment horizontal="center" vertical="center" wrapText="1"/>
    </xf>
    <xf numFmtId="0" fontId="8" fillId="98" borderId="0" xfId="0" applyFont="1" applyFill="1" applyAlignment="1">
      <alignment horizontal="right" vertical="center"/>
    </xf>
    <xf numFmtId="0" fontId="99" fillId="98" borderId="0" xfId="0" applyFont="1" applyFill="1" applyAlignment="1">
      <alignment horizontal="right" vertical="center"/>
    </xf>
    <xf numFmtId="0" fontId="206" fillId="98" borderId="7" xfId="0" applyFont="1" applyFill="1" applyBorder="1" applyAlignment="1">
      <alignment horizontal="center" vertical="center" wrapText="1"/>
    </xf>
    <xf numFmtId="0" fontId="99" fillId="98" borderId="0" xfId="0" applyFont="1" applyFill="1" applyAlignment="1">
      <alignment horizontal="center"/>
    </xf>
    <xf numFmtId="0" fontId="8" fillId="98" borderId="0" xfId="0" applyFont="1" applyFill="1"/>
    <xf numFmtId="0" fontId="2" fillId="98" borderId="0" xfId="0" applyFont="1" applyFill="1" applyAlignment="1">
      <alignment horizontal="center"/>
    </xf>
    <xf numFmtId="0" fontId="0" fillId="98" borderId="0" xfId="0" applyFill="1"/>
    <xf numFmtId="0" fontId="18" fillId="98" borderId="0" xfId="0" applyFont="1" applyFill="1" applyAlignment="1">
      <alignment vertical="center"/>
    </xf>
    <xf numFmtId="0" fontId="0" fillId="98" borderId="0" xfId="0" applyFill="1" applyAlignment="1">
      <alignment horizontal="right" vertical="center"/>
    </xf>
    <xf numFmtId="0" fontId="0" fillId="98" borderId="0" xfId="0" applyFill="1" applyAlignment="1">
      <alignment horizontal="center" vertical="center" wrapText="1"/>
    </xf>
    <xf numFmtId="0" fontId="99" fillId="98" borderId="0" xfId="0" applyFont="1" applyFill="1"/>
    <xf numFmtId="0" fontId="92" fillId="98" borderId="0" xfId="0" applyFont="1" applyFill="1" applyAlignment="1">
      <alignment horizontal="center"/>
    </xf>
    <xf numFmtId="38" fontId="14" fillId="0" borderId="152" xfId="0" applyNumberFormat="1" applyFont="1" applyBorder="1" applyAlignment="1">
      <alignment horizontal="center" vertical="center"/>
    </xf>
    <xf numFmtId="216" fontId="0" fillId="0" borderId="15" xfId="0" applyNumberFormat="1" applyBorder="1" applyAlignment="1">
      <alignment vertical="center"/>
    </xf>
    <xf numFmtId="9" fontId="16" fillId="6" borderId="70" xfId="4" applyFont="1" applyFill="1" applyBorder="1" applyAlignment="1">
      <alignment horizontal="center" vertical="center"/>
    </xf>
    <xf numFmtId="38" fontId="16" fillId="77" borderId="10" xfId="0" applyNumberFormat="1" applyFont="1" applyFill="1" applyBorder="1" applyAlignment="1">
      <alignment horizontal="center" vertical="center"/>
    </xf>
    <xf numFmtId="38" fontId="16" fillId="77" borderId="346" xfId="0" applyNumberFormat="1" applyFont="1" applyFill="1" applyBorder="1" applyAlignment="1">
      <alignment horizontal="center" vertical="center"/>
    </xf>
    <xf numFmtId="38" fontId="19" fillId="26" borderId="285" xfId="0" applyNumberFormat="1" applyFont="1" applyFill="1" applyBorder="1" applyAlignment="1">
      <alignment horizontal="center" vertical="center"/>
    </xf>
    <xf numFmtId="0" fontId="99" fillId="19" borderId="7" xfId="0" quotePrefix="1" applyFont="1" applyFill="1" applyBorder="1" applyAlignment="1">
      <alignment horizontal="center"/>
    </xf>
    <xf numFmtId="0" fontId="99" fillId="19" borderId="7" xfId="0" applyFont="1" applyFill="1" applyBorder="1" applyAlignment="1">
      <alignment horizontal="center" vertical="center"/>
    </xf>
    <xf numFmtId="0" fontId="99" fillId="19" borderId="7" xfId="0" applyFont="1" applyFill="1" applyBorder="1" applyAlignment="1">
      <alignment horizontal="center" vertical="top"/>
    </xf>
    <xf numFmtId="0" fontId="103" fillId="102" borderId="0" xfId="0" quotePrefix="1" applyFont="1" applyFill="1"/>
    <xf numFmtId="0" fontId="215" fillId="13" borderId="0" xfId="0" applyFont="1" applyFill="1" applyAlignment="1">
      <alignment vertical="center"/>
    </xf>
    <xf numFmtId="44" fontId="0" fillId="0" borderId="0" xfId="1" quotePrefix="1" applyFont="1"/>
    <xf numFmtId="0" fontId="0" fillId="103" borderId="0" xfId="0" applyFill="1" applyAlignment="1">
      <alignment horizontal="center"/>
    </xf>
    <xf numFmtId="0" fontId="0" fillId="103" borderId="0" xfId="0" applyFill="1"/>
    <xf numFmtId="0" fontId="0" fillId="35" borderId="0" xfId="0" applyFill="1" applyAlignment="1">
      <alignment horizontal="center"/>
    </xf>
    <xf numFmtId="0" fontId="0" fillId="35" borderId="0" xfId="0" applyFill="1"/>
    <xf numFmtId="0" fontId="0" fillId="104" borderId="0" xfId="0" applyFill="1" applyAlignment="1">
      <alignment horizontal="center"/>
    </xf>
    <xf numFmtId="0" fontId="0" fillId="104" borderId="0" xfId="0" applyFill="1"/>
    <xf numFmtId="44" fontId="41" fillId="0" borderId="0" xfId="1" applyFont="1" applyFill="1" applyProtection="1"/>
    <xf numFmtId="0" fontId="8" fillId="0" borderId="0" xfId="0" applyFont="1" applyAlignment="1">
      <alignment horizontal="center"/>
    </xf>
    <xf numFmtId="0" fontId="0" fillId="0" borderId="65" xfId="0" applyBorder="1"/>
    <xf numFmtId="0" fontId="0" fillId="0" borderId="66" xfId="0" applyBorder="1"/>
    <xf numFmtId="0" fontId="0" fillId="0" borderId="66" xfId="0" quotePrefix="1" applyBorder="1"/>
    <xf numFmtId="0" fontId="0" fillId="0" borderId="60" xfId="0" applyBorder="1"/>
    <xf numFmtId="0" fontId="0" fillId="0" borderId="61" xfId="0" applyBorder="1"/>
    <xf numFmtId="0" fontId="0" fillId="0" borderId="61" xfId="0" quotePrefix="1" applyBorder="1"/>
    <xf numFmtId="0" fontId="0" fillId="0" borderId="50" xfId="0" applyBorder="1"/>
    <xf numFmtId="0" fontId="0" fillId="0" borderId="167" xfId="0" applyBorder="1"/>
    <xf numFmtId="0" fontId="0" fillId="0" borderId="167" xfId="0" quotePrefix="1" applyBorder="1"/>
    <xf numFmtId="0" fontId="28" fillId="7" borderId="16" xfId="0" applyFont="1" applyFill="1" applyBorder="1" applyAlignment="1">
      <alignment horizontal="center" vertical="center"/>
    </xf>
    <xf numFmtId="227" fontId="0" fillId="0" borderId="16" xfId="0" applyNumberFormat="1" applyBorder="1" applyAlignment="1">
      <alignment horizontal="center"/>
    </xf>
    <xf numFmtId="0" fontId="8" fillId="7" borderId="16" xfId="0" applyFont="1" applyFill="1" applyBorder="1" applyAlignment="1">
      <alignment vertical="center"/>
    </xf>
    <xf numFmtId="0" fontId="0" fillId="7" borderId="49" xfId="0" applyFill="1" applyBorder="1" applyAlignment="1">
      <alignment horizontal="center" vertical="center"/>
    </xf>
    <xf numFmtId="0" fontId="8" fillId="7" borderId="49" xfId="0" applyFont="1" applyFill="1" applyBorder="1" applyAlignment="1">
      <alignment vertical="center"/>
    </xf>
    <xf numFmtId="0" fontId="216" fillId="15" borderId="0" xfId="0" applyFont="1" applyFill="1" applyAlignment="1">
      <alignment horizontal="center"/>
    </xf>
    <xf numFmtId="0" fontId="216" fillId="15" borderId="0" xfId="0" applyFont="1" applyFill="1"/>
    <xf numFmtId="0" fontId="207" fillId="0" borderId="14" xfId="0" applyFont="1" applyBorder="1" applyAlignment="1">
      <alignment horizontal="right" vertical="top"/>
    </xf>
    <xf numFmtId="0" fontId="207" fillId="0" borderId="358" xfId="0" applyFont="1" applyBorder="1" applyAlignment="1">
      <alignment horizontal="right" vertical="top"/>
    </xf>
    <xf numFmtId="0" fontId="103" fillId="8" borderId="0" xfId="0" applyFont="1" applyFill="1"/>
    <xf numFmtId="0" fontId="103" fillId="8" borderId="2" xfId="0" applyFont="1" applyFill="1" applyBorder="1"/>
    <xf numFmtId="0" fontId="101" fillId="92" borderId="359" xfId="0" applyFont="1" applyFill="1" applyBorder="1" applyAlignment="1">
      <alignment vertical="center"/>
    </xf>
    <xf numFmtId="0" fontId="16" fillId="6" borderId="360" xfId="0" applyFont="1" applyFill="1" applyBorder="1" applyAlignment="1">
      <alignment horizontal="center" vertical="center"/>
    </xf>
    <xf numFmtId="0" fontId="16" fillId="92" borderId="361" xfId="0" applyFont="1" applyFill="1" applyBorder="1" applyAlignment="1">
      <alignment horizontal="center" vertical="center"/>
    </xf>
    <xf numFmtId="0" fontId="16" fillId="6" borderId="362" xfId="0" applyFont="1" applyFill="1" applyBorder="1" applyAlignment="1">
      <alignment horizontal="center" vertical="center"/>
    </xf>
    <xf numFmtId="181" fontId="16" fillId="6" borderId="363" xfId="0" applyNumberFormat="1" applyFont="1" applyFill="1" applyBorder="1" applyAlignment="1">
      <alignment horizontal="center" vertical="center"/>
    </xf>
    <xf numFmtId="0" fontId="0" fillId="92" borderId="361" xfId="0" applyFill="1" applyBorder="1"/>
    <xf numFmtId="9" fontId="16" fillId="6" borderId="364" xfId="0" applyNumberFormat="1" applyFont="1" applyFill="1" applyBorder="1" applyAlignment="1">
      <alignment horizontal="center" vertical="center"/>
    </xf>
    <xf numFmtId="0" fontId="16" fillId="6" borderId="365" xfId="0" applyFont="1" applyFill="1" applyBorder="1" applyAlignment="1">
      <alignment horizontal="center" vertical="center"/>
    </xf>
    <xf numFmtId="0" fontId="16" fillId="6" borderId="366" xfId="0" applyFont="1" applyFill="1" applyBorder="1" applyAlignment="1">
      <alignment horizontal="center" vertical="center"/>
    </xf>
    <xf numFmtId="38" fontId="16" fillId="6" borderId="367" xfId="0" applyNumberFormat="1" applyFont="1" applyFill="1" applyBorder="1" applyAlignment="1">
      <alignment horizontal="center" vertical="center"/>
    </xf>
    <xf numFmtId="38" fontId="16" fillId="6" borderId="368" xfId="0" applyNumberFormat="1" applyFont="1" applyFill="1" applyBorder="1" applyAlignment="1">
      <alignment horizontal="center" vertical="center"/>
    </xf>
    <xf numFmtId="9" fontId="16" fillId="6" borderId="368" xfId="0" applyNumberFormat="1" applyFont="1" applyFill="1" applyBorder="1" applyAlignment="1">
      <alignment horizontal="center" vertical="center"/>
    </xf>
    <xf numFmtId="38" fontId="16" fillId="6" borderId="369" xfId="0" applyNumberFormat="1" applyFont="1" applyFill="1" applyBorder="1" applyAlignment="1">
      <alignment horizontal="center" vertical="center"/>
    </xf>
    <xf numFmtId="38" fontId="16" fillId="6" borderId="363" xfId="0" applyNumberFormat="1" applyFont="1" applyFill="1" applyBorder="1" applyAlignment="1">
      <alignment horizontal="center" vertical="center"/>
    </xf>
    <xf numFmtId="0" fontId="6" fillId="0" borderId="14" xfId="0" applyFont="1" applyBorder="1"/>
    <xf numFmtId="0" fontId="8" fillId="0" borderId="354" xfId="0" applyFont="1" applyBorder="1" applyAlignment="1">
      <alignment horizontal="center" vertical="center"/>
    </xf>
    <xf numFmtId="0" fontId="0" fillId="0" borderId="370" xfId="0" applyBorder="1" applyAlignment="1">
      <alignment horizontal="right" vertical="top"/>
    </xf>
    <xf numFmtId="0" fontId="8" fillId="0" borderId="339" xfId="0" applyFont="1" applyBorder="1"/>
    <xf numFmtId="0" fontId="8" fillId="0" borderId="40" xfId="0" applyFont="1" applyBorder="1"/>
    <xf numFmtId="0" fontId="0" fillId="0" borderId="371" xfId="0" applyBorder="1" applyAlignment="1">
      <alignment horizontal="right" vertical="top"/>
    </xf>
    <xf numFmtId="0" fontId="8" fillId="0" borderId="354" xfId="0" applyFont="1" applyBorder="1" applyAlignment="1">
      <alignment horizontal="center" vertical="center" wrapText="1"/>
    </xf>
    <xf numFmtId="0" fontId="0" fillId="0" borderId="372" xfId="0" applyBorder="1" applyAlignment="1">
      <alignment horizontal="right" vertical="top"/>
    </xf>
    <xf numFmtId="0" fontId="8" fillId="0" borderId="0" xfId="0" applyFont="1" applyAlignment="1">
      <alignment horizontal="center" vertical="center" wrapText="1"/>
    </xf>
    <xf numFmtId="0" fontId="0" fillId="0" borderId="373" xfId="0" applyBorder="1" applyAlignment="1">
      <alignment horizontal="right" vertical="top"/>
    </xf>
    <xf numFmtId="0" fontId="0" fillId="0" borderId="14" xfId="0" applyBorder="1" applyAlignment="1">
      <alignment horizontal="right" vertical="top"/>
    </xf>
    <xf numFmtId="0" fontId="0" fillId="0" borderId="374" xfId="0" applyBorder="1" applyAlignment="1">
      <alignment horizontal="right" vertical="top"/>
    </xf>
    <xf numFmtId="0" fontId="0" fillId="0" borderId="354" xfId="0" applyBorder="1" applyAlignment="1">
      <alignment horizontal="center" vertical="center"/>
    </xf>
    <xf numFmtId="0" fontId="0" fillId="0" borderId="374" xfId="0" applyBorder="1" applyAlignment="1">
      <alignment horizontal="right" vertical="center"/>
    </xf>
    <xf numFmtId="0" fontId="0" fillId="18" borderId="373" xfId="0" applyFill="1" applyBorder="1" applyAlignment="1">
      <alignment horizontal="right" vertical="top"/>
    </xf>
    <xf numFmtId="0" fontId="0" fillId="18" borderId="374" xfId="0" applyFill="1" applyBorder="1" applyAlignment="1">
      <alignment horizontal="right" vertical="center"/>
    </xf>
    <xf numFmtId="0" fontId="0" fillId="0" borderId="358" xfId="0" applyBorder="1"/>
    <xf numFmtId="0" fontId="0" fillId="0" borderId="354" xfId="0" applyBorder="1"/>
    <xf numFmtId="0" fontId="12" fillId="0" borderId="0" xfId="0" applyFont="1" applyAlignment="1">
      <alignment vertical="center" wrapText="1"/>
    </xf>
    <xf numFmtId="40" fontId="16" fillId="6" borderId="354" xfId="0" applyNumberFormat="1" applyFont="1" applyFill="1" applyBorder="1" applyAlignment="1">
      <alignment horizontal="center" vertical="center"/>
    </xf>
    <xf numFmtId="38" fontId="8" fillId="18" borderId="151" xfId="0" applyNumberFormat="1" applyFont="1" applyFill="1" applyBorder="1" applyAlignment="1">
      <alignment horizontal="center" vertical="center"/>
    </xf>
    <xf numFmtId="38" fontId="16" fillId="0" borderId="78" xfId="4" applyNumberFormat="1" applyFont="1" applyFill="1" applyBorder="1" applyAlignment="1">
      <alignment horizontal="center" vertical="center"/>
    </xf>
    <xf numFmtId="256" fontId="8" fillId="0" borderId="78" xfId="0" applyNumberFormat="1" applyFont="1" applyBorder="1" applyAlignment="1">
      <alignment vertical="center"/>
    </xf>
    <xf numFmtId="0" fontId="0" fillId="0" borderId="107" xfId="0" applyBorder="1" applyAlignment="1">
      <alignment vertical="center"/>
    </xf>
    <xf numFmtId="9" fontId="16" fillId="6" borderId="107" xfId="4" applyFont="1" applyFill="1" applyBorder="1" applyAlignment="1">
      <alignment horizontal="center" vertical="center"/>
    </xf>
    <xf numFmtId="216" fontId="0" fillId="0" borderId="107" xfId="0" applyNumberFormat="1" applyBorder="1" applyAlignment="1">
      <alignment vertical="center"/>
    </xf>
    <xf numFmtId="0" fontId="0" fillId="19" borderId="79" xfId="0" applyFill="1" applyBorder="1" applyAlignment="1">
      <alignment vertical="center"/>
    </xf>
    <xf numFmtId="256" fontId="8" fillId="0" borderId="107" xfId="0" applyNumberFormat="1" applyFont="1" applyBorder="1" applyAlignment="1">
      <alignment vertical="center"/>
    </xf>
    <xf numFmtId="0" fontId="0" fillId="7" borderId="107" xfId="0" applyFill="1" applyBorder="1"/>
    <xf numFmtId="0" fontId="0" fillId="7" borderId="107" xfId="0" applyFill="1" applyBorder="1" applyAlignment="1">
      <alignment vertical="center"/>
    </xf>
    <xf numFmtId="0" fontId="0" fillId="75" borderId="78" xfId="0" quotePrefix="1" applyFill="1" applyBorder="1" applyAlignment="1">
      <alignment vertical="center"/>
    </xf>
    <xf numFmtId="0" fontId="0" fillId="75" borderId="78" xfId="0" applyFill="1" applyBorder="1"/>
    <xf numFmtId="0" fontId="0" fillId="75" borderId="78" xfId="0" applyFill="1" applyBorder="1" applyAlignment="1">
      <alignment horizontal="center" vertical="center"/>
    </xf>
    <xf numFmtId="0" fontId="0" fillId="75" borderId="78" xfId="0" applyFill="1" applyBorder="1" applyAlignment="1">
      <alignment vertical="center"/>
    </xf>
    <xf numFmtId="0" fontId="99" fillId="98" borderId="5" xfId="0" applyFont="1" applyFill="1" applyBorder="1"/>
    <xf numFmtId="0" fontId="99" fillId="98" borderId="1" xfId="0" applyFont="1" applyFill="1" applyBorder="1"/>
    <xf numFmtId="0" fontId="99" fillId="98" borderId="6" xfId="0" applyFont="1" applyFill="1" applyBorder="1"/>
    <xf numFmtId="0" fontId="99" fillId="98" borderId="7" xfId="0" applyFont="1" applyFill="1" applyBorder="1"/>
    <xf numFmtId="0" fontId="99" fillId="98" borderId="356" xfId="0" applyFont="1" applyFill="1" applyBorder="1"/>
    <xf numFmtId="0" fontId="8" fillId="0" borderId="0" xfId="0" applyFont="1" applyAlignment="1">
      <alignment horizontal="left"/>
    </xf>
    <xf numFmtId="184" fontId="0" fillId="0" borderId="52" xfId="0" applyNumberFormat="1" applyBorder="1"/>
    <xf numFmtId="0" fontId="16" fillId="0" borderId="52" xfId="0" applyFont="1" applyBorder="1"/>
    <xf numFmtId="184" fontId="0" fillId="0" borderId="53" xfId="0" applyNumberFormat="1" applyBorder="1"/>
    <xf numFmtId="0" fontId="16" fillId="0" borderId="53" xfId="0" applyFont="1" applyBorder="1"/>
    <xf numFmtId="184" fontId="0" fillId="0" borderId="69" xfId="0" applyNumberFormat="1" applyBorder="1"/>
    <xf numFmtId="0" fontId="16" fillId="0" borderId="69" xfId="0" applyFont="1" applyBorder="1"/>
    <xf numFmtId="0" fontId="0" fillId="0" borderId="53" xfId="0" applyBorder="1" applyAlignment="1">
      <alignment horizontal="left" vertical="center"/>
    </xf>
    <xf numFmtId="49" fontId="0" fillId="0" borderId="52" xfId="0" applyNumberFormat="1" applyBorder="1" applyAlignment="1">
      <alignment horizontal="left" vertical="center"/>
    </xf>
    <xf numFmtId="49" fontId="0" fillId="0" borderId="53" xfId="0" applyNumberFormat="1" applyBorder="1" applyAlignment="1">
      <alignment horizontal="left" vertical="center"/>
    </xf>
    <xf numFmtId="49" fontId="6" fillId="0" borderId="109" xfId="0" applyNumberFormat="1" applyFont="1" applyBorder="1" applyAlignment="1">
      <alignment horizontal="right" vertical="center"/>
    </xf>
    <xf numFmtId="0" fontId="0" fillId="0" borderId="109" xfId="0" applyBorder="1" applyAlignment="1">
      <alignment horizontal="left" vertical="center"/>
    </xf>
    <xf numFmtId="0" fontId="0" fillId="0" borderId="109" xfId="0" applyBorder="1"/>
    <xf numFmtId="184" fontId="0" fillId="0" borderId="109" xfId="0" applyNumberFormat="1" applyBorder="1"/>
    <xf numFmtId="0" fontId="16" fillId="0" borderId="109" xfId="0" applyFont="1" applyBorder="1"/>
    <xf numFmtId="49" fontId="217" fillId="0" borderId="53" xfId="0" applyNumberFormat="1" applyFont="1" applyBorder="1" applyAlignment="1">
      <alignment horizontal="left" vertical="center"/>
    </xf>
    <xf numFmtId="0" fontId="0" fillId="105" borderId="0" xfId="0" applyFill="1"/>
    <xf numFmtId="0" fontId="0" fillId="16" borderId="0" xfId="0" applyFill="1"/>
    <xf numFmtId="0" fontId="161" fillId="49" borderId="0" xfId="0" applyFont="1" applyFill="1"/>
    <xf numFmtId="0" fontId="218" fillId="106" borderId="0" xfId="0" applyFont="1" applyFill="1"/>
    <xf numFmtId="0" fontId="0" fillId="0" borderId="1" xfId="0" quotePrefix="1" applyBorder="1" applyAlignment="1">
      <alignment horizontal="center" vertical="center"/>
    </xf>
    <xf numFmtId="0" fontId="0" fillId="107" borderId="0" xfId="0" applyFill="1"/>
    <xf numFmtId="0" fontId="0" fillId="0" borderId="7" xfId="0" applyBorder="1" applyAlignment="1">
      <alignment vertical="center"/>
    </xf>
    <xf numFmtId="0" fontId="0" fillId="10" borderId="0" xfId="0" applyFill="1" applyAlignment="1">
      <alignment horizontal="center"/>
    </xf>
    <xf numFmtId="0" fontId="79" fillId="0" borderId="0" xfId="2" quotePrefix="1" applyFont="1" applyAlignment="1">
      <alignment horizontal="left" wrapText="1"/>
    </xf>
    <xf numFmtId="0" fontId="79" fillId="0" borderId="0" xfId="2" quotePrefix="1" applyFont="1" applyAlignment="1">
      <alignment horizontal="left" vertical="top" wrapText="1"/>
    </xf>
    <xf numFmtId="0" fontId="0" fillId="15" borderId="39" xfId="0" applyFill="1" applyBorder="1"/>
    <xf numFmtId="10" fontId="0" fillId="0" borderId="0" xfId="4" applyNumberFormat="1" applyFont="1"/>
    <xf numFmtId="9" fontId="16" fillId="0" borderId="52" xfId="4" applyFont="1" applyFill="1" applyBorder="1" applyAlignment="1">
      <alignment horizontal="center" vertical="center"/>
    </xf>
    <xf numFmtId="0" fontId="13" fillId="0" borderId="0" xfId="0" applyFont="1" applyAlignment="1">
      <alignment horizontal="left"/>
    </xf>
    <xf numFmtId="9" fontId="6" fillId="0" borderId="0" xfId="0" applyNumberFormat="1" applyFont="1" applyAlignment="1">
      <alignment horizontal="right"/>
    </xf>
    <xf numFmtId="44" fontId="0" fillId="103" borderId="0" xfId="1" applyFont="1" applyFill="1"/>
    <xf numFmtId="44" fontId="0" fillId="103" borderId="80" xfId="1" applyFont="1" applyFill="1" applyBorder="1"/>
    <xf numFmtId="44" fontId="6" fillId="103" borderId="80" xfId="1" applyFont="1" applyFill="1" applyBorder="1"/>
    <xf numFmtId="9" fontId="0" fillId="0" borderId="0" xfId="0" applyNumberFormat="1" applyAlignment="1">
      <alignment horizontal="center"/>
    </xf>
    <xf numFmtId="44" fontId="5" fillId="0" borderId="0" xfId="1" applyFont="1" applyFill="1" applyAlignment="1">
      <alignment horizontal="center" vertical="center"/>
    </xf>
    <xf numFmtId="44" fontId="5" fillId="0" borderId="0" xfId="1" applyFont="1"/>
    <xf numFmtId="0" fontId="6" fillId="19" borderId="0" xfId="0" applyFont="1" applyFill="1" applyAlignment="1">
      <alignment horizontal="right"/>
    </xf>
    <xf numFmtId="44" fontId="5" fillId="19" borderId="0" xfId="1" applyFont="1" applyFill="1" applyAlignment="1">
      <alignment horizontal="center" vertical="center"/>
    </xf>
    <xf numFmtId="44" fontId="0" fillId="19" borderId="0" xfId="1" applyFont="1" applyFill="1"/>
    <xf numFmtId="44" fontId="0" fillId="0" borderId="0" xfId="0" applyNumberFormat="1"/>
    <xf numFmtId="44" fontId="0" fillId="0" borderId="80" xfId="1" applyFont="1" applyFill="1" applyBorder="1"/>
    <xf numFmtId="44" fontId="0" fillId="0" borderId="0" xfId="0" applyNumberFormat="1" applyAlignment="1">
      <alignment horizontal="right"/>
    </xf>
    <xf numFmtId="44" fontId="0" fillId="0" borderId="80" xfId="0" applyNumberFormat="1" applyBorder="1" applyAlignment="1">
      <alignment horizontal="right"/>
    </xf>
    <xf numFmtId="0" fontId="212" fillId="0" borderId="14" xfId="0" applyFont="1" applyBorder="1" applyAlignment="1">
      <alignment horizontal="right" vertical="top"/>
    </xf>
    <xf numFmtId="0" fontId="212" fillId="0" borderId="358" xfId="0" applyFont="1" applyBorder="1" applyAlignment="1">
      <alignment horizontal="right" vertical="top"/>
    </xf>
    <xf numFmtId="0" fontId="8" fillId="0" borderId="14" xfId="0" applyFont="1" applyBorder="1"/>
    <xf numFmtId="44" fontId="11" fillId="0" borderId="0" xfId="1" applyFont="1" applyAlignment="1">
      <alignment horizontal="center"/>
    </xf>
    <xf numFmtId="0" fontId="12" fillId="107" borderId="0" xfId="7" applyFont="1" applyFill="1" applyAlignment="1">
      <alignment horizontal="left" vertical="center" wrapText="1"/>
    </xf>
    <xf numFmtId="0" fontId="12" fillId="107" borderId="0" xfId="7" applyFont="1" applyFill="1" applyAlignment="1">
      <alignment horizontal="center" vertical="center" wrapText="1"/>
    </xf>
    <xf numFmtId="198" fontId="12" fillId="107" borderId="0" xfId="8" applyNumberFormat="1" applyFont="1" applyFill="1" applyAlignment="1">
      <alignment horizontal="left" vertical="center" wrapText="1"/>
    </xf>
    <xf numFmtId="0" fontId="12" fillId="107" borderId="0" xfId="8" applyFont="1" applyFill="1" applyAlignment="1">
      <alignment horizontal="left" vertical="center" wrapText="1"/>
    </xf>
    <xf numFmtId="0" fontId="12" fillId="107" borderId="0" xfId="6" applyFont="1" applyFill="1" applyBorder="1" applyAlignment="1" applyProtection="1">
      <alignment horizontal="center" vertical="center" wrapText="1"/>
    </xf>
    <xf numFmtId="38" fontId="147" fillId="26" borderId="288" xfId="0" applyNumberFormat="1" applyFont="1" applyFill="1" applyBorder="1" applyAlignment="1">
      <alignment horizontal="center" vertical="top"/>
    </xf>
    <xf numFmtId="168" fontId="220" fillId="0" borderId="0" xfId="0" applyNumberFormat="1" applyFont="1" applyAlignment="1">
      <alignment horizontal="left" vertical="top" wrapText="1"/>
    </xf>
    <xf numFmtId="0" fontId="220" fillId="0" borderId="0" xfId="0" applyFont="1"/>
    <xf numFmtId="0" fontId="8" fillId="10" borderId="15" xfId="0" applyFont="1" applyFill="1" applyBorder="1"/>
    <xf numFmtId="0" fontId="176" fillId="2" borderId="262" xfId="0" applyFont="1" applyFill="1" applyBorder="1" applyAlignment="1" applyProtection="1">
      <alignment horizontal="center" vertical="center"/>
      <protection locked="0"/>
    </xf>
    <xf numFmtId="257" fontId="0" fillId="0" borderId="0" xfId="0" applyNumberFormat="1" applyAlignment="1">
      <alignment horizontal="center" vertical="center"/>
    </xf>
    <xf numFmtId="0" fontId="0" fillId="0" borderId="356" xfId="0" applyBorder="1" applyAlignment="1">
      <alignment horizontal="center" vertical="center"/>
    </xf>
    <xf numFmtId="0" fontId="16" fillId="77" borderId="7" xfId="0" applyFont="1" applyFill="1" applyBorder="1" applyAlignment="1">
      <alignment horizontal="center" vertical="top"/>
    </xf>
    <xf numFmtId="0" fontId="0" fillId="10" borderId="16" xfId="0" applyFill="1" applyBorder="1" applyAlignment="1">
      <alignment vertical="center"/>
    </xf>
    <xf numFmtId="0" fontId="0" fillId="0" borderId="6" xfId="0" applyBorder="1" applyAlignment="1">
      <alignment horizontal="center" vertical="center"/>
    </xf>
    <xf numFmtId="9" fontId="138" fillId="0" borderId="355" xfId="0" applyNumberFormat="1" applyFont="1" applyBorder="1" applyAlignment="1">
      <alignment horizontal="center" vertical="center" wrapText="1"/>
    </xf>
    <xf numFmtId="0" fontId="9" fillId="0" borderId="0" xfId="0" applyFont="1" applyAlignment="1">
      <alignment horizontal="left" vertical="center"/>
    </xf>
    <xf numFmtId="0" fontId="0" fillId="0" borderId="355" xfId="0" applyBorder="1" applyAlignment="1">
      <alignment horizontal="center" vertical="center"/>
    </xf>
    <xf numFmtId="0" fontId="0" fillId="7" borderId="0" xfId="0" applyFill="1" applyAlignment="1">
      <alignment vertical="top"/>
    </xf>
    <xf numFmtId="0" fontId="103" fillId="0" borderId="7" xfId="0" applyFont="1" applyBorder="1"/>
    <xf numFmtId="0" fontId="105" fillId="0" borderId="358" xfId="0" applyFont="1" applyBorder="1" applyAlignment="1">
      <alignment vertical="center"/>
    </xf>
    <xf numFmtId="0" fontId="105" fillId="0" borderId="209" xfId="0" applyFont="1" applyBorder="1" applyAlignment="1">
      <alignment vertical="center"/>
    </xf>
    <xf numFmtId="0" fontId="0" fillId="0" borderId="48" xfId="0" applyBorder="1" applyAlignment="1">
      <alignment horizontal="center" vertical="center"/>
    </xf>
    <xf numFmtId="0" fontId="0" fillId="0" borderId="357" xfId="0" applyBorder="1" applyAlignment="1">
      <alignment horizontal="center" vertical="center"/>
    </xf>
    <xf numFmtId="0" fontId="221" fillId="0" borderId="12" xfId="0" applyFont="1" applyBorder="1" applyAlignment="1">
      <alignment vertical="center"/>
    </xf>
    <xf numFmtId="0" fontId="105" fillId="0" borderId="48" xfId="0" applyFont="1" applyBorder="1" applyAlignment="1">
      <alignment vertical="center"/>
    </xf>
    <xf numFmtId="0" fontId="105" fillId="0" borderId="14" xfId="0" applyFont="1" applyBorder="1" applyAlignment="1">
      <alignment vertical="center"/>
    </xf>
    <xf numFmtId="0" fontId="105" fillId="0" borderId="40" xfId="0" applyFont="1" applyBorder="1" applyAlignment="1" applyProtection="1">
      <alignment vertical="center"/>
      <protection locked="0"/>
    </xf>
    <xf numFmtId="0" fontId="105" fillId="0" borderId="357" xfId="0" applyFont="1" applyBorder="1" applyAlignment="1" applyProtection="1">
      <alignment vertical="center"/>
      <protection locked="0"/>
    </xf>
    <xf numFmtId="0" fontId="105" fillId="0" borderId="210" xfId="0" applyFont="1" applyBorder="1" applyAlignment="1" applyProtection="1">
      <alignment vertical="center"/>
      <protection locked="0"/>
    </xf>
    <xf numFmtId="0" fontId="187" fillId="0" borderId="0" xfId="0" applyFont="1" applyAlignment="1">
      <alignment vertical="top" wrapText="1"/>
    </xf>
    <xf numFmtId="38" fontId="222" fillId="82" borderId="10" xfId="0" applyNumberFormat="1" applyFont="1" applyFill="1" applyBorder="1" applyAlignment="1">
      <alignment vertical="center" textRotation="90"/>
    </xf>
    <xf numFmtId="38" fontId="16" fillId="0" borderId="0" xfId="0" applyNumberFormat="1" applyFont="1" applyAlignment="1">
      <alignment vertical="top"/>
    </xf>
    <xf numFmtId="38" fontId="16" fillId="77" borderId="6" xfId="0" applyNumberFormat="1" applyFont="1" applyFill="1" applyBorder="1" applyAlignment="1">
      <alignment horizontal="center" vertical="center"/>
    </xf>
    <xf numFmtId="0" fontId="0" fillId="36" borderId="69" xfId="0" quotePrefix="1" applyFill="1" applyBorder="1" applyAlignment="1">
      <alignment horizontal="center" vertical="center"/>
    </xf>
    <xf numFmtId="0" fontId="0" fillId="36" borderId="267" xfId="0" quotePrefix="1" applyFill="1" applyBorder="1" applyAlignment="1">
      <alignment horizontal="center" vertical="center"/>
    </xf>
    <xf numFmtId="167" fontId="6" fillId="0" borderId="0" xfId="0" quotePrefix="1" applyNumberFormat="1" applyFont="1" applyAlignment="1">
      <alignment horizontal="left" vertical="center"/>
    </xf>
    <xf numFmtId="167" fontId="0" fillId="0" borderId="0" xfId="0" applyNumberFormat="1"/>
    <xf numFmtId="167" fontId="6" fillId="0" borderId="0" xfId="0" applyNumberFormat="1" applyFont="1" applyAlignment="1">
      <alignment horizontal="center" vertical="top" wrapText="1"/>
    </xf>
    <xf numFmtId="6" fontId="0" fillId="0" borderId="153" xfId="0" quotePrefix="1" applyNumberFormat="1" applyBorder="1" applyAlignment="1">
      <alignment vertical="center" wrapText="1"/>
    </xf>
    <xf numFmtId="8" fontId="8" fillId="6" borderId="16" xfId="0" applyNumberFormat="1" applyFont="1" applyFill="1" applyBorder="1" applyAlignment="1">
      <alignment horizontal="right" vertical="center"/>
    </xf>
    <xf numFmtId="9" fontId="16" fillId="6" borderId="16" xfId="0" applyNumberFormat="1" applyFont="1" applyFill="1" applyBorder="1" applyAlignment="1">
      <alignment horizontal="right" vertical="center"/>
    </xf>
    <xf numFmtId="8" fontId="8" fillId="6" borderId="15" xfId="0" applyNumberFormat="1" applyFont="1" applyFill="1" applyBorder="1" applyAlignment="1">
      <alignment horizontal="right" vertical="center"/>
    </xf>
    <xf numFmtId="8" fontId="179" fillId="6" borderId="16" xfId="0" applyNumberFormat="1" applyFont="1" applyFill="1" applyBorder="1" applyAlignment="1">
      <alignment horizontal="left"/>
    </xf>
    <xf numFmtId="8" fontId="179" fillId="6" borderId="16" xfId="0" applyNumberFormat="1" applyFont="1" applyFill="1" applyBorder="1" applyAlignment="1">
      <alignment horizontal="left" vertical="center"/>
    </xf>
    <xf numFmtId="0" fontId="16" fillId="6" borderId="15" xfId="0" applyFont="1" applyFill="1" applyBorder="1" applyAlignment="1">
      <alignment horizontal="left" vertical="center"/>
    </xf>
    <xf numFmtId="0" fontId="0" fillId="0" borderId="15" xfId="0" applyBorder="1" applyAlignment="1">
      <alignment horizontal="center"/>
    </xf>
    <xf numFmtId="0" fontId="9" fillId="0" borderId="16" xfId="0" applyFont="1" applyBorder="1"/>
    <xf numFmtId="0" fontId="16" fillId="6" borderId="16" xfId="0" quotePrefix="1" applyFont="1" applyFill="1" applyBorder="1" applyAlignment="1">
      <alignment horizontal="left" vertical="center"/>
    </xf>
    <xf numFmtId="8" fontId="16" fillId="77" borderId="16" xfId="0" applyNumberFormat="1" applyFont="1" applyFill="1" applyBorder="1" applyAlignment="1">
      <alignment horizontal="right" vertical="center"/>
    </xf>
    <xf numFmtId="9" fontId="16" fillId="77" borderId="16" xfId="0" applyNumberFormat="1" applyFont="1" applyFill="1" applyBorder="1" applyAlignment="1">
      <alignment horizontal="right" vertical="center"/>
    </xf>
    <xf numFmtId="2" fontId="18" fillId="98" borderId="0" xfId="0" applyNumberFormat="1" applyFont="1" applyFill="1" applyAlignment="1">
      <alignment vertical="center"/>
    </xf>
    <xf numFmtId="178" fontId="0" fillId="108" borderId="52" xfId="0" quotePrefix="1" applyNumberFormat="1" applyFill="1" applyBorder="1" applyAlignment="1">
      <alignment horizontal="center" vertical="center"/>
    </xf>
    <xf numFmtId="2" fontId="18" fillId="13" borderId="0" xfId="0" applyNumberFormat="1" applyFont="1" applyFill="1" applyAlignment="1">
      <alignment vertical="center"/>
    </xf>
    <xf numFmtId="0" fontId="120" fillId="2" borderId="23" xfId="0" applyFont="1" applyFill="1" applyBorder="1" applyAlignment="1" applyProtection="1">
      <alignment horizontal="center" vertical="center" wrapText="1"/>
      <protection locked="0"/>
    </xf>
    <xf numFmtId="0" fontId="120" fillId="2" borderId="32" xfId="0" applyFont="1" applyFill="1" applyBorder="1" applyAlignment="1" applyProtection="1">
      <alignment horizontal="center" vertical="center" wrapText="1"/>
      <protection locked="0"/>
    </xf>
    <xf numFmtId="0" fontId="103" fillId="36" borderId="7" xfId="0" applyFont="1" applyFill="1" applyBorder="1"/>
    <xf numFmtId="0" fontId="14" fillId="0" borderId="0" xfId="0" applyFont="1" applyAlignment="1">
      <alignment horizontal="right" vertical="top" indent="1"/>
    </xf>
    <xf numFmtId="6" fontId="8" fillId="0" borderId="376" xfId="0" applyNumberFormat="1" applyFont="1" applyBorder="1" applyAlignment="1">
      <alignment horizontal="right" vertical="center" wrapText="1"/>
    </xf>
    <xf numFmtId="6" fontId="8" fillId="0" borderId="1" xfId="0" applyNumberFormat="1" applyFont="1" applyBorder="1" applyAlignment="1">
      <alignment horizontal="right" vertical="center" wrapText="1"/>
    </xf>
    <xf numFmtId="0" fontId="14" fillId="0" borderId="0" xfId="0" applyFont="1" applyAlignment="1">
      <alignment horizontal="left" vertical="center"/>
    </xf>
    <xf numFmtId="167" fontId="8" fillId="0" borderId="0" xfId="0" applyNumberFormat="1" applyFont="1" applyAlignment="1">
      <alignment vertical="center"/>
    </xf>
    <xf numFmtId="0" fontId="14" fillId="0" borderId="0" xfId="0" applyFont="1" applyAlignment="1">
      <alignment vertical="top" wrapText="1"/>
    </xf>
    <xf numFmtId="6" fontId="16" fillId="2" borderId="376" xfId="1" applyNumberFormat="1" applyFont="1" applyFill="1" applyBorder="1" applyAlignment="1" applyProtection="1">
      <alignment horizontal="right" vertical="center" wrapText="1"/>
      <protection locked="0"/>
    </xf>
    <xf numFmtId="0" fontId="8" fillId="0" borderId="15" xfId="0" applyFont="1" applyBorder="1" applyAlignment="1">
      <alignment horizontal="left" vertical="center" indent="2"/>
    </xf>
    <xf numFmtId="0" fontId="0" fillId="0" borderId="376" xfId="0" applyBorder="1" applyAlignment="1">
      <alignment horizontal="center" vertical="center" wrapText="1"/>
    </xf>
    <xf numFmtId="6" fontId="0" fillId="0" borderId="1" xfId="0" applyNumberFormat="1" applyBorder="1" applyAlignment="1">
      <alignment horizontal="right" vertical="center" wrapText="1"/>
    </xf>
    <xf numFmtId="0" fontId="0" fillId="107" borderId="16" xfId="0" applyFill="1" applyBorder="1"/>
    <xf numFmtId="8" fontId="8" fillId="109" borderId="16" xfId="0" applyNumberFormat="1" applyFont="1" applyFill="1" applyBorder="1" applyAlignment="1">
      <alignment horizontal="right" vertical="center"/>
    </xf>
    <xf numFmtId="0" fontId="16" fillId="109" borderId="16" xfId="0" applyFont="1" applyFill="1" applyBorder="1" applyAlignment="1">
      <alignment horizontal="left" vertical="center"/>
    </xf>
    <xf numFmtId="0" fontId="0" fillId="107" borderId="16" xfId="0" applyFill="1" applyBorder="1" applyAlignment="1">
      <alignment horizontal="center"/>
    </xf>
    <xf numFmtId="40" fontId="43" fillId="0" borderId="0" xfId="2" quotePrefix="1" applyNumberFormat="1" applyFont="1"/>
    <xf numFmtId="44" fontId="0" fillId="110" borderId="0" xfId="1" applyFont="1" applyFill="1"/>
    <xf numFmtId="44" fontId="0" fillId="110" borderId="39" xfId="1" applyFont="1" applyFill="1" applyBorder="1"/>
    <xf numFmtId="0" fontId="7" fillId="19" borderId="0" xfId="0" applyFont="1" applyFill="1"/>
    <xf numFmtId="0" fontId="7" fillId="19" borderId="0" xfId="0" applyFont="1" applyFill="1" applyAlignment="1">
      <alignment horizontal="left" vertical="center"/>
    </xf>
    <xf numFmtId="38" fontId="16" fillId="77" borderId="13" xfId="0" applyNumberFormat="1" applyFont="1" applyFill="1" applyBorder="1" applyAlignment="1">
      <alignment horizontal="center" vertical="top"/>
    </xf>
    <xf numFmtId="40" fontId="16" fillId="6" borderId="0" xfId="0" applyNumberFormat="1" applyFont="1" applyFill="1" applyAlignment="1">
      <alignment horizontal="center" vertical="center"/>
    </xf>
    <xf numFmtId="0" fontId="19" fillId="11" borderId="0" xfId="0" applyFont="1" applyFill="1" applyAlignment="1">
      <alignment horizontal="center" vertical="center"/>
    </xf>
    <xf numFmtId="258" fontId="138" fillId="10" borderId="0" xfId="0" applyNumberFormat="1" applyFont="1" applyFill="1" applyAlignment="1">
      <alignment horizontal="center" vertical="center" wrapText="1"/>
    </xf>
    <xf numFmtId="167" fontId="0" fillId="0" borderId="0" xfId="0" quotePrefix="1" applyNumberFormat="1" applyAlignment="1">
      <alignment horizontal="left" vertical="top"/>
    </xf>
    <xf numFmtId="0" fontId="0" fillId="37" borderId="39" xfId="0" applyFill="1" applyBorder="1"/>
    <xf numFmtId="0" fontId="216" fillId="0" borderId="0" xfId="0" applyFont="1"/>
    <xf numFmtId="0" fontId="216" fillId="0" borderId="0" xfId="0" applyFont="1" applyAlignment="1">
      <alignment horizontal="center"/>
    </xf>
    <xf numFmtId="0" fontId="216" fillId="0" borderId="39" xfId="0" applyFont="1" applyBorder="1"/>
    <xf numFmtId="0" fontId="216" fillId="0" borderId="39" xfId="0" applyFont="1" applyBorder="1" applyAlignment="1">
      <alignment horizontal="center"/>
    </xf>
    <xf numFmtId="9" fontId="226" fillId="6" borderId="52" xfId="4" applyFont="1" applyFill="1" applyBorder="1" applyAlignment="1">
      <alignment horizontal="center" vertical="center"/>
    </xf>
    <xf numFmtId="9" fontId="226" fillId="6" borderId="39" xfId="4" applyFont="1" applyFill="1" applyBorder="1" applyAlignment="1">
      <alignment horizontal="center" vertical="center"/>
    </xf>
    <xf numFmtId="0" fontId="216" fillId="0" borderId="2" xfId="0" applyFont="1" applyBorder="1" applyAlignment="1">
      <alignment vertical="top" wrapText="1"/>
    </xf>
    <xf numFmtId="0" fontId="216" fillId="0" borderId="0" xfId="0" applyFont="1" applyAlignment="1">
      <alignment vertical="top" wrapText="1"/>
    </xf>
    <xf numFmtId="0" fontId="216" fillId="0" borderId="0" xfId="0" applyFont="1" applyAlignment="1">
      <alignment horizontal="left" vertical="top" wrapText="1"/>
    </xf>
    <xf numFmtId="0" fontId="0" fillId="37" borderId="0" xfId="0" applyFill="1" applyAlignment="1">
      <alignment horizontal="center"/>
    </xf>
    <xf numFmtId="0" fontId="0" fillId="37" borderId="179" xfId="0" applyFill="1" applyBorder="1" applyAlignment="1">
      <alignment horizontal="center"/>
    </xf>
    <xf numFmtId="0" fontId="16" fillId="2" borderId="23" xfId="0" applyFont="1" applyFill="1" applyBorder="1" applyAlignment="1" applyProtection="1">
      <alignment horizontal="right" vertical="center" indent="1"/>
      <protection locked="0"/>
    </xf>
    <xf numFmtId="166" fontId="0" fillId="0" borderId="0" xfId="0" quotePrefix="1" applyNumberFormat="1" applyAlignment="1">
      <alignment horizontal="left" vertical="top"/>
    </xf>
    <xf numFmtId="0" fontId="6" fillId="0" borderId="376" xfId="0" quotePrefix="1" applyFont="1" applyBorder="1" applyAlignment="1">
      <alignment horizontal="center" vertical="center"/>
    </xf>
    <xf numFmtId="6" fontId="17" fillId="0" borderId="0" xfId="0" applyNumberFormat="1" applyFont="1" applyAlignment="1">
      <alignment horizontal="center"/>
    </xf>
    <xf numFmtId="38" fontId="16" fillId="77" borderId="0" xfId="0" applyNumberFormat="1" applyFont="1" applyFill="1" applyAlignment="1">
      <alignment horizontal="center" vertical="top"/>
    </xf>
    <xf numFmtId="0" fontId="14" fillId="8" borderId="376" xfId="0" quotePrefix="1" applyFont="1" applyFill="1" applyBorder="1" applyAlignment="1">
      <alignment horizontal="center" vertical="center"/>
    </xf>
    <xf numFmtId="0" fontId="0" fillId="7" borderId="0" xfId="0" applyFill="1" applyAlignment="1">
      <alignment horizontal="center" vertical="center"/>
    </xf>
    <xf numFmtId="0" fontId="0" fillId="22" borderId="0" xfId="0" applyFill="1" applyAlignment="1">
      <alignment horizontal="center" vertical="center"/>
    </xf>
    <xf numFmtId="0" fontId="0" fillId="0" borderId="0" xfId="0" quotePrefix="1" applyAlignment="1">
      <alignment horizontal="center" vertical="center" wrapText="1"/>
    </xf>
    <xf numFmtId="40" fontId="44" fillId="0" borderId="23" xfId="2" applyNumberFormat="1" applyFont="1" applyBorder="1"/>
    <xf numFmtId="38" fontId="16" fillId="77" borderId="10" xfId="0" applyNumberFormat="1" applyFont="1" applyFill="1" applyBorder="1" applyAlignment="1">
      <alignment vertical="top"/>
    </xf>
    <xf numFmtId="0" fontId="0" fillId="0" borderId="379" xfId="0" applyBorder="1" applyAlignment="1">
      <alignment vertical="center"/>
    </xf>
    <xf numFmtId="199" fontId="16" fillId="6" borderId="379" xfId="4" applyNumberFormat="1" applyFont="1" applyFill="1" applyBorder="1" applyAlignment="1">
      <alignment horizontal="center" vertical="center"/>
    </xf>
    <xf numFmtId="199" fontId="8" fillId="2" borderId="379" xfId="4" applyNumberFormat="1" applyFont="1" applyFill="1" applyBorder="1" applyAlignment="1">
      <alignment vertical="center"/>
    </xf>
    <xf numFmtId="0" fontId="0" fillId="0" borderId="377" xfId="0" applyBorder="1" applyAlignment="1">
      <alignment vertical="center"/>
    </xf>
    <xf numFmtId="199" fontId="16" fillId="6" borderId="377" xfId="4" applyNumberFormat="1" applyFont="1" applyFill="1" applyBorder="1" applyAlignment="1">
      <alignment horizontal="center" vertical="center"/>
    </xf>
    <xf numFmtId="199" fontId="8" fillId="2" borderId="377" xfId="4" applyNumberFormat="1" applyFont="1" applyFill="1" applyBorder="1" applyAlignment="1">
      <alignment vertical="center"/>
    </xf>
    <xf numFmtId="49" fontId="0" fillId="0" borderId="380" xfId="0" quotePrefix="1" applyNumberFormat="1" applyBorder="1" applyAlignment="1">
      <alignment vertical="center"/>
    </xf>
    <xf numFmtId="199" fontId="0" fillId="0" borderId="186" xfId="0" applyNumberFormat="1" applyBorder="1" applyAlignment="1">
      <alignment horizontal="center" vertical="center"/>
    </xf>
    <xf numFmtId="0" fontId="100" fillId="0" borderId="0" xfId="0" applyFont="1" applyAlignment="1">
      <alignment horizontal="left" vertical="center" wrapText="1"/>
    </xf>
    <xf numFmtId="0" fontId="29" fillId="2" borderId="23" xfId="0" applyFont="1" applyFill="1" applyBorder="1" applyAlignment="1" applyProtection="1">
      <alignment horizontal="left" vertical="center" wrapText="1"/>
      <protection locked="0"/>
    </xf>
    <xf numFmtId="0" fontId="29" fillId="2" borderId="32" xfId="0" applyFont="1" applyFill="1" applyBorder="1" applyAlignment="1" applyProtection="1">
      <alignment horizontal="left" vertical="center" wrapText="1"/>
      <protection locked="0"/>
    </xf>
    <xf numFmtId="0" fontId="16" fillId="2" borderId="32" xfId="0" applyFont="1" applyFill="1" applyBorder="1" applyAlignment="1" applyProtection="1">
      <alignment horizontal="left" vertical="center" wrapText="1"/>
      <protection locked="0"/>
    </xf>
    <xf numFmtId="0" fontId="0" fillId="0" borderId="0" xfId="0" applyAlignment="1">
      <alignment horizontal="left" vertical="top" wrapText="1"/>
    </xf>
    <xf numFmtId="0" fontId="28" fillId="0" borderId="0" xfId="0" applyFont="1" applyAlignment="1">
      <alignment horizontal="right" vertical="center"/>
    </xf>
    <xf numFmtId="0" fontId="28" fillId="0" borderId="0" xfId="0" applyFont="1" applyAlignment="1">
      <alignment horizontal="right" vertical="center" wrapText="1"/>
    </xf>
    <xf numFmtId="0" fontId="16" fillId="2" borderId="23" xfId="0" applyFont="1" applyFill="1" applyBorder="1" applyAlignment="1" applyProtection="1">
      <alignment horizontal="left" vertical="center" wrapText="1"/>
      <protection locked="0"/>
    </xf>
    <xf numFmtId="0" fontId="6" fillId="0" borderId="0" xfId="0" applyFont="1" applyAlignment="1">
      <alignment horizontal="left" vertical="top"/>
    </xf>
    <xf numFmtId="0" fontId="88" fillId="0" borderId="0" xfId="0" applyFont="1" applyAlignment="1">
      <alignment horizontal="left" vertical="top" wrapText="1"/>
    </xf>
    <xf numFmtId="0" fontId="113" fillId="0" borderId="0" xfId="0" applyFont="1" applyAlignment="1">
      <alignment horizontal="left" vertical="center" wrapText="1"/>
    </xf>
    <xf numFmtId="0" fontId="8" fillId="0" borderId="0" xfId="0" applyFont="1" applyAlignment="1">
      <alignment horizontal="center" vertical="center"/>
    </xf>
    <xf numFmtId="0" fontId="100" fillId="0" borderId="0" xfId="0" quotePrefix="1" applyFont="1" applyAlignment="1">
      <alignment horizontal="left" vertical="center" wrapText="1"/>
    </xf>
    <xf numFmtId="0" fontId="88" fillId="0" borderId="0" xfId="0" applyFont="1" applyAlignment="1">
      <alignment horizontal="left" vertical="center" wrapText="1"/>
    </xf>
    <xf numFmtId="0" fontId="100" fillId="0" borderId="22" xfId="0" applyFont="1" applyBorder="1" applyAlignment="1">
      <alignment horizontal="left" vertical="center" wrapText="1"/>
    </xf>
    <xf numFmtId="0" fontId="0" fillId="19" borderId="12" xfId="0" applyFill="1" applyBorder="1" applyAlignment="1">
      <alignment horizontal="left" vertical="top" wrapText="1"/>
    </xf>
    <xf numFmtId="0" fontId="0" fillId="19" borderId="2" xfId="0" applyFill="1" applyBorder="1" applyAlignment="1">
      <alignment horizontal="left" vertical="top" wrapText="1"/>
    </xf>
    <xf numFmtId="0" fontId="0" fillId="19" borderId="48" xfId="0" applyFill="1" applyBorder="1" applyAlignment="1">
      <alignment horizontal="left" vertical="top" wrapText="1"/>
    </xf>
    <xf numFmtId="0" fontId="0" fillId="0" borderId="40" xfId="0" applyBorder="1" applyAlignment="1">
      <alignment horizontal="left" vertical="top" wrapText="1"/>
    </xf>
    <xf numFmtId="0" fontId="0" fillId="0" borderId="345" xfId="0" applyBorder="1" applyAlignment="1">
      <alignment horizontal="left" vertical="top" wrapText="1"/>
    </xf>
    <xf numFmtId="0" fontId="0" fillId="0" borderId="251" xfId="0" applyBorder="1" applyAlignment="1">
      <alignment horizontal="left" vertical="top" wrapText="1"/>
    </xf>
    <xf numFmtId="0" fontId="16" fillId="2" borderId="23" xfId="0" applyFont="1" applyFill="1" applyBorder="1" applyAlignment="1" applyProtection="1">
      <alignment horizontal="center" vertical="center" wrapText="1"/>
      <protection locked="0"/>
    </xf>
    <xf numFmtId="38" fontId="16" fillId="77" borderId="129" xfId="0" applyNumberFormat="1" applyFont="1" applyFill="1" applyBorder="1" applyAlignment="1">
      <alignment horizontal="center" vertical="top"/>
    </xf>
    <xf numFmtId="38" fontId="16" fillId="77" borderId="210" xfId="0" applyNumberFormat="1" applyFont="1" applyFill="1" applyBorder="1" applyAlignment="1">
      <alignment horizontal="center" vertical="top"/>
    </xf>
    <xf numFmtId="38" fontId="16" fillId="77" borderId="40" xfId="0" applyNumberFormat="1" applyFont="1" applyFill="1" applyBorder="1" applyAlignment="1">
      <alignment horizontal="center" vertical="top"/>
    </xf>
    <xf numFmtId="38" fontId="16" fillId="77" borderId="251" xfId="0" applyNumberFormat="1" applyFont="1" applyFill="1" applyBorder="1" applyAlignment="1">
      <alignment horizontal="center" vertical="top"/>
    </xf>
    <xf numFmtId="0" fontId="24" fillId="2" borderId="23" xfId="5" applyFont="1" applyFill="1" applyBorder="1" applyAlignment="1" applyProtection="1">
      <alignment horizontal="left" vertical="center"/>
      <protection locked="0"/>
    </xf>
    <xf numFmtId="0" fontId="29" fillId="2" borderId="23" xfId="0" applyFont="1" applyFill="1" applyBorder="1" applyAlignment="1" applyProtection="1">
      <alignment horizontal="left" vertical="center"/>
      <protection locked="0"/>
    </xf>
    <xf numFmtId="0" fontId="29" fillId="2" borderId="32" xfId="0" applyFont="1" applyFill="1" applyBorder="1" applyAlignment="1" applyProtection="1">
      <alignment horizontal="left" vertical="center"/>
      <protection locked="0"/>
    </xf>
    <xf numFmtId="38" fontId="16" fillId="77" borderId="10" xfId="0" applyNumberFormat="1" applyFont="1" applyFill="1" applyBorder="1" applyAlignment="1">
      <alignment horizontal="center" vertical="top"/>
    </xf>
    <xf numFmtId="38" fontId="16" fillId="77" borderId="13" xfId="0" applyNumberFormat="1" applyFont="1" applyFill="1" applyBorder="1" applyAlignment="1">
      <alignment horizontal="center" vertical="top"/>
    </xf>
    <xf numFmtId="38" fontId="16" fillId="77" borderId="11" xfId="0" applyNumberFormat="1" applyFont="1" applyFill="1" applyBorder="1" applyAlignment="1">
      <alignment horizontal="center" vertical="top"/>
    </xf>
    <xf numFmtId="0" fontId="8" fillId="8" borderId="0" xfId="0" applyFont="1" applyFill="1" applyAlignment="1">
      <alignment horizontal="left" vertical="top" wrapText="1"/>
    </xf>
    <xf numFmtId="0" fontId="16" fillId="2" borderId="23" xfId="0" applyFont="1" applyFill="1" applyBorder="1" applyAlignment="1" applyProtection="1">
      <alignment horizontal="left" vertical="center"/>
      <protection locked="0"/>
    </xf>
    <xf numFmtId="0" fontId="0" fillId="0" borderId="15" xfId="0" applyBorder="1" applyAlignment="1">
      <alignment horizontal="left" vertical="center" wrapText="1"/>
    </xf>
    <xf numFmtId="0" fontId="16" fillId="2" borderId="219" xfId="0" applyFont="1" applyFill="1" applyBorder="1" applyAlignment="1" applyProtection="1">
      <alignment horizontal="left" vertical="center" wrapText="1"/>
      <protection locked="0"/>
    </xf>
    <xf numFmtId="0" fontId="0" fillId="2" borderId="23" xfId="0" applyFill="1" applyBorder="1" applyAlignment="1" applyProtection="1">
      <alignment horizontal="left" vertical="center"/>
      <protection locked="0"/>
    </xf>
    <xf numFmtId="0" fontId="6" fillId="0" borderId="0" xfId="0" applyFont="1" applyAlignment="1">
      <alignment horizontal="left" vertical="top" wrapText="1"/>
    </xf>
    <xf numFmtId="49" fontId="16" fillId="2" borderId="23" xfId="0" applyNumberFormat="1" applyFont="1" applyFill="1" applyBorder="1" applyAlignment="1" applyProtection="1">
      <alignment horizontal="left" vertical="center" wrapText="1"/>
      <protection locked="0"/>
    </xf>
    <xf numFmtId="0" fontId="0" fillId="0" borderId="0" xfId="0" applyAlignment="1">
      <alignment horizontal="left" vertical="center" wrapText="1"/>
    </xf>
    <xf numFmtId="49" fontId="16" fillId="2" borderId="32" xfId="0" applyNumberFormat="1" applyFont="1" applyFill="1" applyBorder="1" applyAlignment="1" applyProtection="1">
      <alignment horizontal="left" vertical="center" wrapText="1"/>
      <protection locked="0"/>
    </xf>
    <xf numFmtId="0" fontId="0" fillId="0" borderId="0" xfId="0" quotePrefix="1" applyAlignment="1">
      <alignment horizontal="left"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88" fillId="0" borderId="0" xfId="0" applyFont="1" applyAlignment="1">
      <alignment horizontal="right" vertical="top"/>
    </xf>
    <xf numFmtId="0" fontId="0" fillId="0" borderId="187" xfId="0" applyBorder="1" applyAlignment="1">
      <alignment horizontal="left" vertical="center"/>
    </xf>
    <xf numFmtId="0" fontId="8" fillId="8" borderId="0" xfId="0" applyFont="1" applyFill="1" applyAlignment="1">
      <alignment horizontal="left" vertical="top"/>
    </xf>
    <xf numFmtId="0" fontId="8" fillId="0" borderId="0" xfId="0" applyFont="1" applyAlignment="1">
      <alignment horizontal="right" vertical="center"/>
    </xf>
    <xf numFmtId="0" fontId="16" fillId="79" borderId="23" xfId="0" applyFont="1" applyFill="1" applyBorder="1" applyAlignment="1" applyProtection="1">
      <alignment horizontal="left" vertical="center"/>
      <protection locked="0"/>
    </xf>
    <xf numFmtId="0" fontId="4" fillId="0" borderId="0" xfId="0" applyFont="1" applyAlignment="1">
      <alignment horizontal="left" vertical="center" wrapText="1"/>
    </xf>
    <xf numFmtId="0" fontId="28" fillId="19" borderId="12" xfId="0" applyFont="1" applyFill="1" applyBorder="1" applyAlignment="1">
      <alignment horizontal="left" vertical="top" wrapText="1"/>
    </xf>
    <xf numFmtId="0" fontId="28" fillId="19" borderId="2" xfId="0" applyFont="1" applyFill="1" applyBorder="1" applyAlignment="1">
      <alignment horizontal="left" vertical="top" wrapText="1"/>
    </xf>
    <xf numFmtId="0" fontId="28" fillId="19" borderId="48" xfId="0" applyFont="1" applyFill="1" applyBorder="1" applyAlignment="1">
      <alignment horizontal="left" vertical="top" wrapText="1"/>
    </xf>
    <xf numFmtId="0" fontId="7" fillId="0" borderId="0" xfId="0" applyFont="1" applyAlignment="1">
      <alignment horizontal="right" vertical="center" wrapText="1"/>
    </xf>
    <xf numFmtId="0" fontId="0" fillId="0" borderId="0" xfId="0" applyAlignment="1">
      <alignment horizontal="left" vertical="center"/>
    </xf>
    <xf numFmtId="0" fontId="131" fillId="0" borderId="22" xfId="0" applyFont="1" applyBorder="1" applyAlignment="1">
      <alignment horizontal="left" vertical="center" wrapText="1"/>
    </xf>
    <xf numFmtId="0" fontId="24" fillId="2" borderId="23" xfId="5"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quotePrefix="1" applyFont="1" applyAlignment="1">
      <alignment horizontal="left" vertical="center" wrapText="1"/>
    </xf>
    <xf numFmtId="0" fontId="28" fillId="0" borderId="0" xfId="0" applyFont="1" applyAlignment="1">
      <alignment horizontal="center" vertical="center" wrapText="1"/>
    </xf>
    <xf numFmtId="0" fontId="28" fillId="0" borderId="0" xfId="0" applyFont="1" applyAlignment="1">
      <alignment horizontal="left" vertical="top" wrapText="1"/>
    </xf>
    <xf numFmtId="0" fontId="28" fillId="0" borderId="40" xfId="0" applyFont="1" applyBorder="1" applyAlignment="1">
      <alignment horizontal="left" vertical="top" wrapText="1"/>
    </xf>
    <xf numFmtId="0" fontId="28" fillId="0" borderId="355" xfId="0" applyFont="1" applyBorder="1" applyAlignment="1">
      <alignment horizontal="left" vertical="top" wrapText="1"/>
    </xf>
    <xf numFmtId="0" fontId="28" fillId="0" borderId="357" xfId="0" applyFont="1" applyBorder="1" applyAlignment="1">
      <alignment horizontal="left" vertical="top" wrapText="1"/>
    </xf>
    <xf numFmtId="0" fontId="6" fillId="0" borderId="0" xfId="0" applyFont="1" applyAlignment="1">
      <alignment horizontal="center" vertical="center" wrapText="1"/>
    </xf>
    <xf numFmtId="0" fontId="0" fillId="0" borderId="0" xfId="0" applyAlignment="1">
      <alignment horizontal="left" vertical="top"/>
    </xf>
    <xf numFmtId="0" fontId="0" fillId="0" borderId="0" xfId="0" applyAlignment="1">
      <alignment horizontal="center" vertical="center"/>
    </xf>
    <xf numFmtId="0" fontId="0" fillId="0" borderId="0" xfId="0" quotePrefix="1" applyAlignment="1">
      <alignment horizontal="center" vertical="center"/>
    </xf>
    <xf numFmtId="0" fontId="8" fillId="0" borderId="0" xfId="0" applyFont="1" applyAlignment="1">
      <alignment horizontal="right" vertical="center" wrapText="1"/>
    </xf>
    <xf numFmtId="0" fontId="0" fillId="0" borderId="188" xfId="0" applyBorder="1" applyAlignment="1">
      <alignment horizontal="left" vertical="center" wrapText="1"/>
    </xf>
    <xf numFmtId="0" fontId="99" fillId="25" borderId="5" xfId="0" applyFont="1" applyFill="1" applyBorder="1" applyAlignment="1">
      <alignment horizontal="center" vertical="center"/>
    </xf>
    <xf numFmtId="0" fontId="99" fillId="25" borderId="1" xfId="0" applyFont="1" applyFill="1" applyBorder="1" applyAlignment="1">
      <alignment horizontal="center" vertical="center"/>
    </xf>
    <xf numFmtId="0" fontId="99" fillId="25" borderId="6" xfId="0" applyFont="1" applyFill="1" applyBorder="1" applyAlignment="1">
      <alignment horizontal="center" vertical="center"/>
    </xf>
    <xf numFmtId="0" fontId="188" fillId="82" borderId="12" xfId="0" applyFont="1" applyFill="1" applyBorder="1" applyAlignment="1">
      <alignment horizontal="center" vertical="center" textRotation="90" wrapText="1"/>
    </xf>
    <xf numFmtId="0" fontId="188" fillId="82" borderId="48" xfId="0" applyFont="1" applyFill="1" applyBorder="1" applyAlignment="1">
      <alignment horizontal="center" vertical="center" textRotation="90" wrapText="1"/>
    </xf>
    <xf numFmtId="0" fontId="188" fillId="82" borderId="42" xfId="0" applyFont="1" applyFill="1" applyBorder="1" applyAlignment="1">
      <alignment horizontal="center" vertical="center" textRotation="90" wrapText="1"/>
    </xf>
    <xf numFmtId="0" fontId="188" fillId="82" borderId="251" xfId="0" applyFont="1" applyFill="1" applyBorder="1" applyAlignment="1">
      <alignment horizontal="center" vertical="center" textRotation="90" wrapText="1"/>
    </xf>
    <xf numFmtId="38" fontId="188" fillId="82" borderId="10" xfId="0" applyNumberFormat="1" applyFont="1" applyFill="1" applyBorder="1" applyAlignment="1">
      <alignment horizontal="center" vertical="center" textRotation="90" wrapText="1"/>
    </xf>
    <xf numFmtId="38" fontId="188" fillId="82" borderId="13" xfId="0" applyNumberFormat="1" applyFont="1" applyFill="1" applyBorder="1" applyAlignment="1">
      <alignment horizontal="center" vertical="center" textRotation="90" wrapText="1"/>
    </xf>
    <xf numFmtId="0" fontId="147" fillId="26" borderId="10" xfId="0" applyFont="1" applyFill="1" applyBorder="1" applyAlignment="1">
      <alignment horizontal="center" vertical="top"/>
    </xf>
    <xf numFmtId="0" fontId="147" fillId="26" borderId="11" xfId="0" applyFont="1" applyFill="1" applyBorder="1" applyAlignment="1">
      <alignment horizontal="center" vertical="top"/>
    </xf>
    <xf numFmtId="38" fontId="147" fillId="26" borderId="10" xfId="0" applyNumberFormat="1" applyFont="1" applyFill="1" applyBorder="1" applyAlignment="1">
      <alignment horizontal="center" vertical="top"/>
    </xf>
    <xf numFmtId="38" fontId="147" fillId="26" borderId="13" xfId="0" applyNumberFormat="1" applyFont="1" applyFill="1" applyBorder="1" applyAlignment="1">
      <alignment horizontal="center" vertical="top"/>
    </xf>
    <xf numFmtId="38" fontId="147" fillId="26" borderId="11" xfId="0" applyNumberFormat="1" applyFont="1" applyFill="1" applyBorder="1" applyAlignment="1">
      <alignment horizontal="center" vertical="top"/>
    </xf>
    <xf numFmtId="38" fontId="147" fillId="11" borderId="12" xfId="0" applyNumberFormat="1" applyFont="1" applyFill="1" applyBorder="1" applyAlignment="1">
      <alignment horizontal="center" vertical="center" textRotation="90" wrapText="1"/>
    </xf>
    <xf numFmtId="38" fontId="147" fillId="11" borderId="48" xfId="0" applyNumberFormat="1" applyFont="1" applyFill="1" applyBorder="1" applyAlignment="1">
      <alignment horizontal="center" vertical="center" textRotation="90" wrapText="1"/>
    </xf>
    <xf numFmtId="38" fontId="147" fillId="11" borderId="14" xfId="0" applyNumberFormat="1" applyFont="1" applyFill="1" applyBorder="1" applyAlignment="1">
      <alignment horizontal="center" vertical="center" textRotation="90" wrapText="1"/>
    </xf>
    <xf numFmtId="38" fontId="147" fillId="11" borderId="40" xfId="0" applyNumberFormat="1" applyFont="1" applyFill="1" applyBorder="1" applyAlignment="1">
      <alignment horizontal="center" vertical="center" textRotation="90" wrapText="1"/>
    </xf>
    <xf numFmtId="38" fontId="147" fillId="11" borderId="42" xfId="0" applyNumberFormat="1" applyFont="1" applyFill="1" applyBorder="1" applyAlignment="1">
      <alignment horizontal="center" vertical="center" textRotation="90" wrapText="1"/>
    </xf>
    <xf numFmtId="38" fontId="147" fillId="11" borderId="251" xfId="0" applyNumberFormat="1" applyFont="1" applyFill="1" applyBorder="1" applyAlignment="1">
      <alignment horizontal="center" vertical="center" textRotation="90" wrapText="1"/>
    </xf>
    <xf numFmtId="0" fontId="147" fillId="11" borderId="12" xfId="0" applyFont="1" applyFill="1" applyBorder="1" applyAlignment="1">
      <alignment horizontal="center" vertical="center" textRotation="90" wrapText="1"/>
    </xf>
    <xf numFmtId="0" fontId="147" fillId="11" borderId="48" xfId="0" applyFont="1" applyFill="1" applyBorder="1" applyAlignment="1">
      <alignment horizontal="center" vertical="center" textRotation="90" wrapText="1"/>
    </xf>
    <xf numFmtId="0" fontId="147" fillId="11" borderId="14" xfId="0" applyFont="1" applyFill="1" applyBorder="1" applyAlignment="1">
      <alignment horizontal="center" vertical="center" textRotation="90" wrapText="1"/>
    </xf>
    <xf numFmtId="0" fontId="147" fillId="11" borderId="40" xfId="0" applyFont="1" applyFill="1" applyBorder="1" applyAlignment="1">
      <alignment horizontal="center" vertical="center" textRotation="90" wrapText="1"/>
    </xf>
    <xf numFmtId="0" fontId="147" fillId="11" borderId="42" xfId="0" applyFont="1" applyFill="1" applyBorder="1" applyAlignment="1">
      <alignment horizontal="center" vertical="center" textRotation="90" wrapText="1"/>
    </xf>
    <xf numFmtId="0" fontId="147" fillId="11" borderId="251" xfId="0" applyFont="1" applyFill="1" applyBorder="1" applyAlignment="1">
      <alignment horizontal="center" vertical="center" textRotation="90" wrapText="1"/>
    </xf>
    <xf numFmtId="0" fontId="121" fillId="19" borderId="5" xfId="0" applyFont="1" applyFill="1" applyBorder="1" applyAlignment="1">
      <alignment horizontal="center" vertical="center" wrapText="1"/>
    </xf>
    <xf numFmtId="0" fontId="121" fillId="19" borderId="6" xfId="0" applyFont="1" applyFill="1" applyBorder="1" applyAlignment="1">
      <alignment horizontal="center" vertical="center" wrapText="1"/>
    </xf>
    <xf numFmtId="0" fontId="7" fillId="0" borderId="2" xfId="0" applyFont="1" applyBorder="1" applyAlignment="1">
      <alignment horizontal="left" vertical="top" wrapText="1"/>
    </xf>
    <xf numFmtId="38" fontId="19" fillId="26" borderId="285" xfId="0" applyNumberFormat="1" applyFont="1" applyFill="1" applyBorder="1" applyAlignment="1">
      <alignment horizontal="center" vertical="top"/>
    </xf>
    <xf numFmtId="38" fontId="19" fillId="26" borderId="288" xfId="0" applyNumberFormat="1" applyFont="1" applyFill="1" applyBorder="1" applyAlignment="1">
      <alignment horizontal="center" vertical="top"/>
    </xf>
    <xf numFmtId="38" fontId="188" fillId="82" borderId="10" xfId="0" applyNumberFormat="1" applyFont="1" applyFill="1" applyBorder="1" applyAlignment="1">
      <alignment horizontal="center" vertical="center" textRotation="90"/>
    </xf>
    <xf numFmtId="38" fontId="188" fillId="82" borderId="13" xfId="0" applyNumberFormat="1" applyFont="1" applyFill="1" applyBorder="1" applyAlignment="1">
      <alignment horizontal="center" vertical="center" textRotation="90"/>
    </xf>
    <xf numFmtId="38" fontId="188" fillId="82" borderId="11" xfId="0" applyNumberFormat="1" applyFont="1" applyFill="1" applyBorder="1" applyAlignment="1">
      <alignment horizontal="center" vertical="center" textRotation="90"/>
    </xf>
    <xf numFmtId="0" fontId="188" fillId="82" borderId="5" xfId="0" applyFont="1" applyFill="1" applyBorder="1" applyAlignment="1">
      <alignment horizontal="center" vertical="center" wrapText="1"/>
    </xf>
    <xf numFmtId="0" fontId="188" fillId="82" borderId="6" xfId="0" applyFont="1" applyFill="1" applyBorder="1" applyAlignment="1">
      <alignment horizontal="center" vertical="center" wrapText="1"/>
    </xf>
    <xf numFmtId="0" fontId="88" fillId="0" borderId="40" xfId="0" applyFont="1" applyBorder="1" applyAlignment="1">
      <alignment horizontal="left" vertical="top" wrapText="1"/>
    </xf>
    <xf numFmtId="0" fontId="88" fillId="81" borderId="0" xfId="0" applyFont="1" applyFill="1" applyAlignment="1">
      <alignment horizontal="left" vertical="top" wrapText="1"/>
    </xf>
    <xf numFmtId="0" fontId="88" fillId="81" borderId="290" xfId="0" applyFont="1" applyFill="1" applyBorder="1" applyAlignment="1">
      <alignment horizontal="left" vertical="top"/>
    </xf>
    <xf numFmtId="0" fontId="88" fillId="81" borderId="0" xfId="0" applyFont="1" applyFill="1" applyAlignment="1">
      <alignment horizontal="left" vertical="top"/>
    </xf>
    <xf numFmtId="0" fontId="88" fillId="81" borderId="290" xfId="0" applyFont="1" applyFill="1" applyBorder="1" applyAlignment="1">
      <alignment horizontal="left" vertical="top" wrapText="1"/>
    </xf>
    <xf numFmtId="0" fontId="88" fillId="81" borderId="40" xfId="0" applyFont="1" applyFill="1" applyBorder="1" applyAlignment="1">
      <alignment horizontal="left" vertical="top" wrapText="1"/>
    </xf>
    <xf numFmtId="38" fontId="16" fillId="77" borderId="10" xfId="0" applyNumberFormat="1" applyFont="1" applyFill="1" applyBorder="1" applyAlignment="1">
      <alignment horizontal="center"/>
    </xf>
    <xf numFmtId="38" fontId="16" fillId="77" borderId="13" xfId="0" applyNumberFormat="1" applyFont="1" applyFill="1" applyBorder="1" applyAlignment="1">
      <alignment horizontal="center"/>
    </xf>
    <xf numFmtId="38" fontId="16" fillId="77" borderId="11" xfId="0" applyNumberFormat="1" applyFont="1" applyFill="1" applyBorder="1" applyAlignment="1">
      <alignment horizontal="center"/>
    </xf>
    <xf numFmtId="38" fontId="16" fillId="77" borderId="283" xfId="0" applyNumberFormat="1" applyFont="1" applyFill="1" applyBorder="1" applyAlignment="1">
      <alignment horizontal="center" vertical="top"/>
    </xf>
    <xf numFmtId="38" fontId="16" fillId="77" borderId="284" xfId="0" applyNumberFormat="1" applyFont="1" applyFill="1" applyBorder="1" applyAlignment="1">
      <alignment horizontal="center" vertical="top"/>
    </xf>
    <xf numFmtId="0" fontId="191" fillId="19" borderId="0" xfId="0" applyFont="1" applyFill="1" applyAlignment="1">
      <alignment horizontal="left" vertical="top" wrapText="1"/>
    </xf>
    <xf numFmtId="0" fontId="191" fillId="19" borderId="250" xfId="0" applyFont="1" applyFill="1" applyBorder="1" applyAlignment="1">
      <alignment horizontal="left" vertical="top" wrapText="1"/>
    </xf>
    <xf numFmtId="38" fontId="188" fillId="82" borderId="11" xfId="0" applyNumberFormat="1" applyFont="1" applyFill="1" applyBorder="1" applyAlignment="1">
      <alignment horizontal="center" vertical="center" textRotation="90" wrapText="1"/>
    </xf>
    <xf numFmtId="0" fontId="188" fillId="82" borderId="12" xfId="0" applyFont="1" applyFill="1" applyBorder="1" applyAlignment="1">
      <alignment horizontal="center" vertical="center" wrapText="1"/>
    </xf>
    <xf numFmtId="0" fontId="188" fillId="82" borderId="48" xfId="0" applyFont="1" applyFill="1" applyBorder="1" applyAlignment="1">
      <alignment horizontal="center" vertical="center" wrapText="1"/>
    </xf>
    <xf numFmtId="0" fontId="188" fillId="82" borderId="42" xfId="0" applyFont="1" applyFill="1" applyBorder="1" applyAlignment="1">
      <alignment horizontal="center" vertical="center" wrapText="1"/>
    </xf>
    <xf numFmtId="0" fontId="188" fillId="82" borderId="251" xfId="0" applyFont="1" applyFill="1" applyBorder="1" applyAlignment="1">
      <alignment horizontal="center" vertical="center" wrapText="1"/>
    </xf>
    <xf numFmtId="0" fontId="88" fillId="0" borderId="14" xfId="0" applyFont="1" applyBorder="1" applyAlignment="1">
      <alignment horizontal="left" vertical="top" wrapText="1"/>
    </xf>
    <xf numFmtId="211" fontId="16" fillId="77" borderId="10" xfId="0" applyNumberFormat="1" applyFont="1" applyFill="1" applyBorder="1" applyAlignment="1">
      <alignment horizontal="center" vertical="center" wrapText="1"/>
    </xf>
    <xf numFmtId="211" fontId="16" fillId="77" borderId="11" xfId="0" applyNumberFormat="1" applyFont="1" applyFill="1" applyBorder="1" applyAlignment="1">
      <alignment horizontal="center" vertical="center" wrapText="1"/>
    </xf>
    <xf numFmtId="38" fontId="16" fillId="77" borderId="356" xfId="0" applyNumberFormat="1" applyFont="1" applyFill="1" applyBorder="1" applyAlignment="1">
      <alignment horizontal="center" vertical="top"/>
    </xf>
    <xf numFmtId="0" fontId="122" fillId="19" borderId="10" xfId="0" applyFont="1" applyFill="1" applyBorder="1" applyAlignment="1">
      <alignment horizontal="center" wrapText="1"/>
    </xf>
    <xf numFmtId="0" fontId="122" fillId="19" borderId="13" xfId="0" applyFont="1" applyFill="1" applyBorder="1" applyAlignment="1">
      <alignment horizontal="center" wrapText="1"/>
    </xf>
    <xf numFmtId="0" fontId="122" fillId="19" borderId="11" xfId="0" applyFont="1" applyFill="1" applyBorder="1" applyAlignment="1">
      <alignment horizontal="center" wrapText="1"/>
    </xf>
    <xf numFmtId="0" fontId="88" fillId="80" borderId="14" xfId="0" applyFont="1" applyFill="1" applyBorder="1" applyAlignment="1">
      <alignment horizontal="left" vertical="top" wrapText="1"/>
    </xf>
    <xf numFmtId="0" fontId="88" fillId="80" borderId="0" xfId="0" applyFont="1" applyFill="1" applyAlignment="1">
      <alignment horizontal="left" vertical="top" wrapText="1"/>
    </xf>
    <xf numFmtId="0" fontId="88" fillId="99" borderId="290" xfId="0" applyFont="1" applyFill="1" applyBorder="1" applyAlignment="1">
      <alignment horizontal="left" vertical="top" wrapText="1"/>
    </xf>
    <xf numFmtId="0" fontId="88" fillId="99" borderId="0" xfId="0" applyFont="1" applyFill="1" applyAlignment="1">
      <alignment horizontal="left" vertical="top" wrapText="1"/>
    </xf>
    <xf numFmtId="0" fontId="88" fillId="99" borderId="40" xfId="0" applyFont="1" applyFill="1" applyBorder="1" applyAlignment="1">
      <alignment horizontal="left" vertical="top" wrapText="1"/>
    </xf>
    <xf numFmtId="0" fontId="88" fillId="101" borderId="290" xfId="0" applyFont="1" applyFill="1" applyBorder="1" applyAlignment="1">
      <alignment horizontal="left" vertical="top" wrapText="1"/>
    </xf>
    <xf numFmtId="0" fontId="88" fillId="101" borderId="0" xfId="0" applyFont="1" applyFill="1" applyAlignment="1">
      <alignment horizontal="left" vertical="top" wrapText="1"/>
    </xf>
    <xf numFmtId="0" fontId="88" fillId="101" borderId="40" xfId="0" applyFont="1" applyFill="1" applyBorder="1" applyAlignment="1">
      <alignment horizontal="left" vertical="top" wrapText="1"/>
    </xf>
    <xf numFmtId="38" fontId="16" fillId="77" borderId="7" xfId="0" applyNumberFormat="1" applyFont="1" applyFill="1" applyBorder="1" applyAlignment="1">
      <alignment horizontal="center" vertical="top"/>
    </xf>
    <xf numFmtId="0" fontId="113" fillId="80" borderId="0" xfId="0" applyFont="1" applyFill="1" applyAlignment="1">
      <alignment horizontal="left" vertical="top" wrapText="1"/>
    </xf>
    <xf numFmtId="38" fontId="19" fillId="26" borderId="2" xfId="0" applyNumberFormat="1" applyFont="1" applyFill="1" applyBorder="1" applyAlignment="1">
      <alignment horizontal="center" vertical="top"/>
    </xf>
    <xf numFmtId="38" fontId="19" fillId="26" borderId="0" xfId="0" applyNumberFormat="1" applyFont="1" applyFill="1" applyAlignment="1">
      <alignment horizontal="center" vertical="top"/>
    </xf>
    <xf numFmtId="38" fontId="19" fillId="26" borderId="295" xfId="0" applyNumberFormat="1" applyFont="1" applyFill="1" applyBorder="1" applyAlignment="1">
      <alignment horizontal="center" vertical="top"/>
    </xf>
    <xf numFmtId="38" fontId="19" fillId="26" borderId="289" xfId="0" applyNumberFormat="1" applyFont="1" applyFill="1" applyBorder="1" applyAlignment="1">
      <alignment horizontal="center" vertical="top"/>
    </xf>
    <xf numFmtId="38" fontId="16" fillId="77" borderId="48" xfId="0" applyNumberFormat="1" applyFont="1" applyFill="1" applyBorder="1" applyAlignment="1">
      <alignment horizontal="center" vertical="top"/>
    </xf>
    <xf numFmtId="0" fontId="188" fillId="82" borderId="1" xfId="0" applyFont="1" applyFill="1" applyBorder="1" applyAlignment="1">
      <alignment horizontal="center" vertical="center" wrapText="1"/>
    </xf>
    <xf numFmtId="0" fontId="128" fillId="19" borderId="5" xfId="0" applyFont="1" applyFill="1" applyBorder="1" applyAlignment="1">
      <alignment horizontal="left" vertical="center" wrapText="1"/>
    </xf>
    <xf numFmtId="0" fontId="128" fillId="19" borderId="1" xfId="0" applyFont="1" applyFill="1" applyBorder="1" applyAlignment="1">
      <alignment horizontal="left" vertical="center" wrapText="1"/>
    </xf>
    <xf numFmtId="0" fontId="128" fillId="19" borderId="6" xfId="0" applyFont="1" applyFill="1" applyBorder="1" applyAlignment="1">
      <alignment horizontal="left" vertical="center" wrapText="1"/>
    </xf>
    <xf numFmtId="0" fontId="122" fillId="19" borderId="10" xfId="0" applyFont="1" applyFill="1" applyBorder="1" applyAlignment="1">
      <alignment horizontal="center" vertical="center" wrapText="1"/>
    </xf>
    <xf numFmtId="0" fontId="122" fillId="19" borderId="13" xfId="0" applyFont="1" applyFill="1" applyBorder="1" applyAlignment="1">
      <alignment horizontal="center" vertical="center" wrapText="1"/>
    </xf>
    <xf numFmtId="0" fontId="122" fillId="19" borderId="11" xfId="0" applyFont="1" applyFill="1" applyBorder="1" applyAlignment="1">
      <alignment horizontal="center" vertical="center" wrapText="1"/>
    </xf>
    <xf numFmtId="0" fontId="88" fillId="100" borderId="0" xfId="0" applyFont="1" applyFill="1" applyAlignment="1">
      <alignment horizontal="left" vertical="top" wrapText="1"/>
    </xf>
    <xf numFmtId="0" fontId="88" fillId="100" borderId="40" xfId="0" applyFont="1" applyFill="1" applyBorder="1" applyAlignment="1">
      <alignment horizontal="left" vertical="top" wrapText="1"/>
    </xf>
    <xf numFmtId="0" fontId="88" fillId="80" borderId="40" xfId="0" applyFont="1" applyFill="1" applyBorder="1" applyAlignment="1">
      <alignment horizontal="left" vertical="top" wrapText="1"/>
    </xf>
    <xf numFmtId="0" fontId="88" fillId="100" borderId="290" xfId="0" applyFont="1" applyFill="1" applyBorder="1" applyAlignment="1">
      <alignment horizontal="left" vertical="top" wrapText="1"/>
    </xf>
    <xf numFmtId="0" fontId="88" fillId="80" borderId="290" xfId="0" applyFont="1" applyFill="1" applyBorder="1" applyAlignment="1">
      <alignment horizontal="left" vertical="top" wrapText="1"/>
    </xf>
    <xf numFmtId="38" fontId="16" fillId="77" borderId="346" xfId="0" applyNumberFormat="1" applyFont="1" applyFill="1" applyBorder="1" applyAlignment="1">
      <alignment horizontal="center" vertical="top"/>
    </xf>
    <xf numFmtId="0" fontId="188" fillId="82" borderId="5" xfId="0" applyFont="1" applyFill="1" applyBorder="1" applyAlignment="1">
      <alignment horizontal="center" vertical="center"/>
    </xf>
    <xf numFmtId="0" fontId="188" fillId="82" borderId="1" xfId="0" applyFont="1" applyFill="1" applyBorder="1" applyAlignment="1">
      <alignment horizontal="center" vertical="center"/>
    </xf>
    <xf numFmtId="0" fontId="188" fillId="82" borderId="6" xfId="0" applyFont="1" applyFill="1" applyBorder="1" applyAlignment="1">
      <alignment horizontal="center" vertical="center"/>
    </xf>
    <xf numFmtId="38" fontId="16" fillId="77" borderId="10" xfId="0" applyNumberFormat="1" applyFont="1" applyFill="1" applyBorder="1" applyAlignment="1">
      <alignment horizontal="center" vertical="top" wrapText="1"/>
    </xf>
    <xf numFmtId="38" fontId="16" fillId="77" borderId="13" xfId="0" applyNumberFormat="1" applyFont="1" applyFill="1" applyBorder="1" applyAlignment="1">
      <alignment horizontal="center" vertical="top" wrapText="1"/>
    </xf>
    <xf numFmtId="38" fontId="16" fillId="77" borderId="11" xfId="0" applyNumberFormat="1" applyFont="1" applyFill="1" applyBorder="1" applyAlignment="1">
      <alignment horizontal="center" vertical="top" wrapText="1"/>
    </xf>
    <xf numFmtId="38" fontId="147" fillId="11" borderId="291" xfId="0" applyNumberFormat="1" applyFont="1" applyFill="1" applyBorder="1" applyAlignment="1">
      <alignment horizontal="center" vertical="top" wrapText="1"/>
    </xf>
    <xf numFmtId="38" fontId="147" fillId="11" borderId="14" xfId="0" applyNumberFormat="1" applyFont="1" applyFill="1" applyBorder="1" applyAlignment="1">
      <alignment horizontal="center" vertical="top" wrapText="1"/>
    </xf>
    <xf numFmtId="38" fontId="19" fillId="11" borderId="286" xfId="0" applyNumberFormat="1" applyFont="1" applyFill="1" applyBorder="1" applyAlignment="1">
      <alignment horizontal="center" vertical="top"/>
    </xf>
    <xf numFmtId="0" fontId="0" fillId="44" borderId="5" xfId="0" applyFill="1" applyBorder="1" applyAlignment="1">
      <alignment horizontal="center" vertical="center"/>
    </xf>
    <xf numFmtId="0" fontId="0" fillId="44" borderId="6" xfId="0" applyFill="1" applyBorder="1" applyAlignment="1">
      <alignment horizontal="center" vertical="center"/>
    </xf>
    <xf numFmtId="0" fontId="0" fillId="45" borderId="5" xfId="0" applyFill="1" applyBorder="1" applyAlignment="1">
      <alignment horizontal="center" vertical="center" wrapText="1"/>
    </xf>
    <xf numFmtId="0" fontId="0" fillId="45" borderId="6" xfId="0" applyFill="1" applyBorder="1" applyAlignment="1">
      <alignment horizontal="center" vertical="center" wrapText="1"/>
    </xf>
    <xf numFmtId="0" fontId="99" fillId="29" borderId="5" xfId="0" applyFont="1" applyFill="1" applyBorder="1" applyAlignment="1">
      <alignment horizontal="center" vertical="center" wrapText="1"/>
    </xf>
    <xf numFmtId="0" fontId="99" fillId="29" borderId="6" xfId="0" applyFont="1" applyFill="1" applyBorder="1" applyAlignment="1">
      <alignment horizontal="center" vertical="center" wrapText="1"/>
    </xf>
    <xf numFmtId="0" fontId="0" fillId="46" borderId="5" xfId="0" applyFill="1" applyBorder="1" applyAlignment="1">
      <alignment horizontal="center" vertical="center" wrapText="1"/>
    </xf>
    <xf numFmtId="0" fontId="0" fillId="46" borderId="6" xfId="0" applyFill="1" applyBorder="1" applyAlignment="1">
      <alignment horizontal="center" vertical="center" wrapText="1"/>
    </xf>
    <xf numFmtId="0" fontId="8" fillId="29" borderId="5" xfId="0" applyFont="1" applyFill="1" applyBorder="1" applyAlignment="1">
      <alignment horizontal="center" wrapText="1"/>
    </xf>
    <xf numFmtId="0" fontId="8" fillId="29" borderId="6" xfId="0" applyFont="1" applyFill="1" applyBorder="1" applyAlignment="1">
      <alignment horizontal="center" wrapText="1"/>
    </xf>
    <xf numFmtId="0" fontId="6" fillId="9" borderId="5" xfId="0" applyFont="1" applyFill="1" applyBorder="1" applyAlignment="1">
      <alignment horizontal="center" wrapText="1"/>
    </xf>
    <xf numFmtId="0" fontId="6" fillId="9" borderId="6" xfId="0" applyFont="1" applyFill="1" applyBorder="1" applyAlignment="1">
      <alignment horizontal="center" wrapText="1"/>
    </xf>
    <xf numFmtId="0" fontId="6" fillId="9" borderId="6" xfId="0" applyFont="1" applyFill="1" applyBorder="1" applyAlignment="1">
      <alignment horizontal="center"/>
    </xf>
    <xf numFmtId="0" fontId="103" fillId="10" borderId="5" xfId="0" applyFont="1" applyFill="1" applyBorder="1" applyAlignment="1">
      <alignment horizontal="center" vertical="center"/>
    </xf>
    <xf numFmtId="0" fontId="103" fillId="10" borderId="1" xfId="0" applyFont="1" applyFill="1" applyBorder="1" applyAlignment="1">
      <alignment horizontal="center" vertical="center"/>
    </xf>
    <xf numFmtId="0" fontId="103" fillId="10" borderId="6" xfId="0" applyFont="1" applyFill="1" applyBorder="1" applyAlignment="1">
      <alignment horizontal="center" vertical="center"/>
    </xf>
    <xf numFmtId="0" fontId="158" fillId="60" borderId="0" xfId="0" applyFont="1" applyFill="1" applyAlignment="1">
      <alignment horizontal="center" vertical="center" wrapText="1"/>
    </xf>
    <xf numFmtId="0" fontId="152" fillId="0" borderId="10" xfId="0" applyFont="1" applyBorder="1" applyAlignment="1">
      <alignment horizontal="left" wrapText="1"/>
    </xf>
    <xf numFmtId="0" fontId="152" fillId="0" borderId="13" xfId="0" applyFont="1" applyBorder="1" applyAlignment="1">
      <alignment horizontal="left" wrapText="1"/>
    </xf>
    <xf numFmtId="0" fontId="152" fillId="0" borderId="11" xfId="0" applyFont="1" applyBorder="1" applyAlignment="1">
      <alignment horizontal="left" wrapText="1"/>
    </xf>
    <xf numFmtId="0" fontId="152" fillId="0" borderId="12" xfId="0" applyFont="1" applyBorder="1" applyAlignment="1">
      <alignment horizontal="left" wrapText="1"/>
    </xf>
    <xf numFmtId="0" fontId="152" fillId="0" borderId="48" xfId="0" applyFont="1" applyBorder="1" applyAlignment="1">
      <alignment horizontal="left" wrapText="1"/>
    </xf>
    <xf numFmtId="0" fontId="152" fillId="0" borderId="14" xfId="0" applyFont="1" applyBorder="1" applyAlignment="1">
      <alignment horizontal="left" wrapText="1"/>
    </xf>
    <xf numFmtId="0" fontId="152" fillId="0" borderId="40" xfId="0" applyFont="1" applyBorder="1" applyAlignment="1">
      <alignment horizontal="left" wrapText="1"/>
    </xf>
    <xf numFmtId="0" fontId="152" fillId="0" borderId="42" xfId="0" applyFont="1" applyBorder="1" applyAlignment="1">
      <alignment horizontal="left" wrapText="1"/>
    </xf>
    <xf numFmtId="0" fontId="152" fillId="0" borderId="189" xfId="0" applyFont="1" applyBorder="1" applyAlignment="1">
      <alignment horizontal="left" wrapText="1"/>
    </xf>
    <xf numFmtId="0" fontId="130" fillId="0" borderId="12" xfId="0" applyFont="1" applyBorder="1" applyAlignment="1">
      <alignment horizontal="left" wrapText="1"/>
    </xf>
    <xf numFmtId="0" fontId="130" fillId="0" borderId="48" xfId="0" applyFont="1" applyBorder="1" applyAlignment="1">
      <alignment horizontal="left" wrapText="1"/>
    </xf>
    <xf numFmtId="0" fontId="130" fillId="0" borderId="14" xfId="0" applyFont="1" applyBorder="1" applyAlignment="1">
      <alignment horizontal="left" wrapText="1"/>
    </xf>
    <xf numFmtId="0" fontId="130" fillId="0" borderId="40" xfId="0" applyFont="1" applyBorder="1" applyAlignment="1">
      <alignment horizontal="left" wrapText="1"/>
    </xf>
    <xf numFmtId="0" fontId="130" fillId="0" borderId="42" xfId="0" applyFont="1" applyBorder="1" applyAlignment="1">
      <alignment horizontal="left" wrapText="1"/>
    </xf>
    <xf numFmtId="0" fontId="130" fillId="0" borderId="189" xfId="0" applyFont="1" applyBorder="1" applyAlignment="1">
      <alignment horizontal="left" wrapText="1"/>
    </xf>
    <xf numFmtId="0" fontId="0" fillId="0" borderId="5" xfId="0" applyBorder="1" applyAlignment="1">
      <alignment horizontal="center" vertical="center"/>
    </xf>
    <xf numFmtId="0" fontId="0" fillId="0" borderId="6" xfId="0" applyBorder="1" applyAlignment="1">
      <alignment horizontal="center" vertical="center"/>
    </xf>
    <xf numFmtId="0" fontId="8" fillId="0" borderId="2" xfId="0" applyFont="1" applyBorder="1" applyAlignment="1">
      <alignment horizontal="center" wrapText="1"/>
    </xf>
    <xf numFmtId="0" fontId="8" fillId="0" borderId="250" xfId="0" applyFont="1" applyBorder="1" applyAlignment="1">
      <alignment horizontal="center" wrapText="1"/>
    </xf>
    <xf numFmtId="0" fontId="28" fillId="0" borderId="2" xfId="0" applyFont="1" applyBorder="1" applyAlignment="1">
      <alignment horizontal="center" vertical="center" wrapText="1"/>
    </xf>
    <xf numFmtId="0" fontId="28" fillId="0" borderId="250" xfId="0" applyFont="1" applyBorder="1" applyAlignment="1">
      <alignment horizontal="center" vertical="center" wrapText="1"/>
    </xf>
    <xf numFmtId="0" fontId="0" fillId="13" borderId="14" xfId="0" applyFill="1" applyBorder="1" applyAlignment="1">
      <alignment horizontal="left" vertical="center"/>
    </xf>
    <xf numFmtId="0" fontId="0" fillId="13" borderId="0" xfId="0" applyFill="1" applyAlignment="1">
      <alignment horizontal="left" vertical="center"/>
    </xf>
    <xf numFmtId="0" fontId="206" fillId="98" borderId="5" xfId="0" applyFont="1" applyFill="1" applyBorder="1" applyAlignment="1">
      <alignment horizontal="center" vertical="center"/>
    </xf>
    <xf numFmtId="0" fontId="206" fillId="98" borderId="6" xfId="0" applyFont="1" applyFill="1" applyBorder="1" applyAlignment="1">
      <alignment horizontal="center" vertical="center"/>
    </xf>
    <xf numFmtId="0" fontId="103" fillId="102" borderId="5" xfId="0" applyFont="1" applyFill="1" applyBorder="1" applyAlignment="1">
      <alignment horizontal="center" vertical="center" wrapText="1"/>
    </xf>
    <xf numFmtId="0" fontId="103" fillId="102" borderId="6" xfId="0" applyFont="1" applyFill="1" applyBorder="1" applyAlignment="1">
      <alignment horizontal="center" vertical="center" wrapText="1"/>
    </xf>
    <xf numFmtId="0" fontId="6" fillId="29" borderId="5" xfId="0" applyFont="1" applyFill="1" applyBorder="1" applyAlignment="1">
      <alignment horizontal="center" wrapText="1"/>
    </xf>
    <xf numFmtId="0" fontId="6" fillId="29" borderId="6" xfId="0" applyFont="1" applyFill="1" applyBorder="1" applyAlignment="1">
      <alignment horizontal="center"/>
    </xf>
    <xf numFmtId="0" fontId="8" fillId="46" borderId="5" xfId="0" applyFont="1" applyFill="1" applyBorder="1" applyAlignment="1">
      <alignment horizontal="center" vertical="center" wrapText="1"/>
    </xf>
    <xf numFmtId="0" fontId="8" fillId="46" borderId="6" xfId="0" applyFont="1" applyFill="1" applyBorder="1" applyAlignment="1">
      <alignment horizontal="center" vertical="center" wrapText="1"/>
    </xf>
    <xf numFmtId="0" fontId="8" fillId="45" borderId="5" xfId="0" applyFont="1" applyFill="1" applyBorder="1" applyAlignment="1">
      <alignment horizontal="center" vertical="center" wrapText="1"/>
    </xf>
    <xf numFmtId="0" fontId="8" fillId="45" borderId="6" xfId="0" applyFont="1" applyFill="1" applyBorder="1" applyAlignment="1">
      <alignment horizontal="center" vertical="center" wrapText="1"/>
    </xf>
    <xf numFmtId="0" fontId="6" fillId="10" borderId="5" xfId="0" applyFont="1" applyFill="1" applyBorder="1" applyAlignment="1">
      <alignment horizontal="left" vertical="center"/>
    </xf>
    <xf numFmtId="0" fontId="6" fillId="10" borderId="1" xfId="0" applyFont="1" applyFill="1" applyBorder="1" applyAlignment="1">
      <alignment horizontal="left" vertical="center"/>
    </xf>
    <xf numFmtId="0" fontId="6" fillId="10" borderId="6" xfId="0" applyFont="1" applyFill="1" applyBorder="1" applyAlignment="1">
      <alignment horizontal="left" vertical="center"/>
    </xf>
    <xf numFmtId="0" fontId="28" fillId="29" borderId="5" xfId="0" applyFont="1" applyFill="1" applyBorder="1" applyAlignment="1">
      <alignment horizontal="center" vertical="center"/>
    </xf>
    <xf numFmtId="0" fontId="28" fillId="29" borderId="6" xfId="0" applyFont="1" applyFill="1" applyBorder="1" applyAlignment="1">
      <alignment horizontal="center" vertical="center"/>
    </xf>
    <xf numFmtId="0" fontId="0" fillId="29" borderId="5" xfId="0" applyFill="1" applyBorder="1" applyAlignment="1">
      <alignment horizontal="center" vertical="center" wrapText="1"/>
    </xf>
    <xf numFmtId="0" fontId="0" fillId="29" borderId="6" xfId="0" applyFill="1" applyBorder="1" applyAlignment="1">
      <alignment horizontal="center" vertical="center" wrapText="1"/>
    </xf>
    <xf numFmtId="0" fontId="0" fillId="48" borderId="0" xfId="0" applyFill="1" applyAlignment="1">
      <alignment horizontal="center" vertical="center" wrapText="1"/>
    </xf>
    <xf numFmtId="0" fontId="6" fillId="10" borderId="2" xfId="0" applyFont="1" applyFill="1" applyBorder="1" applyAlignment="1">
      <alignment horizontal="left" vertical="center"/>
    </xf>
    <xf numFmtId="0" fontId="6" fillId="10" borderId="48" xfId="0" applyFont="1" applyFill="1" applyBorder="1" applyAlignment="1">
      <alignment horizontal="left" vertical="center"/>
    </xf>
    <xf numFmtId="0" fontId="0" fillId="98" borderId="5" xfId="0" applyFill="1" applyBorder="1" applyAlignment="1">
      <alignment horizontal="center" vertical="center"/>
    </xf>
    <xf numFmtId="0" fontId="0" fillId="98" borderId="6" xfId="0" applyFill="1" applyBorder="1" applyAlignment="1">
      <alignment horizontal="center" vertical="center"/>
    </xf>
    <xf numFmtId="0" fontId="206" fillId="98" borderId="10" xfId="0" applyFont="1" applyFill="1" applyBorder="1" applyAlignment="1">
      <alignment horizontal="left" wrapText="1"/>
    </xf>
    <xf numFmtId="0" fontId="206" fillId="98" borderId="13" xfId="0" applyFont="1" applyFill="1" applyBorder="1" applyAlignment="1">
      <alignment horizontal="left" wrapText="1"/>
    </xf>
    <xf numFmtId="0" fontId="206" fillId="98" borderId="11" xfId="0" applyFont="1" applyFill="1" applyBorder="1" applyAlignment="1">
      <alignment horizontal="left" wrapText="1"/>
    </xf>
    <xf numFmtId="0" fontId="99" fillId="98" borderId="12" xfId="0" applyFont="1" applyFill="1" applyBorder="1" applyAlignment="1">
      <alignment horizontal="left" wrapText="1"/>
    </xf>
    <xf numFmtId="0" fontId="99" fillId="98" borderId="48" xfId="0" applyFont="1" applyFill="1" applyBorder="1" applyAlignment="1">
      <alignment horizontal="left" wrapText="1"/>
    </xf>
    <xf numFmtId="0" fontId="99" fillId="98" borderId="14" xfId="0" applyFont="1" applyFill="1" applyBorder="1" applyAlignment="1">
      <alignment horizontal="left" wrapText="1"/>
    </xf>
    <xf numFmtId="0" fontId="99" fillId="98" borderId="40" xfId="0" applyFont="1" applyFill="1" applyBorder="1" applyAlignment="1">
      <alignment horizontal="left" wrapText="1"/>
    </xf>
    <xf numFmtId="0" fontId="99" fillId="98" borderId="42" xfId="0" applyFont="1" applyFill="1" applyBorder="1" applyAlignment="1">
      <alignment horizontal="left" wrapText="1"/>
    </xf>
    <xf numFmtId="0" fontId="99" fillId="98" borderId="251" xfId="0" applyFont="1" applyFill="1" applyBorder="1" applyAlignment="1">
      <alignment horizontal="left" wrapText="1"/>
    </xf>
    <xf numFmtId="0" fontId="103" fillId="97" borderId="0" xfId="0" applyFont="1" applyFill="1" applyAlignment="1">
      <alignment horizontal="center" vertical="center" wrapText="1"/>
    </xf>
    <xf numFmtId="0" fontId="0" fillId="32" borderId="0" xfId="0" applyFill="1" applyAlignment="1">
      <alignment horizontal="center" vertical="center"/>
    </xf>
    <xf numFmtId="0" fontId="154" fillId="48" borderId="0" xfId="0" applyFont="1" applyFill="1" applyAlignment="1">
      <alignment horizontal="center" vertical="center" wrapText="1"/>
    </xf>
    <xf numFmtId="0" fontId="103" fillId="102" borderId="345" xfId="0" quotePrefix="1" applyFont="1" applyFill="1" applyBorder="1" applyAlignment="1">
      <alignment horizontal="center" vertical="center"/>
    </xf>
    <xf numFmtId="0" fontId="103" fillId="102" borderId="345" xfId="0" applyFont="1" applyFill="1" applyBorder="1" applyAlignment="1">
      <alignment horizontal="center" vertical="center"/>
    </xf>
    <xf numFmtId="0" fontId="103" fillId="36" borderId="5" xfId="0" applyFont="1" applyFill="1" applyBorder="1" applyAlignment="1">
      <alignment horizontal="center" vertical="center"/>
    </xf>
    <xf numFmtId="0" fontId="103" fillId="36" borderId="6" xfId="0" applyFont="1" applyFill="1" applyBorder="1" applyAlignment="1">
      <alignment horizontal="center"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158" fillId="49" borderId="0" xfId="0" applyFont="1" applyFill="1" applyAlignment="1">
      <alignment horizontal="center" vertical="center" wrapText="1"/>
    </xf>
    <xf numFmtId="8" fontId="0" fillId="0" borderId="2" xfId="0" applyNumberFormat="1" applyBorder="1" applyAlignment="1">
      <alignment horizontal="right" vertical="center"/>
    </xf>
    <xf numFmtId="8" fontId="0" fillId="0" borderId="188" xfId="0" applyNumberFormat="1" applyBorder="1" applyAlignment="1">
      <alignment horizontal="right" vertical="center"/>
    </xf>
    <xf numFmtId="8" fontId="0" fillId="0" borderId="0" xfId="0" applyNumberFormat="1" applyAlignment="1">
      <alignment horizontal="right" vertical="center"/>
    </xf>
    <xf numFmtId="0" fontId="6" fillId="9" borderId="5" xfId="0" applyFont="1" applyFill="1" applyBorder="1" applyAlignment="1">
      <alignment horizontal="left"/>
    </xf>
    <xf numFmtId="0" fontId="6" fillId="9" borderId="1" xfId="0" applyFont="1" applyFill="1" applyBorder="1" applyAlignment="1">
      <alignment horizontal="left"/>
    </xf>
    <xf numFmtId="0" fontId="6" fillId="9" borderId="6" xfId="0" applyFont="1" applyFill="1" applyBorder="1" applyAlignment="1">
      <alignment horizontal="left"/>
    </xf>
    <xf numFmtId="8" fontId="8" fillId="25" borderId="16" xfId="0" applyNumberFormat="1" applyFont="1" applyFill="1" applyBorder="1" applyAlignment="1">
      <alignment horizontal="center" vertical="center" wrapText="1"/>
    </xf>
    <xf numFmtId="8" fontId="8" fillId="25" borderId="50" xfId="0" applyNumberFormat="1" applyFont="1" applyFill="1" applyBorder="1" applyAlignment="1">
      <alignment horizontal="center" vertical="center" wrapText="1"/>
    </xf>
    <xf numFmtId="8" fontId="8" fillId="35" borderId="17" xfId="0" applyNumberFormat="1" applyFont="1" applyFill="1" applyBorder="1" applyAlignment="1">
      <alignment horizontal="center" vertical="center" wrapText="1"/>
    </xf>
    <xf numFmtId="8" fontId="8" fillId="35" borderId="50" xfId="0" applyNumberFormat="1" applyFont="1" applyFill="1" applyBorder="1" applyAlignment="1">
      <alignment horizontal="center" vertical="center" wrapText="1"/>
    </xf>
    <xf numFmtId="239" fontId="0" fillId="25" borderId="252" xfId="0" applyNumberFormat="1" applyFill="1" applyBorder="1" applyAlignment="1">
      <alignment horizontal="center" vertical="center"/>
    </xf>
    <xf numFmtId="239" fontId="0" fillId="25" borderId="253" xfId="0" applyNumberFormat="1" applyFill="1" applyBorder="1" applyAlignment="1">
      <alignment horizontal="center" vertical="center"/>
    </xf>
    <xf numFmtId="242" fontId="0" fillId="35" borderId="256" xfId="0" applyNumberFormat="1" applyFill="1" applyBorder="1" applyAlignment="1">
      <alignment horizontal="center" vertical="center"/>
    </xf>
    <xf numFmtId="242" fontId="0" fillId="35" borderId="254" xfId="0" applyNumberFormat="1" applyFill="1" applyBorder="1" applyAlignment="1">
      <alignment horizontal="center" vertical="center"/>
    </xf>
    <xf numFmtId="0" fontId="6" fillId="0" borderId="12"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189" xfId="0" applyFont="1" applyBorder="1" applyAlignment="1">
      <alignment horizontal="center" vertical="center" wrapText="1"/>
    </xf>
    <xf numFmtId="0" fontId="28" fillId="21" borderId="0" xfId="0" applyFont="1" applyFill="1" applyAlignment="1">
      <alignment horizontal="left"/>
    </xf>
    <xf numFmtId="0" fontId="6" fillId="9" borderId="42" xfId="0" applyFont="1" applyFill="1" applyBorder="1" applyAlignment="1">
      <alignment horizontal="center"/>
    </xf>
    <xf numFmtId="0" fontId="6" fillId="9" borderId="179" xfId="0" applyFont="1" applyFill="1" applyBorder="1" applyAlignment="1">
      <alignment horizontal="center"/>
    </xf>
    <xf numFmtId="0" fontId="28" fillId="13" borderId="0" xfId="0" quotePrefix="1" applyFont="1" applyFill="1" applyAlignment="1">
      <alignment horizontal="left"/>
    </xf>
    <xf numFmtId="0" fontId="28" fillId="13" borderId="0" xfId="0" applyFont="1" applyFill="1" applyAlignment="1">
      <alignment horizontal="left"/>
    </xf>
    <xf numFmtId="0" fontId="6" fillId="9" borderId="236" xfId="0" applyFont="1" applyFill="1" applyBorder="1" applyAlignment="1">
      <alignment horizontal="center"/>
    </xf>
    <xf numFmtId="0" fontId="6" fillId="9" borderId="237" xfId="0" applyFont="1" applyFill="1" applyBorder="1" applyAlignment="1">
      <alignment horizontal="center"/>
    </xf>
    <xf numFmtId="8" fontId="8" fillId="25" borderId="15" xfId="0" applyNumberFormat="1" applyFont="1" applyFill="1" applyBorder="1" applyAlignment="1">
      <alignment horizontal="center" vertical="center" wrapText="1"/>
    </xf>
    <xf numFmtId="0" fontId="155" fillId="22" borderId="5" xfId="0" applyFont="1" applyFill="1" applyBorder="1" applyAlignment="1">
      <alignment horizontal="center" wrapText="1"/>
    </xf>
    <xf numFmtId="0" fontId="155" fillId="22" borderId="1" xfId="0" applyFont="1" applyFill="1" applyBorder="1" applyAlignment="1">
      <alignment horizontal="center" wrapText="1"/>
    </xf>
    <xf numFmtId="0" fontId="155" fillId="22" borderId="6" xfId="0" applyFont="1" applyFill="1" applyBorder="1" applyAlignment="1">
      <alignment horizontal="center" wrapText="1"/>
    </xf>
    <xf numFmtId="0" fontId="10" fillId="10" borderId="0" xfId="0" applyFont="1" applyFill="1" applyAlignment="1">
      <alignment horizontal="left" vertical="top" wrapText="1"/>
    </xf>
    <xf numFmtId="0" fontId="0" fillId="110" borderId="0" xfId="0" applyFill="1" applyAlignment="1">
      <alignment horizontal="left" vertical="top" wrapText="1"/>
    </xf>
    <xf numFmtId="0" fontId="6" fillId="0" borderId="5" xfId="0" applyFont="1" applyBorder="1" applyAlignment="1">
      <alignment horizontal="center"/>
    </xf>
    <xf numFmtId="0" fontId="6" fillId="0" borderId="6" xfId="0" applyFont="1" applyBorder="1" applyAlignment="1">
      <alignment horizontal="center"/>
    </xf>
    <xf numFmtId="0" fontId="14" fillId="0" borderId="5" xfId="0" applyFont="1" applyBorder="1" applyAlignment="1">
      <alignment horizontal="center"/>
    </xf>
    <xf numFmtId="0" fontId="14" fillId="0" borderId="1" xfId="0" applyFont="1" applyBorder="1" applyAlignment="1">
      <alignment horizontal="center"/>
    </xf>
    <xf numFmtId="0" fontId="14" fillId="0" borderId="6" xfId="0" applyFont="1" applyBorder="1" applyAlignment="1">
      <alignment horizontal="center"/>
    </xf>
    <xf numFmtId="0" fontId="8" fillId="13" borderId="0" xfId="0" applyFont="1" applyFill="1" applyAlignment="1">
      <alignment horizontal="center" vertical="center"/>
    </xf>
    <xf numFmtId="0" fontId="8" fillId="13" borderId="250" xfId="0" applyFont="1" applyFill="1" applyBorder="1" applyAlignment="1">
      <alignment horizontal="center" vertical="center"/>
    </xf>
    <xf numFmtId="240" fontId="0" fillId="13" borderId="254" xfId="0" applyNumberFormat="1" applyFill="1" applyBorder="1" applyAlignment="1">
      <alignment horizontal="center" vertical="center"/>
    </xf>
    <xf numFmtId="240" fontId="0" fillId="13" borderId="255" xfId="0" applyNumberFormat="1" applyFill="1" applyBorder="1" applyAlignment="1">
      <alignment horizontal="center" vertical="center"/>
    </xf>
    <xf numFmtId="0" fontId="8" fillId="63" borderId="2" xfId="0" applyFont="1" applyFill="1" applyBorder="1" applyAlignment="1">
      <alignment horizontal="center" vertical="center"/>
    </xf>
    <xf numFmtId="0" fontId="8" fillId="63" borderId="0" xfId="0" applyFont="1" applyFill="1" applyAlignment="1">
      <alignment horizontal="center" vertical="center"/>
    </xf>
    <xf numFmtId="0" fontId="8" fillId="63" borderId="250" xfId="0" applyFont="1" applyFill="1" applyBorder="1" applyAlignment="1">
      <alignment horizontal="center" vertical="center"/>
    </xf>
    <xf numFmtId="241" fontId="0" fillId="63" borderId="256" xfId="0" applyNumberFormat="1" applyFill="1" applyBorder="1" applyAlignment="1">
      <alignment horizontal="center" vertical="center"/>
    </xf>
    <xf numFmtId="241" fontId="0" fillId="63" borderId="254" xfId="0" applyNumberFormat="1" applyFill="1" applyBorder="1" applyAlignment="1">
      <alignment horizontal="center" vertical="center"/>
    </xf>
    <xf numFmtId="241" fontId="0" fillId="63" borderId="255" xfId="0" applyNumberFormat="1" applyFill="1" applyBorder="1" applyAlignment="1">
      <alignment horizontal="center" vertical="center"/>
    </xf>
    <xf numFmtId="245" fontId="0" fillId="73" borderId="257" xfId="0" applyNumberFormat="1" applyFill="1" applyBorder="1" applyAlignment="1">
      <alignment horizontal="center" vertical="center"/>
    </xf>
    <xf numFmtId="245" fontId="0" fillId="73" borderId="253" xfId="0" applyNumberFormat="1" applyFill="1" applyBorder="1" applyAlignment="1">
      <alignment horizontal="center" vertical="center"/>
    </xf>
    <xf numFmtId="243" fontId="0" fillId="20" borderId="257" xfId="0" applyNumberFormat="1" applyFill="1" applyBorder="1" applyAlignment="1">
      <alignment horizontal="center" vertical="center"/>
    </xf>
    <xf numFmtId="243" fontId="0" fillId="20" borderId="253" xfId="0" applyNumberFormat="1" applyFill="1" applyBorder="1" applyAlignment="1">
      <alignment horizontal="center" vertical="center"/>
    </xf>
    <xf numFmtId="0" fontId="8" fillId="63" borderId="279" xfId="0" applyFont="1" applyFill="1" applyBorder="1" applyAlignment="1">
      <alignment horizontal="center" vertical="center"/>
    </xf>
    <xf numFmtId="0" fontId="8" fillId="63" borderId="280" xfId="0" applyFont="1" applyFill="1" applyBorder="1" applyAlignment="1">
      <alignment horizontal="center" vertical="center"/>
    </xf>
    <xf numFmtId="0" fontId="8" fillId="63" borderId="281" xfId="0" applyFont="1" applyFill="1" applyBorder="1" applyAlignment="1">
      <alignment horizontal="center" vertical="center"/>
    </xf>
    <xf numFmtId="0" fontId="128" fillId="0" borderId="0" xfId="0" applyFont="1" applyAlignment="1">
      <alignment horizontal="center" vertical="center" wrapText="1"/>
    </xf>
    <xf numFmtId="0" fontId="0" fillId="0" borderId="0" xfId="0" quotePrefix="1" applyAlignment="1">
      <alignment horizontal="left" vertical="top" wrapText="1"/>
    </xf>
    <xf numFmtId="0" fontId="0" fillId="8" borderId="0" xfId="0" applyFill="1" applyAlignment="1">
      <alignment horizontal="left" vertical="top" wrapText="1"/>
    </xf>
    <xf numFmtId="0" fontId="7" fillId="0" borderId="0" xfId="0" applyFont="1" applyAlignment="1">
      <alignment horizontal="left" vertical="top" wrapText="1"/>
    </xf>
    <xf numFmtId="38" fontId="188" fillId="82" borderId="5" xfId="0" applyNumberFormat="1" applyFont="1" applyFill="1" applyBorder="1" applyAlignment="1">
      <alignment horizontal="center" vertical="center" wrapText="1"/>
    </xf>
    <xf numFmtId="38" fontId="188" fillId="82" borderId="6" xfId="0" applyNumberFormat="1" applyFont="1" applyFill="1" applyBorder="1" applyAlignment="1">
      <alignment horizontal="center" vertical="center" wrapText="1"/>
    </xf>
    <xf numFmtId="0" fontId="188" fillId="82" borderId="10" xfId="0" applyFont="1" applyFill="1" applyBorder="1" applyAlignment="1">
      <alignment horizontal="center" vertical="center" textRotation="90"/>
    </xf>
    <xf numFmtId="0" fontId="188" fillId="82" borderId="13" xfId="0" applyFont="1" applyFill="1" applyBorder="1" applyAlignment="1">
      <alignment horizontal="center" vertical="center" textRotation="90"/>
    </xf>
    <xf numFmtId="0" fontId="188" fillId="82" borderId="11" xfId="0" applyFont="1" applyFill="1" applyBorder="1" applyAlignment="1">
      <alignment horizontal="center" vertical="center" textRotation="90"/>
    </xf>
    <xf numFmtId="0" fontId="110" fillId="43" borderId="14" xfId="0" applyFont="1" applyFill="1" applyBorder="1" applyAlignment="1">
      <alignment horizontal="left" vertical="center"/>
    </xf>
    <xf numFmtId="0" fontId="110" fillId="43" borderId="0" xfId="0" applyFont="1" applyFill="1" applyAlignment="1">
      <alignment horizontal="left" vertical="center"/>
    </xf>
    <xf numFmtId="0" fontId="99" fillId="25" borderId="12" xfId="0" applyFont="1" applyFill="1" applyBorder="1" applyAlignment="1">
      <alignment horizontal="center" vertical="center"/>
    </xf>
    <xf numFmtId="38" fontId="223" fillId="0" borderId="10" xfId="0" applyNumberFormat="1" applyFont="1" applyBorder="1" applyAlignment="1">
      <alignment horizontal="center" vertical="top"/>
    </xf>
    <xf numFmtId="38" fontId="223" fillId="0" borderId="13" xfId="0" applyNumberFormat="1" applyFont="1" applyBorder="1" applyAlignment="1">
      <alignment horizontal="center" vertical="top"/>
    </xf>
    <xf numFmtId="38" fontId="223" fillId="0" borderId="356" xfId="0" applyNumberFormat="1" applyFont="1" applyBorder="1" applyAlignment="1">
      <alignment horizontal="center" vertical="top"/>
    </xf>
    <xf numFmtId="0" fontId="206" fillId="0" borderId="0" xfId="0" applyFont="1" applyAlignment="1">
      <alignment horizontal="center" vertical="center" wrapText="1"/>
    </xf>
    <xf numFmtId="38" fontId="8" fillId="77" borderId="10" xfId="0" applyNumberFormat="1" applyFont="1" applyFill="1" applyBorder="1" applyAlignment="1">
      <alignment horizontal="center" vertical="top"/>
    </xf>
    <xf numFmtId="38" fontId="8" fillId="77" borderId="11" xfId="0" applyNumberFormat="1" applyFont="1" applyFill="1" applyBorder="1" applyAlignment="1">
      <alignment horizontal="center" vertical="top"/>
    </xf>
    <xf numFmtId="0" fontId="0" fillId="0" borderId="62" xfId="0" applyBorder="1" applyAlignment="1">
      <alignment horizontal="left" vertical="center" wrapText="1"/>
    </xf>
    <xf numFmtId="0" fontId="0" fillId="0" borderId="63" xfId="0" applyBorder="1" applyAlignment="1">
      <alignment horizontal="left" vertical="center" wrapText="1"/>
    </xf>
    <xf numFmtId="0" fontId="208" fillId="0" borderId="0" xfId="0" applyFont="1" applyAlignment="1">
      <alignment horizontal="left" vertical="top" wrapText="1"/>
    </xf>
    <xf numFmtId="0" fontId="6" fillId="0" borderId="54" xfId="0" applyFont="1" applyBorder="1" applyAlignment="1">
      <alignment horizontal="left"/>
    </xf>
    <xf numFmtId="0" fontId="6" fillId="0" borderId="55" xfId="0" applyFont="1" applyBorder="1" applyAlignment="1">
      <alignment horizontal="left"/>
    </xf>
    <xf numFmtId="0" fontId="16" fillId="14" borderId="57" xfId="0" applyFont="1" applyFill="1" applyBorder="1" applyAlignment="1" applyProtection="1">
      <alignment horizontal="left" vertical="center" wrapText="1"/>
      <protection locked="0"/>
    </xf>
    <xf numFmtId="0" fontId="16" fillId="14" borderId="58" xfId="0" applyFont="1" applyFill="1" applyBorder="1" applyAlignment="1" applyProtection="1">
      <alignment horizontal="left" vertical="center" wrapText="1"/>
      <protection locked="0"/>
    </xf>
    <xf numFmtId="0" fontId="16" fillId="14" borderId="60" xfId="0" applyFont="1" applyFill="1" applyBorder="1" applyAlignment="1" applyProtection="1">
      <alignment horizontal="left" vertical="center" wrapText="1"/>
      <protection locked="0"/>
    </xf>
    <xf numFmtId="0" fontId="16" fillId="14" borderId="16" xfId="0" applyFont="1" applyFill="1" applyBorder="1" applyAlignment="1" applyProtection="1">
      <alignment horizontal="left" vertical="center" wrapText="1"/>
      <protection locked="0"/>
    </xf>
    <xf numFmtId="0" fontId="88" fillId="0" borderId="0" xfId="0" applyFont="1" applyAlignment="1">
      <alignment horizontal="center" wrapText="1"/>
    </xf>
    <xf numFmtId="38" fontId="147" fillId="26" borderId="284" xfId="0" applyNumberFormat="1" applyFont="1" applyFill="1" applyBorder="1" applyAlignment="1">
      <alignment horizontal="center" vertical="top"/>
    </xf>
    <xf numFmtId="0" fontId="16" fillId="2" borderId="0" xfId="0" applyFont="1" applyFill="1" applyAlignment="1" applyProtection="1">
      <alignment horizontal="left" vertical="top" wrapText="1"/>
      <protection locked="0"/>
    </xf>
    <xf numFmtId="0" fontId="121" fillId="8" borderId="0" xfId="0" applyFont="1" applyFill="1" applyAlignment="1">
      <alignment horizontal="right" wrapText="1"/>
    </xf>
    <xf numFmtId="49" fontId="0" fillId="8" borderId="0" xfId="0" applyNumberFormat="1" applyFill="1" applyAlignment="1">
      <alignment horizontal="left" vertical="center" wrapText="1"/>
    </xf>
    <xf numFmtId="0" fontId="16" fillId="2" borderId="153" xfId="0" applyFont="1" applyFill="1" applyBorder="1" applyAlignment="1" applyProtection="1">
      <alignment horizontal="center" vertical="center"/>
      <protection locked="0"/>
    </xf>
    <xf numFmtId="38" fontId="16" fillId="77" borderId="284" xfId="0" applyNumberFormat="1" applyFont="1" applyFill="1" applyBorder="1" applyAlignment="1">
      <alignment horizontal="center" vertical="top" wrapText="1"/>
    </xf>
    <xf numFmtId="0" fontId="188" fillId="82" borderId="5" xfId="0" applyFont="1" applyFill="1" applyBorder="1" applyAlignment="1">
      <alignment horizontal="left" vertical="center"/>
    </xf>
    <xf numFmtId="0" fontId="188" fillId="82" borderId="1" xfId="0" applyFont="1" applyFill="1" applyBorder="1" applyAlignment="1">
      <alignment horizontal="left" vertical="center"/>
    </xf>
    <xf numFmtId="0" fontId="188" fillId="82" borderId="6" xfId="0" applyFont="1" applyFill="1" applyBorder="1" applyAlignment="1">
      <alignment horizontal="left" vertical="center"/>
    </xf>
    <xf numFmtId="0" fontId="19" fillId="0" borderId="0" xfId="0" applyFont="1" applyAlignment="1">
      <alignment horizontal="left" vertical="top" wrapText="1"/>
    </xf>
    <xf numFmtId="0" fontId="176" fillId="2" borderId="263" xfId="0" applyFont="1" applyFill="1" applyBorder="1" applyAlignment="1" applyProtection="1">
      <alignment horizontal="center" vertical="center" wrapText="1"/>
      <protection locked="0"/>
    </xf>
    <xf numFmtId="0" fontId="16" fillId="77" borderId="10" xfId="0" applyFont="1" applyFill="1" applyBorder="1" applyAlignment="1">
      <alignment horizontal="center" vertical="top"/>
    </xf>
    <xf numFmtId="0" fontId="16" fillId="77" borderId="13" xfId="0" applyFont="1" applyFill="1" applyBorder="1" applyAlignment="1">
      <alignment horizontal="center" vertical="top"/>
    </xf>
    <xf numFmtId="0" fontId="16" fillId="77" borderId="356" xfId="0" applyFont="1" applyFill="1" applyBorder="1" applyAlignment="1">
      <alignment horizontal="center" vertical="top"/>
    </xf>
    <xf numFmtId="0" fontId="8" fillId="0" borderId="0" xfId="0" applyFont="1" applyAlignment="1">
      <alignment horizontal="left" vertical="center" wrapText="1"/>
    </xf>
    <xf numFmtId="0" fontId="6" fillId="0" borderId="10" xfId="0" applyFont="1" applyBorder="1" applyAlignment="1">
      <alignment horizontal="center" wrapText="1"/>
    </xf>
    <xf numFmtId="0" fontId="6" fillId="0" borderId="357" xfId="0" applyFont="1" applyBorder="1" applyAlignment="1">
      <alignment horizontal="center" wrapText="1"/>
    </xf>
    <xf numFmtId="0" fontId="0" fillId="77" borderId="10" xfId="0" applyFill="1" applyBorder="1" applyAlignment="1">
      <alignment horizontal="center" vertical="top"/>
    </xf>
    <xf numFmtId="0" fontId="0" fillId="77" borderId="13" xfId="0" applyFill="1" applyBorder="1" applyAlignment="1">
      <alignment horizontal="center" vertical="top"/>
    </xf>
    <xf numFmtId="0" fontId="0" fillId="77" borderId="356" xfId="0" applyFill="1" applyBorder="1" applyAlignment="1">
      <alignment horizontal="center" vertical="top"/>
    </xf>
    <xf numFmtId="0" fontId="176" fillId="2" borderId="262" xfId="0" applyFont="1" applyFill="1" applyBorder="1" applyAlignment="1" applyProtection="1">
      <alignment horizontal="center" vertical="center" wrapText="1"/>
      <protection locked="0"/>
    </xf>
    <xf numFmtId="0" fontId="176" fillId="2" borderId="262" xfId="0" applyFont="1" applyFill="1" applyBorder="1" applyAlignment="1" applyProtection="1">
      <alignment horizontal="center" wrapText="1"/>
      <protection locked="0"/>
    </xf>
    <xf numFmtId="0" fontId="6" fillId="0" borderId="0" xfId="0" applyFont="1" applyAlignment="1">
      <alignment horizontal="center"/>
    </xf>
    <xf numFmtId="0" fontId="8" fillId="0" borderId="262" xfId="0" quotePrefix="1" applyFont="1" applyBorder="1" applyAlignment="1">
      <alignment horizontal="center" vertical="center" wrapText="1"/>
    </xf>
    <xf numFmtId="0" fontId="8" fillId="0" borderId="262" xfId="0" applyFont="1" applyBorder="1" applyAlignment="1">
      <alignment horizontal="center" vertical="center" wrapText="1"/>
    </xf>
    <xf numFmtId="1" fontId="176" fillId="2" borderId="263" xfId="0" applyNumberFormat="1" applyFont="1" applyFill="1" applyBorder="1" applyAlignment="1" applyProtection="1">
      <alignment horizontal="center" vertical="center" wrapText="1"/>
      <protection locked="0"/>
    </xf>
    <xf numFmtId="0" fontId="8" fillId="0" borderId="0" xfId="0" applyFont="1" applyAlignment="1">
      <alignment horizontal="left" vertical="top" wrapText="1"/>
    </xf>
    <xf numFmtId="0" fontId="8" fillId="0" borderId="0" xfId="0" applyFont="1" applyAlignment="1">
      <alignment horizontal="center" vertical="top" wrapText="1"/>
    </xf>
    <xf numFmtId="0" fontId="0" fillId="0" borderId="79" xfId="0" applyBorder="1" applyAlignment="1">
      <alignment horizontal="left" vertical="top" wrapText="1"/>
    </xf>
    <xf numFmtId="0" fontId="0" fillId="0" borderId="0" xfId="0" applyAlignment="1">
      <alignment horizontal="right" vertical="center"/>
    </xf>
    <xf numFmtId="0" fontId="0" fillId="0" borderId="107" xfId="0" applyBorder="1" applyAlignment="1">
      <alignment horizontal="left" vertical="top" wrapText="1"/>
    </xf>
    <xf numFmtId="226" fontId="8" fillId="0" borderId="0" xfId="0" applyNumberFormat="1" applyFont="1" applyAlignment="1">
      <alignment horizontal="center" vertical="center" wrapText="1"/>
    </xf>
    <xf numFmtId="0" fontId="37" fillId="84" borderId="299" xfId="7" applyFont="1" applyFill="1" applyBorder="1" applyAlignment="1">
      <alignment horizontal="center" vertical="center" wrapText="1"/>
    </xf>
    <xf numFmtId="0" fontId="37" fillId="84" borderId="300" xfId="7" applyFont="1" applyFill="1" applyBorder="1" applyAlignment="1">
      <alignment horizontal="center" vertical="center" wrapText="1"/>
    </xf>
    <xf numFmtId="0" fontId="37" fillId="84" borderId="301" xfId="7" applyFont="1" applyFill="1" applyBorder="1" applyAlignment="1">
      <alignment horizontal="center" vertical="center" wrapText="1"/>
    </xf>
    <xf numFmtId="0" fontId="37" fillId="85" borderId="302" xfId="7" applyFont="1" applyFill="1" applyBorder="1" applyAlignment="1">
      <alignment horizontal="center" vertical="center" wrapText="1"/>
    </xf>
    <xf numFmtId="0" fontId="37" fillId="85" borderId="303" xfId="7" applyFont="1" applyFill="1" applyBorder="1" applyAlignment="1">
      <alignment horizontal="center" vertical="center" wrapText="1"/>
    </xf>
    <xf numFmtId="0" fontId="37" fillId="85" borderId="304" xfId="7" applyFont="1" applyFill="1" applyBorder="1" applyAlignment="1">
      <alignment horizontal="center" vertical="center" wrapText="1"/>
    </xf>
    <xf numFmtId="0" fontId="31" fillId="8" borderId="17" xfId="7" applyFill="1" applyBorder="1" applyAlignment="1">
      <alignment horizontal="left" wrapText="1"/>
    </xf>
    <xf numFmtId="0" fontId="31" fillId="8" borderId="306" xfId="7" applyFill="1" applyBorder="1" applyAlignment="1">
      <alignment horizontal="left" wrapText="1"/>
    </xf>
    <xf numFmtId="0" fontId="31" fillId="8" borderId="308" xfId="7" applyFill="1" applyBorder="1" applyAlignment="1">
      <alignment horizontal="left" wrapText="1"/>
    </xf>
    <xf numFmtId="0" fontId="31" fillId="8" borderId="16" xfId="7" applyFill="1" applyBorder="1" applyAlignment="1">
      <alignment horizontal="left" wrapText="1"/>
    </xf>
    <xf numFmtId="0" fontId="31" fillId="8" borderId="309" xfId="7" applyFill="1" applyBorder="1" applyAlignment="1">
      <alignment horizontal="left" wrapText="1"/>
    </xf>
    <xf numFmtId="0" fontId="31" fillId="8" borderId="310" xfId="7" applyFill="1" applyBorder="1" applyAlignment="1">
      <alignment horizontal="left" wrapText="1"/>
    </xf>
    <xf numFmtId="0" fontId="31" fillId="89" borderId="16" xfId="7" applyFill="1" applyBorder="1" applyAlignment="1">
      <alignment horizontal="left" wrapText="1"/>
    </xf>
    <xf numFmtId="0" fontId="31" fillId="89" borderId="310" xfId="7" applyFill="1" applyBorder="1" applyAlignment="1">
      <alignment horizontal="left" wrapText="1"/>
    </xf>
    <xf numFmtId="0" fontId="31" fillId="8" borderId="250" xfId="7" applyFill="1" applyBorder="1" applyAlignment="1">
      <alignment horizontal="left" wrapText="1"/>
    </xf>
    <xf numFmtId="0" fontId="31" fillId="8" borderId="311" xfId="7" applyFill="1" applyBorder="1" applyAlignment="1">
      <alignment horizontal="left" wrapText="1"/>
    </xf>
    <xf numFmtId="0" fontId="31" fillId="8" borderId="312" xfId="7" applyFill="1" applyBorder="1" applyAlignment="1">
      <alignment horizontal="left" wrapText="1"/>
    </xf>
    <xf numFmtId="0" fontId="205" fillId="8" borderId="161" xfId="7" applyFont="1" applyFill="1" applyBorder="1" applyAlignment="1">
      <alignment horizontal="center" vertical="center" wrapText="1"/>
    </xf>
    <xf numFmtId="0" fontId="205" fillId="8" borderId="162" xfId="7" applyFont="1" applyFill="1" applyBorder="1" applyAlignment="1">
      <alignment horizontal="center" vertical="center" wrapText="1"/>
    </xf>
    <xf numFmtId="0" fontId="205" fillId="8" borderId="163" xfId="7" applyFont="1" applyFill="1" applyBorder="1" applyAlignment="1">
      <alignment horizontal="center" vertical="center" wrapText="1"/>
    </xf>
    <xf numFmtId="0" fontId="205" fillId="8" borderId="146" xfId="7" applyFont="1" applyFill="1" applyBorder="1" applyAlignment="1">
      <alignment horizontal="left" vertical="top" wrapText="1"/>
    </xf>
    <xf numFmtId="0" fontId="205" fillId="8" borderId="21" xfId="7" applyFont="1" applyFill="1" applyBorder="1" applyAlignment="1">
      <alignment horizontal="left" vertical="top" wrapText="1"/>
    </xf>
    <xf numFmtId="0" fontId="205" fillId="8" borderId="43" xfId="7" applyFont="1" applyFill="1" applyBorder="1" applyAlignment="1">
      <alignment horizontal="left" vertical="top" wrapText="1"/>
    </xf>
    <xf numFmtId="0" fontId="205" fillId="8" borderId="334" xfId="7" applyFont="1" applyFill="1" applyBorder="1" applyAlignment="1">
      <alignment horizontal="left" wrapText="1"/>
    </xf>
    <xf numFmtId="0" fontId="205" fillId="8" borderId="37" xfId="7" applyFont="1" applyFill="1" applyBorder="1" applyAlignment="1">
      <alignment horizontal="left" wrapText="1"/>
    </xf>
    <xf numFmtId="0" fontId="37" fillId="0" borderId="14" xfId="7" applyFont="1" applyBorder="1" applyAlignment="1">
      <alignment horizontal="left" vertical="top" wrapText="1"/>
    </xf>
    <xf numFmtId="0" fontId="37" fillId="0" borderId="0" xfId="7" applyFont="1" applyAlignment="1">
      <alignment horizontal="left" vertical="top" wrapText="1"/>
    </xf>
    <xf numFmtId="0" fontId="202" fillId="91" borderId="0" xfId="7" applyFont="1" applyFill="1" applyAlignment="1">
      <alignment horizontal="left" vertical="center" wrapText="1"/>
    </xf>
    <xf numFmtId="0" fontId="204" fillId="8" borderId="161" xfId="7" applyFont="1" applyFill="1" applyBorder="1" applyAlignment="1">
      <alignment horizontal="center" vertical="center" wrapText="1"/>
    </xf>
    <xf numFmtId="0" fontId="204" fillId="8" borderId="162" xfId="7" applyFont="1" applyFill="1" applyBorder="1" applyAlignment="1">
      <alignment horizontal="center" vertical="center" wrapText="1"/>
    </xf>
    <xf numFmtId="0" fontId="204" fillId="8" borderId="163" xfId="7" applyFont="1" applyFill="1" applyBorder="1" applyAlignment="1">
      <alignment horizontal="center" vertical="center" wrapText="1"/>
    </xf>
    <xf numFmtId="0" fontId="204" fillId="8" borderId="24" xfId="7" applyFont="1" applyFill="1" applyBorder="1" applyAlignment="1">
      <alignment horizontal="left" vertical="top" wrapText="1"/>
    </xf>
    <xf numFmtId="0" fontId="204" fillId="8" borderId="0" xfId="7" applyFont="1" applyFill="1" applyAlignment="1">
      <alignment horizontal="left" vertical="top" wrapText="1"/>
    </xf>
    <xf numFmtId="0" fontId="204" fillId="8" borderId="250" xfId="7" applyFont="1" applyFill="1" applyBorder="1" applyAlignment="1">
      <alignment horizontal="left" vertical="top" wrapText="1"/>
    </xf>
    <xf numFmtId="0" fontId="204" fillId="8" borderId="334" xfId="7" applyFont="1" applyFill="1" applyBorder="1" applyAlignment="1">
      <alignment horizontal="left" wrapText="1"/>
    </xf>
    <xf numFmtId="0" fontId="204" fillId="8" borderId="37" xfId="7" applyFont="1" applyFill="1" applyBorder="1" applyAlignment="1">
      <alignment horizontal="left" wrapText="1"/>
    </xf>
    <xf numFmtId="49" fontId="0" fillId="0" borderId="53" xfId="0" applyNumberFormat="1" applyBorder="1" applyAlignment="1">
      <alignment horizontal="left" vertical="center"/>
    </xf>
    <xf numFmtId="0" fontId="0" fillId="0" borderId="53" xfId="0" applyBorder="1" applyAlignment="1">
      <alignment horizontal="left" vertical="center" wrapText="1"/>
    </xf>
    <xf numFmtId="0" fontId="99" fillId="0" borderId="53" xfId="0" applyFont="1" applyBorder="1" applyAlignment="1">
      <alignment horizontal="left" vertical="center" wrapText="1"/>
    </xf>
    <xf numFmtId="0" fontId="0" fillId="0" borderId="107" xfId="0" applyBorder="1" applyAlignment="1">
      <alignment horizontal="left" vertical="center"/>
    </xf>
    <xf numFmtId="0" fontId="217" fillId="0" borderId="53" xfId="0" applyFont="1" applyBorder="1" applyAlignment="1">
      <alignment horizontal="left" vertical="center" wrapText="1"/>
    </xf>
    <xf numFmtId="49" fontId="217" fillId="0" borderId="53" xfId="0" applyNumberFormat="1" applyFont="1" applyBorder="1" applyAlignment="1">
      <alignment horizontal="left" vertical="center"/>
    </xf>
    <xf numFmtId="0" fontId="6" fillId="0" borderId="16" xfId="0" applyFont="1" applyBorder="1" applyAlignment="1">
      <alignment horizontal="center" vertical="center"/>
    </xf>
    <xf numFmtId="0" fontId="0" fillId="0" borderId="191" xfId="0" applyBorder="1" applyAlignment="1">
      <alignment horizontal="center" vertical="center"/>
    </xf>
    <xf numFmtId="0" fontId="6" fillId="15" borderId="16" xfId="0" applyFont="1" applyFill="1" applyBorder="1" applyAlignment="1">
      <alignment horizontal="center" vertical="center"/>
    </xf>
    <xf numFmtId="0" fontId="158" fillId="60" borderId="14" xfId="0" applyFont="1" applyFill="1" applyBorder="1" applyAlignment="1">
      <alignment horizontal="center"/>
    </xf>
    <xf numFmtId="0" fontId="158" fillId="60" borderId="0" xfId="0" applyFont="1" applyFill="1" applyAlignment="1">
      <alignment horizontal="center"/>
    </xf>
    <xf numFmtId="0" fontId="158" fillId="60" borderId="40" xfId="0" applyFont="1" applyFill="1" applyBorder="1" applyAlignment="1">
      <alignment horizontal="center"/>
    </xf>
    <xf numFmtId="0" fontId="158" fillId="49" borderId="5" xfId="0" applyFont="1" applyFill="1" applyBorder="1" applyAlignment="1">
      <alignment horizontal="center"/>
    </xf>
    <xf numFmtId="0" fontId="158" fillId="49" borderId="1" xfId="0" applyFont="1" applyFill="1" applyBorder="1" applyAlignment="1">
      <alignment horizontal="center"/>
    </xf>
    <xf numFmtId="0" fontId="154" fillId="48" borderId="5" xfId="0" applyFont="1" applyFill="1" applyBorder="1" applyAlignment="1">
      <alignment horizontal="center"/>
    </xf>
    <xf numFmtId="0" fontId="154" fillId="48" borderId="1" xfId="0" applyFont="1" applyFill="1" applyBorder="1" applyAlignment="1">
      <alignment horizontal="center"/>
    </xf>
    <xf numFmtId="0" fontId="154" fillId="48" borderId="6" xfId="0" applyFont="1" applyFill="1" applyBorder="1" applyAlignment="1">
      <alignment horizontal="center"/>
    </xf>
    <xf numFmtId="0" fontId="180" fillId="0" borderId="0" xfId="0" applyFont="1" applyAlignment="1">
      <alignment horizontal="left" vertical="center" wrapText="1"/>
    </xf>
    <xf numFmtId="0" fontId="6" fillId="0" borderId="250"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0" fillId="0" borderId="221" xfId="0" applyBorder="1" applyAlignment="1">
      <alignment horizontal="center" vertical="center"/>
    </xf>
    <xf numFmtId="0" fontId="0" fillId="0" borderId="223" xfId="0" applyBorder="1" applyAlignment="1">
      <alignment horizontal="center" vertical="center"/>
    </xf>
    <xf numFmtId="0" fontId="0" fillId="94" borderId="191" xfId="0" applyFill="1" applyBorder="1" applyAlignment="1">
      <alignment horizontal="left" vertical="center" wrapText="1"/>
    </xf>
    <xf numFmtId="0" fontId="0" fillId="94" borderId="192" xfId="0" applyFill="1" applyBorder="1" applyAlignment="1">
      <alignment horizontal="left" vertical="center" wrapText="1"/>
    </xf>
    <xf numFmtId="38" fontId="8" fillId="0" borderId="16" xfId="0" applyNumberFormat="1" applyFont="1" applyBorder="1" applyAlignment="1">
      <alignment horizontal="center" vertical="center"/>
    </xf>
    <xf numFmtId="206" fontId="8" fillId="6" borderId="15" xfId="0" applyNumberFormat="1" applyFont="1" applyFill="1" applyBorder="1" applyAlignment="1">
      <alignment horizontal="center" vertical="center" wrapText="1"/>
    </xf>
    <xf numFmtId="183" fontId="8" fillId="0" borderId="16" xfId="0" applyNumberFormat="1" applyFont="1" applyBorder="1" applyAlignment="1">
      <alignment horizontal="center" vertical="center"/>
    </xf>
    <xf numFmtId="9" fontId="0" fillId="0" borderId="16" xfId="4" applyFont="1" applyBorder="1" applyAlignment="1">
      <alignment horizontal="center" vertical="center"/>
    </xf>
    <xf numFmtId="0" fontId="6" fillId="0" borderId="193" xfId="0" applyFont="1" applyBorder="1" applyAlignment="1">
      <alignment horizontal="center" vertical="center"/>
    </xf>
    <xf numFmtId="6" fontId="16" fillId="6" borderId="15" xfId="0" applyNumberFormat="1" applyFont="1" applyFill="1" applyBorder="1" applyAlignment="1">
      <alignment horizontal="center" vertical="center"/>
    </xf>
    <xf numFmtId="6" fontId="0" fillId="0" borderId="16" xfId="0" applyNumberFormat="1" applyBorder="1" applyAlignment="1">
      <alignment horizontal="center" vertical="center"/>
    </xf>
    <xf numFmtId="8" fontId="0" fillId="0" borderId="16" xfId="0" applyNumberFormat="1" applyBorder="1" applyAlignment="1">
      <alignment horizontal="center" vertical="center"/>
    </xf>
    <xf numFmtId="0" fontId="6" fillId="0" borderId="190" xfId="0" applyFont="1" applyBorder="1" applyAlignment="1">
      <alignment horizontal="center" vertical="center"/>
    </xf>
    <xf numFmtId="205" fontId="8" fillId="6" borderId="16" xfId="0" applyNumberFormat="1" applyFont="1" applyFill="1" applyBorder="1" applyAlignment="1">
      <alignment horizontal="center" vertical="center" wrapText="1"/>
    </xf>
    <xf numFmtId="0" fontId="6" fillId="0" borderId="131" xfId="0" quotePrefix="1" applyFont="1" applyBorder="1" applyAlignment="1">
      <alignment horizontal="center" vertical="center" wrapText="1"/>
    </xf>
    <xf numFmtId="0" fontId="6" fillId="0" borderId="131" xfId="0" applyFont="1" applyBorder="1" applyAlignment="1">
      <alignment horizontal="center" vertical="center" wrapText="1"/>
    </xf>
    <xf numFmtId="0" fontId="6" fillId="15" borderId="193" xfId="0" applyFont="1" applyFill="1" applyBorder="1" applyAlignment="1">
      <alignment horizontal="center" vertical="center"/>
    </xf>
    <xf numFmtId="8" fontId="6" fillId="0" borderId="190" xfId="0" applyNumberFormat="1" applyFont="1" applyBorder="1" applyAlignment="1">
      <alignment horizontal="center" vertical="center"/>
    </xf>
    <xf numFmtId="0" fontId="6" fillId="15" borderId="15" xfId="0" applyFont="1" applyFill="1" applyBorder="1" applyAlignment="1">
      <alignment horizontal="center" vertical="center"/>
    </xf>
    <xf numFmtId="0" fontId="0" fillId="0" borderId="79" xfId="0" applyBorder="1" applyAlignment="1">
      <alignment horizontal="center" vertical="center" wrapText="1"/>
    </xf>
    <xf numFmtId="0" fontId="0" fillId="0" borderId="0" xfId="0" applyAlignment="1">
      <alignment horizontal="center" vertical="center" wrapText="1"/>
    </xf>
    <xf numFmtId="0" fontId="0" fillId="0" borderId="69" xfId="0" applyBorder="1" applyAlignment="1">
      <alignment horizontal="center" vertical="center" wrapText="1"/>
    </xf>
    <xf numFmtId="0" fontId="16" fillId="95" borderId="153" xfId="0" applyFont="1" applyFill="1" applyBorder="1" applyAlignment="1">
      <alignment horizontal="center" vertical="center"/>
    </xf>
    <xf numFmtId="219" fontId="0" fillId="36" borderId="0" xfId="0" applyNumberFormat="1" applyFill="1" applyAlignment="1">
      <alignment horizontal="center" vertical="center"/>
    </xf>
    <xf numFmtId="9" fontId="8" fillId="0" borderId="15" xfId="4" applyFont="1" applyFill="1" applyBorder="1" applyAlignment="1">
      <alignment horizontal="center" vertical="center"/>
    </xf>
    <xf numFmtId="0" fontId="14" fillId="0" borderId="191" xfId="0" applyFont="1" applyBorder="1" applyAlignment="1">
      <alignment horizontal="center"/>
    </xf>
    <xf numFmtId="38" fontId="8" fillId="0" borderId="16" xfId="0" applyNumberFormat="1" applyFont="1" applyBorder="1" applyAlignment="1">
      <alignment horizontal="center" vertical="center" wrapText="1"/>
    </xf>
    <xf numFmtId="0" fontId="0" fillId="0" borderId="1" xfId="0" applyBorder="1" applyAlignment="1">
      <alignment horizontal="center" vertical="center"/>
    </xf>
    <xf numFmtId="0" fontId="0" fillId="0" borderId="278" xfId="0" applyBorder="1" applyAlignment="1">
      <alignment horizontal="center" vertical="center"/>
    </xf>
    <xf numFmtId="38" fontId="0" fillId="0" borderId="16" xfId="0" applyNumberFormat="1" applyBorder="1" applyAlignment="1">
      <alignment horizontal="center" vertical="center" wrapText="1"/>
    </xf>
    <xf numFmtId="205" fontId="16" fillId="6" borderId="15" xfId="0" applyNumberFormat="1" applyFont="1" applyFill="1" applyBorder="1" applyAlignment="1">
      <alignment horizontal="center" vertical="center" wrapText="1"/>
    </xf>
    <xf numFmtId="0" fontId="0" fillId="94" borderId="0" xfId="0" applyFill="1" applyAlignment="1">
      <alignment horizontal="left"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90" xfId="0" applyBorder="1" applyAlignment="1">
      <alignment horizontal="center" vertical="center"/>
    </xf>
    <xf numFmtId="0" fontId="6" fillId="0" borderId="131" xfId="0" applyFont="1" applyBorder="1" applyAlignment="1">
      <alignment horizontal="center" vertical="center"/>
    </xf>
    <xf numFmtId="0" fontId="0" fillId="0" borderId="33" xfId="0" applyBorder="1" applyAlignment="1">
      <alignment horizontal="left" vertical="center" wrapText="1"/>
    </xf>
    <xf numFmtId="0" fontId="6" fillId="0" borderId="69" xfId="0" applyFont="1" applyBorder="1" applyAlignment="1">
      <alignment horizontal="center" vertical="center" wrapText="1"/>
    </xf>
    <xf numFmtId="0" fontId="0" fillId="0" borderId="33" xfId="0" quotePrefix="1" applyBorder="1" applyAlignment="1">
      <alignment horizontal="center" vertical="center"/>
    </xf>
    <xf numFmtId="0" fontId="0" fillId="0" borderId="34" xfId="0" quotePrefix="1" applyBorder="1" applyAlignment="1">
      <alignment horizontal="center" vertical="center"/>
    </xf>
    <xf numFmtId="0" fontId="0" fillId="43" borderId="12" xfId="0" applyFill="1" applyBorder="1" applyAlignment="1">
      <alignment horizontal="left" vertical="top" wrapText="1"/>
    </xf>
    <xf numFmtId="0" fontId="0" fillId="43" borderId="2" xfId="0" applyFill="1" applyBorder="1" applyAlignment="1">
      <alignment horizontal="left" vertical="top" wrapText="1"/>
    </xf>
    <xf numFmtId="0" fontId="0" fillId="43" borderId="42" xfId="0" applyFill="1" applyBorder="1" applyAlignment="1">
      <alignment horizontal="left" vertical="top" wrapText="1"/>
    </xf>
    <xf numFmtId="0" fontId="0" fillId="43" borderId="250" xfId="0" applyFill="1" applyBorder="1" applyAlignment="1">
      <alignment horizontal="left" vertical="top" wrapText="1"/>
    </xf>
    <xf numFmtId="171" fontId="0" fillId="0" borderId="161" xfId="0" applyNumberFormat="1" applyBorder="1" applyAlignment="1">
      <alignment horizontal="center" vertical="center"/>
    </xf>
    <xf numFmtId="171" fontId="0" fillId="0" borderId="162" xfId="0" applyNumberFormat="1" applyBorder="1" applyAlignment="1">
      <alignment horizontal="center" vertical="center"/>
    </xf>
    <xf numFmtId="171" fontId="0" fillId="0" borderId="163" xfId="0" applyNumberFormat="1" applyBorder="1" applyAlignment="1">
      <alignment horizontal="center" vertical="center"/>
    </xf>
    <xf numFmtId="0" fontId="6" fillId="0" borderId="131" xfId="0" quotePrefix="1" applyFont="1" applyBorder="1" applyAlignment="1">
      <alignment horizontal="center" vertical="center"/>
    </xf>
    <xf numFmtId="9" fontId="6" fillId="0" borderId="190" xfId="4" applyFont="1" applyBorder="1" applyAlignment="1">
      <alignment horizontal="center" vertical="center"/>
    </xf>
    <xf numFmtId="0" fontId="8" fillId="0" borderId="377" xfId="0" applyFont="1" applyBorder="1" applyAlignment="1">
      <alignment horizontal="right" vertical="center"/>
    </xf>
    <xf numFmtId="0" fontId="8" fillId="0" borderId="378" xfId="0" applyFont="1" applyBorder="1" applyAlignment="1">
      <alignment horizontal="right" vertical="center"/>
    </xf>
    <xf numFmtId="0" fontId="16" fillId="6" borderId="52" xfId="0" applyFont="1" applyFill="1" applyBorder="1" applyAlignment="1">
      <alignment horizontal="left" vertical="center"/>
    </xf>
    <xf numFmtId="0" fontId="16" fillId="6" borderId="70" xfId="0" applyFont="1" applyFill="1" applyBorder="1" applyAlignment="1">
      <alignment horizontal="center" vertical="center"/>
    </xf>
    <xf numFmtId="0" fontId="124" fillId="0" borderId="0" xfId="0" applyFont="1" applyAlignment="1">
      <alignment horizontal="center" vertical="center"/>
    </xf>
    <xf numFmtId="0" fontId="16" fillId="6" borderId="76" xfId="0" applyFont="1" applyFill="1" applyBorder="1" applyAlignment="1">
      <alignment horizontal="center" vertical="center" wrapText="1"/>
    </xf>
    <xf numFmtId="0" fontId="28" fillId="0" borderId="10"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1" xfId="0" applyFont="1" applyBorder="1" applyAlignment="1">
      <alignment horizontal="center" vertical="center" wrapText="1"/>
    </xf>
    <xf numFmtId="0" fontId="6" fillId="64" borderId="79" xfId="0" applyFont="1" applyFill="1" applyBorder="1" applyAlignment="1">
      <alignment horizontal="left" vertical="center" wrapText="1"/>
    </xf>
    <xf numFmtId="0" fontId="6" fillId="36" borderId="49" xfId="0" quotePrefix="1" applyFont="1" applyFill="1" applyBorder="1" applyAlignment="1">
      <alignment horizontal="left" vertical="center" wrapText="1"/>
    </xf>
    <xf numFmtId="0" fontId="6" fillId="2" borderId="79" xfId="0" applyFont="1" applyFill="1" applyBorder="1" applyAlignment="1">
      <alignment horizontal="left" vertical="center" wrapText="1"/>
    </xf>
    <xf numFmtId="0" fontId="6" fillId="2" borderId="0" xfId="0" applyFont="1" applyFill="1" applyAlignment="1">
      <alignment horizontal="left" vertical="center" wrapText="1"/>
    </xf>
    <xf numFmtId="0" fontId="6" fillId="69" borderId="0" xfId="0" applyFont="1" applyFill="1" applyAlignment="1">
      <alignment horizontal="left" vertical="center" wrapText="1"/>
    </xf>
    <xf numFmtId="0" fontId="0" fillId="0" borderId="161" xfId="0" applyBorder="1" applyAlignment="1">
      <alignment horizontal="center" vertical="center" wrapText="1"/>
    </xf>
    <xf numFmtId="0" fontId="0" fillId="0" borderId="162" xfId="0" applyBorder="1" applyAlignment="1">
      <alignment horizontal="center" vertical="center" wrapText="1"/>
    </xf>
    <xf numFmtId="0" fontId="0" fillId="0" borderId="163" xfId="0" applyBorder="1" applyAlignment="1">
      <alignment horizontal="center" vertical="center" wrapText="1"/>
    </xf>
    <xf numFmtId="209" fontId="0" fillId="0" borderId="16" xfId="0" quotePrefix="1" applyNumberFormat="1" applyBorder="1" applyAlignment="1">
      <alignment horizontal="center" vertical="center"/>
    </xf>
    <xf numFmtId="209" fontId="0" fillId="0" borderId="16" xfId="0" applyNumberFormat="1" applyBorder="1" applyAlignment="1">
      <alignment horizontal="center" vertical="center"/>
    </xf>
    <xf numFmtId="164" fontId="8" fillId="0" borderId="16" xfId="4" applyNumberFormat="1" applyFont="1" applyFill="1" applyBorder="1" applyAlignment="1">
      <alignment horizontal="center" vertical="center"/>
    </xf>
    <xf numFmtId="9" fontId="0" fillId="0" borderId="16" xfId="4" applyFont="1" applyFill="1" applyBorder="1" applyAlignment="1">
      <alignment horizontal="center" vertical="center"/>
    </xf>
    <xf numFmtId="9" fontId="6" fillId="0" borderId="16" xfId="4" applyFont="1" applyFill="1" applyBorder="1" applyAlignment="1">
      <alignment horizontal="center" vertical="center"/>
    </xf>
    <xf numFmtId="206" fontId="16" fillId="6" borderId="15" xfId="0" applyNumberFormat="1" applyFont="1" applyFill="1" applyBorder="1" applyAlignment="1">
      <alignment horizontal="center" vertical="center" wrapText="1"/>
    </xf>
    <xf numFmtId="219" fontId="0" fillId="69" borderId="0" xfId="0" applyNumberFormat="1" applyFill="1" applyAlignment="1">
      <alignment horizontal="center" vertical="center"/>
    </xf>
    <xf numFmtId="219" fontId="0" fillId="69" borderId="15" xfId="0" applyNumberFormat="1" applyFill="1" applyBorder="1" applyAlignment="1">
      <alignment horizontal="center" vertical="center"/>
    </xf>
    <xf numFmtId="9" fontId="8" fillId="0" borderId="190" xfId="4" applyFont="1" applyFill="1" applyBorder="1" applyAlignment="1">
      <alignment horizontal="center" vertical="center"/>
    </xf>
    <xf numFmtId="0" fontId="6" fillId="0" borderId="15" xfId="0" quotePrefix="1" applyFont="1" applyBorder="1" applyAlignment="1">
      <alignment horizontal="center" vertical="center"/>
    </xf>
    <xf numFmtId="0" fontId="6" fillId="0" borderId="15" xfId="0" applyFont="1" applyBorder="1" applyAlignment="1">
      <alignment horizontal="center" vertical="center"/>
    </xf>
    <xf numFmtId="9" fontId="5" fillId="0" borderId="190" xfId="4" applyFont="1" applyFill="1" applyBorder="1" applyAlignment="1">
      <alignment horizontal="center" vertical="center"/>
    </xf>
    <xf numFmtId="0" fontId="8" fillId="0" borderId="379" xfId="0" applyFont="1" applyBorder="1" applyAlignment="1">
      <alignment horizontal="center"/>
    </xf>
    <xf numFmtId="0" fontId="0" fillId="0" borderId="49" xfId="0" applyBorder="1" applyAlignment="1">
      <alignment horizontal="left" vertical="center" wrapText="1"/>
    </xf>
    <xf numFmtId="0" fontId="0" fillId="0" borderId="191" xfId="0" applyBorder="1" applyAlignment="1">
      <alignment horizontal="left" vertical="center" wrapText="1"/>
    </xf>
    <xf numFmtId="0" fontId="16" fillId="77" borderId="153" xfId="0" applyFont="1" applyFill="1" applyBorder="1" applyAlignment="1">
      <alignment horizontal="center" vertical="center"/>
    </xf>
    <xf numFmtId="0" fontId="16" fillId="77" borderId="1" xfId="0" applyFont="1" applyFill="1" applyBorder="1" applyAlignment="1">
      <alignment horizontal="center" vertical="center"/>
    </xf>
    <xf numFmtId="0" fontId="0" fillId="0" borderId="45" xfId="0" applyBorder="1" applyAlignment="1">
      <alignment horizontal="center" vertical="center"/>
    </xf>
    <xf numFmtId="0" fontId="0" fillId="0" borderId="44" xfId="0" applyBorder="1" applyAlignment="1">
      <alignment horizontal="center" vertical="center"/>
    </xf>
    <xf numFmtId="0" fontId="9" fillId="0" borderId="0" xfId="0" applyFont="1" applyAlignment="1">
      <alignment horizontal="center" wrapText="1"/>
    </xf>
    <xf numFmtId="0" fontId="0" fillId="0" borderId="42" xfId="0" applyBorder="1" applyAlignment="1">
      <alignment horizontal="center"/>
    </xf>
    <xf numFmtId="0" fontId="0" fillId="0" borderId="189" xfId="0" applyBorder="1" applyAlignment="1">
      <alignment horizontal="center"/>
    </xf>
    <xf numFmtId="38" fontId="16"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09" xfId="0" applyBorder="1" applyAlignment="1">
      <alignment horizontal="center" vertical="center" wrapText="1"/>
    </xf>
    <xf numFmtId="0" fontId="16" fillId="6" borderId="15" xfId="0" applyFont="1" applyFill="1" applyBorder="1" applyAlignment="1">
      <alignment horizontal="left" vertical="center" indent="1"/>
    </xf>
    <xf numFmtId="0" fontId="16" fillId="77" borderId="345" xfId="0" applyFont="1" applyFill="1" applyBorder="1" applyAlignment="1">
      <alignment horizontal="left" vertical="center" indent="1"/>
    </xf>
    <xf numFmtId="0" fontId="0" fillId="0" borderId="2" xfId="0" applyBorder="1" applyAlignment="1">
      <alignment horizontal="center" vertical="center" wrapText="1"/>
    </xf>
    <xf numFmtId="0" fontId="0" fillId="0" borderId="48" xfId="0" applyBorder="1" applyAlignment="1">
      <alignment horizontal="center" vertical="center" wrapText="1"/>
    </xf>
    <xf numFmtId="0" fontId="0" fillId="0" borderId="42" xfId="0" applyBorder="1" applyAlignment="1">
      <alignment horizontal="center" vertical="center" wrapText="1"/>
    </xf>
    <xf numFmtId="0" fontId="0" fillId="0" borderId="188" xfId="0" applyBorder="1" applyAlignment="1">
      <alignment horizontal="center" vertical="center" wrapText="1"/>
    </xf>
    <xf numFmtId="0" fontId="0" fillId="0" borderId="40" xfId="0" applyBorder="1" applyAlignment="1">
      <alignment horizontal="center" vertical="center" wrapText="1"/>
    </xf>
    <xf numFmtId="0" fontId="0" fillId="0" borderId="52" xfId="0" applyBorder="1" applyAlignment="1">
      <alignment horizontal="left" vertical="top" wrapText="1"/>
    </xf>
    <xf numFmtId="0" fontId="0" fillId="0" borderId="10" xfId="0" applyBorder="1" applyAlignment="1">
      <alignment horizontal="center" vertical="center" wrapText="1"/>
    </xf>
    <xf numFmtId="0" fontId="0" fillId="0" borderId="185" xfId="0" applyBorder="1" applyAlignment="1">
      <alignment horizontal="center" vertical="center" wrapText="1"/>
    </xf>
    <xf numFmtId="0" fontId="6" fillId="0" borderId="7" xfId="0" applyFont="1" applyBorder="1" applyAlignment="1">
      <alignment horizontal="center"/>
    </xf>
    <xf numFmtId="0" fontId="103" fillId="19" borderId="10" xfId="0" applyFont="1" applyFill="1" applyBorder="1" applyAlignment="1">
      <alignment horizontal="left" vertical="center" wrapText="1"/>
    </xf>
    <xf numFmtId="0" fontId="103" fillId="19" borderId="346" xfId="0" applyFont="1" applyFill="1" applyBorder="1" applyAlignment="1">
      <alignment horizontal="left" vertical="center" wrapText="1"/>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8" fontId="6" fillId="0" borderId="16" xfId="0" applyNumberFormat="1" applyFont="1" applyBorder="1" applyAlignment="1">
      <alignment horizontal="center" vertical="center"/>
    </xf>
    <xf numFmtId="6" fontId="8" fillId="6" borderId="16" xfId="0" applyNumberFormat="1" applyFont="1" applyFill="1"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6" fillId="0" borderId="1" xfId="0" applyFont="1" applyBorder="1" applyAlignment="1">
      <alignment horizontal="center"/>
    </xf>
    <xf numFmtId="0" fontId="0" fillId="0" borderId="14" xfId="0" applyBorder="1" applyAlignment="1">
      <alignment horizontal="left" vertical="top" wrapText="1"/>
    </xf>
    <xf numFmtId="0" fontId="0" fillId="0" borderId="42" xfId="0" applyBorder="1" applyAlignment="1">
      <alignment horizontal="left" vertical="top" wrapText="1"/>
    </xf>
    <xf numFmtId="0" fontId="0" fillId="0" borderId="188" xfId="0" applyBorder="1" applyAlignment="1">
      <alignment horizontal="left" vertical="top" wrapText="1"/>
    </xf>
    <xf numFmtId="0" fontId="0" fillId="0" borderId="189" xfId="0" applyBorder="1" applyAlignment="1">
      <alignment horizontal="left" vertical="top" wrapText="1"/>
    </xf>
    <xf numFmtId="0" fontId="0" fillId="0" borderId="210" xfId="0" applyBorder="1" applyAlignment="1">
      <alignment horizontal="center" vertical="center" wrapText="1"/>
    </xf>
    <xf numFmtId="0" fontId="0" fillId="0" borderId="79" xfId="0" applyBorder="1" applyAlignment="1">
      <alignment horizontal="left" vertical="center" wrapText="1"/>
    </xf>
    <xf numFmtId="0" fontId="0" fillId="0" borderId="69" xfId="0" applyBorder="1" applyAlignment="1">
      <alignment horizontal="left" vertical="center" wrapText="1"/>
    </xf>
    <xf numFmtId="0" fontId="0" fillId="0" borderId="12" xfId="0" applyBorder="1" applyAlignment="1">
      <alignment horizontal="center" vertical="top" wrapText="1"/>
    </xf>
    <xf numFmtId="0" fontId="0" fillId="0" borderId="48" xfId="0" applyBorder="1" applyAlignment="1">
      <alignment horizontal="center" vertical="top" wrapText="1"/>
    </xf>
    <xf numFmtId="0" fontId="0" fillId="0" borderId="65" xfId="0" applyBorder="1" applyAlignment="1">
      <alignment horizontal="center" vertical="top" wrapText="1"/>
    </xf>
    <xf numFmtId="0" fontId="0" fillId="0" borderId="66" xfId="0" applyBorder="1" applyAlignment="1">
      <alignment horizontal="center" vertical="top" wrapText="1"/>
    </xf>
    <xf numFmtId="0" fontId="171" fillId="70" borderId="269" xfId="0" applyFont="1" applyFill="1" applyBorder="1" applyAlignment="1">
      <alignment horizontal="left" vertical="center" wrapText="1"/>
    </xf>
    <xf numFmtId="0" fontId="171" fillId="70" borderId="160" xfId="0" applyFont="1" applyFill="1" applyBorder="1" applyAlignment="1">
      <alignment horizontal="left" vertical="center" wrapText="1"/>
    </xf>
    <xf numFmtId="0" fontId="6" fillId="0" borderId="10" xfId="0" applyFont="1" applyBorder="1" applyAlignment="1">
      <alignment horizontal="center"/>
    </xf>
    <xf numFmtId="0" fontId="6" fillId="0" borderId="11" xfId="0" applyFont="1" applyBorder="1" applyAlignment="1">
      <alignment horizontal="center"/>
    </xf>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6" fontId="8" fillId="0" borderId="153" xfId="0" applyNumberFormat="1" applyFont="1" applyBorder="1" applyAlignment="1">
      <alignment horizontal="center" vertical="center"/>
    </xf>
    <xf numFmtId="0" fontId="16" fillId="6" borderId="16" xfId="0" applyFont="1" applyFill="1" applyBorder="1" applyAlignment="1">
      <alignment horizontal="center" vertical="center"/>
    </xf>
    <xf numFmtId="2" fontId="8" fillId="0" borderId="153" xfId="0" applyNumberFormat="1" applyFont="1" applyBorder="1" applyAlignment="1">
      <alignment horizontal="center" vertical="center"/>
    </xf>
    <xf numFmtId="0" fontId="16" fillId="6" borderId="78" xfId="0" applyFont="1" applyFill="1" applyBorder="1" applyAlignment="1">
      <alignment horizontal="center" vertical="center"/>
    </xf>
    <xf numFmtId="2" fontId="8" fillId="0" borderId="1" xfId="0" applyNumberFormat="1" applyFont="1" applyBorder="1" applyAlignment="1">
      <alignment horizontal="center" vertical="center"/>
    </xf>
    <xf numFmtId="0" fontId="16" fillId="6" borderId="70" xfId="4" applyNumberFormat="1" applyFont="1" applyFill="1" applyBorder="1" applyAlignment="1">
      <alignment horizontal="center" vertical="center"/>
    </xf>
    <xf numFmtId="9" fontId="16" fillId="6" borderId="15" xfId="4" applyFont="1" applyFill="1" applyBorder="1" applyAlignment="1">
      <alignment horizontal="center" vertical="center"/>
    </xf>
    <xf numFmtId="0" fontId="16" fillId="6" borderId="15" xfId="0" applyFont="1" applyFill="1" applyBorder="1" applyAlignment="1">
      <alignment horizontal="center" vertical="center"/>
    </xf>
    <xf numFmtId="0" fontId="16" fillId="77" borderId="1" xfId="0" applyFont="1" applyFill="1" applyBorder="1" applyAlignment="1">
      <alignment horizontal="left" vertical="center" indent="1"/>
    </xf>
    <xf numFmtId="0" fontId="6" fillId="0" borderId="3" xfId="0" applyFont="1" applyBorder="1" applyAlignment="1">
      <alignment horizontal="center"/>
    </xf>
    <xf numFmtId="0" fontId="6" fillId="0" borderId="4" xfId="0" applyFont="1" applyBorder="1" applyAlignment="1">
      <alignment horizontal="center"/>
    </xf>
    <xf numFmtId="0" fontId="6" fillId="0" borderId="9" xfId="0" applyFont="1" applyBorder="1" applyAlignment="1">
      <alignment horizontal="center"/>
    </xf>
    <xf numFmtId="196" fontId="0" fillId="0" borderId="0" xfId="0" applyNumberFormat="1" applyAlignment="1">
      <alignment horizontal="center" vertical="center"/>
    </xf>
    <xf numFmtId="196" fontId="0" fillId="0" borderId="153" xfId="0" applyNumberFormat="1" applyBorder="1" applyAlignment="1">
      <alignment horizontal="center" vertical="center"/>
    </xf>
    <xf numFmtId="189" fontId="0" fillId="0" borderId="153" xfId="0" applyNumberFormat="1" applyBorder="1" applyAlignment="1">
      <alignment horizontal="center" vertical="center"/>
    </xf>
    <xf numFmtId="189" fontId="0" fillId="0" borderId="130" xfId="0" applyNumberFormat="1" applyBorder="1" applyAlignment="1">
      <alignment horizontal="center" vertical="center"/>
    </xf>
    <xf numFmtId="38" fontId="8" fillId="0" borderId="2" xfId="0" applyNumberFormat="1" applyFont="1" applyBorder="1" applyAlignment="1">
      <alignment horizontal="center"/>
    </xf>
    <xf numFmtId="38" fontId="8" fillId="0" borderId="48" xfId="0" applyNumberFormat="1" applyFont="1" applyBorder="1" applyAlignment="1">
      <alignment horizontal="center"/>
    </xf>
    <xf numFmtId="0" fontId="0" fillId="7" borderId="42" xfId="0" applyFill="1" applyBorder="1" applyAlignment="1">
      <alignment horizontal="left" vertical="center"/>
    </xf>
    <xf numFmtId="0" fontId="0" fillId="7" borderId="250" xfId="0" applyFill="1" applyBorder="1" applyAlignment="1">
      <alignment horizontal="left" vertical="center"/>
    </xf>
    <xf numFmtId="0" fontId="0" fillId="7" borderId="251" xfId="0" applyFill="1" applyBorder="1" applyAlignment="1">
      <alignment horizontal="left" vertic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6" fillId="0" borderId="115" xfId="0" applyFont="1" applyBorder="1" applyAlignment="1">
      <alignment horizontal="center"/>
    </xf>
    <xf numFmtId="0" fontId="6" fillId="0" borderId="116" xfId="0" applyFont="1" applyBorder="1" applyAlignment="1">
      <alignment horizontal="center"/>
    </xf>
    <xf numFmtId="0" fontId="0" fillId="0" borderId="10" xfId="0" applyBorder="1" applyAlignment="1">
      <alignment horizontal="center" wrapText="1"/>
    </xf>
    <xf numFmtId="0" fontId="0" fillId="0" borderId="11" xfId="0" applyBorder="1" applyAlignment="1">
      <alignment horizontal="center" wrapText="1"/>
    </xf>
    <xf numFmtId="0" fontId="59" fillId="0" borderId="0" xfId="0" applyFont="1" applyAlignment="1">
      <alignment horizontal="center" wrapText="1"/>
    </xf>
    <xf numFmtId="0" fontId="10" fillId="0" borderId="5" xfId="0" applyFont="1" applyBorder="1" applyAlignment="1">
      <alignment horizontal="center" wrapText="1"/>
    </xf>
    <xf numFmtId="0" fontId="10" fillId="0" borderId="6" xfId="0" applyFont="1" applyBorder="1" applyAlignment="1">
      <alignment horizontal="center" wrapText="1"/>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0" xfId="0" applyFill="1" applyBorder="1" applyAlignment="1">
      <alignment horizontal="left" vertical="center"/>
    </xf>
    <xf numFmtId="177" fontId="0" fillId="0" borderId="161" xfId="0" applyNumberFormat="1" applyBorder="1" applyAlignment="1">
      <alignment horizontal="center" vertical="center"/>
    </xf>
    <xf numFmtId="177" fontId="0" fillId="0" borderId="162" xfId="0" applyNumberFormat="1" applyBorder="1" applyAlignment="1">
      <alignment horizontal="center" vertical="center"/>
    </xf>
    <xf numFmtId="177" fontId="0" fillId="0" borderId="163" xfId="0" applyNumberFormat="1" applyBorder="1" applyAlignment="1">
      <alignment horizontal="center" vertical="center"/>
    </xf>
    <xf numFmtId="221" fontId="16" fillId="6" borderId="16" xfId="4" applyNumberFormat="1" applyFont="1" applyFill="1" applyBorder="1" applyAlignment="1">
      <alignment horizontal="center" vertical="center"/>
    </xf>
    <xf numFmtId="222" fontId="16" fillId="6" borderId="16" xfId="4" applyNumberFormat="1" applyFont="1" applyFill="1" applyBorder="1" applyAlignment="1">
      <alignment horizontal="center" vertical="center"/>
    </xf>
    <xf numFmtId="0" fontId="6" fillId="0" borderId="114" xfId="0" applyFont="1" applyBorder="1" applyAlignment="1">
      <alignment horizontal="center"/>
    </xf>
    <xf numFmtId="0" fontId="0" fillId="37" borderId="119" xfId="0" applyFill="1" applyBorder="1" applyAlignment="1">
      <alignment horizontal="center" vertical="center"/>
    </xf>
    <xf numFmtId="0" fontId="0" fillId="37" borderId="0" xfId="0" applyFill="1" applyAlignment="1">
      <alignment horizontal="center" vertical="center"/>
    </xf>
    <xf numFmtId="0" fontId="0" fillId="0" borderId="40" xfId="0" applyBorder="1" applyAlignment="1">
      <alignment horizontal="center" vertical="center"/>
    </xf>
    <xf numFmtId="201" fontId="6" fillId="0" borderId="3" xfId="0" applyNumberFormat="1" applyFont="1" applyBorder="1" applyAlignment="1">
      <alignment horizontal="center"/>
    </xf>
    <xf numFmtId="201" fontId="6" fillId="0" borderId="4" xfId="0" applyNumberFormat="1" applyFont="1" applyBorder="1" applyAlignment="1">
      <alignment horizontal="center"/>
    </xf>
    <xf numFmtId="201" fontId="6" fillId="0" borderId="9" xfId="0" applyNumberFormat="1" applyFont="1" applyBorder="1" applyAlignment="1">
      <alignment horizontal="center"/>
    </xf>
    <xf numFmtId="0" fontId="0" fillId="0" borderId="52" xfId="0" applyBorder="1" applyAlignment="1">
      <alignment horizontal="left" vertical="center" wrapText="1"/>
    </xf>
    <xf numFmtId="9" fontId="6" fillId="0" borderId="16" xfId="4" applyFon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153" xfId="0" applyBorder="1" applyAlignment="1">
      <alignment horizontal="left" vertical="top" wrapText="1"/>
    </xf>
    <xf numFmtId="0" fontId="0" fillId="0" borderId="250" xfId="0" applyBorder="1" applyAlignment="1">
      <alignment horizontal="left" vertical="top" wrapText="1"/>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48" xfId="0" applyFill="1" applyBorder="1" applyAlignment="1">
      <alignment horizontal="left" vertical="center"/>
    </xf>
    <xf numFmtId="202" fontId="0" fillId="0" borderId="3" xfId="0" applyNumberFormat="1" applyBorder="1" applyAlignment="1">
      <alignment horizontal="center" vertical="center"/>
    </xf>
    <xf numFmtId="202" fontId="0" fillId="0" borderId="9" xfId="0" applyNumberFormat="1" applyBorder="1" applyAlignment="1">
      <alignment horizontal="center" vertical="center"/>
    </xf>
    <xf numFmtId="0" fontId="6" fillId="0" borderId="42" xfId="0" applyFont="1" applyBorder="1" applyAlignment="1">
      <alignment horizontal="center"/>
    </xf>
    <xf numFmtId="0" fontId="6" fillId="0" borderId="113" xfId="0" applyFont="1" applyBorder="1" applyAlignment="1">
      <alignment horizont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103" fillId="32" borderId="5" xfId="0" applyFont="1" applyFill="1" applyBorder="1" applyAlignment="1">
      <alignment horizontal="center"/>
    </xf>
    <xf numFmtId="0" fontId="103" fillId="32" borderId="1" xfId="0" applyFont="1" applyFill="1" applyBorder="1" applyAlignment="1">
      <alignment horizontal="center"/>
    </xf>
    <xf numFmtId="0" fontId="103" fillId="32" borderId="6" xfId="0" applyFont="1" applyFill="1" applyBorder="1" applyAlignment="1">
      <alignment horizontal="center"/>
    </xf>
    <xf numFmtId="0" fontId="103" fillId="19" borderId="12" xfId="0" applyFont="1" applyFill="1" applyBorder="1" applyAlignment="1">
      <alignment horizontal="left" vertical="top" wrapText="1"/>
    </xf>
    <xf numFmtId="0" fontId="103" fillId="19" borderId="2" xfId="0" applyFont="1" applyFill="1" applyBorder="1" applyAlignment="1">
      <alignment horizontal="left" vertical="top" wrapText="1"/>
    </xf>
    <xf numFmtId="0" fontId="103" fillId="19" borderId="48" xfId="0" applyFont="1" applyFill="1" applyBorder="1" applyAlignment="1">
      <alignment horizontal="left" vertical="top" wrapText="1"/>
    </xf>
    <xf numFmtId="0" fontId="103" fillId="19" borderId="358" xfId="0" applyFont="1" applyFill="1" applyBorder="1" applyAlignment="1">
      <alignment horizontal="left" vertical="top" wrapText="1"/>
    </xf>
    <xf numFmtId="0" fontId="103" fillId="19" borderId="355" xfId="0" applyFont="1" applyFill="1" applyBorder="1" applyAlignment="1">
      <alignment horizontal="left" vertical="top" wrapText="1"/>
    </xf>
    <xf numFmtId="0" fontId="103" fillId="19" borderId="357" xfId="0" applyFont="1" applyFill="1" applyBorder="1" applyAlignment="1">
      <alignment horizontal="left" vertical="top" wrapText="1"/>
    </xf>
    <xf numFmtId="0" fontId="6" fillId="0" borderId="153" xfId="0" applyFont="1" applyBorder="1" applyAlignment="1">
      <alignment horizontal="center"/>
    </xf>
    <xf numFmtId="0" fontId="0" fillId="0" borderId="48" xfId="0" applyBorder="1" applyAlignment="1">
      <alignment horizontal="left" vertical="top" wrapText="1"/>
    </xf>
    <xf numFmtId="0" fontId="23" fillId="4" borderId="7" xfId="0" applyFont="1" applyFill="1" applyBorder="1" applyAlignment="1">
      <alignment horizontal="left" vertical="center" wrapText="1"/>
    </xf>
    <xf numFmtId="0" fontId="23" fillId="4" borderId="5" xfId="0" applyFont="1" applyFill="1" applyBorder="1" applyAlignment="1">
      <alignment horizontal="left" vertical="center" wrapText="1"/>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42" xfId="0" applyBorder="1" applyAlignment="1">
      <alignment horizontal="center" vertical="center"/>
    </xf>
    <xf numFmtId="0" fontId="0" fillId="0" borderId="188" xfId="0" applyBorder="1" applyAlignment="1">
      <alignment horizontal="center" vertical="center"/>
    </xf>
    <xf numFmtId="0" fontId="0" fillId="0" borderId="189" xfId="0" applyBorder="1" applyAlignment="1">
      <alignment horizontal="center" vertical="center"/>
    </xf>
    <xf numFmtId="0" fontId="0" fillId="0" borderId="7" xfId="0" applyBorder="1" applyAlignment="1">
      <alignment horizontal="right" vertical="center" wrapText="1" indent="1"/>
    </xf>
    <xf numFmtId="0" fontId="0" fillId="0" borderId="7" xfId="0" applyBorder="1" applyAlignment="1">
      <alignment horizontal="right" vertical="center" indent="1"/>
    </xf>
    <xf numFmtId="0" fontId="16" fillId="2" borderId="153" xfId="0" applyFont="1" applyFill="1" applyBorder="1" applyAlignment="1" applyProtection="1">
      <alignment horizontal="left" vertical="center"/>
      <protection locked="0"/>
    </xf>
    <xf numFmtId="0" fontId="133" fillId="0" borderId="7" xfId="0" applyFont="1" applyBorder="1" applyAlignment="1">
      <alignment horizontal="center" vertical="center" wrapText="1"/>
    </xf>
    <xf numFmtId="0" fontId="16" fillId="2" borderId="23" xfId="0" applyFont="1" applyFill="1" applyBorder="1" applyAlignment="1" applyProtection="1">
      <alignment horizontal="right" vertical="center" indent="1"/>
      <protection locked="0"/>
    </xf>
    <xf numFmtId="167" fontId="0" fillId="0" borderId="0" xfId="0" applyNumberFormat="1" applyAlignment="1">
      <alignment horizontal="left" vertical="top" wrapText="1"/>
    </xf>
    <xf numFmtId="0" fontId="6" fillId="0" borderId="7" xfId="0" applyFont="1" applyBorder="1" applyAlignment="1">
      <alignment horizontal="left" vertical="center" wrapText="1"/>
    </xf>
    <xf numFmtId="0" fontId="113" fillId="8" borderId="0" xfId="0" applyFont="1" applyFill="1" applyAlignment="1">
      <alignment horizontal="left" vertical="center" wrapText="1"/>
    </xf>
    <xf numFmtId="0" fontId="14" fillId="0" borderId="12" xfId="0" applyFont="1" applyBorder="1" applyAlignment="1">
      <alignment horizontal="center" vertical="center" textRotation="90"/>
    </xf>
    <xf numFmtId="0" fontId="14" fillId="0" borderId="48" xfId="0" applyFont="1" applyBorder="1" applyAlignment="1">
      <alignment horizontal="center" vertical="center" textRotation="90"/>
    </xf>
    <xf numFmtId="0" fontId="14" fillId="0" borderId="14" xfId="0" applyFont="1" applyBorder="1" applyAlignment="1">
      <alignment horizontal="center" vertical="center" textRotation="90"/>
    </xf>
    <xf numFmtId="0" fontId="14" fillId="0" borderId="40" xfId="0" applyFont="1" applyBorder="1" applyAlignment="1">
      <alignment horizontal="center" vertical="center" textRotation="90"/>
    </xf>
    <xf numFmtId="0" fontId="14" fillId="0" borderId="42" xfId="0" applyFont="1" applyBorder="1" applyAlignment="1">
      <alignment horizontal="center" vertical="center" textRotation="90"/>
    </xf>
    <xf numFmtId="0" fontId="14" fillId="0" borderId="130" xfId="0" applyFont="1" applyBorder="1" applyAlignment="1">
      <alignment horizontal="center" vertical="center" textRotation="90"/>
    </xf>
    <xf numFmtId="38" fontId="188" fillId="83" borderId="14" xfId="0" applyNumberFormat="1" applyFont="1" applyFill="1" applyBorder="1" applyAlignment="1">
      <alignment horizontal="center" vertical="center" wrapText="1"/>
    </xf>
    <xf numFmtId="38" fontId="188" fillId="83" borderId="40" xfId="0" applyNumberFormat="1" applyFont="1" applyFill="1" applyBorder="1" applyAlignment="1">
      <alignment horizontal="center" vertical="center" wrapText="1"/>
    </xf>
    <xf numFmtId="38" fontId="188" fillId="83" borderId="42" xfId="0" applyNumberFormat="1" applyFont="1" applyFill="1" applyBorder="1" applyAlignment="1">
      <alignment horizontal="center" vertical="center" wrapText="1"/>
    </xf>
    <xf numFmtId="38" fontId="188" fillId="83" borderId="251" xfId="0" applyNumberFormat="1" applyFont="1" applyFill="1" applyBorder="1" applyAlignment="1">
      <alignment horizontal="center" vertical="center" wrapText="1"/>
    </xf>
    <xf numFmtId="0" fontId="64" fillId="0" borderId="0" xfId="0" applyFont="1" applyAlignment="1">
      <alignment horizontal="left" vertical="top" wrapText="1"/>
    </xf>
    <xf numFmtId="0" fontId="99" fillId="0" borderId="0" xfId="0" applyFont="1" applyAlignment="1">
      <alignment horizontal="right" vertical="center"/>
    </xf>
    <xf numFmtId="0" fontId="16" fillId="2" borderId="179" xfId="0" applyFont="1" applyFill="1" applyBorder="1" applyAlignment="1">
      <alignment horizontal="center" vertical="center"/>
    </xf>
    <xf numFmtId="0" fontId="16" fillId="2" borderId="23" xfId="0" applyFont="1" applyFill="1" applyBorder="1" applyAlignment="1" applyProtection="1">
      <alignment horizontal="left" vertical="top" wrapText="1"/>
      <protection locked="0"/>
    </xf>
    <xf numFmtId="0" fontId="64" fillId="0" borderId="0" xfId="0" quotePrefix="1" applyFont="1" applyAlignment="1">
      <alignment horizontal="left" vertical="top" wrapText="1"/>
    </xf>
    <xf numFmtId="0" fontId="187" fillId="0" borderId="0" xfId="0" applyFont="1" applyAlignment="1">
      <alignment horizontal="left" vertical="top" wrapText="1"/>
    </xf>
    <xf numFmtId="38" fontId="147" fillId="11" borderId="289" xfId="0" applyNumberFormat="1" applyFont="1" applyFill="1" applyBorder="1" applyAlignment="1">
      <alignment horizontal="center" vertical="top"/>
    </xf>
    <xf numFmtId="38" fontId="147" fillId="11" borderId="0" xfId="0" applyNumberFormat="1" applyFont="1" applyFill="1" applyAlignment="1">
      <alignment horizontal="center" vertical="top"/>
    </xf>
    <xf numFmtId="38" fontId="19" fillId="26" borderId="297" xfId="0" applyNumberFormat="1" applyFont="1" applyFill="1" applyBorder="1" applyAlignment="1">
      <alignment horizontal="center" vertical="top"/>
    </xf>
    <xf numFmtId="38" fontId="19" fillId="26" borderId="292" xfId="0" applyNumberFormat="1" applyFont="1" applyFill="1" applyBorder="1" applyAlignment="1">
      <alignment horizontal="center" vertical="top"/>
    </xf>
    <xf numFmtId="38" fontId="19" fillId="26" borderId="293" xfId="0" applyNumberFormat="1" applyFont="1" applyFill="1" applyBorder="1" applyAlignment="1">
      <alignment horizontal="center" vertical="top"/>
    </xf>
    <xf numFmtId="0" fontId="19" fillId="11" borderId="0" xfId="0" applyFont="1" applyFill="1" applyAlignment="1">
      <alignment horizontal="center" vertical="top"/>
    </xf>
    <xf numFmtId="38" fontId="147" fillId="42" borderId="286" xfId="0" applyNumberFormat="1" applyFont="1" applyFill="1" applyBorder="1" applyAlignment="1">
      <alignment horizontal="center" vertical="top"/>
    </xf>
    <xf numFmtId="38" fontId="16" fillId="77" borderId="14" xfId="0" applyNumberFormat="1" applyFont="1" applyFill="1" applyBorder="1" applyAlignment="1">
      <alignment horizontal="center" vertical="top"/>
    </xf>
    <xf numFmtId="0" fontId="27" fillId="0" borderId="12"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153" xfId="0" applyFont="1" applyBorder="1" applyAlignment="1">
      <alignment horizontal="center" vertical="center" wrapText="1"/>
    </xf>
    <xf numFmtId="0" fontId="27" fillId="0" borderId="130" xfId="0" applyFont="1" applyBorder="1" applyAlignment="1">
      <alignment horizontal="center" vertical="center" wrapText="1"/>
    </xf>
    <xf numFmtId="38" fontId="16" fillId="6" borderId="283" xfId="0" applyNumberFormat="1" applyFont="1" applyFill="1" applyBorder="1" applyAlignment="1">
      <alignment horizontal="center" vertical="top"/>
    </xf>
    <xf numFmtId="38" fontId="16" fillId="6" borderId="284" xfId="0" applyNumberFormat="1" applyFont="1" applyFill="1" applyBorder="1" applyAlignment="1">
      <alignment horizontal="center" vertical="top"/>
    </xf>
    <xf numFmtId="38" fontId="16" fillId="6" borderId="11" xfId="0" applyNumberFormat="1" applyFont="1" applyFill="1" applyBorder="1" applyAlignment="1">
      <alignment horizontal="center" vertical="top"/>
    </xf>
    <xf numFmtId="0" fontId="188" fillId="82" borderId="10" xfId="0" applyFont="1" applyFill="1" applyBorder="1" applyAlignment="1">
      <alignment horizontal="center" vertical="center" textRotation="90" wrapText="1"/>
    </xf>
    <xf numFmtId="0" fontId="188" fillId="82" borderId="13" xfId="0" applyFont="1" applyFill="1" applyBorder="1" applyAlignment="1">
      <alignment horizontal="center" vertical="center" textRotation="90" wrapText="1"/>
    </xf>
    <xf numFmtId="0" fontId="188" fillId="82" borderId="11" xfId="0" applyFont="1" applyFill="1" applyBorder="1" applyAlignment="1">
      <alignment horizontal="center" vertical="center" textRotation="90" wrapText="1"/>
    </xf>
    <xf numFmtId="0" fontId="14" fillId="0" borderId="189" xfId="0" applyFont="1" applyBorder="1" applyAlignment="1">
      <alignment horizontal="center" vertical="center" textRotation="90"/>
    </xf>
    <xf numFmtId="0" fontId="14" fillId="0" borderId="12" xfId="0" applyFont="1" applyBorder="1" applyAlignment="1">
      <alignment horizontal="center" vertical="center" textRotation="90" wrapText="1"/>
    </xf>
    <xf numFmtId="0" fontId="14" fillId="0" borderId="48" xfId="0" applyFont="1" applyBorder="1" applyAlignment="1">
      <alignment horizontal="center" vertical="center" textRotation="90" wrapText="1"/>
    </xf>
    <xf numFmtId="0" fontId="14" fillId="0" borderId="14" xfId="0" applyFont="1" applyBorder="1" applyAlignment="1">
      <alignment horizontal="center" vertical="center" textRotation="90" wrapText="1"/>
    </xf>
    <xf numFmtId="0" fontId="14" fillId="0" borderId="40" xfId="0" applyFont="1" applyBorder="1" applyAlignment="1">
      <alignment horizontal="center" vertical="center" textRotation="90" wrapText="1"/>
    </xf>
    <xf numFmtId="0" fontId="14" fillId="0" borderId="42" xfId="0" applyFont="1" applyBorder="1" applyAlignment="1">
      <alignment horizontal="center" vertical="center" textRotation="90" wrapText="1"/>
    </xf>
    <xf numFmtId="0" fontId="14" fillId="0" borderId="130" xfId="0" applyFont="1" applyBorder="1" applyAlignment="1">
      <alignment horizontal="center" vertical="center" textRotation="90" wrapText="1"/>
    </xf>
    <xf numFmtId="0" fontId="98" fillId="0" borderId="7" xfId="0" applyFont="1" applyBorder="1" applyAlignment="1">
      <alignment horizontal="center" vertical="center" wrapText="1"/>
    </xf>
    <xf numFmtId="0" fontId="64" fillId="0" borderId="153" xfId="0" applyFont="1" applyBorder="1" applyAlignment="1">
      <alignment horizontal="left" vertical="center"/>
    </xf>
    <xf numFmtId="255" fontId="16" fillId="96" borderId="5" xfId="0" applyNumberFormat="1" applyFont="1" applyFill="1" applyBorder="1" applyAlignment="1">
      <alignment horizontal="center" vertical="center"/>
    </xf>
    <xf numFmtId="255" fontId="16" fillId="96" borderId="1" xfId="0" applyNumberFormat="1" applyFont="1" applyFill="1" applyBorder="1" applyAlignment="1">
      <alignment horizontal="center" vertical="center"/>
    </xf>
    <xf numFmtId="255" fontId="16" fillId="96" borderId="6" xfId="0" applyNumberFormat="1" applyFont="1" applyFill="1" applyBorder="1" applyAlignment="1">
      <alignment horizontal="center" vertical="center"/>
    </xf>
    <xf numFmtId="1" fontId="7" fillId="0" borderId="0" xfId="0" applyNumberFormat="1" applyFont="1" applyAlignment="1">
      <alignment horizontal="right" vertical="center"/>
    </xf>
    <xf numFmtId="0" fontId="126" fillId="0" borderId="179" xfId="0" applyFont="1" applyBorder="1" applyAlignment="1">
      <alignment horizontal="left" vertical="top" wrapText="1"/>
    </xf>
    <xf numFmtId="0" fontId="126" fillId="0" borderId="181" xfId="0" applyFont="1" applyBorder="1" applyAlignment="1">
      <alignment horizontal="left" vertical="top" wrapText="1"/>
    </xf>
    <xf numFmtId="0" fontId="0" fillId="0" borderId="7" xfId="0" applyBorder="1" applyAlignment="1">
      <alignment horizontal="right" vertical="center" wrapText="1"/>
    </xf>
    <xf numFmtId="0" fontId="8" fillId="0" borderId="14" xfId="0" applyFont="1" applyBorder="1" applyAlignment="1">
      <alignment horizontal="right" vertical="top" wrapText="1"/>
    </xf>
    <xf numFmtId="0" fontId="8" fillId="0" borderId="0" xfId="0" applyFont="1" applyAlignment="1">
      <alignment horizontal="right" vertical="top" wrapText="1"/>
    </xf>
    <xf numFmtId="0" fontId="0" fillId="0" borderId="354" xfId="0" applyBorder="1" applyAlignment="1">
      <alignment horizontal="left" vertical="top" wrapText="1"/>
    </xf>
    <xf numFmtId="0" fontId="7" fillId="0" borderId="0" xfId="0" quotePrefix="1" applyFont="1" applyAlignment="1">
      <alignment horizontal="left" vertical="top" wrapText="1"/>
    </xf>
    <xf numFmtId="0" fontId="121" fillId="19" borderId="10" xfId="0" applyFont="1" applyFill="1" applyBorder="1" applyAlignment="1">
      <alignment horizontal="center" vertical="center" wrapText="1"/>
    </xf>
    <xf numFmtId="0" fontId="121" fillId="19" borderId="13" xfId="0" applyFont="1" applyFill="1" applyBorder="1" applyAlignment="1">
      <alignment horizontal="center" vertical="center" wrapText="1"/>
    </xf>
    <xf numFmtId="0" fontId="121" fillId="19" borderId="356" xfId="0" applyFont="1" applyFill="1" applyBorder="1" applyAlignment="1">
      <alignment horizontal="center" vertical="center" wrapText="1"/>
    </xf>
    <xf numFmtId="0" fontId="6" fillId="0" borderId="0" xfId="0" applyFont="1" applyAlignment="1">
      <alignment horizontal="left"/>
    </xf>
    <xf numFmtId="0" fontId="16" fillId="2" borderId="153" xfId="0" applyFont="1" applyFill="1" applyBorder="1" applyAlignment="1" applyProtection="1">
      <alignment horizontal="left" vertical="center" wrapText="1"/>
      <protection locked="0"/>
    </xf>
    <xf numFmtId="0" fontId="16" fillId="2" borderId="153" xfId="0" applyFont="1" applyFill="1" applyBorder="1" applyAlignment="1" applyProtection="1">
      <alignment horizontal="center" vertical="center" wrapText="1"/>
      <protection locked="0"/>
    </xf>
    <xf numFmtId="0" fontId="8" fillId="0" borderId="179" xfId="0" applyFont="1" applyBorder="1" applyAlignment="1">
      <alignment horizontal="left" vertical="center"/>
    </xf>
    <xf numFmtId="235" fontId="24" fillId="2" borderId="23" xfId="5" applyNumberFormat="1" applyFont="1" applyFill="1" applyBorder="1" applyAlignment="1" applyProtection="1">
      <alignment horizontal="left" vertical="top" wrapText="1"/>
      <protection locked="0"/>
    </xf>
    <xf numFmtId="0" fontId="16" fillId="2" borderId="153" xfId="0" applyFont="1" applyFill="1" applyBorder="1" applyAlignment="1" applyProtection="1">
      <alignment horizontal="left" vertical="top" wrapText="1"/>
      <protection locked="0"/>
    </xf>
    <xf numFmtId="0" fontId="88" fillId="0" borderId="0" xfId="0" applyFont="1" applyAlignment="1">
      <alignment horizontal="left" vertical="top" wrapText="1" indent="3"/>
    </xf>
    <xf numFmtId="0" fontId="88" fillId="0" borderId="0" xfId="0" applyFont="1" applyAlignment="1">
      <alignment horizontal="center" vertical="center"/>
    </xf>
    <xf numFmtId="49" fontId="16" fillId="2" borderId="153" xfId="0" applyNumberFormat="1" applyFont="1" applyFill="1" applyBorder="1" applyAlignment="1" applyProtection="1">
      <alignment horizontal="center" vertical="center"/>
      <protection locked="0"/>
    </xf>
    <xf numFmtId="0" fontId="8" fillId="0" borderId="153" xfId="0" applyFont="1" applyBorder="1" applyAlignment="1">
      <alignment horizontal="center" vertical="center" wrapText="1"/>
    </xf>
    <xf numFmtId="49" fontId="16" fillId="2" borderId="1" xfId="0" applyNumberFormat="1" applyFont="1" applyFill="1" applyBorder="1" applyAlignment="1" applyProtection="1">
      <alignment horizontal="center" vertical="center"/>
      <protection locked="0"/>
    </xf>
    <xf numFmtId="0" fontId="187" fillId="0" borderId="0" xfId="0" applyFont="1" applyAlignment="1">
      <alignment horizontal="left" vertical="top"/>
    </xf>
    <xf numFmtId="0" fontId="187" fillId="0" borderId="2" xfId="0" applyFont="1" applyBorder="1" applyAlignment="1">
      <alignment horizontal="left" vertical="top" wrapText="1"/>
    </xf>
    <xf numFmtId="0" fontId="187" fillId="0" borderId="250" xfId="0" applyFont="1" applyBorder="1" applyAlignment="1">
      <alignment horizontal="left" vertical="top" wrapText="1"/>
    </xf>
    <xf numFmtId="38" fontId="19" fillId="26" borderId="296" xfId="0" applyNumberFormat="1" applyFont="1" applyFill="1" applyBorder="1" applyAlignment="1">
      <alignment horizontal="center" vertical="top"/>
    </xf>
    <xf numFmtId="38" fontId="19" fillId="26" borderId="287" xfId="0" applyNumberFormat="1" applyFont="1" applyFill="1" applyBorder="1" applyAlignment="1">
      <alignment horizontal="center" vertical="top"/>
    </xf>
    <xf numFmtId="0" fontId="99" fillId="19" borderId="10" xfId="0" applyFont="1" applyFill="1" applyBorder="1" applyAlignment="1">
      <alignment horizontal="center" vertical="center" textRotation="90" wrapText="1"/>
    </xf>
    <xf numFmtId="0" fontId="99" fillId="19" borderId="13" xfId="0" applyFont="1" applyFill="1" applyBorder="1" applyAlignment="1">
      <alignment horizontal="center" vertical="center" textRotation="90" wrapText="1"/>
    </xf>
    <xf numFmtId="0" fontId="99" fillId="19" borderId="356" xfId="0" applyFont="1" applyFill="1" applyBorder="1" applyAlignment="1">
      <alignment horizontal="center" vertical="center" textRotation="90" wrapText="1"/>
    </xf>
    <xf numFmtId="0" fontId="188" fillId="82" borderId="356" xfId="0" applyFont="1" applyFill="1" applyBorder="1" applyAlignment="1">
      <alignment horizontal="center" vertical="center" textRotation="90"/>
    </xf>
    <xf numFmtId="195" fontId="19" fillId="0" borderId="40" xfId="0" applyNumberFormat="1" applyFont="1" applyBorder="1" applyAlignment="1">
      <alignment horizontal="center" vertical="center"/>
    </xf>
    <xf numFmtId="0" fontId="28" fillId="0" borderId="5" xfId="0" applyFont="1" applyBorder="1" applyAlignment="1">
      <alignment horizontal="right" vertical="center" wrapText="1"/>
    </xf>
    <xf numFmtId="0" fontId="28" fillId="0" borderId="1" xfId="0" applyFont="1" applyBorder="1" applyAlignment="1">
      <alignment horizontal="right" vertical="center" wrapText="1"/>
    </xf>
    <xf numFmtId="0" fontId="28" fillId="0" borderId="6" xfId="0" applyFont="1" applyBorder="1" applyAlignment="1">
      <alignment horizontal="right" vertical="center" wrapText="1"/>
    </xf>
    <xf numFmtId="0" fontId="0" fillId="0" borderId="0" xfId="0" applyAlignment="1">
      <alignment horizontal="left"/>
    </xf>
    <xf numFmtId="0" fontId="6" fillId="0" borderId="13" xfId="0" applyFont="1" applyBorder="1" applyAlignment="1">
      <alignment horizontal="center" wrapText="1"/>
    </xf>
    <xf numFmtId="0" fontId="88" fillId="0" borderId="0" xfId="0" quotePrefix="1" applyFont="1" applyAlignment="1">
      <alignment horizontal="left" vertical="top" wrapText="1"/>
    </xf>
    <xf numFmtId="177" fontId="0" fillId="0" borderId="7" xfId="0" applyNumberFormat="1" applyBorder="1" applyAlignment="1">
      <alignment horizontal="center" vertical="center"/>
    </xf>
    <xf numFmtId="177" fontId="0" fillId="0" borderId="11" xfId="0" applyNumberFormat="1" applyBorder="1" applyAlignment="1">
      <alignment horizontal="center" vertical="center"/>
    </xf>
    <xf numFmtId="0" fontId="19" fillId="0" borderId="24" xfId="0" applyFont="1" applyBorder="1" applyAlignment="1">
      <alignment horizontal="center" vertical="center" wrapText="1"/>
    </xf>
    <xf numFmtId="0" fontId="19" fillId="0" borderId="0" xfId="0" applyFont="1" applyAlignment="1">
      <alignment horizontal="center" vertical="center" wrapText="1"/>
    </xf>
    <xf numFmtId="0" fontId="19" fillId="0" borderId="179" xfId="0" applyFont="1" applyBorder="1" applyAlignment="1">
      <alignment horizontal="center" vertical="center" wrapText="1"/>
    </xf>
    <xf numFmtId="38" fontId="147" fillId="26" borderId="288" xfId="0" applyNumberFormat="1" applyFont="1" applyFill="1" applyBorder="1" applyAlignment="1">
      <alignment horizontal="center" vertical="top"/>
    </xf>
    <xf numFmtId="38" fontId="147" fillId="26" borderId="296" xfId="0" applyNumberFormat="1" applyFont="1" applyFill="1" applyBorder="1" applyAlignment="1">
      <alignment horizontal="center" vertical="top"/>
    </xf>
    <xf numFmtId="38" fontId="147" fillId="26" borderId="287" xfId="0" applyNumberFormat="1" applyFont="1" applyFill="1" applyBorder="1" applyAlignment="1">
      <alignment horizontal="center" vertical="top"/>
    </xf>
    <xf numFmtId="0" fontId="99" fillId="0" borderId="0" xfId="0" applyFont="1" applyAlignment="1">
      <alignment horizontal="right" vertical="center" wrapText="1"/>
    </xf>
    <xf numFmtId="0" fontId="8" fillId="0" borderId="0" xfId="0" applyFont="1" applyAlignment="1">
      <alignment horizontal="left" vertical="center"/>
    </xf>
    <xf numFmtId="0" fontId="8" fillId="8" borderId="10" xfId="0" applyFont="1" applyFill="1" applyBorder="1" applyAlignment="1">
      <alignment horizontal="center" vertical="center"/>
    </xf>
    <xf numFmtId="0" fontId="8" fillId="8" borderId="13" xfId="0" applyFont="1" applyFill="1" applyBorder="1" applyAlignment="1">
      <alignment horizontal="center" vertical="center"/>
    </xf>
    <xf numFmtId="0" fontId="8" fillId="8" borderId="11" xfId="0" applyFont="1" applyFill="1" applyBorder="1" applyAlignment="1">
      <alignment horizontal="center" vertical="center"/>
    </xf>
    <xf numFmtId="0" fontId="16" fillId="2" borderId="81" xfId="0" applyFont="1" applyFill="1" applyBorder="1" applyAlignment="1" applyProtection="1">
      <alignment horizontal="left" vertical="center"/>
      <protection locked="0"/>
    </xf>
    <xf numFmtId="0" fontId="16" fillId="2" borderId="32" xfId="0" applyFont="1" applyFill="1" applyBorder="1" applyAlignment="1" applyProtection="1">
      <alignment horizontal="left" vertical="center"/>
      <protection locked="0"/>
    </xf>
    <xf numFmtId="0" fontId="15" fillId="0" borderId="0" xfId="0" applyFont="1" applyAlignment="1">
      <alignment horizontal="right" vertical="center" wrapText="1"/>
    </xf>
    <xf numFmtId="0" fontId="16" fillId="2" borderId="23" xfId="0" applyFont="1" applyFill="1" applyBorder="1" applyAlignment="1" applyProtection="1">
      <alignment horizontal="center" vertical="center"/>
      <protection locked="0"/>
    </xf>
    <xf numFmtId="0" fontId="16" fillId="2" borderId="179" xfId="0" applyFont="1" applyFill="1" applyBorder="1" applyAlignment="1" applyProtection="1">
      <alignment horizontal="left" vertical="center"/>
      <protection locked="0"/>
    </xf>
    <xf numFmtId="0" fontId="8" fillId="0" borderId="345" xfId="0" applyFont="1" applyBorder="1" applyAlignment="1">
      <alignment horizontal="center" vertical="center"/>
    </xf>
    <xf numFmtId="0" fontId="113" fillId="0" borderId="0" xfId="0" applyFont="1" applyAlignment="1">
      <alignment horizontal="right" vertical="top" wrapText="1"/>
    </xf>
    <xf numFmtId="0" fontId="103" fillId="25" borderId="12" xfId="0" applyFont="1" applyFill="1" applyBorder="1" applyAlignment="1">
      <alignment horizontal="center" vertical="center"/>
    </xf>
    <xf numFmtId="0" fontId="103" fillId="25" borderId="1" xfId="0" applyFont="1" applyFill="1" applyBorder="1" applyAlignment="1">
      <alignment horizontal="center" vertical="center"/>
    </xf>
    <xf numFmtId="0" fontId="103" fillId="25" borderId="6" xfId="0" applyFont="1" applyFill="1" applyBorder="1" applyAlignment="1">
      <alignment horizontal="center" vertical="center"/>
    </xf>
    <xf numFmtId="0" fontId="188" fillId="82" borderId="355" xfId="0" applyFont="1" applyFill="1" applyBorder="1" applyAlignment="1">
      <alignment horizontal="center" vertical="center"/>
    </xf>
    <xf numFmtId="0" fontId="64" fillId="0" borderId="0" xfId="0" applyFont="1" applyAlignment="1">
      <alignment horizontal="left" vertical="top"/>
    </xf>
    <xf numFmtId="0" fontId="0" fillId="0" borderId="342" xfId="0" applyBorder="1" applyAlignment="1">
      <alignment horizontal="left" vertical="top" wrapText="1"/>
    </xf>
    <xf numFmtId="0" fontId="0" fillId="18" borderId="342" xfId="0" applyFill="1" applyBorder="1" applyAlignment="1">
      <alignment horizontal="left" vertical="top" wrapText="1"/>
    </xf>
    <xf numFmtId="0" fontId="0" fillId="0" borderId="340" xfId="0" applyBorder="1" applyAlignment="1">
      <alignment horizontal="left" vertical="top" wrapText="1"/>
    </xf>
    <xf numFmtId="0" fontId="206" fillId="19" borderId="12" xfId="0" applyFont="1" applyFill="1" applyBorder="1" applyAlignment="1">
      <alignment horizontal="left" vertical="top" wrapText="1"/>
    </xf>
    <xf numFmtId="0" fontId="206" fillId="19" borderId="2" xfId="0" applyFont="1" applyFill="1" applyBorder="1" applyAlignment="1">
      <alignment horizontal="left" vertical="top" wrapText="1"/>
    </xf>
    <xf numFmtId="0" fontId="206" fillId="19" borderId="48" xfId="0" applyFont="1" applyFill="1" applyBorder="1" applyAlignment="1">
      <alignment horizontal="left" vertical="top" wrapText="1"/>
    </xf>
    <xf numFmtId="0" fontId="206" fillId="19" borderId="14" xfId="0" applyFont="1" applyFill="1" applyBorder="1" applyAlignment="1">
      <alignment horizontal="left" vertical="top" wrapText="1"/>
    </xf>
    <xf numFmtId="0" fontId="206" fillId="19" borderId="0" xfId="0" applyFont="1" applyFill="1" applyAlignment="1">
      <alignment horizontal="left" vertical="top" wrapText="1"/>
    </xf>
    <xf numFmtId="0" fontId="206" fillId="19" borderId="40" xfId="0" applyFont="1" applyFill="1" applyBorder="1" applyAlignment="1">
      <alignment horizontal="left" vertical="top" wrapText="1"/>
    </xf>
    <xf numFmtId="0" fontId="206" fillId="19" borderId="347" xfId="0" applyFont="1" applyFill="1" applyBorder="1" applyAlignment="1">
      <alignment horizontal="left" vertical="top" wrapText="1"/>
    </xf>
    <xf numFmtId="0" fontId="206" fillId="19" borderId="345" xfId="0" applyFont="1" applyFill="1" applyBorder="1" applyAlignment="1">
      <alignment horizontal="left" vertical="top" wrapText="1"/>
    </xf>
    <xf numFmtId="0" fontId="206" fillId="19" borderId="251" xfId="0" applyFont="1" applyFill="1" applyBorder="1" applyAlignment="1">
      <alignment horizontal="left" vertical="top" wrapText="1"/>
    </xf>
    <xf numFmtId="0" fontId="99" fillId="19" borderId="5" xfId="0" applyFont="1" applyFill="1" applyBorder="1" applyAlignment="1">
      <alignment horizontal="left" vertical="top" wrapText="1"/>
    </xf>
    <xf numFmtId="0" fontId="99" fillId="19" borderId="1" xfId="0" applyFont="1" applyFill="1" applyBorder="1" applyAlignment="1">
      <alignment horizontal="left" vertical="top" wrapText="1"/>
    </xf>
    <xf numFmtId="0" fontId="99" fillId="19" borderId="6" xfId="0" applyFont="1" applyFill="1" applyBorder="1" applyAlignment="1">
      <alignment horizontal="left" vertical="top" wrapText="1"/>
    </xf>
    <xf numFmtId="0" fontId="126" fillId="0" borderId="0" xfId="0" applyFont="1" applyAlignment="1">
      <alignment horizontal="left" vertical="top" wrapText="1"/>
    </xf>
    <xf numFmtId="0" fontId="206" fillId="19" borderId="12" xfId="0" applyFont="1" applyFill="1" applyBorder="1" applyAlignment="1">
      <alignment horizontal="left" vertical="center" wrapText="1"/>
    </xf>
    <xf numFmtId="0" fontId="206" fillId="19" borderId="2" xfId="0" applyFont="1" applyFill="1" applyBorder="1" applyAlignment="1">
      <alignment horizontal="left" vertical="center" wrapText="1"/>
    </xf>
    <xf numFmtId="0" fontId="206" fillId="19" borderId="48" xfId="0" applyFont="1" applyFill="1" applyBorder="1" applyAlignment="1">
      <alignment horizontal="left" vertical="center" wrapText="1"/>
    </xf>
    <xf numFmtId="0" fontId="206" fillId="19" borderId="347" xfId="0" applyFont="1" applyFill="1" applyBorder="1" applyAlignment="1">
      <alignment horizontal="left" vertical="center" wrapText="1"/>
    </xf>
    <xf numFmtId="0" fontId="206" fillId="19" borderId="345" xfId="0" applyFont="1" applyFill="1" applyBorder="1" applyAlignment="1">
      <alignment horizontal="left" vertical="center" wrapText="1"/>
    </xf>
    <xf numFmtId="0" fontId="206" fillId="19" borderId="251" xfId="0" applyFont="1" applyFill="1" applyBorder="1" applyAlignment="1">
      <alignment horizontal="left" vertical="center" wrapText="1"/>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3" xfId="0" applyNumberFormat="1" applyBorder="1" applyAlignment="1">
      <alignment horizontal="center" vertical="center"/>
    </xf>
    <xf numFmtId="164" fontId="0" fillId="0" borderId="74" xfId="0" applyNumberFormat="1" applyBorder="1" applyAlignment="1">
      <alignment horizontal="center" vertical="center"/>
    </xf>
    <xf numFmtId="40" fontId="28" fillId="0" borderId="0" xfId="0" applyNumberFormat="1" applyFont="1" applyAlignment="1">
      <alignment horizontal="center" vertical="top" wrapText="1"/>
    </xf>
    <xf numFmtId="40" fontId="28" fillId="0" borderId="38" xfId="0" applyNumberFormat="1" applyFont="1" applyBorder="1" applyAlignment="1">
      <alignment horizontal="center" vertical="top" wrapText="1"/>
    </xf>
    <xf numFmtId="38" fontId="147" fillId="11" borderId="0" xfId="4" applyNumberFormat="1" applyFont="1" applyFill="1" applyAlignment="1">
      <alignment horizontal="center" vertical="top"/>
    </xf>
    <xf numFmtId="38" fontId="147" fillId="11" borderId="250" xfId="4" applyNumberFormat="1" applyFont="1" applyFill="1" applyBorder="1" applyAlignment="1">
      <alignment horizontal="center" vertical="top"/>
    </xf>
    <xf numFmtId="164" fontId="0" fillId="0" borderId="93" xfId="4" applyNumberFormat="1" applyFont="1" applyBorder="1" applyAlignment="1" applyProtection="1">
      <alignment horizontal="center" vertical="center"/>
    </xf>
    <xf numFmtId="164" fontId="0" fillId="0" borderId="94" xfId="4" applyNumberFormat="1" applyFont="1" applyBorder="1" applyAlignment="1" applyProtection="1">
      <alignment horizontal="center" vertical="center"/>
    </xf>
    <xf numFmtId="164" fontId="0" fillId="0" borderId="60" xfId="4" applyNumberFormat="1" applyFont="1" applyFill="1" applyBorder="1" applyAlignment="1" applyProtection="1">
      <alignment horizontal="center" vertical="center"/>
    </xf>
    <xf numFmtId="164" fontId="0" fillId="0" borderId="61" xfId="4" applyNumberFormat="1" applyFont="1" applyFill="1" applyBorder="1" applyAlignment="1" applyProtection="1">
      <alignment horizontal="center" vertical="center"/>
    </xf>
    <xf numFmtId="164" fontId="0" fillId="0" borderId="60" xfId="4" applyNumberFormat="1" applyFont="1" applyBorder="1" applyAlignment="1" applyProtection="1">
      <alignment horizontal="center" vertical="center"/>
    </xf>
    <xf numFmtId="164" fontId="0" fillId="0" borderId="61" xfId="4" applyNumberFormat="1" applyFont="1" applyBorder="1" applyAlignment="1" applyProtection="1">
      <alignment horizontal="center" vertical="center"/>
    </xf>
    <xf numFmtId="9" fontId="16" fillId="2" borderId="122" xfId="4" applyFont="1" applyFill="1" applyBorder="1" applyAlignment="1" applyProtection="1">
      <alignment horizontal="center" vertical="center"/>
      <protection locked="0"/>
    </xf>
    <xf numFmtId="9" fontId="16" fillId="2" borderId="123" xfId="4" applyFont="1" applyFill="1" applyBorder="1" applyAlignment="1" applyProtection="1">
      <alignment horizontal="center" vertical="center"/>
      <protection locked="0"/>
    </xf>
    <xf numFmtId="0" fontId="6" fillId="0" borderId="147" xfId="0" applyFont="1" applyBorder="1" applyAlignment="1">
      <alignment horizontal="center" vertical="center" wrapText="1"/>
    </xf>
    <xf numFmtId="0" fontId="6" fillId="0" borderId="148" xfId="0" applyFont="1" applyBorder="1" applyAlignment="1">
      <alignment horizontal="center" vertical="center" wrapText="1"/>
    </xf>
    <xf numFmtId="0" fontId="0" fillId="0" borderId="49" xfId="0" applyBorder="1" applyAlignment="1">
      <alignment horizontal="center" vertical="center" wrapText="1"/>
    </xf>
    <xf numFmtId="0" fontId="0" fillId="0" borderId="0" xfId="0" applyAlignment="1">
      <alignment horizontal="right"/>
    </xf>
    <xf numFmtId="0" fontId="16" fillId="2" borderId="23" xfId="0" applyFont="1" applyFill="1" applyBorder="1" applyAlignment="1">
      <alignment horizontal="left" vertical="center"/>
    </xf>
    <xf numFmtId="9" fontId="16" fillId="2" borderId="120" xfId="4" applyFont="1" applyFill="1" applyBorder="1" applyAlignment="1" applyProtection="1">
      <alignment horizontal="center" vertical="center"/>
      <protection locked="0"/>
    </xf>
    <xf numFmtId="9" fontId="16" fillId="2" borderId="121" xfId="4" applyFont="1" applyFill="1" applyBorder="1" applyAlignment="1" applyProtection="1">
      <alignment horizontal="center" vertical="center"/>
      <protection locked="0"/>
    </xf>
    <xf numFmtId="0" fontId="0" fillId="0" borderId="188" xfId="0" applyBorder="1" applyAlignment="1">
      <alignment horizontal="center" vertical="top"/>
    </xf>
    <xf numFmtId="0" fontId="0" fillId="19" borderId="5" xfId="0" applyFill="1" applyBorder="1" applyAlignment="1">
      <alignment horizontal="left" vertical="top" wrapText="1"/>
    </xf>
    <xf numFmtId="0" fontId="0" fillId="19" borderId="1" xfId="0" applyFill="1" applyBorder="1" applyAlignment="1">
      <alignment horizontal="left" vertical="top" wrapText="1"/>
    </xf>
    <xf numFmtId="0" fontId="0" fillId="19" borderId="6" xfId="0" applyFill="1" applyBorder="1" applyAlignment="1">
      <alignment horizontal="left" vertical="top" wrapText="1"/>
    </xf>
    <xf numFmtId="164" fontId="0" fillId="0" borderId="93" xfId="4" applyNumberFormat="1" applyFont="1" applyFill="1" applyBorder="1" applyAlignment="1" applyProtection="1">
      <alignment horizontal="center" vertical="center"/>
    </xf>
    <xf numFmtId="164" fontId="0" fillId="0" borderId="94" xfId="4" applyNumberFormat="1" applyFont="1" applyFill="1" applyBorder="1" applyAlignment="1" applyProtection="1">
      <alignment horizontal="center" vertical="center"/>
    </xf>
    <xf numFmtId="9" fontId="0" fillId="0" borderId="73" xfId="4" applyFont="1" applyFill="1" applyBorder="1" applyAlignment="1" applyProtection="1">
      <alignment horizontal="center" vertical="center"/>
    </xf>
    <xf numFmtId="9" fontId="0" fillId="0" borderId="75" xfId="4"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66" xfId="4" applyNumberFormat="1" applyFont="1" applyFill="1" applyBorder="1" applyAlignment="1" applyProtection="1">
      <alignment horizontal="center" vertical="center"/>
    </xf>
    <xf numFmtId="9" fontId="16" fillId="2" borderId="230" xfId="4" applyFont="1" applyFill="1" applyBorder="1" applyAlignment="1" applyProtection="1">
      <alignment horizontal="center" vertical="center"/>
      <protection locked="0"/>
    </xf>
    <xf numFmtId="9" fontId="16" fillId="2" borderId="231" xfId="4" applyFont="1" applyFill="1" applyBorder="1" applyAlignment="1" applyProtection="1">
      <alignment horizontal="center" vertical="center"/>
      <protection locked="0"/>
    </xf>
    <xf numFmtId="9" fontId="16" fillId="2" borderId="122" xfId="0" applyNumberFormat="1" applyFont="1" applyFill="1" applyBorder="1" applyAlignment="1" applyProtection="1">
      <alignment horizontal="center" vertical="center"/>
      <protection locked="0"/>
    </xf>
    <xf numFmtId="9" fontId="16" fillId="2" borderId="123" xfId="0" applyNumberFormat="1" applyFont="1" applyFill="1" applyBorder="1" applyAlignment="1" applyProtection="1">
      <alignment horizontal="center" vertical="center"/>
      <protection locked="0"/>
    </xf>
    <xf numFmtId="9" fontId="8" fillId="0" borderId="233" xfId="4" applyFont="1" applyFill="1" applyBorder="1" applyAlignment="1" applyProtection="1">
      <alignment horizontal="center" vertical="center"/>
    </xf>
    <xf numFmtId="9" fontId="8" fillId="0" borderId="234" xfId="4" applyFont="1" applyFill="1" applyBorder="1" applyAlignment="1" applyProtection="1">
      <alignment horizontal="center" vertical="center"/>
    </xf>
    <xf numFmtId="0" fontId="0" fillId="0" borderId="168" xfId="0" applyBorder="1" applyAlignment="1">
      <alignment horizontal="left" vertical="center" wrapText="1"/>
    </xf>
    <xf numFmtId="0" fontId="0" fillId="0" borderId="61" xfId="0" applyBorder="1" applyAlignment="1">
      <alignment horizontal="left" vertical="center" wrapText="1"/>
    </xf>
    <xf numFmtId="0" fontId="16" fillId="2" borderId="122" xfId="0" applyFont="1" applyFill="1" applyBorder="1" applyAlignment="1" applyProtection="1">
      <alignment horizontal="center" vertical="center" wrapText="1"/>
      <protection locked="0"/>
    </xf>
    <xf numFmtId="0" fontId="16" fillId="2" borderId="123" xfId="0" applyFont="1" applyFill="1" applyBorder="1" applyAlignment="1" applyProtection="1">
      <alignment horizontal="center" vertical="center" wrapText="1"/>
      <protection locked="0"/>
    </xf>
    <xf numFmtId="0" fontId="6" fillId="0" borderId="88" xfId="0" applyFont="1" applyBorder="1" applyAlignment="1">
      <alignment horizontal="center" vertical="center" wrapText="1"/>
    </xf>
    <xf numFmtId="0" fontId="6" fillId="0" borderId="89" xfId="0" applyFont="1" applyBorder="1" applyAlignment="1">
      <alignment horizontal="center" vertical="center" wrapText="1"/>
    </xf>
    <xf numFmtId="0" fontId="6" fillId="0" borderId="130" xfId="0" applyFont="1" applyBorder="1" applyAlignment="1">
      <alignment horizontal="center" vertical="center" wrapText="1"/>
    </xf>
    <xf numFmtId="0" fontId="16" fillId="2" borderId="127" xfId="0" applyFont="1" applyFill="1" applyBorder="1" applyAlignment="1" applyProtection="1">
      <alignment horizontal="center" vertical="center" wrapText="1"/>
      <protection locked="0"/>
    </xf>
    <xf numFmtId="0" fontId="16" fillId="2" borderId="128" xfId="0" applyFont="1" applyFill="1" applyBorder="1" applyAlignment="1" applyProtection="1">
      <alignment horizontal="center" vertical="center" wrapText="1"/>
      <protection locked="0"/>
    </xf>
    <xf numFmtId="0" fontId="16" fillId="2" borderId="174" xfId="0" applyFont="1" applyFill="1" applyBorder="1" applyAlignment="1" applyProtection="1">
      <alignment horizontal="center" vertical="center" wrapText="1"/>
      <protection locked="0"/>
    </xf>
    <xf numFmtId="0" fontId="16" fillId="2" borderId="175" xfId="0" applyFont="1" applyFill="1" applyBorder="1" applyAlignment="1" applyProtection="1">
      <alignment horizontal="center" vertical="center" wrapText="1"/>
      <protection locked="0"/>
    </xf>
    <xf numFmtId="0" fontId="0" fillId="0" borderId="173" xfId="0" applyBorder="1" applyAlignment="1">
      <alignment horizontal="left" vertical="center" wrapText="1"/>
    </xf>
    <xf numFmtId="0" fontId="0" fillId="0" borderId="167" xfId="0" applyBorder="1" applyAlignment="1">
      <alignment horizontal="left" vertical="center" wrapText="1"/>
    </xf>
    <xf numFmtId="0" fontId="16" fillId="2" borderId="170" xfId="0" applyFont="1" applyFill="1" applyBorder="1" applyAlignment="1" applyProtection="1">
      <alignment horizontal="center" vertical="center" wrapText="1"/>
      <protection locked="0"/>
    </xf>
    <xf numFmtId="0" fontId="16" fillId="2" borderId="171" xfId="0" applyFont="1" applyFill="1" applyBorder="1" applyAlignment="1" applyProtection="1">
      <alignment horizontal="center" vertical="center" wrapText="1"/>
      <protection locked="0"/>
    </xf>
    <xf numFmtId="0" fontId="0" fillId="0" borderId="164" xfId="0" applyBorder="1" applyAlignment="1">
      <alignment horizontal="left" vertical="center" wrapText="1"/>
    </xf>
    <xf numFmtId="0" fontId="0" fillId="0" borderId="6" xfId="0" applyBorder="1" applyAlignment="1">
      <alignment horizontal="left" vertical="center" wrapText="1"/>
    </xf>
    <xf numFmtId="0" fontId="0" fillId="0" borderId="172" xfId="0" applyBorder="1" applyAlignment="1">
      <alignment horizontal="left" vertical="center" wrapText="1"/>
    </xf>
    <xf numFmtId="0" fontId="0" fillId="0" borderId="68" xfId="0" applyBorder="1" applyAlignment="1">
      <alignment horizontal="left" vertical="center" wrapText="1"/>
    </xf>
    <xf numFmtId="0" fontId="0" fillId="0" borderId="0" xfId="0" applyAlignment="1">
      <alignment horizontal="left" wrapText="1"/>
    </xf>
    <xf numFmtId="0" fontId="0" fillId="0" borderId="0" xfId="0" applyAlignment="1">
      <alignment horizontal="right" wrapText="1"/>
    </xf>
    <xf numFmtId="0" fontId="6" fillId="0" borderId="84" xfId="0" applyFont="1" applyBorder="1" applyAlignment="1">
      <alignment horizontal="center" vertical="center" wrapText="1"/>
    </xf>
    <xf numFmtId="0" fontId="6" fillId="0" borderId="75" xfId="0" applyFont="1" applyBorder="1" applyAlignment="1">
      <alignment horizontal="center" vertical="center" wrapText="1"/>
    </xf>
    <xf numFmtId="0" fontId="16" fillId="79" borderId="351" xfId="0" applyFont="1" applyFill="1" applyBorder="1" applyAlignment="1" applyProtection="1">
      <alignment horizontal="center" vertical="center" wrapText="1"/>
      <protection locked="0"/>
    </xf>
    <xf numFmtId="0" fontId="16" fillId="79" borderId="352" xfId="0" applyFont="1" applyFill="1" applyBorder="1" applyAlignment="1" applyProtection="1">
      <alignment horizontal="center" vertical="center" wrapText="1"/>
      <protection locked="0"/>
    </xf>
    <xf numFmtId="0" fontId="0" fillId="0" borderId="353" xfId="0" applyBorder="1" applyAlignment="1">
      <alignment horizontal="left" vertical="center" wrapText="1"/>
    </xf>
    <xf numFmtId="0" fontId="0" fillId="0" borderId="352" xfId="0" applyBorder="1" applyAlignment="1">
      <alignment horizontal="left" vertical="center" wrapText="1"/>
    </xf>
    <xf numFmtId="38" fontId="8" fillId="0" borderId="150" xfId="0" applyNumberFormat="1" applyFont="1" applyBorder="1" applyAlignment="1">
      <alignment horizontal="center" vertical="center"/>
    </xf>
    <xf numFmtId="0" fontId="8" fillId="0" borderId="151" xfId="0" applyFont="1" applyBorder="1" applyAlignment="1">
      <alignment horizontal="center" vertical="center"/>
    </xf>
    <xf numFmtId="0" fontId="8" fillId="0" borderId="148" xfId="0" applyFont="1" applyBorder="1" applyAlignment="1">
      <alignment horizontal="center" vertical="center"/>
    </xf>
    <xf numFmtId="0" fontId="6" fillId="0" borderId="146" xfId="0" applyFont="1" applyBorder="1" applyAlignment="1">
      <alignment horizontal="center" vertical="center" wrapText="1"/>
    </xf>
    <xf numFmtId="0" fontId="6" fillId="0" borderId="43" xfId="0" applyFont="1" applyBorder="1" applyAlignment="1">
      <alignment horizontal="center" vertical="center" wrapText="1"/>
    </xf>
    <xf numFmtId="0" fontId="16" fillId="2" borderId="349" xfId="0" applyFont="1" applyFill="1" applyBorder="1" applyAlignment="1" applyProtection="1">
      <alignment horizontal="center" vertical="center" wrapText="1"/>
      <protection locked="0"/>
    </xf>
    <xf numFmtId="0" fontId="16" fillId="2" borderId="350" xfId="0" applyFont="1" applyFill="1" applyBorder="1" applyAlignment="1" applyProtection="1">
      <alignment horizontal="center" vertical="center" wrapText="1"/>
      <protection locked="0"/>
    </xf>
    <xf numFmtId="0" fontId="14" fillId="0" borderId="73" xfId="0" applyFont="1" applyBorder="1" applyAlignment="1">
      <alignment horizontal="center" vertical="center" wrapText="1"/>
    </xf>
    <xf numFmtId="0" fontId="14" fillId="0" borderId="75" xfId="0" applyFont="1" applyBorder="1" applyAlignment="1">
      <alignment horizontal="center" vertical="center" wrapText="1"/>
    </xf>
    <xf numFmtId="0" fontId="16" fillId="2" borderId="165" xfId="0" applyFont="1" applyFill="1" applyBorder="1" applyAlignment="1" applyProtection="1">
      <alignment horizontal="center" vertical="center" wrapText="1"/>
      <protection locked="0"/>
    </xf>
    <xf numFmtId="0" fontId="16" fillId="2" borderId="166" xfId="0" applyFont="1" applyFill="1" applyBorder="1" applyAlignment="1" applyProtection="1">
      <alignment horizontal="center" vertical="center" wrapText="1"/>
      <protection locked="0"/>
    </xf>
    <xf numFmtId="9" fontId="16" fillId="2" borderId="198" xfId="4" applyFont="1" applyFill="1" applyBorder="1" applyAlignment="1" applyProtection="1">
      <alignment horizontal="center" vertical="center"/>
      <protection locked="0"/>
    </xf>
    <xf numFmtId="9" fontId="16" fillId="2" borderId="199" xfId="4" applyFont="1" applyFill="1" applyBorder="1" applyAlignment="1" applyProtection="1">
      <alignment horizontal="center" vertical="center"/>
      <protection locked="0"/>
    </xf>
    <xf numFmtId="0" fontId="0" fillId="0" borderId="88" xfId="0" applyBorder="1" applyAlignment="1">
      <alignment horizontal="center" wrapText="1"/>
    </xf>
    <xf numFmtId="0" fontId="0" fillId="0" borderId="89" xfId="0" applyBorder="1" applyAlignment="1">
      <alignment horizontal="center" wrapText="1"/>
    </xf>
    <xf numFmtId="0" fontId="16" fillId="2" borderId="23" xfId="0" quotePrefix="1" applyFont="1" applyFill="1" applyBorder="1" applyAlignment="1" applyProtection="1">
      <alignment horizontal="left" vertical="center" wrapText="1"/>
      <protection locked="0"/>
    </xf>
    <xf numFmtId="9" fontId="0" fillId="0" borderId="86"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1" xfId="4" applyFont="1" applyFill="1" applyBorder="1" applyAlignment="1" applyProtection="1">
      <alignment horizontal="center" vertical="center" wrapText="1"/>
    </xf>
    <xf numFmtId="9" fontId="8" fillId="0" borderId="98" xfId="4" applyFont="1" applyFill="1" applyBorder="1" applyAlignment="1" applyProtection="1">
      <alignment horizontal="center" vertical="center"/>
    </xf>
    <xf numFmtId="9" fontId="8" fillId="0" borderId="99" xfId="4" applyFont="1" applyFill="1" applyBorder="1" applyAlignment="1" applyProtection="1">
      <alignment horizontal="center" vertical="center"/>
    </xf>
    <xf numFmtId="38" fontId="16" fillId="77" borderId="12" xfId="0" applyNumberFormat="1" applyFont="1" applyFill="1" applyBorder="1" applyAlignment="1">
      <alignment horizontal="center" vertical="top"/>
    </xf>
    <xf numFmtId="0" fontId="99" fillId="19" borderId="12" xfId="0" applyFont="1" applyFill="1" applyBorder="1" applyAlignment="1">
      <alignment horizontal="left" vertical="top" wrapText="1"/>
    </xf>
    <xf numFmtId="0" fontId="99" fillId="19" borderId="48" xfId="0" applyFont="1" applyFill="1" applyBorder="1" applyAlignment="1">
      <alignment horizontal="left" vertical="top" wrapText="1"/>
    </xf>
    <xf numFmtId="0" fontId="99" fillId="19" borderId="42" xfId="0" applyFont="1" applyFill="1" applyBorder="1" applyAlignment="1">
      <alignment horizontal="left" vertical="top" wrapText="1"/>
    </xf>
    <xf numFmtId="0" fontId="99" fillId="19" borderId="251" xfId="0" applyFont="1" applyFill="1" applyBorder="1" applyAlignment="1">
      <alignment horizontal="left" vertical="top" wrapText="1"/>
    </xf>
    <xf numFmtId="0" fontId="99" fillId="19" borderId="5" xfId="0" applyFont="1" applyFill="1" applyBorder="1" applyAlignment="1">
      <alignment horizontal="center" vertical="top" wrapText="1"/>
    </xf>
    <xf numFmtId="0" fontId="99" fillId="19" borderId="1" xfId="0" applyFont="1" applyFill="1" applyBorder="1" applyAlignment="1">
      <alignment horizontal="center" vertical="top" wrapText="1"/>
    </xf>
    <xf numFmtId="0" fontId="99" fillId="19" borderId="6" xfId="0" applyFont="1" applyFill="1" applyBorder="1" applyAlignment="1">
      <alignment horizontal="center" vertical="top" wrapText="1"/>
    </xf>
    <xf numFmtId="0" fontId="147" fillId="11" borderId="0" xfId="0" applyFont="1" applyFill="1" applyAlignment="1">
      <alignment horizontal="center" vertical="top"/>
    </xf>
    <xf numFmtId="0" fontId="147" fillId="11" borderId="2" xfId="0" applyFont="1" applyFill="1" applyBorder="1" applyAlignment="1">
      <alignment horizontal="center" vertical="top"/>
    </xf>
    <xf numFmtId="0" fontId="147" fillId="11" borderId="250" xfId="0" applyFont="1" applyFill="1" applyBorder="1" applyAlignment="1">
      <alignment horizontal="center" vertical="top"/>
    </xf>
    <xf numFmtId="0" fontId="99" fillId="19" borderId="2" xfId="0" applyFont="1" applyFill="1" applyBorder="1" applyAlignment="1">
      <alignment horizontal="left" vertical="top" wrapText="1"/>
    </xf>
    <xf numFmtId="0" fontId="99" fillId="19" borderId="14" xfId="0" applyFont="1" applyFill="1" applyBorder="1" applyAlignment="1">
      <alignment horizontal="left" vertical="top" wrapText="1"/>
    </xf>
    <xf numFmtId="0" fontId="99" fillId="19" borderId="0" xfId="0" applyFont="1" applyFill="1" applyAlignment="1">
      <alignment horizontal="left" vertical="top" wrapText="1"/>
    </xf>
    <xf numFmtId="0" fontId="99" fillId="19" borderId="40" xfId="0" applyFont="1" applyFill="1" applyBorder="1" applyAlignment="1">
      <alignment horizontal="left" vertical="top" wrapText="1"/>
    </xf>
    <xf numFmtId="0" fontId="99" fillId="19" borderId="250" xfId="0" applyFont="1" applyFill="1" applyBorder="1" applyAlignment="1">
      <alignment horizontal="left" vertical="top" wrapText="1"/>
    </xf>
    <xf numFmtId="0" fontId="206" fillId="19" borderId="5" xfId="0" applyFont="1" applyFill="1" applyBorder="1" applyAlignment="1">
      <alignment horizontal="left" vertical="center" wrapText="1"/>
    </xf>
    <xf numFmtId="0" fontId="206" fillId="19" borderId="1" xfId="0" applyFont="1" applyFill="1" applyBorder="1" applyAlignment="1">
      <alignment horizontal="left" vertical="center" wrapText="1"/>
    </xf>
    <xf numFmtId="0" fontId="206" fillId="19" borderId="6" xfId="0" applyFont="1" applyFill="1" applyBorder="1" applyAlignment="1">
      <alignment horizontal="left" vertical="center" wrapText="1"/>
    </xf>
    <xf numFmtId="0" fontId="99" fillId="19" borderId="12" xfId="0" quotePrefix="1" applyFont="1" applyFill="1" applyBorder="1" applyAlignment="1">
      <alignment horizontal="left" vertical="top" wrapText="1"/>
    </xf>
    <xf numFmtId="0" fontId="99" fillId="19" borderId="2" xfId="0" quotePrefix="1" applyFont="1" applyFill="1" applyBorder="1" applyAlignment="1">
      <alignment horizontal="left" vertical="top" wrapText="1"/>
    </xf>
    <xf numFmtId="0" fontId="99" fillId="19" borderId="48" xfId="0" quotePrefix="1" applyFont="1" applyFill="1" applyBorder="1" applyAlignment="1">
      <alignment horizontal="left" vertical="top" wrapText="1"/>
    </xf>
    <xf numFmtId="0" fontId="99" fillId="19" borderId="42" xfId="0" quotePrefix="1" applyFont="1" applyFill="1" applyBorder="1" applyAlignment="1">
      <alignment horizontal="left" vertical="top" wrapText="1"/>
    </xf>
    <xf numFmtId="0" fontId="99" fillId="19" borderId="250" xfId="0" quotePrefix="1" applyFont="1" applyFill="1" applyBorder="1" applyAlignment="1">
      <alignment horizontal="left" vertical="top" wrapText="1"/>
    </xf>
    <xf numFmtId="0" fontId="99" fillId="19" borderId="251" xfId="0" quotePrefix="1" applyFont="1" applyFill="1" applyBorder="1" applyAlignment="1">
      <alignment horizontal="left" vertical="top" wrapText="1"/>
    </xf>
    <xf numFmtId="0" fontId="121" fillId="19" borderId="12" xfId="0" applyFont="1" applyFill="1" applyBorder="1" applyAlignment="1">
      <alignment horizontal="left" vertical="top" wrapText="1"/>
    </xf>
    <xf numFmtId="0" fontId="121" fillId="19" borderId="2" xfId="0" applyFont="1" applyFill="1" applyBorder="1" applyAlignment="1">
      <alignment horizontal="left" vertical="top" wrapText="1"/>
    </xf>
    <xf numFmtId="0" fontId="121" fillId="19" borderId="48" xfId="0" applyFont="1" applyFill="1" applyBorder="1" applyAlignment="1">
      <alignment horizontal="left" vertical="top" wrapText="1"/>
    </xf>
    <xf numFmtId="0" fontId="121" fillId="19" borderId="347" xfId="0" applyFont="1" applyFill="1" applyBorder="1" applyAlignment="1">
      <alignment horizontal="left" vertical="top" wrapText="1"/>
    </xf>
    <xf numFmtId="0" fontId="121" fillId="19" borderId="345" xfId="0" applyFont="1" applyFill="1" applyBorder="1" applyAlignment="1">
      <alignment horizontal="left" vertical="top" wrapText="1"/>
    </xf>
    <xf numFmtId="0" fontId="121" fillId="19" borderId="251" xfId="0" applyFont="1" applyFill="1" applyBorder="1" applyAlignment="1">
      <alignment horizontal="left" vertical="top" wrapText="1"/>
    </xf>
    <xf numFmtId="38" fontId="147" fillId="26" borderId="10" xfId="0" applyNumberFormat="1" applyFont="1" applyFill="1" applyBorder="1" applyAlignment="1">
      <alignment horizontal="center" vertical="top" wrapText="1"/>
    </xf>
    <xf numFmtId="38" fontId="147" fillId="26" borderId="11" xfId="0" applyNumberFormat="1" applyFont="1" applyFill="1" applyBorder="1" applyAlignment="1">
      <alignment horizontal="center" vertical="top" wrapText="1"/>
    </xf>
    <xf numFmtId="38" fontId="16" fillId="6" borderId="10" xfId="0" applyNumberFormat="1" applyFont="1" applyFill="1" applyBorder="1" applyAlignment="1">
      <alignment horizontal="center" vertical="top"/>
    </xf>
    <xf numFmtId="38" fontId="16" fillId="6" borderId="13" xfId="0" applyNumberFormat="1" applyFont="1" applyFill="1" applyBorder="1" applyAlignment="1">
      <alignment horizontal="center" vertical="top"/>
    </xf>
    <xf numFmtId="38" fontId="16" fillId="6" borderId="356" xfId="0" applyNumberFormat="1" applyFont="1" applyFill="1" applyBorder="1" applyAlignment="1">
      <alignment horizontal="center" vertical="top"/>
    </xf>
    <xf numFmtId="38" fontId="188" fillId="83" borderId="12" xfId="0" applyNumberFormat="1" applyFont="1" applyFill="1" applyBorder="1" applyAlignment="1">
      <alignment horizontal="center" vertical="center" textRotation="90" wrapText="1"/>
    </xf>
    <xf numFmtId="38" fontId="188" fillId="83" borderId="48" xfId="0" applyNumberFormat="1" applyFont="1" applyFill="1" applyBorder="1" applyAlignment="1">
      <alignment horizontal="center" vertical="center" textRotation="90" wrapText="1"/>
    </xf>
    <xf numFmtId="38" fontId="188" fillId="83" borderId="14" xfId="0" applyNumberFormat="1" applyFont="1" applyFill="1" applyBorder="1" applyAlignment="1">
      <alignment horizontal="center" vertical="center" textRotation="90" wrapText="1"/>
    </xf>
    <xf numFmtId="38" fontId="188" fillId="83" borderId="40" xfId="0" applyNumberFormat="1" applyFont="1" applyFill="1" applyBorder="1" applyAlignment="1">
      <alignment horizontal="center" vertical="center" textRotation="90" wrapText="1"/>
    </xf>
    <xf numFmtId="38" fontId="188" fillId="83" borderId="42" xfId="0" applyNumberFormat="1" applyFont="1" applyFill="1" applyBorder="1" applyAlignment="1">
      <alignment horizontal="center" vertical="center" textRotation="90" wrapText="1"/>
    </xf>
    <xf numFmtId="38" fontId="188" fillId="83" borderId="251" xfId="0" applyNumberFormat="1" applyFont="1" applyFill="1" applyBorder="1" applyAlignment="1">
      <alignment horizontal="center" vertical="center" textRotation="90" wrapText="1"/>
    </xf>
    <xf numFmtId="0" fontId="7" fillId="0" borderId="298"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0" xfId="0" applyFont="1" applyAlignment="1">
      <alignment horizontal="left" vertical="top" wrapText="1"/>
    </xf>
    <xf numFmtId="0" fontId="188" fillId="82" borderId="14" xfId="0" applyFont="1" applyFill="1" applyBorder="1" applyAlignment="1">
      <alignment horizontal="center" vertical="center" wrapText="1"/>
    </xf>
    <xf numFmtId="0" fontId="188" fillId="82" borderId="40" xfId="0" applyFont="1" applyFill="1" applyBorder="1" applyAlignment="1">
      <alignment horizontal="center" vertical="center" wrapText="1"/>
    </xf>
    <xf numFmtId="0" fontId="12" fillId="0" borderId="0" xfId="0" applyFont="1" applyAlignment="1">
      <alignment horizontal="left" vertical="top"/>
    </xf>
    <xf numFmtId="0" fontId="99" fillId="25" borderId="0" xfId="0" applyFont="1" applyFill="1" applyAlignment="1">
      <alignment horizontal="center" vertical="center"/>
    </xf>
    <xf numFmtId="0" fontId="6" fillId="0" borderId="0" xfId="0" applyFont="1" applyAlignment="1">
      <alignment horizontal="left" wrapText="1"/>
    </xf>
    <xf numFmtId="0" fontId="99" fillId="25" borderId="5" xfId="0" applyFont="1" applyFill="1" applyBorder="1" applyAlignment="1">
      <alignment horizontal="center"/>
    </xf>
    <xf numFmtId="0" fontId="99" fillId="25" borderId="1" xfId="0" applyFont="1" applyFill="1" applyBorder="1" applyAlignment="1">
      <alignment horizontal="center"/>
    </xf>
    <xf numFmtId="0" fontId="99" fillId="25" borderId="6" xfId="0" applyFont="1" applyFill="1" applyBorder="1" applyAlignment="1">
      <alignment horizontal="center"/>
    </xf>
    <xf numFmtId="0" fontId="99" fillId="19" borderId="10" xfId="0" applyFont="1" applyFill="1" applyBorder="1" applyAlignment="1">
      <alignment horizontal="center" vertical="top" wrapText="1"/>
    </xf>
    <xf numFmtId="0" fontId="99" fillId="19" borderId="13" xfId="0" applyFont="1" applyFill="1" applyBorder="1" applyAlignment="1">
      <alignment horizontal="center" vertical="top" wrapText="1"/>
    </xf>
    <xf numFmtId="0" fontId="99" fillId="19" borderId="11" xfId="0" applyFont="1" applyFill="1" applyBorder="1" applyAlignment="1">
      <alignment horizontal="center" vertical="top" wrapText="1"/>
    </xf>
    <xf numFmtId="0" fontId="99" fillId="19" borderId="10" xfId="0" applyFont="1" applyFill="1" applyBorder="1" applyAlignment="1">
      <alignment vertical="top" wrapText="1"/>
    </xf>
    <xf numFmtId="0" fontId="99" fillId="19" borderId="13" xfId="0" applyFont="1" applyFill="1" applyBorder="1" applyAlignment="1">
      <alignment vertical="top" wrapText="1"/>
    </xf>
    <xf numFmtId="0" fontId="99" fillId="19" borderId="11" xfId="0" applyFont="1" applyFill="1" applyBorder="1" applyAlignment="1">
      <alignment vertical="top" wrapText="1"/>
    </xf>
    <xf numFmtId="38" fontId="147" fillId="11" borderId="0" xfId="0" applyNumberFormat="1" applyFont="1" applyFill="1" applyAlignment="1">
      <alignment horizontal="center" vertical="center"/>
    </xf>
    <xf numFmtId="38" fontId="147" fillId="11" borderId="295" xfId="0" applyNumberFormat="1" applyFont="1" applyFill="1" applyBorder="1" applyAlignment="1">
      <alignment horizontal="center" vertical="center"/>
    </xf>
    <xf numFmtId="38" fontId="147" fillId="11" borderId="2" xfId="0" applyNumberFormat="1" applyFont="1" applyFill="1" applyBorder="1" applyAlignment="1">
      <alignment horizontal="center" vertical="center"/>
    </xf>
    <xf numFmtId="0" fontId="0" fillId="0" borderId="15" xfId="0" applyBorder="1" applyAlignment="1">
      <alignment horizontal="left" vertical="top" wrapText="1"/>
    </xf>
    <xf numFmtId="0" fontId="0" fillId="0" borderId="70" xfId="0" applyBorder="1" applyAlignment="1">
      <alignment horizontal="left" vertical="top" wrapText="1"/>
    </xf>
    <xf numFmtId="38" fontId="147" fillId="11" borderId="2" xfId="0" applyNumberFormat="1" applyFont="1" applyFill="1" applyBorder="1" applyAlignment="1">
      <alignment horizontal="center" vertical="top"/>
    </xf>
    <xf numFmtId="38" fontId="147" fillId="11" borderId="250" xfId="0" applyNumberFormat="1" applyFont="1" applyFill="1" applyBorder="1" applyAlignment="1">
      <alignment horizontal="center" vertical="top"/>
    </xf>
    <xf numFmtId="38" fontId="19" fillId="11" borderId="2" xfId="0" applyNumberFormat="1" applyFont="1" applyFill="1" applyBorder="1" applyAlignment="1">
      <alignment horizontal="center" vertical="top"/>
    </xf>
    <xf numFmtId="38" fontId="19" fillId="11" borderId="0" xfId="0" applyNumberFormat="1" applyFont="1" applyFill="1" applyAlignment="1">
      <alignment horizontal="center" vertical="top"/>
    </xf>
    <xf numFmtId="0" fontId="188" fillId="82" borderId="347" xfId="0" applyFont="1" applyFill="1" applyBorder="1" applyAlignment="1">
      <alignment horizontal="center" vertical="center" wrapText="1"/>
    </xf>
    <xf numFmtId="3" fontId="16" fillId="77" borderId="283" xfId="0" applyNumberFormat="1" applyFont="1" applyFill="1" applyBorder="1" applyAlignment="1">
      <alignment horizontal="center" vertical="top"/>
    </xf>
    <xf numFmtId="3" fontId="16" fillId="77" borderId="284" xfId="0" applyNumberFormat="1" applyFont="1" applyFill="1" applyBorder="1" applyAlignment="1">
      <alignment horizontal="center" vertical="top"/>
    </xf>
    <xf numFmtId="3" fontId="16" fillId="77" borderId="11" xfId="0" applyNumberFormat="1" applyFont="1" applyFill="1" applyBorder="1" applyAlignment="1">
      <alignment horizontal="center" vertical="top"/>
    </xf>
    <xf numFmtId="0" fontId="28" fillId="0" borderId="10" xfId="0" applyFont="1" applyBorder="1" applyAlignment="1">
      <alignment horizontal="left" vertical="center" wrapText="1"/>
    </xf>
    <xf numFmtId="0" fontId="28" fillId="0" borderId="11" xfId="0" applyFont="1" applyBorder="1" applyAlignment="1">
      <alignment horizontal="left" vertical="center" wrapText="1"/>
    </xf>
    <xf numFmtId="38" fontId="16" fillId="77" borderId="283" xfId="0" applyNumberFormat="1" applyFont="1" applyFill="1" applyBorder="1" applyAlignment="1">
      <alignment horizontal="center" vertical="top" wrapText="1"/>
    </xf>
    <xf numFmtId="38" fontId="16" fillId="77" borderId="209" xfId="0" applyNumberFormat="1" applyFont="1" applyFill="1" applyBorder="1" applyAlignment="1">
      <alignment horizontal="center" vertical="top" wrapText="1"/>
    </xf>
    <xf numFmtId="0" fontId="121" fillId="19" borderId="10" xfId="0" applyFont="1" applyFill="1" applyBorder="1" applyAlignment="1">
      <alignment horizontal="center" vertical="center"/>
    </xf>
    <xf numFmtId="0" fontId="121" fillId="19" borderId="11" xfId="0" applyFont="1" applyFill="1" applyBorder="1" applyAlignment="1">
      <alignment horizontal="center" vertical="center"/>
    </xf>
    <xf numFmtId="0" fontId="99" fillId="19" borderId="10" xfId="0" applyFont="1" applyFill="1" applyBorder="1" applyAlignment="1">
      <alignment horizontal="left" vertical="center" wrapText="1"/>
    </xf>
    <xf numFmtId="0" fontId="99" fillId="19" borderId="13" xfId="0" applyFont="1" applyFill="1" applyBorder="1" applyAlignment="1">
      <alignment horizontal="left" vertical="center" wrapText="1"/>
    </xf>
    <xf numFmtId="0" fontId="99" fillId="19" borderId="11" xfId="0" applyFont="1" applyFill="1" applyBorder="1" applyAlignment="1">
      <alignment horizontal="left" vertical="center" wrapText="1"/>
    </xf>
    <xf numFmtId="0" fontId="99" fillId="19" borderId="10" xfId="0" applyFont="1" applyFill="1" applyBorder="1" applyAlignment="1">
      <alignment horizontal="center" vertical="center"/>
    </xf>
    <xf numFmtId="0" fontId="99" fillId="19" borderId="13" xfId="0" applyFont="1" applyFill="1" applyBorder="1" applyAlignment="1">
      <alignment horizontal="center" vertical="center"/>
    </xf>
    <xf numFmtId="0" fontId="99" fillId="19" borderId="11" xfId="0" applyFont="1" applyFill="1" applyBorder="1" applyAlignment="1">
      <alignment horizontal="center" vertical="center"/>
    </xf>
    <xf numFmtId="0" fontId="7" fillId="0" borderId="250" xfId="0" applyFont="1" applyBorder="1" applyAlignment="1">
      <alignment horizontal="left" vertical="top" wrapText="1"/>
    </xf>
    <xf numFmtId="0" fontId="0" fillId="0" borderId="15" xfId="0" applyBorder="1" applyAlignment="1">
      <alignment vertical="top"/>
    </xf>
    <xf numFmtId="0" fontId="88" fillId="0" borderId="0" xfId="0" applyFont="1" applyAlignment="1">
      <alignment horizontal="right" vertical="center" wrapText="1"/>
    </xf>
    <xf numFmtId="0" fontId="0" fillId="0" borderId="0" xfId="0" applyAlignment="1">
      <alignment horizontal="right" vertical="top" wrapText="1"/>
    </xf>
    <xf numFmtId="0" fontId="126" fillId="0" borderId="0" xfId="0" quotePrefix="1" applyFont="1" applyAlignment="1">
      <alignment horizontal="right" vertical="center" wrapText="1"/>
    </xf>
    <xf numFmtId="0" fontId="126" fillId="0" borderId="0" xfId="0" applyFont="1" applyAlignment="1">
      <alignment horizontal="right" vertical="center" wrapText="1"/>
    </xf>
    <xf numFmtId="0" fontId="0" fillId="2" borderId="153" xfId="0" applyFill="1" applyBorder="1" applyAlignment="1" applyProtection="1">
      <alignment horizontal="left" vertical="center"/>
      <protection locked="0"/>
    </xf>
    <xf numFmtId="0" fontId="95" fillId="0" borderId="0" xfId="0" applyFont="1" applyAlignment="1">
      <alignment horizontal="left" vertical="center" wrapText="1"/>
    </xf>
    <xf numFmtId="0" fontId="95" fillId="0" borderId="0" xfId="0" quotePrefix="1" applyFont="1" applyAlignment="1">
      <alignment horizontal="left" vertical="center" wrapText="1"/>
    </xf>
    <xf numFmtId="0" fontId="15" fillId="0" borderId="0" xfId="0" applyFont="1" applyAlignment="1">
      <alignment horizontal="left" vertical="center" wrapText="1"/>
    </xf>
    <xf numFmtId="0" fontId="0" fillId="0" borderId="15" xfId="0" applyBorder="1" applyAlignment="1">
      <alignment horizontal="left"/>
    </xf>
    <xf numFmtId="0" fontId="15" fillId="8" borderId="0" xfId="0" applyFont="1" applyFill="1" applyAlignment="1">
      <alignment horizontal="left" vertical="center" wrapText="1"/>
    </xf>
    <xf numFmtId="38" fontId="19" fillId="11" borderId="250" xfId="0" applyNumberFormat="1" applyFont="1" applyFill="1" applyBorder="1" applyAlignment="1">
      <alignment horizontal="center" vertical="top"/>
    </xf>
    <xf numFmtId="0" fontId="8" fillId="0" borderId="153" xfId="0" applyFont="1" applyBorder="1" applyAlignment="1">
      <alignment horizontal="left" vertical="center"/>
    </xf>
    <xf numFmtId="0" fontId="16" fillId="2" borderId="1" xfId="0" applyFont="1" applyFill="1" applyBorder="1" applyAlignment="1" applyProtection="1">
      <alignment horizontal="left" vertical="center"/>
      <protection locked="0"/>
    </xf>
    <xf numFmtId="0" fontId="0" fillId="0" borderId="0" xfId="0" applyAlignment="1">
      <alignment vertical="center"/>
    </xf>
    <xf numFmtId="0" fontId="15" fillId="0" borderId="0" xfId="0" applyFont="1" applyAlignment="1">
      <alignment horizontal="right" vertical="center"/>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0" fontId="0" fillId="0" borderId="15" xfId="0" applyBorder="1" applyAlignment="1">
      <alignment horizontal="left" vertical="center"/>
    </xf>
    <xf numFmtId="0" fontId="12" fillId="0" borderId="0" xfId="0" applyFont="1" applyAlignment="1">
      <alignment horizontal="right" vertical="center" wrapText="1"/>
    </xf>
    <xf numFmtId="0" fontId="28" fillId="0" borderId="15" xfId="0" applyFont="1" applyBorder="1" applyAlignment="1">
      <alignment horizontal="left" vertical="top" wrapText="1"/>
    </xf>
    <xf numFmtId="0" fontId="28" fillId="0" borderId="15" xfId="0" quotePrefix="1" applyFont="1" applyBorder="1" applyAlignment="1">
      <alignment horizontal="left" vertical="top" wrapText="1"/>
    </xf>
    <xf numFmtId="0" fontId="0" fillId="0" borderId="0" xfId="0" applyAlignment="1">
      <alignment vertical="top"/>
    </xf>
    <xf numFmtId="0" fontId="16" fillId="2" borderId="250" xfId="0" applyFont="1" applyFill="1" applyBorder="1" applyAlignment="1" applyProtection="1">
      <alignment horizontal="left" vertical="center"/>
      <protection locked="0"/>
    </xf>
    <xf numFmtId="0" fontId="15" fillId="0" borderId="0" xfId="0" applyFont="1" applyAlignment="1">
      <alignment horizontal="left" vertical="center"/>
    </xf>
    <xf numFmtId="0" fontId="28" fillId="0" borderId="0" xfId="0" quotePrefix="1" applyFont="1" applyAlignment="1">
      <alignment horizontal="left" vertical="top" wrapText="1"/>
    </xf>
    <xf numFmtId="0" fontId="8" fillId="0" borderId="153" xfId="0" quotePrefix="1" applyFont="1" applyBorder="1" applyAlignment="1">
      <alignment horizontal="left" vertical="center"/>
    </xf>
    <xf numFmtId="0" fontId="7" fillId="0" borderId="0" xfId="0" applyFont="1" applyAlignment="1">
      <alignment horizontal="left" vertical="center" wrapText="1"/>
    </xf>
    <xf numFmtId="0" fontId="95" fillId="0" borderId="0" xfId="0" applyFont="1" applyAlignment="1">
      <alignment horizontal="center" vertical="center" wrapText="1"/>
    </xf>
    <xf numFmtId="0" fontId="8" fillId="0" borderId="15" xfId="0" applyFont="1" applyBorder="1" applyAlignment="1">
      <alignment horizontal="left" vertical="top" wrapText="1"/>
    </xf>
    <xf numFmtId="0" fontId="8" fillId="0" borderId="15" xfId="0" applyFont="1" applyBorder="1" applyAlignment="1">
      <alignment horizontal="left" vertical="center" wrapText="1"/>
    </xf>
    <xf numFmtId="0" fontId="126" fillId="0" borderId="15" xfId="0" applyFont="1" applyBorder="1" applyAlignment="1">
      <alignment horizontal="left" vertical="top" wrapText="1"/>
    </xf>
    <xf numFmtId="0" fontId="15" fillId="0" borderId="49" xfId="0" quotePrefix="1" applyFont="1" applyBorder="1" applyAlignment="1">
      <alignment horizontal="center" vertical="center" wrapText="1"/>
    </xf>
    <xf numFmtId="0" fontId="15" fillId="0" borderId="0" xfId="0" applyFont="1" applyAlignment="1">
      <alignment horizontal="center" vertical="center" wrapText="1"/>
    </xf>
    <xf numFmtId="0" fontId="16" fillId="2" borderId="0" xfId="0" applyFont="1" applyFill="1" applyAlignment="1" applyProtection="1">
      <alignment horizontal="left" vertical="center"/>
      <protection locked="0"/>
    </xf>
    <xf numFmtId="0" fontId="8" fillId="0" borderId="5" xfId="0" applyFont="1" applyBorder="1" applyAlignment="1">
      <alignment horizontal="left" vertical="center" indent="2"/>
    </xf>
    <xf numFmtId="0" fontId="8" fillId="0" borderId="6" xfId="0" applyFont="1" applyBorder="1" applyAlignment="1">
      <alignment horizontal="left" vertical="center" indent="2"/>
    </xf>
    <xf numFmtId="8" fontId="0" fillId="0" borderId="2" xfId="0" applyNumberFormat="1" applyBorder="1" applyAlignment="1">
      <alignment horizontal="center" vertical="center"/>
    </xf>
    <xf numFmtId="8" fontId="0" fillId="0" borderId="153" xfId="0" applyNumberFormat="1" applyBorder="1" applyAlignment="1">
      <alignment horizontal="center" vertical="center"/>
    </xf>
    <xf numFmtId="0" fontId="0" fillId="19" borderId="0" xfId="0" applyFill="1" applyAlignment="1">
      <alignment horizontal="left" vertical="top" wrapText="1"/>
    </xf>
    <xf numFmtId="0" fontId="8" fillId="0" borderId="0" xfId="0" applyFont="1" applyAlignment="1">
      <alignment horizontal="left" vertical="center" wrapText="1" indent="2"/>
    </xf>
    <xf numFmtId="0" fontId="14" fillId="0" borderId="0" xfId="0" applyFont="1" applyAlignment="1">
      <alignment horizontal="left" vertical="top" wrapText="1"/>
    </xf>
    <xf numFmtId="0" fontId="88" fillId="0" borderId="250" xfId="0" applyFont="1" applyBorder="1" applyAlignment="1">
      <alignment horizontal="left" vertical="top" wrapText="1"/>
    </xf>
    <xf numFmtId="0" fontId="95" fillId="0" borderId="0" xfId="0" applyFont="1" applyAlignment="1">
      <alignment horizontal="right" vertical="center"/>
    </xf>
    <xf numFmtId="0" fontId="0" fillId="0" borderId="0" xfId="0" quotePrefix="1" applyAlignment="1">
      <alignment horizontal="right" vertical="center" wrapText="1"/>
    </xf>
    <xf numFmtId="0" fontId="99" fillId="0" borderId="0" xfId="0" quotePrefix="1" applyFont="1" applyAlignment="1">
      <alignment horizontal="right" vertical="center" wrapText="1"/>
    </xf>
    <xf numFmtId="0" fontId="0" fillId="0" borderId="179" xfId="0" applyBorder="1" applyAlignment="1">
      <alignment horizontal="left" vertical="center"/>
    </xf>
    <xf numFmtId="0" fontId="0" fillId="0" borderId="179" xfId="0" applyBorder="1" applyAlignment="1">
      <alignment horizontal="left" vertical="center" wrapText="1"/>
    </xf>
    <xf numFmtId="0" fontId="225" fillId="0" borderId="0" xfId="0" applyFont="1" applyAlignment="1">
      <alignment horizontal="left" vertical="top" wrapText="1"/>
    </xf>
    <xf numFmtId="0" fontId="16" fillId="74" borderId="10" xfId="0" applyFont="1" applyFill="1" applyBorder="1" applyAlignment="1">
      <alignment horizontal="center" vertical="top"/>
    </xf>
    <xf numFmtId="0" fontId="16" fillId="74" borderId="13" xfId="0" applyFont="1" applyFill="1" applyBorder="1" applyAlignment="1">
      <alignment horizontal="center" vertical="top"/>
    </xf>
    <xf numFmtId="0" fontId="16" fillId="74" borderId="356" xfId="0" applyFont="1" applyFill="1" applyBorder="1" applyAlignment="1">
      <alignment horizontal="center" vertical="top"/>
    </xf>
    <xf numFmtId="0" fontId="8" fillId="0" borderId="0" xfId="0" applyFont="1" applyAlignment="1">
      <alignment horizontal="left" vertical="center" wrapText="1" indent="1"/>
    </xf>
    <xf numFmtId="0" fontId="28" fillId="0" borderId="0" xfId="0" applyFont="1" applyAlignment="1">
      <alignment horizontal="center" wrapText="1"/>
    </xf>
    <xf numFmtId="0" fontId="28" fillId="0" borderId="250" xfId="0" applyFont="1" applyBorder="1" applyAlignment="1">
      <alignment horizontal="center"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99" fillId="19" borderId="10" xfId="0" applyFont="1" applyFill="1" applyBorder="1" applyAlignment="1">
      <alignment horizontal="left" vertical="top" wrapText="1"/>
    </xf>
    <xf numFmtId="0" fontId="99" fillId="19" borderId="13" xfId="0" applyFont="1" applyFill="1" applyBorder="1" applyAlignment="1">
      <alignment horizontal="left" vertical="top" wrapText="1"/>
    </xf>
    <xf numFmtId="0" fontId="99" fillId="19" borderId="346" xfId="0" applyFont="1" applyFill="1" applyBorder="1" applyAlignment="1">
      <alignment horizontal="left" vertical="top" wrapText="1"/>
    </xf>
    <xf numFmtId="0" fontId="81" fillId="0" borderId="146" xfId="2" applyFont="1" applyBorder="1" applyAlignment="1">
      <alignment horizontal="right" vertical="center"/>
    </xf>
    <xf numFmtId="0" fontId="81" fillId="0" borderId="24" xfId="2" applyFont="1" applyBorder="1" applyAlignment="1">
      <alignment horizontal="right" vertical="center"/>
    </xf>
    <xf numFmtId="0" fontId="81" fillId="0" borderId="89" xfId="2" applyFont="1" applyBorder="1" applyAlignment="1">
      <alignment horizontal="right" vertical="center"/>
    </xf>
    <xf numFmtId="0" fontId="81" fillId="0" borderId="21" xfId="2" applyFont="1" applyBorder="1" applyAlignment="1">
      <alignment horizontal="right" vertical="center" wrapText="1"/>
    </xf>
    <xf numFmtId="0" fontId="81" fillId="0" borderId="0" xfId="2" applyFont="1" applyAlignment="1">
      <alignment horizontal="right" vertical="center" wrapText="1"/>
    </xf>
    <xf numFmtId="0" fontId="81" fillId="0" borderId="40" xfId="2" applyFont="1" applyBorder="1" applyAlignment="1">
      <alignment horizontal="right" vertical="center" wrapText="1"/>
    </xf>
    <xf numFmtId="0" fontId="37" fillId="0" borderId="14" xfId="2" applyFont="1" applyBorder="1" applyAlignment="1">
      <alignment horizontal="center" vertical="center"/>
    </xf>
    <xf numFmtId="0" fontId="37" fillId="0" borderId="40" xfId="2" applyFont="1" applyBorder="1" applyAlignment="1">
      <alignment horizontal="center" vertical="center"/>
    </xf>
    <xf numFmtId="172" fontId="81" fillId="0" borderId="88" xfId="1" applyNumberFormat="1" applyFont="1" applyBorder="1" applyAlignment="1">
      <alignment horizontal="center" vertical="center" wrapText="1"/>
    </xf>
    <xf numFmtId="172" fontId="81" fillId="0" borderId="24" xfId="1" applyNumberFormat="1" applyFont="1" applyBorder="1" applyAlignment="1">
      <alignment horizontal="center" vertical="center" wrapText="1"/>
    </xf>
    <xf numFmtId="172" fontId="81" fillId="0" borderId="155" xfId="1" applyNumberFormat="1" applyFont="1" applyBorder="1" applyAlignment="1">
      <alignment horizontal="center" vertical="center" wrapText="1"/>
    </xf>
    <xf numFmtId="172" fontId="81" fillId="0" borderId="14" xfId="1" applyNumberFormat="1" applyFont="1" applyBorder="1" applyAlignment="1">
      <alignment horizontal="center" vertical="center" wrapText="1"/>
    </xf>
    <xf numFmtId="172" fontId="81" fillId="0" borderId="0" xfId="1" applyNumberFormat="1" applyFont="1" applyBorder="1" applyAlignment="1">
      <alignment horizontal="center" vertical="center" wrapText="1"/>
    </xf>
    <xf numFmtId="172" fontId="81" fillId="0" borderId="38" xfId="1" applyNumberFormat="1" applyFont="1" applyBorder="1" applyAlignment="1">
      <alignment horizontal="center" vertical="center" wrapText="1"/>
    </xf>
    <xf numFmtId="172" fontId="81" fillId="12" borderId="88" xfId="2" applyNumberFormat="1" applyFont="1" applyFill="1" applyBorder="1" applyAlignment="1">
      <alignment horizontal="center" vertical="center" wrapText="1"/>
    </xf>
    <xf numFmtId="172" fontId="81" fillId="12" borderId="24" xfId="2" applyNumberFormat="1" applyFont="1" applyFill="1" applyBorder="1" applyAlignment="1">
      <alignment horizontal="center" vertical="center" wrapText="1"/>
    </xf>
    <xf numFmtId="172" fontId="81" fillId="12" borderId="89" xfId="2" applyNumberFormat="1" applyFont="1" applyFill="1" applyBorder="1" applyAlignment="1">
      <alignment horizontal="center" vertical="center" wrapText="1"/>
    </xf>
    <xf numFmtId="172" fontId="81" fillId="12" borderId="14" xfId="2" applyNumberFormat="1" applyFont="1" applyFill="1" applyBorder="1" applyAlignment="1">
      <alignment horizontal="center" vertical="center" wrapText="1"/>
    </xf>
    <xf numFmtId="172" fontId="81" fillId="12" borderId="0" xfId="2" applyNumberFormat="1" applyFont="1" applyFill="1" applyAlignment="1">
      <alignment horizontal="center" vertical="center" wrapText="1"/>
    </xf>
    <xf numFmtId="172" fontId="81" fillId="12" borderId="40" xfId="2" applyNumberFormat="1" applyFont="1" applyFill="1" applyBorder="1" applyAlignment="1">
      <alignment horizontal="center" vertical="center" wrapText="1"/>
    </xf>
    <xf numFmtId="0" fontId="79" fillId="0" borderId="0" xfId="2" quotePrefix="1" applyFont="1" applyAlignment="1">
      <alignment horizontal="left" wrapText="1"/>
    </xf>
    <xf numFmtId="0" fontId="81" fillId="0" borderId="351" xfId="2" applyFont="1" applyBorder="1" applyAlignment="1">
      <alignment horizontal="center" vertical="center"/>
    </xf>
    <xf numFmtId="0" fontId="81" fillId="0" borderId="352" xfId="2" applyFont="1" applyBorder="1" applyAlignment="1">
      <alignment horizontal="center" vertical="center"/>
    </xf>
    <xf numFmtId="172" fontId="81" fillId="12" borderId="351" xfId="2" applyNumberFormat="1" applyFont="1" applyFill="1" applyBorder="1" applyAlignment="1">
      <alignment horizontal="center" vertical="center" wrapText="1"/>
    </xf>
    <xf numFmtId="172" fontId="81" fillId="12" borderId="80" xfId="2" applyNumberFormat="1" applyFont="1" applyFill="1" applyBorder="1" applyAlignment="1">
      <alignment horizontal="center" vertical="center" wrapText="1"/>
    </xf>
    <xf numFmtId="172" fontId="81" fillId="0" borderId="351" xfId="2" applyNumberFormat="1" applyFont="1" applyBorder="1" applyAlignment="1">
      <alignment horizontal="center" vertical="center" wrapText="1"/>
    </xf>
    <xf numFmtId="172" fontId="81" fillId="0" borderId="80" xfId="2" applyNumberFormat="1" applyFont="1" applyBorder="1" applyAlignment="1">
      <alignment horizontal="center" vertical="center" wrapText="1"/>
    </xf>
    <xf numFmtId="172" fontId="81" fillId="0" borderId="375" xfId="2" applyNumberFormat="1" applyFont="1" applyBorder="1" applyAlignment="1">
      <alignment horizontal="center" vertical="center" wrapText="1"/>
    </xf>
    <xf numFmtId="0" fontId="11" fillId="0" borderId="2" xfId="2" applyBorder="1" applyAlignment="1">
      <alignment horizontal="center"/>
    </xf>
    <xf numFmtId="0" fontId="45" fillId="0" borderId="0" xfId="2" applyFont="1" applyAlignment="1">
      <alignment horizontal="center"/>
    </xf>
    <xf numFmtId="172" fontId="11" fillId="0" borderId="0" xfId="2" applyNumberFormat="1" applyAlignment="1">
      <alignment horizontal="center"/>
    </xf>
    <xf numFmtId="0" fontId="53" fillId="0" borderId="0" xfId="2" applyFont="1" applyAlignment="1">
      <alignment horizontal="left" vertical="center" wrapText="1"/>
    </xf>
    <xf numFmtId="44" fontId="11" fillId="0" borderId="153" xfId="2" quotePrefix="1" applyNumberFormat="1" applyBorder="1" applyAlignment="1">
      <alignment horizontal="center"/>
    </xf>
    <xf numFmtId="44" fontId="11" fillId="0" borderId="153" xfId="2" applyNumberFormat="1" applyBorder="1" applyAlignment="1">
      <alignment horizontal="center"/>
    </xf>
    <xf numFmtId="0" fontId="45" fillId="0" borderId="40" xfId="2" applyFont="1" applyBorder="1" applyAlignment="1">
      <alignment horizontal="center"/>
    </xf>
    <xf numFmtId="172" fontId="11" fillId="0" borderId="14" xfId="2" applyNumberFormat="1" applyBorder="1" applyAlignment="1">
      <alignment horizontal="center" vertical="center" wrapText="1"/>
    </xf>
    <xf numFmtId="172" fontId="11" fillId="0" borderId="0" xfId="2" applyNumberFormat="1" applyAlignment="1">
      <alignment horizontal="center" vertical="center" wrapText="1"/>
    </xf>
    <xf numFmtId="172" fontId="11" fillId="0" borderId="38" xfId="2" applyNumberFormat="1" applyBorder="1" applyAlignment="1">
      <alignment horizontal="center" vertical="center" wrapText="1"/>
    </xf>
    <xf numFmtId="0" fontId="11" fillId="0" borderId="21" xfId="2" applyBorder="1" applyAlignment="1">
      <alignment horizontal="right" vertical="center"/>
    </xf>
    <xf numFmtId="0" fontId="11" fillId="0" borderId="0" xfId="2" applyAlignment="1">
      <alignment horizontal="right" vertical="center"/>
    </xf>
    <xf numFmtId="0" fontId="31" fillId="0" borderId="14" xfId="2" applyFont="1" applyBorder="1" applyAlignment="1">
      <alignment horizontal="center" vertical="center"/>
    </xf>
    <xf numFmtId="0" fontId="31" fillId="0" borderId="40" xfId="2" applyFont="1" applyBorder="1" applyAlignment="1">
      <alignment horizontal="center" vertical="center"/>
    </xf>
    <xf numFmtId="172" fontId="11" fillId="0" borderId="14" xfId="2" applyNumberFormat="1" applyBorder="1" applyAlignment="1">
      <alignment horizontal="center" vertical="center"/>
    </xf>
    <xf numFmtId="172" fontId="11" fillId="0" borderId="0" xfId="2" applyNumberFormat="1" applyAlignment="1">
      <alignment horizontal="center" vertical="center"/>
    </xf>
    <xf numFmtId="0" fontId="11" fillId="0" borderId="37" xfId="2" applyBorder="1" applyAlignment="1">
      <alignment horizontal="right" vertical="center"/>
    </xf>
    <xf numFmtId="0" fontId="11" fillId="0" borderId="33" xfId="2" applyBorder="1" applyAlignment="1">
      <alignment horizontal="right" vertical="center"/>
    </xf>
    <xf numFmtId="9" fontId="85" fillId="0" borderId="0" xfId="4" quotePrefix="1" applyFont="1" applyAlignment="1">
      <alignment horizontal="right"/>
    </xf>
    <xf numFmtId="0" fontId="85" fillId="0" borderId="0" xfId="2" applyFont="1" applyAlignment="1">
      <alignment horizontal="right"/>
    </xf>
    <xf numFmtId="0" fontId="85" fillId="0" borderId="0" xfId="2" quotePrefix="1" applyFont="1" applyAlignment="1">
      <alignment horizontal="right"/>
    </xf>
    <xf numFmtId="0" fontId="42" fillId="0" borderId="23" xfId="2" applyFont="1" applyBorder="1" applyAlignment="1" applyProtection="1">
      <alignment horizontal="left"/>
      <protection locked="0"/>
    </xf>
    <xf numFmtId="0" fontId="38" fillId="0" borderId="153" xfId="2" applyFont="1" applyBorder="1" applyAlignment="1">
      <alignment horizontal="left"/>
    </xf>
    <xf numFmtId="49" fontId="55" fillId="0" borderId="25" xfId="2" applyNumberFormat="1" applyFont="1" applyBorder="1" applyAlignment="1" applyProtection="1">
      <alignment horizontal="left" vertical="top" wrapText="1"/>
      <protection locked="0"/>
    </xf>
    <xf numFmtId="49" fontId="55" fillId="0" borderId="22" xfId="2" applyNumberFormat="1" applyFont="1" applyBorder="1" applyAlignment="1" applyProtection="1">
      <alignment horizontal="left" vertical="top" wrapText="1"/>
      <protection locked="0"/>
    </xf>
    <xf numFmtId="49" fontId="55" fillId="0" borderId="26" xfId="2" applyNumberFormat="1" applyFont="1" applyBorder="1" applyAlignment="1" applyProtection="1">
      <alignment horizontal="left" vertical="top" wrapText="1"/>
      <protection locked="0"/>
    </xf>
    <xf numFmtId="49" fontId="55" fillId="0" borderId="27" xfId="2" applyNumberFormat="1" applyFont="1" applyBorder="1" applyAlignment="1" applyProtection="1">
      <alignment horizontal="left" vertical="top" wrapText="1"/>
      <protection locked="0"/>
    </xf>
    <xf numFmtId="49" fontId="55" fillId="0" borderId="0" xfId="2" applyNumberFormat="1" applyFont="1" applyAlignment="1" applyProtection="1">
      <alignment horizontal="left" vertical="top" wrapText="1"/>
      <protection locked="0"/>
    </xf>
    <xf numFmtId="49" fontId="55" fillId="0" borderId="28" xfId="2" applyNumberFormat="1" applyFont="1" applyBorder="1" applyAlignment="1" applyProtection="1">
      <alignment horizontal="left" vertical="top" wrapText="1"/>
      <protection locked="0"/>
    </xf>
    <xf numFmtId="49" fontId="55" fillId="0" borderId="29" xfId="2" applyNumberFormat="1" applyFont="1" applyBorder="1" applyAlignment="1" applyProtection="1">
      <alignment horizontal="left" vertical="top" wrapText="1"/>
      <protection locked="0"/>
    </xf>
    <xf numFmtId="49" fontId="55" fillId="0" borderId="23" xfId="2" applyNumberFormat="1" applyFont="1" applyBorder="1" applyAlignment="1" applyProtection="1">
      <alignment horizontal="left" vertical="top" wrapText="1"/>
      <protection locked="0"/>
    </xf>
    <xf numFmtId="49" fontId="55" fillId="0" borderId="30" xfId="2" applyNumberFormat="1" applyFont="1" applyBorder="1" applyAlignment="1" applyProtection="1">
      <alignment horizontal="left" vertical="top" wrapText="1"/>
      <protection locked="0"/>
    </xf>
    <xf numFmtId="0" fontId="78" fillId="0" borderId="0" xfId="2" applyFont="1" applyAlignment="1">
      <alignment horizontal="left" vertical="top" wrapText="1"/>
    </xf>
    <xf numFmtId="0" fontId="31" fillId="0" borderId="35" xfId="2" applyFont="1" applyBorder="1" applyAlignment="1">
      <alignment horizontal="center" vertical="center"/>
    </xf>
    <xf numFmtId="0" fontId="31" fillId="0" borderId="36" xfId="2" applyFont="1" applyBorder="1" applyAlignment="1">
      <alignment horizontal="center" vertical="center"/>
    </xf>
    <xf numFmtId="172" fontId="11" fillId="0" borderId="35" xfId="2" applyNumberFormat="1" applyBorder="1" applyAlignment="1">
      <alignment horizontal="center" vertical="center"/>
    </xf>
    <xf numFmtId="172" fontId="11" fillId="0" borderId="33" xfId="2" applyNumberFormat="1" applyBorder="1" applyAlignment="1">
      <alignment horizontal="center" vertical="center"/>
    </xf>
    <xf numFmtId="172" fontId="11" fillId="0" borderId="36" xfId="2" applyNumberFormat="1" applyBorder="1" applyAlignment="1">
      <alignment horizontal="center" vertical="center"/>
    </xf>
    <xf numFmtId="172" fontId="11" fillId="0" borderId="35" xfId="2" applyNumberFormat="1" applyBorder="1" applyAlignment="1">
      <alignment horizontal="center" vertical="center" wrapText="1"/>
    </xf>
    <xf numFmtId="172" fontId="11" fillId="0" borderId="33" xfId="2" applyNumberFormat="1" applyBorder="1" applyAlignment="1">
      <alignment horizontal="center" vertical="center" wrapText="1"/>
    </xf>
    <xf numFmtId="172" fontId="11" fillId="0" borderId="34" xfId="2" applyNumberFormat="1" applyBorder="1" applyAlignment="1">
      <alignment horizontal="center" vertical="center" wrapText="1"/>
    </xf>
    <xf numFmtId="0" fontId="44" fillId="0" borderId="187" xfId="2" applyFont="1" applyBorder="1" applyAlignment="1">
      <alignment horizontal="left"/>
    </xf>
    <xf numFmtId="0" fontId="62" fillId="0" borderId="0" xfId="2" applyFont="1" applyAlignment="1">
      <alignment horizontal="center"/>
    </xf>
    <xf numFmtId="0" fontId="121" fillId="0" borderId="0" xfId="0" applyFont="1" applyAlignment="1">
      <alignment horizontal="left" vertical="top" wrapText="1"/>
    </xf>
    <xf numFmtId="0" fontId="44" fillId="0" borderId="23" xfId="2" applyFont="1" applyBorder="1" applyAlignment="1">
      <alignment horizontal="left"/>
    </xf>
    <xf numFmtId="0" fontId="55" fillId="0" borderId="23" xfId="2" applyFont="1" applyBorder="1" applyAlignment="1" applyProtection="1">
      <alignment horizontal="left"/>
      <protection locked="0"/>
    </xf>
    <xf numFmtId="0" fontId="11" fillId="0" borderId="0" xfId="2" applyAlignment="1">
      <alignment horizontal="left" vertical="center"/>
    </xf>
    <xf numFmtId="0" fontId="81" fillId="0" borderId="42" xfId="2" applyFont="1" applyBorder="1" applyAlignment="1">
      <alignment horizontal="center" vertical="center" wrapText="1"/>
    </xf>
    <xf numFmtId="0" fontId="81" fillId="0" borderId="153" xfId="2" applyFont="1" applyBorder="1" applyAlignment="1">
      <alignment horizontal="center" vertical="center" wrapText="1"/>
    </xf>
    <xf numFmtId="0" fontId="81" fillId="0" borderId="41" xfId="2" applyFont="1" applyBorder="1" applyAlignment="1">
      <alignment horizontal="center" vertical="center" wrapText="1"/>
    </xf>
    <xf numFmtId="172" fontId="11" fillId="0" borderId="0" xfId="2" quotePrefix="1" applyNumberFormat="1" applyAlignment="1">
      <alignment horizontal="center" vertical="center"/>
    </xf>
    <xf numFmtId="172" fontId="11" fillId="0" borderId="38" xfId="2" applyNumberFormat="1" applyBorder="1" applyAlignment="1">
      <alignment horizontal="center" vertical="center"/>
    </xf>
    <xf numFmtId="0" fontId="11" fillId="0" borderId="0" xfId="2" applyAlignment="1">
      <alignment horizontal="left"/>
    </xf>
    <xf numFmtId="0" fontId="11" fillId="0" borderId="40" xfId="2" applyBorder="1" applyAlignment="1">
      <alignment horizontal="left"/>
    </xf>
    <xf numFmtId="0" fontId="41" fillId="0" borderId="49" xfId="2" quotePrefix="1" applyFont="1" applyBorder="1" applyAlignment="1">
      <alignment horizontal="left" vertical="center" wrapText="1"/>
    </xf>
    <xf numFmtId="0" fontId="41" fillId="0" borderId="15" xfId="2" quotePrefix="1" applyFont="1" applyBorder="1" applyAlignment="1">
      <alignment horizontal="left" vertical="center" wrapText="1"/>
    </xf>
    <xf numFmtId="0" fontId="81" fillId="0" borderId="353" xfId="2" applyFont="1" applyBorder="1" applyAlignment="1">
      <alignment horizontal="right" vertical="center" wrapText="1"/>
    </xf>
    <xf numFmtId="0" fontId="81" fillId="0" borderId="80" xfId="2" applyFont="1" applyBorder="1" applyAlignment="1">
      <alignment horizontal="right" vertical="center" wrapText="1"/>
    </xf>
    <xf numFmtId="0" fontId="75" fillId="0" borderId="16" xfId="2" applyFont="1" applyBorder="1" applyAlignment="1">
      <alignment horizontal="left" vertical="center" wrapText="1"/>
    </xf>
    <xf numFmtId="0" fontId="75" fillId="0" borderId="49" xfId="2" applyFont="1" applyBorder="1" applyAlignment="1">
      <alignment horizontal="left" vertical="center" wrapText="1"/>
    </xf>
    <xf numFmtId="0" fontId="75" fillId="0" borderId="15" xfId="2" applyFont="1" applyBorder="1" applyAlignment="1">
      <alignment horizontal="left" vertical="center" wrapText="1"/>
    </xf>
    <xf numFmtId="0" fontId="78" fillId="0" borderId="16" xfId="2" applyFont="1" applyBorder="1" applyAlignment="1">
      <alignment horizontal="left" vertical="center" wrapText="1"/>
    </xf>
    <xf numFmtId="49" fontId="55" fillId="0" borderId="22" xfId="2" applyNumberFormat="1" applyFont="1" applyBorder="1" applyAlignment="1" applyProtection="1">
      <alignment horizontal="left" vertical="top"/>
      <protection locked="0"/>
    </xf>
    <xf numFmtId="49" fontId="55" fillId="0" borderId="26" xfId="2" applyNumberFormat="1" applyFont="1" applyBorder="1" applyAlignment="1" applyProtection="1">
      <alignment horizontal="left" vertical="top"/>
      <protection locked="0"/>
    </xf>
    <xf numFmtId="49" fontId="55" fillId="0" borderId="27" xfId="2" applyNumberFormat="1" applyFont="1" applyBorder="1" applyAlignment="1" applyProtection="1">
      <alignment horizontal="left" vertical="top"/>
      <protection locked="0"/>
    </xf>
    <xf numFmtId="49" fontId="55" fillId="0" borderId="0" xfId="2" applyNumberFormat="1" applyFont="1" applyAlignment="1" applyProtection="1">
      <alignment horizontal="left" vertical="top"/>
      <protection locked="0"/>
    </xf>
    <xf numFmtId="49" fontId="55" fillId="0" borderId="28" xfId="2" applyNumberFormat="1" applyFont="1" applyBorder="1" applyAlignment="1" applyProtection="1">
      <alignment horizontal="left" vertical="top"/>
      <protection locked="0"/>
    </xf>
    <xf numFmtId="49" fontId="55" fillId="0" borderId="29" xfId="2" applyNumberFormat="1" applyFont="1" applyBorder="1" applyAlignment="1" applyProtection="1">
      <alignment horizontal="left" vertical="top"/>
      <protection locked="0"/>
    </xf>
    <xf numFmtId="49" fontId="55" fillId="0" borderId="23" xfId="2" applyNumberFormat="1" applyFont="1" applyBorder="1" applyAlignment="1" applyProtection="1">
      <alignment horizontal="left" vertical="top"/>
      <protection locked="0"/>
    </xf>
    <xf numFmtId="49" fontId="55" fillId="0" borderId="30" xfId="2" applyNumberFormat="1" applyFont="1" applyBorder="1" applyAlignment="1" applyProtection="1">
      <alignment horizontal="left" vertical="top"/>
      <protection locked="0"/>
    </xf>
    <xf numFmtId="0" fontId="11" fillId="0" borderId="49" xfId="2" applyBorder="1" applyAlignment="1">
      <alignment horizontal="left" vertical="top" wrapText="1"/>
    </xf>
    <xf numFmtId="0" fontId="11" fillId="0" borderId="15" xfId="2" applyBorder="1" applyAlignment="1">
      <alignment horizontal="left" vertical="top" wrapText="1"/>
    </xf>
    <xf numFmtId="0" fontId="11" fillId="0" borderId="49" xfId="2" quotePrefix="1" applyBorder="1" applyAlignment="1">
      <alignment horizontal="left" vertical="top" wrapText="1"/>
    </xf>
    <xf numFmtId="0" fontId="11" fillId="0" borderId="0" xfId="2" quotePrefix="1" applyAlignment="1">
      <alignment horizontal="left" vertical="top" wrapText="1"/>
    </xf>
    <xf numFmtId="0" fontId="11" fillId="0" borderId="0" xfId="2" applyAlignment="1">
      <alignment horizontal="left" vertical="top" wrapText="1"/>
    </xf>
    <xf numFmtId="0" fontId="164" fillId="0" borderId="16" xfId="2" quotePrefix="1" applyFont="1" applyBorder="1" applyAlignment="1">
      <alignment horizontal="left" vertical="center" wrapText="1"/>
    </xf>
    <xf numFmtId="0" fontId="164" fillId="0" borderId="16" xfId="2" applyFont="1" applyBorder="1" applyAlignment="1">
      <alignment horizontal="left" vertical="center" wrapText="1"/>
    </xf>
    <xf numFmtId="0" fontId="80" fillId="0" borderId="16" xfId="2" applyFont="1" applyBorder="1" applyAlignment="1">
      <alignment horizontal="left" vertical="center"/>
    </xf>
    <xf numFmtId="0" fontId="44" fillId="0" borderId="49" xfId="2" applyFont="1" applyBorder="1" applyAlignment="1">
      <alignment horizontal="left" wrapText="1"/>
    </xf>
    <xf numFmtId="0" fontId="44" fillId="0" borderId="15" xfId="2" applyFont="1" applyBorder="1" applyAlignment="1">
      <alignment horizontal="left" wrapText="1"/>
    </xf>
    <xf numFmtId="0" fontId="81" fillId="0" borderId="12" xfId="2" applyFont="1" applyBorder="1" applyAlignment="1">
      <alignment horizontal="center" vertical="center" wrapText="1"/>
    </xf>
    <xf numFmtId="0" fontId="81" fillId="0" borderId="2" xfId="2" applyFont="1" applyBorder="1" applyAlignment="1">
      <alignment horizontal="center" vertical="center" wrapText="1"/>
    </xf>
    <xf numFmtId="0" fontId="81" fillId="0" borderId="48" xfId="2" applyFont="1" applyBorder="1" applyAlignment="1">
      <alignment horizontal="center" vertical="center" wrapText="1"/>
    </xf>
    <xf numFmtId="0" fontId="81" fillId="0" borderId="14" xfId="2" applyFont="1" applyBorder="1" applyAlignment="1">
      <alignment horizontal="center" vertical="center" wrapText="1"/>
    </xf>
    <xf numFmtId="0" fontId="81" fillId="0" borderId="0" xfId="2" applyFont="1" applyAlignment="1">
      <alignment horizontal="center" vertical="center" wrapText="1"/>
    </xf>
    <xf numFmtId="0" fontId="81" fillId="0" borderId="40" xfId="2" applyFont="1" applyBorder="1" applyAlignment="1">
      <alignment horizontal="center" vertical="center" wrapText="1"/>
    </xf>
    <xf numFmtId="0" fontId="81" fillId="0" borderId="35" xfId="2" applyFont="1" applyBorder="1" applyAlignment="1">
      <alignment horizontal="center" vertical="center" wrapText="1"/>
    </xf>
    <xf numFmtId="0" fontId="81" fillId="0" borderId="33" xfId="2" applyFont="1" applyBorder="1" applyAlignment="1">
      <alignment horizontal="center" vertical="center" wrapText="1"/>
    </xf>
    <xf numFmtId="0" fontId="81" fillId="0" borderId="36" xfId="2" applyFont="1" applyBorder="1" applyAlignment="1">
      <alignment horizontal="center" vertical="center" wrapText="1"/>
    </xf>
    <xf numFmtId="0" fontId="32" fillId="0" borderId="0" xfId="2" applyFont="1" applyAlignment="1">
      <alignment horizontal="center" vertical="center" wrapText="1"/>
    </xf>
    <xf numFmtId="0" fontId="37" fillId="0" borderId="0" xfId="2" applyFont="1" applyAlignment="1">
      <alignment horizontal="center"/>
    </xf>
    <xf numFmtId="0" fontId="81" fillId="0" borderId="12" xfId="2" applyFont="1" applyBorder="1" applyAlignment="1">
      <alignment horizontal="center" vertical="top" wrapText="1"/>
    </xf>
    <xf numFmtId="0" fontId="81" fillId="0" borderId="2" xfId="2" applyFont="1" applyBorder="1" applyAlignment="1">
      <alignment horizontal="center" vertical="top" wrapText="1"/>
    </xf>
    <xf numFmtId="0" fontId="81" fillId="0" borderId="48" xfId="2" applyFont="1" applyBorder="1" applyAlignment="1">
      <alignment horizontal="center" vertical="top" wrapText="1"/>
    </xf>
    <xf numFmtId="0" fontId="81" fillId="0" borderId="14" xfId="2" applyFont="1" applyBorder="1" applyAlignment="1">
      <alignment horizontal="center" vertical="top" wrapText="1"/>
    </xf>
    <xf numFmtId="0" fontId="81" fillId="0" borderId="0" xfId="2" applyFont="1" applyAlignment="1">
      <alignment horizontal="center" vertical="top" wrapText="1"/>
    </xf>
    <xf numFmtId="0" fontId="81" fillId="0" borderId="40" xfId="2" applyFont="1" applyBorder="1" applyAlignment="1">
      <alignment horizontal="center" vertical="top" wrapText="1"/>
    </xf>
    <xf numFmtId="0" fontId="81" fillId="0" borderId="35" xfId="2" applyFont="1" applyBorder="1" applyAlignment="1">
      <alignment horizontal="center" vertical="top" wrapText="1"/>
    </xf>
    <xf numFmtId="0" fontId="81" fillId="0" borderId="33" xfId="2" applyFont="1" applyBorder="1" applyAlignment="1">
      <alignment horizontal="center" vertical="top" wrapText="1"/>
    </xf>
    <xf numFmtId="0" fontId="81" fillId="0" borderId="36" xfId="2" applyFont="1" applyBorder="1" applyAlignment="1">
      <alignment horizontal="center" vertical="top" wrapText="1"/>
    </xf>
    <xf numFmtId="0" fontId="80" fillId="0" borderId="49" xfId="2" applyFont="1" applyBorder="1" applyAlignment="1">
      <alignment horizontal="left" vertical="center"/>
    </xf>
    <xf numFmtId="0" fontId="81" fillId="0" borderId="12" xfId="2" applyFont="1" applyBorder="1" applyAlignment="1">
      <alignment horizontal="center" vertical="top"/>
    </xf>
    <xf numFmtId="0" fontId="81" fillId="0" borderId="2" xfId="2" applyFont="1" applyBorder="1" applyAlignment="1">
      <alignment horizontal="center" vertical="top"/>
    </xf>
    <xf numFmtId="0" fontId="81" fillId="0" borderId="48" xfId="2" applyFont="1" applyBorder="1" applyAlignment="1">
      <alignment horizontal="center" vertical="top"/>
    </xf>
    <xf numFmtId="0" fontId="81" fillId="0" borderId="14" xfId="2" applyFont="1" applyBorder="1" applyAlignment="1">
      <alignment horizontal="center" vertical="top"/>
    </xf>
    <xf numFmtId="0" fontId="81" fillId="0" borderId="0" xfId="2" applyFont="1" applyAlignment="1">
      <alignment horizontal="center" vertical="top"/>
    </xf>
    <xf numFmtId="0" fontId="81" fillId="0" borderId="40" xfId="2" applyFont="1" applyBorder="1" applyAlignment="1">
      <alignment horizontal="center" vertical="top"/>
    </xf>
    <xf numFmtId="0" fontId="81" fillId="0" borderId="35" xfId="2" applyFont="1" applyBorder="1" applyAlignment="1">
      <alignment horizontal="center" vertical="top"/>
    </xf>
    <xf numFmtId="0" fontId="81" fillId="0" borderId="33" xfId="2" applyFont="1" applyBorder="1" applyAlignment="1">
      <alignment horizontal="center" vertical="top"/>
    </xf>
    <xf numFmtId="0" fontId="81" fillId="0" borderId="36" xfId="2" applyFont="1" applyBorder="1" applyAlignment="1">
      <alignment horizontal="center" vertical="top"/>
    </xf>
    <xf numFmtId="0" fontId="75" fillId="0" borderId="49" xfId="2" applyFont="1" applyBorder="1" applyAlignment="1">
      <alignment horizontal="left" vertical="top" wrapText="1"/>
    </xf>
    <xf numFmtId="0" fontId="75" fillId="0" borderId="0" xfId="2" applyFont="1" applyAlignment="1">
      <alignment horizontal="left" vertical="top" wrapText="1"/>
    </xf>
    <xf numFmtId="0" fontId="75" fillId="0" borderId="15" xfId="2" applyFont="1" applyBorder="1" applyAlignment="1">
      <alignment horizontal="left" vertical="top" wrapText="1"/>
    </xf>
    <xf numFmtId="0" fontId="44" fillId="0" borderId="49" xfId="2" applyFont="1" applyBorder="1" applyAlignment="1">
      <alignment horizontal="left" vertical="top" wrapText="1"/>
    </xf>
    <xf numFmtId="0" fontId="44" fillId="0" borderId="15" xfId="2" applyFont="1" applyBorder="1" applyAlignment="1">
      <alignment horizontal="left" vertical="top" wrapText="1"/>
    </xf>
    <xf numFmtId="0" fontId="76" fillId="0" borderId="16" xfId="2" applyFont="1" applyBorder="1" applyAlignment="1">
      <alignment horizontal="left" vertical="center" wrapText="1"/>
    </xf>
    <xf numFmtId="0" fontId="81" fillId="0" borderId="33" xfId="2" applyFont="1" applyBorder="1" applyAlignment="1">
      <alignment horizontal="center"/>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1" fillId="0" borderId="153" xfId="2" applyBorder="1" applyAlignment="1">
      <alignment horizontal="center" vertical="center"/>
    </xf>
    <xf numFmtId="10" fontId="11" fillId="0" borderId="1" xfId="4" applyNumberFormat="1" applyFont="1" applyFill="1" applyBorder="1" applyAlignment="1">
      <alignment horizontal="right"/>
    </xf>
    <xf numFmtId="174" fontId="11" fillId="0" borderId="153" xfId="2" applyNumberFormat="1" applyBorder="1" applyAlignment="1">
      <alignment horizontal="right"/>
    </xf>
    <xf numFmtId="174" fontId="11" fillId="0" borderId="1" xfId="2" applyNumberFormat="1" applyBorder="1" applyAlignment="1">
      <alignment horizontal="right"/>
    </xf>
    <xf numFmtId="9" fontId="31" fillId="0" borderId="1" xfId="4" applyFont="1" applyFill="1" applyBorder="1" applyAlignment="1">
      <alignment horizontal="right"/>
    </xf>
    <xf numFmtId="9" fontId="11" fillId="0" borderId="1" xfId="4" applyFont="1" applyFill="1" applyBorder="1" applyAlignment="1">
      <alignment horizontal="right"/>
    </xf>
    <xf numFmtId="10" fontId="81" fillId="0" borderId="1" xfId="4" applyNumberFormat="1" applyFont="1" applyFill="1" applyBorder="1" applyAlignment="1">
      <alignment horizontal="right"/>
    </xf>
    <xf numFmtId="174" fontId="81" fillId="0" borderId="39" xfId="2" applyNumberFormat="1" applyFont="1" applyBorder="1" applyAlignment="1">
      <alignment horizontal="right"/>
    </xf>
    <xf numFmtId="164" fontId="55" fillId="0" borderId="105" xfId="4" applyNumberFormat="1" applyFont="1" applyFill="1" applyBorder="1" applyAlignment="1" applyProtection="1">
      <alignment horizontal="right"/>
      <protection locked="0"/>
    </xf>
    <xf numFmtId="186" fontId="11" fillId="0" borderId="81" xfId="2" applyNumberFormat="1" applyBorder="1" applyAlignment="1">
      <alignment horizontal="right"/>
    </xf>
    <xf numFmtId="174" fontId="11" fillId="0" borderId="80" xfId="2" applyNumberFormat="1" applyBorder="1" applyAlignment="1">
      <alignment horizontal="right"/>
    </xf>
    <xf numFmtId="174" fontId="81" fillId="0" borderId="1" xfId="2" applyNumberFormat="1" applyFont="1" applyBorder="1" applyAlignment="1">
      <alignment horizontal="right"/>
    </xf>
    <xf numFmtId="0" fontId="11" fillId="0" borderId="153" xfId="2" quotePrefix="1" applyBorder="1" applyAlignment="1">
      <alignment horizontal="center" shrinkToFit="1"/>
    </xf>
    <xf numFmtId="0" fontId="11" fillId="0" borderId="153" xfId="2" applyBorder="1" applyAlignment="1">
      <alignment horizontal="center" shrinkToFit="1"/>
    </xf>
    <xf numFmtId="0" fontId="82" fillId="0" borderId="46" xfId="2" applyFont="1" applyBorder="1" applyAlignment="1">
      <alignment horizontal="center" vertical="center"/>
    </xf>
    <xf numFmtId="0" fontId="82" fillId="0" borderId="45" xfId="2" applyFont="1" applyBorder="1" applyAlignment="1">
      <alignment horizontal="center" vertical="center"/>
    </xf>
    <xf numFmtId="0" fontId="82" fillId="0" borderId="44" xfId="2" applyFont="1" applyBorder="1" applyAlignment="1">
      <alignment horizontal="center" vertical="center"/>
    </xf>
    <xf numFmtId="0" fontId="81" fillId="0" borderId="43" xfId="2" applyFont="1" applyBorder="1" applyAlignment="1">
      <alignment horizontal="right" vertical="center" wrapText="1"/>
    </xf>
    <xf numFmtId="0" fontId="81" fillId="0" borderId="153" xfId="2" applyFont="1" applyBorder="1" applyAlignment="1">
      <alignment horizontal="right" vertical="center" wrapText="1"/>
    </xf>
    <xf numFmtId="0" fontId="81" fillId="0" borderId="130" xfId="2" applyFont="1" applyBorder="1" applyAlignment="1">
      <alignment horizontal="center" vertical="center" wrapText="1"/>
    </xf>
    <xf numFmtId="0" fontId="81" fillId="0" borderId="0" xfId="2" applyFont="1" applyAlignment="1">
      <alignment horizontal="center"/>
    </xf>
    <xf numFmtId="0" fontId="81" fillId="0" borderId="153" xfId="2" applyFont="1" applyBorder="1" applyAlignment="1">
      <alignment horizontal="center"/>
    </xf>
    <xf numFmtId="9" fontId="31" fillId="0" borderId="0" xfId="2" applyNumberFormat="1" applyFont="1" applyAlignment="1">
      <alignment horizontal="center"/>
    </xf>
    <xf numFmtId="0" fontId="11" fillId="0" borderId="153" xfId="2" applyBorder="1" applyAlignment="1">
      <alignment horizontal="center"/>
    </xf>
    <xf numFmtId="0" fontId="11" fillId="0" borderId="0" xfId="2" applyAlignment="1">
      <alignment horizontal="center"/>
    </xf>
    <xf numFmtId="44" fontId="31" fillId="0" borderId="153" xfId="2" applyNumberFormat="1" applyFont="1" applyBorder="1" applyAlignment="1">
      <alignment horizontal="center"/>
    </xf>
    <xf numFmtId="44" fontId="81" fillId="0" borderId="153" xfId="2" quotePrefix="1" applyNumberFormat="1" applyFont="1" applyBorder="1" applyAlignment="1">
      <alignment horizontal="center"/>
    </xf>
    <xf numFmtId="44" fontId="81" fillId="0" borderId="153" xfId="2" applyNumberFormat="1" applyFont="1" applyBorder="1" applyAlignment="1">
      <alignment horizontal="center"/>
    </xf>
    <xf numFmtId="0" fontId="79" fillId="0" borderId="0" xfId="2" quotePrefix="1" applyFont="1" applyAlignment="1">
      <alignment horizontal="left" vertical="top" wrapText="1"/>
    </xf>
    <xf numFmtId="44" fontId="81" fillId="0" borderId="39" xfId="2" applyNumberFormat="1" applyFont="1" applyBorder="1" applyAlignment="1">
      <alignment horizontal="center"/>
    </xf>
    <xf numFmtId="44" fontId="177" fillId="68" borderId="187" xfId="2" applyNumberFormat="1" applyFont="1" applyFill="1" applyBorder="1" applyAlignment="1" applyProtection="1">
      <alignment horizontal="center"/>
      <protection locked="0"/>
    </xf>
    <xf numFmtId="0" fontId="79" fillId="0" borderId="0" xfId="2" quotePrefix="1" applyFont="1" applyAlignment="1">
      <alignment horizontal="left"/>
    </xf>
    <xf numFmtId="0" fontId="219" fillId="0" borderId="0" xfId="2" quotePrefix="1" applyFont="1" applyAlignment="1">
      <alignment horizontal="left" wrapText="1"/>
    </xf>
    <xf numFmtId="0" fontId="41" fillId="0" borderId="0" xfId="2" applyFont="1" applyAlignment="1">
      <alignment horizontal="left" vertical="top" wrapText="1"/>
    </xf>
    <xf numFmtId="9" fontId="11" fillId="0" borderId="0" xfId="4" applyFont="1" applyFill="1" applyBorder="1" applyAlignment="1">
      <alignment horizontal="center"/>
    </xf>
    <xf numFmtId="0" fontId="11" fillId="0" borderId="130" xfId="2" applyBorder="1" applyAlignment="1">
      <alignment horizontal="center"/>
    </xf>
    <xf numFmtId="44" fontId="11" fillId="0" borderId="0" xfId="2" quotePrefix="1" applyNumberFormat="1" applyAlignment="1">
      <alignment horizontal="center"/>
    </xf>
    <xf numFmtId="44" fontId="11" fillId="0" borderId="0" xfId="2" applyNumberFormat="1" applyAlignment="1">
      <alignment horizontal="center"/>
    </xf>
    <xf numFmtId="44" fontId="11" fillId="0" borderId="40" xfId="2" applyNumberFormat="1" applyBorder="1" applyAlignment="1">
      <alignment horizontal="center"/>
    </xf>
    <xf numFmtId="0" fontId="11" fillId="0" borderId="40" xfId="2" applyBorder="1" applyAlignment="1">
      <alignment horizontal="center"/>
    </xf>
    <xf numFmtId="9" fontId="11" fillId="0" borderId="0" xfId="4" applyFont="1" applyAlignment="1">
      <alignment horizontal="center"/>
    </xf>
    <xf numFmtId="44" fontId="37" fillId="0" borderId="39" xfId="2" applyNumberFormat="1" applyFont="1" applyBorder="1" applyAlignment="1">
      <alignment horizontal="center"/>
    </xf>
    <xf numFmtId="0" fontId="16" fillId="2" borderId="0" xfId="0" applyFont="1" applyFill="1" applyAlignment="1" applyProtection="1">
      <alignment horizontal="left" vertical="center" wrapText="1"/>
      <protection locked="0"/>
    </xf>
    <xf numFmtId="231" fontId="16" fillId="2" borderId="0" xfId="0" applyNumberFormat="1" applyFont="1" applyFill="1" applyAlignment="1" applyProtection="1">
      <alignment horizontal="center" vertical="center"/>
      <protection locked="0"/>
    </xf>
    <xf numFmtId="231" fontId="16" fillId="2" borderId="153" xfId="0" applyNumberFormat="1" applyFont="1" applyFill="1" applyBorder="1" applyAlignment="1" applyProtection="1">
      <alignment horizontal="center" vertical="center"/>
      <protection locked="0"/>
    </xf>
    <xf numFmtId="49" fontId="0" fillId="0" borderId="0" xfId="0" applyNumberFormat="1" applyAlignment="1">
      <alignment horizontal="left" vertical="top" wrapText="1"/>
    </xf>
    <xf numFmtId="0" fontId="0" fillId="0" borderId="0" xfId="0" applyAlignment="1">
      <alignment vertical="top" wrapText="1"/>
    </xf>
    <xf numFmtId="0" fontId="16" fillId="2" borderId="153" xfId="0" applyFont="1" applyFill="1" applyBorder="1" applyAlignment="1" applyProtection="1">
      <alignment vertical="top"/>
      <protection locked="0"/>
    </xf>
    <xf numFmtId="0" fontId="23" fillId="5" borderId="3"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23" fillId="5" borderId="9" xfId="0" applyFont="1" applyFill="1" applyBorder="1" applyAlignment="1">
      <alignment horizontal="center" vertical="center" wrapText="1"/>
    </xf>
    <xf numFmtId="0" fontId="25" fillId="0" borderId="0" xfId="0" applyFont="1" applyAlignment="1">
      <alignment vertical="top" wrapText="1"/>
    </xf>
    <xf numFmtId="0" fontId="25" fillId="0" borderId="0" xfId="0" applyFont="1" applyAlignment="1">
      <alignment horizontal="left" wrapText="1"/>
    </xf>
  </cellXfs>
  <cellStyles count="15">
    <cellStyle name="Comma" xfId="12" builtinId="3"/>
    <cellStyle name="Comma 2" xfId="13" xr:uid="{E89B96C3-2467-47A3-9D03-16B613DB32E4}"/>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 name="Percent 3" xfId="14" xr:uid="{87050DDA-B93F-4AAC-B3E8-F9D432F3EED3}"/>
  </cellStyles>
  <dxfs count="1866">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FF0000"/>
      </font>
    </dxf>
    <dxf>
      <font>
        <b/>
        <i val="0"/>
        <color rgb="FF00B050"/>
      </font>
      <fill>
        <patternFill patternType="none">
          <bgColor auto="1"/>
        </patternFill>
      </fill>
    </dxf>
    <dxf>
      <font>
        <b/>
        <i val="0"/>
        <color rgb="FFC00000"/>
      </font>
    </dxf>
    <dxf>
      <font>
        <b/>
        <i val="0"/>
        <color rgb="FF00B050"/>
      </font>
      <fill>
        <patternFill patternType="none">
          <bgColor auto="1"/>
        </patternFill>
      </fill>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ill>
        <patternFill>
          <bgColor rgb="FFCCFFCC"/>
        </patternFill>
      </fill>
    </dxf>
    <dxf>
      <font>
        <strike/>
        <color rgb="FFC00000"/>
      </font>
      <fill>
        <patternFill>
          <bgColor rgb="FFF2F2F2"/>
        </patternFill>
      </fill>
      <border>
        <bottom style="thin">
          <color theme="1"/>
        </bottom>
        <vertical/>
        <horizontal/>
      </border>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color theme="0"/>
      </font>
      <border>
        <bottom/>
      </border>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border>
    </dxf>
    <dxf>
      <font>
        <color theme="0"/>
      </font>
      <border>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theme="0"/>
      </font>
      <fill>
        <patternFill>
          <bgColor theme="0"/>
        </patternFill>
      </fill>
      <border>
        <left/>
        <right/>
        <top/>
        <bottom/>
        <vertical/>
        <horizontal/>
      </border>
    </dxf>
    <dxf>
      <font>
        <color rgb="FFC00000"/>
      </font>
      <fill>
        <patternFill>
          <bgColor rgb="FFFFEBFF"/>
        </patternFill>
      </fill>
    </dxf>
    <dxf>
      <font>
        <b val="0"/>
        <i val="0"/>
        <color rgb="FFC00000"/>
      </font>
      <fill>
        <patternFill>
          <bgColor rgb="FFFFEBFF"/>
        </patternFill>
      </fill>
    </dxf>
    <dxf>
      <fill>
        <patternFill>
          <bgColor theme="0" tint="-4.9989318521683403E-2"/>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b/>
        <i val="0"/>
        <color rgb="FFC00000"/>
      </font>
      <fill>
        <patternFill>
          <bgColor rgb="FFFFFF00"/>
        </patternFill>
      </fill>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b/>
        <i val="0"/>
        <color rgb="FFC00000"/>
      </font>
      <fill>
        <patternFill>
          <bgColor rgb="FFFFFF00"/>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color rgb="FFC00000"/>
      </font>
      <fill>
        <patternFill>
          <bgColor rgb="FFFFE6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border>
        <left/>
        <right/>
        <top/>
        <bottom/>
        <vertical/>
        <horizontal/>
      </border>
    </dxf>
    <dxf>
      <font>
        <b val="0"/>
        <i val="0"/>
        <strike val="0"/>
        <u val="none"/>
      </font>
      <fill>
        <patternFill>
          <bgColor theme="9" tint="0.79998168889431442"/>
        </patternFill>
      </fill>
    </dxf>
    <dxf>
      <font>
        <b val="0"/>
        <i val="0"/>
        <strike val="0"/>
        <u val="none"/>
      </font>
      <fill>
        <patternFill>
          <bgColor theme="9" tint="0.79998168889431442"/>
        </patternFill>
      </fill>
    </dxf>
    <dxf>
      <font>
        <strike/>
        <color rgb="FFC00000"/>
      </font>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auto="1"/>
      </font>
      <fill>
        <patternFill>
          <bgColor theme="9" tint="0.79998168889431442"/>
        </patternFill>
      </fill>
    </dxf>
    <dxf>
      <font>
        <color theme="0" tint="-0.14996795556505021"/>
      </font>
    </dxf>
    <dxf>
      <font>
        <b val="0"/>
        <i val="0"/>
        <strike val="0"/>
        <u val="none"/>
      </font>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0" tint="-4.9989318521683403E-2"/>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14996795556505021"/>
      </font>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theme="0"/>
      </font>
      <fill>
        <patternFill>
          <bgColor theme="0"/>
        </patternFill>
      </fill>
    </dxf>
    <dxf>
      <font>
        <color rgb="FFC00000"/>
      </font>
      <fill>
        <patternFill>
          <bgColor rgb="FFFFE6FF"/>
        </patternFill>
      </fill>
    </dxf>
    <dxf>
      <font>
        <color rgb="FF7030A0"/>
      </font>
      <fill>
        <patternFill>
          <bgColor rgb="FFCCFFCC"/>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none">
          <bgColor auto="1"/>
        </patternFill>
      </fill>
    </dxf>
    <dxf>
      <font>
        <color theme="0"/>
      </font>
      <fill>
        <patternFill>
          <bgColor theme="0"/>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7030A0"/>
      </font>
      <fill>
        <patternFill>
          <bgColor rgb="FFCCFFCC"/>
        </patternFill>
      </fill>
    </dxf>
    <dxf>
      <font>
        <color rgb="FF9C0006"/>
      </font>
      <fill>
        <patternFill>
          <bgColor rgb="FFFFE6FF"/>
        </patternFill>
      </fill>
    </dxf>
    <dxf>
      <font>
        <color rgb="FFC00000"/>
      </font>
      <fill>
        <patternFill>
          <bgColor rgb="FFFFE6FF"/>
        </patternFill>
      </fill>
    </dxf>
    <dxf>
      <font>
        <color rgb="FFC00000"/>
      </font>
      <fill>
        <patternFill patternType="none">
          <bgColor auto="1"/>
        </patternFill>
      </fill>
    </dxf>
    <dxf>
      <font>
        <color theme="0"/>
      </font>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rgb="FFC00000"/>
      </font>
      <fill>
        <patternFill>
          <bgColor rgb="FFFFE6FF"/>
        </patternFill>
      </fill>
    </dxf>
    <dxf>
      <font>
        <color theme="0"/>
      </font>
    </dxf>
    <dxf>
      <font>
        <color theme="0"/>
      </font>
    </dxf>
    <dxf>
      <font>
        <color theme="0"/>
      </font>
      <fill>
        <patternFill>
          <bgColor theme="0"/>
        </patternFill>
      </fill>
    </dxf>
    <dxf>
      <font>
        <color theme="0"/>
      </font>
      <fill>
        <patternFill>
          <bgColor theme="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ont>
        <b val="0"/>
        <i val="0"/>
        <color rgb="FFC00000"/>
      </font>
    </dxf>
    <dxf>
      <font>
        <b val="0"/>
        <i val="0"/>
        <color rgb="FFC00000"/>
      </font>
    </dxf>
    <dxf>
      <font>
        <b val="0"/>
        <i val="0"/>
        <color rgb="FFC00000"/>
      </font>
    </dxf>
    <dxf>
      <font>
        <b val="0"/>
        <i val="0"/>
        <color rgb="FFC00000"/>
      </font>
      <fill>
        <patternFill>
          <bgColor rgb="FFFFE6FF"/>
        </patternFill>
      </fill>
    </dxf>
    <dxf>
      <font>
        <b val="0"/>
        <i val="0"/>
        <color rgb="FFC00000"/>
      </font>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theme="0" tint="-0.24994659260841701"/>
      </font>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14996795556505021"/>
      </font>
      <fill>
        <patternFill>
          <bgColor theme="0" tint="-0.14996795556505021"/>
        </patternFill>
      </fill>
    </dxf>
    <dxf>
      <font>
        <b val="0"/>
        <i val="0"/>
        <strike val="0"/>
        <u val="none"/>
      </font>
      <fill>
        <patternFill>
          <bgColor theme="9" tint="0.79998168889431442"/>
        </patternFill>
      </fill>
    </dxf>
    <dxf>
      <font>
        <color theme="0" tint="-0.34998626667073579"/>
      </font>
    </dxf>
    <dxf>
      <font>
        <color theme="0" tint="-0.34998626667073579"/>
      </font>
    </dxf>
    <dxf>
      <fill>
        <patternFill>
          <bgColor theme="0" tint="-4.9989318521683403E-2"/>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theme="0" tint="-0.14996795556505021"/>
      </font>
      <fill>
        <patternFill>
          <bgColor theme="0" tint="-0.14996795556505021"/>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ill>
        <patternFill>
          <bgColor theme="0" tint="-4.9989318521683403E-2"/>
        </patternFill>
      </fill>
    </dxf>
    <dxf>
      <fill>
        <patternFill patternType="darkUp">
          <fgColor theme="0" tint="-0.24994659260841701"/>
        </patternFill>
      </fill>
    </dxf>
    <dxf>
      <fill>
        <patternFill>
          <bgColor theme="9" tint="0.79998168889431442"/>
        </patternFill>
      </fill>
    </dxf>
    <dxf>
      <font>
        <b val="0"/>
        <i val="0"/>
        <color rgb="FFC00000"/>
      </font>
    </dxf>
    <dxf>
      <font>
        <b val="0"/>
        <i val="0"/>
        <color rgb="FFC00000"/>
      </font>
    </dxf>
    <dxf>
      <font>
        <color theme="0" tint="-0.34998626667073579"/>
      </font>
    </dxf>
    <dxf>
      <font>
        <b val="0"/>
        <i val="0"/>
        <color rgb="FFC00000"/>
      </font>
    </dxf>
    <dxf>
      <font>
        <b val="0"/>
        <i val="0"/>
        <color rgb="FFC00000"/>
      </font>
    </dxf>
    <dxf>
      <font>
        <color theme="0" tint="-0.34998626667073579"/>
      </font>
    </dxf>
    <dxf>
      <font>
        <color rgb="FFC00000"/>
      </font>
      <fill>
        <patternFill>
          <bgColor rgb="FFFFE6FF"/>
        </patternFill>
      </fill>
    </dxf>
    <dxf>
      <font>
        <color theme="0" tint="-0.34998626667073579"/>
      </font>
    </dxf>
    <dxf>
      <font>
        <color theme="0" tint="-0.24994659260841701"/>
      </font>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rgb="FFC00000"/>
      </font>
    </dxf>
    <dxf>
      <font>
        <color rgb="FFC00000"/>
      </font>
    </dxf>
    <dxf>
      <fill>
        <patternFill patternType="darkUp">
          <fgColor theme="0" tint="-0.24994659260841701"/>
        </patternFill>
      </fill>
    </dxf>
    <dxf>
      <font>
        <color rgb="FFA6A6A6"/>
      </font>
    </dxf>
    <dxf>
      <font>
        <color rgb="FFA6A6A6"/>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tint="-0.34998626667073579"/>
      </font>
      <fill>
        <patternFill>
          <bgColor theme="0"/>
        </patternFill>
      </fill>
    </dxf>
    <dxf>
      <font>
        <color theme="0" tint="-0.34998626667073579"/>
      </font>
      <fill>
        <patternFill>
          <bgColor theme="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ill>
        <patternFill>
          <bgColor theme="9" tint="0.79998168889431442"/>
        </patternFill>
      </fill>
    </dxf>
    <dxf>
      <font>
        <color auto="1"/>
      </font>
      <fill>
        <patternFill>
          <bgColor theme="9" tint="0.79998168889431442"/>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rgb="FFC00000"/>
      </font>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C00000"/>
      </font>
      <fill>
        <patternFill patternType="solid">
          <fgColor auto="1"/>
          <bgColor rgb="FFFFE6FF"/>
        </patternFill>
      </fill>
    </dxf>
    <dxf>
      <font>
        <color rgb="FFC00000"/>
      </font>
      <fill>
        <patternFill patternType="none">
          <bgColor auto="1"/>
        </patternFill>
      </fill>
    </dxf>
    <dxf>
      <font>
        <b/>
        <i val="0"/>
      </font>
    </dxf>
    <dxf>
      <font>
        <color rgb="FFC00000"/>
      </font>
      <fill>
        <patternFill>
          <bgColor rgb="FFFFE6FF"/>
        </patternFill>
      </fill>
    </dxf>
    <dxf>
      <fill>
        <patternFill>
          <bgColor theme="9" tint="0.79998168889431442"/>
        </patternFill>
      </fill>
    </dxf>
    <dxf>
      <font>
        <color theme="0" tint="-0.34998626667073579"/>
      </font>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bgColor auto="1"/>
        </patternFill>
      </fill>
    </dxf>
    <dxf>
      <font>
        <color theme="0"/>
      </font>
      <border>
        <right/>
        <top/>
        <bottom/>
        <vertical/>
        <horizontal/>
      </border>
    </dxf>
    <dxf>
      <font>
        <color rgb="FFC00000"/>
      </font>
      <fill>
        <patternFill>
          <bgColor rgb="FFFFE6FF"/>
        </patternFill>
      </fill>
    </dxf>
    <dxf>
      <font>
        <color theme="0"/>
      </font>
      <fill>
        <patternFill patternType="none">
          <bgColor auto="1"/>
        </patternFill>
      </fill>
      <border>
        <right/>
        <top/>
        <bottom/>
        <vertical/>
        <horizontal/>
      </border>
    </dxf>
    <dxf>
      <font>
        <color theme="0"/>
      </font>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dxf>
    <dxf>
      <fill>
        <patternFill>
          <bgColor theme="9" tint="0.79998168889431442"/>
        </patternFill>
      </fill>
    </dxf>
    <dxf>
      <font>
        <color rgb="FFC00000"/>
      </font>
      <fill>
        <patternFill>
          <bgColor rgb="FFFFE6FF"/>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rgb="FFC00000"/>
      </font>
      <fill>
        <patternFill>
          <bgColor rgb="FFFFE6FF"/>
        </patternFill>
      </fill>
    </dxf>
    <dxf>
      <font>
        <color theme="0" tint="-0.34998626667073579"/>
      </font>
    </dxf>
    <dxf>
      <numFmt numFmtId="13" formatCode="0%"/>
    </dxf>
    <dxf>
      <numFmt numFmtId="182" formatCode="0.0%"/>
    </dxf>
    <dxf>
      <numFmt numFmtId="164" formatCode="0.000%"/>
    </dxf>
    <dxf>
      <numFmt numFmtId="14" formatCode="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ill>
        <patternFill>
          <bgColor theme="9" tint="0.79998168889431442"/>
        </patternFill>
      </fill>
    </dxf>
    <dxf>
      <font>
        <color rgb="FFC00000"/>
      </font>
      <fill>
        <patternFill>
          <bgColor rgb="FFFFE6FF"/>
        </patternFill>
      </fill>
    </dxf>
    <dxf>
      <border>
        <bottom style="hair">
          <color auto="1"/>
        </bottom>
        <vertical/>
        <horizontal/>
      </border>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ill>
        <patternFill>
          <bgColor rgb="FFFFE6FF"/>
        </patternFill>
      </fill>
    </dxf>
    <dxf>
      <font>
        <strike val="0"/>
        <color rgb="FFC00000"/>
      </font>
      <fill>
        <patternFill>
          <bgColor rgb="FFFFE6FF"/>
        </patternFill>
      </fill>
    </dxf>
    <dxf>
      <font>
        <color theme="0"/>
      </font>
      <fill>
        <patternFill patternType="none">
          <bgColor auto="1"/>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b/>
        <i val="0"/>
        <color rgb="FFC00000"/>
      </font>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border>
        <left/>
        <right/>
        <top/>
        <bottom/>
        <vertical/>
        <horizontal/>
      </border>
    </dxf>
    <dxf>
      <border>
        <left/>
        <right style="thin">
          <color auto="1"/>
        </right>
        <top/>
        <bottom style="thin">
          <color auto="1"/>
        </bottom>
        <vertical/>
        <horizontal/>
      </border>
    </dxf>
    <dxf>
      <border>
        <left/>
        <right style="thin">
          <color auto="1"/>
        </right>
        <top/>
        <bottom/>
        <vertical/>
        <horizontal/>
      </border>
    </dxf>
    <dxf>
      <font>
        <color auto="1"/>
      </font>
      <fill>
        <patternFill>
          <bgColor theme="9" tint="0.79998168889431442"/>
        </patternFill>
      </fill>
    </dxf>
    <dxf>
      <font>
        <color theme="0" tint="-0.14996795556505021"/>
      </font>
    </dxf>
    <dxf>
      <font>
        <color auto="1"/>
      </font>
      <fill>
        <patternFill>
          <bgColor theme="9" tint="0.79998168889431442"/>
        </patternFill>
      </fill>
    </dxf>
    <dxf>
      <font>
        <color theme="0" tint="-0.14996795556505021"/>
      </font>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font>
    </dxf>
    <dxf>
      <font>
        <color theme="0" tint="-0.34998626667073579"/>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color theme="0" tint="-0.34998626667073579"/>
      </font>
      <border>
        <left style="thin">
          <color theme="0" tint="-0.34998626667073579"/>
        </left>
        <right style="thin">
          <color theme="0" tint="-0.34998626667073579"/>
        </right>
        <top/>
        <bottom style="thin">
          <color theme="0" tint="-0.34998626667073579"/>
        </bottom>
      </border>
    </dxf>
    <dxf>
      <border>
        <left style="thin">
          <color auto="1"/>
        </left>
        <right style="thin">
          <color auto="1"/>
        </right>
        <top/>
        <bottom style="thin">
          <color auto="1"/>
        </bottom>
        <vertical/>
        <horizontal/>
      </border>
    </dxf>
    <dxf>
      <font>
        <b/>
        <i val="0"/>
        <color auto="1"/>
      </font>
      <border>
        <left style="thin">
          <color auto="1"/>
        </left>
        <right style="thin">
          <color auto="1"/>
        </right>
        <top style="thin">
          <color auto="1"/>
        </top>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auto="1"/>
      </font>
      <border>
        <left style="thin">
          <color auto="1"/>
        </left>
        <right style="thin">
          <color auto="1"/>
        </right>
        <top style="thin">
          <color auto="1"/>
        </top>
        <bottom style="thin">
          <color auto="1"/>
        </bottom>
        <vertical/>
        <horizontal/>
      </border>
    </dxf>
    <dxf>
      <font>
        <color theme="0" tint="-0.34998626667073579"/>
      </font>
    </dxf>
    <dxf>
      <font>
        <color rgb="FFC00000"/>
      </font>
      <fill>
        <patternFill>
          <bgColor rgb="FFFFE6FF"/>
        </patternFill>
      </fill>
    </dxf>
    <dxf>
      <font>
        <color rgb="FFC00000"/>
      </font>
      <fill>
        <patternFill>
          <bgColor rgb="FFFFE6FF"/>
        </patternFill>
      </fill>
    </dxf>
    <dxf>
      <font>
        <color theme="0" tint="-0.34998626667073579"/>
      </font>
    </dxf>
    <dxf>
      <font>
        <color theme="0"/>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ont>
        <color theme="0" tint="-0.24994659260841701"/>
      </font>
    </dxf>
    <dxf>
      <fill>
        <patternFill patternType="darkUp">
          <fgColor theme="0" tint="-0.14996795556505021"/>
        </patternFill>
      </fill>
    </dxf>
    <dxf>
      <fill>
        <patternFill patternType="darkUp">
          <fgColor theme="0" tint="-0.1499679555650502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dxf>
    <dxf>
      <font>
        <color theme="0" tint="-0.34998626667073579"/>
      </font>
    </dxf>
    <dxf>
      <font>
        <color theme="0" tint="-0.34998626667073579"/>
      </font>
    </dxf>
    <dxf>
      <font>
        <strike/>
        <color rgb="FFC00000"/>
      </font>
      <fill>
        <patternFill>
          <bgColor theme="0" tint="-4.9989318521683403E-2"/>
        </patternFill>
      </fill>
    </dxf>
    <dxf>
      <font>
        <color theme="0" tint="-4.9989318521683403E-2"/>
      </font>
      <fill>
        <patternFill>
          <bgColor theme="0" tint="-4.9989318521683403E-2"/>
        </patternFill>
      </fill>
    </dxf>
    <dxf>
      <font>
        <strike val="0"/>
        <color auto="1"/>
      </font>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ill>
        <patternFill>
          <bgColor theme="9" tint="0.79998168889431442"/>
        </patternFill>
      </fill>
    </dxf>
    <dxf>
      <font>
        <color theme="0"/>
      </font>
      <border>
        <right/>
        <top/>
        <bottom/>
        <vertical/>
        <horizontal/>
      </border>
    </dxf>
    <dxf>
      <font>
        <color rgb="FFC00000"/>
      </font>
      <fill>
        <patternFill>
          <bgColor rgb="FFFFE6FF"/>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border>
        <left/>
        <right style="thin">
          <color auto="1"/>
        </right>
        <top/>
        <bottom/>
      </border>
    </dxf>
    <dxf>
      <border>
        <left/>
        <right style="thin">
          <color auto="1"/>
        </right>
        <top style="thin">
          <color auto="1"/>
        </top>
        <bottom/>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rgb="FF0000FF"/>
      </font>
      <fill>
        <patternFill>
          <bgColor theme="7" tint="0.79998168889431442"/>
        </patternFill>
      </fill>
      <border>
        <left/>
        <right style="thin">
          <color auto="1"/>
        </right>
        <bottom style="thin">
          <color rgb="FF0000FF"/>
        </bottom>
        <vertical/>
        <horizontal/>
      </border>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ill>
        <patternFill>
          <bgColor theme="9" tint="0.79998168889431442"/>
        </patternFill>
      </fill>
    </dxf>
    <dxf>
      <font>
        <color rgb="FFC00000"/>
      </font>
      <fill>
        <patternFill>
          <bgColor rgb="FFFFE6FF"/>
        </patternFill>
      </fill>
    </dxf>
    <dxf>
      <font>
        <strike/>
        <color rgb="FFC00000"/>
      </font>
      <fill>
        <patternFill patternType="darkUp">
          <fgColor theme="0" tint="-0.24994659260841701"/>
        </patternFill>
      </fill>
    </dxf>
    <dxf>
      <font>
        <color theme="0" tint="-0.14996795556505021"/>
      </font>
      <fill>
        <patternFill patternType="darkUp">
          <fgColor theme="0" tint="-0.24994659260841701"/>
        </patternFill>
      </fill>
    </dxf>
    <dxf>
      <font>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ont>
        <color rgb="FFC00000"/>
      </font>
      <fill>
        <patternFill>
          <bgColor rgb="FFFFE6FF"/>
        </patternFill>
      </fill>
    </dxf>
    <dxf>
      <fill>
        <patternFill>
          <bgColor theme="9" tint="0.79998168889431442"/>
        </patternFill>
      </fill>
    </dxf>
    <dxf>
      <font>
        <color rgb="FFC00000"/>
      </font>
      <fill>
        <patternFill>
          <bgColor rgb="FFFFEBFF"/>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ont>
        <strike val="0"/>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0000FF"/>
      </font>
      <fill>
        <patternFill>
          <bgColor theme="9" tint="0.79998168889431442"/>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ill>
        <patternFill patternType="darkUp">
          <fgColor theme="0" tint="-0.24994659260841701"/>
        </patternFill>
      </fill>
    </dxf>
    <dxf>
      <font>
        <b val="0"/>
        <i/>
      </font>
    </dxf>
    <dxf>
      <font>
        <strike/>
        <color rgb="FFC00000"/>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b/>
        <i val="0"/>
        <color rgb="FFC00000"/>
      </font>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theme="0" tint="-0.34998626667073579"/>
      </font>
    </dxf>
    <dxf>
      <border>
        <left style="thin">
          <color auto="1"/>
        </left>
        <right style="thin">
          <color auto="1"/>
        </right>
        <top/>
        <bottom style="thin">
          <color auto="1"/>
        </bottom>
      </border>
    </dxf>
    <dxf>
      <border>
        <left style="thin">
          <color auto="1"/>
        </left>
        <right style="thin">
          <color auto="1"/>
        </right>
        <top/>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right/>
        <top/>
        <bottom/>
      </border>
    </dxf>
    <dxf>
      <border>
        <left style="thin">
          <color auto="1"/>
        </left>
        <right/>
        <top style="thin">
          <color auto="1"/>
        </top>
        <bottom/>
      </border>
    </dxf>
    <dxf>
      <border>
        <left style="thin">
          <color auto="1"/>
        </left>
        <vertical/>
        <horizontal/>
      </border>
    </dxf>
    <dxf>
      <font>
        <color theme="0" tint="-0.34998626667073579"/>
      </font>
    </dxf>
    <dxf>
      <font>
        <color theme="0" tint="-0.34998626667073579"/>
      </font>
      <fill>
        <patternFill patternType="none">
          <bgColor auto="1"/>
        </patternFill>
      </fill>
    </dxf>
    <dxf>
      <font>
        <b val="0"/>
        <i val="0"/>
        <strike val="0"/>
        <color rgb="FFC00000"/>
      </font>
      <fill>
        <patternFill>
          <bgColor rgb="FFFFE6FF"/>
        </patternFill>
      </fill>
    </dxf>
    <dxf>
      <fill>
        <patternFill>
          <bgColor rgb="FFE2EFDA"/>
        </patternFill>
      </fill>
    </dxf>
    <dxf>
      <font>
        <color rgb="FFC00000"/>
      </font>
      <fill>
        <patternFill patternType="none">
          <bgColor auto="1"/>
        </patternFill>
      </fill>
    </dxf>
    <dxf>
      <font>
        <b val="0"/>
        <i/>
      </font>
    </dxf>
    <dxf>
      <fill>
        <patternFill>
          <bgColor theme="9" tint="0.79998168889431442"/>
        </patternFill>
      </fill>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theme="1"/>
      </font>
      <fill>
        <patternFill patternType="none">
          <bgColor auto="1"/>
        </patternFill>
      </fill>
    </dxf>
    <dxf>
      <font>
        <color rgb="FF00B0F0"/>
      </font>
      <fill>
        <patternFill>
          <bgColor theme="0" tint="-4.9989318521683403E-2"/>
        </patternFill>
      </fill>
    </dxf>
    <dxf>
      <font>
        <color rgb="FF00B0F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color rgb="FF00B0F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BFF"/>
        </patternFill>
      </fill>
    </dxf>
    <dxf>
      <font>
        <color theme="0" tint="-4.9989318521683403E-2"/>
      </font>
      <fill>
        <patternFill>
          <bgColor theme="0" tint="-4.9989318521683403E-2"/>
        </patternFill>
      </fill>
    </dxf>
    <dxf>
      <font>
        <color theme="0"/>
      </font>
    </dxf>
    <dxf>
      <font>
        <color theme="0" tint="-4.9989318521683403E-2"/>
      </font>
      <fill>
        <patternFill patternType="solid">
          <fgColor auto="1"/>
          <bgColor theme="0" tint="-4.9989318521683403E-2"/>
        </patternFill>
      </fill>
      <border>
        <bottom style="thin">
          <color theme="1"/>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b/>
        <i val="0"/>
        <color rgb="FFC00000"/>
      </font>
      <fill>
        <patternFill>
          <bgColor rgb="FFFFFF00"/>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bgColor theme="9" tint="0.79998168889431442"/>
        </patternFill>
      </fill>
    </dxf>
    <dxf>
      <font>
        <color theme="0" tint="-0.34998626667073579"/>
      </font>
    </dxf>
    <dxf>
      <border>
        <top style="hair">
          <color auto="1"/>
        </top>
        <bottom style="thin">
          <color auto="1"/>
        </bottom>
        <vertical/>
        <horizontal/>
      </border>
    </dxf>
    <dxf>
      <font>
        <color rgb="FFC00000"/>
      </font>
      <fill>
        <patternFill>
          <bgColor rgb="FFFFEBFF"/>
        </patternFill>
      </fill>
    </dxf>
    <dxf>
      <font>
        <color rgb="FFF2F2F2"/>
      </font>
      <fill>
        <patternFill>
          <bgColor theme="0" tint="-4.9989318521683403E-2"/>
        </patternFill>
      </fill>
      <border>
        <bottom style="thin">
          <color auto="1"/>
        </bottom>
      </border>
    </dxf>
    <dxf>
      <font>
        <strike/>
        <color rgb="FFC00000"/>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theme="0" tint="-0.34998626667073579"/>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rgb="FFC00000"/>
      </font>
    </dxf>
    <dxf>
      <font>
        <color theme="0" tint="-0.34998626667073579"/>
      </font>
    </dxf>
    <dxf>
      <font>
        <color theme="0" tint="-0.34998626667073579"/>
      </font>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rgb="FFC00000"/>
      </font>
    </dxf>
    <dxf>
      <font>
        <color theme="0" tint="-0.34998626667073579"/>
      </font>
    </dxf>
    <dxf>
      <font>
        <b/>
        <i val="0"/>
        <color rgb="FFC00000"/>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theme="0" tint="-0.34998626667073579"/>
      </font>
    </dxf>
    <dxf>
      <font>
        <color rgb="FFC00000"/>
      </font>
      <fill>
        <patternFill>
          <bgColor rgb="FFFFEBFF"/>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bgColor rgb="FFFFCDCD"/>
        </patternFill>
      </fill>
    </dxf>
    <dxf>
      <fill>
        <patternFill>
          <bgColor rgb="FFFFE6FF"/>
        </patternFill>
      </fill>
    </dxf>
    <dxf>
      <fill>
        <patternFill>
          <bgColor rgb="FF99CC00"/>
        </patternFill>
      </fill>
    </dxf>
    <dxf>
      <fill>
        <patternFill>
          <bgColor rgb="FFCCFFCC"/>
        </patternFill>
      </fill>
    </dxf>
    <dxf>
      <fill>
        <patternFill>
          <bgColor rgb="FF00F0B4"/>
        </patternFill>
      </fill>
    </dxf>
    <dxf>
      <fill>
        <patternFill>
          <bgColor rgb="FF66FF33"/>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color rgb="FFC00000"/>
      </font>
      <fill>
        <patternFill>
          <bgColor rgb="FFFFE6FF"/>
        </patternFill>
      </fill>
    </dxf>
    <dxf>
      <fill>
        <patternFill>
          <bgColor rgb="FFCCFF99"/>
        </patternFill>
      </fill>
    </dxf>
    <dxf>
      <font>
        <color rgb="FFC00000"/>
      </font>
      <fill>
        <patternFill>
          <bgColor rgb="FFFFE6FF"/>
        </patternFill>
      </fill>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ont>
        <color rgb="FFC00000"/>
      </font>
      <fill>
        <patternFill>
          <bgColor rgb="FFFFE6FF"/>
        </patternFill>
      </fill>
    </dxf>
    <dxf>
      <fill>
        <patternFill>
          <bgColor theme="7" tint="0.39994506668294322"/>
        </patternFill>
      </fill>
    </dxf>
    <dxf>
      <font>
        <color theme="0" tint="-0.34998626667073579"/>
      </font>
    </dxf>
    <dxf>
      <border>
        <bottom style="dotted">
          <color auto="1"/>
        </bottom>
        <vertical/>
        <horizontal/>
      </border>
    </dxf>
    <dxf>
      <font>
        <b/>
        <i val="0"/>
        <color rgb="FF00AAE6"/>
      </font>
    </dxf>
    <dxf>
      <font>
        <color rgb="FFC00000"/>
      </font>
      <fill>
        <patternFill>
          <bgColor rgb="FFFFE6FF"/>
        </patternFill>
      </fill>
    </dxf>
    <dxf>
      <font>
        <color rgb="FFC00000"/>
      </font>
      <fill>
        <patternFill>
          <bgColor rgb="FFFFE6FF"/>
        </patternFill>
      </fill>
    </dxf>
    <dxf>
      <border>
        <bottom style="dotted">
          <color auto="1"/>
        </bottom>
        <vertical/>
        <horizontal/>
      </border>
    </dxf>
    <dxf>
      <font>
        <color theme="0" tint="-0.34998626667073579"/>
      </font>
      <fill>
        <patternFill patternType="none">
          <bgColor auto="1"/>
        </patternFill>
      </fill>
    </dxf>
    <dxf>
      <font>
        <color rgb="FFC00000"/>
      </font>
      <fill>
        <patternFill>
          <bgColor rgb="FFFFE6FF"/>
        </patternFill>
      </fill>
    </dxf>
    <dxf>
      <font>
        <b/>
        <i val="0"/>
      </font>
    </dxf>
    <dxf>
      <font>
        <b/>
        <i val="0"/>
      </font>
    </dxf>
    <dxf>
      <font>
        <color theme="0" tint="-0.34998626667073579"/>
      </font>
    </dxf>
    <dxf>
      <font>
        <color theme="0" tint="-0.34998626667073579"/>
      </font>
    </dxf>
    <dxf>
      <font>
        <color rgb="FFC00000"/>
      </font>
      <fill>
        <patternFill>
          <bgColor rgb="FFFFE6FF"/>
        </patternFill>
      </fill>
    </dxf>
    <dxf>
      <font>
        <color rgb="FFC00000"/>
      </font>
      <fill>
        <patternFill>
          <bgColor rgb="FFFFE6FF"/>
        </patternFill>
      </fill>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font>
        <b val="0"/>
        <i/>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b/>
        <i val="0"/>
      </font>
      <border>
        <bottom style="thin">
          <color auto="1"/>
        </bottom>
        <vertical/>
        <horizontal/>
      </border>
    </dxf>
    <dxf>
      <border>
        <bottom style="dotted">
          <color auto="1"/>
        </bottom>
        <vertical/>
        <horizontal/>
      </border>
    </dxf>
    <dxf>
      <font>
        <b/>
        <i val="0"/>
      </font>
      <border>
        <bottom style="thin">
          <color auto="1"/>
        </bottom>
        <vertical/>
        <horizontal/>
      </border>
    </dxf>
    <dxf>
      <border>
        <bottom style="thin">
          <color auto="1"/>
        </bottom>
        <vertical/>
        <horizontal/>
      </border>
    </dxf>
    <dxf>
      <font>
        <color theme="0" tint="-0.34998626667073579"/>
      </font>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patternType="none">
          <bgColor auto="1"/>
        </patternFill>
      </fill>
    </dxf>
    <dxf>
      <border>
        <bottom style="dotted">
          <color auto="1"/>
        </bottom>
        <vertical/>
        <horizontal/>
      </border>
    </dxf>
    <dxf>
      <border>
        <bottom style="thin">
          <color auto="1"/>
        </bottom>
        <vertical/>
        <horizontal/>
      </border>
    </dxf>
    <dxf>
      <font>
        <color rgb="FFC00000"/>
      </font>
      <fill>
        <patternFill>
          <bgColor rgb="FFFFE6FF"/>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theme="4" tint="0.39991454817346722"/>
        </patternFill>
      </fill>
    </dxf>
    <dxf>
      <font>
        <color rgb="FFFF00FF"/>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ill>
        <patternFill>
          <bgColor theme="9" tint="0.79998168889431442"/>
        </patternFill>
      </fill>
    </dxf>
    <dxf>
      <font>
        <color rgb="FFC00000"/>
      </font>
      <fill>
        <patternFill>
          <bgColor rgb="FFFFE6FF"/>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C00000"/>
      </font>
      <fill>
        <patternFill>
          <bgColor rgb="FFFFE6FF"/>
        </patternFill>
      </fill>
    </dxf>
    <dxf>
      <font>
        <color rgb="FFC00000"/>
      </font>
      <fill>
        <patternFill>
          <bgColor rgb="FFFFE6FF"/>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bgColor theme="8" tint="0.79998168889431442"/>
        </patternFill>
      </fill>
    </dxf>
    <dxf>
      <border>
        <bottom style="thin">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rgb="FFC00000"/>
      </font>
      <fill>
        <patternFill>
          <bgColor rgb="FFFFE6FF"/>
        </patternFill>
      </fill>
    </dxf>
    <dxf>
      <fill>
        <patternFill>
          <bgColor theme="9" tint="0.79998168889431442"/>
        </patternFill>
      </fill>
    </dxf>
    <dxf>
      <border>
        <bottom style="dotted">
          <color auto="1"/>
        </bottom>
        <vertical/>
        <horizontal/>
      </border>
    </dxf>
    <dxf>
      <border>
        <bottom style="thin">
          <color auto="1"/>
        </bottom>
        <vertical/>
        <horizontal/>
      </border>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b/>
        <i val="0"/>
      </font>
      <border>
        <bottom style="thin">
          <color auto="1"/>
        </bottom>
        <vertical/>
        <horizontal/>
      </border>
    </dxf>
    <dxf>
      <font>
        <b/>
        <i val="0"/>
      </font>
      <border>
        <bottom style="thin">
          <color auto="1"/>
        </bottom>
        <vertical/>
        <horizontal/>
      </border>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ont>
        <strike val="0"/>
        <color theme="0" tint="-0.34998626667073579"/>
      </font>
    </dxf>
    <dxf>
      <font>
        <color theme="7" tint="0.59996337778862885"/>
      </font>
      <fill>
        <patternFill>
          <bgColor rgb="FF8EA9DB"/>
        </patternFill>
      </fill>
    </dxf>
    <dxf>
      <font>
        <color theme="7" tint="0.59996337778862885"/>
      </font>
      <fill>
        <patternFill>
          <bgColor rgb="FF8EA9DB"/>
        </patternFill>
      </fill>
    </dxf>
    <dxf>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patternType="solid">
          <fgColor auto="1"/>
          <bgColor rgb="FF8EA9DB"/>
        </patternFill>
      </fill>
    </dxf>
    <dxf>
      <font>
        <b/>
        <i val="0"/>
        <color rgb="FF6600FF"/>
      </font>
    </dxf>
    <dxf>
      <border>
        <bottom style="dotted">
          <color auto="1"/>
        </bottom>
        <vertical/>
        <horizontal/>
      </border>
    </dxf>
    <dxf>
      <font>
        <color theme="4" tint="-0.24994659260841701"/>
      </font>
      <fill>
        <patternFill>
          <bgColor rgb="FF99FF99"/>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i val="0"/>
      </font>
      <fill>
        <patternFill>
          <bgColor rgb="FFE2EFDA"/>
        </patternFill>
      </fill>
    </dxf>
    <dxf>
      <fill>
        <patternFill patternType="darkUp">
          <fgColor theme="0" tint="-0.24994659260841701"/>
        </patternFill>
      </fill>
    </dxf>
    <dxf>
      <font>
        <b/>
        <i val="0"/>
      </font>
      <fill>
        <patternFill>
          <bgColor rgb="FFE2EFDA"/>
        </patternFill>
      </fill>
    </dxf>
    <dxf>
      <font>
        <color theme="0"/>
      </font>
      <fill>
        <patternFill>
          <bgColor theme="0"/>
        </patternFill>
      </fill>
      <border>
        <left/>
        <right/>
        <top/>
        <bottom/>
        <vertical/>
        <horizontal/>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0"/>
      </font>
      <fill>
        <patternFill>
          <bgColor theme="0"/>
        </patternFill>
      </fill>
      <border>
        <left/>
        <right/>
        <top/>
        <bottom/>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rgb="FFE2EFDA"/>
        </patternFill>
      </fill>
    </dxf>
    <dxf>
      <fill>
        <patternFill>
          <bgColor theme="9" tint="0.79998168889431442"/>
        </patternFill>
      </fill>
    </dxf>
    <dxf>
      <font>
        <color rgb="FFC00000"/>
      </font>
      <fill>
        <patternFill patternType="solid">
          <bgColor rgb="FFFFEBFF"/>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patternType="darkUp">
          <fgColor theme="0" tint="-0.24994659260841701"/>
        </patternFill>
      </fill>
    </dxf>
    <dxf>
      <font>
        <strike val="0"/>
        <color auto="1"/>
      </font>
      <fill>
        <patternFill patternType="darkUp">
          <fgColor theme="0" tint="-0.24994659260841701"/>
          <bgColor auto="1"/>
        </patternFill>
      </fill>
    </dxf>
    <dxf>
      <font>
        <strike/>
        <color rgb="FFC00000"/>
      </font>
      <fill>
        <patternFill patternType="darkUp">
          <fgColor theme="0" tint="-0.24994659260841701"/>
          <bgColor auto="1"/>
        </patternFill>
      </fill>
      <border>
        <bottom style="hair">
          <color auto="1"/>
        </bottom>
      </border>
    </dxf>
    <dxf>
      <fill>
        <patternFill>
          <bgColor rgb="FFFFE6FF"/>
        </patternFill>
      </fill>
    </dxf>
    <dxf>
      <font>
        <strike/>
        <color rgb="FFC00000"/>
      </font>
      <fill>
        <patternFill patternType="darkUp">
          <fgColor theme="0" tint="-0.24994659260841701"/>
          <bgColor auto="1"/>
        </patternFill>
      </fill>
      <border>
        <bottom style="hair">
          <color auto="1"/>
        </bottom>
        <vertical/>
        <horizontal/>
      </border>
    </dxf>
    <dxf>
      <font>
        <strike/>
        <color rgb="FFC00000"/>
      </font>
      <fill>
        <patternFill>
          <bgColor theme="0" tint="-4.9989318521683403E-2"/>
        </patternFill>
      </fill>
    </dxf>
    <dxf>
      <font>
        <strike/>
        <color rgb="FFC00000"/>
      </font>
      <fill>
        <patternFill>
          <bgColor theme="0" tint="-4.9989318521683403E-2"/>
        </patternFill>
      </fill>
    </dxf>
    <dxf>
      <fill>
        <patternFill>
          <bgColor rgb="FFE2EFDA"/>
        </patternFill>
      </fill>
    </dxf>
    <dxf>
      <font>
        <color theme="0" tint="-0.34998626667073579"/>
      </font>
    </dxf>
    <dxf>
      <fill>
        <patternFill patternType="darkUp">
          <fgColor theme="0" tint="-0.24994659260841701"/>
        </patternFill>
      </fill>
    </dxf>
    <dxf>
      <font>
        <color theme="0" tint="-0.34998626667073579"/>
      </font>
    </dxf>
    <dxf>
      <font>
        <b val="0"/>
        <i val="0"/>
      </font>
      <fill>
        <patternFill>
          <bgColor theme="9" tint="0.79998168889431442"/>
        </patternFill>
      </fill>
    </dxf>
    <dxf>
      <font>
        <b/>
        <i val="0"/>
        <color rgb="FFC00000"/>
      </font>
      <fill>
        <patternFill patternType="none">
          <bgColor auto="1"/>
        </patternFill>
      </fill>
    </dxf>
    <dxf>
      <font>
        <color theme="0" tint="-0.34998626667073579"/>
      </font>
    </dxf>
    <dxf>
      <font>
        <color theme="0" tint="-0.34998626667073579"/>
      </font>
    </dxf>
    <dxf>
      <fill>
        <patternFill patternType="darkUp">
          <fgColor theme="0" tint="-0.24994659260841701"/>
        </patternFill>
      </fill>
    </dxf>
    <dxf>
      <border>
        <bottom style="dotted">
          <color auto="1"/>
        </bottom>
        <vertical/>
        <horizontal/>
      </border>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ont>
        <color theme="0" tint="-0.34998626667073579"/>
      </font>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thin">
          <color auto="1"/>
        </bottom>
        <vertical/>
        <horizontal/>
      </border>
    </dxf>
    <dxf>
      <fill>
        <patternFill patternType="darkUp">
          <fgColor theme="0" tint="-0.24994659260841701"/>
        </patternFill>
      </fill>
    </dxf>
    <dxf>
      <font>
        <strike/>
      </font>
    </dxf>
    <dxf>
      <font>
        <b/>
        <i val="0"/>
      </font>
      <fill>
        <patternFill patternType="none">
          <bgColor auto="1"/>
        </patternFill>
      </fill>
    </dxf>
    <dxf>
      <font>
        <b/>
        <i val="0"/>
        <color rgb="FFFF00FF"/>
      </font>
      <fill>
        <patternFill>
          <bgColor rgb="FF99FF66"/>
        </patternFill>
      </fill>
    </dxf>
    <dxf>
      <fill>
        <patternFill patternType="darkUp">
          <f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ont>
        <color rgb="FFFF00FF"/>
      </font>
      <fill>
        <patternFill>
          <bgColor rgb="FF99FF66"/>
        </patternFill>
      </fill>
    </dxf>
    <dxf>
      <fill>
        <patternFill>
          <bgColor rgb="FFFFFF00"/>
        </patternFill>
      </fill>
    </dxf>
    <dxf>
      <fill>
        <patternFill>
          <bgColor rgb="FFFFFF00"/>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b/>
        <i val="0"/>
        <color rgb="FFFF3399"/>
      </font>
      <fill>
        <patternFill>
          <bgColor rgb="FF99FF66"/>
        </patternFill>
      </fill>
    </dxf>
    <dxf>
      <fill>
        <patternFill>
          <bgColor rgb="FFFFCCFF"/>
        </patternFill>
      </fill>
    </dxf>
  </dxfs>
  <tableStyles count="1" defaultTableStyle="TableStyleMedium2" defaultPivotStyle="PivotStyleLight16">
    <tableStyle name="Invisible" pivot="0" table="0" count="0" xr9:uid="{50E4A865-65F6-4E48-A00F-738E6AD28AB1}"/>
  </tableStyles>
  <colors>
    <mruColors>
      <color rgb="FFFFE6FF"/>
      <color rgb="FF99FF99"/>
      <color rgb="FFE1FFE1"/>
      <color rgb="FFDCFFFF"/>
      <color rgb="FFCCFFCC"/>
      <color rgb="FF0000FF"/>
      <color rgb="FFFFFFCC"/>
      <color rgb="FFE2EFDA"/>
      <color rgb="FFCCFF99"/>
      <color rgb="FFFFD0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ctrlProps/ctrlProp1.xml><?xml version="1.0" encoding="utf-8"?>
<formControlPr xmlns="http://schemas.microsoft.com/office/spreadsheetml/2009/9/main" objectType="CheckBox" fmlaLink="DS_ExcelCheckbox_LGAO_Prior_App_2YR" lockText="1" noThreeD="1"/>
</file>

<file path=xl/ctrlProps/ctrlProp2.xml><?xml version="1.0" encoding="utf-8"?>
<formControlPr xmlns="http://schemas.microsoft.com/office/spreadsheetml/2009/9/main" objectType="CheckBox" fmlaLink="Data1!$B$865" lockText="1" noThreeD="1"/>
</file>

<file path=xl/ctrlProps/ctrlProp3.xml><?xml version="1.0" encoding="utf-8"?>
<formControlPr xmlns="http://schemas.microsoft.com/office/spreadsheetml/2009/9/main" objectType="CheckBox" fmlaLink="DS_ExcelCheckbox_LGAO_Prior_App_1YR" lockText="1" noThreeD="1"/>
</file>

<file path=xl/ctrlProps/ctrlProp4.xml><?xml version="1.0" encoding="utf-8"?>
<formControlPr xmlns="http://schemas.microsoft.com/office/spreadsheetml/2009/9/main" objectType="CheckBox" fmlaLink="DS_ExcelCheckbox_LGAO_NoPref" lockText="1" noThreeD="1"/>
</file>

<file path=xl/ctrlProps/ctrlProp5.xml><?xml version="1.0" encoding="utf-8"?>
<formControlPr xmlns="http://schemas.microsoft.com/office/spreadsheetml/2009/9/main" objectType="CheckBox" fmlaLink="DS_ExcelCheckbox_MixedUse_Comm" lockText="1" noThreeD="1"/>
</file>

<file path=xl/ctrlProps/ctrlProp6.xml><?xml version="1.0" encoding="utf-8"?>
<formControlPr xmlns="http://schemas.microsoft.com/office/spreadsheetml/2009/9/main" objectType="CheckBox" fmlaLink="DS_ExcelCheckbox_MixedUse_Inst" lockText="1" noThreeD="1"/>
</file>

<file path=xl/ctrlProps/ctrlProp7.xml><?xml version="1.0" encoding="utf-8"?>
<formControlPr xmlns="http://schemas.microsoft.com/office/spreadsheetml/2009/9/main" objectType="CheckBox" fmlaLink="DS_ExcelCheckbox_UrbanInfill" lockText="1" noThreeD="1"/>
</file>

<file path=xl/ctrlProps/ctrlProp8.xml><?xml version="1.0" encoding="utf-8"?>
<formControlPr xmlns="http://schemas.microsoft.com/office/spreadsheetml/2009/9/main" objectType="CheckBox" fmlaLink="DS_ExcelCheckBox_Goal_1" lockText="1" noThreeD="1"/>
</file>

<file path=xl/ctrlProps/ctrlProp9.xml><?xml version="1.0" encoding="utf-8"?>
<formControlPr xmlns="http://schemas.microsoft.com/office/spreadsheetml/2009/9/main" objectType="CheckBox" fmlaLink="DS_ExcelCheckBox_Goal_2" lockText="1" noThreeD="1"/>
</file>

<file path=xl/ctrlProps/ctrlProp10.xml><?xml version="1.0" encoding="utf-8"?>
<formControlPr xmlns="http://schemas.microsoft.com/office/spreadsheetml/2009/9/main" objectType="CheckBox" fmlaLink="DS_ExcelCheckBox_Goal_3" lockText="1" noThreeD="1"/>
</file>

<file path=xl/ctrlProps/ctrlProp11.xml><?xml version="1.0" encoding="utf-8"?>
<formControlPr xmlns="http://schemas.microsoft.com/office/spreadsheetml/2009/9/main" objectType="CheckBox" fmlaLink="DS_ExcelCheckBox_Goal_4" lockText="1" noThreeD="1"/>
</file>

<file path=xl/ctrlProps/ctrlProp12.xml><?xml version="1.0" encoding="utf-8"?>
<formControlPr xmlns="http://schemas.microsoft.com/office/spreadsheetml/2009/9/main" objectType="CheckBox" fmlaLink="'Developer Pref'!$Q$13" lockText="1" noThreeD="1"/>
</file>

<file path=xl/ctrlProps/ctrlProp13.xml><?xml version="1.0" encoding="utf-8"?>
<formControlPr xmlns="http://schemas.microsoft.com/office/spreadsheetml/2009/9/main" objectType="CheckBox" fmlaLink="DS_ExcelCheckBox_Op1_Dev1_MU" lockText="1" noThreeD="1"/>
</file>

<file path=xl/ctrlProps/ctrlProp14.xml><?xml version="1.0" encoding="utf-8"?>
<formControlPr xmlns="http://schemas.microsoft.com/office/spreadsheetml/2009/9/main" objectType="CheckBox" fmlaLink="DS_ExcelCheckBox_Op1_Dev1_MI" lockText="1" noThreeD="1"/>
</file>

<file path=xl/ctrlProps/ctrlProp15.xml><?xml version="1.0" encoding="utf-8"?>
<formControlPr xmlns="http://schemas.microsoft.com/office/spreadsheetml/2009/9/main" objectType="CheckBox" fmlaLink="DS_ExcelCheckBox_Op1_Dev1_Complex" lockText="1" noThreeD="1"/>
</file>

<file path=xl/ctrlProps/ctrlProp16.xml><?xml version="1.0" encoding="utf-8"?>
<formControlPr xmlns="http://schemas.microsoft.com/office/spreadsheetml/2009/9/main" objectType="CheckBox" fmlaLink="DS_ExcelCheckBox_Op1_Dev2_50" lockText="1" noThreeD="1"/>
</file>

<file path=xl/ctrlProps/ctrlProp17.xml><?xml version="1.0" encoding="utf-8"?>
<formControlPr xmlns="http://schemas.microsoft.com/office/spreadsheetml/2009/9/main" objectType="CheckBox" fmlaLink="DS_ExcelCheckBox_Op1_Dev2_MU" lockText="1" noThreeD="1"/>
</file>

<file path=xl/ctrlProps/ctrlProp18.xml><?xml version="1.0" encoding="utf-8"?>
<formControlPr xmlns="http://schemas.microsoft.com/office/spreadsheetml/2009/9/main" objectType="CheckBox" fmlaLink="DS_ExcelCheckBox_Op1_Dev2_MI" lockText="1" noThreeD="1"/>
</file>

<file path=xl/ctrlProps/ctrlProp19.xml><?xml version="1.0" encoding="utf-8"?>
<formControlPr xmlns="http://schemas.microsoft.com/office/spreadsheetml/2009/9/main" objectType="CheckBox" fmlaLink="DS_ExcelCheckBox_Op1_Dev2_Complex" lockText="1" noThreeD="1"/>
</file>

<file path=xl/ctrlProps/ctrlProp20.xml><?xml version="1.0" encoding="utf-8"?>
<formControlPr xmlns="http://schemas.microsoft.com/office/spreadsheetml/2009/9/main" objectType="CheckBox" fmlaLink="DS_ExcelCheckBox_Op1_Dev3_50" lockText="1" noThreeD="1"/>
</file>

<file path=xl/ctrlProps/ctrlProp21.xml><?xml version="1.0" encoding="utf-8"?>
<formControlPr xmlns="http://schemas.microsoft.com/office/spreadsheetml/2009/9/main" objectType="CheckBox" fmlaLink="DS_ExcelCheckBox_Op1_Dev3_MU" lockText="1" noThreeD="1"/>
</file>

<file path=xl/ctrlProps/ctrlProp22.xml><?xml version="1.0" encoding="utf-8"?>
<formControlPr xmlns="http://schemas.microsoft.com/office/spreadsheetml/2009/9/main" objectType="CheckBox" fmlaLink="DS_ExcelCheckBox_Op1_Dev3_MI" lockText="1" noThreeD="1"/>
</file>

<file path=xl/ctrlProps/ctrlProp23.xml><?xml version="1.0" encoding="utf-8"?>
<formControlPr xmlns="http://schemas.microsoft.com/office/spreadsheetml/2009/9/main" objectType="CheckBox" fmlaLink="DS_ExcelCheckBox_Op1_Dev3_Complex" lockText="1" noThreeD="1"/>
</file>

<file path=xl/ctrlProps/ctrlProp24.xml><?xml version="1.0" encoding="utf-8"?>
<formControlPr xmlns="http://schemas.microsoft.com/office/spreadsheetml/2009/9/main" objectType="CheckBox" fmlaLink="DS_ExcelCheckBox_Op1_Dev4_50" lockText="1" noThreeD="1"/>
</file>

<file path=xl/ctrlProps/ctrlProp25.xml><?xml version="1.0" encoding="utf-8"?>
<formControlPr xmlns="http://schemas.microsoft.com/office/spreadsheetml/2009/9/main" objectType="CheckBox" fmlaLink="DS_ExcelCheckBox_Op1_Dev4_MU" lockText="1" noThreeD="1"/>
</file>

<file path=xl/ctrlProps/ctrlProp26.xml><?xml version="1.0" encoding="utf-8"?>
<formControlPr xmlns="http://schemas.microsoft.com/office/spreadsheetml/2009/9/main" objectType="CheckBox" fmlaLink="DS_ExcelCheckBox_Op1_Dev4_MI" lockText="1" noThreeD="1"/>
</file>

<file path=xl/ctrlProps/ctrlProp27.xml><?xml version="1.0" encoding="utf-8"?>
<formControlPr xmlns="http://schemas.microsoft.com/office/spreadsheetml/2009/9/main" objectType="CheckBox" fmlaLink="DS_ExcelCheckBox_Op1_Dev4_Complex" lockText="1" noThreeD="1"/>
</file>

<file path=xl/ctrlProps/ctrlProp28.xml><?xml version="1.0" encoding="utf-8"?>
<formControlPr xmlns="http://schemas.microsoft.com/office/spreadsheetml/2009/9/main" objectType="CheckBox" fmlaLink="DS_ExcelCheckBox_Op2_Dev1_50" lockText="1" noThreeD="1"/>
</file>

<file path=xl/ctrlProps/ctrlProp29.xml><?xml version="1.0" encoding="utf-8"?>
<formControlPr xmlns="http://schemas.microsoft.com/office/spreadsheetml/2009/9/main" objectType="CheckBox" fmlaLink="DS_ExcelCheckBox_Op2_Dev1_MI" lockText="1" noThreeD="1"/>
</file>

<file path=xl/ctrlProps/ctrlProp30.xml><?xml version="1.0" encoding="utf-8"?>
<formControlPr xmlns="http://schemas.microsoft.com/office/spreadsheetml/2009/9/main" objectType="CheckBox" fmlaLink="DS_ExcelCheckBox_Op2_Dev2_50" lockText="1" noThreeD="1"/>
</file>

<file path=xl/ctrlProps/ctrlProp31.xml><?xml version="1.0" encoding="utf-8"?>
<formControlPr xmlns="http://schemas.microsoft.com/office/spreadsheetml/2009/9/main" objectType="CheckBox" fmlaLink="DS_ExcelCheckBox_Op2_Dev2_MI" lockText="1" noThreeD="1"/>
</file>

<file path=xl/ctrlProps/ctrlProp32.xml><?xml version="1.0" encoding="utf-8"?>
<formControlPr xmlns="http://schemas.microsoft.com/office/spreadsheetml/2009/9/main" objectType="CheckBox" fmlaLink="DS_ExcelCheckBox_Op1_Dev5_50" lockText="1" noThreeD="1"/>
</file>

<file path=xl/ctrlProps/ctrlProp33.xml><?xml version="1.0" encoding="utf-8"?>
<formControlPr xmlns="http://schemas.microsoft.com/office/spreadsheetml/2009/9/main" objectType="CheckBox" fmlaLink="DS_ExcelCheckBox_Op1_Dev5_MU" lockText="1" noThreeD="1"/>
</file>

<file path=xl/ctrlProps/ctrlProp34.xml><?xml version="1.0" encoding="utf-8"?>
<formControlPr xmlns="http://schemas.microsoft.com/office/spreadsheetml/2009/9/main" objectType="CheckBox" fmlaLink="DS_ExcelCheckBox_Op1_Dev5_MI" lockText="1" noThreeD="1"/>
</file>

<file path=xl/ctrlProps/ctrlProp35.xml><?xml version="1.0" encoding="utf-8"?>
<formControlPr xmlns="http://schemas.microsoft.com/office/spreadsheetml/2009/9/main" objectType="CheckBox" fmlaLink="DS_ExcelCheckBox_Op1_Dev5_Complex" lockText="1" noThreeD="1"/>
</file>

<file path=xl/ctrlProps/ctrlProp36.xml><?xml version="1.0" encoding="utf-8"?>
<formControlPr xmlns="http://schemas.microsoft.com/office/spreadsheetml/2009/9/main" objectType="CheckBox" fmlaLink="DS_ExcelCheckBox_Op2_Dev3_50" lockText="1" noThreeD="1"/>
</file>

<file path=xl/ctrlProps/ctrlProp37.xml><?xml version="1.0" encoding="utf-8"?>
<formControlPr xmlns="http://schemas.microsoft.com/office/spreadsheetml/2009/9/main" objectType="CheckBox" fmlaLink="DS_ExcelCheckBox_Op2_Dev3_MI" lockText="1" noThreeD="1"/>
</file>

<file path=xl/ctrlProps/ctrlProp38.xml><?xml version="1.0" encoding="utf-8"?>
<formControlPr xmlns="http://schemas.microsoft.com/office/spreadsheetml/2009/9/main" objectType="CheckBox" fmlaLink="DS_ExcelCheckBox_Op2_Dev4_50" lockText="1" noThreeD="1"/>
</file>

<file path=xl/ctrlProps/ctrlProp39.xml><?xml version="1.0" encoding="utf-8"?>
<formControlPr xmlns="http://schemas.microsoft.com/office/spreadsheetml/2009/9/main" objectType="CheckBox" fmlaLink="DS_ExcelCheckBox_Op2_Dev4_MI" lockText="1" noThreeD="1"/>
</file>

<file path=xl/ctrlProps/ctrlProp40.xml><?xml version="1.0" encoding="utf-8"?>
<formControlPr xmlns="http://schemas.microsoft.com/office/spreadsheetml/2009/9/main" objectType="CheckBox" fmlaLink="DS_ExcelCheckBox_Op2_Dev5_50" lockText="1" noThreeD="1"/>
</file>

<file path=xl/ctrlProps/ctrlProp41.xml><?xml version="1.0" encoding="utf-8"?>
<formControlPr xmlns="http://schemas.microsoft.com/office/spreadsheetml/2009/9/main" objectType="CheckBox" fmlaLink="DS_ExcelCheckBox_Op2_Dev5_MI" lockText="1" noThreeD="1"/>
</file>

<file path=xl/ctrlProps/ctrlProp42.xml><?xml version="1.0" encoding="utf-8"?>
<formControlPr xmlns="http://schemas.microsoft.com/office/spreadsheetml/2009/9/main" objectType="CheckBox" fmlaLink="DS_ExcelCheckbox_Coordination_Exp_3rd_party" lockText="1" noThreeD="1"/>
</file>

<file path=xl/ctrlProps/ctrlProp43.xml><?xml version="1.0" encoding="utf-8"?>
<formControlPr xmlns="http://schemas.microsoft.com/office/spreadsheetml/2009/9/main" objectType="CheckBox" fmlaLink="DS_ExcelCheckbox_ExpApplicant" lockText="1" noThreeD="1"/>
</file>

<file path=xl/ctrlProps/ctrlProp44.xml><?xml version="1.0" encoding="utf-8"?>
<formControlPr xmlns="http://schemas.microsoft.com/office/spreadsheetml/2009/9/main" objectType="CheckBox" fmlaLink="DS_ExcelCheckBox_DC_Impaired" lockText="1" noThreeD="1"/>
</file>

<file path=xl/ctrlProps/ctrlProp45.xml><?xml version="1.0" encoding="utf-8"?>
<formControlPr xmlns="http://schemas.microsoft.com/office/spreadsheetml/2009/9/main" objectType="CheckBox" fmlaLink="DS_ExcelCheckBox_SSI" lockText="1" noThreeD="1"/>
</file>

<file path=xl/ctrlProps/ctrlProp46.xml><?xml version="1.0" encoding="utf-8"?>
<formControlPr xmlns="http://schemas.microsoft.com/office/spreadsheetml/2009/9/main" objectType="CheckBox" fmlaLink="DS_ExcelCheckBox_DC_Not_Impaired" lockText="1" noThreeD="1"/>
</file>

<file path=xl/ctrlProps/ctrlProp47.xml><?xml version="1.0" encoding="utf-8"?>
<formControlPr xmlns="http://schemas.microsoft.com/office/spreadsheetml/2009/9/main" objectType="CheckBox" fmlaLink="DS_ExcelCheckBox_YouthAgingOut" lockText="1" noThreeD="1"/>
</file>

<file path=xl/ctrlProps/ctrlProp48.xml><?xml version="1.0" encoding="utf-8"?>
<formControlPr xmlns="http://schemas.microsoft.com/office/spreadsheetml/2009/9/main" objectType="CheckBox" fmlaLink="DS_ExcelCheckBox_Survivors" lockText="1" noThreeD="1"/>
</file>

<file path=xl/ctrlProps/ctrlProp49.xml><?xml version="1.0" encoding="utf-8"?>
<formControlPr xmlns="http://schemas.microsoft.com/office/spreadsheetml/2009/9/main" objectType="CheckBox" fmlaLink="DS_ExcelCheckBox_LessThan80" lockText="1" noThreeD="1"/>
</file>

<file path=xl/ctrlProps/ctrlProp50.xml><?xml version="1.0" encoding="utf-8"?>
<formControlPr xmlns="http://schemas.microsoft.com/office/spreadsheetml/2009/9/main" objectType="CheckBox" fmlaLink="DS_ExcelCheckBox_AtLeast80" lockText="1" noThreeD="1"/>
</file>

<file path=xl/ctrlProps/ctrlProp51.xml><?xml version="1.0" encoding="utf-8"?>
<formControlPr xmlns="http://schemas.microsoft.com/office/spreadsheetml/2009/9/main" objectType="CheckBox" fmlaLink="DS_ExcelCheckBox_DevCat_CorpPortfolio" lockText="1" noThreeD="1"/>
</file>

<file path=xl/ctrlProps/ctrlProp52.xml><?xml version="1.0" encoding="utf-8"?>
<formControlPr xmlns="http://schemas.microsoft.com/office/spreadsheetml/2009/9/main" objectType="CheckBox" fmlaLink="DS_ExcelCheckBox_DevCat_RDPortfolio" lockText="1" noThreeD="1"/>
</file>

<file path=xl/ctrlProps/ctrlProp53.xml><?xml version="1.0" encoding="utf-8"?>
<formControlPr xmlns="http://schemas.microsoft.com/office/spreadsheetml/2009/9/main" objectType="CheckBox" fmlaLink="DS_ExcelCheckbox_thermostat" lockText="1" noThreeD="1"/>
</file>

<file path=xl/ctrlProps/ctrlProp54.xml><?xml version="1.0" encoding="utf-8"?>
<formControlPr xmlns="http://schemas.microsoft.com/office/spreadsheetml/2009/9/main" objectType="CheckBox" fmlaLink="DS_ExcelCheckbox_Humidistat" lockText="1" noThreeD="1"/>
</file>

<file path=xl/ctrlProps/ctrlProp55.xml><?xml version="1.0" encoding="utf-8"?>
<formControlPr xmlns="http://schemas.microsoft.com/office/spreadsheetml/2009/9/main" objectType="CheckBox" fmlaLink="DS_ExcelCheckbox_dual_flush" lockText="1" noThreeD="1"/>
</file>

<file path=xl/ctrlProps/ctrlProp56.xml><?xml version="1.0" encoding="utf-8"?>
<formControlPr xmlns="http://schemas.microsoft.com/office/spreadsheetml/2009/9/main" objectType="CheckBox" fmlaLink="DS_ExcelCheckbox_light_pavement" lockText="1" noThreeD="1"/>
</file>

<file path=xl/ctrlProps/ctrlProp57.xml><?xml version="1.0" encoding="utf-8"?>
<formControlPr xmlns="http://schemas.microsoft.com/office/spreadsheetml/2009/9/main" objectType="CheckBox" fmlaLink="DS_ExcelCheckbox_ES_roof_coating" lockText="1" noThreeD="1"/>
</file>

<file path=xl/ctrlProps/ctrlProp58.xml><?xml version="1.0" encoding="utf-8"?>
<formControlPr xmlns="http://schemas.microsoft.com/office/spreadsheetml/2009/9/main" objectType="CheckBox" fmlaLink="DS_ExcelCheckbox_ES_roof_materials" lockText="1" noThreeD="1"/>
</file>

<file path=xl/ctrlProps/ctrlProp59.xml><?xml version="1.0" encoding="utf-8"?>
<formControlPr xmlns="http://schemas.microsoft.com/office/spreadsheetml/2009/9/main" objectType="CheckBox" fmlaLink="DS_ExcelCheckbox_cabinets" lockText="1" noThreeD="1"/>
</file>

<file path=xl/ctrlProps/ctrlProp60.xml><?xml version="1.0" encoding="utf-8"?>
<formControlPr xmlns="http://schemas.microsoft.com/office/spreadsheetml/2009/9/main" objectType="CheckBox" fmlaLink="DS_ExcelCheckbox_flooring" lockText="1" noThreeD="1"/>
</file>

<file path=xl/ctrlProps/ctrlProp61.xml><?xml version="1.0" encoding="utf-8"?>
<formControlPr xmlns="http://schemas.microsoft.com/office/spreadsheetml/2009/9/main" objectType="CheckBox" fmlaLink="DS_ExcelCheckbox_SEER_for_AC" lockText="1" noThreeD="1"/>
</file>

<file path=xl/ctrlProps/ctrlProp62.xml><?xml version="1.0" encoding="utf-8"?>
<formControlPr xmlns="http://schemas.microsoft.com/office/spreadsheetml/2009/9/main" objectType="CheckBox" fmlaLink="DS_ExcelCheckbox_windows" lockText="1" noThreeD="1"/>
</file>

<file path=xl/ctrlProps/ctrlProp63.xml><?xml version="1.0" encoding="utf-8"?>
<formControlPr xmlns="http://schemas.microsoft.com/office/spreadsheetml/2009/9/main" objectType="CheckBox" fmlaLink="DS_ExcelCheckbox_Yards" lockText="1" noThreeD="1"/>
</file>

<file path=xl/ctrlProps/ctrlProp64.xml><?xml version="1.0" encoding="utf-8"?>
<formControlPr xmlns="http://schemas.microsoft.com/office/spreadsheetml/2009/9/main" objectType="CheckBox" fmlaLink="DS_ExcelCheckbox_sensors" lockText="1" noThreeD="1"/>
</file>

<file path=xl/ctrlProps/ctrlProp65.xml><?xml version="1.0" encoding="utf-8"?>
<formControlPr xmlns="http://schemas.microsoft.com/office/spreadsheetml/2009/9/main" objectType="CheckBox" fmlaLink="DS_ExcelCheckbox_FinMgmt" lockText="1" noThreeD="1"/>
</file>

<file path=xl/ctrlProps/ctrlProp66.xml><?xml version="1.0" encoding="utf-8"?>
<formControlPr xmlns="http://schemas.microsoft.com/office/spreadsheetml/2009/9/main" objectType="CheckBox" fmlaLink="DS_ExcelCheckbox_Computer_Training" lockText="1" noThreeD="1"/>
</file>

<file path=xl/ctrlProps/ctrlProp67.xml><?xml version="1.0" encoding="utf-8"?>
<formControlPr xmlns="http://schemas.microsoft.com/office/spreadsheetml/2009/9/main" objectType="CheckBox" fmlaLink="DS_ExcelCheckbox_Daily_Activities" lockText="1" noThreeD="1"/>
</file>

<file path=xl/ctrlProps/ctrlProp68.xml><?xml version="1.0" encoding="utf-8"?>
<formControlPr xmlns="http://schemas.microsoft.com/office/spreadsheetml/2009/9/main" objectType="CheckBox" fmlaLink="DS_ExcelCheckbox_Housekeeping" lockText="1" noThreeD="1"/>
</file>

<file path=xl/ctrlProps/ctrlProp69.xml><?xml version="1.0" encoding="utf-8"?>
<formControlPr xmlns="http://schemas.microsoft.com/office/spreadsheetml/2009/9/main" objectType="CheckBox" fmlaLink="DS_ExcelCheckbox_Resident_checkin" lockText="1" noThreeD="1"/>
</file>

<file path=xl/ctrlProps/ctrlProp70.xml><?xml version="1.0" encoding="utf-8"?>
<formControlPr xmlns="http://schemas.microsoft.com/office/spreadsheetml/2009/9/main" objectType="CheckBox" fmlaLink="DS_ExcelCheckBox_RD538" lockText="1" noThreeD="1"/>
</file>

<file path=xl/ctrlProps/ctrlProp71.xml><?xml version="1.0" encoding="utf-8"?>
<formControlPr xmlns="http://schemas.microsoft.com/office/spreadsheetml/2009/9/main" objectType="CheckBox" fmlaLink="DS_ExcelCheckBox_RD515" lockText="1" noThreeD="1"/>
</file>

<file path=xl/ctrlProps/ctrlProp72.xml><?xml version="1.0" encoding="utf-8"?>
<formControlPr xmlns="http://schemas.microsoft.com/office/spreadsheetml/2009/9/main" objectType="CheckBox" fmlaLink="Data1!$B$83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35</xdr:row>
          <xdr:rowOff>552450</xdr:rowOff>
        </xdr:from>
        <xdr:to>
          <xdr:col>4</xdr:col>
          <xdr:colOff>95250</xdr:colOff>
          <xdr:row>36</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3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95250</xdr:colOff>
          <xdr:row>40</xdr:row>
          <xdr:rowOff>228600</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3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38</xdr:row>
          <xdr:rowOff>19050</xdr:rowOff>
        </xdr:from>
        <xdr:to>
          <xdr:col>4</xdr:col>
          <xdr:colOff>114300</xdr:colOff>
          <xdr:row>38</xdr:row>
          <xdr:rowOff>247650</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3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114300</xdr:colOff>
          <xdr:row>40</xdr:row>
          <xdr:rowOff>228600</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3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6</xdr:row>
          <xdr:rowOff>0</xdr:rowOff>
        </xdr:from>
        <xdr:to>
          <xdr:col>4</xdr:col>
          <xdr:colOff>152400</xdr:colOff>
          <xdr:row>7</xdr:row>
          <xdr:rowOff>19050</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04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0</xdr:rowOff>
        </xdr:from>
        <xdr:to>
          <xdr:col>4</xdr:col>
          <xdr:colOff>152400</xdr:colOff>
          <xdr:row>8</xdr:row>
          <xdr:rowOff>19050</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04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0</xdr:rowOff>
        </xdr:from>
        <xdr:to>
          <xdr:col>4</xdr:col>
          <xdr:colOff>152400</xdr:colOff>
          <xdr:row>17</xdr:row>
          <xdr:rowOff>19050</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04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19050</xdr:rowOff>
        </xdr:from>
        <xdr:to>
          <xdr:col>5</xdr:col>
          <xdr:colOff>95250</xdr:colOff>
          <xdr:row>9</xdr:row>
          <xdr:rowOff>247650</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6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19050</xdr:rowOff>
        </xdr:from>
        <xdr:to>
          <xdr:col>5</xdr:col>
          <xdr:colOff>95250</xdr:colOff>
          <xdr:row>10</xdr:row>
          <xdr:rowOff>247650</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6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95250</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6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95250</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06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19</xdr:row>
          <xdr:rowOff>171450</xdr:rowOff>
        </xdr:from>
        <xdr:to>
          <xdr:col>4</xdr:col>
          <xdr:colOff>38100</xdr:colOff>
          <xdr:row>21</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7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190500</xdr:rowOff>
        </xdr:from>
        <xdr:to>
          <xdr:col>4</xdr:col>
          <xdr:colOff>38100</xdr:colOff>
          <xdr:row>22</xdr:row>
          <xdr:rowOff>19050</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7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190500</xdr:rowOff>
        </xdr:from>
        <xdr:to>
          <xdr:col>8</xdr:col>
          <xdr:colOff>552450</xdr:colOff>
          <xdr:row>21</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7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190500</xdr:rowOff>
        </xdr:from>
        <xdr:to>
          <xdr:col>8</xdr:col>
          <xdr:colOff>552450</xdr:colOff>
          <xdr:row>22</xdr:row>
          <xdr:rowOff>19050</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7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xdr:row>
          <xdr:rowOff>190500</xdr:rowOff>
        </xdr:from>
        <xdr:to>
          <xdr:col>4</xdr:col>
          <xdr:colOff>38100</xdr:colOff>
          <xdr:row>33</xdr:row>
          <xdr:rowOff>19050</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7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190500</xdr:rowOff>
        </xdr:from>
        <xdr:to>
          <xdr:col>4</xdr:col>
          <xdr:colOff>38100</xdr:colOff>
          <xdr:row>34</xdr:row>
          <xdr:rowOff>19050</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7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31</xdr:row>
          <xdr:rowOff>190500</xdr:rowOff>
        </xdr:from>
        <xdr:to>
          <xdr:col>8</xdr:col>
          <xdr:colOff>571500</xdr:colOff>
          <xdr:row>33</xdr:row>
          <xdr:rowOff>19050</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7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32</xdr:row>
          <xdr:rowOff>190500</xdr:rowOff>
        </xdr:from>
        <xdr:to>
          <xdr:col>8</xdr:col>
          <xdr:colOff>571500</xdr:colOff>
          <xdr:row>34</xdr:row>
          <xdr:rowOff>19050</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7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xdr:row>
          <xdr:rowOff>190500</xdr:rowOff>
        </xdr:from>
        <xdr:to>
          <xdr:col>4</xdr:col>
          <xdr:colOff>38100</xdr:colOff>
          <xdr:row>45</xdr:row>
          <xdr:rowOff>19050</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7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44</xdr:row>
          <xdr:rowOff>190500</xdr:rowOff>
        </xdr:from>
        <xdr:to>
          <xdr:col>4</xdr:col>
          <xdr:colOff>38100</xdr:colOff>
          <xdr:row>46</xdr:row>
          <xdr:rowOff>19050</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7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43</xdr:row>
          <xdr:rowOff>190500</xdr:rowOff>
        </xdr:from>
        <xdr:to>
          <xdr:col>8</xdr:col>
          <xdr:colOff>571500</xdr:colOff>
          <xdr:row>45</xdr:row>
          <xdr:rowOff>19050</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7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44</xdr:row>
          <xdr:rowOff>190500</xdr:rowOff>
        </xdr:from>
        <xdr:to>
          <xdr:col>8</xdr:col>
          <xdr:colOff>571500</xdr:colOff>
          <xdr:row>46</xdr:row>
          <xdr:rowOff>19050</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7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55</xdr:row>
          <xdr:rowOff>190500</xdr:rowOff>
        </xdr:from>
        <xdr:to>
          <xdr:col>4</xdr:col>
          <xdr:colOff>38100</xdr:colOff>
          <xdr:row>57</xdr:row>
          <xdr:rowOff>19050</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7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56</xdr:row>
          <xdr:rowOff>171450</xdr:rowOff>
        </xdr:from>
        <xdr:to>
          <xdr:col>4</xdr:col>
          <xdr:colOff>38100</xdr:colOff>
          <xdr:row>58</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7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55</xdr:row>
          <xdr:rowOff>190500</xdr:rowOff>
        </xdr:from>
        <xdr:to>
          <xdr:col>8</xdr:col>
          <xdr:colOff>571500</xdr:colOff>
          <xdr:row>57</xdr:row>
          <xdr:rowOff>19050</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7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56</xdr:row>
          <xdr:rowOff>171450</xdr:rowOff>
        </xdr:from>
        <xdr:to>
          <xdr:col>8</xdr:col>
          <xdr:colOff>571500</xdr:colOff>
          <xdr:row>58</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7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79</xdr:row>
          <xdr:rowOff>171450</xdr:rowOff>
        </xdr:from>
        <xdr:to>
          <xdr:col>4</xdr:col>
          <xdr:colOff>38100</xdr:colOff>
          <xdr:row>81</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7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79</xdr:row>
          <xdr:rowOff>171450</xdr:rowOff>
        </xdr:from>
        <xdr:to>
          <xdr:col>8</xdr:col>
          <xdr:colOff>571500</xdr:colOff>
          <xdr:row>81</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7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89</xdr:row>
          <xdr:rowOff>171450</xdr:rowOff>
        </xdr:from>
        <xdr:to>
          <xdr:col>4</xdr:col>
          <xdr:colOff>38100</xdr:colOff>
          <xdr:row>91</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7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89</xdr:row>
          <xdr:rowOff>171450</xdr:rowOff>
        </xdr:from>
        <xdr:to>
          <xdr:col>8</xdr:col>
          <xdr:colOff>571500</xdr:colOff>
          <xdr:row>91</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7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67</xdr:row>
          <xdr:rowOff>171450</xdr:rowOff>
        </xdr:from>
        <xdr:to>
          <xdr:col>4</xdr:col>
          <xdr:colOff>38100</xdr:colOff>
          <xdr:row>69</xdr:row>
          <xdr:rowOff>0</xdr:rowOff>
        </xdr:to>
        <xdr:sp macro="" textlink="">
          <xdr:nvSpPr>
            <xdr:cNvPr id="202776" name="Check Box 24" hidden="1">
              <a:extLst>
                <a:ext uri="{63B3BB69-23CF-44E3-9099-C40C66FF867C}">
                  <a14:compatExt spid="_x0000_s202776"/>
                </a:ext>
                <a:ext uri="{FF2B5EF4-FFF2-40B4-BE49-F238E27FC236}">
                  <a16:creationId xmlns:a16="http://schemas.microsoft.com/office/drawing/2014/main" id="{00000000-0008-0000-0700-00001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68</xdr:row>
          <xdr:rowOff>190500</xdr:rowOff>
        </xdr:from>
        <xdr:to>
          <xdr:col>4</xdr:col>
          <xdr:colOff>38100</xdr:colOff>
          <xdr:row>70</xdr:row>
          <xdr:rowOff>19050</xdr:rowOff>
        </xdr:to>
        <xdr:sp macro="" textlink="">
          <xdr:nvSpPr>
            <xdr:cNvPr id="202777" name="Check Box 25" hidden="1">
              <a:extLst>
                <a:ext uri="{63B3BB69-23CF-44E3-9099-C40C66FF867C}">
                  <a14:compatExt spid="_x0000_s202777"/>
                </a:ext>
                <a:ext uri="{FF2B5EF4-FFF2-40B4-BE49-F238E27FC236}">
                  <a16:creationId xmlns:a16="http://schemas.microsoft.com/office/drawing/2014/main" id="{00000000-0008-0000-0700-00001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67</xdr:row>
          <xdr:rowOff>190500</xdr:rowOff>
        </xdr:from>
        <xdr:to>
          <xdr:col>8</xdr:col>
          <xdr:colOff>552450</xdr:colOff>
          <xdr:row>69</xdr:row>
          <xdr:rowOff>19050</xdr:rowOff>
        </xdr:to>
        <xdr:sp macro="" textlink="">
          <xdr:nvSpPr>
            <xdr:cNvPr id="202778" name="Check Box 26" hidden="1">
              <a:extLst>
                <a:ext uri="{63B3BB69-23CF-44E3-9099-C40C66FF867C}">
                  <a14:compatExt spid="_x0000_s202778"/>
                </a:ext>
                <a:ext uri="{FF2B5EF4-FFF2-40B4-BE49-F238E27FC236}">
                  <a16:creationId xmlns:a16="http://schemas.microsoft.com/office/drawing/2014/main" id="{00000000-0008-0000-0700-00001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190500</xdr:rowOff>
        </xdr:from>
        <xdr:to>
          <xdr:col>8</xdr:col>
          <xdr:colOff>552450</xdr:colOff>
          <xdr:row>70</xdr:row>
          <xdr:rowOff>19050</xdr:rowOff>
        </xdr:to>
        <xdr:sp macro="" textlink="">
          <xdr:nvSpPr>
            <xdr:cNvPr id="202779" name="Check Box 27" hidden="1">
              <a:extLst>
                <a:ext uri="{63B3BB69-23CF-44E3-9099-C40C66FF867C}">
                  <a14:compatExt spid="_x0000_s202779"/>
                </a:ext>
                <a:ext uri="{FF2B5EF4-FFF2-40B4-BE49-F238E27FC236}">
                  <a16:creationId xmlns:a16="http://schemas.microsoft.com/office/drawing/2014/main" id="{00000000-0008-0000-0700-00001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99</xdr:row>
          <xdr:rowOff>171450</xdr:rowOff>
        </xdr:from>
        <xdr:to>
          <xdr:col>4</xdr:col>
          <xdr:colOff>38100</xdr:colOff>
          <xdr:row>101</xdr:row>
          <xdr:rowOff>0</xdr:rowOff>
        </xdr:to>
        <xdr:sp macro="" textlink="">
          <xdr:nvSpPr>
            <xdr:cNvPr id="202781" name="Check Box 29" hidden="1">
              <a:extLst>
                <a:ext uri="{63B3BB69-23CF-44E3-9099-C40C66FF867C}">
                  <a14:compatExt spid="_x0000_s202781"/>
                </a:ext>
                <a:ext uri="{FF2B5EF4-FFF2-40B4-BE49-F238E27FC236}">
                  <a16:creationId xmlns:a16="http://schemas.microsoft.com/office/drawing/2014/main" id="{00000000-0008-0000-0700-00001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99</xdr:row>
          <xdr:rowOff>171450</xdr:rowOff>
        </xdr:from>
        <xdr:to>
          <xdr:col>8</xdr:col>
          <xdr:colOff>571500</xdr:colOff>
          <xdr:row>101</xdr:row>
          <xdr:rowOff>0</xdr:rowOff>
        </xdr:to>
        <xdr:sp macro="" textlink="">
          <xdr:nvSpPr>
            <xdr:cNvPr id="202782" name="Check Box 30" hidden="1">
              <a:extLst>
                <a:ext uri="{63B3BB69-23CF-44E3-9099-C40C66FF867C}">
                  <a14:compatExt spid="_x0000_s202782"/>
                </a:ext>
                <a:ext uri="{FF2B5EF4-FFF2-40B4-BE49-F238E27FC236}">
                  <a16:creationId xmlns:a16="http://schemas.microsoft.com/office/drawing/2014/main" id="{00000000-0008-0000-0700-00001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109</xdr:row>
          <xdr:rowOff>171450</xdr:rowOff>
        </xdr:from>
        <xdr:to>
          <xdr:col>4</xdr:col>
          <xdr:colOff>38100</xdr:colOff>
          <xdr:row>111</xdr:row>
          <xdr:rowOff>0</xdr:rowOff>
        </xdr:to>
        <xdr:sp macro="" textlink="">
          <xdr:nvSpPr>
            <xdr:cNvPr id="202783" name="Check Box 31" hidden="1">
              <a:extLst>
                <a:ext uri="{63B3BB69-23CF-44E3-9099-C40C66FF867C}">
                  <a14:compatExt spid="_x0000_s202783"/>
                </a:ext>
                <a:ext uri="{FF2B5EF4-FFF2-40B4-BE49-F238E27FC236}">
                  <a16:creationId xmlns:a16="http://schemas.microsoft.com/office/drawing/2014/main" id="{00000000-0008-0000-0700-00001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109</xdr:row>
          <xdr:rowOff>171450</xdr:rowOff>
        </xdr:from>
        <xdr:to>
          <xdr:col>8</xdr:col>
          <xdr:colOff>571500</xdr:colOff>
          <xdr:row>111</xdr:row>
          <xdr:rowOff>0</xdr:rowOff>
        </xdr:to>
        <xdr:sp macro="" textlink="">
          <xdr:nvSpPr>
            <xdr:cNvPr id="202784" name="Check Box 32" hidden="1">
              <a:extLst>
                <a:ext uri="{63B3BB69-23CF-44E3-9099-C40C66FF867C}">
                  <a14:compatExt spid="_x0000_s202784"/>
                </a:ext>
                <a:ext uri="{FF2B5EF4-FFF2-40B4-BE49-F238E27FC236}">
                  <a16:creationId xmlns:a16="http://schemas.microsoft.com/office/drawing/2014/main" id="{00000000-0008-0000-0700-00002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119</xdr:row>
          <xdr:rowOff>171450</xdr:rowOff>
        </xdr:from>
        <xdr:to>
          <xdr:col>4</xdr:col>
          <xdr:colOff>38100</xdr:colOff>
          <xdr:row>121</xdr:row>
          <xdr:rowOff>0</xdr:rowOff>
        </xdr:to>
        <xdr:sp macro="" textlink="">
          <xdr:nvSpPr>
            <xdr:cNvPr id="202785" name="Check Box 33" hidden="1">
              <a:extLst>
                <a:ext uri="{63B3BB69-23CF-44E3-9099-C40C66FF867C}">
                  <a14:compatExt spid="_x0000_s202785"/>
                </a:ext>
                <a:ext uri="{FF2B5EF4-FFF2-40B4-BE49-F238E27FC236}">
                  <a16:creationId xmlns:a16="http://schemas.microsoft.com/office/drawing/2014/main" id="{00000000-0008-0000-0700-00002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119</xdr:row>
          <xdr:rowOff>171450</xdr:rowOff>
        </xdr:from>
        <xdr:to>
          <xdr:col>8</xdr:col>
          <xdr:colOff>571500</xdr:colOff>
          <xdr:row>121</xdr:row>
          <xdr:rowOff>0</xdr:rowOff>
        </xdr:to>
        <xdr:sp macro="" textlink="">
          <xdr:nvSpPr>
            <xdr:cNvPr id="202786" name="Check Box 34" hidden="1">
              <a:extLst>
                <a:ext uri="{63B3BB69-23CF-44E3-9099-C40C66FF867C}">
                  <a14:compatExt spid="_x0000_s202786"/>
                </a:ext>
                <a:ext uri="{FF2B5EF4-FFF2-40B4-BE49-F238E27FC236}">
                  <a16:creationId xmlns:a16="http://schemas.microsoft.com/office/drawing/2014/main" id="{00000000-0008-0000-0700-00002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457200</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8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457200</xdr:colOff>
          <xdr:row>7</xdr:row>
          <xdr:rowOff>228600</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8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67</xdr:row>
          <xdr:rowOff>228600</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B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67</xdr:row>
          <xdr:rowOff>228600</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B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476250</xdr:rowOff>
        </xdr:from>
        <xdr:to>
          <xdr:col>4</xdr:col>
          <xdr:colOff>114300</xdr:colOff>
          <xdr:row>67</xdr:row>
          <xdr:rowOff>209550</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B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67</xdr:row>
          <xdr:rowOff>228600</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B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19050</xdr:rowOff>
        </xdr:from>
        <xdr:to>
          <xdr:col>4</xdr:col>
          <xdr:colOff>114300</xdr:colOff>
          <xdr:row>67</xdr:row>
          <xdr:rowOff>209550</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B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114300</xdr:colOff>
          <xdr:row>67</xdr:row>
          <xdr:rowOff>228600</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B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114300</xdr:colOff>
          <xdr:row>67</xdr:row>
          <xdr:rowOff>228600</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B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76</xdr:row>
          <xdr:rowOff>19050</xdr:rowOff>
        </xdr:from>
        <xdr:to>
          <xdr:col>4</xdr:col>
          <xdr:colOff>342900</xdr:colOff>
          <xdr:row>85</xdr:row>
          <xdr:rowOff>19050</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C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85</xdr:row>
          <xdr:rowOff>19050</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C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76200</xdr:colOff>
          <xdr:row>17</xdr:row>
          <xdr:rowOff>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11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228600</xdr:rowOff>
        </xdr:from>
        <xdr:to>
          <xdr:col>5</xdr:col>
          <xdr:colOff>76200</xdr:colOff>
          <xdr:row>18</xdr:row>
          <xdr:rowOff>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11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228600</xdr:rowOff>
        </xdr:from>
        <xdr:to>
          <xdr:col>5</xdr:col>
          <xdr:colOff>76200</xdr:colOff>
          <xdr:row>19</xdr:row>
          <xdr:rowOff>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11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76200</xdr:colOff>
          <xdr:row>19</xdr:row>
          <xdr:rowOff>228600</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11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76200</xdr:colOff>
          <xdr:row>20</xdr:row>
          <xdr:rowOff>209550</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11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228600</xdr:rowOff>
        </xdr:from>
        <xdr:to>
          <xdr:col>5</xdr:col>
          <xdr:colOff>76200</xdr:colOff>
          <xdr:row>22</xdr:row>
          <xdr:rowOff>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11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438150</xdr:rowOff>
        </xdr:from>
        <xdr:to>
          <xdr:col>5</xdr:col>
          <xdr:colOff>76200</xdr:colOff>
          <xdr:row>22</xdr:row>
          <xdr:rowOff>228600</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11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666750</xdr:rowOff>
        </xdr:from>
        <xdr:to>
          <xdr:col>5</xdr:col>
          <xdr:colOff>76200</xdr:colOff>
          <xdr:row>23</xdr:row>
          <xdr:rowOff>228600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11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609600</xdr:rowOff>
        </xdr:from>
        <xdr:to>
          <xdr:col>5</xdr:col>
          <xdr:colOff>76200</xdr:colOff>
          <xdr:row>24</xdr:row>
          <xdr:rowOff>209550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11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76200</xdr:colOff>
          <xdr:row>26</xdr:row>
          <xdr:rowOff>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11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76200</xdr:colOff>
          <xdr:row>31</xdr:row>
          <xdr:rowOff>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11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228600</xdr:rowOff>
        </xdr:from>
        <xdr:to>
          <xdr:col>5</xdr:col>
          <xdr:colOff>76200</xdr:colOff>
          <xdr:row>31</xdr:row>
          <xdr:rowOff>228600</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11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14</xdr:row>
          <xdr:rowOff>381000</xdr:rowOff>
        </xdr:from>
        <xdr:to>
          <xdr:col>4</xdr:col>
          <xdr:colOff>171450</xdr:colOff>
          <xdr:row>16</xdr:row>
          <xdr:rowOff>0</xdr:rowOff>
        </xdr:to>
        <xdr:sp macro="" textlink="">
          <xdr:nvSpPr>
            <xdr:cNvPr id="223238" name="Check Box 6" hidden="1">
              <a:extLst>
                <a:ext uri="{63B3BB69-23CF-44E3-9099-C40C66FF867C}">
                  <a14:compatExt spid="_x0000_s223238"/>
                </a:ext>
                <a:ext uri="{FF2B5EF4-FFF2-40B4-BE49-F238E27FC236}">
                  <a16:creationId xmlns:a16="http://schemas.microsoft.com/office/drawing/2014/main" id="{00000000-0008-0000-1200-000006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171450</xdr:colOff>
          <xdr:row>17</xdr:row>
          <xdr:rowOff>0</xdr:rowOff>
        </xdr:to>
        <xdr:sp macro="" textlink="">
          <xdr:nvSpPr>
            <xdr:cNvPr id="223239" name="Check Box 7" hidden="1">
              <a:extLst>
                <a:ext uri="{63B3BB69-23CF-44E3-9099-C40C66FF867C}">
                  <a14:compatExt spid="_x0000_s223239"/>
                </a:ext>
                <a:ext uri="{FF2B5EF4-FFF2-40B4-BE49-F238E27FC236}">
                  <a16:creationId xmlns:a16="http://schemas.microsoft.com/office/drawing/2014/main" id="{00000000-0008-0000-1200-000007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171450</xdr:colOff>
          <xdr:row>18</xdr:row>
          <xdr:rowOff>0</xdr:rowOff>
        </xdr:to>
        <xdr:sp macro="" textlink="">
          <xdr:nvSpPr>
            <xdr:cNvPr id="223240" name="Check Box 8" hidden="1">
              <a:extLst>
                <a:ext uri="{63B3BB69-23CF-44E3-9099-C40C66FF867C}">
                  <a14:compatExt spid="_x0000_s223240"/>
                </a:ext>
                <a:ext uri="{FF2B5EF4-FFF2-40B4-BE49-F238E27FC236}">
                  <a16:creationId xmlns:a16="http://schemas.microsoft.com/office/drawing/2014/main" id="{00000000-0008-0000-1200-000008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209550</xdr:rowOff>
        </xdr:from>
        <xdr:to>
          <xdr:col>4</xdr:col>
          <xdr:colOff>171450</xdr:colOff>
          <xdr:row>18</xdr:row>
          <xdr:rowOff>209550</xdr:rowOff>
        </xdr:to>
        <xdr:sp macro="" textlink="">
          <xdr:nvSpPr>
            <xdr:cNvPr id="223241" name="Check Box 9" hidden="1">
              <a:extLst>
                <a:ext uri="{63B3BB69-23CF-44E3-9099-C40C66FF867C}">
                  <a14:compatExt spid="_x0000_s223241"/>
                </a:ext>
                <a:ext uri="{FF2B5EF4-FFF2-40B4-BE49-F238E27FC236}">
                  <a16:creationId xmlns:a16="http://schemas.microsoft.com/office/drawing/2014/main" id="{00000000-0008-0000-1200-000009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209550</xdr:rowOff>
        </xdr:from>
        <xdr:to>
          <xdr:col>4</xdr:col>
          <xdr:colOff>171450</xdr:colOff>
          <xdr:row>19</xdr:row>
          <xdr:rowOff>209550</xdr:rowOff>
        </xdr:to>
        <xdr:sp macro="" textlink="">
          <xdr:nvSpPr>
            <xdr:cNvPr id="223242" name="Check Box 10" hidden="1">
              <a:extLst>
                <a:ext uri="{63B3BB69-23CF-44E3-9099-C40C66FF867C}">
                  <a14:compatExt spid="_x0000_s223242"/>
                </a:ext>
                <a:ext uri="{FF2B5EF4-FFF2-40B4-BE49-F238E27FC236}">
                  <a16:creationId xmlns:a16="http://schemas.microsoft.com/office/drawing/2014/main" id="{00000000-0008-0000-1200-00000A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450</xdr:row>
          <xdr:rowOff>0</xdr:rowOff>
        </xdr:from>
        <xdr:to>
          <xdr:col>4</xdr:col>
          <xdr:colOff>666750</xdr:colOff>
          <xdr:row>451</xdr:row>
          <xdr:rowOff>19050</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13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449</xdr:row>
          <xdr:rowOff>0</xdr:rowOff>
        </xdr:from>
        <xdr:to>
          <xdr:col>4</xdr:col>
          <xdr:colOff>666750</xdr:colOff>
          <xdr:row>450</xdr:row>
          <xdr:rowOff>19050</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13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448</xdr:row>
          <xdr:rowOff>0</xdr:rowOff>
        </xdr:from>
        <xdr:to>
          <xdr:col>4</xdr:col>
          <xdr:colOff>666750</xdr:colOff>
          <xdr:row>450</xdr:row>
          <xdr:rowOff>19050</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13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ctrlProp" Target="../ctrlProps/ctrlProp11.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21.xml"/><Relationship Id="rId18" Type="http://schemas.openxmlformats.org/officeDocument/2006/relationships/ctrlProp" Target="../ctrlProps/ctrlProp26.xml"/><Relationship Id="rId26" Type="http://schemas.openxmlformats.org/officeDocument/2006/relationships/ctrlProp" Target="../ctrlProps/ctrlProp34.xml"/><Relationship Id="rId3" Type="http://schemas.openxmlformats.org/officeDocument/2006/relationships/vmlDrawing" Target="../drawings/vmlDrawing6.vml"/><Relationship Id="rId21" Type="http://schemas.openxmlformats.org/officeDocument/2006/relationships/ctrlProp" Target="../ctrlProps/ctrlProp29.xml"/><Relationship Id="rId7" Type="http://schemas.openxmlformats.org/officeDocument/2006/relationships/ctrlProp" Target="../ctrlProps/ctrlProp15.xml"/><Relationship Id="rId12" Type="http://schemas.openxmlformats.org/officeDocument/2006/relationships/ctrlProp" Target="../ctrlProps/ctrlProp20.xml"/><Relationship Id="rId17" Type="http://schemas.openxmlformats.org/officeDocument/2006/relationships/ctrlProp" Target="../ctrlProps/ctrlProp25.xml"/><Relationship Id="rId25" Type="http://schemas.openxmlformats.org/officeDocument/2006/relationships/ctrlProp" Target="../ctrlProps/ctrlProp33.xml"/><Relationship Id="rId33" Type="http://schemas.openxmlformats.org/officeDocument/2006/relationships/ctrlProp" Target="../ctrlProps/ctrlProp41.xml"/><Relationship Id="rId2" Type="http://schemas.openxmlformats.org/officeDocument/2006/relationships/drawing" Target="../drawings/drawing4.xml"/><Relationship Id="rId16" Type="http://schemas.openxmlformats.org/officeDocument/2006/relationships/ctrlProp" Target="../ctrlProps/ctrlProp24.xml"/><Relationship Id="rId20" Type="http://schemas.openxmlformats.org/officeDocument/2006/relationships/ctrlProp" Target="../ctrlProps/ctrlProp28.xml"/><Relationship Id="rId29" Type="http://schemas.openxmlformats.org/officeDocument/2006/relationships/ctrlProp" Target="../ctrlProps/ctrlProp37.xml"/><Relationship Id="rId1" Type="http://schemas.openxmlformats.org/officeDocument/2006/relationships/printerSettings" Target="../printerSettings/printerSettings8.bin"/><Relationship Id="rId6" Type="http://schemas.openxmlformats.org/officeDocument/2006/relationships/ctrlProp" Target="../ctrlProps/ctrlProp14.xml"/><Relationship Id="rId11" Type="http://schemas.openxmlformats.org/officeDocument/2006/relationships/ctrlProp" Target="../ctrlProps/ctrlProp19.xml"/><Relationship Id="rId24" Type="http://schemas.openxmlformats.org/officeDocument/2006/relationships/ctrlProp" Target="../ctrlProps/ctrlProp32.xml"/><Relationship Id="rId32" Type="http://schemas.openxmlformats.org/officeDocument/2006/relationships/ctrlProp" Target="../ctrlProps/ctrlProp40.xml"/><Relationship Id="rId5" Type="http://schemas.openxmlformats.org/officeDocument/2006/relationships/ctrlProp" Target="../ctrlProps/ctrlProp13.xml"/><Relationship Id="rId15" Type="http://schemas.openxmlformats.org/officeDocument/2006/relationships/ctrlProp" Target="../ctrlProps/ctrlProp23.xml"/><Relationship Id="rId23" Type="http://schemas.openxmlformats.org/officeDocument/2006/relationships/ctrlProp" Target="../ctrlProps/ctrlProp31.xml"/><Relationship Id="rId28" Type="http://schemas.openxmlformats.org/officeDocument/2006/relationships/ctrlProp" Target="../ctrlProps/ctrlProp36.xml"/><Relationship Id="rId10" Type="http://schemas.openxmlformats.org/officeDocument/2006/relationships/ctrlProp" Target="../ctrlProps/ctrlProp18.xml"/><Relationship Id="rId19" Type="http://schemas.openxmlformats.org/officeDocument/2006/relationships/ctrlProp" Target="../ctrlProps/ctrlProp27.xml"/><Relationship Id="rId31" Type="http://schemas.openxmlformats.org/officeDocument/2006/relationships/ctrlProp" Target="../ctrlProps/ctrlProp39.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 Id="rId22" Type="http://schemas.openxmlformats.org/officeDocument/2006/relationships/ctrlProp" Target="../ctrlProps/ctrlProp30.xml"/><Relationship Id="rId27" Type="http://schemas.openxmlformats.org/officeDocument/2006/relationships/ctrlProp" Target="../ctrlProps/ctrlProp35.xml"/><Relationship Id="rId30" Type="http://schemas.openxmlformats.org/officeDocument/2006/relationships/ctrlProp" Target="../ctrlProps/ctrlProp38.xml"/><Relationship Id="rId8" Type="http://schemas.openxmlformats.org/officeDocument/2006/relationships/ctrlProp" Target="../ctrlProps/ctrlProp1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9.bin"/><Relationship Id="rId5" Type="http://schemas.openxmlformats.org/officeDocument/2006/relationships/ctrlProp" Target="../ctrlProps/ctrlProp43.xml"/><Relationship Id="rId4" Type="http://schemas.openxmlformats.org/officeDocument/2006/relationships/ctrlProp" Target="../ctrlProps/ctrlProp4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irs.gov/pub/irs-drop/rp-25-32.pdf" TargetMode="External"/><Relationship Id="rId7" Type="http://schemas.openxmlformats.org/officeDocument/2006/relationships/comments" Target="../comments3.xml"/><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6" Type="http://schemas.openxmlformats.org/officeDocument/2006/relationships/vmlDrawing" Target="../drawings/vmlDrawing8.vml"/><Relationship Id="rId5" Type="http://schemas.openxmlformats.org/officeDocument/2006/relationships/printerSettings" Target="../printerSettings/printerSettings11.bin"/><Relationship Id="rId4" Type="http://schemas.openxmlformats.org/officeDocument/2006/relationships/hyperlink" Target="https://www.irs.gov/pub/irs-drop/rp-25-32.pdf" TargetMode="Externa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48.xml"/><Relationship Id="rId3" Type="http://schemas.openxmlformats.org/officeDocument/2006/relationships/vmlDrawing" Target="../drawings/vmlDrawing9.vml"/><Relationship Id="rId7" Type="http://schemas.openxmlformats.org/officeDocument/2006/relationships/ctrlProp" Target="../ctrlProps/ctrlProp47.xml"/><Relationship Id="rId2" Type="http://schemas.openxmlformats.org/officeDocument/2006/relationships/drawing" Target="../drawings/drawing6.xml"/><Relationship Id="rId1" Type="http://schemas.openxmlformats.org/officeDocument/2006/relationships/printerSettings" Target="../printerSettings/printerSettings12.bin"/><Relationship Id="rId6" Type="http://schemas.openxmlformats.org/officeDocument/2006/relationships/ctrlProp" Target="../ctrlProps/ctrlProp46.xml"/><Relationship Id="rId5" Type="http://schemas.openxmlformats.org/officeDocument/2006/relationships/ctrlProp" Target="../ctrlProps/ctrlProp45.xml"/><Relationship Id="rId10" Type="http://schemas.openxmlformats.org/officeDocument/2006/relationships/ctrlProp" Target="../ctrlProps/ctrlProp50.xml"/><Relationship Id="rId4" Type="http://schemas.openxmlformats.org/officeDocument/2006/relationships/ctrlProp" Target="../ctrlProps/ctrlProp44.xml"/><Relationship Id="rId9" Type="http://schemas.openxmlformats.org/officeDocument/2006/relationships/ctrlProp" Target="../ctrlProps/ctrlProp4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52.xml"/><Relationship Id="rId4" Type="http://schemas.openxmlformats.org/officeDocument/2006/relationships/ctrlProp" Target="../ctrlProps/ctrlProp51.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57.xml"/><Relationship Id="rId13" Type="http://schemas.openxmlformats.org/officeDocument/2006/relationships/ctrlProp" Target="../ctrlProps/ctrlProp62.xml"/><Relationship Id="rId3" Type="http://schemas.openxmlformats.org/officeDocument/2006/relationships/vmlDrawing" Target="../drawings/vmlDrawing11.vml"/><Relationship Id="rId7" Type="http://schemas.openxmlformats.org/officeDocument/2006/relationships/ctrlProp" Target="../ctrlProps/ctrlProp56.xml"/><Relationship Id="rId12" Type="http://schemas.openxmlformats.org/officeDocument/2006/relationships/ctrlProp" Target="../ctrlProps/ctrlProp61.xml"/><Relationship Id="rId2" Type="http://schemas.openxmlformats.org/officeDocument/2006/relationships/drawing" Target="../drawings/drawing8.xml"/><Relationship Id="rId1" Type="http://schemas.openxmlformats.org/officeDocument/2006/relationships/printerSettings" Target="../printerSettings/printerSettings18.bin"/><Relationship Id="rId6" Type="http://schemas.openxmlformats.org/officeDocument/2006/relationships/ctrlProp" Target="../ctrlProps/ctrlProp55.xml"/><Relationship Id="rId11" Type="http://schemas.openxmlformats.org/officeDocument/2006/relationships/ctrlProp" Target="../ctrlProps/ctrlProp60.xml"/><Relationship Id="rId5" Type="http://schemas.openxmlformats.org/officeDocument/2006/relationships/ctrlProp" Target="../ctrlProps/ctrlProp54.xml"/><Relationship Id="rId15" Type="http://schemas.openxmlformats.org/officeDocument/2006/relationships/ctrlProp" Target="../ctrlProps/ctrlProp64.xml"/><Relationship Id="rId10" Type="http://schemas.openxmlformats.org/officeDocument/2006/relationships/ctrlProp" Target="../ctrlProps/ctrlProp59.xml"/><Relationship Id="rId4" Type="http://schemas.openxmlformats.org/officeDocument/2006/relationships/ctrlProp" Target="../ctrlProps/ctrlProp53.xml"/><Relationship Id="rId9" Type="http://schemas.openxmlformats.org/officeDocument/2006/relationships/ctrlProp" Target="../ctrlProps/ctrlProp58.xml"/><Relationship Id="rId14" Type="http://schemas.openxmlformats.org/officeDocument/2006/relationships/ctrlProp" Target="../ctrlProps/ctrlProp63.xml"/></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69.xml"/><Relationship Id="rId3" Type="http://schemas.openxmlformats.org/officeDocument/2006/relationships/vmlDrawing" Target="../drawings/vmlDrawing12.vml"/><Relationship Id="rId7" Type="http://schemas.openxmlformats.org/officeDocument/2006/relationships/ctrlProp" Target="../ctrlProps/ctrlProp68.xml"/><Relationship Id="rId2" Type="http://schemas.openxmlformats.org/officeDocument/2006/relationships/drawing" Target="../drawings/drawing9.xml"/><Relationship Id="rId1" Type="http://schemas.openxmlformats.org/officeDocument/2006/relationships/printerSettings" Target="../printerSettings/printerSettings19.bin"/><Relationship Id="rId6" Type="http://schemas.openxmlformats.org/officeDocument/2006/relationships/ctrlProp" Target="../ctrlProps/ctrlProp67.xml"/><Relationship Id="rId5" Type="http://schemas.openxmlformats.org/officeDocument/2006/relationships/ctrlProp" Target="../ctrlProps/ctrlProp66.xml"/><Relationship Id="rId4" Type="http://schemas.openxmlformats.org/officeDocument/2006/relationships/ctrlProp" Target="../ctrlProps/ctrlProp65.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20.bin"/><Relationship Id="rId6" Type="http://schemas.openxmlformats.org/officeDocument/2006/relationships/ctrlProp" Target="../ctrlProps/ctrlProp72.xml"/><Relationship Id="rId5" Type="http://schemas.openxmlformats.org/officeDocument/2006/relationships/ctrlProp" Target="../ctrlProps/ctrlProp71.xml"/><Relationship Id="rId4" Type="http://schemas.openxmlformats.org/officeDocument/2006/relationships/ctrlProp" Target="../ctrlProps/ctrlProp7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V4973"/>
  <sheetViews>
    <sheetView zoomScale="90" zoomScaleNormal="90" workbookViewId="0">
      <pane ySplit="12" topLeftCell="A13" activePane="bottomLeft" state="frozen"/>
      <selection activeCell="L314" sqref="L314"/>
      <selection pane="bottomLeft" activeCell="A10" sqref="A10"/>
    </sheetView>
  </sheetViews>
  <sheetFormatPr defaultRowHeight="14.5"/>
  <cols>
    <col min="1" max="2" width="15.26953125" customWidth="1"/>
    <col min="3" max="3" width="0.81640625" customWidth="1"/>
    <col min="4" max="4" width="32.7265625" customWidth="1"/>
    <col min="5" max="5" width="0.81640625" customWidth="1"/>
    <col min="6" max="7" width="15.26953125" customWidth="1"/>
    <col min="8" max="8" width="0.81640625" customWidth="1"/>
    <col min="9" max="10" width="15.26953125" customWidth="1"/>
    <col min="11" max="11" width="0.81640625" customWidth="1"/>
    <col min="12" max="13" width="15.26953125" customWidth="1"/>
    <col min="14" max="14" width="0.81640625" customWidth="1"/>
    <col min="15" max="16" width="15.26953125" customWidth="1"/>
    <col min="17" max="17" width="0.81640625" customWidth="1"/>
    <col min="18" max="18" width="21.7265625" customWidth="1"/>
    <col min="19" max="19" width="0.81640625" customWidth="1"/>
    <col min="20" max="20" width="21.7265625" customWidth="1"/>
    <col min="21" max="21" width="0.81640625" customWidth="1"/>
    <col min="22" max="22" width="21.7265625" customWidth="1"/>
    <col min="23" max="23" width="0.81640625" customWidth="1"/>
    <col min="24" max="25" width="15.26953125" customWidth="1"/>
    <col min="26" max="26" width="0.81640625" customWidth="1"/>
    <col min="27" max="28" width="15.26953125" customWidth="1"/>
    <col min="29" max="29" width="0.81640625" customWidth="1"/>
    <col min="30" max="31" width="15.26953125" customWidth="1"/>
    <col min="32" max="32" width="0.81640625" customWidth="1"/>
    <col min="33" max="34" width="15.26953125" customWidth="1"/>
    <col min="35" max="35" width="0.81640625" customWidth="1"/>
    <col min="36" max="37" width="15.26953125" customWidth="1"/>
    <col min="38" max="38" width="0.81640625" customWidth="1"/>
    <col min="39" max="40" width="15.26953125" customWidth="1"/>
    <col min="41" max="41" width="0.81640625" customWidth="1"/>
    <col min="42" max="42" width="32.7265625" customWidth="1"/>
    <col min="43" max="43" width="0.81640625" customWidth="1"/>
    <col min="44" max="45" width="15.26953125" customWidth="1"/>
    <col min="46" max="46" width="0.81640625" customWidth="1"/>
    <col min="47" max="48" width="15.26953125" customWidth="1"/>
    <col min="49" max="49" width="0.81640625" customWidth="1"/>
    <col min="50" max="51" width="15.26953125" customWidth="1"/>
    <col min="52" max="52" width="0.81640625" customWidth="1"/>
    <col min="53" max="53" width="21.7265625" customWidth="1"/>
    <col min="54" max="54" width="0.81640625" customWidth="1"/>
    <col min="55" max="55" width="21.7265625" customWidth="1"/>
    <col min="56" max="56" width="0.81640625" customWidth="1"/>
    <col min="57" max="58" width="15.26953125" customWidth="1"/>
    <col min="59" max="59" width="0.81640625" customWidth="1"/>
    <col min="60" max="61" width="15.26953125" customWidth="1"/>
    <col min="62" max="62" width="0.81640625" customWidth="1"/>
    <col min="63" max="64" width="15.26953125" customWidth="1"/>
    <col min="65" max="65" width="0.81640625" customWidth="1"/>
    <col min="66" max="67" width="15.26953125" customWidth="1"/>
    <col min="68" max="68" width="0.81640625" customWidth="1"/>
    <col min="69" max="70" width="15.26953125" customWidth="1"/>
    <col min="71" max="71" width="0.81640625" customWidth="1"/>
    <col min="72" max="72" width="32.7265625" customWidth="1"/>
    <col min="73" max="73" width="0.81640625" customWidth="1"/>
    <col min="74" max="75" width="15.26953125" customWidth="1"/>
    <col min="76" max="76" width="0.81640625" customWidth="1"/>
    <col min="77" max="78" width="15.26953125" customWidth="1"/>
    <col min="79" max="79" width="0.81640625" customWidth="1"/>
    <col min="80" max="81" width="15.26953125" customWidth="1"/>
    <col min="82" max="82" width="0.81640625" customWidth="1"/>
    <col min="83" max="83" width="21.7265625" customWidth="1"/>
    <col min="84" max="84" width="0.81640625" customWidth="1"/>
    <col min="85" max="85" width="21.7265625" customWidth="1"/>
    <col min="86" max="86" width="0.81640625" customWidth="1"/>
    <col min="87" max="88" width="15.26953125" customWidth="1"/>
    <col min="89" max="89" width="0.81640625" customWidth="1"/>
    <col min="90" max="91" width="15.26953125" customWidth="1"/>
    <col min="92" max="92" width="0.81640625" customWidth="1"/>
    <col min="93" max="94" width="15.26953125" customWidth="1"/>
    <col min="95" max="95" width="0.81640625" customWidth="1"/>
    <col min="96" max="97" width="15.26953125" customWidth="1"/>
    <col min="98" max="98" width="0.81640625" customWidth="1"/>
    <col min="99" max="100" width="15.26953125" customWidth="1"/>
    <col min="101" max="101" width="0.81640625" customWidth="1"/>
    <col min="102" max="102" width="32.7265625" customWidth="1"/>
    <col min="103" max="103" width="0.81640625" customWidth="1"/>
    <col min="104" max="105" width="15.26953125" customWidth="1"/>
    <col min="106" max="106" width="0.81640625" customWidth="1"/>
    <col min="107" max="108" width="15.26953125" customWidth="1"/>
    <col min="109" max="109" width="0.81640625" customWidth="1"/>
    <col min="110" max="111" width="15.26953125" customWidth="1"/>
    <col min="112" max="112" width="0.81640625" customWidth="1"/>
    <col min="113" max="113" width="21.7265625" customWidth="1"/>
    <col min="114" max="114" width="0.81640625" customWidth="1"/>
    <col min="115" max="115" width="15.26953125" customWidth="1"/>
    <col min="116" max="116" width="0.81640625" customWidth="1"/>
    <col min="117" max="118" width="15.26953125" customWidth="1"/>
    <col min="119" max="119" width="0.81640625" customWidth="1"/>
    <col min="120" max="121" width="15.26953125" customWidth="1"/>
    <col min="122" max="122" width="0.81640625" customWidth="1"/>
    <col min="123" max="124" width="15.26953125" customWidth="1"/>
    <col min="125" max="125" width="0.81640625" customWidth="1"/>
    <col min="126" max="127" width="15.26953125" customWidth="1"/>
    <col min="128" max="128" width="0.81640625" customWidth="1"/>
    <col min="129" max="130" width="15.26953125" customWidth="1"/>
    <col min="131" max="131" width="0.81640625" customWidth="1"/>
    <col min="132" max="133" width="11.7265625" customWidth="1"/>
    <col min="134" max="134" width="15.7265625" customWidth="1"/>
    <col min="135" max="135" width="44.7265625" customWidth="1"/>
    <col min="136" max="137" width="16.7265625" customWidth="1"/>
    <col min="140" max="140" width="54.7265625" customWidth="1"/>
    <col min="141" max="141" width="22.54296875" customWidth="1"/>
    <col min="142" max="142" width="36.453125" customWidth="1"/>
    <col min="144" max="144" width="11.7265625" customWidth="1"/>
    <col min="145" max="145" width="9.81640625" bestFit="1" customWidth="1"/>
    <col min="146" max="146" width="11.7265625" customWidth="1"/>
    <col min="147" max="147" width="9.1796875" bestFit="1" customWidth="1"/>
    <col min="148" max="148" width="11.7265625" customWidth="1"/>
    <col min="149" max="149" width="80.54296875" customWidth="1"/>
    <col min="150" max="151" width="9.1796875" customWidth="1"/>
    <col min="152" max="152" width="54.7265625" customWidth="1"/>
    <col min="153" max="153" width="12.26953125" bestFit="1" customWidth="1"/>
    <col min="154" max="154" width="14" bestFit="1" customWidth="1"/>
  </cols>
  <sheetData>
    <row r="1" spans="1:152">
      <c r="CU1" s="1675"/>
      <c r="CX1" s="1675"/>
      <c r="CZ1" s="1675"/>
      <c r="DA1" s="1675"/>
      <c r="DC1" s="1675"/>
      <c r="DD1" s="1675"/>
      <c r="DF1" s="1675"/>
      <c r="DG1" s="1675"/>
      <c r="DI1" s="1675"/>
      <c r="DK1" s="1675"/>
      <c r="DM1" s="1675"/>
      <c r="DN1" s="1675"/>
      <c r="DP1" s="1675"/>
      <c r="DQ1" s="1675"/>
      <c r="DS1" s="1675"/>
      <c r="DT1" s="1675"/>
      <c r="DV1" s="1675"/>
      <c r="DW1" s="1675"/>
    </row>
    <row r="2" spans="1:152">
      <c r="T2" s="2484" t="s">
        <v>3276</v>
      </c>
      <c r="AG2" s="2787" t="s">
        <v>3269</v>
      </c>
      <c r="AH2" s="2788"/>
      <c r="CU2" s="1674" t="s">
        <v>2514</v>
      </c>
      <c r="CX2" s="1674" t="s">
        <v>2514</v>
      </c>
      <c r="CZ2" s="1674" t="s">
        <v>2514</v>
      </c>
      <c r="DA2" s="1674" t="s">
        <v>2514</v>
      </c>
      <c r="DC2" s="1674" t="s">
        <v>2514</v>
      </c>
      <c r="DD2" s="1674" t="s">
        <v>2514</v>
      </c>
      <c r="DF2" s="1674" t="s">
        <v>2514</v>
      </c>
      <c r="DG2" s="1674" t="s">
        <v>2514</v>
      </c>
      <c r="DI2" s="1674" t="s">
        <v>2514</v>
      </c>
      <c r="DK2" s="1674" t="s">
        <v>2514</v>
      </c>
      <c r="DM2" s="1674" t="s">
        <v>2514</v>
      </c>
      <c r="DP2" s="1674" t="s">
        <v>2514</v>
      </c>
      <c r="DS2" s="1674" t="s">
        <v>2514</v>
      </c>
      <c r="DV2" s="1674" t="s">
        <v>2514</v>
      </c>
      <c r="EL2" s="1942"/>
    </row>
    <row r="3" spans="1:152" ht="15" customHeight="1">
      <c r="A3" s="2782" t="s">
        <v>2686</v>
      </c>
      <c r="B3" s="2782"/>
      <c r="C3" s="2782"/>
      <c r="D3" s="2782"/>
      <c r="E3" s="2782"/>
      <c r="F3" s="2782"/>
      <c r="G3" s="2782"/>
      <c r="H3" s="2782"/>
      <c r="I3" s="2782"/>
      <c r="J3" s="2782"/>
      <c r="K3" s="2782"/>
      <c r="L3" s="2782"/>
      <c r="M3" s="2782"/>
      <c r="N3" s="2782"/>
      <c r="O3" s="2782"/>
      <c r="P3" s="2782"/>
      <c r="Q3" s="2782"/>
      <c r="R3" s="2782"/>
      <c r="S3" s="2782"/>
      <c r="T3" s="2782"/>
      <c r="U3" s="2782"/>
      <c r="V3" s="2782"/>
      <c r="W3" s="2782"/>
      <c r="X3" s="2782"/>
      <c r="Y3" s="2782"/>
      <c r="Z3" s="2782"/>
      <c r="AA3" s="2782"/>
      <c r="AB3" s="2782"/>
      <c r="AC3" s="2782"/>
      <c r="AD3" s="2782"/>
      <c r="AE3" s="2782"/>
      <c r="AF3" s="2782"/>
      <c r="AG3" s="2782"/>
      <c r="AH3" s="2782"/>
      <c r="AI3" s="2782"/>
      <c r="AJ3" s="2782"/>
      <c r="AK3" s="2782"/>
      <c r="AL3" s="2783"/>
      <c r="AM3" s="2784" t="s">
        <v>2495</v>
      </c>
      <c r="AN3" s="2784"/>
      <c r="AO3" s="2784"/>
      <c r="AP3" s="2784"/>
      <c r="AQ3" s="2784"/>
      <c r="AR3" s="2784"/>
      <c r="AS3" s="2784"/>
      <c r="AT3" s="2784"/>
      <c r="AU3" s="2784"/>
      <c r="AV3" s="2784"/>
      <c r="AW3" s="2784"/>
      <c r="AX3" s="2784"/>
      <c r="AY3" s="2784"/>
      <c r="AZ3" s="2784"/>
      <c r="BA3" s="2784"/>
      <c r="BB3" s="2784"/>
      <c r="BC3" s="2784"/>
      <c r="BD3" s="2784"/>
      <c r="BE3" s="2784"/>
      <c r="BF3" s="2784"/>
      <c r="BG3" s="2784"/>
      <c r="BH3" s="2784"/>
      <c r="BI3" s="2784"/>
      <c r="BJ3" s="2784"/>
      <c r="BK3" s="2784"/>
      <c r="BL3" s="2784"/>
      <c r="BM3" s="2784"/>
      <c r="BN3" s="2784"/>
      <c r="BO3" s="2784"/>
      <c r="BP3" s="2768"/>
      <c r="BQ3" s="2792" t="s">
        <v>2496</v>
      </c>
      <c r="BR3" s="2792"/>
      <c r="BS3" s="2792"/>
      <c r="BT3" s="2792"/>
      <c r="BU3" s="2792"/>
      <c r="BV3" s="2792"/>
      <c r="BW3" s="2792"/>
      <c r="BX3" s="2792"/>
      <c r="BY3" s="2792"/>
      <c r="BZ3" s="2792"/>
      <c r="CA3" s="2792"/>
      <c r="CB3" s="2792"/>
      <c r="CC3" s="2792"/>
      <c r="CD3" s="2792"/>
      <c r="CE3" s="2792"/>
      <c r="CF3" s="2792"/>
      <c r="CG3" s="2792"/>
      <c r="CH3" s="2792"/>
      <c r="CI3" s="2792"/>
      <c r="CJ3" s="2792"/>
      <c r="CK3" s="2792"/>
      <c r="CL3" s="2792"/>
      <c r="CM3" s="2792"/>
      <c r="CN3" s="2792"/>
      <c r="CO3" s="2792"/>
      <c r="CP3" s="2792"/>
      <c r="CQ3" s="2792"/>
      <c r="CR3" s="2792"/>
      <c r="CS3" s="2792"/>
      <c r="CT3" s="2792"/>
      <c r="CU3" s="2727" t="s">
        <v>2497</v>
      </c>
      <c r="CV3" s="2727"/>
      <c r="CW3" s="2727"/>
      <c r="CX3" s="2727"/>
      <c r="CY3" s="2727"/>
      <c r="CZ3" s="2727"/>
      <c r="DA3" s="2727"/>
      <c r="DB3" s="2727"/>
      <c r="DC3" s="2727"/>
      <c r="DD3" s="2727"/>
      <c r="DE3" s="2727"/>
      <c r="DF3" s="2727"/>
      <c r="DG3" s="2727"/>
      <c r="DH3" s="2727"/>
      <c r="DI3" s="2727"/>
      <c r="DJ3" s="2727"/>
      <c r="DK3" s="2727"/>
      <c r="DL3" s="2727"/>
      <c r="DM3" s="2727"/>
      <c r="DN3" s="2727"/>
      <c r="DO3" s="2727"/>
      <c r="DP3" s="2727"/>
      <c r="DQ3" s="2727"/>
      <c r="DR3" s="2727"/>
      <c r="DS3" s="2727"/>
      <c r="DT3" s="2727"/>
      <c r="DU3" s="2727"/>
      <c r="DV3" s="2727"/>
      <c r="DW3" s="2727"/>
      <c r="DX3" s="2727"/>
      <c r="DY3" s="1669"/>
      <c r="DZ3" s="1669"/>
      <c r="EA3" s="1669"/>
      <c r="EL3" s="1942"/>
      <c r="ES3" s="823"/>
      <c r="ET3" s="823"/>
      <c r="EU3" s="823"/>
    </row>
    <row r="4" spans="1:152" ht="17.25" customHeight="1">
      <c r="R4" s="2728" t="str">
        <f>"The maximum # of DDAs in any one County is "&amp;TEXT(MAX(Data1!$U$405:$U$471,Data1!$T$405:$T$471),"#,##0")&amp;". There are "&amp;TEXT(ROWS(DS_2026_County_QCTs),"#,##0")&amp;" available slots for any one county below."</f>
        <v>The maximum # of DDAs in any one County is 162. There are 162 available slots for any one county below.</v>
      </c>
      <c r="T4" s="2728" t="str">
        <f>"The maximum GAOs in any one County is "&amp;TEXT(MAX(Data1!$V$405:$V$471),"#,##0")&amp;". There are "&amp;TEXT(ROWS(DS_2026_County_2F_GAOs),"#,##0")&amp;" available slots for any one county below."</f>
        <v>The maximum GAOs in any one County is 386. There are 386 available slots for any one county below.</v>
      </c>
      <c r="V4" s="2773" t="str">
        <f>"The maximum GAOs in any one County is "&amp;TEXT(MAX(Data1!$W$405:$W$471),"#,##0")&amp;". There are "&amp;TEXT(ROWS(DS_2026_County_3F_GAOs),"#,##0")&amp;" available slots for any one county below."</f>
        <v>The maximum GAOs in any one County is 0. There are 386 available slots for any one county below.</v>
      </c>
      <c r="X4" s="2731" t="str">
        <f>"The are ["&amp;TEXT(ROWS(DS_2026_ZCTAs),"#,##0")&amp;"] total 2026 ZCTAs in the non-Sorted column (a maximum in any one County of ["&amp;TEXT(MAX(Data1!$S$405:$S$471),"#,##0")&amp;"]) and ["&amp;TEXT(ROWS(DS_2026_ZCTAs_Sorted),"#,##0")&amp;"] in the 2026 sorted list below."</f>
        <v>The are [406] total 2026 ZCTAs in the non-Sorted column (a maximum in any one County of [49]) and [406] in the 2026 sorted list below.</v>
      </c>
      <c r="Y4" s="2732"/>
      <c r="AA4" s="2737" t="str">
        <f>"There are ["&amp;TEXT(COUNT(DS_2026_Metro_QCTs),"#,##0")&amp;"] 2026 Metro QCTs in the non-Sorted column and ["&amp;TEXT(COUNT(DS_2026_Metro_QCTs_Sorted),"#,##0")&amp;"] in the 2026 sorted list below."</f>
        <v>There are [817] 2026 Metro QCTs in the non-Sorted column and [817] in the 2026 sorted list below.</v>
      </c>
      <c r="AB4" s="2738"/>
      <c r="AD4" s="2737" t="str">
        <f>"There are ["&amp;TEXT(COUNT(DS_2026_NonMetro_QCTs),"#,##0")&amp;"] 2026 Non-Metro QCTs in the non-Sorted column and ["&amp;TEXT(COUNT(DS_2026_NonMetro_QCTs_Sorted),"#,##0")&amp;"] in the 2026 sorted list below."</f>
        <v>There are [32] 2026 Non-Metro QCTs in the non-Sorted column and [32] in the 2026 sorted list below.</v>
      </c>
      <c r="AE4" s="2738"/>
      <c r="AG4" s="2737" t="str">
        <f>"There are ["&amp;TEXT(COUNTA(DS_2026_2F_GAO_Counties),"#,##0")&amp;"] 2026 GAOs in the non-Sorted column and ["&amp;TEXT(COUNT(DS_2026_2F_GAO_CTs_Sorted),"#,##0")&amp;"] in the Two Factor 2026 sorted list below."</f>
        <v>There are [2,801] 2026 GAOs in the non-Sorted column and [2,801] in the Two Factor 2026 sorted list below.</v>
      </c>
      <c r="AH4" s="2738"/>
      <c r="AI4" s="1990"/>
      <c r="AJ4" s="2776" t="str">
        <f>"There are ["&amp;TEXT(COUNTA(DS_2026_3F_GAO_Counties),"#,##0")&amp;"] 2026 GAOs in the non-Sorted column and ["&amp;TEXT(COUNT(DS_2026_3F_GAO_CTs_Sorted),"#,##0")&amp;"] in the 2026 Three Factor sorted list below."</f>
        <v>There are [0] 2026 GAOs in the non-Sorted column and [0] in the 2026 Three Factor sorted list below.</v>
      </c>
      <c r="AK4" s="2777"/>
      <c r="AL4" s="2783"/>
      <c r="BA4" s="2728" t="str">
        <f>"The maximum # of 2023 DDAs in any one county is ["&amp;TEXT(MAX(Data1!$Z$405:$Z$471,Data1!$Y$405:$Y$471),"#,##0")&amp;"]. There are ["&amp;TEXT(ROWS(DS_2023_County_QCTs),"#,##0")&amp;"] available slots for any one 2023 county below."</f>
        <v>The maximum # of 2023 DDAs in any one county is [214]. There are [223] available slots for any one 2023 county below.</v>
      </c>
      <c r="BC4" s="2728" t="str">
        <f>"The maximum 2023 GAOs in any one county is ["&amp;TEXT(MAX(Data1!$AA$405:$AA$471),"#,##0")&amp;"]. There are ["&amp;TEXT(ROWS(DS_2023_County_GAOs),"#,##0")&amp;"] available slots for any one 2023 county below."</f>
        <v>The maximum 2023 GAOs in any one county is [426]. There are [501] available slots for any one 2023 county below.</v>
      </c>
      <c r="BE4" s="2731" t="str">
        <f>"The are ["&amp;TEXT(ROWS(DS_2023_ZCTAs),"#,##0")&amp;"] total 2023 ZCTAs in the non-Sorted column (a maximum in any one County of ["&amp;TEXT(MAX(Data1!$X$405:$X$471),"#,##0")&amp;"]) and ["&amp;TEXT(ROWS(DS_2023_ZCTAs_Sorted),"#,##0")&amp;"] in the 2023 sorted list below."</f>
        <v>The are [353] total 2023 ZCTAs in the non-Sorted column (a maximum in any one County of [47]) and [353] in the 2023 sorted list below.</v>
      </c>
      <c r="BF4" s="2732"/>
      <c r="BH4" s="2737" t="str">
        <f>"There are ["&amp;TEXT(COUNT(DS_2023_Metro_QCTs),"#,##0")&amp;"] 2023 Metro QCTs in the non-Sorted column and ["&amp;TEXT(COUNT(DS_2023_Metro_QCTs_Sorted),"#,##0")&amp;"] in the sorted 2023 list below."</f>
        <v>There are [802] 2023 Metro QCTs in the non-Sorted column and [802] in the sorted 2023 list below.</v>
      </c>
      <c r="BI4" s="2738"/>
      <c r="BK4" s="2737" t="str">
        <f>"There are ["&amp;TEXT(COUNT(DS_2023_NonMetro_QCTs),"#,##0")&amp;"] 2023 Non-Metro QCTs in the non-Sorted column and ["&amp;TEXT(COUNT(DS_2023_NonMetro_QCTs_Sorted),"#,##0")&amp;"] in the 2023 sorted list below."</f>
        <v>There are [36] 2023 Non-Metro QCTs in the non-Sorted column and [36] in the 2023 sorted list below.</v>
      </c>
      <c r="BL4" s="2738"/>
      <c r="BN4" s="2737" t="str">
        <f>"There are ["&amp;TEXT(COUNTA(DS_2023_GAO_Counties),"#,##0")&amp;"] 2023 GAOs in the non-Sorted column and ["&amp;TEXT(COUNT(DS_2023_GAO_QCTs_Sorted),"#,##0")&amp;"] in the 2023 sorted list below."</f>
        <v>There are [2,938] 2023 GAOs in the non-Sorted column and [2,938] in the 2023 sorted list below.</v>
      </c>
      <c r="BO4" s="2738"/>
      <c r="BP4" s="2768"/>
      <c r="BQ4" s="854"/>
      <c r="BR4" s="854"/>
      <c r="BS4" s="854"/>
      <c r="BT4" s="854"/>
      <c r="BU4" s="854"/>
      <c r="BV4" s="854"/>
      <c r="BW4" s="854"/>
      <c r="BX4" s="854"/>
      <c r="BY4" s="854"/>
      <c r="BZ4" s="854"/>
      <c r="CA4" s="854"/>
      <c r="CB4" s="854"/>
      <c r="CC4" s="854"/>
      <c r="CD4" s="854"/>
      <c r="CE4" s="2728" t="str">
        <f>"The maximum # of 2024 DDAs in any one county is ["&amp;TEXT(MAX(Data1!$AE$405:$AE$471,Data1!$AD$405:$AD$471),"#,##0")&amp;"]. There are ["&amp;TEXT(ROWS(DS_2024_County_QCTs),"#,##0")&amp;"] available slots for any one 2024 county below."</f>
        <v>The maximum # of 2024 DDAs in any one county is [707]. There are [710] available slots for any one 2024 county below.</v>
      </c>
      <c r="CG4" s="2728" t="str">
        <f>"The maximum 2024 GAOs in any one county is ["&amp;TEXT(MAX(Data1!$AF$405:$AF$471),"#,##0")&amp;"]. There are ["&amp;TEXT(ROWS(DS_2024_County_GAOs),"#,##0")&amp;"] available slots for any one 2024 county below."</f>
        <v>The maximum 2024 GAOs in any one county is [414]. There are [501] available slots for any one 2024 county below.</v>
      </c>
      <c r="CI4" s="2731" t="str">
        <f>"The are ["&amp;TEXT(ROWS(DS_2024_ZCTAs),"#,##0")&amp;"] total 2024 ZCTAs in the non-Sorted column (a maximum in any one County of ["&amp;TEXT(MAX(Data1!$AC$405:$AC$471),"#,##0")&amp;"]) and ["&amp;TEXT(ROWS(DS_2024_ZCTAs_Sorted),"#,##0")&amp;"] in the 2024 sorted list below."</f>
        <v>The are [398] total 2024 ZCTAs in the non-Sorted column (a maximum in any one County of [48]) and [398] in the 2024 sorted list below.</v>
      </c>
      <c r="CJ4" s="2732"/>
      <c r="CL4" s="2737" t="str">
        <f>"There are ["&amp;TEXT(COUNT(DS_2024_Metro_QCTs),"#,##0")&amp;"] 2024 Metro QCTs in the non-Sorted column and ["&amp;TEXT(COUNT(DS_2024_Metro_QCTs_Sorted),"#,##0")&amp;"] in the sorted 2024 list below."</f>
        <v>There are [4,960] 2024 Metro QCTs in the non-Sorted column and [4,960] in the sorted 2024 list below.</v>
      </c>
      <c r="CM4" s="2738"/>
      <c r="CO4" s="2737" t="str">
        <f>"There are ["&amp;TEXT(COUNT(DS_2024_NonMetro_QCTs),"#,##0")&amp;"] 2024 Non-Metro QCTs in the non-Sorted column and ["&amp;TEXT(COUNT(DS_2024_NonMetro_QCTs_Sorted),"#,##0")&amp;"] in the 2024 sorted list below."</f>
        <v>There are [200] 2024 Non-Metro QCTs in the non-Sorted column and [200] in the 2024 sorted list below.</v>
      </c>
      <c r="CP4" s="2738"/>
      <c r="CR4" s="2737" t="str">
        <f>"There are ["&amp;TEXT(COUNTA(DS_2024_GAO_Counties),"#,##0")&amp;"] 2024 GAOs in the non-Sorted column and ["&amp;TEXT(COUNT(DS_2024_GAO_QCTs_Sorted),"#,##0")&amp;"] in the 2024 sorted list below."</f>
        <v>There are [2,931] 2024 GAOs in the non-Sorted column and [2,931] in the 2024 sorted list below.</v>
      </c>
      <c r="CS4" s="2738"/>
      <c r="CT4" s="1382"/>
      <c r="CU4" s="854"/>
      <c r="CV4" s="854"/>
      <c r="CW4" s="854"/>
      <c r="CX4" s="854"/>
      <c r="CY4" s="854"/>
      <c r="CZ4" s="854"/>
      <c r="DA4" s="854"/>
      <c r="DB4" s="854"/>
      <c r="DC4" s="854"/>
      <c r="DD4" s="854"/>
      <c r="DE4" s="854"/>
      <c r="DF4" s="854"/>
      <c r="DG4" s="854"/>
      <c r="DH4" s="854"/>
      <c r="DI4" s="2728" t="str">
        <f>"The maximum # of 2025 DDAs in any one county is ["&amp;TEXT(MAX(Data1!$AJ$405:$AJ$471,Data1!$AI$405:$AI$471),"#,##0")&amp;"]. There are ["&amp;TEXT(ROWS(DS_2025_County_QCTs),"#,##0")&amp;"] available slots for any one 2025 county below."</f>
        <v>The maximum # of 2025 DDAs in any one county is [163]. There are [163] available slots for any one 2025 county below.</v>
      </c>
      <c r="DK4" s="2728" t="str">
        <f>"The maximum 2025 GAOs in any one county is ["&amp;TEXT(MAX(Data1!$AK$405:$AK$471),"#,##0")&amp;"]. There are ["&amp;TEXT(ROWS(DS_2025_County_GAOs),"#,##0")&amp;"] available slots for any one 2025 county below."</f>
        <v>The maximum 2025 GAOs in any one county is [388]. There are [388] available slots for any one 2025 county below.</v>
      </c>
      <c r="DM4" s="2731" t="str">
        <f>"The are ["&amp;TEXT(ROWS(DS_2025_ZCTAs),"#,##0")&amp;"] total 2025 ZCTAs in the non-Sorted column (a maximum in any one County of ["&amp;TEXT(MAX(Data1!$AH$405:$AH$471),"#,##0")&amp;"]) and ["&amp;TEXT(ROWS(DS_2025_ZCTAs_Sorted),"#,##0")&amp;"] in the 2025 sorted list below."</f>
        <v>The are [438] total 2025 ZCTAs in the non-Sorted column (a maximum in any one County of [54]) and [438] in the 2025 sorted list below.</v>
      </c>
      <c r="DN4" s="2732"/>
      <c r="DP4" s="2737" t="str">
        <f>"There are ["&amp;TEXT(COUNT(DS_2025_Metro_QCTs),"#,##0")&amp;"] 2025 Metro QCTs in the non-Sorted column and ["&amp;TEXT(COUNT(DS_2025_Metro_QCTs_Sorted),"#,##0")&amp;"] in the sorted 2025 list below."</f>
        <v>There are [917] 2025 Metro QCTs in the non-Sorted column and [917] in the sorted 2025 list below.</v>
      </c>
      <c r="DQ4" s="2738"/>
      <c r="DS4" s="2737" t="str">
        <f>"There are ["&amp;TEXT(COUNT(DS_2025_NonMetro_QCTs),"#,##0")&amp;"] 2025 Non-Metro QCTs in the non-Sorted column and ["&amp;TEXT(COUNT(DS_2025_NonMetro_QCTs_Sorted),"#,##0")&amp;"] in the 2025 sorted list below."</f>
        <v>There are [35] 2025 Non-Metro QCTs in the non-Sorted column and [35] in the 2025 sorted list below.</v>
      </c>
      <c r="DT4" s="2738"/>
      <c r="DV4" s="2737" t="str">
        <f>"There are ["&amp;TEXT(COUNTA(DS_2025_GAO_Counties),"#,##0")&amp;"] 2025 GAOs in the non-Sorted column and ["&amp;TEXT(COUNT(DS_2025_GAO_QCTs_Sorted),"#,##0")&amp;"] in the 2025 sorted list below."</f>
        <v>There are [2,823] 2025 GAOs in the non-Sorted column and [2,823] in the 2025 sorted list below.</v>
      </c>
      <c r="DW4" s="2738"/>
      <c r="DX4" s="1670"/>
      <c r="DY4" s="854"/>
      <c r="DZ4" s="854"/>
      <c r="EA4" s="854"/>
      <c r="EK4" s="2724" t="s">
        <v>2691</v>
      </c>
      <c r="EL4" s="2725"/>
      <c r="EM4" s="2726"/>
      <c r="EN4" s="1975"/>
      <c r="EO4" s="1969" t="s">
        <v>2712</v>
      </c>
      <c r="EP4" s="1960" t="s">
        <v>282</v>
      </c>
      <c r="EQ4" s="1961" t="s">
        <v>277</v>
      </c>
      <c r="ER4" s="1961" t="s">
        <v>2700</v>
      </c>
      <c r="ES4" s="1962"/>
    </row>
    <row r="5" spans="1:152" ht="17.25" customHeight="1">
      <c r="L5" s="2787" t="s">
        <v>3269</v>
      </c>
      <c r="M5" s="2788"/>
      <c r="R5" s="2729"/>
      <c r="T5" s="2729"/>
      <c r="V5" s="2774"/>
      <c r="X5" s="2733"/>
      <c r="Y5" s="2734"/>
      <c r="AA5" s="2739"/>
      <c r="AB5" s="2740"/>
      <c r="AD5" s="2739"/>
      <c r="AE5" s="2740"/>
      <c r="AG5" s="2739"/>
      <c r="AH5" s="2740"/>
      <c r="AI5" s="1990"/>
      <c r="AJ5" s="2778"/>
      <c r="AK5" s="2779"/>
      <c r="AL5" s="2783"/>
      <c r="BA5" s="2729"/>
      <c r="BC5" s="2729"/>
      <c r="BE5" s="2733"/>
      <c r="BF5" s="2734"/>
      <c r="BH5" s="2739"/>
      <c r="BI5" s="2740"/>
      <c r="BK5" s="2739"/>
      <c r="BL5" s="2740"/>
      <c r="BN5" s="2739"/>
      <c r="BO5" s="2740"/>
      <c r="BP5" s="2768"/>
      <c r="BS5" s="854"/>
      <c r="BT5" s="854"/>
      <c r="BU5" s="854"/>
      <c r="BV5" s="854"/>
      <c r="BW5" s="854"/>
      <c r="BX5" s="854"/>
      <c r="BY5" s="854"/>
      <c r="BZ5" s="854"/>
      <c r="CA5" s="854"/>
      <c r="CB5" s="854"/>
      <c r="CC5" s="854"/>
      <c r="CD5" s="854"/>
      <c r="CE5" s="2729"/>
      <c r="CG5" s="2729"/>
      <c r="CI5" s="2733"/>
      <c r="CJ5" s="2734"/>
      <c r="CL5" s="2739"/>
      <c r="CM5" s="2740"/>
      <c r="CO5" s="2739"/>
      <c r="CP5" s="2740"/>
      <c r="CR5" s="2739"/>
      <c r="CS5" s="2740"/>
      <c r="CT5" s="1382"/>
      <c r="CW5" s="854"/>
      <c r="CX5" s="854"/>
      <c r="CY5" s="854"/>
      <c r="CZ5" s="854"/>
      <c r="DA5" s="854"/>
      <c r="DB5" s="854"/>
      <c r="DC5" s="854"/>
      <c r="DD5" s="854"/>
      <c r="DE5" s="854"/>
      <c r="DF5" s="854"/>
      <c r="DG5" s="854"/>
      <c r="DH5" s="854"/>
      <c r="DI5" s="2729"/>
      <c r="DK5" s="2729"/>
      <c r="DM5" s="2733"/>
      <c r="DN5" s="2734"/>
      <c r="DP5" s="2739"/>
      <c r="DQ5" s="2740"/>
      <c r="DS5" s="2739"/>
      <c r="DT5" s="2740"/>
      <c r="DV5" s="2739"/>
      <c r="DW5" s="2740"/>
      <c r="DX5" s="1670"/>
      <c r="DY5" s="854"/>
      <c r="DZ5" s="854"/>
      <c r="EA5" s="854"/>
      <c r="EK5" s="2215">
        <v>6378.1369999999997</v>
      </c>
      <c r="EL5" s="1974" t="s">
        <v>2689</v>
      </c>
      <c r="EM5" s="1397"/>
      <c r="EN5" s="848" t="s">
        <v>2692</v>
      </c>
      <c r="EO5" s="823">
        <f>IF(EF9="",DLP_latitude,EF9)</f>
        <v>0</v>
      </c>
      <c r="EP5" s="1979">
        <v>5</v>
      </c>
      <c r="EQ5" s="1980">
        <v>3</v>
      </c>
      <c r="ER5" s="1981" t="s">
        <v>670</v>
      </c>
      <c r="ES5" s="1402" t="s">
        <v>2695</v>
      </c>
      <c r="ET5" s="829"/>
      <c r="EU5" s="829"/>
    </row>
    <row r="6" spans="1:152" ht="17.25" customHeight="1">
      <c r="A6" s="2743" t="s">
        <v>2330</v>
      </c>
      <c r="B6" s="2744"/>
      <c r="F6" s="2743" t="s">
        <v>2330</v>
      </c>
      <c r="G6" s="2744"/>
      <c r="I6" s="2743" t="s">
        <v>2330</v>
      </c>
      <c r="J6" s="2744"/>
      <c r="L6" s="2743" t="s">
        <v>2330</v>
      </c>
      <c r="M6" s="2744"/>
      <c r="N6" s="823"/>
      <c r="O6" s="2771" t="s">
        <v>2330</v>
      </c>
      <c r="P6" s="2772"/>
      <c r="R6" s="2729"/>
      <c r="T6" s="2729"/>
      <c r="V6" s="2774"/>
      <c r="X6" s="2733"/>
      <c r="Y6" s="2734"/>
      <c r="AA6" s="2739"/>
      <c r="AB6" s="2740"/>
      <c r="AD6" s="2739"/>
      <c r="AE6" s="2740"/>
      <c r="AG6" s="2739"/>
      <c r="AH6" s="2740"/>
      <c r="AI6" s="1990"/>
      <c r="AJ6" s="2778"/>
      <c r="AK6" s="2779"/>
      <c r="AL6" s="2783"/>
      <c r="AM6" s="2743" t="s">
        <v>2330</v>
      </c>
      <c r="AN6" s="2744"/>
      <c r="AR6" s="2743" t="s">
        <v>2330</v>
      </c>
      <c r="AS6" s="2744"/>
      <c r="AU6" s="2743" t="s">
        <v>2330</v>
      </c>
      <c r="AV6" s="2744"/>
      <c r="AX6" s="2743" t="s">
        <v>2330</v>
      </c>
      <c r="AY6" s="2744"/>
      <c r="BA6" s="2729"/>
      <c r="BC6" s="2729"/>
      <c r="BE6" s="2733"/>
      <c r="BF6" s="2734"/>
      <c r="BH6" s="2739"/>
      <c r="BI6" s="2740"/>
      <c r="BK6" s="2739"/>
      <c r="BL6" s="2740"/>
      <c r="BN6" s="2739"/>
      <c r="BO6" s="2740"/>
      <c r="BP6" s="2768"/>
      <c r="BQ6" s="2743" t="s">
        <v>2330</v>
      </c>
      <c r="BR6" s="2744"/>
      <c r="BV6" s="2743" t="s">
        <v>2330</v>
      </c>
      <c r="BW6" s="2744"/>
      <c r="BY6" s="2743" t="s">
        <v>2330</v>
      </c>
      <c r="BZ6" s="2744"/>
      <c r="CB6" s="2743" t="s">
        <v>2330</v>
      </c>
      <c r="CC6" s="2744"/>
      <c r="CD6" s="854"/>
      <c r="CE6" s="2729"/>
      <c r="CG6" s="2729"/>
      <c r="CI6" s="2733"/>
      <c r="CJ6" s="2734"/>
      <c r="CL6" s="2739"/>
      <c r="CM6" s="2740"/>
      <c r="CO6" s="2739"/>
      <c r="CP6" s="2740"/>
      <c r="CR6" s="2739"/>
      <c r="CS6" s="2740"/>
      <c r="CT6" s="1382"/>
      <c r="CU6" s="2743" t="s">
        <v>2330</v>
      </c>
      <c r="CV6" s="2744"/>
      <c r="CZ6" s="2743" t="s">
        <v>2330</v>
      </c>
      <c r="DA6" s="2744"/>
      <c r="DC6" s="2743" t="s">
        <v>2330</v>
      </c>
      <c r="DD6" s="2744"/>
      <c r="DF6" s="2743" t="s">
        <v>2330</v>
      </c>
      <c r="DG6" s="2744"/>
      <c r="DH6" s="854"/>
      <c r="DI6" s="2729"/>
      <c r="DK6" s="2729"/>
      <c r="DM6" s="2733"/>
      <c r="DN6" s="2734"/>
      <c r="DP6" s="2739"/>
      <c r="DQ6" s="2740"/>
      <c r="DS6" s="2739"/>
      <c r="DT6" s="2740"/>
      <c r="DV6" s="2739"/>
      <c r="DW6" s="2740"/>
      <c r="DX6" s="1670"/>
      <c r="DY6" s="854"/>
      <c r="DZ6" s="854"/>
      <c r="EA6" s="854"/>
      <c r="EF6" s="1942"/>
      <c r="EG6" s="1942"/>
      <c r="EK6" s="2216">
        <v>6356.7523142245</v>
      </c>
      <c r="EL6" s="1974" t="s">
        <v>2690</v>
      </c>
      <c r="EM6" s="1397"/>
      <c r="EN6" s="1976" t="s">
        <v>2693</v>
      </c>
      <c r="EO6" s="1679">
        <f>IF(EG9="",DLP_longitude,EG9)</f>
        <v>0</v>
      </c>
      <c r="EP6" s="1982">
        <v>2</v>
      </c>
      <c r="EQ6" s="1983">
        <v>1</v>
      </c>
      <c r="ER6" s="1984" t="s">
        <v>670</v>
      </c>
      <c r="ES6" s="1985" t="s">
        <v>2696</v>
      </c>
      <c r="ET6" s="829"/>
      <c r="EU6" s="829"/>
    </row>
    <row r="7" spans="1:152" ht="17.25" customHeight="1">
      <c r="A7" s="854">
        <f>COUNTIF(B13:B418,B7)</f>
        <v>49</v>
      </c>
      <c r="B7" s="854" t="str" cm="1">
        <f t="array" ref="B7">IFERROR(_xlfn.SINGLE(INDEX(B13:B418,MODE(MATCH(B13:B418,B13:B418,0)))),"NA")</f>
        <v>Broward</v>
      </c>
      <c r="C7" s="854"/>
      <c r="D7" s="854"/>
      <c r="E7" s="854"/>
      <c r="F7" s="854">
        <f>COUNTIF(G13:G829,G7)</f>
        <v>162</v>
      </c>
      <c r="G7" s="854" t="str" cm="1">
        <f t="array" ref="G7">IFERROR(_xlfn.SINGLE(INDEX(G13:G829,MODE(MATCH(G13:G829,G13:G829,0)))),"NA")</f>
        <v>Miami-Dade</v>
      </c>
      <c r="H7" s="854"/>
      <c r="I7" s="854">
        <f>COUNTIF(J13:J44,J7)</f>
        <v>9</v>
      </c>
      <c r="J7" s="854" t="str" cm="1">
        <f t="array" ref="J7">IFERROR(_xlfn.SINGLE(INDEX(J13:J44,MODE(MATCH(J13:J44,J13:J44,0)))),"NA")</f>
        <v>Putnam</v>
      </c>
      <c r="L7" s="854">
        <f>COUNTIF(M13:M2813,M7)</f>
        <v>386</v>
      </c>
      <c r="M7" s="854" t="str" cm="1">
        <f t="array" ref="M7">IFERROR(_xlfn.SINGLE(INDEX(M13:M2813,MODE(MATCH(M13:M2813,M13:M2813,0)))),"NA")</f>
        <v>Miami-Dade</v>
      </c>
      <c r="N7" s="854"/>
      <c r="O7" s="2284">
        <f>COUNTIF(P14:P2811,P7)</f>
        <v>0</v>
      </c>
      <c r="P7" s="2284" t="str" cm="1">
        <f t="array" ref="P7">IFERROR(_xlfn.SINGLE(INDEX(P14:P2811,MODE(MATCH(P14:P2811,P14:P2811,0)))),"NA")</f>
        <v>NA</v>
      </c>
      <c r="R7" s="2729"/>
      <c r="T7" s="2729"/>
      <c r="V7" s="2774"/>
      <c r="X7" s="2733"/>
      <c r="Y7" s="2734"/>
      <c r="AA7" s="2739"/>
      <c r="AB7" s="2740"/>
      <c r="AD7" s="2739"/>
      <c r="AE7" s="2740"/>
      <c r="AG7" s="2739"/>
      <c r="AH7" s="2740"/>
      <c r="AI7" s="1990"/>
      <c r="AJ7" s="2778"/>
      <c r="AK7" s="2779"/>
      <c r="AL7" s="2783"/>
      <c r="AM7" s="854">
        <f>COUNTIF(AN13:AN365,AN7)</f>
        <v>47</v>
      </c>
      <c r="AN7" s="854" t="str" cm="1">
        <f t="array" ref="AN7">IFERROR(_xlfn.SINGLE(INDEX(AN13:AN365,MODE(MATCH(AN13:AN365,AN13:AN365,0)))),"NA")</f>
        <v>Miami-Dade</v>
      </c>
      <c r="AO7" s="854"/>
      <c r="AP7" s="854"/>
      <c r="AQ7" s="854"/>
      <c r="AR7" s="854">
        <f>COUNTIF(AS13:AS814,AS7)</f>
        <v>214</v>
      </c>
      <c r="AS7" s="854" t="str" cm="1">
        <f t="array" ref="AS7">IFERROR(_xlfn.SINGLE(INDEX(AS13:AS814,MODE(MATCH(AS13:AS814,AS13:AS814,0)))),"NA")</f>
        <v>Miami-Dade</v>
      </c>
      <c r="AT7" s="854"/>
      <c r="AU7" s="854">
        <f>COUNTIF(AV13:AV48,AV7)</f>
        <v>7</v>
      </c>
      <c r="AV7" s="854" t="str" cm="1">
        <f t="array" ref="AV7">IFERROR(_xlfn.SINGLE(INDEX(AV13:AV48,MODE(MATCH(AV13:AV48,AV13:AV48,0)))),"NA")</f>
        <v>Putnam</v>
      </c>
      <c r="AX7" s="854">
        <f>COUNTIF(AY13:AY2950,AY7)</f>
        <v>426</v>
      </c>
      <c r="AY7" s="854" t="str" cm="1">
        <f t="array" ref="AY7">IFERROR(_xlfn.SINGLE(INDEX(AY13:AY2950,MODE(MATCH(AY13:AY2950,AY13:AY2950,0)))),"NA")</f>
        <v>Miami-Dade</v>
      </c>
      <c r="BA7" s="2729"/>
      <c r="BC7" s="2729"/>
      <c r="BE7" s="2733"/>
      <c r="BF7" s="2734"/>
      <c r="BH7" s="2739"/>
      <c r="BI7" s="2740"/>
      <c r="BK7" s="2739"/>
      <c r="BL7" s="2740"/>
      <c r="BN7" s="2739"/>
      <c r="BO7" s="2740"/>
      <c r="BP7" s="2768"/>
      <c r="BQ7" s="854">
        <f>COUNTIF(BR13:BR410,BR7)</f>
        <v>48</v>
      </c>
      <c r="BR7" s="854" t="str" cm="1">
        <f t="array" ref="BR7">IFERROR(_xlfn.SINGLE(INDEX(BR13:BR410,MODE(MATCH(BR13:BR410,BR13:BR410,0)))),"NA")</f>
        <v>Miami-Dade</v>
      </c>
      <c r="BS7" s="854"/>
      <c r="BT7" s="854"/>
      <c r="BU7" s="854"/>
      <c r="BV7" s="854">
        <f>COUNTIF(BW13:BW4972,BW7)</f>
        <v>707</v>
      </c>
      <c r="BW7" s="854" t="str" cm="1">
        <f t="array" ref="BW7">IFERROR(_xlfn.SINGLE(INDEX(BW13:BW4972,MODE(MATCH(BW13:BW4972,BW13:BW4972,0)))),"NA")</f>
        <v>Miami-Dade</v>
      </c>
      <c r="BX7" s="854"/>
      <c r="BY7" s="854">
        <f>COUNTIF(BZ13:BZ212,BZ7)</f>
        <v>29</v>
      </c>
      <c r="BZ7" s="854" t="str" cm="1">
        <f t="array" ref="BZ7">IFERROR(_xlfn.SINGLE(INDEX(BZ13:BZ212,MODE(MATCH(BZ13:BZ212,BZ13:BZ212,0)))),"NA")</f>
        <v>Monroe</v>
      </c>
      <c r="CA7" s="854"/>
      <c r="CB7" s="854">
        <f>COUNTIF(DS_2024_GAO_Counties,CC7)</f>
        <v>414</v>
      </c>
      <c r="CC7" s="854" t="str" cm="1">
        <f t="array" ref="CC7">IFERROR(_xlfn.SINGLE(INDEX(DS_2024_GAO_Counties,MODE(MATCH(DS_2024_GAO_Counties,DS_2024_GAO_Counties,0)))),"NA")</f>
        <v>Miami-Dade</v>
      </c>
      <c r="CD7" s="854"/>
      <c r="CE7" s="2729"/>
      <c r="CG7" s="2729"/>
      <c r="CI7" s="2733"/>
      <c r="CJ7" s="2734"/>
      <c r="CL7" s="2739"/>
      <c r="CM7" s="2740"/>
      <c r="CO7" s="2739"/>
      <c r="CP7" s="2740"/>
      <c r="CR7" s="2739"/>
      <c r="CS7" s="2740"/>
      <c r="CT7" s="1382"/>
      <c r="CU7" s="854">
        <f>COUNTIF(CV13:CV408,CV7)</f>
        <v>54</v>
      </c>
      <c r="CV7" s="854" t="str" cm="1">
        <f t="array" ref="CV7">IFERROR(_xlfn.SINGLE(INDEX(CV13:CV408,MODE(MATCH(CV13:CV408,CV13:CV408,0)))),"NA")</f>
        <v>Miami-dade</v>
      </c>
      <c r="CW7" s="854"/>
      <c r="CX7" s="854"/>
      <c r="CY7" s="854"/>
      <c r="CZ7" s="854">
        <f>COUNTIF(DA13:DA929,DA7)</f>
        <v>163</v>
      </c>
      <c r="DA7" s="854" t="str" cm="1">
        <f t="array" ref="DA7">IFERROR(_xlfn.SINGLE(INDEX(DA13:DA929,MODE(MATCH(DA13:DA929,DA13:DA929,0)))),"NA")</f>
        <v>Miami-Dade</v>
      </c>
      <c r="DB7" s="854"/>
      <c r="DC7" s="854">
        <f>COUNTIF(DD13:DD47,DD7)</f>
        <v>7</v>
      </c>
      <c r="DD7" s="854" t="str" cm="1">
        <f t="array" ref="DD7">IFERROR(_xlfn.SINGLE(INDEX(DD13:DD47,MODE(MATCH(DD13:DD47,DD13:DD47,0)))),"NA")</f>
        <v>Putnam</v>
      </c>
      <c r="DE7" s="854"/>
      <c r="DF7" s="854" cm="1">
        <f t="array" ref="DF7">IFERROR(COUNTIF(DS_2025_GAO_Counties,DG7),0)</f>
        <v>388</v>
      </c>
      <c r="DG7" s="854" t="str" cm="1">
        <f t="array" ref="DG7">IFERROR(_xlfn.SINGLE(INDEX(DS_2025_GAO_Counties,MODE(MATCH(DS_2025_GAO_Counties,DS_2025_GAO_Counties,0)))),"NA")</f>
        <v>Miami-Dade</v>
      </c>
      <c r="DH7" s="854"/>
      <c r="DI7" s="2729"/>
      <c r="DK7" s="2729"/>
      <c r="DM7" s="2733"/>
      <c r="DN7" s="2734"/>
      <c r="DP7" s="2739"/>
      <c r="DQ7" s="2740"/>
      <c r="DS7" s="2739"/>
      <c r="DT7" s="2740"/>
      <c r="DV7" s="2739"/>
      <c r="DW7" s="2740"/>
      <c r="DX7" s="1670"/>
      <c r="DY7" s="854"/>
      <c r="DZ7" s="854"/>
      <c r="EA7" s="854"/>
      <c r="EK7" s="2217">
        <f>1.609347*0+0*6356.7523142/3949.9027642+1*6378.137/3963.191</f>
        <v>1.6093438342991797</v>
      </c>
      <c r="EL7" s="1978" t="s">
        <v>1699</v>
      </c>
      <c r="EM7" s="1952"/>
      <c r="EN7" s="1977" t="s">
        <v>629</v>
      </c>
      <c r="EO7" s="2400" t="str">
        <f>IF(Demographic="Elderly (Elderly Transformative Preservation)","Elderly Non-ALF",IF(OR(Demographic="Farmworker/Commercial Fish Worker",Demographic="Farmworker",Demographic="Unaccompanied Farmworker",Demographic="Commercial Fishing Worker",Demographic="Unaccompanied Commercial Fishing Worker"),"Farm/Fishing Worker",Demographic))</f>
        <v>&lt;select one&gt;</v>
      </c>
      <c r="EP7" s="1986">
        <v>1</v>
      </c>
      <c r="EQ7" s="1987">
        <v>0.5</v>
      </c>
      <c r="ER7" s="1988" t="s">
        <v>670</v>
      </c>
      <c r="ES7" s="1406" t="s">
        <v>2697</v>
      </c>
      <c r="ET7" s="829"/>
      <c r="EU7" s="829"/>
    </row>
    <row r="8" spans="1:152" ht="17.25" customHeight="1">
      <c r="M8" s="43"/>
      <c r="N8" s="43"/>
      <c r="O8" s="2785" t="s">
        <v>2920</v>
      </c>
      <c r="P8" s="2786"/>
      <c r="R8" s="2730"/>
      <c r="T8" s="2730"/>
      <c r="U8" s="24"/>
      <c r="V8" s="2775"/>
      <c r="W8" s="24"/>
      <c r="X8" s="2735"/>
      <c r="Y8" s="2736"/>
      <c r="Z8" s="24"/>
      <c r="AA8" s="2741"/>
      <c r="AB8" s="2742"/>
      <c r="AD8" s="2741"/>
      <c r="AE8" s="2742"/>
      <c r="AG8" s="2741"/>
      <c r="AH8" s="2742"/>
      <c r="AI8" s="1990"/>
      <c r="AJ8" s="2780"/>
      <c r="AK8" s="2781"/>
      <c r="AL8" s="2783"/>
      <c r="BA8" s="2730"/>
      <c r="BC8" s="2730"/>
      <c r="BE8" s="2735"/>
      <c r="BF8" s="2736"/>
      <c r="BH8" s="2741"/>
      <c r="BI8" s="2742"/>
      <c r="BK8" s="2741"/>
      <c r="BL8" s="2742"/>
      <c r="BN8" s="2741"/>
      <c r="BO8" s="2742"/>
      <c r="BP8" s="2768"/>
      <c r="BQ8" s="854"/>
      <c r="BR8" s="854"/>
      <c r="BS8" s="854"/>
      <c r="BT8" s="854"/>
      <c r="BU8" s="854"/>
      <c r="BV8" s="854"/>
      <c r="BW8" s="854"/>
      <c r="BX8" s="854"/>
      <c r="BY8" s="854"/>
      <c r="BZ8" s="854"/>
      <c r="CA8" s="854"/>
      <c r="CB8" s="854"/>
      <c r="CC8" s="854"/>
      <c r="CD8" s="854"/>
      <c r="CE8" s="2730"/>
      <c r="CG8" s="2730"/>
      <c r="CI8" s="2735"/>
      <c r="CJ8" s="2736"/>
      <c r="CL8" s="2741"/>
      <c r="CM8" s="2742"/>
      <c r="CO8" s="2741"/>
      <c r="CP8" s="2742"/>
      <c r="CR8" s="2741"/>
      <c r="CS8" s="2742"/>
      <c r="CT8" s="1382"/>
      <c r="CU8" s="854"/>
      <c r="CV8" s="854"/>
      <c r="CW8" s="854"/>
      <c r="CX8" s="854"/>
      <c r="CY8" s="854"/>
      <c r="CZ8" s="854"/>
      <c r="DA8" s="854"/>
      <c r="DB8" s="854"/>
      <c r="DC8" s="854"/>
      <c r="DD8" s="854"/>
      <c r="DE8" s="854"/>
      <c r="DF8" s="854"/>
      <c r="DG8" s="854"/>
      <c r="DH8" s="854"/>
      <c r="DI8" s="2730"/>
      <c r="DK8" s="2730"/>
      <c r="DM8" s="2735"/>
      <c r="DN8" s="2736"/>
      <c r="DP8" s="2741"/>
      <c r="DQ8" s="2742"/>
      <c r="DS8" s="2741"/>
      <c r="DT8" s="2742"/>
      <c r="DV8" s="2741"/>
      <c r="DW8" s="2742"/>
      <c r="DX8" s="1670"/>
      <c r="DY8" s="854"/>
      <c r="DZ8" s="854"/>
      <c r="EA8" s="854"/>
      <c r="EF8" s="380" t="s">
        <v>2704</v>
      </c>
      <c r="EG8" s="380" t="s">
        <v>2705</v>
      </c>
      <c r="EN8" s="1970" t="s">
        <v>2698</v>
      </c>
      <c r="EO8" s="287" t="str">
        <f>County_Size</f>
        <v/>
      </c>
      <c r="EP8" s="1946">
        <f>0.00008*0</f>
        <v>0</v>
      </c>
      <c r="EQ8" s="1947">
        <f>EP8</f>
        <v>0</v>
      </c>
      <c r="ER8" s="1947">
        <f>EQ8</f>
        <v>0</v>
      </c>
      <c r="ES8" s="1943" t="str">
        <f>"Variance permitted in distance calculation ("&amp;TEXT(EP8*5280,"0.00")&amp;" "&amp;IF(EP8*5280&gt;1,"feet","foot (= "&amp;TEXT(EP8*5280*12,"0.0")&amp;" inches)")&amp;")"</f>
        <v>Variance permitted in distance calculation (0.00 foot (= 0.0 inches))</v>
      </c>
      <c r="ET8" s="829"/>
      <c r="EU8" s="829"/>
    </row>
    <row r="9" spans="1:152" ht="30" customHeight="1">
      <c r="A9" s="2717" t="s">
        <v>2925</v>
      </c>
      <c r="B9" s="2718"/>
      <c r="D9" s="1356" t="s">
        <v>2926</v>
      </c>
      <c r="F9" s="2713" t="s">
        <v>2924</v>
      </c>
      <c r="G9" s="2714"/>
      <c r="I9" s="2713" t="s">
        <v>2927</v>
      </c>
      <c r="J9" s="2714"/>
      <c r="L9" s="2764" t="s">
        <v>3272</v>
      </c>
      <c r="M9" s="2765"/>
      <c r="N9" s="1484"/>
      <c r="O9" s="2751" t="s">
        <v>3273</v>
      </c>
      <c r="P9" s="2752"/>
      <c r="R9" s="1355" t="s">
        <v>2681</v>
      </c>
      <c r="S9" s="50"/>
      <c r="T9" s="1989" t="s">
        <v>2723</v>
      </c>
      <c r="U9" s="779"/>
      <c r="V9" s="2277" t="s">
        <v>2724</v>
      </c>
      <c r="W9" s="779"/>
      <c r="X9" s="2757" t="s">
        <v>2683</v>
      </c>
      <c r="Y9" s="2758"/>
      <c r="Z9" s="779"/>
      <c r="AA9" s="2759" t="s">
        <v>2684</v>
      </c>
      <c r="AB9" s="2760"/>
      <c r="AC9" s="779"/>
      <c r="AD9" s="2759" t="s">
        <v>2685</v>
      </c>
      <c r="AE9" s="2760"/>
      <c r="AG9" s="2719"/>
      <c r="AH9" s="2720"/>
      <c r="AI9" s="1991"/>
      <c r="AJ9" s="2753" t="s">
        <v>2920</v>
      </c>
      <c r="AK9" s="2754"/>
      <c r="AL9" s="2783"/>
      <c r="AM9" s="2717" t="s">
        <v>2928</v>
      </c>
      <c r="AN9" s="2718"/>
      <c r="AP9" s="1356" t="s">
        <v>2929</v>
      </c>
      <c r="AR9" s="2713" t="s">
        <v>2930</v>
      </c>
      <c r="AS9" s="2714"/>
      <c r="AU9" s="2713" t="s">
        <v>2931</v>
      </c>
      <c r="AV9" s="2714"/>
      <c r="AX9" s="2766" t="s">
        <v>2940</v>
      </c>
      <c r="AY9" s="2767"/>
      <c r="BA9" s="1355" t="s">
        <v>5</v>
      </c>
      <c r="BC9" s="781" t="s">
        <v>4</v>
      </c>
      <c r="BE9" s="2717" t="s">
        <v>10</v>
      </c>
      <c r="BF9" s="2718"/>
      <c r="BH9" s="2713" t="s">
        <v>7</v>
      </c>
      <c r="BI9" s="2714"/>
      <c r="BK9" s="2713" t="s">
        <v>9</v>
      </c>
      <c r="BL9" s="2714"/>
      <c r="BN9" s="2719"/>
      <c r="BO9" s="2720"/>
      <c r="BP9" s="2768"/>
      <c r="BQ9" s="2717" t="s">
        <v>2932</v>
      </c>
      <c r="BR9" s="2718"/>
      <c r="BT9" s="1356" t="s">
        <v>2933</v>
      </c>
      <c r="BV9" s="2713" t="s">
        <v>2934</v>
      </c>
      <c r="BW9" s="2714"/>
      <c r="BY9" s="2713" t="s">
        <v>2935</v>
      </c>
      <c r="BZ9" s="2714"/>
      <c r="CB9" s="2715" t="s">
        <v>2941</v>
      </c>
      <c r="CC9" s="2716"/>
      <c r="CE9" s="1355" t="s">
        <v>2099</v>
      </c>
      <c r="CG9" s="781" t="s">
        <v>2100</v>
      </c>
      <c r="CI9" s="2717" t="s">
        <v>2101</v>
      </c>
      <c r="CJ9" s="2718"/>
      <c r="CL9" s="2713" t="s">
        <v>2102</v>
      </c>
      <c r="CM9" s="2714"/>
      <c r="CO9" s="2713" t="s">
        <v>2103</v>
      </c>
      <c r="CP9" s="2714"/>
      <c r="CR9" s="2719"/>
      <c r="CS9" s="2720"/>
      <c r="CT9" s="1382"/>
      <c r="CU9" s="2717" t="s">
        <v>2936</v>
      </c>
      <c r="CV9" s="2718"/>
      <c r="CX9" s="1356" t="s">
        <v>2937</v>
      </c>
      <c r="CZ9" s="2713" t="s">
        <v>2938</v>
      </c>
      <c r="DA9" s="2714"/>
      <c r="DC9" s="2713" t="s">
        <v>2939</v>
      </c>
      <c r="DD9" s="2714"/>
      <c r="DF9" s="2715" t="s">
        <v>2942</v>
      </c>
      <c r="DG9" s="2716"/>
      <c r="DI9" s="1355" t="s">
        <v>2499</v>
      </c>
      <c r="DK9" s="781" t="s">
        <v>2500</v>
      </c>
      <c r="DM9" s="2717" t="s">
        <v>2501</v>
      </c>
      <c r="DN9" s="2718"/>
      <c r="DP9" s="2713" t="s">
        <v>2502</v>
      </c>
      <c r="DQ9" s="2714"/>
      <c r="DS9" s="2713" t="s">
        <v>2503</v>
      </c>
      <c r="DT9" s="2714"/>
      <c r="DV9" s="2719"/>
      <c r="DW9" s="2720"/>
      <c r="DX9" s="1670"/>
      <c r="DY9" s="854"/>
      <c r="DZ9" s="854"/>
      <c r="EA9" s="854"/>
      <c r="EB9" s="10" t="s">
        <v>1566</v>
      </c>
      <c r="EC9" s="10"/>
      <c r="EF9" s="1945"/>
      <c r="EG9" s="1945"/>
      <c r="EJ9" s="2402" t="s">
        <v>3141</v>
      </c>
      <c r="EP9" s="17" t="s">
        <v>2701</v>
      </c>
    </row>
    <row r="10" spans="1:152" ht="15" customHeight="1">
      <c r="G10" s="990" t="s">
        <v>2679</v>
      </c>
      <c r="H10" s="24"/>
      <c r="I10" s="24"/>
      <c r="J10" s="990" t="s">
        <v>2680</v>
      </c>
      <c r="M10" s="784" t="s">
        <v>2727</v>
      </c>
      <c r="N10" s="847"/>
      <c r="O10" s="2275"/>
      <c r="P10" s="2276" t="s">
        <v>2728</v>
      </c>
      <c r="T10" s="106" t="s">
        <v>12</v>
      </c>
      <c r="V10" s="2278" t="s">
        <v>2729</v>
      </c>
      <c r="X10" s="2745" t="s">
        <v>2687</v>
      </c>
      <c r="Y10" s="2745"/>
      <c r="AG10" s="782" t="s">
        <v>3274</v>
      </c>
      <c r="AJ10" s="1391" t="s">
        <v>3275</v>
      </c>
      <c r="AK10" s="2279"/>
      <c r="AL10" s="1037"/>
      <c r="AS10" s="783" t="s">
        <v>6</v>
      </c>
      <c r="AV10" s="778" t="s">
        <v>8</v>
      </c>
      <c r="AY10" s="778" t="s">
        <v>619</v>
      </c>
      <c r="BA10" s="779"/>
      <c r="BC10" s="106" t="s">
        <v>12</v>
      </c>
      <c r="BE10" s="2745" t="s">
        <v>2687</v>
      </c>
      <c r="BF10" s="2745"/>
      <c r="BH10" s="50"/>
      <c r="BI10" s="50"/>
      <c r="BK10" s="50"/>
      <c r="BL10" s="50"/>
      <c r="BN10" s="782" t="s">
        <v>2165</v>
      </c>
      <c r="BP10" s="2768"/>
      <c r="BW10" s="783" t="s">
        <v>2104</v>
      </c>
      <c r="BZ10" s="778" t="s">
        <v>2105</v>
      </c>
      <c r="CC10" s="1392" t="s">
        <v>2106</v>
      </c>
      <c r="CE10" s="779"/>
      <c r="CG10" s="106" t="s">
        <v>12</v>
      </c>
      <c r="CI10" s="2745" t="s">
        <v>2687</v>
      </c>
      <c r="CJ10" s="2745"/>
      <c r="CL10" s="50"/>
      <c r="CM10" s="50"/>
      <c r="CO10" s="50"/>
      <c r="CP10" s="50"/>
      <c r="CR10" s="1391" t="s">
        <v>2331</v>
      </c>
      <c r="CT10" s="1382"/>
      <c r="DA10" s="783" t="s">
        <v>2504</v>
      </c>
      <c r="DD10" s="778" t="s">
        <v>2505</v>
      </c>
      <c r="DG10" s="1392" t="s">
        <v>2506</v>
      </c>
      <c r="DI10" s="779"/>
      <c r="DK10" s="106" t="s">
        <v>12</v>
      </c>
      <c r="DM10" s="2745" t="s">
        <v>2687</v>
      </c>
      <c r="DN10" s="2745"/>
      <c r="DP10" s="50"/>
      <c r="DQ10" s="50"/>
      <c r="DS10" s="50"/>
      <c r="DT10" s="50"/>
      <c r="DV10" s="1391" t="s">
        <v>2507</v>
      </c>
      <c r="DX10" s="1670"/>
      <c r="DY10" s="854"/>
      <c r="DZ10" s="854"/>
      <c r="EA10" s="854"/>
      <c r="EB10" s="2401" t="s">
        <v>3174</v>
      </c>
      <c r="EC10" s="2401"/>
      <c r="ED10" s="2401"/>
      <c r="EE10" s="2401"/>
      <c r="EF10" s="2747" t="s">
        <v>3142</v>
      </c>
      <c r="EG10" s="2747"/>
      <c r="ES10" s="849" t="s">
        <v>2710</v>
      </c>
      <c r="ET10" s="1968">
        <v>3</v>
      </c>
      <c r="EV10" s="1963" t="s">
        <v>2707</v>
      </c>
    </row>
    <row r="11" spans="1:152">
      <c r="G11" s="766" t="s">
        <v>620</v>
      </c>
      <c r="J11" s="766" t="s">
        <v>620</v>
      </c>
      <c r="L11" s="331" t="s">
        <v>2721</v>
      </c>
      <c r="M11" s="766" t="s">
        <v>620</v>
      </c>
      <c r="N11" s="766"/>
      <c r="O11" s="2285" t="s">
        <v>2722</v>
      </c>
      <c r="P11" s="2286" t="s">
        <v>620</v>
      </c>
      <c r="R11" s="730" t="str">
        <f>IF(NOT(ISNA(VLOOKUP(County,DS_2026_Metro_QCT_Counties,1,FALSE))),"Metro",IF(NOT(ISNA(VLOOKUP(County,DS_2026_NonMetro_QCT_Counties,1,FALSE))),"Non-Metro",IF(AND(ISNA(VLOOKUP(County,DS_2026_NonMetro_QCT_Counties,1,FALSE)),ISNA(VLOOKUP(County,DS_2026_Metro_QCT_Counties,1,FALSE))),"Neither","")))</f>
        <v>Neither</v>
      </c>
      <c r="T11" s="730" t="str">
        <f>Geo_Area_of_Opp_boost</f>
        <v>&lt;select from menu&gt;</v>
      </c>
      <c r="V11" s="2296" t="s">
        <v>2920</v>
      </c>
      <c r="X11" s="2746"/>
      <c r="Y11" s="2746"/>
      <c r="AG11" s="766" t="s">
        <v>620</v>
      </c>
      <c r="AJ11" s="2280" t="s">
        <v>620</v>
      </c>
      <c r="AK11" s="2281"/>
      <c r="AL11" s="1037"/>
      <c r="AN11" s="264"/>
      <c r="AS11" s="106" t="s">
        <v>620</v>
      </c>
      <c r="AV11" s="106" t="s">
        <v>620</v>
      </c>
      <c r="AY11" s="766" t="s">
        <v>620</v>
      </c>
      <c r="BA11" s="730" t="str">
        <f>IF(NOT(ISNA(VLOOKUP(County,DS_2023_Metro_QCT_Counties,1,FALSE))),"Metro",IF(NOT(ISNA(VLOOKUP(County,DS_2023_NonMetro_QCT_Counties,1,FALSE))),"Non-Metro",IF(AND(ISNA(VLOOKUP(County,DS_2023_NonMetro_QCT_Counties,1,FALSE)),ISNA(VLOOKUP(County,DS_2023_Metro_QCT_Counties,1,FALSE))),"Neither","")))</f>
        <v>Neither</v>
      </c>
      <c r="BC11" s="730" t="str">
        <f>Geo_Area_of_Opp_boost</f>
        <v>&lt;select from menu&gt;</v>
      </c>
      <c r="BE11" s="2746"/>
      <c r="BF11" s="2746"/>
      <c r="BN11" s="766" t="s">
        <v>620</v>
      </c>
      <c r="BP11" s="2768"/>
      <c r="BR11" s="264"/>
      <c r="BW11" s="106" t="s">
        <v>620</v>
      </c>
      <c r="BZ11" s="106" t="s">
        <v>620</v>
      </c>
      <c r="CC11" s="766" t="s">
        <v>620</v>
      </c>
      <c r="CE11" s="730" t="str">
        <f>IF(NOT(ISNA(VLOOKUP(County,DS_2024_Metro_QCT_Counties,1,FALSE))),"Metro",IF(NOT(ISNA(VLOOKUP(County,DS_2024_NonMetro_QCT_Counties,1,FALSE))),"Non-Metro",IF(AND(ISNA(VLOOKUP(County,DS_2024_NonMetro_QCT_Counties,1,FALSE)),ISNA(VLOOKUP(County,DS_2024_Metro_QCT_Counties,1,FALSE))),"Neither","")))</f>
        <v>Neither</v>
      </c>
      <c r="CG11" s="730" t="str">
        <f>Geo_Area_of_Opp_boost</f>
        <v>&lt;select from menu&gt;</v>
      </c>
      <c r="CI11" s="2746"/>
      <c r="CJ11" s="2746"/>
      <c r="CR11" s="766" t="s">
        <v>620</v>
      </c>
      <c r="CT11" s="1382"/>
      <c r="CV11" s="264"/>
      <c r="DA11" s="106" t="s">
        <v>620</v>
      </c>
      <c r="DD11" s="106" t="s">
        <v>620</v>
      </c>
      <c r="DG11" s="766" t="s">
        <v>620</v>
      </c>
      <c r="DI11" s="730" t="str">
        <f>IF(NOT(ISNA(VLOOKUP(County,DS_2025_Metro_QCT_Counties,1,FALSE))),"Metro",IF(NOT(ISNA(VLOOKUP(County,DS_2025_NonMetro_QCT_Counties,1,FALSE))),"Non-Metro",IF(AND(ISNA(VLOOKUP(County,DS_2025_NonMetro_QCT_Counties,1,FALSE)),ISNA(VLOOKUP(County,DS_2025_Metro_QCT_Counties,1,FALSE))),"Neither","")))</f>
        <v>Neither</v>
      </c>
      <c r="DK11" s="730" t="str">
        <f>Geo_Area_of_Opp_boost</f>
        <v>&lt;select from menu&gt;</v>
      </c>
      <c r="DM11" s="2746"/>
      <c r="DN11" s="2746"/>
      <c r="DV11" s="766" t="s">
        <v>620</v>
      </c>
      <c r="DX11" s="1670"/>
      <c r="DY11" s="854"/>
      <c r="DZ11" s="854"/>
      <c r="EA11" s="854"/>
      <c r="EF11" s="2748"/>
      <c r="EG11" s="2748"/>
      <c r="EO11" s="854"/>
      <c r="ES11" s="43" t="str">
        <f>"(implying a possible variance of "&amp;TEXT(5280*CHOOSE(ET10+1,1,0.1,0.01,0.001,0.0001),CHOOSE($ET$10+1,"0","0","0.0","0.00","0.000"))&amp;" feet)"</f>
        <v>(implying a possible variance of 5.28 feet)</v>
      </c>
      <c r="EV11" s="1948" t="s">
        <v>280</v>
      </c>
    </row>
    <row r="12" spans="1:152" ht="30" customHeight="1">
      <c r="A12" s="2721" t="str">
        <f>"2026 ZCTAs"&amp;CHAR(10)&amp;"(last row is "&amp;TEXT(12+COUNTA(DS_2026_ZCTAs)/2,"#,##0")&amp;")"</f>
        <v>2026 ZCTAs
(last row is 418)</v>
      </c>
      <c r="B12" s="2722"/>
      <c r="D12" s="1357" t="str">
        <f>"2026 Non-Metro DDA's"&amp;CHAR(10)&amp;"(last row is "&amp;TEXT(12+COUNTA(DS_2026_NonMetro_DDAs),"#,##0")&amp;")"</f>
        <v>2026 Non-Metro DDA's
(last row is 26)</v>
      </c>
      <c r="F12" s="2721" t="str">
        <f>"2026 Metro QCT's"&amp;CHAR(10)&amp;"(last row is "&amp;TEXT(12+COUNTA(DS_2026_Metro_QCTs)/2,"#,##0")&amp;")"</f>
        <v>2026 Metro QCT's
(last row is 829)</v>
      </c>
      <c r="G12" s="2722"/>
      <c r="I12" s="2721" t="str">
        <f>"2026 Non-Metro QCT's"&amp;CHAR(10)&amp;"(last row is "&amp;TEXT(12+COUNTA(DS_2026_NonMetro_QCTs)/2,"#,##0")&amp;")"</f>
        <v>2026 Non-Metro QCT's
(last row is 44)</v>
      </c>
      <c r="J12" s="2722"/>
      <c r="K12" s="457"/>
      <c r="L12" s="2721" t="str">
        <f>"2F GAO's effective 02/16/26"&amp;CHAR(10)&amp;"(last row is "&amp;TEXT(12+COUNTA(DS_2026_2F_GAO_CTs)/2,"#,##0")&amp;")"</f>
        <v>2F GAO's effective 02/16/26
(last row is 2,813)</v>
      </c>
      <c r="M12" s="2722"/>
      <c r="N12" s="29"/>
      <c r="O12" s="2721" t="str">
        <f>"3F GAO's effective 02/16/26"&amp;CHAR(10)&amp;"(last row is "&amp;TEXT(12+COUNTA(DS_2026_3F_GAO_CTs)/2,"#,##0")&amp;")"</f>
        <v>3F GAO's effective 02/16/26
(last row is 12)</v>
      </c>
      <c r="P12" s="2722"/>
      <c r="Q12" s="457"/>
      <c r="R12" s="771" t="str">
        <f>"2026 QCTs in "&amp;County&amp;CHAR(10)&amp;"(last row is "&amp;TEXT(12+COUNTA(DS_2026_County_QCTs),"#,##0")&amp;")"</f>
        <v>2026 QCTs in &lt;select one&gt;
(last row is 174)</v>
      </c>
      <c r="S12" s="457"/>
      <c r="T12" s="771" t="str">
        <f>"2026 2F GAOs in "&amp;County&amp;CHAR(10)&amp;"(last row is "&amp;TEXT(12+COUNTA(DS_2026_County_2F_GAOs),"#,##0")&amp;")"</f>
        <v>2026 2F GAOs in &lt;select one&gt;
(last row is 398)</v>
      </c>
      <c r="V12" s="771" t="str">
        <f>"2026 3F GAOs in "&amp;County&amp;CHAR(10)&amp;"(last row is "&amp;TEXT(12+COUNTA(DS_2026_County_3F_GAOs),"#,##0")&amp;")"</f>
        <v>2026 3F GAOs in &lt;select one&gt;
(last row is 398)</v>
      </c>
      <c r="X12" s="2721" t="s">
        <v>2676</v>
      </c>
      <c r="Y12" s="2723"/>
      <c r="AA12" s="2721" t="s">
        <v>2677</v>
      </c>
      <c r="AB12" s="2722"/>
      <c r="AD12" s="2721" t="s">
        <v>2678</v>
      </c>
      <c r="AE12" s="2722"/>
      <c r="AG12" s="2721" t="s">
        <v>3270</v>
      </c>
      <c r="AH12" s="2723"/>
      <c r="AI12" s="380"/>
      <c r="AJ12" s="2721" t="s">
        <v>3271</v>
      </c>
      <c r="AK12" s="2723"/>
      <c r="AL12" s="1037"/>
      <c r="AM12" s="2721" t="str">
        <f>"2023 ZCTAs"&amp;CHAR(10)&amp;"(last row is "&amp;TEXT(12+COUNTA(DS_2023_ZCTAs)/2,"#,##0")&amp;")"</f>
        <v>2023 ZCTAs
(last row is 365)</v>
      </c>
      <c r="AN12" s="2722"/>
      <c r="AP12" s="1357" t="str">
        <f>"2023 Non-Metro DDA's"&amp;CHAR(10)&amp;"(last row is "&amp;TEXT(12+COUNTA(DS_2023_NonMetro_DDAs),"#,##0")&amp;")"</f>
        <v>2023 Non-Metro DDA's
(last row is 35)</v>
      </c>
      <c r="AR12" s="2721" t="str">
        <f>"2023 Metro QCT's"&amp;CHAR(10)&amp;"(last row is "&amp;TEXT(12+COUNTA(DS_2023_Metro_QCTs)/2,"#,##0")&amp;")"</f>
        <v>2023 Metro QCT's
(last row is 814)</v>
      </c>
      <c r="AS12" s="2722"/>
      <c r="AU12" s="2721" t="str">
        <f>"2023 Non-Metro QCT's"&amp;CHAR(10)&amp;"(last row is "&amp;TEXT(12+COUNTA(DS_2023_NonMetro_QCTs)/2,"#,##0")&amp;")"</f>
        <v>2023 Non-Metro QCT's
(last row is 48)</v>
      </c>
      <c r="AV12" s="2722"/>
      <c r="AX12" s="2721" t="str">
        <f>"GAO's effective 2/1/23"&amp;CHAR(10)&amp;"(last row is "&amp;TEXT(12+COUNTA(DS_2023_GAO_QCTs)/2,"#,##0")&amp;")"</f>
        <v>GAO's effective 2/1/23
(last row is 2,950)</v>
      </c>
      <c r="AY12" s="2722"/>
      <c r="BA12" s="771" t="str">
        <f>"2023 QCTs in "&amp;County&amp;CHAR(10)&amp;"(last row is "&amp;TEXT(12+COUNTA(DS_2023_County_QCTs),"#,##0")&amp;")"</f>
        <v>2023 QCTs in &lt;select one&gt;
(last row is 235)</v>
      </c>
      <c r="BC12" s="771" t="str">
        <f>"2023 GAOs in "&amp;County&amp;CHAR(10)&amp;"(last row is "&amp;TEXT(12+COUNTA(DS_2023_County_GAOs),"#,##0")&amp;")"</f>
        <v>2023 GAOs in &lt;select one&gt;
(last row is 513)</v>
      </c>
      <c r="BE12" s="2721" t="s">
        <v>621</v>
      </c>
      <c r="BF12" s="2723"/>
      <c r="BH12" s="2721" t="s">
        <v>622</v>
      </c>
      <c r="BI12" s="2722"/>
      <c r="BK12" s="2721" t="s">
        <v>623</v>
      </c>
      <c r="BL12" s="2722"/>
      <c r="BN12" s="2755" t="s">
        <v>624</v>
      </c>
      <c r="BO12" s="2756"/>
      <c r="BP12" s="1385"/>
      <c r="BQ12" s="2721" t="str">
        <f>"2024 ZCTAs"&amp;CHAR(10)&amp;"(last row is "&amp;TEXT(12+COUNTA(DS_2024_ZCTAs)/2,"#,##0")&amp;")"</f>
        <v>2024 ZCTAs
(last row is 410)</v>
      </c>
      <c r="BR12" s="2722"/>
      <c r="BT12" s="1357" t="str">
        <f>"2024 Non-Metro DDA's"&amp;CHAR(10)&amp;"(last row is "&amp;TEXT(12+COUNTA(DS_2024_NonMetro_DDAs),"#,##0")&amp;")"</f>
        <v>2024 Non-Metro DDA's
(last row is 35)</v>
      </c>
      <c r="BV12" s="2721" t="str">
        <f>"2024 Metro QCT's"&amp;CHAR(10)&amp;"(last row is "&amp;TEXT(12+COUNTA(DS_2024_Metro_QCTs)/2,"#,##0")&amp;")"</f>
        <v>2024 Metro QCT's
(last row is 4,972)</v>
      </c>
      <c r="BW12" s="2722"/>
      <c r="BY12" s="2721" t="str">
        <f>"2024 Non-Metro QCT's"&amp;CHAR(10)&amp;"(last row is "&amp;TEXT(12+COUNTA(DS_2024_NonMetro_QCTs)/2,"#,##0")&amp;")"</f>
        <v>2024 Non-Metro QCT's
(last row is 212)</v>
      </c>
      <c r="BZ12" s="2722"/>
      <c r="CB12" s="2721" t="str">
        <f>"GAO's effective 2/1/24"&amp;CHAR(10)&amp;"(last row is "&amp;TEXT(12+COUNTA(DS_2024_GAO_QCTs)/2,"#,##0")&amp;")"</f>
        <v>GAO's effective 2/1/24
(last row is 2,944)</v>
      </c>
      <c r="CC12" s="2722"/>
      <c r="CE12" s="771" t="str">
        <f>"2024 QCTs in "&amp;County&amp;CHAR(10)&amp;"(last row is "&amp;TEXT(12+COUNTA(DS_2024_County_QCTs),"#,##0")&amp;")"</f>
        <v>2024 QCTs in &lt;select one&gt;
(last row is 722)</v>
      </c>
      <c r="CG12" s="771" t="str">
        <f>"2024 GAOs in "&amp;County&amp;CHAR(10)&amp;"(last row is "&amp;TEXT(12+COUNTA(DS_2024_County_GAOs),"#,##0")&amp;")"</f>
        <v>2024 GAOs in &lt;select one&gt;
(last row is 513)</v>
      </c>
      <c r="CI12" s="2721" t="s">
        <v>2107</v>
      </c>
      <c r="CJ12" s="2723"/>
      <c r="CL12" s="2721" t="s">
        <v>2108</v>
      </c>
      <c r="CM12" s="2722"/>
      <c r="CO12" s="2721" t="s">
        <v>2109</v>
      </c>
      <c r="CP12" s="2722"/>
      <c r="CR12" s="2755" t="s">
        <v>2110</v>
      </c>
      <c r="CS12" s="2756"/>
      <c r="CT12" s="1384"/>
      <c r="CU12" s="2721" t="str">
        <f>"2025 ZCTAs"&amp;CHAR(10)&amp;"(last row is "&amp;TEXT(12+COUNTA(DS_2025_ZCTAs)/2,"#,##0")&amp;")"</f>
        <v>2025 ZCTAs
(last row is 409)</v>
      </c>
      <c r="CV12" s="2722"/>
      <c r="CX12" s="1357" t="str">
        <f>"2025 Non-Metro DDA's"&amp;CHAR(10)&amp;"(last row is "&amp;TEXT(12+COUNTA(DS_2025_NonMetro_DDAs),"#,##0")&amp;")"</f>
        <v>2025 Non-Metro DDA's
(last row is 32)</v>
      </c>
      <c r="CZ12" s="2721" t="str">
        <f>"2025 Metro QCT's"&amp;CHAR(10)&amp;"(last row is "&amp;TEXT(12+COUNTA(DS_2025_Metro_QCTs)/2,"#,##0")&amp;")"</f>
        <v>2025 Metro QCT's
(last row is 930)</v>
      </c>
      <c r="DA12" s="2722"/>
      <c r="DC12" s="2721" t="str">
        <f>"2025 Non-Metro QCT's"&amp;CHAR(10)&amp;"(last row is "&amp;TEXT(12+COUNTA(DS_2025_NonMetro_QCTs)/2,"#,##0")&amp;")"</f>
        <v>2025 Non-Metro QCT's
(last row is 48)</v>
      </c>
      <c r="DD12" s="2722"/>
      <c r="DF12" s="2721" t="str">
        <f>"GAO's effective 2/1/25"&amp;CHAR(10)&amp;"(last row is "&amp;TEXT(12+COUNTA(DS_2025_GAO_QCTs)/2,"#,##0")&amp;")"</f>
        <v>GAO's effective 2/1/25
(last row is 2,838)</v>
      </c>
      <c r="DG12" s="2722"/>
      <c r="DI12" s="771" t="str">
        <f>"2025 QCTs in "&amp;County&amp;CHAR(10)&amp;"(last row is "&amp;TEXT(12+COUNTA(DS_2025_County_QCTs),"#,##0")&amp;")"</f>
        <v>2025 QCTs in &lt;select one&gt;
(last row is 175)</v>
      </c>
      <c r="DK12" s="771" t="str">
        <f>"2025 GAOs in "&amp;County&amp;CHAR(10)&amp;"(last row is "&amp;TEXT(12+COUNTA(DS_2025_County_GAOs),"#,##0")&amp;")"</f>
        <v>2025 GAOs in &lt;select one&gt;
(last row is 400)</v>
      </c>
      <c r="DM12" s="2721" t="s">
        <v>2508</v>
      </c>
      <c r="DN12" s="2723"/>
      <c r="DP12" s="2721" t="s">
        <v>2509</v>
      </c>
      <c r="DQ12" s="2722"/>
      <c r="DS12" s="2721" t="s">
        <v>2510</v>
      </c>
      <c r="DT12" s="2722"/>
      <c r="DV12" s="2721" t="s">
        <v>2511</v>
      </c>
      <c r="DW12" s="2723"/>
      <c r="DX12" s="1671"/>
      <c r="EB12" s="1940" t="s">
        <v>0</v>
      </c>
      <c r="EC12" s="1940" t="s">
        <v>2634</v>
      </c>
      <c r="ED12" s="547" t="s">
        <v>625</v>
      </c>
      <c r="EE12" s="547" t="s">
        <v>626</v>
      </c>
      <c r="EF12" s="547" t="s">
        <v>627</v>
      </c>
      <c r="EG12" s="547" t="s">
        <v>628</v>
      </c>
      <c r="EH12" s="547" t="s">
        <v>629</v>
      </c>
      <c r="EI12" s="547" t="s">
        <v>630</v>
      </c>
      <c r="EJ12" s="547" t="s">
        <v>41</v>
      </c>
      <c r="EK12" s="547" t="s">
        <v>1</v>
      </c>
      <c r="EL12" s="547" t="s">
        <v>631</v>
      </c>
      <c r="EM12" s="1944" t="s">
        <v>632</v>
      </c>
      <c r="EN12" s="1953" t="s">
        <v>2711</v>
      </c>
      <c r="EO12" s="1954" t="s">
        <v>2709</v>
      </c>
      <c r="EP12" s="1955" t="s">
        <v>2688</v>
      </c>
      <c r="EQ12" s="1956" t="s">
        <v>2694</v>
      </c>
      <c r="ER12" s="1953" t="s">
        <v>2634</v>
      </c>
      <c r="ES12" s="1957" t="s">
        <v>2706</v>
      </c>
      <c r="ET12" s="1958" t="s">
        <v>2699</v>
      </c>
      <c r="EU12" s="1959">
        <f>SUM(EU13:EU76)</f>
        <v>0</v>
      </c>
      <c r="EV12" s="1953" t="s">
        <v>2703</v>
      </c>
    </row>
    <row r="13" spans="1:152" ht="14.65" customHeight="1">
      <c r="A13" s="339">
        <v>32606</v>
      </c>
      <c r="B13" s="338" t="s">
        <v>276</v>
      </c>
      <c r="D13" s="338" t="s">
        <v>298</v>
      </c>
      <c r="F13" s="338">
        <v>2.02</v>
      </c>
      <c r="G13" s="338" t="s">
        <v>276</v>
      </c>
      <c r="I13" s="338">
        <v>1103</v>
      </c>
      <c r="J13" s="338" t="s">
        <v>298</v>
      </c>
      <c r="L13" s="2481">
        <v>5</v>
      </c>
      <c r="M13" s="340" t="s">
        <v>276</v>
      </c>
      <c r="N13" s="1390"/>
      <c r="O13" s="2479"/>
      <c r="P13" s="2282"/>
      <c r="R13" s="341" t="str">
        <f t="array" ref="R13">IFERROR(IF($R$11="Metro",INDEX($F$13:$F$829,SMALL(IF((County=$G$13:$G$829),MATCH(ROW($G$13:$G$829),ROW($G$13:$G$829)),""),ROWS($A$13:A13))),INDEX($I$13:$I$44,SMALL(IF((County=$J$13:$J$44),MATCH(ROW($J$13:$J$44),ROW($J$13:$J$44)),""),ROWS($A$13:A13)))),"")</f>
        <v/>
      </c>
      <c r="T13" s="341" t="str">
        <f t="array" ref="T13">IFERROR(IF($T$11="Yes",INDEX($L$13:$L$2813,SMALL(IF((County=$M$13:$M$2813),MATCH(ROW($M$13:$M$2813),ROW($M$13:$M$2813)),""),ROWS($A$13:A13))),""),"")</f>
        <v/>
      </c>
      <c r="V13" s="2283" t="str">
        <f t="array" ref="V13">IFERROR(IF($T$11="Yes",INDEX($O$14:$O$2811,SMALL(IF((County=$P$14:$P$2811),MATCH(ROW($P$14:$P$2811),ROW($P$14:$P$2811)),""),ROWS($A$13:A13))),""),"")</f>
        <v/>
      </c>
      <c r="X13" s="339">
        <v>32003</v>
      </c>
      <c r="Y13" s="338" t="s">
        <v>296</v>
      </c>
      <c r="AA13" s="338">
        <v>1.01</v>
      </c>
      <c r="AB13" s="338" t="s">
        <v>302</v>
      </c>
      <c r="AD13" s="338">
        <v>1</v>
      </c>
      <c r="AE13" s="338" t="s">
        <v>309</v>
      </c>
      <c r="AG13" s="2297">
        <v>1</v>
      </c>
      <c r="AH13" s="2297" t="s">
        <v>287</v>
      </c>
      <c r="AI13" s="1390"/>
      <c r="AJ13" s="2282"/>
      <c r="AK13" s="2282"/>
      <c r="AL13" s="1037"/>
      <c r="AM13" s="339">
        <v>32403</v>
      </c>
      <c r="AN13" s="338" t="s">
        <v>285</v>
      </c>
      <c r="AP13" s="338" t="s">
        <v>287</v>
      </c>
      <c r="AR13" s="338">
        <v>2.0099999999999998</v>
      </c>
      <c r="AS13" s="338" t="s">
        <v>276</v>
      </c>
      <c r="AU13" s="338">
        <v>400</v>
      </c>
      <c r="AV13" s="338" t="s">
        <v>298</v>
      </c>
      <c r="AX13" s="340">
        <v>2.0099999999999998</v>
      </c>
      <c r="AY13" s="340" t="s">
        <v>276</v>
      </c>
      <c r="BA13" s="341" t="str">
        <f t="array" ref="BA13">IFERROR(IF($BA$11="Metro",INDEX($AR$13:$AR$814,SMALL(IF((County=$AS$13:$AS$814),MATCH(ROW($AS$13:$AS$814),ROW($AS$13:$AS$814)),""),ROWS($A$13:$A13))),INDEX($AU$13:$AU$48,SMALL(IF((County=$AV$13:$AV$48),MATCH(ROW($AV$13:$AV$48),ROW($AV$13:$AV$48)),""),ROWS($A$13:$A13)))),"")</f>
        <v/>
      </c>
      <c r="BC13" s="341" t="str">
        <f t="array" ref="BC13">IFERROR(IF($BC$11="Yes",INDEX($AX$13:$AX$2950,SMALL(IF((County=$AY$13:$AY$2950),MATCH(ROW($AY$13:$AY$2950),ROW($AY$13:$AY$2950)),""),ROWS($A$13:$A13))),""),"")</f>
        <v/>
      </c>
      <c r="BE13" s="339">
        <v>32003</v>
      </c>
      <c r="BF13" s="338" t="s">
        <v>296</v>
      </c>
      <c r="BH13" s="338">
        <v>1.01</v>
      </c>
      <c r="BI13" s="338" t="s">
        <v>302</v>
      </c>
      <c r="BK13" s="338">
        <v>0</v>
      </c>
      <c r="BL13" s="338" t="s">
        <v>326</v>
      </c>
      <c r="BN13" s="340">
        <v>1</v>
      </c>
      <c r="BO13" s="340" t="s">
        <v>304</v>
      </c>
      <c r="BP13" s="1385"/>
      <c r="BQ13" s="341">
        <v>32403</v>
      </c>
      <c r="BR13" s="338" t="s">
        <v>285</v>
      </c>
      <c r="BT13" s="338" t="s">
        <v>287</v>
      </c>
      <c r="BV13" s="338">
        <v>2.0099999999999998</v>
      </c>
      <c r="BW13" s="338" t="s">
        <v>276</v>
      </c>
      <c r="BY13" s="338">
        <v>1</v>
      </c>
      <c r="BZ13" s="338" t="s">
        <v>287</v>
      </c>
      <c r="CB13" s="340">
        <v>2.0099999999999998</v>
      </c>
      <c r="CC13" s="340" t="s">
        <v>276</v>
      </c>
      <c r="CE13" s="341" t="str">
        <f t="array" ref="CE13">IFERROR(IF($CE$11="Metro",INDEX($BV$13:$BV$4972,SMALL(IF((County=$BW$13:$BW$4972),MATCH(ROW($BW$13:$BW$4972),ROW($BW$13:$BW$4972)),""),ROWS($A$13:$A13))),INDEX($BY$13:$BY$212,SMALL(IF((County=$BZ$13:$BZ$212),MATCH(ROW($BZ$13:$BZ$212),ROW($BZ$13:$BZ$212)),""),ROWS($A$13:$A13)))),"")</f>
        <v/>
      </c>
      <c r="CG13" s="341" t="str">
        <f t="array" ref="CG13">IFERROR(IF($CG$11="Yes",INDEX($CB$13:$CB$2950,SMALL(IF((County=$CC$13:$CC$2950),MATCH(ROW($CC$13:$CC$2950),ROW($CC$13:$CC$2950)),""),ROWS($A$13:$A13))),""),"")</f>
        <v/>
      </c>
      <c r="CI13" s="1387">
        <v>32003</v>
      </c>
      <c r="CJ13" s="338" t="s">
        <v>296</v>
      </c>
      <c r="CL13" s="236">
        <v>1</v>
      </c>
      <c r="CM13" s="236" t="s">
        <v>304</v>
      </c>
      <c r="CO13" s="338">
        <v>1</v>
      </c>
      <c r="CP13" s="338" t="s">
        <v>287</v>
      </c>
      <c r="CR13" s="340">
        <v>1</v>
      </c>
      <c r="CS13" s="340" t="s">
        <v>304</v>
      </c>
      <c r="CT13" s="1384"/>
      <c r="CU13" s="341">
        <v>32669</v>
      </c>
      <c r="CV13" s="338" t="s">
        <v>276</v>
      </c>
      <c r="CX13" s="338" t="s">
        <v>298</v>
      </c>
      <c r="CZ13" s="1795">
        <v>2.02</v>
      </c>
      <c r="DA13" s="338" t="s">
        <v>276</v>
      </c>
      <c r="DC13" s="1795">
        <v>1103</v>
      </c>
      <c r="DD13" s="338" t="s">
        <v>298</v>
      </c>
      <c r="DF13" s="340">
        <v>2.0099999999999998</v>
      </c>
      <c r="DG13" s="340" t="s">
        <v>276</v>
      </c>
      <c r="DI13" s="341" t="str">
        <f t="array" ref="DI13">IFERROR(IF($DI$11="Metro",INDEX($CZ$13:$CZ$929,SMALL(IF((County=$DA$13:$DA$929),MATCH(ROW($DA$13:$DA$929),ROW($DA$13:$DA$929)),""),ROWS($A$13:$A13))),INDEX($DC$13:$DC$212,SMALL(IF((County=$DD$13:$DD$212),MATCH(ROW($DD$13:$DD$212),ROW($DD$13:$DD$212)),""),ROWS($A$13:$A13)))),"")</f>
        <v/>
      </c>
      <c r="DK13" s="341" t="str">
        <f t="array" ref="DK13">IFERROR(IF($DK$11="Yes",INDEX($DF$13:$DF$2838,SMALL(IF((County=$DG$13:$DG$2838),MATCH(ROW($DG$13:$DG$2838),ROW($DG$13:$DG$2838)),""),ROWS($A$13:$A13))),""),"")</f>
        <v/>
      </c>
      <c r="DM13" s="1387">
        <v>32003</v>
      </c>
      <c r="DN13" s="338" t="s">
        <v>296</v>
      </c>
      <c r="DP13" s="236">
        <v>1.01</v>
      </c>
      <c r="DQ13" s="236" t="s">
        <v>302</v>
      </c>
      <c r="DS13" s="1795">
        <v>2</v>
      </c>
      <c r="DT13" s="338" t="s">
        <v>313</v>
      </c>
      <c r="DV13" s="340">
        <v>1</v>
      </c>
      <c r="DW13" s="340" t="s">
        <v>304</v>
      </c>
      <c r="DX13" s="1671"/>
      <c r="DY13" s="1796"/>
      <c r="DZ13" s="1796"/>
      <c r="EB13" s="549" t="s">
        <v>276</v>
      </c>
      <c r="EC13" s="553" t="str">
        <f>VLOOKUP(EB13,Data1!$A$405:$H$471,8)</f>
        <v>Medium</v>
      </c>
      <c r="ED13" s="549" t="s">
        <v>3056</v>
      </c>
      <c r="EE13" s="549" t="s">
        <v>3057</v>
      </c>
      <c r="EF13" s="556">
        <v>29.653379999999999</v>
      </c>
      <c r="EG13" s="557">
        <v>-82.309569999999994</v>
      </c>
      <c r="EH13" s="553" t="s">
        <v>635</v>
      </c>
      <c r="EI13" s="552" t="s">
        <v>634</v>
      </c>
      <c r="EJ13" s="550" t="str">
        <f t="shared" ref="EJ13:EJ44" si="0">EB13&amp;" - "&amp;EE13</f>
        <v>Alachua - GHA Build First Site</v>
      </c>
      <c r="EK13" s="561" t="str">
        <f t="shared" ref="EK13:EK44" si="1">IF(EH13="F","Family",IF(EH13="E","Elderly Non-ALF",IF(EH13="ALF","Elderly ALF",IF(EH13="W","Workforce",IF(EH13="F,F","Farm/Fishing Worker","")))))</f>
        <v>Family</v>
      </c>
      <c r="EL13" s="550" t="str">
        <f t="shared" ref="EL13:EL44" si="2">"("&amp;EF13&amp;", "&amp;EG13&amp;")"</f>
        <v>(29.65338, -82.30957)</v>
      </c>
      <c r="EM13" s="552" t="str">
        <f t="shared" ref="EM13:EM44" si="3">IF(EI13="N","&gt;30",IF(EI13="Y","&lt;31",""))</f>
        <v>&gt;30</v>
      </c>
      <c r="EN13" s="1941" t="str">
        <f t="shared" ref="EN13:EN44" si="4">IF(AND($EV$11="Yes",_xlfn.MINIFS($EP$13:$EP$76,$EO$13:$EO$76,$EO13)=EP13,IFERROR(FIND("- Site",EJ13),0)&gt;0),1,"")</f>
        <v/>
      </c>
      <c r="EO13" t="str">
        <f t="shared" ref="EO13:EO44" si="5">IF(IFERROR(FIND("- site",EJ13),0)=0,EJ13,LEFT(EJ13,IFERROR(FIND("- site",EJ13),0)-2))</f>
        <v>Alachua - GHA Build First Site</v>
      </c>
      <c r="EP13" s="1941">
        <f t="shared" ref="EP13:EP44" si="6">IF($EF13=0,0,2*ATAN2(SQRT(1-SIN(ABS($EF13-$EO$5)*PI()/180/2)^2+COS($EO$5*PI()/180)*COS($EF13*PI()/180)*SIN(ABS($EG13-$EO$6)*PI()/180/2)^2),SQRT(SIN(ABS($EF13-$EO$5)*PI()/180/2)^2+COS($EO$5*PI()/180)*COS($EF13*PI()/180)*SIN(ABS($EG13-$EO$6)*PI()/180/2)^2))*SQRT((($EK$5^2*COS($EO$5))^2+($EK$6^2*SIN($EO$5))^2)/(($EK$5*COS($EO$5))^2+($EK$6*SIN($EO$5))^2))/$EK$7)</f>
        <v>4169.3697345831206</v>
      </c>
      <c r="EQ13" s="1941" t="str">
        <f t="shared" ref="EQ13:EQ44" si="7">IF($EO$7=EK13,"Yes","No")</f>
        <v>No</v>
      </c>
      <c r="ER13" s="1941" t="str">
        <f>VLOOKUP(EB13,Data1!$G$405:$H$471,2)</f>
        <v>Medium</v>
      </c>
      <c r="ES13" t="str">
        <f>IF(COUNTA($EJ$13:$EJ13)&lt;=$EU$12,LOOKUP(COUNTA($EJ$13:$EJ13),DS_Proximity_List_Sequence,DS_Proximity_List_PublishNames)&amp;", about "&amp;TEXT(ROUND(LOOKUP(COUNTA($EJ$13:$EJ13),DS_Proximity_List_Sequence,DS_Mandadory_Distance_Calc),$ET$10),CHOOSE($ET$10+1,"0","0.0","0.00","0.000","0.0000"))&amp;" miles, with "&amp;LOOKUP(COUNTA($EJ$13:$EJ13),DS_Proximity_List_Sequence,DS_Prox_List_Demo)&amp;" Demo","")</f>
        <v/>
      </c>
      <c r="ET13" s="1941" t="str">
        <f>IF(EU13&gt;0,SUM(EU$13:EU13),"")</f>
        <v/>
      </c>
      <c r="EU13" s="2210">
        <f t="shared" ref="EU13:EU44" si="8">IF(AND(ER13="Large",OR($ER$5="NA",$ER$6="NA",$ER$7="NA")),0,IF(AND(EP13&lt;IF(LDA_Notice="LDA",IF(ER13="Small",N($EP$5)+N($EP$8),IF(ER13="Medium",N($EQ$5)+N($EQ$8),N($ER$5)+N($ER$8))),IF(EM13="&gt;30",IF(ER13="Small",N($EP$6)+N($EP$8),IF(ER13="Medium",N($EQ$6)+N($EQ$8),N($ER$6)+N($ER$8))),IF(ER13="Small",N($EP$7)+N($EP$8),IF(ER13="Medium",N($EQ$7)+N($EQ$8),N($ER$7)+N($ER$8))))),EQ13="Yes",OR(IFERROR(FIND("- site",EJ13),0)=0,$EV$11="No",AND(IFERROR(FIND("- site",EJ13),0)&gt;0,EN13=1)),OR(Proximity_list_related&lt;&gt;"Yes",AND(Proximity_list_related="Yes",EJ13&lt;&gt;Prox_List_Related_Disregard_1,EJ13&lt;&gt;Prox_List_Related_Disregard_2,EJ13&lt;&gt;Prox_List_Related_Disregard_3,EJ13&lt;&gt;Prox_List_Related_Disregard_4,EJ13&lt;&gt;Prox_List_Related_Disregard_5))),1,0))</f>
        <v>0</v>
      </c>
      <c r="EV13" s="1148" t="str">
        <f t="shared" ref="EV13:EV44" si="9">IF(AND($EV$11="Yes",IFERROR(FIND("- Site",EJ13),0)&gt;0,EN13=1)=FALSE,EJ13,LEFT(EJ13,LEN(EJ13)-(LEN(EJ13)-FIND("- Site",EJ13)+1)))</f>
        <v>Alachua - GHA Build First Site</v>
      </c>
    </row>
    <row r="14" spans="1:152" ht="14.65" customHeight="1">
      <c r="A14" s="339">
        <v>32403</v>
      </c>
      <c r="B14" s="338" t="s">
        <v>285</v>
      </c>
      <c r="D14" s="338" t="s">
        <v>300</v>
      </c>
      <c r="E14" s="858"/>
      <c r="F14" s="338">
        <v>6</v>
      </c>
      <c r="G14" s="338" t="s">
        <v>276</v>
      </c>
      <c r="I14" s="338">
        <v>1104</v>
      </c>
      <c r="J14" s="338" t="s">
        <v>298</v>
      </c>
      <c r="L14" s="2481">
        <v>8.08</v>
      </c>
      <c r="M14" s="340" t="s">
        <v>276</v>
      </c>
      <c r="N14" s="1390"/>
      <c r="O14" s="2479"/>
      <c r="P14" s="2282"/>
      <c r="R14" s="341" t="str">
        <f t="array" ref="R14">IFERROR(IF($R$11="Metro",INDEX($F$13:$F$829,SMALL(IF((County=$G$13:$G$829),MATCH(ROW($G$13:$G$829),ROW($G$13:$G$829)),""),ROWS($A$13:A14))),INDEX($I$13:$I$44,SMALL(IF((County=$J$13:$J$44),MATCH(ROW($J$13:$J$44),ROW($J$13:$J$44)),""),ROWS($A$13:A14)))),"")</f>
        <v/>
      </c>
      <c r="T14" s="341" t="str">
        <f t="array" ref="T14">IFERROR(IF($T$11="Yes",INDEX($L$13:$L$2813,SMALL(IF((County=$M$13:$M$2813),MATCH(ROW($M$13:$M$2813),ROW($M$13:$M$2813)),""),ROWS($A$13:A14))),""),"")</f>
        <v/>
      </c>
      <c r="V14" s="2283" t="str">
        <f t="array" ref="V14">IFERROR(IF($T$11="Yes",INDEX($O$14:$O$2811,SMALL(IF((County=$P$14:$P$2811),MATCH(ROW($P$14:$P$2811),ROW($P$14:$P$2811)),""),ROWS($A$13:A14))),""),"")</f>
        <v/>
      </c>
      <c r="X14" s="339">
        <v>32033</v>
      </c>
      <c r="Y14" s="338" t="s">
        <v>349</v>
      </c>
      <c r="AA14" s="338">
        <v>1.01</v>
      </c>
      <c r="AB14" s="338" t="s">
        <v>316</v>
      </c>
      <c r="AD14" s="338">
        <v>2</v>
      </c>
      <c r="AE14" s="338" t="s">
        <v>313</v>
      </c>
      <c r="AG14" s="2297">
        <v>1</v>
      </c>
      <c r="AH14" s="2297" t="s">
        <v>304</v>
      </c>
      <c r="AI14" s="1390"/>
      <c r="AJ14" s="2282"/>
      <c r="AK14" s="2282"/>
      <c r="AL14" s="1037"/>
      <c r="AM14" s="339">
        <v>32407</v>
      </c>
      <c r="AN14" s="338" t="s">
        <v>285</v>
      </c>
      <c r="AP14" s="338" t="s">
        <v>292</v>
      </c>
      <c r="AQ14" s="858"/>
      <c r="AR14" s="338">
        <v>2.02</v>
      </c>
      <c r="AS14" s="338" t="s">
        <v>276</v>
      </c>
      <c r="AU14" s="338">
        <v>200</v>
      </c>
      <c r="AV14" s="338" t="s">
        <v>300</v>
      </c>
      <c r="AX14" s="340">
        <v>5</v>
      </c>
      <c r="AY14" s="340" t="s">
        <v>276</v>
      </c>
      <c r="BA14" s="341" t="str">
        <f t="array" ref="BA14">IFERROR(IF($BA$11="Metro",INDEX($AR$13:$AR$814,SMALL(IF((County=$AS$13:$AS$814),MATCH(ROW($AS$13:$AS$814),ROW($AS$13:$AS$814)),""),ROWS($A$13:$A14))),INDEX($AU$13:$AU$48,SMALL(IF((County=$AV$13:$AV$48),MATCH(ROW($AV$13:$AV$48),ROW($AV$13:$AV$48)),""),ROWS($A$13:$A14)))),"")</f>
        <v/>
      </c>
      <c r="BC14" s="341" t="str">
        <f t="array" ref="BC14">IFERROR(IF($BC$11="Yes",INDEX($AX$13:$AX$2950,SMALL(IF((County=$AY$13:$AY$2950),MATCH(ROW($AY$13:$AY$2950),ROW($AY$13:$AY$2950)),""),ROWS($A$13:$A14))),""),"")</f>
        <v/>
      </c>
      <c r="BE14" s="339">
        <v>32079</v>
      </c>
      <c r="BF14" s="338" t="s">
        <v>296</v>
      </c>
      <c r="BH14" s="338">
        <v>1.01</v>
      </c>
      <c r="BI14" s="338" t="s">
        <v>316</v>
      </c>
      <c r="BK14" s="338">
        <v>103</v>
      </c>
      <c r="BL14" s="338" t="s">
        <v>358</v>
      </c>
      <c r="BN14" s="340">
        <v>1</v>
      </c>
      <c r="BO14" s="340" t="s">
        <v>330</v>
      </c>
      <c r="BP14" s="1385"/>
      <c r="BQ14" s="341">
        <v>32407</v>
      </c>
      <c r="BR14" s="338" t="s">
        <v>285</v>
      </c>
      <c r="BT14" s="338" t="s">
        <v>292</v>
      </c>
      <c r="BU14" s="858"/>
      <c r="BV14" s="338">
        <v>2.02</v>
      </c>
      <c r="BW14" s="338" t="s">
        <v>276</v>
      </c>
      <c r="BY14" s="338">
        <v>2.0099999999999998</v>
      </c>
      <c r="BZ14" s="338" t="s">
        <v>287</v>
      </c>
      <c r="CB14" s="340">
        <v>5</v>
      </c>
      <c r="CC14" s="340" t="s">
        <v>276</v>
      </c>
      <c r="CE14" s="341" t="str">
        <f t="array" ref="CE14">IFERROR(IF($CE$11="Metro",INDEX($BV$13:$BV$4972,SMALL(IF((County=$BW$13:$BW$4972),MATCH(ROW($BW$13:$BW$4972),ROW($BW$13:$BW$4972)),""),ROWS($A$13:$A14))),INDEX($BY$13:$BY$212,SMALL(IF((County=$BZ$13:$BZ$212),MATCH(ROW($BZ$13:$BZ$212),ROW($BZ$13:$BZ$212)),""),ROWS($A$13:$A14)))),"")</f>
        <v/>
      </c>
      <c r="CG14" s="341" t="str">
        <f t="array" ref="CG14">IFERROR(IF($CG$11="Yes",INDEX($CB$13:$CB$2950,SMALL(IF((County=$CC$13:$CC$2950),MATCH(ROW($CC$13:$CC$2950),ROW($CC$13:$CC$2950)),""),ROWS($A$13:$A14))),""),"")</f>
        <v/>
      </c>
      <c r="CI14" s="1387">
        <v>32079</v>
      </c>
      <c r="CJ14" s="338" t="s">
        <v>296</v>
      </c>
      <c r="CL14" s="236">
        <v>1</v>
      </c>
      <c r="CM14" s="236" t="s">
        <v>330</v>
      </c>
      <c r="CO14" s="236">
        <v>1</v>
      </c>
      <c r="CP14" s="236" t="s">
        <v>309</v>
      </c>
      <c r="CR14" s="340">
        <v>1</v>
      </c>
      <c r="CS14" s="340" t="s">
        <v>330</v>
      </c>
      <c r="CT14" s="1384"/>
      <c r="CU14" s="341">
        <v>32403</v>
      </c>
      <c r="CV14" s="338" t="s">
        <v>285</v>
      </c>
      <c r="CX14" s="338" t="s">
        <v>300</v>
      </c>
      <c r="CY14" s="858"/>
      <c r="CZ14" s="1795">
        <v>6</v>
      </c>
      <c r="DA14" s="338" t="s">
        <v>276</v>
      </c>
      <c r="DC14" s="1795">
        <v>1104</v>
      </c>
      <c r="DD14" s="338" t="s">
        <v>298</v>
      </c>
      <c r="DF14" s="340">
        <v>2.02</v>
      </c>
      <c r="DG14" s="340" t="s">
        <v>276</v>
      </c>
      <c r="DI14" s="341" t="str">
        <f t="array" ref="DI14">IFERROR(IF($DI$11="Metro",INDEX($CZ$13:$CZ$929,SMALL(IF((County=$DA$13:$DA$929),MATCH(ROW($DA$13:$DA$929),ROW($DA$13:$DA$929)),""),ROWS($A$13:$A14))),INDEX($DC$13:$DC$212,SMALL(IF((County=$DD$13:$DD$212),MATCH(ROW($DD$13:$DD$212),ROW($DD$13:$DD$212)),""),ROWS($A$13:$A14)))),"")</f>
        <v/>
      </c>
      <c r="DK14" s="341" t="str">
        <f t="array" ref="DK14">IFERROR(IF($DK$11="Yes",INDEX($DF$13:$DF$2838,SMALL(IF((County=$DG$13:$DG$2838),MATCH(ROW($DG$13:$DG$2838),ROW($DG$13:$DG$2838)),""),ROWS($A$13:$A14))),""),"")</f>
        <v/>
      </c>
      <c r="DM14" s="1387">
        <v>32033</v>
      </c>
      <c r="DN14" s="338" t="s">
        <v>349</v>
      </c>
      <c r="DP14" s="236">
        <v>1.01</v>
      </c>
      <c r="DQ14" s="236" t="s">
        <v>316</v>
      </c>
      <c r="DS14" s="1795">
        <v>2.02</v>
      </c>
      <c r="DT14" s="338" t="s">
        <v>309</v>
      </c>
      <c r="DV14" s="340">
        <v>1</v>
      </c>
      <c r="DW14" s="340" t="s">
        <v>330</v>
      </c>
      <c r="DX14" s="1671"/>
      <c r="DY14" s="1796"/>
      <c r="DZ14" s="1796"/>
      <c r="EB14" s="554" t="s">
        <v>276</v>
      </c>
      <c r="EC14" s="553" t="str">
        <f>VLOOKUP(EB14,Data1!$A$405:$H$471,8)</f>
        <v>Medium</v>
      </c>
      <c r="ED14" s="554" t="s">
        <v>2332</v>
      </c>
      <c r="EE14" s="549" t="s">
        <v>2333</v>
      </c>
      <c r="EF14" s="549">
        <v>29.645696000000001</v>
      </c>
      <c r="EG14" s="549">
        <v>-82.293299000000005</v>
      </c>
      <c r="EH14" s="553" t="s">
        <v>633</v>
      </c>
      <c r="EI14" s="555" t="s">
        <v>634</v>
      </c>
      <c r="EJ14" s="550" t="str">
        <f t="shared" si="0"/>
        <v>Alachua - Hawthorne Heights</v>
      </c>
      <c r="EK14" s="561" t="str">
        <f t="shared" si="1"/>
        <v>Elderly Non-ALF</v>
      </c>
      <c r="EL14" s="550" t="str">
        <f t="shared" si="2"/>
        <v>(29.645696, -82.293299)</v>
      </c>
      <c r="EM14" s="552" t="str">
        <f t="shared" si="3"/>
        <v>&gt;30</v>
      </c>
      <c r="EN14" s="1941" t="str">
        <f t="shared" si="4"/>
        <v/>
      </c>
      <c r="EO14" t="str">
        <f t="shared" si="5"/>
        <v>Alachua - Hawthorne Heights</v>
      </c>
      <c r="EP14" s="1941">
        <f t="shared" si="6"/>
        <v>4168.9553738117547</v>
      </c>
      <c r="EQ14" s="1941" t="str">
        <f t="shared" si="7"/>
        <v>No</v>
      </c>
      <c r="ER14" s="1941" t="str">
        <f>VLOOKUP(EB14,Data1!$G$405:$H$471,2)</f>
        <v>Medium</v>
      </c>
      <c r="ES14" t="str">
        <f>IF(COUNTA($EJ$13:$EJ14)&lt;=$EU$12,LOOKUP(COUNTA($EJ$13:$EJ14),DS_Proximity_List_Sequence,DS_Proximity_List_PublishNames)&amp;", about "&amp;TEXT(ROUND(LOOKUP(COUNTA($EJ$13:$EJ14),DS_Proximity_List_Sequence,DS_Mandadory_Distance_Calc),$ET$10),CHOOSE($ET$10+1,"0","0.0","0.00","0.000","0.0000"))&amp;" miles, with "&amp;LOOKUP(COUNTA($EJ$13:$EJ14),DS_Proximity_List_Sequence,DS_Prox_List_Demo)&amp;" Demo","")</f>
        <v/>
      </c>
      <c r="ET14" s="1941" t="str">
        <f>IF(EU14&gt;0,SUM(EU$13:EU14),"")</f>
        <v/>
      </c>
      <c r="EU14" s="1941">
        <f t="shared" si="8"/>
        <v>0</v>
      </c>
      <c r="EV14" s="1148" t="str">
        <f t="shared" si="9"/>
        <v>Alachua - Hawthorne Heights</v>
      </c>
    </row>
    <row r="15" spans="1:152" ht="14.65" customHeight="1">
      <c r="A15" s="339">
        <v>32407</v>
      </c>
      <c r="B15" s="338" t="s">
        <v>285</v>
      </c>
      <c r="D15" s="338" t="s">
        <v>301</v>
      </c>
      <c r="E15" s="858"/>
      <c r="F15" s="338">
        <v>8.06</v>
      </c>
      <c r="G15" s="338" t="s">
        <v>276</v>
      </c>
      <c r="I15" s="338">
        <v>1109.01</v>
      </c>
      <c r="J15" s="338" t="s">
        <v>298</v>
      </c>
      <c r="L15" s="2481">
        <v>11</v>
      </c>
      <c r="M15" s="340" t="s">
        <v>276</v>
      </c>
      <c r="N15" s="1390"/>
      <c r="O15" s="2479"/>
      <c r="P15" s="2282"/>
      <c r="R15" s="341" t="str">
        <f t="array" ref="R15">IFERROR(IF($R$11="Metro",INDEX($F$13:$F$829,SMALL(IF((County=$G$13:$G$829),MATCH(ROW($G$13:$G$829),ROW($G$13:$G$829)),""),ROWS($A$13:A15))),INDEX($I$13:$I$44,SMALL(IF((County=$J$13:$J$44),MATCH(ROW($J$13:$J$44),ROW($J$13:$J$44)),""),ROWS($A$13:A15)))),"")</f>
        <v/>
      </c>
      <c r="T15" s="341" t="str">
        <f t="array" ref="T15">IFERROR(IF($T$11="Yes",INDEX($L$13:$L$2813,SMALL(IF((County=$M$13:$M$2813),MATCH(ROW($M$13:$M$2813),ROW($M$13:$M$2813)),""),ROWS($A$13:A15))),""),"")</f>
        <v/>
      </c>
      <c r="V15" s="2283" t="str">
        <f t="array" ref="V15">IFERROR(IF($T$11="Yes",INDEX($O$14:$O$2811,SMALL(IF((County=$P$14:$P$2811),MATCH(ROW($P$14:$P$2811),ROW($P$14:$P$2811)),""),ROWS($A$13:A15))),""),"")</f>
        <v/>
      </c>
      <c r="X15" s="339">
        <v>32065</v>
      </c>
      <c r="Y15" s="338" t="s">
        <v>296</v>
      </c>
      <c r="AA15" s="338">
        <v>1.02</v>
      </c>
      <c r="AB15" s="338" t="s">
        <v>302</v>
      </c>
      <c r="AD15" s="338">
        <v>2.02</v>
      </c>
      <c r="AE15" s="338" t="s">
        <v>309</v>
      </c>
      <c r="AG15" s="2297">
        <v>1</v>
      </c>
      <c r="AH15" s="2297" t="s">
        <v>309</v>
      </c>
      <c r="AI15" s="1390"/>
      <c r="AJ15" s="2282"/>
      <c r="AK15" s="2282"/>
      <c r="AL15" s="1037"/>
      <c r="AM15" s="339">
        <v>32410</v>
      </c>
      <c r="AN15" s="338" t="s">
        <v>285</v>
      </c>
      <c r="AP15" s="338" t="s">
        <v>298</v>
      </c>
      <c r="AQ15" s="858"/>
      <c r="AR15" s="338">
        <v>3.01</v>
      </c>
      <c r="AS15" s="338" t="s">
        <v>276</v>
      </c>
      <c r="AU15" s="338">
        <v>301</v>
      </c>
      <c r="AV15" s="338" t="s">
        <v>300</v>
      </c>
      <c r="AX15" s="340">
        <v>8.08</v>
      </c>
      <c r="AY15" s="340" t="s">
        <v>276</v>
      </c>
      <c r="BA15" s="341" t="str">
        <f t="array" ref="BA15">IFERROR(IF($BA$11="Metro",INDEX($AR$13:$AR$814,SMALL(IF((County=$AS$13:$AS$814),MATCH(ROW($AS$13:$AS$814),ROW($AS$13:$AS$814)),""),ROWS($A$13:$A15))),INDEX($AU$13:$AU$48,SMALL(IF((County=$AV$13:$AV$48),MATCH(ROW($AV$13:$AV$48),ROW($AV$13:$AV$48)),""),ROWS($A$13:$A15)))),"")</f>
        <v/>
      </c>
      <c r="BC15" s="341" t="str">
        <f t="array" ref="BC15">IFERROR(IF($BC$11="Yes",INDEX($AX$13:$AX$2950,SMALL(IF((County=$AY$13:$AY$2950),MATCH(ROW($AY$13:$AY$2950),ROW($AY$13:$AY$2950)),""),ROWS($A$13:$A15))),""),"")</f>
        <v/>
      </c>
      <c r="BE15" s="339">
        <v>32081</v>
      </c>
      <c r="BF15" s="338" t="s">
        <v>349</v>
      </c>
      <c r="BH15" s="338">
        <v>1.02</v>
      </c>
      <c r="BI15" s="338" t="s">
        <v>302</v>
      </c>
      <c r="BK15" s="338">
        <v>104</v>
      </c>
      <c r="BL15" s="338" t="s">
        <v>358</v>
      </c>
      <c r="BN15" s="340">
        <v>1.01</v>
      </c>
      <c r="BO15" s="340" t="s">
        <v>297</v>
      </c>
      <c r="BP15" s="1385"/>
      <c r="BQ15" s="341">
        <v>32410</v>
      </c>
      <c r="BR15" s="338" t="s">
        <v>285</v>
      </c>
      <c r="BT15" s="338" t="s">
        <v>298</v>
      </c>
      <c r="BU15" s="858"/>
      <c r="BV15" s="338">
        <v>3.01</v>
      </c>
      <c r="BW15" s="338" t="s">
        <v>276</v>
      </c>
      <c r="BY15" s="338">
        <v>2.02</v>
      </c>
      <c r="BZ15" s="338" t="s">
        <v>287</v>
      </c>
      <c r="CB15" s="340">
        <v>8.08</v>
      </c>
      <c r="CC15" s="340" t="s">
        <v>276</v>
      </c>
      <c r="CE15" s="341" t="str">
        <f t="array" ref="CE15">IFERROR(IF($CE$11="Metro",INDEX($BV$13:$BV$4972,SMALL(IF((County=$BW$13:$BW$4972),MATCH(ROW($BW$13:$BW$4972),ROW($BW$13:$BW$4972)),""),ROWS($A$13:$A15))),INDEX($BY$13:$BY$212,SMALL(IF((County=$BZ$13:$BZ$212),MATCH(ROW($BZ$13:$BZ$212),ROW($BZ$13:$BZ$212)),""),ROWS($A$13:$A15)))),"")</f>
        <v/>
      </c>
      <c r="CG15" s="341" t="str">
        <f t="array" ref="CG15">IFERROR(IF($CG$11="Yes",INDEX($CB$13:$CB$2950,SMALL(IF((County=$CC$13:$CC$2950),MATCH(ROW($CC$13:$CC$2950),ROW($CC$13:$CC$2950)),""),ROWS($A$13:$A15))),""),"")</f>
        <v/>
      </c>
      <c r="CI15" s="1387">
        <v>32081</v>
      </c>
      <c r="CJ15" s="236" t="s">
        <v>349</v>
      </c>
      <c r="CL15" s="236">
        <v>1.01</v>
      </c>
      <c r="CM15" s="236" t="s">
        <v>297</v>
      </c>
      <c r="CO15" s="236">
        <v>1.01</v>
      </c>
      <c r="CP15" s="236" t="s">
        <v>313</v>
      </c>
      <c r="CR15" s="340">
        <v>1.01</v>
      </c>
      <c r="CS15" s="340" t="s">
        <v>297</v>
      </c>
      <c r="CT15" s="1384"/>
      <c r="CU15" s="341">
        <v>32407</v>
      </c>
      <c r="CV15" s="338" t="s">
        <v>285</v>
      </c>
      <c r="CX15" s="338" t="s">
        <v>301</v>
      </c>
      <c r="CZ15" s="1795">
        <v>7</v>
      </c>
      <c r="DA15" s="338" t="s">
        <v>276</v>
      </c>
      <c r="DC15" s="1795">
        <v>102</v>
      </c>
      <c r="DD15" s="338" t="s">
        <v>300</v>
      </c>
      <c r="DF15" s="340">
        <v>5</v>
      </c>
      <c r="DG15" s="340" t="s">
        <v>276</v>
      </c>
      <c r="DI15" s="341" t="str">
        <f t="array" ref="DI15">IFERROR(IF($DI$11="Metro",INDEX($CZ$13:$CZ$929,SMALL(IF((County=$DA$13:$DA$929),MATCH(ROW($DA$13:$DA$929),ROW($DA$13:$DA$929)),""),ROWS($A$13:$A15))),INDEX($DC$13:$DC$212,SMALL(IF((County=$DD$13:$DD$212),MATCH(ROW($DD$13:$DD$212),ROW($DD$13:$DD$212)),""),ROWS($A$13:$A15)))),"")</f>
        <v/>
      </c>
      <c r="DK15" s="341" t="str">
        <f t="array" ref="DK15">IFERROR(IF($DK$11="Yes",INDEX($DF$13:$DF$2838,SMALL(IF((County=$DG$13:$DG$2838),MATCH(ROW($DG$13:$DG$2838),ROW($DG$13:$DG$2838)),""),ROWS($A$13:$A15))),""),"")</f>
        <v/>
      </c>
      <c r="DM15" s="1387">
        <v>32079</v>
      </c>
      <c r="DN15" s="338" t="s">
        <v>296</v>
      </c>
      <c r="DP15" s="236">
        <v>1.02</v>
      </c>
      <c r="DQ15" s="236" t="s">
        <v>302</v>
      </c>
      <c r="DS15" s="1795">
        <v>3</v>
      </c>
      <c r="DT15" s="338" t="s">
        <v>313</v>
      </c>
      <c r="DV15" s="340">
        <v>1.01</v>
      </c>
      <c r="DW15" s="340" t="s">
        <v>297</v>
      </c>
      <c r="DX15" s="1671"/>
      <c r="DY15" s="1796"/>
      <c r="DZ15" s="1796"/>
      <c r="EB15" s="549" t="s">
        <v>276</v>
      </c>
      <c r="EC15" s="553" t="str">
        <f>VLOOKUP(EB15,Data1!$A$405:$H$471,8)</f>
        <v>Medium</v>
      </c>
      <c r="ED15" s="549" t="s">
        <v>3058</v>
      </c>
      <c r="EE15" s="549" t="s">
        <v>2334</v>
      </c>
      <c r="EF15" s="559">
        <v>29.610125</v>
      </c>
      <c r="EG15" s="557">
        <v>-82.360519999999994</v>
      </c>
      <c r="EH15" s="553" t="s">
        <v>635</v>
      </c>
      <c r="EI15" s="553" t="s">
        <v>634</v>
      </c>
      <c r="EJ15" s="550" t="str">
        <f t="shared" si="0"/>
        <v>Alachua - Williston Pointe</v>
      </c>
      <c r="EK15" s="561" t="str">
        <f t="shared" si="1"/>
        <v>Family</v>
      </c>
      <c r="EL15" s="550" t="str">
        <f t="shared" si="2"/>
        <v>(29.610125, -82.36052)</v>
      </c>
      <c r="EM15" s="552" t="str">
        <f t="shared" si="3"/>
        <v>&gt;30</v>
      </c>
      <c r="EN15" s="1941" t="str">
        <f t="shared" si="4"/>
        <v/>
      </c>
      <c r="EO15" t="str">
        <f t="shared" si="5"/>
        <v>Alachua - Williston Pointe</v>
      </c>
      <c r="EP15" s="1941">
        <f t="shared" si="6"/>
        <v>4169.8041126063836</v>
      </c>
      <c r="EQ15" s="1941" t="str">
        <f t="shared" si="7"/>
        <v>No</v>
      </c>
      <c r="ER15" s="1941" t="str">
        <f>VLOOKUP(EB15,Data1!$G$405:$H$471,2)</f>
        <v>Medium</v>
      </c>
      <c r="ES15" t="str">
        <f>IF(COUNTA($EJ$13:$EJ15)&lt;=$EU$12,LOOKUP(COUNTA($EJ$13:$EJ15),DS_Proximity_List_Sequence,DS_Proximity_List_PublishNames)&amp;", about "&amp;TEXT(ROUND(LOOKUP(COUNTA($EJ$13:$EJ15),DS_Proximity_List_Sequence,DS_Mandadory_Distance_Calc),$ET$10),CHOOSE($ET$10+1,"0","0.0","0.00","0.000","0.0000"))&amp;" miles, with "&amp;LOOKUP(COUNTA($EJ$13:$EJ15),DS_Proximity_List_Sequence,DS_Prox_List_Demo)&amp;" Demo","")</f>
        <v/>
      </c>
      <c r="ET15" s="1941" t="str">
        <f>IF(EU15&gt;0,SUM(EU$13:EU15),"")</f>
        <v/>
      </c>
      <c r="EU15" s="1941">
        <f t="shared" si="8"/>
        <v>0</v>
      </c>
      <c r="EV15" s="1148" t="str">
        <f t="shared" si="9"/>
        <v>Alachua - Williston Pointe</v>
      </c>
    </row>
    <row r="16" spans="1:152" ht="14.65" customHeight="1" thickBot="1">
      <c r="A16" s="339">
        <v>32410</v>
      </c>
      <c r="B16" s="338" t="s">
        <v>285</v>
      </c>
      <c r="D16" s="338" t="s">
        <v>306</v>
      </c>
      <c r="E16" s="858"/>
      <c r="F16" s="338">
        <v>8.09</v>
      </c>
      <c r="G16" s="338" t="s">
        <v>276</v>
      </c>
      <c r="I16" s="338">
        <v>102</v>
      </c>
      <c r="J16" s="338" t="s">
        <v>300</v>
      </c>
      <c r="L16" s="2481">
        <v>12.01</v>
      </c>
      <c r="M16" s="340" t="s">
        <v>276</v>
      </c>
      <c r="N16" s="1390"/>
      <c r="O16" s="2479"/>
      <c r="P16" s="2282"/>
      <c r="R16" s="341" t="str">
        <f t="array" ref="R16">IFERROR(IF($R$11="Metro",INDEX($F$13:$F$829,SMALL(IF((County=$G$13:$G$829),MATCH(ROW($G$13:$G$829),ROW($G$13:$G$829)),""),ROWS($A$13:A16))),INDEX($I$13:$I$44,SMALL(IF((County=$J$13:$J$44),MATCH(ROW($J$13:$J$44),ROW($J$13:$J$44)),""),ROWS($A$13:A16)))),"")</f>
        <v/>
      </c>
      <c r="T16" s="341" t="str">
        <f t="array" ref="T16">IFERROR(IF($T$11="Yes",INDEX($L$13:$L$2813,SMALL(IF((County=$M$13:$M$2813),MATCH(ROW($M$13:$M$2813),ROW($M$13:$M$2813)),""),ROWS($A$13:A16))),""),"")</f>
        <v/>
      </c>
      <c r="V16" s="2283" t="str">
        <f t="array" ref="V16">IFERROR(IF($T$11="Yes",INDEX($O$14:$O$2811,SMALL(IF((County=$P$14:$P$2811),MATCH(ROW($P$14:$P$2811),ROW($P$14:$P$2811)),""),ROWS($A$13:A16))),""),"")</f>
        <v/>
      </c>
      <c r="X16" s="339">
        <v>32079</v>
      </c>
      <c r="Y16" s="338" t="s">
        <v>296</v>
      </c>
      <c r="AA16" s="338">
        <v>1.02</v>
      </c>
      <c r="AB16" s="338" t="s">
        <v>316</v>
      </c>
      <c r="AD16" s="338">
        <v>3</v>
      </c>
      <c r="AE16" s="338" t="s">
        <v>313</v>
      </c>
      <c r="AG16" s="2297">
        <v>1</v>
      </c>
      <c r="AH16" s="2297" t="s">
        <v>330</v>
      </c>
      <c r="AI16" s="1390"/>
      <c r="AJ16" s="2282"/>
      <c r="AK16" s="2282"/>
      <c r="AL16" s="1037"/>
      <c r="AM16" s="339">
        <v>32903</v>
      </c>
      <c r="AN16" s="338" t="s">
        <v>288</v>
      </c>
      <c r="AP16" s="338" t="s">
        <v>300</v>
      </c>
      <c r="AQ16" s="858"/>
      <c r="AR16" s="338">
        <v>6</v>
      </c>
      <c r="AS16" s="338" t="s">
        <v>276</v>
      </c>
      <c r="AU16" s="338">
        <v>302</v>
      </c>
      <c r="AV16" s="338" t="s">
        <v>300</v>
      </c>
      <c r="AX16" s="340">
        <v>8.09</v>
      </c>
      <c r="AY16" s="340" t="s">
        <v>276</v>
      </c>
      <c r="BA16" s="341" t="str">
        <f t="array" ref="BA16">IFERROR(IF($BA$11="Metro",INDEX($AR$13:$AR$814,SMALL(IF((County=$AS$13:$AS$814),MATCH(ROW($AS$13:$AS$814),ROW($AS$13:$AS$814)),""),ROWS($A$13:$A16))),INDEX($AU$13:$AU$48,SMALL(IF((County=$AV$13:$AV$48),MATCH(ROW($AV$13:$AV$48),ROW($AV$13:$AV$48)),""),ROWS($A$13:$A16)))),"")</f>
        <v/>
      </c>
      <c r="BC16" s="341" t="str">
        <f t="array" ref="BC16">IFERROR(IF($BC$11="Yes",INDEX($AX$13:$AX$2950,SMALL(IF((County=$AY$13:$AY$2950),MATCH(ROW($AY$13:$AY$2950),ROW($AY$13:$AY$2950)),""),ROWS($A$13:$A16))),""),"")</f>
        <v/>
      </c>
      <c r="BE16" s="339">
        <v>32082</v>
      </c>
      <c r="BF16" s="338" t="s">
        <v>349</v>
      </c>
      <c r="BH16" s="338">
        <v>1.02</v>
      </c>
      <c r="BI16" s="338" t="s">
        <v>316</v>
      </c>
      <c r="BK16" s="338">
        <v>200</v>
      </c>
      <c r="BL16" s="338" t="s">
        <v>300</v>
      </c>
      <c r="BN16" s="340">
        <v>1.01</v>
      </c>
      <c r="BO16" s="340" t="s">
        <v>313</v>
      </c>
      <c r="BP16" s="1385"/>
      <c r="BQ16" s="341">
        <v>32444</v>
      </c>
      <c r="BR16" s="338" t="s">
        <v>285</v>
      </c>
      <c r="BT16" s="338" t="s">
        <v>300</v>
      </c>
      <c r="BU16" s="858"/>
      <c r="BV16" s="338">
        <v>3.02</v>
      </c>
      <c r="BW16" s="338" t="s">
        <v>276</v>
      </c>
      <c r="BY16" s="338">
        <v>3.01</v>
      </c>
      <c r="BZ16" s="338" t="s">
        <v>287</v>
      </c>
      <c r="CB16" s="340">
        <v>8.09</v>
      </c>
      <c r="CC16" s="340" t="s">
        <v>276</v>
      </c>
      <c r="CE16" s="341" t="str">
        <f t="array" ref="CE16">IFERROR(IF($CE$11="Metro",INDEX($BV$13:$BV$4972,SMALL(IF((County=$BW$13:$BW$4972),MATCH(ROW($BW$13:$BW$4972),ROW($BW$13:$BW$4972)),""),ROWS($A$13:$A16))),INDEX($BY$13:$BY$212,SMALL(IF((County=$BZ$13:$BZ$212),MATCH(ROW($BZ$13:$BZ$212),ROW($BZ$13:$BZ$212)),""),ROWS($A$13:$A16)))),"")</f>
        <v/>
      </c>
      <c r="CG16" s="341" t="str">
        <f t="array" ref="CG16">IFERROR(IF($CG$11="Yes",INDEX($CB$13:$CB$2950,SMALL(IF((County=$CC$13:$CC$2950),MATCH(ROW($CC$13:$CC$2950),ROW($CC$13:$CC$2950)),""),ROWS($A$13:$A16))),""),"")</f>
        <v/>
      </c>
      <c r="CI16" s="1387">
        <v>32082</v>
      </c>
      <c r="CJ16" s="236" t="s">
        <v>349</v>
      </c>
      <c r="CL16" s="236">
        <v>1.01</v>
      </c>
      <c r="CM16" s="236" t="s">
        <v>302</v>
      </c>
      <c r="CO16" s="236">
        <v>1.02</v>
      </c>
      <c r="CP16" s="236" t="s">
        <v>313</v>
      </c>
      <c r="CR16" s="340">
        <v>1.01</v>
      </c>
      <c r="CS16" s="340" t="s">
        <v>328</v>
      </c>
      <c r="CT16" s="1384"/>
      <c r="CU16" s="341">
        <v>32410</v>
      </c>
      <c r="CV16" s="338" t="s">
        <v>285</v>
      </c>
      <c r="CX16" s="338" t="s">
        <v>309</v>
      </c>
      <c r="CZ16" s="1795">
        <v>8.06</v>
      </c>
      <c r="DA16" s="338" t="s">
        <v>276</v>
      </c>
      <c r="DC16" s="1795">
        <v>103.01</v>
      </c>
      <c r="DD16" s="338" t="s">
        <v>300</v>
      </c>
      <c r="DF16" s="340">
        <v>8.08</v>
      </c>
      <c r="DG16" s="340" t="s">
        <v>276</v>
      </c>
      <c r="DI16" s="341" t="str">
        <f t="array" ref="DI16">IFERROR(IF($DI$11="Metro",INDEX($CZ$13:$CZ$929,SMALL(IF((County=$DA$13:$DA$929),MATCH(ROW($DA$13:$DA$929),ROW($DA$13:$DA$929)),""),ROWS($A$13:$A16))),INDEX($DC$13:$DC$212,SMALL(IF((County=$DD$13:$DD$212),MATCH(ROW($DD$13:$DD$212),ROW($DD$13:$DD$212)),""),ROWS($A$13:$A16)))),"")</f>
        <v/>
      </c>
      <c r="DK16" s="341" t="str">
        <f t="array" ref="DK16">IFERROR(IF($DK$11="Yes",INDEX($DF$13:$DF$2838,SMALL(IF((County=$DG$13:$DG$2838),MATCH(ROW($DG$13:$DG$2838),ROW($DG$13:$DG$2838)),""),ROWS($A$13:$A16))),""),"")</f>
        <v/>
      </c>
      <c r="DM16" s="1387">
        <v>32080</v>
      </c>
      <c r="DN16" s="338" t="s">
        <v>349</v>
      </c>
      <c r="DP16" s="236">
        <v>1.02</v>
      </c>
      <c r="DQ16" s="236" t="s">
        <v>316</v>
      </c>
      <c r="DS16" s="1795">
        <v>4.04</v>
      </c>
      <c r="DT16" s="338" t="s">
        <v>313</v>
      </c>
      <c r="DV16" s="340">
        <v>1.01</v>
      </c>
      <c r="DW16" s="340" t="s">
        <v>313</v>
      </c>
      <c r="DX16" s="1671"/>
      <c r="DY16" s="1796"/>
      <c r="DZ16" s="1796"/>
      <c r="EB16" s="549" t="s">
        <v>276</v>
      </c>
      <c r="EC16" s="553" t="str">
        <f>VLOOKUP(EB16,Data1!$A$405:$H$471,8)</f>
        <v>Medium</v>
      </c>
      <c r="ED16" s="549" t="s">
        <v>3059</v>
      </c>
      <c r="EE16" s="549" t="s">
        <v>3143</v>
      </c>
      <c r="EF16" s="549">
        <v>29.632549000000001</v>
      </c>
      <c r="EG16" s="549">
        <v>-82.317751999999999</v>
      </c>
      <c r="EH16" s="552" t="s">
        <v>635</v>
      </c>
      <c r="EI16" s="552" t="s">
        <v>634</v>
      </c>
      <c r="EJ16" s="550" t="str">
        <f t="shared" si="0"/>
        <v>Alachua - Woodland Park II - Site 1</v>
      </c>
      <c r="EK16" s="561" t="str">
        <f t="shared" si="1"/>
        <v>Family</v>
      </c>
      <c r="EL16" s="550" t="str">
        <f t="shared" si="2"/>
        <v>(29.632549, -82.317752)</v>
      </c>
      <c r="EM16" s="552" t="str">
        <f t="shared" si="3"/>
        <v>&gt;30</v>
      </c>
      <c r="EN16" s="1941">
        <f t="shared" si="4"/>
        <v>1</v>
      </c>
      <c r="EO16" t="str">
        <f t="shared" si="5"/>
        <v>Alachua - Woodland Park II - Site 1</v>
      </c>
      <c r="EP16" s="1941">
        <f t="shared" si="6"/>
        <v>4169.2614297319769</v>
      </c>
      <c r="EQ16" s="1941" t="str">
        <f t="shared" si="7"/>
        <v>No</v>
      </c>
      <c r="ER16" s="1941" t="str">
        <f>VLOOKUP(EB16,Data1!$G$405:$H$471,2)</f>
        <v>Medium</v>
      </c>
      <c r="ES16" s="1964" t="str">
        <f>IF(COUNTA($EJ$13:$EJ16)&lt;=$EU$12,LOOKUP(COUNTA($EJ$13:$EJ16),DS_Proximity_List_Sequence,DS_Proximity_List_PublishNames)&amp;", about "&amp;TEXT(ROUND(LOOKUP(COUNTA($EJ$13:$EJ16),DS_Proximity_List_Sequence,DS_Mandadory_Distance_Calc),$ET$10),CHOOSE($ET$10+1,"0","0.0","0.00","0.000","0.0000"))&amp;" miles, with "&amp;LOOKUP(COUNTA($EJ$13:$EJ16),DS_Proximity_List_Sequence,DS_Prox_List_Demo)&amp;" Demo","")</f>
        <v/>
      </c>
      <c r="ET16" s="1941" t="str">
        <f>IF(EU16&gt;0,SUM(EU$13:EU16),"")</f>
        <v/>
      </c>
      <c r="EU16" s="1941">
        <f t="shared" si="8"/>
        <v>0</v>
      </c>
      <c r="EV16" s="1148" t="str">
        <f t="shared" si="9"/>
        <v xml:space="preserve">Alachua - Woodland Park II </v>
      </c>
    </row>
    <row r="17" spans="1:152" ht="14.65" customHeight="1">
      <c r="A17" s="339">
        <v>32444</v>
      </c>
      <c r="B17" s="338" t="s">
        <v>285</v>
      </c>
      <c r="D17" s="338" t="s">
        <v>309</v>
      </c>
      <c r="E17" s="858"/>
      <c r="F17" s="338">
        <v>10</v>
      </c>
      <c r="G17" s="338" t="s">
        <v>276</v>
      </c>
      <c r="I17" s="338">
        <v>103.01</v>
      </c>
      <c r="J17" s="338" t="s">
        <v>300</v>
      </c>
      <c r="L17" s="2481">
        <v>12.02</v>
      </c>
      <c r="M17" s="340" t="s">
        <v>276</v>
      </c>
      <c r="N17" s="1390"/>
      <c r="O17" s="2479"/>
      <c r="P17" s="2282"/>
      <c r="R17" s="341" t="str">
        <f t="array" ref="R17">IFERROR(IF($R$11="Metro",INDEX($F$13:$F$829,SMALL(IF((County=$G$13:$G$829),MATCH(ROW($G$13:$G$829),ROW($G$13:$G$829)),""),ROWS($A$13:A17))),INDEX($I$13:$I$44,SMALL(IF((County=$J$13:$J$44),MATCH(ROW($J$13:$J$44),ROW($J$13:$J$44)),""),ROWS($A$13:A17)))),"")</f>
        <v/>
      </c>
      <c r="T17" s="341" t="str">
        <f t="array" ref="T17">IFERROR(IF($T$11="Yes",INDEX($L$13:$L$2813,SMALL(IF((County=$M$13:$M$2813),MATCH(ROW($M$13:$M$2813),ROW($M$13:$M$2813)),""),ROWS($A$13:A17))),""),"")</f>
        <v/>
      </c>
      <c r="V17" s="2283" t="str">
        <f t="array" ref="V17">IFERROR(IF($T$11="Yes",INDEX($O$14:$O$2811,SMALL(IF((County=$P$14:$P$2811),MATCH(ROW($P$14:$P$2811),ROW($P$14:$P$2811)),""),ROWS($A$13:A17))),""),"")</f>
        <v/>
      </c>
      <c r="X17" s="339">
        <v>32080</v>
      </c>
      <c r="Y17" s="338" t="s">
        <v>349</v>
      </c>
      <c r="AA17" s="338">
        <v>1.03</v>
      </c>
      <c r="AB17" s="338" t="s">
        <v>328</v>
      </c>
      <c r="AD17" s="338">
        <v>102</v>
      </c>
      <c r="AE17" s="338" t="s">
        <v>300</v>
      </c>
      <c r="AG17" s="2297">
        <v>1.01</v>
      </c>
      <c r="AH17" s="2297" t="s">
        <v>297</v>
      </c>
      <c r="AI17" s="1390"/>
      <c r="AJ17" s="2282"/>
      <c r="AK17" s="2282"/>
      <c r="AL17" s="1037"/>
      <c r="AM17" s="339">
        <v>32904</v>
      </c>
      <c r="AN17" s="338" t="s">
        <v>288</v>
      </c>
      <c r="AP17" s="338" t="s">
        <v>301</v>
      </c>
      <c r="AQ17" s="858"/>
      <c r="AR17" s="338">
        <v>8.06</v>
      </c>
      <c r="AS17" s="338" t="s">
        <v>276</v>
      </c>
      <c r="AU17" s="338">
        <v>202</v>
      </c>
      <c r="AV17" s="338" t="s">
        <v>301</v>
      </c>
      <c r="AX17" s="340">
        <v>11</v>
      </c>
      <c r="AY17" s="340" t="s">
        <v>276</v>
      </c>
      <c r="BA17" s="341" t="str">
        <f t="array" ref="BA17">IFERROR(IF($BA$11="Metro",INDEX($AR$13:$AR$814,SMALL(IF((County=$AS$13:$AS$814),MATCH(ROW($AS$13:$AS$814),ROW($AS$13:$AS$814)),""),ROWS($A$13:$A17))),INDEX($AU$13:$AU$48,SMALL(IF((County=$AV$13:$AV$48),MATCH(ROW($AV$13:$AV$48),ROW($AV$13:$AV$48)),""),ROWS($A$13:$A17)))),"")</f>
        <v/>
      </c>
      <c r="BC17" s="341" t="str">
        <f t="array" ref="BC17">IFERROR(IF($BC$11="Yes",INDEX($AX$13:$AX$2950,SMALL(IF((County=$AY$13:$AY$2950),MATCH(ROW($AY$13:$AY$2950),ROW($AY$13:$AY$2950)),""),ROWS($A$13:$A17))),""),"")</f>
        <v/>
      </c>
      <c r="BE17" s="339">
        <v>32092</v>
      </c>
      <c r="BF17" s="338" t="s">
        <v>349</v>
      </c>
      <c r="BH17" s="338">
        <v>1.03</v>
      </c>
      <c r="BI17" s="338" t="s">
        <v>328</v>
      </c>
      <c r="BK17" s="338">
        <v>200</v>
      </c>
      <c r="BL17" s="338" t="s">
        <v>313</v>
      </c>
      <c r="BN17" s="340">
        <v>1.01</v>
      </c>
      <c r="BO17" s="340" t="s">
        <v>328</v>
      </c>
      <c r="BP17" s="1385"/>
      <c r="BQ17" s="341">
        <v>32903</v>
      </c>
      <c r="BR17" s="338" t="s">
        <v>288</v>
      </c>
      <c r="BT17" s="338" t="s">
        <v>301</v>
      </c>
      <c r="BU17" s="858"/>
      <c r="BV17" s="338">
        <v>4</v>
      </c>
      <c r="BW17" s="338" t="s">
        <v>276</v>
      </c>
      <c r="BY17" s="338">
        <v>3.02</v>
      </c>
      <c r="BZ17" s="338" t="s">
        <v>287</v>
      </c>
      <c r="CB17" s="340">
        <v>11</v>
      </c>
      <c r="CC17" s="340" t="s">
        <v>276</v>
      </c>
      <c r="CE17" s="341" t="str">
        <f t="array" ref="CE17">IFERROR(IF($CE$11="Metro",INDEX($BV$13:$BV$4972,SMALL(IF((County=$BW$13:$BW$4972),MATCH(ROW($BW$13:$BW$4972),ROW($BW$13:$BW$4972)),""),ROWS($A$13:$A17))),INDEX($BY$13:$BY$212,SMALL(IF((County=$BZ$13:$BZ$212),MATCH(ROW($BZ$13:$BZ$212),ROW($BZ$13:$BZ$212)),""),ROWS($A$13:$A17)))),"")</f>
        <v/>
      </c>
      <c r="CG17" s="341" t="str">
        <f t="array" ref="CG17">IFERROR(IF($CG$11="Yes",INDEX($CB$13:$CB$2950,SMALL(IF((County=$CC$13:$CC$2950),MATCH(ROW($CC$13:$CC$2950),ROW($CC$13:$CC$2950)),""),ROWS($A$13:$A17))),""),"")</f>
        <v/>
      </c>
      <c r="CI17" s="1387">
        <v>32092</v>
      </c>
      <c r="CJ17" s="236" t="s">
        <v>349</v>
      </c>
      <c r="CL17" s="236">
        <v>1.01</v>
      </c>
      <c r="CM17" s="236" t="s">
        <v>316</v>
      </c>
      <c r="CO17" s="236">
        <v>2</v>
      </c>
      <c r="CP17" s="236" t="s">
        <v>313</v>
      </c>
      <c r="CR17" s="340">
        <v>1.02</v>
      </c>
      <c r="CS17" s="340" t="s">
        <v>297</v>
      </c>
      <c r="CT17" s="1384"/>
      <c r="CU17" s="341">
        <v>32444</v>
      </c>
      <c r="CV17" s="338" t="s">
        <v>285</v>
      </c>
      <c r="CX17" s="338" t="s">
        <v>310</v>
      </c>
      <c r="CZ17" s="1795">
        <v>8.09</v>
      </c>
      <c r="DA17" s="338" t="s">
        <v>276</v>
      </c>
      <c r="DC17" s="1795">
        <v>103.02</v>
      </c>
      <c r="DD17" s="338" t="s">
        <v>300</v>
      </c>
      <c r="DF17" s="340">
        <v>11</v>
      </c>
      <c r="DG17" s="340" t="s">
        <v>276</v>
      </c>
      <c r="DI17" s="341" t="str">
        <f t="array" ref="DI17">IFERROR(IF($DI$11="Metro",INDEX($CZ$13:$CZ$929,SMALL(IF((County=$DA$13:$DA$929),MATCH(ROW($DA$13:$DA$929),ROW($DA$13:$DA$929)),""),ROWS($A$13:$A17))),INDEX($DC$13:$DC$212,SMALL(IF((County=$DD$13:$DD$212),MATCH(ROW($DD$13:$DD$212),ROW($DD$13:$DD$212)),""),ROWS($A$13:$A17)))),"")</f>
        <v/>
      </c>
      <c r="DK17" s="341" t="str">
        <f t="array" ref="DK17">IFERROR(IF($DK$11="Yes",INDEX($DF$13:$DF$2838,SMALL(IF((County=$DG$13:$DG$2838),MATCH(ROW($DG$13:$DG$2838),ROW($DG$13:$DG$2838)),""),ROWS($A$13:$A17))),""),"")</f>
        <v/>
      </c>
      <c r="DM17" s="1387">
        <v>32081</v>
      </c>
      <c r="DN17" s="338" t="s">
        <v>349</v>
      </c>
      <c r="DP17" s="236">
        <v>1.03</v>
      </c>
      <c r="DQ17" s="236" t="s">
        <v>328</v>
      </c>
      <c r="DS17" s="1795">
        <v>102</v>
      </c>
      <c r="DT17" s="338" t="s">
        <v>300</v>
      </c>
      <c r="DV17" s="340">
        <v>1.01</v>
      </c>
      <c r="DW17" s="340" t="s">
        <v>328</v>
      </c>
      <c r="DX17" s="1671"/>
      <c r="DY17" s="1796"/>
      <c r="DZ17" s="1796"/>
      <c r="EB17" s="554" t="s">
        <v>276</v>
      </c>
      <c r="EC17" s="553" t="str">
        <f>VLOOKUP(EB17,Data1!$A$405:$H$471,8)</f>
        <v>Medium</v>
      </c>
      <c r="ED17" s="554" t="s">
        <v>3059</v>
      </c>
      <c r="EE17" s="549" t="s">
        <v>3144</v>
      </c>
      <c r="EF17" s="549">
        <v>29.633095999999998</v>
      </c>
      <c r="EG17" s="549">
        <v>-82.318438</v>
      </c>
      <c r="EH17" s="553" t="s">
        <v>635</v>
      </c>
      <c r="EI17" s="555" t="s">
        <v>634</v>
      </c>
      <c r="EJ17" s="550" t="str">
        <f t="shared" si="0"/>
        <v>Alachua - Woodland Park II - Site 2</v>
      </c>
      <c r="EK17" s="561" t="str">
        <f t="shared" si="1"/>
        <v>Family</v>
      </c>
      <c r="EL17" s="550" t="str">
        <f t="shared" si="2"/>
        <v>(29.633096, -82.318438)</v>
      </c>
      <c r="EM17" s="552" t="str">
        <f t="shared" si="3"/>
        <v>&gt;30</v>
      </c>
      <c r="EN17" s="1941">
        <f t="shared" si="4"/>
        <v>1</v>
      </c>
      <c r="EO17" t="str">
        <f t="shared" si="5"/>
        <v>Alachua - Woodland Park II - Site 2</v>
      </c>
      <c r="EP17" s="1941">
        <f t="shared" si="6"/>
        <v>4169.2817529118356</v>
      </c>
      <c r="EQ17" s="1941" t="str">
        <f t="shared" si="7"/>
        <v>No</v>
      </c>
      <c r="ER17" s="1941" t="str">
        <f>VLOOKUP(EB17,Data1!$G$405:$H$471,2)</f>
        <v>Medium</v>
      </c>
      <c r="ES17" s="1965" t="str">
        <f>IF(COUNTA($EJ$13:$EJ17)&lt;=$EU$12,LOOKUP(COUNTA($EJ$13:$EJ17),DS_Proximity_List_Sequence,DS_Proximity_List_PublishNames)&amp;", about "&amp;TEXT(ROUND(LOOKUP(COUNTA($EJ$13:$EJ17),DS_Proximity_List_Sequence,DS_Mandadory_Distance_Calc),$ET$10),CHOOSE($ET$10+1,"0","0.0","0.00","0.000","0.0000"))&amp;" miles, with "&amp;LOOKUP(COUNTA($EJ$13:$EJ17),DS_Proximity_List_Sequence,DS_Prox_List_Demo)&amp;" Demo","")</f>
        <v/>
      </c>
      <c r="ET17" s="1941" t="str">
        <f>IF(EU17&gt;0,SUM(EU$13:EU17),"")</f>
        <v/>
      </c>
      <c r="EU17" s="1941">
        <f t="shared" si="8"/>
        <v>0</v>
      </c>
      <c r="EV17" s="1148" t="str">
        <f t="shared" si="9"/>
        <v xml:space="preserve">Alachua - Woodland Park II </v>
      </c>
    </row>
    <row r="18" spans="1:152" ht="14.65" customHeight="1">
      <c r="A18" s="339">
        <v>32903</v>
      </c>
      <c r="B18" s="338" t="s">
        <v>288</v>
      </c>
      <c r="D18" s="338" t="s">
        <v>310</v>
      </c>
      <c r="E18" s="858"/>
      <c r="F18" s="338">
        <v>14</v>
      </c>
      <c r="G18" s="338" t="s">
        <v>276</v>
      </c>
      <c r="I18" s="338">
        <v>103.02</v>
      </c>
      <c r="J18" s="338" t="s">
        <v>300</v>
      </c>
      <c r="L18" s="2481">
        <v>12.03</v>
      </c>
      <c r="M18" s="340" t="s">
        <v>276</v>
      </c>
      <c r="N18" s="1390"/>
      <c r="O18" s="2479"/>
      <c r="P18" s="2282"/>
      <c r="R18" s="341" t="str">
        <f t="array" ref="R18">IFERROR(IF($R$11="Metro",INDEX($F$13:$F$829,SMALL(IF((County=$G$13:$G$829),MATCH(ROW($G$13:$G$829),ROW($G$13:$G$829)),""),ROWS($A$13:A18))),INDEX($I$13:$I$44,SMALL(IF((County=$J$13:$J$44),MATCH(ROW($J$13:$J$44),ROW($J$13:$J$44)),""),ROWS($A$13:A18)))),"")</f>
        <v/>
      </c>
      <c r="T18" s="341" t="str">
        <f t="array" ref="T18">IFERROR(IF($T$11="Yes",INDEX($L$13:$L$2813,SMALL(IF((County=$M$13:$M$2813),MATCH(ROW($M$13:$M$2813),ROW($M$13:$M$2813)),""),ROWS($A$13:A18))),""),"")</f>
        <v/>
      </c>
      <c r="V18" s="2283" t="str">
        <f t="array" ref="V18">IFERROR(IF($T$11="Yes",INDEX($O$14:$O$2811,SMALL(IF((County=$P$14:$P$2811),MATCH(ROW($P$14:$P$2811),ROW($P$14:$P$2811)),""),ROWS($A$13:A18))),""),"")</f>
        <v/>
      </c>
      <c r="X18" s="339">
        <v>32081</v>
      </c>
      <c r="Y18" s="338" t="s">
        <v>349</v>
      </c>
      <c r="AA18" s="338">
        <v>1.05</v>
      </c>
      <c r="AB18" s="338" t="s">
        <v>328</v>
      </c>
      <c r="AD18" s="338">
        <v>103.01</v>
      </c>
      <c r="AE18" s="338" t="s">
        <v>300</v>
      </c>
      <c r="AG18" s="2297">
        <v>1.01</v>
      </c>
      <c r="AH18" s="2297" t="s">
        <v>313</v>
      </c>
      <c r="AI18" s="1390"/>
      <c r="AJ18" s="2282"/>
      <c r="AK18" s="2282"/>
      <c r="AL18" s="1037"/>
      <c r="AM18" s="339">
        <v>32908</v>
      </c>
      <c r="AN18" s="338" t="s">
        <v>288</v>
      </c>
      <c r="AP18" s="338" t="s">
        <v>306</v>
      </c>
      <c r="AQ18" s="858"/>
      <c r="AR18" s="338">
        <v>8.08</v>
      </c>
      <c r="AS18" s="338" t="s">
        <v>276</v>
      </c>
      <c r="AU18" s="338">
        <v>201</v>
      </c>
      <c r="AV18" s="338" t="s">
        <v>311</v>
      </c>
      <c r="AX18" s="340">
        <v>12.01</v>
      </c>
      <c r="AY18" s="340" t="s">
        <v>276</v>
      </c>
      <c r="BA18" s="341" t="str">
        <f t="array" ref="BA18">IFERROR(IF($BA$11="Metro",INDEX($AR$13:$AR$814,SMALL(IF((County=$AS$13:$AS$814),MATCH(ROW($AS$13:$AS$814),ROW($AS$13:$AS$814)),""),ROWS($A$13:$A18))),INDEX($AU$13:$AU$48,SMALL(IF((County=$AV$13:$AV$48),MATCH(ROW($AV$13:$AV$48),ROW($AV$13:$AV$48)),""),ROWS($A$13:$A18)))),"")</f>
        <v/>
      </c>
      <c r="BC18" s="341" t="str">
        <f t="array" ref="BC18">IFERROR(IF($BC$11="Yes",INDEX($AX$13:$AX$2950,SMALL(IF((County=$AY$13:$AY$2950),MATCH(ROW($AY$13:$AY$2950),ROW($AY$13:$AY$2950)),""),ROWS($A$13:$A18))),""),"")</f>
        <v/>
      </c>
      <c r="BE18" s="339">
        <v>32102</v>
      </c>
      <c r="BF18" s="338" t="s">
        <v>322</v>
      </c>
      <c r="BH18" s="338">
        <v>1.05</v>
      </c>
      <c r="BI18" s="338" t="s">
        <v>328</v>
      </c>
      <c r="BK18" s="338">
        <v>200</v>
      </c>
      <c r="BL18" s="338" t="s">
        <v>327</v>
      </c>
      <c r="BN18" s="340">
        <v>1.01</v>
      </c>
      <c r="BO18" s="340" t="s">
        <v>329</v>
      </c>
      <c r="BP18" s="1385"/>
      <c r="BQ18" s="341">
        <v>32904</v>
      </c>
      <c r="BR18" s="338" t="s">
        <v>288</v>
      </c>
      <c r="BT18" s="338" t="s">
        <v>306</v>
      </c>
      <c r="BU18" s="858"/>
      <c r="BV18" s="338">
        <v>5</v>
      </c>
      <c r="BW18" s="338" t="s">
        <v>276</v>
      </c>
      <c r="BY18" s="338">
        <v>4</v>
      </c>
      <c r="BZ18" s="338" t="s">
        <v>287</v>
      </c>
      <c r="CB18" s="340">
        <v>12.01</v>
      </c>
      <c r="CC18" s="340" t="s">
        <v>276</v>
      </c>
      <c r="CE18" s="341" t="str">
        <f t="array" ref="CE18">IFERROR(IF($CE$11="Metro",INDEX($BV$13:$BV$4972,SMALL(IF((County=$BW$13:$BW$4972),MATCH(ROW($BW$13:$BW$4972),ROW($BW$13:$BW$4972)),""),ROWS($A$13:$A18))),INDEX($BY$13:$BY$212,SMALL(IF((County=$BZ$13:$BZ$212),MATCH(ROW($BZ$13:$BZ$212),ROW($BZ$13:$BZ$212)),""),ROWS($A$13:$A18)))),"")</f>
        <v/>
      </c>
      <c r="CG18" s="341" t="str">
        <f t="array" ref="CG18">IFERROR(IF($CG$11="Yes",INDEX($CB$13:$CB$2950,SMALL(IF((County=$CC$13:$CC$2950),MATCH(ROW($CC$13:$CC$2950),ROW($CC$13:$CC$2950)),""),ROWS($A$13:$A18))),""),"")</f>
        <v/>
      </c>
      <c r="CI18" s="1387">
        <v>32102</v>
      </c>
      <c r="CJ18" s="338" t="s">
        <v>322</v>
      </c>
      <c r="CL18" s="236">
        <v>1.01</v>
      </c>
      <c r="CM18" s="236" t="s">
        <v>328</v>
      </c>
      <c r="CO18" s="338">
        <v>2.0099999999999998</v>
      </c>
      <c r="CP18" s="338" t="s">
        <v>287</v>
      </c>
      <c r="CR18" s="340">
        <v>1.02</v>
      </c>
      <c r="CS18" s="340" t="s">
        <v>313</v>
      </c>
      <c r="CT18" s="1384"/>
      <c r="CU18" s="341">
        <v>32903</v>
      </c>
      <c r="CV18" s="338" t="s">
        <v>288</v>
      </c>
      <c r="CX18" s="338" t="s">
        <v>311</v>
      </c>
      <c r="CZ18" s="1795">
        <v>14</v>
      </c>
      <c r="DA18" s="338" t="s">
        <v>276</v>
      </c>
      <c r="DC18" s="1795">
        <v>104.04</v>
      </c>
      <c r="DD18" s="338" t="s">
        <v>300</v>
      </c>
      <c r="DF18" s="340">
        <v>12.01</v>
      </c>
      <c r="DG18" s="340" t="s">
        <v>276</v>
      </c>
      <c r="DI18" s="341" t="str">
        <f t="array" ref="DI18">IFERROR(IF($DI$11="Metro",INDEX($CZ$13:$CZ$929,SMALL(IF((County=$DA$13:$DA$929),MATCH(ROW($DA$13:$DA$929),ROW($DA$13:$DA$929)),""),ROWS($A$13:$A18))),INDEX($DC$13:$DC$212,SMALL(IF((County=$DD$13:$DD$212),MATCH(ROW($DD$13:$DD$212),ROW($DD$13:$DD$212)),""),ROWS($A$13:$A18)))),"")</f>
        <v/>
      </c>
      <c r="DK18" s="341" t="str">
        <f t="array" ref="DK18">IFERROR(IF($DK$11="Yes",INDEX($DF$13:$DF$2838,SMALL(IF((County=$DG$13:$DG$2838),MATCH(ROW($DG$13:$DG$2838),ROW($DG$13:$DG$2838)),""),ROWS($A$13:$A18))),""),"")</f>
        <v/>
      </c>
      <c r="DM18" s="1387">
        <v>32082</v>
      </c>
      <c r="DN18" s="338" t="s">
        <v>349</v>
      </c>
      <c r="DP18" s="236">
        <v>1.05</v>
      </c>
      <c r="DQ18" s="236" t="s">
        <v>328</v>
      </c>
      <c r="DS18" s="1795">
        <v>103.01</v>
      </c>
      <c r="DT18" s="338" t="s">
        <v>300</v>
      </c>
      <c r="DV18" s="340">
        <v>1.02</v>
      </c>
      <c r="DW18" s="340" t="s">
        <v>313</v>
      </c>
      <c r="DX18" s="1671"/>
      <c r="DY18" s="1796"/>
      <c r="DZ18" s="1796"/>
      <c r="EB18" s="554" t="s">
        <v>276</v>
      </c>
      <c r="EC18" s="553" t="str">
        <f>VLOOKUP(EB18,Data1!$A$405:$H$471,8)</f>
        <v>Medium</v>
      </c>
      <c r="ED18" s="554" t="s">
        <v>3059</v>
      </c>
      <c r="EE18" s="549" t="s">
        <v>3145</v>
      </c>
      <c r="EF18" s="549">
        <v>29.631934999999999</v>
      </c>
      <c r="EG18" s="549">
        <v>-82.317333000000005</v>
      </c>
      <c r="EH18" s="553" t="s">
        <v>635</v>
      </c>
      <c r="EI18" s="555" t="s">
        <v>634</v>
      </c>
      <c r="EJ18" s="550" t="str">
        <f t="shared" si="0"/>
        <v>Alachua - Woodland Park II - Site 3</v>
      </c>
      <c r="EK18" s="561" t="str">
        <f t="shared" si="1"/>
        <v>Family</v>
      </c>
      <c r="EL18" s="550" t="str">
        <f t="shared" si="2"/>
        <v>(29.631935, -82.317333)</v>
      </c>
      <c r="EM18" s="552" t="str">
        <f t="shared" si="3"/>
        <v>&gt;30</v>
      </c>
      <c r="EN18" s="1941">
        <f t="shared" si="4"/>
        <v>1</v>
      </c>
      <c r="EO18" t="str">
        <f t="shared" si="5"/>
        <v>Alachua - Woodland Park II - Site 3</v>
      </c>
      <c r="EP18" s="1941">
        <f t="shared" si="6"/>
        <v>4169.2454295024218</v>
      </c>
      <c r="EQ18" s="1941" t="str">
        <f t="shared" si="7"/>
        <v>No</v>
      </c>
      <c r="ER18" s="1941" t="str">
        <f>VLOOKUP(EB18,Data1!$G$405:$H$471,2)</f>
        <v>Medium</v>
      </c>
      <c r="ES18" s="1966" t="str">
        <f>IF(COUNTA($EJ$13:$EJ18)&lt;=$EU$12,LOOKUP(COUNTA($EJ$13:$EJ18),DS_Proximity_List_Sequence,DS_Proximity_List_PublishNames)&amp;", about "&amp;TEXT(ROUND(LOOKUP(COUNTA($EJ$13:$EJ18),DS_Proximity_List_Sequence,DS_Mandadory_Distance_Calc),$ET$10),CHOOSE($ET$10+1,"0","0.0","0.00","0.000","0.0000"))&amp;" miles, with "&amp;LOOKUP(COUNTA($EJ$13:$EJ18),DS_Proximity_List_Sequence,DS_Prox_List_Demo)&amp;" Demo","")</f>
        <v/>
      </c>
      <c r="ET18" s="1941" t="str">
        <f>IF(EU18&gt;0,SUM(EU$13:EU18),"")</f>
        <v/>
      </c>
      <c r="EU18" s="1941">
        <f t="shared" si="8"/>
        <v>0</v>
      </c>
      <c r="EV18" s="1148" t="str">
        <f t="shared" si="9"/>
        <v xml:space="preserve">Alachua - Woodland Park II </v>
      </c>
    </row>
    <row r="19" spans="1:152" ht="14.65" customHeight="1">
      <c r="A19" s="339">
        <v>32904</v>
      </c>
      <c r="B19" s="338" t="s">
        <v>288</v>
      </c>
      <c r="D19" s="338" t="s">
        <v>312</v>
      </c>
      <c r="E19" s="858"/>
      <c r="F19" s="338">
        <v>15.14</v>
      </c>
      <c r="G19" s="338" t="s">
        <v>276</v>
      </c>
      <c r="I19" s="338">
        <v>104.04</v>
      </c>
      <c r="J19" s="338" t="s">
        <v>300</v>
      </c>
      <c r="L19" s="2481">
        <v>15.17</v>
      </c>
      <c r="M19" s="340" t="s">
        <v>276</v>
      </c>
      <c r="N19" s="1390"/>
      <c r="O19" s="2479"/>
      <c r="P19" s="2282"/>
      <c r="R19" s="341" t="str">
        <f t="array" ref="R19">IFERROR(IF($R$11="Metro",INDEX($F$13:$F$829,SMALL(IF((County=$G$13:$G$829),MATCH(ROW($G$13:$G$829),ROW($G$13:$G$829)),""),ROWS($A$13:A19))),INDEX($I$13:$I$44,SMALL(IF((County=$J$13:$J$44),MATCH(ROW($J$13:$J$44),ROW($J$13:$J$44)),""),ROWS($A$13:A19)))),"")</f>
        <v/>
      </c>
      <c r="T19" s="341" t="str">
        <f t="array" ref="T19">IFERROR(IF($T$11="Yes",INDEX($L$13:$L$2813,SMALL(IF((County=$M$13:$M$2813),MATCH(ROW($M$13:$M$2813),ROW($M$13:$M$2813)),""),ROWS($A$13:A19))),""),"")</f>
        <v/>
      </c>
      <c r="V19" s="2283" t="str">
        <f t="array" ref="V19">IFERROR(IF($T$11="Yes",INDEX($O$14:$O$2811,SMALL(IF((County=$P$14:$P$2811),MATCH(ROW($P$14:$P$2811),ROW($P$14:$P$2811)),""),ROWS($A$13:A19))),""),"")</f>
        <v/>
      </c>
      <c r="X19" s="339">
        <v>32082</v>
      </c>
      <c r="Y19" s="338" t="s">
        <v>349</v>
      </c>
      <c r="AA19" s="338">
        <v>1.0900000000000001</v>
      </c>
      <c r="AB19" s="338" t="s">
        <v>331</v>
      </c>
      <c r="AD19" s="338">
        <v>103.02</v>
      </c>
      <c r="AE19" s="338" t="s">
        <v>300</v>
      </c>
      <c r="AG19" s="2297">
        <v>1.01</v>
      </c>
      <c r="AH19" s="2297" t="s">
        <v>316</v>
      </c>
      <c r="AI19" s="1390"/>
      <c r="AJ19" s="2282"/>
      <c r="AK19" s="2282"/>
      <c r="AL19" s="1037"/>
      <c r="AM19" s="339">
        <v>32925</v>
      </c>
      <c r="AN19" s="338" t="s">
        <v>288</v>
      </c>
      <c r="AP19" s="338" t="s">
        <v>309</v>
      </c>
      <c r="AQ19" s="858"/>
      <c r="AR19" s="338">
        <v>9.01</v>
      </c>
      <c r="AS19" s="338" t="s">
        <v>276</v>
      </c>
      <c r="AU19" s="338">
        <v>202</v>
      </c>
      <c r="AV19" s="338" t="s">
        <v>311</v>
      </c>
      <c r="AX19" s="340">
        <v>12.02</v>
      </c>
      <c r="AY19" s="340" t="s">
        <v>276</v>
      </c>
      <c r="BA19" s="341" t="str">
        <f t="array" ref="BA19">IFERROR(IF($BA$11="Metro",INDEX($AR$13:$AR$814,SMALL(IF((County=$AS$13:$AS$814),MATCH(ROW($AS$13:$AS$814),ROW($AS$13:$AS$814)),""),ROWS($A$13:$A19))),INDEX($AU$13:$AU$48,SMALL(IF((County=$AV$13:$AV$48),MATCH(ROW($AV$13:$AV$48),ROW($AV$13:$AV$48)),""),ROWS($A$13:$A19)))),"")</f>
        <v/>
      </c>
      <c r="BC19" s="341" t="str">
        <f t="array" ref="BC19">IFERROR(IF($BC$11="Yes",INDEX($AX$13:$AX$2950,SMALL(IF((County=$AY$13:$AY$2950),MATCH(ROW($AY$13:$AY$2950),ROW($AY$13:$AY$2950)),""),ROWS($A$13:$A19))),""),"")</f>
        <v/>
      </c>
      <c r="BE19" s="339">
        <v>32124</v>
      </c>
      <c r="BF19" s="338" t="s">
        <v>355</v>
      </c>
      <c r="BH19" s="338">
        <v>1.06</v>
      </c>
      <c r="BI19" s="338" t="s">
        <v>328</v>
      </c>
      <c r="BK19" s="338">
        <v>200</v>
      </c>
      <c r="BL19" s="338" t="s">
        <v>358</v>
      </c>
      <c r="BN19" s="340">
        <v>1.02</v>
      </c>
      <c r="BO19" s="340" t="s">
        <v>297</v>
      </c>
      <c r="BP19" s="1385"/>
      <c r="BQ19" s="341">
        <v>32908</v>
      </c>
      <c r="BR19" s="338" t="s">
        <v>288</v>
      </c>
      <c r="BT19" s="338" t="s">
        <v>309</v>
      </c>
      <c r="BU19" s="858"/>
      <c r="BV19" s="338">
        <v>6</v>
      </c>
      <c r="BW19" s="338" t="s">
        <v>276</v>
      </c>
      <c r="BY19" s="338">
        <v>101</v>
      </c>
      <c r="BZ19" s="338" t="s">
        <v>292</v>
      </c>
      <c r="CB19" s="340">
        <v>12.02</v>
      </c>
      <c r="CC19" s="340" t="s">
        <v>276</v>
      </c>
      <c r="CE19" s="341" t="str">
        <f t="array" ref="CE19">IFERROR(IF($CE$11="Metro",INDEX($BV$13:$BV$4972,SMALL(IF((County=$BW$13:$BW$4972),MATCH(ROW($BW$13:$BW$4972),ROW($BW$13:$BW$4972)),""),ROWS($A$13:$A19))),INDEX($BY$13:$BY$212,SMALL(IF((County=$BZ$13:$BZ$212),MATCH(ROW($BZ$13:$BZ$212),ROW($BZ$13:$BZ$212)),""),ROWS($A$13:$A19)))),"")</f>
        <v/>
      </c>
      <c r="CG19" s="341" t="str">
        <f t="array" ref="CG19">IFERROR(IF($CG$11="Yes",INDEX($CB$13:$CB$2950,SMALL(IF((County=$CC$13:$CC$2950),MATCH(ROW($CC$13:$CC$2950),ROW($CC$13:$CC$2950)),""),ROWS($A$13:$A19))),""),"")</f>
        <v/>
      </c>
      <c r="CI19" s="1387">
        <v>32124</v>
      </c>
      <c r="CJ19" s="236" t="s">
        <v>355</v>
      </c>
      <c r="CL19" s="236">
        <v>1.01</v>
      </c>
      <c r="CM19" s="236" t="s">
        <v>329</v>
      </c>
      <c r="CO19" s="236">
        <v>2.0099999999999998</v>
      </c>
      <c r="CP19" s="236" t="s">
        <v>309</v>
      </c>
      <c r="CR19" s="340">
        <v>1.02</v>
      </c>
      <c r="CS19" s="340" t="s">
        <v>329</v>
      </c>
      <c r="CT19" s="1384"/>
      <c r="CU19" s="341">
        <v>32925</v>
      </c>
      <c r="CV19" s="338" t="s">
        <v>288</v>
      </c>
      <c r="CX19" s="338" t="s">
        <v>312</v>
      </c>
      <c r="CZ19" s="1795">
        <v>15.14</v>
      </c>
      <c r="DA19" s="338" t="s">
        <v>276</v>
      </c>
      <c r="DC19" s="1795">
        <v>9702.01</v>
      </c>
      <c r="DD19" s="338" t="s">
        <v>301</v>
      </c>
      <c r="DF19" s="340">
        <v>12.02</v>
      </c>
      <c r="DG19" s="340" t="s">
        <v>276</v>
      </c>
      <c r="DI19" s="341" t="str">
        <f t="array" ref="DI19">IFERROR(IF($DI$11="Metro",INDEX($CZ$13:$CZ$929,SMALL(IF((County=$DA$13:$DA$929),MATCH(ROW($DA$13:$DA$929),ROW($DA$13:$DA$929)),""),ROWS($A$13:$A19))),INDEX($DC$13:$DC$212,SMALL(IF((County=$DD$13:$DD$212),MATCH(ROW($DD$13:$DD$212),ROW($DD$13:$DD$212)),""),ROWS($A$13:$A19)))),"")</f>
        <v/>
      </c>
      <c r="DK19" s="341" t="str">
        <f t="array" ref="DK19">IFERROR(IF($DK$11="Yes",INDEX($DF$13:$DF$2838,SMALL(IF((County=$DG$13:$DG$2838),MATCH(ROW($DG$13:$DG$2838),ROW($DG$13:$DG$2838)),""),ROWS($A$13:$A19))),""),"")</f>
        <v/>
      </c>
      <c r="DM19" s="1387">
        <v>32092</v>
      </c>
      <c r="DN19" s="338" t="s">
        <v>349</v>
      </c>
      <c r="DP19" s="236">
        <v>1.06</v>
      </c>
      <c r="DQ19" s="236" t="s">
        <v>328</v>
      </c>
      <c r="DS19" s="1795">
        <v>103.02</v>
      </c>
      <c r="DT19" s="338" t="s">
        <v>300</v>
      </c>
      <c r="DV19" s="340">
        <v>1.02</v>
      </c>
      <c r="DW19" s="340" t="s">
        <v>329</v>
      </c>
      <c r="DX19" s="1671"/>
      <c r="DY19" s="1796"/>
      <c r="DZ19" s="1796"/>
      <c r="EB19" s="554" t="s">
        <v>285</v>
      </c>
      <c r="EC19" s="553" t="str">
        <f>VLOOKUP(EB19,Data1!$A$405:$H$471,8)</f>
        <v>Medium</v>
      </c>
      <c r="ED19" s="554" t="s">
        <v>3060</v>
      </c>
      <c r="EE19" s="549" t="s">
        <v>3061</v>
      </c>
      <c r="EF19" s="549">
        <v>30.161283000000001</v>
      </c>
      <c r="EG19" s="549">
        <v>-85.630009000000001</v>
      </c>
      <c r="EH19" s="553" t="s">
        <v>633</v>
      </c>
      <c r="EI19" s="555" t="s">
        <v>634</v>
      </c>
      <c r="EJ19" s="550" t="str">
        <f t="shared" si="0"/>
        <v xml:space="preserve">Bay - Latitude 30 Villas </v>
      </c>
      <c r="EK19" s="561" t="str">
        <f t="shared" si="1"/>
        <v>Elderly Non-ALF</v>
      </c>
      <c r="EL19" s="550" t="str">
        <f t="shared" si="2"/>
        <v>(30.161283, -85.630009)</v>
      </c>
      <c r="EM19" s="552" t="str">
        <f t="shared" si="3"/>
        <v>&gt;30</v>
      </c>
      <c r="EN19" s="1941" t="str">
        <f t="shared" si="4"/>
        <v/>
      </c>
      <c r="EO19" t="str">
        <f t="shared" si="5"/>
        <v xml:space="preserve">Bay - Latitude 30 Villas </v>
      </c>
      <c r="EP19" s="1941">
        <f t="shared" si="6"/>
        <v>4238.1049125770796</v>
      </c>
      <c r="EQ19" s="1941" t="str">
        <f t="shared" si="7"/>
        <v>No</v>
      </c>
      <c r="ER19" s="1941" t="str">
        <f>VLOOKUP(EB19,Data1!$G$405:$H$471,2)</f>
        <v>Medium</v>
      </c>
      <c r="ES19" s="1966" t="str">
        <f>IF(COUNTA($EJ$13:$EJ19)&lt;=$EU$12,LOOKUP(COUNTA($EJ$13:$EJ19),DS_Proximity_List_Sequence,DS_Proximity_List_PublishNames)&amp;", about "&amp;TEXT(ROUND(LOOKUP(COUNTA($EJ$13:$EJ19),DS_Proximity_List_Sequence,DS_Mandadory_Distance_Calc),$ET$10),CHOOSE($ET$10+1,"0","0.0","0.00","0.000","0.0000"))&amp;" miles, with "&amp;LOOKUP(COUNTA($EJ$13:$EJ19),DS_Proximity_List_Sequence,DS_Prox_List_Demo)&amp;" Demo","")</f>
        <v/>
      </c>
      <c r="ET19" s="1941" t="str">
        <f>IF(EU19&gt;0,SUM(EU$13:EU19),"")</f>
        <v/>
      </c>
      <c r="EU19" s="1941">
        <f t="shared" si="8"/>
        <v>0</v>
      </c>
      <c r="EV19" s="1148" t="str">
        <f t="shared" si="9"/>
        <v xml:space="preserve">Bay - Latitude 30 Villas </v>
      </c>
    </row>
    <row r="20" spans="1:152" ht="14.65" customHeight="1">
      <c r="A20" s="339">
        <v>32925</v>
      </c>
      <c r="B20" s="338" t="s">
        <v>288</v>
      </c>
      <c r="D20" s="338" t="s">
        <v>313</v>
      </c>
      <c r="E20" s="858"/>
      <c r="F20" s="338">
        <v>15.15</v>
      </c>
      <c r="G20" s="338" t="s">
        <v>276</v>
      </c>
      <c r="I20" s="338">
        <v>9702</v>
      </c>
      <c r="J20" s="338" t="s">
        <v>306</v>
      </c>
      <c r="L20" s="2481">
        <v>17.010000000000002</v>
      </c>
      <c r="M20" s="340" t="s">
        <v>276</v>
      </c>
      <c r="N20" s="1390"/>
      <c r="O20" s="2479"/>
      <c r="P20" s="2282"/>
      <c r="R20" s="341" t="str">
        <f t="array" ref="R20">IFERROR(IF($R$11="Metro",INDEX($F$13:$F$829,SMALL(IF((County=$G$13:$G$829),MATCH(ROW($G$13:$G$829),ROW($G$13:$G$829)),""),ROWS($A$13:A20))),INDEX($I$13:$I$44,SMALL(IF((County=$J$13:$J$44),MATCH(ROW($J$13:$J$44),ROW($J$13:$J$44)),""),ROWS($A$13:A20)))),"")</f>
        <v/>
      </c>
      <c r="T20" s="341" t="str">
        <f t="array" ref="T20">IFERROR(IF($T$11="Yes",INDEX($L$13:$L$2813,SMALL(IF((County=$M$13:$M$2813),MATCH(ROW($M$13:$M$2813),ROW($M$13:$M$2813)),""),ROWS($A$13:A20))),""),"")</f>
        <v/>
      </c>
      <c r="V20" s="2283" t="str">
        <f t="array" ref="V20">IFERROR(IF($T$11="Yes",INDEX($O$14:$O$2811,SMALL(IF((County=$P$14:$P$2811),MATCH(ROW($P$14:$P$2811),ROW($P$14:$P$2811)),""),ROWS($A$13:A20))),""),"")</f>
        <v/>
      </c>
      <c r="X20" s="339">
        <v>32092</v>
      </c>
      <c r="Y20" s="338" t="s">
        <v>349</v>
      </c>
      <c r="AA20" s="338">
        <v>1.26</v>
      </c>
      <c r="AB20" s="338" t="s">
        <v>331</v>
      </c>
      <c r="AD20" s="338">
        <v>104.04</v>
      </c>
      <c r="AE20" s="338" t="s">
        <v>300</v>
      </c>
      <c r="AG20" s="2297">
        <v>1.01</v>
      </c>
      <c r="AH20" s="2297" t="s">
        <v>328</v>
      </c>
      <c r="AI20" s="1390"/>
      <c r="AJ20" s="2282"/>
      <c r="AK20" s="2282"/>
      <c r="AL20" s="1037"/>
      <c r="AM20" s="339">
        <v>32934</v>
      </c>
      <c r="AN20" s="338" t="s">
        <v>288</v>
      </c>
      <c r="AP20" s="338" t="s">
        <v>310</v>
      </c>
      <c r="AQ20" s="858"/>
      <c r="AR20" s="338">
        <v>15.14</v>
      </c>
      <c r="AS20" s="338" t="s">
        <v>276</v>
      </c>
      <c r="AU20" s="338">
        <v>201</v>
      </c>
      <c r="AV20" s="338" t="s">
        <v>312</v>
      </c>
      <c r="AX20" s="340">
        <v>12.03</v>
      </c>
      <c r="AY20" s="340" t="s">
        <v>276</v>
      </c>
      <c r="BA20" s="341" t="str">
        <f t="array" ref="BA20">IFERROR(IF($BA$11="Metro",INDEX($AR$13:$AR$814,SMALL(IF((County=$AS$13:$AS$814),MATCH(ROW($AS$13:$AS$814),ROW($AS$13:$AS$814)),""),ROWS($A$13:$A20))),INDEX($AU$13:$AU$48,SMALL(IF((County=$AV$13:$AV$48),MATCH(ROW($AV$13:$AV$48),ROW($AV$13:$AV$48)),""),ROWS($A$13:$A20)))),"")</f>
        <v/>
      </c>
      <c r="BC20" s="341" t="str">
        <f t="array" ref="BC20">IFERROR(IF($BC$11="Yes",INDEX($AX$13:$AX$2950,SMALL(IF((County=$AY$13:$AY$2950),MATCH(ROW($AY$13:$AY$2950),ROW($AY$13:$AY$2950)),""),ROWS($A$13:$A20))),""),"")</f>
        <v/>
      </c>
      <c r="BE20" s="339">
        <v>32128</v>
      </c>
      <c r="BF20" s="338" t="s">
        <v>355</v>
      </c>
      <c r="BH20" s="338">
        <v>1.0900000000000001</v>
      </c>
      <c r="BI20" s="338" t="s">
        <v>331</v>
      </c>
      <c r="BK20" s="338">
        <v>201</v>
      </c>
      <c r="BL20" s="338" t="s">
        <v>311</v>
      </c>
      <c r="BN20" s="340">
        <v>1.02</v>
      </c>
      <c r="BO20" s="340" t="s">
        <v>313</v>
      </c>
      <c r="BP20" s="1385"/>
      <c r="BQ20" s="341">
        <v>32925</v>
      </c>
      <c r="BR20" s="338" t="s">
        <v>288</v>
      </c>
      <c r="BT20" s="338" t="s">
        <v>310</v>
      </c>
      <c r="BU20" s="858"/>
      <c r="BV20" s="338">
        <v>7</v>
      </c>
      <c r="BW20" s="338" t="s">
        <v>276</v>
      </c>
      <c r="BY20" s="338">
        <v>102</v>
      </c>
      <c r="BZ20" s="338" t="s">
        <v>292</v>
      </c>
      <c r="CB20" s="340">
        <v>12.03</v>
      </c>
      <c r="CC20" s="340" t="s">
        <v>276</v>
      </c>
      <c r="CE20" s="341" t="str">
        <f t="array" ref="CE20">IFERROR(IF($CE$11="Metro",INDEX($BV$13:$BV$4972,SMALL(IF((County=$BW$13:$BW$4972),MATCH(ROW($BW$13:$BW$4972),ROW($BW$13:$BW$4972)),""),ROWS($A$13:$A20))),INDEX($BY$13:$BY$212,SMALL(IF((County=$BZ$13:$BZ$212),MATCH(ROW($BZ$13:$BZ$212),ROW($BZ$13:$BZ$212)),""),ROWS($A$13:$A20)))),"")</f>
        <v/>
      </c>
      <c r="CG20" s="341" t="str">
        <f t="array" ref="CG20">IFERROR(IF($CG$11="Yes",INDEX($CB$13:$CB$2950,SMALL(IF((County=$CC$13:$CC$2950),MATCH(ROW($CC$13:$CC$2950),ROW($CC$13:$CC$2950)),""),ROWS($A$13:$A20))),""),"")</f>
        <v/>
      </c>
      <c r="CI20" s="1387">
        <v>32127</v>
      </c>
      <c r="CJ20" s="236" t="s">
        <v>355</v>
      </c>
      <c r="CL20" s="236">
        <v>1.02</v>
      </c>
      <c r="CM20" s="236" t="s">
        <v>297</v>
      </c>
      <c r="CO20" s="338">
        <v>2.02</v>
      </c>
      <c r="CP20" s="338" t="s">
        <v>287</v>
      </c>
      <c r="CR20" s="340">
        <v>1.02</v>
      </c>
      <c r="CS20" s="340" t="s">
        <v>340</v>
      </c>
      <c r="CT20" s="1384"/>
      <c r="CU20" s="341">
        <v>32934</v>
      </c>
      <c r="CV20" s="338" t="s">
        <v>288</v>
      </c>
      <c r="CX20" s="338" t="s">
        <v>313</v>
      </c>
      <c r="CZ20" s="1795">
        <v>15.15</v>
      </c>
      <c r="DA20" s="338" t="s">
        <v>276</v>
      </c>
      <c r="DC20" s="1795">
        <v>2.02</v>
      </c>
      <c r="DD20" s="338" t="s">
        <v>309</v>
      </c>
      <c r="DF20" s="340">
        <v>12.03</v>
      </c>
      <c r="DG20" s="340" t="s">
        <v>276</v>
      </c>
      <c r="DI20" s="341" t="str">
        <f t="array" ref="DI20">IFERROR(IF($DI$11="Metro",INDEX($CZ$13:$CZ$929,SMALL(IF((County=$DA$13:$DA$929),MATCH(ROW($DA$13:$DA$929),ROW($DA$13:$DA$929)),""),ROWS($A$13:$A20))),INDEX($DC$13:$DC$212,SMALL(IF((County=$DD$13:$DD$212),MATCH(ROW($DD$13:$DD$212),ROW($DD$13:$DD$212)),""),ROWS($A$13:$A20)))),"")</f>
        <v/>
      </c>
      <c r="DK20" s="341" t="str">
        <f t="array" ref="DK20">IFERROR(IF($DK$11="Yes",INDEX($DF$13:$DF$2838,SMALL(IF((County=$DG$13:$DG$2838),MATCH(ROW($DG$13:$DG$2838),ROW($DG$13:$DG$2838)),""),ROWS($A$13:$A20))),""),"")</f>
        <v/>
      </c>
      <c r="DM20" s="1387">
        <v>32097</v>
      </c>
      <c r="DN20" s="338" t="s">
        <v>335</v>
      </c>
      <c r="DP20" s="236">
        <v>1.0900000000000001</v>
      </c>
      <c r="DQ20" s="236" t="s">
        <v>331</v>
      </c>
      <c r="DS20" s="1795">
        <v>104.04</v>
      </c>
      <c r="DT20" s="338" t="s">
        <v>300</v>
      </c>
      <c r="DV20" s="340">
        <v>1.02</v>
      </c>
      <c r="DW20" s="340" t="s">
        <v>340</v>
      </c>
      <c r="DX20" s="1671"/>
      <c r="DY20" s="1796"/>
      <c r="DZ20" s="1796"/>
      <c r="EB20" s="554" t="s">
        <v>285</v>
      </c>
      <c r="EC20" s="553" t="str">
        <f>VLOOKUP(EB20,Data1!$A$405:$H$471,8)</f>
        <v>Medium</v>
      </c>
      <c r="ED20" s="554" t="s">
        <v>2335</v>
      </c>
      <c r="EE20" s="549" t="s">
        <v>2336</v>
      </c>
      <c r="EF20" s="549">
        <v>30.201072</v>
      </c>
      <c r="EG20" s="549">
        <v>-85.680198000000004</v>
      </c>
      <c r="EH20" s="553" t="s">
        <v>635</v>
      </c>
      <c r="EI20" s="555" t="s">
        <v>634</v>
      </c>
      <c r="EJ20" s="550" t="str">
        <f t="shared" si="0"/>
        <v>Bay - Tranquility at Saint Andrews</v>
      </c>
      <c r="EK20" s="561" t="str">
        <f t="shared" si="1"/>
        <v>Family</v>
      </c>
      <c r="EL20" s="550" t="str">
        <f t="shared" si="2"/>
        <v>(30.201072, -85.680198)</v>
      </c>
      <c r="EM20" s="552" t="str">
        <f t="shared" si="3"/>
        <v>&gt;30</v>
      </c>
      <c r="EN20" s="1941" t="str">
        <f t="shared" si="4"/>
        <v/>
      </c>
      <c r="EO20" t="str">
        <f t="shared" si="5"/>
        <v>Bay - Tranquility at Saint Andrews</v>
      </c>
      <c r="EP20" s="1941">
        <f t="shared" si="6"/>
        <v>4239.5038655029593</v>
      </c>
      <c r="EQ20" s="1941" t="str">
        <f t="shared" si="7"/>
        <v>No</v>
      </c>
      <c r="ER20" s="1941" t="str">
        <f>VLOOKUP(EB20,Data1!$G$405:$H$471,2)</f>
        <v>Medium</v>
      </c>
      <c r="ES20" s="1966" t="str">
        <f>IF(COUNTA($EJ$13:$EJ20)&lt;=$EU$12,LOOKUP(COUNTA($EJ$13:$EJ20),DS_Proximity_List_Sequence,DS_Proximity_List_PublishNames)&amp;", about "&amp;TEXT(ROUND(LOOKUP(COUNTA($EJ$13:$EJ20),DS_Proximity_List_Sequence,DS_Mandadory_Distance_Calc),$ET$10),CHOOSE($ET$10+1,"0","0.0","0.00","0.000","0.0000"))&amp;" miles, with "&amp;LOOKUP(COUNTA($EJ$13:$EJ20),DS_Proximity_List_Sequence,DS_Prox_List_Demo)&amp;" Demo","")</f>
        <v/>
      </c>
      <c r="ET20" s="1941" t="str">
        <f>IF(EU20&gt;0,SUM(EU$13:EU20),"")</f>
        <v/>
      </c>
      <c r="EU20" s="1941">
        <f t="shared" si="8"/>
        <v>0</v>
      </c>
      <c r="EV20" s="1148" t="str">
        <f t="shared" si="9"/>
        <v>Bay - Tranquility at Saint Andrews</v>
      </c>
    </row>
    <row r="21" spans="1:152" ht="14.65" customHeight="1">
      <c r="A21" s="339">
        <v>32934</v>
      </c>
      <c r="B21" s="338" t="s">
        <v>288</v>
      </c>
      <c r="D21" s="338" t="s">
        <v>321</v>
      </c>
      <c r="E21" s="858"/>
      <c r="F21" s="338">
        <v>15.16</v>
      </c>
      <c r="G21" s="338" t="s">
        <v>276</v>
      </c>
      <c r="I21" s="338">
        <v>1</v>
      </c>
      <c r="J21" s="338" t="s">
        <v>309</v>
      </c>
      <c r="L21" s="2481">
        <v>17.02</v>
      </c>
      <c r="M21" s="340" t="s">
        <v>276</v>
      </c>
      <c r="N21" s="1390"/>
      <c r="O21" s="2479"/>
      <c r="P21" s="2282"/>
      <c r="R21" s="341" t="str">
        <f t="array" ref="R21">IFERROR(IF($R$11="Metro",INDEX($F$13:$F$829,SMALL(IF((County=$G$13:$G$829),MATCH(ROW($G$13:$G$829),ROW($G$13:$G$829)),""),ROWS($A$13:A21))),INDEX($I$13:$I$44,SMALL(IF((County=$J$13:$J$44),MATCH(ROW($J$13:$J$44),ROW($J$13:$J$44)),""),ROWS($A$13:A21)))),"")</f>
        <v/>
      </c>
      <c r="T21" s="341" t="str">
        <f t="array" ref="T21">IFERROR(IF($T$11="Yes",INDEX($L$13:$L$2813,SMALL(IF((County=$M$13:$M$2813),MATCH(ROW($M$13:$M$2813),ROW($M$13:$M$2813)),""),ROWS($A$13:A21))),""),"")</f>
        <v/>
      </c>
      <c r="V21" s="2283" t="str">
        <f t="array" ref="V21">IFERROR(IF($T$11="Yes",INDEX($O$14:$O$2811,SMALL(IF((County=$P$14:$P$2811),MATCH(ROW($P$14:$P$2811),ROW($P$14:$P$2811)),""),ROWS($A$13:A21))),""),"")</f>
        <v/>
      </c>
      <c r="X21" s="339">
        <v>32097</v>
      </c>
      <c r="Y21" s="338" t="s">
        <v>335</v>
      </c>
      <c r="AA21" s="338">
        <v>1.32</v>
      </c>
      <c r="AB21" s="338" t="s">
        <v>331</v>
      </c>
      <c r="AD21" s="338">
        <v>1103</v>
      </c>
      <c r="AE21" s="338" t="s">
        <v>298</v>
      </c>
      <c r="AG21" s="2297">
        <v>1.02</v>
      </c>
      <c r="AH21" s="2297" t="s">
        <v>313</v>
      </c>
      <c r="AI21" s="1390"/>
      <c r="AJ21" s="2282"/>
      <c r="AK21" s="2282"/>
      <c r="AL21" s="1037"/>
      <c r="AM21" s="339">
        <v>32937</v>
      </c>
      <c r="AN21" s="338" t="s">
        <v>288</v>
      </c>
      <c r="AP21" s="338" t="s">
        <v>311</v>
      </c>
      <c r="AQ21" s="858"/>
      <c r="AR21" s="338">
        <v>15.15</v>
      </c>
      <c r="AS21" s="338" t="s">
        <v>276</v>
      </c>
      <c r="AU21" s="338">
        <v>301</v>
      </c>
      <c r="AV21" s="338" t="s">
        <v>312</v>
      </c>
      <c r="AX21" s="340">
        <v>14</v>
      </c>
      <c r="AY21" s="340" t="s">
        <v>276</v>
      </c>
      <c r="BA21" s="341" t="str">
        <f t="array" ref="BA21">IFERROR(IF($BA$11="Metro",INDEX($AR$13:$AR$814,SMALL(IF((County=$AS$13:$AS$814),MATCH(ROW($AS$13:$AS$814),ROW($AS$13:$AS$814)),""),ROWS($A$13:$A21))),INDEX($AU$13:$AU$48,SMALL(IF((County=$AV$13:$AV$48),MATCH(ROW($AV$13:$AV$48),ROW($AV$13:$AV$48)),""),ROWS($A$13:$A21)))),"")</f>
        <v/>
      </c>
      <c r="BC21" s="341" t="str">
        <f t="array" ref="BC21">IFERROR(IF($BC$11="Yes",INDEX($AX$13:$AX$2950,SMALL(IF((County=$AY$13:$AY$2950),MATCH(ROW($AY$13:$AY$2950),ROW($AY$13:$AY$2950)),""),ROWS($A$13:$A21))),""),"")</f>
        <v/>
      </c>
      <c r="BE21" s="339">
        <v>32129</v>
      </c>
      <c r="BF21" s="338" t="s">
        <v>355</v>
      </c>
      <c r="BH21" s="338">
        <v>1.24</v>
      </c>
      <c r="BI21" s="338" t="s">
        <v>331</v>
      </c>
      <c r="BK21" s="338">
        <v>201</v>
      </c>
      <c r="BL21" s="338" t="s">
        <v>312</v>
      </c>
      <c r="BN21" s="340">
        <v>1.02</v>
      </c>
      <c r="BO21" s="340" t="s">
        <v>340</v>
      </c>
      <c r="BP21" s="1385"/>
      <c r="BQ21" s="341">
        <v>32934</v>
      </c>
      <c r="BR21" s="338" t="s">
        <v>288</v>
      </c>
      <c r="BT21" s="338" t="s">
        <v>311</v>
      </c>
      <c r="BU21" s="858"/>
      <c r="BV21" s="338">
        <v>8.06</v>
      </c>
      <c r="BW21" s="338" t="s">
        <v>276</v>
      </c>
      <c r="BY21" s="338">
        <v>103.01</v>
      </c>
      <c r="BZ21" s="338" t="s">
        <v>292</v>
      </c>
      <c r="CB21" s="340">
        <v>15.14</v>
      </c>
      <c r="CC21" s="340" t="s">
        <v>276</v>
      </c>
      <c r="CE21" s="341" t="str">
        <f t="array" ref="CE21">IFERROR(IF($CE$11="Metro",INDEX($BV$13:$BV$4972,SMALL(IF((County=$BW$13:$BW$4972),MATCH(ROW($BW$13:$BW$4972),ROW($BW$13:$BW$4972)),""),ROWS($A$13:$A21))),INDEX($BY$13:$BY$212,SMALL(IF((County=$BZ$13:$BZ$212),MATCH(ROW($BZ$13:$BZ$212),ROW($BZ$13:$BZ$212)),""),ROWS($A$13:$A21)))),"")</f>
        <v/>
      </c>
      <c r="CG21" s="341" t="str">
        <f t="array" ref="CG21">IFERROR(IF($CG$11="Yes",INDEX($CB$13:$CB$2950,SMALL(IF((County=$CC$13:$CC$2950),MATCH(ROW($CC$13:$CC$2950),ROW($CC$13:$CC$2950)),""),ROWS($A$13:$A21))),""),"")</f>
        <v/>
      </c>
      <c r="CI21" s="1387">
        <v>32128</v>
      </c>
      <c r="CJ21" s="236" t="s">
        <v>355</v>
      </c>
      <c r="CL21" s="236">
        <v>1.02</v>
      </c>
      <c r="CM21" s="236" t="s">
        <v>302</v>
      </c>
      <c r="CO21" s="236">
        <v>2.02</v>
      </c>
      <c r="CP21" s="236" t="s">
        <v>309</v>
      </c>
      <c r="CR21" s="340">
        <v>1.03</v>
      </c>
      <c r="CS21" s="340" t="s">
        <v>340</v>
      </c>
      <c r="CT21" s="1384"/>
      <c r="CU21" s="341">
        <v>32940</v>
      </c>
      <c r="CV21" s="338" t="s">
        <v>288</v>
      </c>
      <c r="CX21" s="338" t="s">
        <v>317</v>
      </c>
      <c r="CZ21" s="1795">
        <v>15.16</v>
      </c>
      <c r="DA21" s="338" t="s">
        <v>276</v>
      </c>
      <c r="DC21" s="1795">
        <v>9602.01</v>
      </c>
      <c r="DD21" s="338" t="s">
        <v>311</v>
      </c>
      <c r="DF21" s="340">
        <v>15.14</v>
      </c>
      <c r="DG21" s="340" t="s">
        <v>276</v>
      </c>
      <c r="DI21" s="341" t="str">
        <f t="array" ref="DI21">IFERROR(IF($DI$11="Metro",INDEX($CZ$13:$CZ$929,SMALL(IF((County=$DA$13:$DA$929),MATCH(ROW($DA$13:$DA$929),ROW($DA$13:$DA$929)),""),ROWS($A$13:$A21))),INDEX($DC$13:$DC$212,SMALL(IF((County=$DD$13:$DD$212),MATCH(ROW($DD$13:$DD$212),ROW($DD$13:$DD$212)),""),ROWS($A$13:$A21)))),"")</f>
        <v/>
      </c>
      <c r="DK21" s="341" t="str">
        <f t="array" ref="DK21">IFERROR(IF($DK$11="Yes",INDEX($DF$13:$DF$2838,SMALL(IF((County=$DG$13:$DG$2838),MATCH(ROW($DG$13:$DG$2838),ROW($DG$13:$DG$2838)),""),ROWS($A$13:$A21))),""),"")</f>
        <v/>
      </c>
      <c r="DM21" s="1387">
        <v>32102</v>
      </c>
      <c r="DN21" s="338" t="s">
        <v>322</v>
      </c>
      <c r="DP21" s="236">
        <v>1.26</v>
      </c>
      <c r="DQ21" s="236" t="s">
        <v>331</v>
      </c>
      <c r="DS21" s="1795">
        <v>1102</v>
      </c>
      <c r="DT21" s="338" t="s">
        <v>327</v>
      </c>
      <c r="DV21" s="340">
        <v>1.03</v>
      </c>
      <c r="DW21" s="340" t="s">
        <v>340</v>
      </c>
      <c r="DX21" s="1671"/>
      <c r="DY21" s="1796"/>
      <c r="DZ21" s="1796"/>
      <c r="EB21" s="554" t="s">
        <v>287</v>
      </c>
      <c r="EC21" s="553" t="str">
        <f>VLOOKUP(EB21,Data1!$A$405:$H$471,8)</f>
        <v>Small</v>
      </c>
      <c r="ED21" s="554" t="s">
        <v>3062</v>
      </c>
      <c r="EE21" s="549" t="s">
        <v>3063</v>
      </c>
      <c r="EF21" s="549">
        <v>29.947230999999999</v>
      </c>
      <c r="EG21" s="567">
        <v>-82.102041</v>
      </c>
      <c r="EH21" s="553" t="s">
        <v>635</v>
      </c>
      <c r="EI21" s="555" t="s">
        <v>634</v>
      </c>
      <c r="EJ21" s="550" t="str">
        <f t="shared" si="0"/>
        <v xml:space="preserve">Bradford - New River Place </v>
      </c>
      <c r="EK21" s="561" t="str">
        <f t="shared" si="1"/>
        <v>Family</v>
      </c>
      <c r="EL21" s="550" t="str">
        <f t="shared" si="2"/>
        <v>(29.947231, -82.102041)</v>
      </c>
      <c r="EM21" s="552" t="str">
        <f t="shared" si="3"/>
        <v>&gt;30</v>
      </c>
      <c r="EN21" s="1941" t="str">
        <f t="shared" si="4"/>
        <v/>
      </c>
      <c r="EO21" t="str">
        <f t="shared" si="5"/>
        <v xml:space="preserve">Bradford - New River Place </v>
      </c>
      <c r="EP21" s="1941">
        <f t="shared" si="6"/>
        <v>4169.1411578041761</v>
      </c>
      <c r="EQ21" s="1941" t="str">
        <f t="shared" si="7"/>
        <v>No</v>
      </c>
      <c r="ER21" s="1941" t="str">
        <f>VLOOKUP(EB21,Data1!$G$405:$H$471,2)</f>
        <v>Small</v>
      </c>
      <c r="ES21" s="1966" t="str">
        <f>IF(COUNTA($EJ$13:$EJ21)&lt;=$EU$12,LOOKUP(COUNTA($EJ$13:$EJ21),DS_Proximity_List_Sequence,DS_Proximity_List_PublishNames)&amp;", about "&amp;TEXT(ROUND(LOOKUP(COUNTA($EJ$13:$EJ21),DS_Proximity_List_Sequence,DS_Mandadory_Distance_Calc),$ET$10),CHOOSE($ET$10+1,"0","0.0","0.00","0.000","0.0000"))&amp;" miles, with "&amp;LOOKUP(COUNTA($EJ$13:$EJ21),DS_Proximity_List_Sequence,DS_Prox_List_Demo)&amp;" Demo","")</f>
        <v/>
      </c>
      <c r="ET21" s="1941" t="str">
        <f>IF(EU21&gt;0,SUM(EU$13:EU21),"")</f>
        <v/>
      </c>
      <c r="EU21" s="1941">
        <f t="shared" si="8"/>
        <v>0</v>
      </c>
      <c r="EV21" s="1148" t="str">
        <f t="shared" si="9"/>
        <v xml:space="preserve">Bradford - New River Place </v>
      </c>
    </row>
    <row r="22" spans="1:152" ht="14.65" customHeight="1">
      <c r="A22" s="339">
        <v>32937</v>
      </c>
      <c r="B22" s="338" t="s">
        <v>288</v>
      </c>
      <c r="D22" s="338" t="s">
        <v>327</v>
      </c>
      <c r="E22" s="858"/>
      <c r="F22" s="338">
        <v>15.19</v>
      </c>
      <c r="G22" s="338" t="s">
        <v>276</v>
      </c>
      <c r="I22" s="338">
        <v>2.02</v>
      </c>
      <c r="J22" s="338" t="s">
        <v>309</v>
      </c>
      <c r="L22" s="2481">
        <v>18.02</v>
      </c>
      <c r="M22" s="340" t="s">
        <v>276</v>
      </c>
      <c r="N22" s="1390"/>
      <c r="O22" s="2479"/>
      <c r="P22" s="2282"/>
      <c r="R22" s="341" t="str">
        <f t="array" ref="R22">IFERROR(IF($R$11="Metro",INDEX($F$13:$F$829,SMALL(IF((County=$G$13:$G$829),MATCH(ROW($G$13:$G$829),ROW($G$13:$G$829)),""),ROWS($A$13:A22))),INDEX($I$13:$I$44,SMALL(IF((County=$J$13:$J$44),MATCH(ROW($J$13:$J$44),ROW($J$13:$J$44)),""),ROWS($A$13:A22)))),"")</f>
        <v/>
      </c>
      <c r="T22" s="341" t="str">
        <f t="array" ref="T22">IFERROR(IF($T$11="Yes",INDEX($L$13:$L$2813,SMALL(IF((County=$M$13:$M$2813),MATCH(ROW($M$13:$M$2813),ROW($M$13:$M$2813)),""),ROWS($A$13:A22))),""),"")</f>
        <v/>
      </c>
      <c r="V22" s="2283" t="str">
        <f t="array" ref="V22">IFERROR(IF($T$11="Yes",INDEX($O$14:$O$2811,SMALL(IF((County=$P$14:$P$2811),MATCH(ROW($P$14:$P$2811),ROW($P$14:$P$2811)),""),ROWS($A$13:A22))),""),"")</f>
        <v/>
      </c>
      <c r="X22" s="339">
        <v>32119</v>
      </c>
      <c r="Y22" s="338" t="s">
        <v>355</v>
      </c>
      <c r="AA22" s="338">
        <v>2</v>
      </c>
      <c r="AB22" s="338" t="s">
        <v>302</v>
      </c>
      <c r="AD22" s="338">
        <v>1103.02</v>
      </c>
      <c r="AE22" s="338" t="s">
        <v>327</v>
      </c>
      <c r="AG22" s="2297">
        <v>1.02</v>
      </c>
      <c r="AH22" s="2297" t="s">
        <v>329</v>
      </c>
      <c r="AI22" s="1390"/>
      <c r="AJ22" s="2282"/>
      <c r="AK22" s="2282"/>
      <c r="AL22" s="1037"/>
      <c r="AM22" s="339">
        <v>32940</v>
      </c>
      <c r="AN22" s="338" t="s">
        <v>288</v>
      </c>
      <c r="AP22" s="338" t="s">
        <v>312</v>
      </c>
      <c r="AQ22" s="858"/>
      <c r="AR22" s="338">
        <v>15.16</v>
      </c>
      <c r="AS22" s="338" t="s">
        <v>276</v>
      </c>
      <c r="AU22" s="338">
        <v>302</v>
      </c>
      <c r="AV22" s="338" t="s">
        <v>312</v>
      </c>
      <c r="AX22" s="340">
        <v>15.17</v>
      </c>
      <c r="AY22" s="340" t="s">
        <v>276</v>
      </c>
      <c r="BA22" s="341" t="str">
        <f t="array" ref="BA22">IFERROR(IF($BA$11="Metro",INDEX($AR$13:$AR$814,SMALL(IF((County=$AS$13:$AS$814),MATCH(ROW($AS$13:$AS$814),ROW($AS$13:$AS$814)),""),ROWS($A$13:$A22))),INDEX($AU$13:$AU$48,SMALL(IF((County=$AV$13:$AV$48),MATCH(ROW($AV$13:$AV$48),ROW($AV$13:$AV$48)),""),ROWS($A$13:$A22)))),"")</f>
        <v/>
      </c>
      <c r="BC22" s="341" t="str">
        <f t="array" ref="BC22">IFERROR(IF($BC$11="Yes",INDEX($AX$13:$AX$2950,SMALL(IF((County=$AY$13:$AY$2950),MATCH(ROW($AY$13:$AY$2950),ROW($AY$13:$AY$2950)),""),ROWS($A$13:$A22))),""),"")</f>
        <v/>
      </c>
      <c r="BE22" s="339">
        <v>32133</v>
      </c>
      <c r="BF22" s="338" t="s">
        <v>329</v>
      </c>
      <c r="BH22" s="338">
        <v>1.26</v>
      </c>
      <c r="BI22" s="338" t="s">
        <v>331</v>
      </c>
      <c r="BK22" s="338">
        <v>201</v>
      </c>
      <c r="BL22" s="338" t="s">
        <v>345</v>
      </c>
      <c r="BN22" s="340">
        <v>1.03</v>
      </c>
      <c r="BO22" s="340" t="s">
        <v>340</v>
      </c>
      <c r="BP22" s="1385"/>
      <c r="BQ22" s="341">
        <v>32937</v>
      </c>
      <c r="BR22" s="338" t="s">
        <v>288</v>
      </c>
      <c r="BT22" s="338" t="s">
        <v>312</v>
      </c>
      <c r="BU22" s="858"/>
      <c r="BV22" s="338">
        <v>8.08</v>
      </c>
      <c r="BW22" s="338" t="s">
        <v>276</v>
      </c>
      <c r="BY22" s="338">
        <v>103.02</v>
      </c>
      <c r="BZ22" s="338" t="s">
        <v>292</v>
      </c>
      <c r="CB22" s="340">
        <v>15.22</v>
      </c>
      <c r="CC22" s="340" t="s">
        <v>276</v>
      </c>
      <c r="CE22" s="341" t="str">
        <f t="array" ref="CE22">IFERROR(IF($CE$11="Metro",INDEX($BV$13:$BV$4972,SMALL(IF((County=$BW$13:$BW$4972),MATCH(ROW($BW$13:$BW$4972),ROW($BW$13:$BW$4972)),""),ROWS($A$13:$A22))),INDEX($BY$13:$BY$212,SMALL(IF((County=$BZ$13:$BZ$212),MATCH(ROW($BZ$13:$BZ$212),ROW($BZ$13:$BZ$212)),""),ROWS($A$13:$A22)))),"")</f>
        <v/>
      </c>
      <c r="CG22" s="341" t="str">
        <f t="array" ref="CG22">IFERROR(IF($CG$11="Yes",INDEX($CB$13:$CB$2950,SMALL(IF((County=$CC$13:$CC$2950),MATCH(ROW($CC$13:$CC$2950),ROW($CC$13:$CC$2950)),""),ROWS($A$13:$A22))),""),"")</f>
        <v/>
      </c>
      <c r="CI22" s="1387">
        <v>32129</v>
      </c>
      <c r="CJ22" s="236" t="s">
        <v>355</v>
      </c>
      <c r="CL22" s="236">
        <v>1.02</v>
      </c>
      <c r="CM22" s="236" t="s">
        <v>316</v>
      </c>
      <c r="CO22" s="236">
        <v>3</v>
      </c>
      <c r="CP22" s="236" t="s">
        <v>309</v>
      </c>
      <c r="CR22" s="340">
        <v>1.03</v>
      </c>
      <c r="CS22" s="340" t="s">
        <v>347</v>
      </c>
      <c r="CT22" s="1384"/>
      <c r="CU22" s="341">
        <v>32951</v>
      </c>
      <c r="CV22" s="338" t="s">
        <v>288</v>
      </c>
      <c r="CX22" s="338" t="s">
        <v>319</v>
      </c>
      <c r="CZ22" s="1795">
        <v>15.17</v>
      </c>
      <c r="DA22" s="338" t="s">
        <v>276</v>
      </c>
      <c r="DC22" s="1795">
        <v>9602.02</v>
      </c>
      <c r="DD22" s="338" t="s">
        <v>311</v>
      </c>
      <c r="DF22" s="340">
        <v>15.17</v>
      </c>
      <c r="DG22" s="340" t="s">
        <v>276</v>
      </c>
      <c r="DI22" s="341" t="str">
        <f t="array" ref="DI22">IFERROR(IF($DI$11="Metro",INDEX($CZ$13:$CZ$929,SMALL(IF((County=$DA$13:$DA$929),MATCH(ROW($DA$13:$DA$929),ROW($DA$13:$DA$929)),""),ROWS($A$13:$A22))),INDEX($DC$13:$DC$212,SMALL(IF((County=$DD$13:$DD$212),MATCH(ROW($DD$13:$DD$212),ROW($DD$13:$DD$212)),""),ROWS($A$13:$A22)))),"")</f>
        <v/>
      </c>
      <c r="DK22" s="341" t="str">
        <f t="array" ref="DK22">IFERROR(IF($DK$11="Yes",INDEX($DF$13:$DF$2838,SMALL(IF((County=$DG$13:$DG$2838),MATCH(ROW($DG$13:$DG$2838),ROW($DG$13:$DG$2838)),""),ROWS($A$13:$A22))),""),"")</f>
        <v/>
      </c>
      <c r="DM22" s="1387">
        <v>32124</v>
      </c>
      <c r="DN22" s="338" t="s">
        <v>355</v>
      </c>
      <c r="DP22" s="236">
        <v>1.32</v>
      </c>
      <c r="DQ22" s="236" t="s">
        <v>331</v>
      </c>
      <c r="DS22" s="1795">
        <v>1103</v>
      </c>
      <c r="DT22" s="338" t="s">
        <v>298</v>
      </c>
      <c r="DV22" s="340">
        <v>1.03</v>
      </c>
      <c r="DW22" s="340" t="s">
        <v>347</v>
      </c>
      <c r="DX22" s="1671"/>
      <c r="DY22" s="1796"/>
      <c r="DZ22" s="1796"/>
      <c r="EB22" s="549" t="s">
        <v>288</v>
      </c>
      <c r="EC22" s="553" t="str">
        <f>VLOOKUP(EB22,Data1!$A$405:$H$471,8)</f>
        <v>Medium</v>
      </c>
      <c r="ED22" s="549" t="s">
        <v>3064</v>
      </c>
      <c r="EE22" s="549" t="s">
        <v>3065</v>
      </c>
      <c r="EF22" s="549">
        <v>28.355447000000002</v>
      </c>
      <c r="EG22" s="549">
        <v>-80.780844999999999</v>
      </c>
      <c r="EH22" s="553" t="s">
        <v>3140</v>
      </c>
      <c r="EI22" s="553" t="s">
        <v>634</v>
      </c>
      <c r="EJ22" s="550" t="str">
        <f t="shared" si="0"/>
        <v>Brevard - Dominium Cocoa West</v>
      </c>
      <c r="EK22" s="561" t="str">
        <f t="shared" si="1"/>
        <v>Farm/Fishing Worker</v>
      </c>
      <c r="EL22" s="550" t="str">
        <f t="shared" si="2"/>
        <v>(28.355447, -80.780845)</v>
      </c>
      <c r="EM22" s="552" t="str">
        <f t="shared" si="3"/>
        <v>&gt;30</v>
      </c>
      <c r="EN22" s="1941" t="str">
        <f t="shared" si="4"/>
        <v/>
      </c>
      <c r="EO22" t="str">
        <f t="shared" si="5"/>
        <v>Brevard - Dominium Cocoa West</v>
      </c>
      <c r="EP22" s="1941">
        <f t="shared" si="6"/>
        <v>4122.547709008506</v>
      </c>
      <c r="EQ22" s="1941" t="str">
        <f t="shared" si="7"/>
        <v>No</v>
      </c>
      <c r="ER22" s="1941" t="str">
        <f>VLOOKUP(EB22,Data1!$G$405:$H$471,2)</f>
        <v>Medium</v>
      </c>
      <c r="ES22" s="1966" t="str">
        <f>IF(COUNTA($EJ$13:$EJ22)&lt;=$EU$12,LOOKUP(COUNTA($EJ$13:$EJ22),DS_Proximity_List_Sequence,DS_Proximity_List_PublishNames)&amp;", about "&amp;TEXT(ROUND(LOOKUP(COUNTA($EJ$13:$EJ22),DS_Proximity_List_Sequence,DS_Mandadory_Distance_Calc),$ET$10),CHOOSE($ET$10+1,"0","0.0","0.00","0.000","0.0000"))&amp;" miles, with "&amp;LOOKUP(COUNTA($EJ$13:$EJ22),DS_Proximity_List_Sequence,DS_Prox_List_Demo)&amp;" Demo","")</f>
        <v/>
      </c>
      <c r="ET22" s="1941" t="str">
        <f>IF(EU22&gt;0,SUM(EU$13:EU22),"")</f>
        <v/>
      </c>
      <c r="EU22" s="1941">
        <f t="shared" si="8"/>
        <v>0</v>
      </c>
      <c r="EV22" s="1148" t="str">
        <f t="shared" si="9"/>
        <v>Brevard - Dominium Cocoa West</v>
      </c>
    </row>
    <row r="23" spans="1:152" ht="14.65" customHeight="1">
      <c r="A23" s="339">
        <v>32940</v>
      </c>
      <c r="B23" s="338" t="s">
        <v>288</v>
      </c>
      <c r="D23" s="338" t="s">
        <v>333</v>
      </c>
      <c r="E23" s="858"/>
      <c r="F23" s="338">
        <v>15.22</v>
      </c>
      <c r="G23" s="338" t="s">
        <v>276</v>
      </c>
      <c r="I23" s="338">
        <v>9602.01</v>
      </c>
      <c r="J23" s="338" t="s">
        <v>311</v>
      </c>
      <c r="L23" s="2481">
        <v>18.03</v>
      </c>
      <c r="M23" s="340" t="s">
        <v>276</v>
      </c>
      <c r="N23" s="1390"/>
      <c r="O23" s="2479"/>
      <c r="P23" s="2282"/>
      <c r="R23" s="341" t="str">
        <f t="array" ref="R23">IFERROR(IF($R$11="Metro",INDEX($F$13:$F$829,SMALL(IF((County=$G$13:$G$829),MATCH(ROW($G$13:$G$829),ROW($G$13:$G$829)),""),ROWS($A$13:A23))),INDEX($I$13:$I$44,SMALL(IF((County=$J$13:$J$44),MATCH(ROW($J$13:$J$44),ROW($J$13:$J$44)),""),ROWS($A$13:A23)))),"")</f>
        <v/>
      </c>
      <c r="T23" s="341" t="str">
        <f t="array" ref="T23">IFERROR(IF($T$11="Yes",INDEX($L$13:$L$2813,SMALL(IF((County=$M$13:$M$2813),MATCH(ROW($M$13:$M$2813),ROW($M$13:$M$2813)),""),ROWS($A$13:A23))),""),"")</f>
        <v/>
      </c>
      <c r="V23" s="2283" t="str">
        <f t="array" ref="V23">IFERROR(IF($T$11="Yes",INDEX($O$14:$O$2811,SMALL(IF((County=$P$14:$P$2811),MATCH(ROW($P$14:$P$2811),ROW($P$14:$P$2811)),""),ROWS($A$13:A23))),""),"")</f>
        <v/>
      </c>
      <c r="X23" s="339">
        <v>32124</v>
      </c>
      <c r="Y23" s="338" t="s">
        <v>355</v>
      </c>
      <c r="AA23" s="338">
        <v>2</v>
      </c>
      <c r="AB23" s="338" t="s">
        <v>347</v>
      </c>
      <c r="AD23" s="338">
        <v>1104</v>
      </c>
      <c r="AE23" s="338" t="s">
        <v>298</v>
      </c>
      <c r="AG23" s="2297">
        <v>1.02</v>
      </c>
      <c r="AH23" s="2297" t="s">
        <v>340</v>
      </c>
      <c r="AI23" s="1390"/>
      <c r="AJ23" s="2282"/>
      <c r="AK23" s="2282"/>
      <c r="AL23" s="1037"/>
      <c r="AM23" s="339">
        <v>32951</v>
      </c>
      <c r="AN23" s="338" t="s">
        <v>288</v>
      </c>
      <c r="AP23" s="338" t="s">
        <v>313</v>
      </c>
      <c r="AQ23" s="858"/>
      <c r="AR23" s="338">
        <v>15.17</v>
      </c>
      <c r="AS23" s="338" t="s">
        <v>276</v>
      </c>
      <c r="AU23" s="338">
        <v>401</v>
      </c>
      <c r="AV23" s="338" t="s">
        <v>312</v>
      </c>
      <c r="AX23" s="340">
        <v>16.05</v>
      </c>
      <c r="AY23" s="340" t="s">
        <v>276</v>
      </c>
      <c r="BA23" s="341" t="str">
        <f t="array" ref="BA23">IFERROR(IF($BA$11="Metro",INDEX($AR$13:$AR$814,SMALL(IF((County=$AS$13:$AS$814),MATCH(ROW($AS$13:$AS$814),ROW($AS$13:$AS$814)),""),ROWS($A$13:$A23))),INDEX($AU$13:$AU$48,SMALL(IF((County=$AV$13:$AV$48),MATCH(ROW($AV$13:$AV$48),ROW($AV$13:$AV$48)),""),ROWS($A$13:$A23)))),"")</f>
        <v/>
      </c>
      <c r="BC23" s="341" t="str">
        <f t="array" ref="BC23">IFERROR(IF($BC$11="Yes",INDEX($AX$13:$AX$2950,SMALL(IF((County=$AY$13:$AY$2950),MATCH(ROW($AY$13:$AY$2950),ROW($AY$13:$AY$2950)),""),ROWS($A$13:$A23))),""),"")</f>
        <v/>
      </c>
      <c r="BE23" s="339">
        <v>32162</v>
      </c>
      <c r="BF23" s="338" t="s">
        <v>351</v>
      </c>
      <c r="BH23" s="338">
        <v>2</v>
      </c>
      <c r="BI23" s="338" t="s">
        <v>302</v>
      </c>
      <c r="BK23" s="338">
        <v>202</v>
      </c>
      <c r="BL23" s="338" t="s">
        <v>301</v>
      </c>
      <c r="BN23" s="340">
        <v>1.03</v>
      </c>
      <c r="BO23" s="340" t="s">
        <v>347</v>
      </c>
      <c r="BP23" s="1385"/>
      <c r="BQ23" s="341">
        <v>32940</v>
      </c>
      <c r="BR23" s="338" t="s">
        <v>288</v>
      </c>
      <c r="BT23" s="338" t="s">
        <v>313</v>
      </c>
      <c r="BU23" s="858"/>
      <c r="BV23" s="338">
        <v>8.09</v>
      </c>
      <c r="BW23" s="338" t="s">
        <v>276</v>
      </c>
      <c r="BY23" s="338">
        <v>1102.01</v>
      </c>
      <c r="BZ23" s="338" t="s">
        <v>298</v>
      </c>
      <c r="CB23" s="340">
        <v>16.05</v>
      </c>
      <c r="CC23" s="340" t="s">
        <v>276</v>
      </c>
      <c r="CE23" s="341" t="str">
        <f t="array" ref="CE23">IFERROR(IF($CE$11="Metro",INDEX($BV$13:$BV$4972,SMALL(IF((County=$BW$13:$BW$4972),MATCH(ROW($BW$13:$BW$4972),ROW($BW$13:$BW$4972)),""),ROWS($A$13:$A23))),INDEX($BY$13:$BY$212,SMALL(IF((County=$BZ$13:$BZ$212),MATCH(ROW($BZ$13:$BZ$212),ROW($BZ$13:$BZ$212)),""),ROWS($A$13:$A23)))),"")</f>
        <v/>
      </c>
      <c r="CG23" s="341" t="str">
        <f t="array" ref="CG23">IFERROR(IF($CG$11="Yes",INDEX($CB$13:$CB$2950,SMALL(IF((County=$CC$13:$CC$2950),MATCH(ROW($CC$13:$CC$2950),ROW($CC$13:$CC$2950)),""),ROWS($A$13:$A23))),""),"")</f>
        <v/>
      </c>
      <c r="CI23" s="1583">
        <v>32133</v>
      </c>
      <c r="CJ23" s="338" t="s">
        <v>329</v>
      </c>
      <c r="CL23" s="236">
        <v>1.02</v>
      </c>
      <c r="CM23" s="236" t="s">
        <v>329</v>
      </c>
      <c r="CO23" s="236">
        <v>3</v>
      </c>
      <c r="CP23" s="236" t="s">
        <v>313</v>
      </c>
      <c r="CR23" s="340">
        <v>1.04</v>
      </c>
      <c r="CS23" s="340" t="s">
        <v>340</v>
      </c>
      <c r="CT23" s="1384"/>
      <c r="CU23" s="341">
        <v>33009</v>
      </c>
      <c r="CV23" s="338" t="s">
        <v>289</v>
      </c>
      <c r="CX23" s="338" t="s">
        <v>321</v>
      </c>
      <c r="CZ23" s="1795">
        <v>15.19</v>
      </c>
      <c r="DA23" s="338" t="s">
        <v>276</v>
      </c>
      <c r="DC23" s="1795">
        <v>9701.02</v>
      </c>
      <c r="DD23" s="338" t="s">
        <v>312</v>
      </c>
      <c r="DF23" s="340">
        <v>17.010000000000002</v>
      </c>
      <c r="DG23" s="340" t="s">
        <v>276</v>
      </c>
      <c r="DI23" s="341" t="str">
        <f t="array" ref="DI23">IFERROR(IF($DI$11="Metro",INDEX($CZ$13:$CZ$929,SMALL(IF((County=$DA$13:$DA$929),MATCH(ROW($DA$13:$DA$929),ROW($DA$13:$DA$929)),""),ROWS($A$13:$A23))),INDEX($DC$13:$DC$212,SMALL(IF((County=$DD$13:$DD$212),MATCH(ROW($DD$13:$DD$212),ROW($DD$13:$DD$212)),""),ROWS($A$13:$A23)))),"")</f>
        <v/>
      </c>
      <c r="DK23" s="341" t="str">
        <f t="array" ref="DK23">IFERROR(IF($DK$11="Yes",INDEX($DF$13:$DF$2838,SMALL(IF((County=$DG$13:$DG$2838),MATCH(ROW($DG$13:$DG$2838),ROW($DG$13:$DG$2838)),""),ROWS($A$13:$A23))),""),"")</f>
        <v/>
      </c>
      <c r="DM23" s="1387">
        <v>32128</v>
      </c>
      <c r="DN23" s="338" t="s">
        <v>355</v>
      </c>
      <c r="DP23" s="236">
        <v>2</v>
      </c>
      <c r="DQ23" s="236" t="s">
        <v>302</v>
      </c>
      <c r="DS23" s="1795">
        <v>1103.02</v>
      </c>
      <c r="DT23" s="338" t="s">
        <v>327</v>
      </c>
      <c r="DV23" s="340">
        <v>1.04</v>
      </c>
      <c r="DW23" s="340" t="s">
        <v>340</v>
      </c>
      <c r="DX23" s="1671"/>
      <c r="DY23" s="1796"/>
      <c r="DZ23" s="1796"/>
      <c r="EB23" s="554" t="s">
        <v>288</v>
      </c>
      <c r="EC23" s="553" t="str">
        <f>VLOOKUP(EB23,Data1!$A$405:$H$471,8)</f>
        <v>Medium</v>
      </c>
      <c r="ED23" s="554" t="s">
        <v>3066</v>
      </c>
      <c r="EE23" s="549" t="s">
        <v>3067</v>
      </c>
      <c r="EF23" s="549">
        <v>28.317038</v>
      </c>
      <c r="EG23" s="549">
        <v>-80.722781999999995</v>
      </c>
      <c r="EH23" s="553" t="s">
        <v>635</v>
      </c>
      <c r="EI23" s="555" t="s">
        <v>634</v>
      </c>
      <c r="EJ23" s="550" t="str">
        <f t="shared" si="0"/>
        <v xml:space="preserve">Brevard - Rockledge Apartments </v>
      </c>
      <c r="EK23" s="561" t="str">
        <f t="shared" si="1"/>
        <v>Family</v>
      </c>
      <c r="EL23" s="550" t="str">
        <f t="shared" si="2"/>
        <v>(28.317038, -80.722782)</v>
      </c>
      <c r="EM23" s="552" t="str">
        <f t="shared" si="3"/>
        <v>&gt;30</v>
      </c>
      <c r="EN23" s="1941" t="str">
        <f t="shared" si="4"/>
        <v/>
      </c>
      <c r="EO23" t="str">
        <f t="shared" si="5"/>
        <v xml:space="preserve">Brevard - Rockledge Apartments </v>
      </c>
      <c r="EP23" s="1941">
        <f t="shared" si="6"/>
        <v>4120.8861347113898</v>
      </c>
      <c r="EQ23" s="1941" t="str">
        <f t="shared" si="7"/>
        <v>No</v>
      </c>
      <c r="ER23" s="1941" t="str">
        <f>VLOOKUP(EB23,Data1!$G$405:$H$471,2)</f>
        <v>Medium</v>
      </c>
      <c r="ES23" s="1967" t="str">
        <f>IF(COUNTA($EJ$13:$EJ23)&lt;=$EU$12,LOOKUP(COUNTA($EJ$13:$EJ23),DS_Proximity_List_Sequence,DS_Proximity_List_PublishNames)&amp;", about "&amp;TEXT(ROUND(LOOKUP(COUNTA($EJ$13:$EJ23),DS_Proximity_List_Sequence,DS_Mandadory_Distance_Calc),$ET$10),CHOOSE($ET$10+1,"0","0.0","0.00","0.000","0.0000"))&amp;" miles, with "&amp;LOOKUP(COUNTA($EJ$13:$EJ23),DS_Proximity_List_Sequence,DS_Prox_List_Demo)&amp;" Demo","")</f>
        <v/>
      </c>
      <c r="ET23" s="1941" t="str">
        <f>IF(EU23&gt;0,SUM(EU$13:EU23),"")</f>
        <v/>
      </c>
      <c r="EU23" s="1941">
        <f t="shared" si="8"/>
        <v>0</v>
      </c>
      <c r="EV23" s="1148" t="str">
        <f t="shared" si="9"/>
        <v xml:space="preserve">Brevard - Rockledge Apartments </v>
      </c>
    </row>
    <row r="24" spans="1:152" ht="14.65" customHeight="1">
      <c r="A24" s="339">
        <v>32950</v>
      </c>
      <c r="B24" s="338" t="s">
        <v>288</v>
      </c>
      <c r="D24" s="338" t="s">
        <v>337</v>
      </c>
      <c r="E24" s="858"/>
      <c r="F24" s="338">
        <v>16.05</v>
      </c>
      <c r="G24" s="338" t="s">
        <v>276</v>
      </c>
      <c r="I24" s="338">
        <v>9602.02</v>
      </c>
      <c r="J24" s="338" t="s">
        <v>311</v>
      </c>
      <c r="L24" s="2481">
        <v>18.11</v>
      </c>
      <c r="M24" s="340" t="s">
        <v>276</v>
      </c>
      <c r="N24" s="1390"/>
      <c r="O24" s="2479"/>
      <c r="P24" s="2282"/>
      <c r="R24" s="341" t="str">
        <f t="array" ref="R24">IFERROR(IF($R$11="Metro",INDEX($F$13:$F$829,SMALL(IF((County=$G$13:$G$829),MATCH(ROW($G$13:$G$829),ROW($G$13:$G$829)),""),ROWS($A$13:A24))),INDEX($I$13:$I$44,SMALL(IF((County=$J$13:$J$44),MATCH(ROW($J$13:$J$44),ROW($J$13:$J$44)),""),ROWS($A$13:A24)))),"")</f>
        <v/>
      </c>
      <c r="T24" s="341" t="str">
        <f t="array" ref="T24">IFERROR(IF($T$11="Yes",INDEX($L$13:$L$2813,SMALL(IF((County=$M$13:$M$2813),MATCH(ROW($M$13:$M$2813),ROW($M$13:$M$2813)),""),ROWS($A$13:A24))),""),"")</f>
        <v/>
      </c>
      <c r="V24" s="2283" t="str">
        <f t="array" ref="V24">IFERROR(IF($T$11="Yes",INDEX($O$14:$O$2811,SMALL(IF((County=$P$14:$P$2811),MATCH(ROW($P$14:$P$2811),ROW($P$14:$P$2811)),""),ROWS($A$13:A24))),""),"")</f>
        <v/>
      </c>
      <c r="X24" s="339">
        <v>32127</v>
      </c>
      <c r="Y24" s="338" t="s">
        <v>355</v>
      </c>
      <c r="AA24" s="338">
        <v>2.0099999999999998</v>
      </c>
      <c r="AB24" s="338" t="s">
        <v>316</v>
      </c>
      <c r="AD24" s="338">
        <v>1109.01</v>
      </c>
      <c r="AE24" s="338" t="s">
        <v>298</v>
      </c>
      <c r="AG24" s="2297">
        <v>1.03</v>
      </c>
      <c r="AH24" s="2297" t="s">
        <v>340</v>
      </c>
      <c r="AI24" s="1390"/>
      <c r="AJ24" s="2282"/>
      <c r="AK24" s="2282"/>
      <c r="AL24" s="1037"/>
      <c r="AM24" s="339">
        <v>32955</v>
      </c>
      <c r="AN24" s="338" t="s">
        <v>288</v>
      </c>
      <c r="AP24" s="338" t="s">
        <v>317</v>
      </c>
      <c r="AQ24" s="858"/>
      <c r="AR24" s="338">
        <v>15.19</v>
      </c>
      <c r="AS24" s="338" t="s">
        <v>276</v>
      </c>
      <c r="AU24" s="338">
        <v>200</v>
      </c>
      <c r="AV24" s="338" t="s">
        <v>313</v>
      </c>
      <c r="AX24" s="340">
        <v>17.010000000000002</v>
      </c>
      <c r="AY24" s="340" t="s">
        <v>276</v>
      </c>
      <c r="BA24" s="341" t="str">
        <f t="array" ref="BA24">IFERROR(IF($BA$11="Metro",INDEX($AR$13:$AR$814,SMALL(IF((County=$AS$13:$AS$814),MATCH(ROW($AS$13:$AS$814),ROW($AS$13:$AS$814)),""),ROWS($A$13:$A24))),INDEX($AU$13:$AU$48,SMALL(IF((County=$AV$13:$AV$48),MATCH(ROW($AV$13:$AV$48),ROW($AV$13:$AV$48)),""),ROWS($A$13:$A24)))),"")</f>
        <v/>
      </c>
      <c r="BC24" s="341" t="str">
        <f t="array" ref="BC24">IFERROR(IF($BC$11="Yes",INDEX($AX$13:$AX$2950,SMALL(IF((County=$AY$13:$AY$2950),MATCH(ROW($AY$13:$AY$2950),ROW($AY$13:$AY$2950)),""),ROWS($A$13:$A24))),""),"")</f>
        <v/>
      </c>
      <c r="BE24" s="339">
        <v>32169</v>
      </c>
      <c r="BF24" s="338" t="s">
        <v>355</v>
      </c>
      <c r="BH24" s="338">
        <v>2</v>
      </c>
      <c r="BI24" s="338" t="s">
        <v>347</v>
      </c>
      <c r="BK24" s="338">
        <v>202</v>
      </c>
      <c r="BL24" s="338" t="s">
        <v>311</v>
      </c>
      <c r="BN24" s="340">
        <v>1.04</v>
      </c>
      <c r="BO24" s="340" t="s">
        <v>340</v>
      </c>
      <c r="BP24" s="1385"/>
      <c r="BQ24" s="341">
        <v>32950</v>
      </c>
      <c r="BR24" s="338" t="s">
        <v>288</v>
      </c>
      <c r="BT24" s="338" t="s">
        <v>317</v>
      </c>
      <c r="BU24" s="858"/>
      <c r="BV24" s="338">
        <v>9.01</v>
      </c>
      <c r="BW24" s="338" t="s">
        <v>276</v>
      </c>
      <c r="BY24" s="338">
        <v>1102.02</v>
      </c>
      <c r="BZ24" s="338" t="s">
        <v>298</v>
      </c>
      <c r="CB24" s="340">
        <v>17.010000000000002</v>
      </c>
      <c r="CC24" s="340" t="s">
        <v>276</v>
      </c>
      <c r="CE24" s="341" t="str">
        <f t="array" ref="CE24">IFERROR(IF($CE$11="Metro",INDEX($BV$13:$BV$4972,SMALL(IF((County=$BW$13:$BW$4972),MATCH(ROW($BW$13:$BW$4972),ROW($BW$13:$BW$4972)),""),ROWS($A$13:$A24))),INDEX($BY$13:$BY$212,SMALL(IF((County=$BZ$13:$BZ$212),MATCH(ROW($BZ$13:$BZ$212),ROW($BZ$13:$BZ$212)),""),ROWS($A$13:$A24)))),"")</f>
        <v/>
      </c>
      <c r="CG24" s="341" t="str">
        <f t="array" ref="CG24">IFERROR(IF($CG$11="Yes",INDEX($CB$13:$CB$2950,SMALL(IF((County=$CC$13:$CC$2950),MATCH(ROW($CC$13:$CC$2950),ROW($CC$13:$CC$2950)),""),ROWS($A$13:$A24))),""),"")</f>
        <v/>
      </c>
      <c r="CI24" s="1387">
        <v>32137</v>
      </c>
      <c r="CJ24" s="338" t="s">
        <v>305</v>
      </c>
      <c r="CL24" s="236">
        <v>1.02</v>
      </c>
      <c r="CM24" s="236" t="s">
        <v>340</v>
      </c>
      <c r="CO24" s="338">
        <v>3.01</v>
      </c>
      <c r="CP24" s="338" t="s">
        <v>287</v>
      </c>
      <c r="CR24" s="340">
        <v>1.04</v>
      </c>
      <c r="CS24" s="340" t="s">
        <v>347</v>
      </c>
      <c r="CT24" s="1384"/>
      <c r="CU24" s="341">
        <v>33019</v>
      </c>
      <c r="CV24" s="338" t="s">
        <v>289</v>
      </c>
      <c r="CX24" s="338" t="s">
        <v>326</v>
      </c>
      <c r="CZ24" s="1795">
        <v>15.22</v>
      </c>
      <c r="DA24" s="338" t="s">
        <v>276</v>
      </c>
      <c r="DC24" s="1795">
        <v>9702.01</v>
      </c>
      <c r="DD24" s="338" t="s">
        <v>312</v>
      </c>
      <c r="DF24" s="340">
        <v>17.02</v>
      </c>
      <c r="DG24" s="340" t="s">
        <v>276</v>
      </c>
      <c r="DI24" s="341" t="str">
        <f t="array" ref="DI24">IFERROR(IF($DI$11="Metro",INDEX($CZ$13:$CZ$929,SMALL(IF((County=$DA$13:$DA$929),MATCH(ROW($DA$13:$DA$929),ROW($DA$13:$DA$929)),""),ROWS($A$13:$A24))),INDEX($DC$13:$DC$212,SMALL(IF((County=$DD$13:$DD$212),MATCH(ROW($DD$13:$DD$212),ROW($DD$13:$DD$212)),""),ROWS($A$13:$A24)))),"")</f>
        <v/>
      </c>
      <c r="DK24" s="341" t="str">
        <f t="array" ref="DK24">IFERROR(IF($DK$11="Yes",INDEX($DF$13:$DF$2838,SMALL(IF((County=$DG$13:$DG$2838),MATCH(ROW($DG$13:$DG$2838),ROW($DG$13:$DG$2838)),""),ROWS($A$13:$A24))),""),"")</f>
        <v/>
      </c>
      <c r="DM24" s="1387">
        <v>32162</v>
      </c>
      <c r="DN24" s="338" t="s">
        <v>351</v>
      </c>
      <c r="DP24" s="236">
        <v>2</v>
      </c>
      <c r="DQ24" s="236" t="s">
        <v>313</v>
      </c>
      <c r="DS24" s="1795">
        <v>1104</v>
      </c>
      <c r="DT24" s="338" t="s">
        <v>298</v>
      </c>
      <c r="DV24" s="340">
        <v>1.04</v>
      </c>
      <c r="DW24" s="340" t="s">
        <v>347</v>
      </c>
      <c r="DX24" s="1671"/>
      <c r="DY24" s="1796"/>
      <c r="DZ24" s="1796"/>
      <c r="EB24" s="549" t="s">
        <v>3049</v>
      </c>
      <c r="EC24" s="553" t="str">
        <f>VLOOKUP(EB24,Data1!$A$405:$H$471,8)</f>
        <v>Medium</v>
      </c>
      <c r="ED24" s="549" t="s">
        <v>3068</v>
      </c>
      <c r="EE24" s="549" t="s">
        <v>3069</v>
      </c>
      <c r="EF24" s="550">
        <v>28.087367</v>
      </c>
      <c r="EG24" s="550">
        <v>-80.624702999999997</v>
      </c>
      <c r="EH24" s="553" t="s">
        <v>633</v>
      </c>
      <c r="EI24" s="552" t="s">
        <v>634</v>
      </c>
      <c r="EJ24" s="550" t="str">
        <f t="shared" si="0"/>
        <v>Brevard  - FBC Affordable P1C</v>
      </c>
      <c r="EK24" s="561" t="str">
        <f t="shared" si="1"/>
        <v>Elderly Non-ALF</v>
      </c>
      <c r="EL24" s="550" t="str">
        <f t="shared" si="2"/>
        <v>(28.087367, -80.624703)</v>
      </c>
      <c r="EM24" s="552" t="str">
        <f t="shared" si="3"/>
        <v>&gt;30</v>
      </c>
      <c r="EN24" s="1941" t="str">
        <f t="shared" si="4"/>
        <v/>
      </c>
      <c r="EO24" t="str">
        <f t="shared" si="5"/>
        <v>Brevard  - FBC Affordable P1C</v>
      </c>
      <c r="EP24" s="1941">
        <f t="shared" si="6"/>
        <v>4116.0084536630484</v>
      </c>
      <c r="EQ24" s="1941" t="str">
        <f t="shared" si="7"/>
        <v>No</v>
      </c>
      <c r="ER24" s="1941" t="str">
        <f>VLOOKUP(EB24,Data1!$G$405:$H$471,2)</f>
        <v>Medium</v>
      </c>
      <c r="ET24" s="1941" t="str">
        <f>IF(EU24&gt;0,SUM(EU$13:EU24),"")</f>
        <v/>
      </c>
      <c r="EU24" s="1941">
        <f t="shared" si="8"/>
        <v>0</v>
      </c>
      <c r="EV24" s="1148" t="str">
        <f t="shared" si="9"/>
        <v>Brevard  - FBC Affordable P1C</v>
      </c>
    </row>
    <row r="25" spans="1:152" ht="14.65" customHeight="1">
      <c r="A25" s="339">
        <v>32951</v>
      </c>
      <c r="B25" s="338" t="s">
        <v>288</v>
      </c>
      <c r="D25" s="338" t="s">
        <v>345</v>
      </c>
      <c r="E25" s="858"/>
      <c r="F25" s="338">
        <v>19.02</v>
      </c>
      <c r="G25" s="338" t="s">
        <v>276</v>
      </c>
      <c r="I25" s="338">
        <v>2</v>
      </c>
      <c r="J25" s="338" t="s">
        <v>313</v>
      </c>
      <c r="L25" s="2481">
        <v>18.13</v>
      </c>
      <c r="M25" s="340" t="s">
        <v>276</v>
      </c>
      <c r="N25" s="1390"/>
      <c r="O25" s="2479"/>
      <c r="P25" s="2282"/>
      <c r="R25" s="341" t="str">
        <f t="array" ref="R25">IFERROR(IF($R$11="Metro",INDEX($F$13:$F$829,SMALL(IF((County=$G$13:$G$829),MATCH(ROW($G$13:$G$829),ROW($G$13:$G$829)),""),ROWS($A$13:A25))),INDEX($I$13:$I$44,SMALL(IF((County=$J$13:$J$44),MATCH(ROW($J$13:$J$44),ROW($J$13:$J$44)),""),ROWS($A$13:A25)))),"")</f>
        <v/>
      </c>
      <c r="T25" s="341" t="str">
        <f t="array" ref="T25">IFERROR(IF($T$11="Yes",INDEX($L$13:$L$2813,SMALL(IF((County=$M$13:$M$2813),MATCH(ROW($M$13:$M$2813),ROW($M$13:$M$2813)),""),ROWS($A$13:A25))),""),"")</f>
        <v/>
      </c>
      <c r="V25" s="2283" t="str">
        <f t="array" ref="V25">IFERROR(IF($T$11="Yes",INDEX($O$14:$O$2811,SMALL(IF((County=$P$14:$P$2811),MATCH(ROW($P$14:$P$2811),ROW($P$14:$P$2811)),""),ROWS($A$13:A25))),""),"")</f>
        <v/>
      </c>
      <c r="X25" s="339">
        <v>32128</v>
      </c>
      <c r="Y25" s="338" t="s">
        <v>355</v>
      </c>
      <c r="AA25" s="338">
        <v>2.0099999999999998</v>
      </c>
      <c r="AB25" s="338" t="s">
        <v>328</v>
      </c>
      <c r="AD25" s="338">
        <v>2106</v>
      </c>
      <c r="AE25" s="338" t="s">
        <v>319</v>
      </c>
      <c r="AG25" s="2297">
        <v>1.03</v>
      </c>
      <c r="AH25" s="2297" t="s">
        <v>347</v>
      </c>
      <c r="AI25" s="1390"/>
      <c r="AJ25" s="2282"/>
      <c r="AK25" s="2282"/>
      <c r="AL25" s="1037"/>
      <c r="AM25" s="339">
        <v>33019</v>
      </c>
      <c r="AN25" s="338" t="s">
        <v>289</v>
      </c>
      <c r="AP25" s="338" t="s">
        <v>319</v>
      </c>
      <c r="AQ25" s="858"/>
      <c r="AR25" s="338">
        <v>16.05</v>
      </c>
      <c r="AS25" s="338" t="s">
        <v>276</v>
      </c>
      <c r="AU25" s="338">
        <v>300</v>
      </c>
      <c r="AV25" s="338" t="s">
        <v>313</v>
      </c>
      <c r="AX25" s="340">
        <v>17.02</v>
      </c>
      <c r="AY25" s="340" t="s">
        <v>276</v>
      </c>
      <c r="BA25" s="341" t="str">
        <f t="array" ref="BA25">IFERROR(IF($BA$11="Metro",INDEX($AR$13:$AR$814,SMALL(IF((County=$AS$13:$AS$814),MATCH(ROW($AS$13:$AS$814),ROW($AS$13:$AS$814)),""),ROWS($A$13:$A25))),INDEX($AU$13:$AU$48,SMALL(IF((County=$AV$13:$AV$48),MATCH(ROW($AV$13:$AV$48),ROW($AV$13:$AV$48)),""),ROWS($A$13:$A25)))),"")</f>
        <v/>
      </c>
      <c r="BC25" s="341" t="str">
        <f t="array" ref="BC25">IFERROR(IF($BC$11="Yes",INDEX($AX$13:$AX$2950,SMALL(IF((County=$AY$13:$AY$2950),MATCH(ROW($AY$13:$AY$2950),ROW($AY$13:$AY$2950)),""),ROWS($A$13:$A25))),""),"")</f>
        <v/>
      </c>
      <c r="BE25" s="339">
        <v>32176</v>
      </c>
      <c r="BF25" s="338" t="s">
        <v>355</v>
      </c>
      <c r="BH25" s="338">
        <v>2.0099999999999998</v>
      </c>
      <c r="BI25" s="338" t="s">
        <v>276</v>
      </c>
      <c r="BK25" s="338">
        <v>202</v>
      </c>
      <c r="BL25" s="338" t="s">
        <v>345</v>
      </c>
      <c r="BN25" s="340">
        <v>1.04</v>
      </c>
      <c r="BO25" s="340" t="s">
        <v>347</v>
      </c>
      <c r="BP25" s="1385"/>
      <c r="BQ25" s="341">
        <v>32951</v>
      </c>
      <c r="BR25" s="338" t="s">
        <v>288</v>
      </c>
      <c r="BT25" s="338" t="s">
        <v>319</v>
      </c>
      <c r="BU25" s="858"/>
      <c r="BV25" s="338">
        <v>9.02</v>
      </c>
      <c r="BW25" s="338" t="s">
        <v>276</v>
      </c>
      <c r="BY25" s="338">
        <v>1103</v>
      </c>
      <c r="BZ25" s="338" t="s">
        <v>298</v>
      </c>
      <c r="CB25" s="340">
        <v>17.02</v>
      </c>
      <c r="CC25" s="340" t="s">
        <v>276</v>
      </c>
      <c r="CE25" s="341" t="str">
        <f t="array" ref="CE25">IFERROR(IF($CE$11="Metro",INDEX($BV$13:$BV$4972,SMALL(IF((County=$BW$13:$BW$4972),MATCH(ROW($BW$13:$BW$4972),ROW($BW$13:$BW$4972)),""),ROWS($A$13:$A25))),INDEX($BY$13:$BY$212,SMALL(IF((County=$BZ$13:$BZ$212),MATCH(ROW($BZ$13:$BZ$212),ROW($BZ$13:$BZ$212)),""),ROWS($A$13:$A25)))),"")</f>
        <v/>
      </c>
      <c r="CG25" s="341" t="str">
        <f t="array" ref="CG25">IFERROR(IF($CG$11="Yes",INDEX($CB$13:$CB$2950,SMALL(IF((County=$CC$13:$CC$2950),MATCH(ROW($CC$13:$CC$2950),ROW($CC$13:$CC$2950)),""),ROWS($A$13:$A25))),""),"")</f>
        <v/>
      </c>
      <c r="CI25" s="1583">
        <v>32162</v>
      </c>
      <c r="CJ25" s="236" t="s">
        <v>351</v>
      </c>
      <c r="CL25" s="236">
        <v>1.02</v>
      </c>
      <c r="CM25" s="236" t="s">
        <v>347</v>
      </c>
      <c r="CO25" s="338">
        <v>3.02</v>
      </c>
      <c r="CP25" s="338" t="s">
        <v>287</v>
      </c>
      <c r="CR25" s="340">
        <v>1.07</v>
      </c>
      <c r="CS25" s="340" t="s">
        <v>331</v>
      </c>
      <c r="CT25" s="1384"/>
      <c r="CU25" s="341">
        <v>33021</v>
      </c>
      <c r="CV25" s="338" t="s">
        <v>289</v>
      </c>
      <c r="CX25" s="338" t="s">
        <v>327</v>
      </c>
      <c r="CZ25" s="1795">
        <v>16.05</v>
      </c>
      <c r="DA25" s="338" t="s">
        <v>276</v>
      </c>
      <c r="DC25" s="1795">
        <v>9704.01</v>
      </c>
      <c r="DD25" s="338" t="s">
        <v>312</v>
      </c>
      <c r="DF25" s="340">
        <v>18.03</v>
      </c>
      <c r="DG25" s="340" t="s">
        <v>276</v>
      </c>
      <c r="DI25" s="341" t="str">
        <f t="array" ref="DI25">IFERROR(IF($DI$11="Metro",INDEX($CZ$13:$CZ$929,SMALL(IF((County=$DA$13:$DA$929),MATCH(ROW($DA$13:$DA$929),ROW($DA$13:$DA$929)),""),ROWS($A$13:$A25))),INDEX($DC$13:$DC$212,SMALL(IF((County=$DD$13:$DD$212),MATCH(ROW($DD$13:$DD$212),ROW($DD$13:$DD$212)),""),ROWS($A$13:$A25)))),"")</f>
        <v/>
      </c>
      <c r="DK25" s="341" t="str">
        <f t="array" ref="DK25">IFERROR(IF($DK$11="Yes",INDEX($DF$13:$DF$2838,SMALL(IF((County=$DG$13:$DG$2838),MATCH(ROW($DG$13:$DG$2838),ROW($DG$13:$DG$2838)),""),ROWS($A$13:$A25))),""),"")</f>
        <v/>
      </c>
      <c r="DM25" s="1387">
        <v>32169</v>
      </c>
      <c r="DN25" s="338" t="s">
        <v>355</v>
      </c>
      <c r="DP25" s="236">
        <v>2.0099999999999998</v>
      </c>
      <c r="DQ25" s="236" t="s">
        <v>316</v>
      </c>
      <c r="DS25" s="1795">
        <v>2106</v>
      </c>
      <c r="DT25" s="338" t="s">
        <v>319</v>
      </c>
      <c r="DV25" s="340">
        <v>1.07</v>
      </c>
      <c r="DW25" s="340" t="s">
        <v>331</v>
      </c>
      <c r="DX25" s="1671"/>
      <c r="DY25" s="1796"/>
      <c r="DZ25" s="1796"/>
      <c r="EB25" s="549" t="s">
        <v>3049</v>
      </c>
      <c r="EC25" s="553" t="str">
        <f>VLOOKUP(EB25,Data1!$A$405:$H$471,8)</f>
        <v>Medium</v>
      </c>
      <c r="ED25" s="549" t="s">
        <v>3070</v>
      </c>
      <c r="EE25" s="549" t="s">
        <v>3071</v>
      </c>
      <c r="EF25" s="560">
        <v>28.607022000000001</v>
      </c>
      <c r="EG25" s="560">
        <v>-80.825768999999994</v>
      </c>
      <c r="EH25" s="553" t="s">
        <v>633</v>
      </c>
      <c r="EI25" s="553" t="s">
        <v>634</v>
      </c>
      <c r="EJ25" s="550" t="str">
        <f t="shared" si="0"/>
        <v>Brevard  - Forest Glen</v>
      </c>
      <c r="EK25" s="561" t="str">
        <f t="shared" si="1"/>
        <v>Elderly Non-ALF</v>
      </c>
      <c r="EL25" s="550" t="str">
        <f t="shared" si="2"/>
        <v>(28.607022, -80.825769)</v>
      </c>
      <c r="EM25" s="552" t="str">
        <f t="shared" si="3"/>
        <v>&gt;30</v>
      </c>
      <c r="EN25" s="1941" t="str">
        <f t="shared" si="4"/>
        <v/>
      </c>
      <c r="EO25" t="str">
        <f t="shared" si="5"/>
        <v>Brevard  - Forest Glen</v>
      </c>
      <c r="EP25" s="1941">
        <f t="shared" si="6"/>
        <v>4126.6389237959947</v>
      </c>
      <c r="EQ25" s="1941" t="str">
        <f t="shared" si="7"/>
        <v>No</v>
      </c>
      <c r="ER25" s="1941" t="str">
        <f>VLOOKUP(EB25,Data1!$G$405:$H$471,2)</f>
        <v>Medium</v>
      </c>
      <c r="ET25" s="1941" t="str">
        <f>IF(EU25&gt;0,SUM(EU$13:EU25),"")</f>
        <v/>
      </c>
      <c r="EU25" s="1941">
        <f t="shared" si="8"/>
        <v>0</v>
      </c>
      <c r="EV25" s="1148" t="str">
        <f t="shared" si="9"/>
        <v>Brevard  - Forest Glen</v>
      </c>
    </row>
    <row r="26" spans="1:152" ht="14.65" customHeight="1">
      <c r="A26" s="339">
        <v>32955</v>
      </c>
      <c r="B26" s="338" t="s">
        <v>288</v>
      </c>
      <c r="D26" s="338" t="s">
        <v>352</v>
      </c>
      <c r="E26" s="858"/>
      <c r="F26" s="338">
        <v>20.02</v>
      </c>
      <c r="G26" s="338" t="s">
        <v>276</v>
      </c>
      <c r="I26" s="338">
        <v>3</v>
      </c>
      <c r="J26" s="338" t="s">
        <v>313</v>
      </c>
      <c r="L26" s="2481">
        <v>18.149999999999999</v>
      </c>
      <c r="M26" s="340" t="s">
        <v>276</v>
      </c>
      <c r="N26" s="1390"/>
      <c r="O26" s="2479"/>
      <c r="P26" s="2282"/>
      <c r="R26" s="341" t="str">
        <f t="array" ref="R26">IFERROR(IF($R$11="Metro",INDEX($F$13:$F$829,SMALL(IF((County=$G$13:$G$829),MATCH(ROW($G$13:$G$829),ROW($G$13:$G$829)),""),ROWS($A$13:A26))),INDEX($I$13:$I$44,SMALL(IF((County=$J$13:$J$44),MATCH(ROW($J$13:$J$44),ROW($J$13:$J$44)),""),ROWS($A$13:A26)))),"")</f>
        <v/>
      </c>
      <c r="T26" s="341" t="str">
        <f t="array" ref="T26">IFERROR(IF($T$11="Yes",INDEX($L$13:$L$2813,SMALL(IF((County=$M$13:$M$2813),MATCH(ROW($M$13:$M$2813),ROW($M$13:$M$2813)),""),ROWS($A$13:A26))),""),"")</f>
        <v/>
      </c>
      <c r="V26" s="2283" t="str">
        <f t="array" ref="V26">IFERROR(IF($T$11="Yes",INDEX($O$14:$O$2811,SMALL(IF((County=$P$14:$P$2811),MATCH(ROW($P$14:$P$2811),ROW($P$14:$P$2811)),""),ROWS($A$13:A26))),""),"")</f>
        <v/>
      </c>
      <c r="X26" s="339">
        <v>32129</v>
      </c>
      <c r="Y26" s="338" t="s">
        <v>355</v>
      </c>
      <c r="AA26" s="338">
        <v>2.02</v>
      </c>
      <c r="AB26" s="338" t="s">
        <v>276</v>
      </c>
      <c r="AD26" s="338">
        <v>2108</v>
      </c>
      <c r="AE26" s="338" t="s">
        <v>319</v>
      </c>
      <c r="AG26" s="2297">
        <v>1.04</v>
      </c>
      <c r="AH26" s="2297" t="s">
        <v>340</v>
      </c>
      <c r="AI26" s="1390"/>
      <c r="AJ26" s="2282"/>
      <c r="AK26" s="2282"/>
      <c r="AL26" s="1037"/>
      <c r="AM26" s="339">
        <v>33021</v>
      </c>
      <c r="AN26" s="338" t="s">
        <v>289</v>
      </c>
      <c r="AP26" s="338" t="s">
        <v>321</v>
      </c>
      <c r="AQ26" s="858"/>
      <c r="AR26" s="338">
        <v>18.02</v>
      </c>
      <c r="AS26" s="338" t="s">
        <v>276</v>
      </c>
      <c r="AU26" s="338">
        <v>601</v>
      </c>
      <c r="AV26" s="338" t="s">
        <v>313</v>
      </c>
      <c r="AX26" s="340">
        <v>18.03</v>
      </c>
      <c r="AY26" s="340" t="s">
        <v>276</v>
      </c>
      <c r="BA26" s="341" t="str">
        <f t="array" ref="BA26">IFERROR(IF($BA$11="Metro",INDEX($AR$13:$AR$814,SMALL(IF((County=$AS$13:$AS$814),MATCH(ROW($AS$13:$AS$814),ROW($AS$13:$AS$814)),""),ROWS($A$13:$A26))),INDEX($AU$13:$AU$48,SMALL(IF((County=$AV$13:$AV$48),MATCH(ROW($AV$13:$AV$48),ROW($AV$13:$AV$48)),""),ROWS($A$13:$A26)))),"")</f>
        <v/>
      </c>
      <c r="BC26" s="341" t="str">
        <f t="array" ref="BC26">IFERROR(IF($BC$11="Yes",INDEX($AX$13:$AX$2950,SMALL(IF((County=$AY$13:$AY$2950),MATCH(ROW($AY$13:$AY$2950),ROW($AY$13:$AY$2950)),""),ROWS($A$13:$A26))),""),"")</f>
        <v/>
      </c>
      <c r="BE26" s="339">
        <v>32195</v>
      </c>
      <c r="BF26" s="338" t="s">
        <v>329</v>
      </c>
      <c r="BH26" s="338">
        <v>2.0099999999999998</v>
      </c>
      <c r="BI26" s="338" t="s">
        <v>316</v>
      </c>
      <c r="BK26" s="338">
        <v>300</v>
      </c>
      <c r="BL26" s="338" t="s">
        <v>313</v>
      </c>
      <c r="BN26" s="340">
        <v>1.07</v>
      </c>
      <c r="BO26" s="340" t="s">
        <v>331</v>
      </c>
      <c r="BP26" s="1385"/>
      <c r="BQ26" s="341">
        <v>32955</v>
      </c>
      <c r="BR26" s="338" t="s">
        <v>288</v>
      </c>
      <c r="BT26" s="338" t="s">
        <v>321</v>
      </c>
      <c r="BU26" s="858"/>
      <c r="BV26" s="338">
        <v>10</v>
      </c>
      <c r="BW26" s="338" t="s">
        <v>276</v>
      </c>
      <c r="BY26" s="338">
        <v>1104</v>
      </c>
      <c r="BZ26" s="338" t="s">
        <v>298</v>
      </c>
      <c r="CB26" s="340">
        <v>18.03</v>
      </c>
      <c r="CC26" s="340" t="s">
        <v>276</v>
      </c>
      <c r="CE26" s="341" t="str">
        <f t="array" ref="CE26">IFERROR(IF($CE$11="Metro",INDEX($BV$13:$BV$4972,SMALL(IF((County=$BW$13:$BW$4972),MATCH(ROW($BW$13:$BW$4972),ROW($BW$13:$BW$4972)),""),ROWS($A$13:$A26))),INDEX($BY$13:$BY$212,SMALL(IF((County=$BZ$13:$BZ$212),MATCH(ROW($BZ$13:$BZ$212),ROW($BZ$13:$BZ$212)),""),ROWS($A$13:$A26)))),"")</f>
        <v/>
      </c>
      <c r="CG26" s="341" t="str">
        <f t="array" ref="CG26">IFERROR(IF($CG$11="Yes",INDEX($CB$13:$CB$2950,SMALL(IF((County=$CC$13:$CC$2950),MATCH(ROW($CC$13:$CC$2950),ROW($CC$13:$CC$2950)),""),ROWS($A$13:$A26))),""),"")</f>
        <v/>
      </c>
      <c r="CI26" s="1387">
        <v>32169</v>
      </c>
      <c r="CJ26" s="236" t="s">
        <v>355</v>
      </c>
      <c r="CL26" s="236">
        <v>1.03</v>
      </c>
      <c r="CM26" s="236" t="s">
        <v>328</v>
      </c>
      <c r="CO26" s="338">
        <v>4</v>
      </c>
      <c r="CP26" s="338" t="s">
        <v>287</v>
      </c>
      <c r="CR26" s="340">
        <v>1.0900000000000001</v>
      </c>
      <c r="CS26" s="340" t="s">
        <v>331</v>
      </c>
      <c r="CT26" s="1384"/>
      <c r="CU26" s="341">
        <v>33025</v>
      </c>
      <c r="CV26" s="338" t="s">
        <v>289</v>
      </c>
      <c r="CX26" s="338" t="s">
        <v>333</v>
      </c>
      <c r="CZ26" s="1795">
        <v>19.02</v>
      </c>
      <c r="DA26" s="338" t="s">
        <v>276</v>
      </c>
      <c r="DC26" s="1795">
        <v>2</v>
      </c>
      <c r="DD26" s="338" t="s">
        <v>313</v>
      </c>
      <c r="DF26" s="340">
        <v>18.11</v>
      </c>
      <c r="DG26" s="340" t="s">
        <v>276</v>
      </c>
      <c r="DI26" s="341" t="str">
        <f t="array" ref="DI26">IFERROR(IF($DI$11="Metro",INDEX($CZ$13:$CZ$929,SMALL(IF((County=$DA$13:$DA$929),MATCH(ROW($DA$13:$DA$929),ROW($DA$13:$DA$929)),""),ROWS($A$13:$A26))),INDEX($DC$13:$DC$212,SMALL(IF((County=$DD$13:$DD$212),MATCH(ROW($DD$13:$DD$212),ROW($DD$13:$DD$212)),""),ROWS($A$13:$A26)))),"")</f>
        <v/>
      </c>
      <c r="DK26" s="341" t="str">
        <f t="array" ref="DK26">IFERROR(IF($DK$11="Yes",INDEX($DF$13:$DF$2838,SMALL(IF((County=$DG$13:$DG$2838),MATCH(ROW($DG$13:$DG$2838),ROW($DG$13:$DG$2838)),""),ROWS($A$13:$A26))),""),"")</f>
        <v/>
      </c>
      <c r="DM26" s="1387">
        <v>32176</v>
      </c>
      <c r="DN26" s="338" t="s">
        <v>355</v>
      </c>
      <c r="DP26" s="236">
        <v>2.0099999999999998</v>
      </c>
      <c r="DQ26" s="236" t="s">
        <v>328</v>
      </c>
      <c r="DS26" s="1795">
        <v>2108</v>
      </c>
      <c r="DT26" s="338" t="s">
        <v>319</v>
      </c>
      <c r="DV26" s="340">
        <v>1.0900000000000001</v>
      </c>
      <c r="DW26" s="340" t="s">
        <v>331</v>
      </c>
      <c r="DX26" s="1671"/>
      <c r="DY26" s="1796"/>
      <c r="DZ26" s="1796"/>
      <c r="EB26" s="549" t="s">
        <v>3049</v>
      </c>
      <c r="EC26" s="553" t="str">
        <f>VLOOKUP(EB26,Data1!$A$405:$H$471,8)</f>
        <v>Medium</v>
      </c>
      <c r="ED26" s="549" t="s">
        <v>3072</v>
      </c>
      <c r="EE26" s="549" t="s">
        <v>3073</v>
      </c>
      <c r="EF26" s="550">
        <v>28.200607999999999</v>
      </c>
      <c r="EG26" s="550">
        <v>-80.671456000000006</v>
      </c>
      <c r="EH26" s="553" t="s">
        <v>635</v>
      </c>
      <c r="EI26" s="553" t="s">
        <v>634</v>
      </c>
      <c r="EJ26" s="550" t="str">
        <f t="shared" si="0"/>
        <v>Brevard  - Freedom Point Apartments</v>
      </c>
      <c r="EK26" s="561" t="str">
        <f t="shared" si="1"/>
        <v>Family</v>
      </c>
      <c r="EL26" s="550" t="str">
        <f t="shared" si="2"/>
        <v>(28.200608, -80.671456)</v>
      </c>
      <c r="EM26" s="552" t="str">
        <f t="shared" si="3"/>
        <v>&gt;30</v>
      </c>
      <c r="EN26" s="1941" t="str">
        <f t="shared" si="4"/>
        <v/>
      </c>
      <c r="EO26" t="str">
        <f t="shared" si="5"/>
        <v>Brevard  - Freedom Point Apartments</v>
      </c>
      <c r="EP26" s="1941">
        <f t="shared" si="6"/>
        <v>4118.3794390682187</v>
      </c>
      <c r="EQ26" s="1941" t="str">
        <f t="shared" si="7"/>
        <v>No</v>
      </c>
      <c r="ER26" s="1941" t="str">
        <f>VLOOKUP(EB26,Data1!$G$405:$H$471,2)</f>
        <v>Medium</v>
      </c>
      <c r="ET26" s="1941" t="str">
        <f>IF(EU26&gt;0,SUM(EU$13:EU26),"")</f>
        <v/>
      </c>
      <c r="EU26" s="1941">
        <f t="shared" si="8"/>
        <v>0</v>
      </c>
      <c r="EV26" s="1148" t="str">
        <f t="shared" si="9"/>
        <v>Brevard  - Freedom Point Apartments</v>
      </c>
    </row>
    <row r="27" spans="1:152" ht="14.65" customHeight="1">
      <c r="A27" s="339">
        <v>33004</v>
      </c>
      <c r="B27" s="338" t="s">
        <v>289</v>
      </c>
      <c r="D27" s="1383" t="s">
        <v>2111</v>
      </c>
      <c r="E27" s="858"/>
      <c r="F27" s="338">
        <v>12</v>
      </c>
      <c r="G27" s="338" t="s">
        <v>285</v>
      </c>
      <c r="I27" s="338">
        <v>9604.0300000000007</v>
      </c>
      <c r="J27" s="338" t="s">
        <v>317</v>
      </c>
      <c r="L27" s="2481">
        <v>18.16</v>
      </c>
      <c r="M27" s="340" t="s">
        <v>276</v>
      </c>
      <c r="N27" s="1390"/>
      <c r="O27" s="2479"/>
      <c r="P27" s="2282"/>
      <c r="R27" s="341" t="str">
        <f t="array" ref="R27">IFERROR(IF($R$11="Metro",INDEX($F$13:$F$829,SMALL(IF((County=$G$13:$G$829),MATCH(ROW($G$13:$G$829),ROW($G$13:$G$829)),""),ROWS($A$13:A27))),INDEX($I$13:$I$44,SMALL(IF((County=$J$13:$J$44),MATCH(ROW($J$13:$J$44),ROW($J$13:$J$44)),""),ROWS($A$13:A27)))),"")</f>
        <v/>
      </c>
      <c r="T27" s="341" t="str">
        <f t="array" ref="T27">IFERROR(IF($T$11="Yes",INDEX($L$13:$L$2813,SMALL(IF((County=$M$13:$M$2813),MATCH(ROW($M$13:$M$2813),ROW($M$13:$M$2813)),""),ROWS($A$13:A27))),""),"")</f>
        <v/>
      </c>
      <c r="V27" s="2283" t="str">
        <f t="array" ref="V27">IFERROR(IF($T$11="Yes",INDEX($O$14:$O$2811,SMALL(IF((County=$P$14:$P$2811),MATCH(ROW($P$14:$P$2811),ROW($P$14:$P$2811)),""),ROWS($A$13:A27))),""),"")</f>
        <v/>
      </c>
      <c r="X27" s="339">
        <v>32130</v>
      </c>
      <c r="Y27" s="338" t="s">
        <v>355</v>
      </c>
      <c r="AA27" s="338">
        <v>2.02</v>
      </c>
      <c r="AB27" s="338" t="s">
        <v>316</v>
      </c>
      <c r="AD27" s="338">
        <v>9103</v>
      </c>
      <c r="AE27" s="338" t="s">
        <v>337</v>
      </c>
      <c r="AG27" s="2297">
        <v>1.04</v>
      </c>
      <c r="AH27" s="2297" t="s">
        <v>347</v>
      </c>
      <c r="AI27" s="1390"/>
      <c r="AJ27" s="2282"/>
      <c r="AK27" s="2282"/>
      <c r="AL27" s="1037"/>
      <c r="AM27" s="339">
        <v>33025</v>
      </c>
      <c r="AN27" s="338" t="s">
        <v>289</v>
      </c>
      <c r="AP27" s="338" t="s">
        <v>326</v>
      </c>
      <c r="AQ27" s="858"/>
      <c r="AR27" s="338">
        <v>19.02</v>
      </c>
      <c r="AS27" s="338" t="s">
        <v>276</v>
      </c>
      <c r="AU27" s="338">
        <v>602</v>
      </c>
      <c r="AV27" s="338" t="s">
        <v>313</v>
      </c>
      <c r="AX27" s="340">
        <v>18.11</v>
      </c>
      <c r="AY27" s="340" t="s">
        <v>276</v>
      </c>
      <c r="BA27" s="341" t="str">
        <f t="array" ref="BA27">IFERROR(IF($BA$11="Metro",INDEX($AR$13:$AR$814,SMALL(IF((County=$AS$13:$AS$814),MATCH(ROW($AS$13:$AS$814),ROW($AS$13:$AS$814)),""),ROWS($A$13:$A27))),INDEX($AU$13:$AU$48,SMALL(IF((County=$AV$13:$AV$48),MATCH(ROW($AV$13:$AV$48),ROW($AV$13:$AV$48)),""),ROWS($A$13:$A27)))),"")</f>
        <v/>
      </c>
      <c r="BC27" s="341" t="str">
        <f t="array" ref="BC27">IFERROR(IF($BC$11="Yes",INDEX($AX$13:$AX$2950,SMALL(IF((County=$AY$13:$AY$2950),MATCH(ROW($AY$13:$AY$2950),ROW($AY$13:$AY$2950)),""),ROWS($A$13:$A27))),""),"")</f>
        <v/>
      </c>
      <c r="BE27" s="339">
        <v>32212</v>
      </c>
      <c r="BF27" s="338" t="s">
        <v>302</v>
      </c>
      <c r="BH27" s="338">
        <v>2.0099999999999998</v>
      </c>
      <c r="BI27" s="338" t="s">
        <v>328</v>
      </c>
      <c r="BK27" s="338">
        <v>301</v>
      </c>
      <c r="BL27" s="338" t="s">
        <v>300</v>
      </c>
      <c r="BN27" s="340">
        <v>1.0900000000000001</v>
      </c>
      <c r="BO27" s="340" t="s">
        <v>331</v>
      </c>
      <c r="BP27" s="1385"/>
      <c r="BQ27" s="1386">
        <v>33009</v>
      </c>
      <c r="BR27" s="338" t="s">
        <v>289</v>
      </c>
      <c r="BT27" s="338" t="s">
        <v>326</v>
      </c>
      <c r="BU27" s="858"/>
      <c r="BV27" s="338">
        <v>11</v>
      </c>
      <c r="BW27" s="338" t="s">
        <v>276</v>
      </c>
      <c r="BY27" s="338">
        <v>1105</v>
      </c>
      <c r="BZ27" s="338" t="s">
        <v>298</v>
      </c>
      <c r="CB27" s="340">
        <v>18.11</v>
      </c>
      <c r="CC27" s="340" t="s">
        <v>276</v>
      </c>
      <c r="CE27" s="341" t="str">
        <f t="array" ref="CE27">IFERROR(IF($CE$11="Metro",INDEX($BV$13:$BV$4972,SMALL(IF((County=$BW$13:$BW$4972),MATCH(ROW($BW$13:$BW$4972),ROW($BW$13:$BW$4972)),""),ROWS($A$13:$A27))),INDEX($BY$13:$BY$212,SMALL(IF((County=$BZ$13:$BZ$212),MATCH(ROW($BZ$13:$BZ$212),ROW($BZ$13:$BZ$212)),""),ROWS($A$13:$A27)))),"")</f>
        <v/>
      </c>
      <c r="CG27" s="341" t="str">
        <f t="array" ref="CG27">IFERROR(IF($CG$11="Yes",INDEX($CB$13:$CB$2950,SMALL(IF((County=$CC$13:$CC$2950),MATCH(ROW($CC$13:$CC$2950),ROW($CC$13:$CC$2950)),""),ROWS($A$13:$A27))),""),"")</f>
        <v/>
      </c>
      <c r="CI27" s="1387">
        <v>32176</v>
      </c>
      <c r="CJ27" s="236" t="s">
        <v>355</v>
      </c>
      <c r="CL27" s="236">
        <v>1.03</v>
      </c>
      <c r="CM27" s="236" t="s">
        <v>340</v>
      </c>
      <c r="CO27" s="236">
        <v>4.01</v>
      </c>
      <c r="CP27" s="236" t="s">
        <v>313</v>
      </c>
      <c r="CR27" s="340">
        <v>1.1499999999999999</v>
      </c>
      <c r="CS27" s="340" t="s">
        <v>331</v>
      </c>
      <c r="CT27" s="1384"/>
      <c r="CU27" s="341">
        <v>33026</v>
      </c>
      <c r="CV27" s="338" t="s">
        <v>289</v>
      </c>
      <c r="CX27" s="338" t="s">
        <v>337</v>
      </c>
      <c r="CZ27" s="1795">
        <v>8.0299999999999994</v>
      </c>
      <c r="DA27" s="338" t="s">
        <v>285</v>
      </c>
      <c r="DC27" s="1795">
        <v>3</v>
      </c>
      <c r="DD27" s="338" t="s">
        <v>313</v>
      </c>
      <c r="DF27" s="340">
        <v>18.13</v>
      </c>
      <c r="DG27" s="340" t="s">
        <v>276</v>
      </c>
      <c r="DI27" s="341" t="str">
        <f t="array" ref="DI27">IFERROR(IF($DI$11="Metro",INDEX($CZ$13:$CZ$929,SMALL(IF((County=$DA$13:$DA$929),MATCH(ROW($DA$13:$DA$929),ROW($DA$13:$DA$929)),""),ROWS($A$13:$A27))),INDEX($DC$13:$DC$212,SMALL(IF((County=$DD$13:$DD$212),MATCH(ROW($DD$13:$DD$212),ROW($DD$13:$DD$212)),""),ROWS($A$13:$A27)))),"")</f>
        <v/>
      </c>
      <c r="DK27" s="341" t="str">
        <f t="array" ref="DK27">IFERROR(IF($DK$11="Yes",INDEX($DF$13:$DF$2838,SMALL(IF((County=$DG$13:$DG$2838),MATCH(ROW($DG$13:$DG$2838),ROW($DG$13:$DG$2838)),""),ROWS($A$13:$A27))),""),"")</f>
        <v/>
      </c>
      <c r="DM27" s="1387">
        <v>32212</v>
      </c>
      <c r="DN27" s="338" t="s">
        <v>302</v>
      </c>
      <c r="DP27" s="236">
        <v>2.0099999999999998</v>
      </c>
      <c r="DQ27" s="236" t="s">
        <v>329</v>
      </c>
      <c r="DS27" s="1795">
        <v>9103</v>
      </c>
      <c r="DT27" s="338" t="s">
        <v>337</v>
      </c>
      <c r="DV27" s="340">
        <v>1.1499999999999999</v>
      </c>
      <c r="DW27" s="340" t="s">
        <v>331</v>
      </c>
      <c r="DX27" s="1671"/>
      <c r="DY27" s="1796"/>
      <c r="DZ27" s="1796"/>
      <c r="EB27" s="549" t="s">
        <v>294</v>
      </c>
      <c r="EC27" s="553" t="str">
        <f>VLOOKUP(EB27,Data1!$A$405:$H$471,8)</f>
        <v>Medium</v>
      </c>
      <c r="ED27" s="549" t="s">
        <v>2337</v>
      </c>
      <c r="EE27" s="549" t="s">
        <v>2338</v>
      </c>
      <c r="EF27" s="558">
        <v>26.993019</v>
      </c>
      <c r="EG27" s="558">
        <v>-82.028435999999999</v>
      </c>
      <c r="EH27" s="553" t="s">
        <v>635</v>
      </c>
      <c r="EI27" s="552" t="s">
        <v>634</v>
      </c>
      <c r="EJ27" s="550" t="str">
        <f t="shared" si="0"/>
        <v>Charlotte - Blue Deep Creek</v>
      </c>
      <c r="EK27" s="561" t="str">
        <f t="shared" si="1"/>
        <v>Family</v>
      </c>
      <c r="EL27" s="550" t="str">
        <f t="shared" si="2"/>
        <v>(26.993019, -82.028436)</v>
      </c>
      <c r="EM27" s="552" t="str">
        <f t="shared" si="3"/>
        <v>&gt;30</v>
      </c>
      <c r="EN27" s="1941" t="str">
        <f t="shared" si="4"/>
        <v/>
      </c>
      <c r="EO27" t="str">
        <f t="shared" si="5"/>
        <v>Charlotte - Blue Deep Creek</v>
      </c>
      <c r="EP27" s="1941">
        <f t="shared" si="6"/>
        <v>4131.2705438636558</v>
      </c>
      <c r="EQ27" s="1941" t="str">
        <f t="shared" si="7"/>
        <v>No</v>
      </c>
      <c r="ER27" s="1941" t="str">
        <f>VLOOKUP(EB27,Data1!$G$405:$H$471,2)</f>
        <v>Medium</v>
      </c>
      <c r="ET27" s="1941" t="str">
        <f>IF(EU27&gt;0,SUM(EU$13:EU27),"")</f>
        <v/>
      </c>
      <c r="EU27" s="1941">
        <f t="shared" si="8"/>
        <v>0</v>
      </c>
      <c r="EV27" s="1148" t="str">
        <f t="shared" si="9"/>
        <v>Charlotte - Blue Deep Creek</v>
      </c>
    </row>
    <row r="28" spans="1:152" ht="14.65" customHeight="1">
      <c r="A28" s="339">
        <v>33009</v>
      </c>
      <c r="B28" s="338" t="s">
        <v>289</v>
      </c>
      <c r="E28" s="858"/>
      <c r="F28" s="338">
        <v>16</v>
      </c>
      <c r="G28" s="338" t="s">
        <v>285</v>
      </c>
      <c r="I28" s="338">
        <v>2106</v>
      </c>
      <c r="J28" s="338" t="s">
        <v>319</v>
      </c>
      <c r="L28" s="2481">
        <v>18.170000000000002</v>
      </c>
      <c r="M28" s="340" t="s">
        <v>276</v>
      </c>
      <c r="N28" s="1390"/>
      <c r="O28" s="2479"/>
      <c r="P28" s="2282"/>
      <c r="R28" s="341" t="str">
        <f t="array" ref="R28">IFERROR(IF($R$11="Metro",INDEX($F$13:$F$829,SMALL(IF((County=$G$13:$G$829),MATCH(ROW($G$13:$G$829),ROW($G$13:$G$829)),""),ROWS($A$13:A28))),INDEX($I$13:$I$44,SMALL(IF((County=$J$13:$J$44),MATCH(ROW($J$13:$J$44),ROW($J$13:$J$44)),""),ROWS($A$13:A28)))),"")</f>
        <v/>
      </c>
      <c r="T28" s="341" t="str">
        <f t="array" ref="T28">IFERROR(IF($T$11="Yes",INDEX($L$13:$L$2813,SMALL(IF((County=$M$13:$M$2813),MATCH(ROW($M$13:$M$2813),ROW($M$13:$M$2813)),""),ROWS($A$13:A28))),""),"")</f>
        <v/>
      </c>
      <c r="V28" s="2283" t="str">
        <f t="array" ref="V28">IFERROR(IF($T$11="Yes",INDEX($O$14:$O$2811,SMALL(IF((County=$P$14:$P$2811),MATCH(ROW($P$14:$P$2811),ROW($P$14:$P$2811)),""),ROWS($A$13:A28))),""),"")</f>
        <v/>
      </c>
      <c r="X28" s="339">
        <v>32137</v>
      </c>
      <c r="Y28" s="338" t="s">
        <v>305</v>
      </c>
      <c r="AA28" s="338">
        <v>2.0299999999999998</v>
      </c>
      <c r="AB28" s="338" t="s">
        <v>328</v>
      </c>
      <c r="AD28" s="338">
        <v>9104.02</v>
      </c>
      <c r="AE28" s="338" t="s">
        <v>337</v>
      </c>
      <c r="AG28" s="2297">
        <v>1.0900000000000001</v>
      </c>
      <c r="AH28" s="2297" t="s">
        <v>331</v>
      </c>
      <c r="AI28" s="1390"/>
      <c r="AJ28" s="2282"/>
      <c r="AK28" s="2282"/>
      <c r="AL28" s="1037"/>
      <c r="AM28" s="339">
        <v>33026</v>
      </c>
      <c r="AN28" s="338" t="s">
        <v>289</v>
      </c>
      <c r="AP28" s="338" t="s">
        <v>327</v>
      </c>
      <c r="AQ28" s="858"/>
      <c r="AR28" s="338">
        <v>22.18</v>
      </c>
      <c r="AS28" s="338" t="s">
        <v>276</v>
      </c>
      <c r="AU28" s="338">
        <v>401</v>
      </c>
      <c r="AV28" s="338" t="s">
        <v>317</v>
      </c>
      <c r="AX28" s="340">
        <v>18.13</v>
      </c>
      <c r="AY28" s="340" t="s">
        <v>276</v>
      </c>
      <c r="BA28" s="341" t="str">
        <f t="array" ref="BA28">IFERROR(IF($BA$11="Metro",INDEX($AR$13:$AR$814,SMALL(IF((County=$AS$13:$AS$814),MATCH(ROW($AS$13:$AS$814),ROW($AS$13:$AS$814)),""),ROWS($A$13:$A28))),INDEX($AU$13:$AU$48,SMALL(IF((County=$AV$13:$AV$48),MATCH(ROW($AV$13:$AV$48),ROW($AV$13:$AV$48)),""),ROWS($A$13:$A28)))),"")</f>
        <v/>
      </c>
      <c r="BC28" s="341" t="str">
        <f t="array" ref="BC28">IFERROR(IF($BC$11="Yes",INDEX($AX$13:$AX$2950,SMALL(IF((County=$AY$13:$AY$2950),MATCH(ROW($AY$13:$AY$2950),ROW($AY$13:$AY$2950)),""),ROWS($A$13:$A28))),""),"")</f>
        <v/>
      </c>
      <c r="BE28" s="339">
        <v>32224</v>
      </c>
      <c r="BF28" s="338" t="s">
        <v>302</v>
      </c>
      <c r="BH28" s="338">
        <v>2.0099999999999998</v>
      </c>
      <c r="BI28" s="338" t="s">
        <v>329</v>
      </c>
      <c r="BK28" s="338">
        <v>301</v>
      </c>
      <c r="BL28" s="338" t="s">
        <v>312</v>
      </c>
      <c r="BN28" s="340">
        <v>1.1499999999999999</v>
      </c>
      <c r="BO28" s="340" t="s">
        <v>331</v>
      </c>
      <c r="BP28" s="1385"/>
      <c r="BQ28" s="1386">
        <v>33019</v>
      </c>
      <c r="BR28" s="338" t="s">
        <v>289</v>
      </c>
      <c r="BT28" s="338" t="s">
        <v>327</v>
      </c>
      <c r="BU28" s="858"/>
      <c r="BV28" s="338">
        <v>12.01</v>
      </c>
      <c r="BW28" s="338" t="s">
        <v>276</v>
      </c>
      <c r="BY28" s="338">
        <v>1106.02</v>
      </c>
      <c r="BZ28" s="338" t="s">
        <v>298</v>
      </c>
      <c r="CB28" s="340">
        <v>18.13</v>
      </c>
      <c r="CC28" s="340" t="s">
        <v>276</v>
      </c>
      <c r="CE28" s="341" t="str">
        <f t="array" ref="CE28">IFERROR(IF($CE$11="Metro",INDEX($BV$13:$BV$4972,SMALL(IF((County=$BW$13:$BW$4972),MATCH(ROW($BW$13:$BW$4972),ROW($BW$13:$BW$4972)),""),ROWS($A$13:$A28))),INDEX($BY$13:$BY$212,SMALL(IF((County=$BZ$13:$BZ$212),MATCH(ROW($BZ$13:$BZ$212),ROW($BZ$13:$BZ$212)),""),ROWS($A$13:$A28)))),"")</f>
        <v/>
      </c>
      <c r="CG28" s="341" t="str">
        <f t="array" ref="CG28">IFERROR(IF($CG$11="Yes",INDEX($CB$13:$CB$2950,SMALL(IF((County=$CC$13:$CC$2950),MATCH(ROW($CC$13:$CC$2950),ROW($CC$13:$CC$2950)),""),ROWS($A$13:$A28))),""),"")</f>
        <v/>
      </c>
      <c r="CI28" s="1583">
        <v>32195</v>
      </c>
      <c r="CJ28" s="338" t="s">
        <v>329</v>
      </c>
      <c r="CL28" s="236">
        <v>1.03</v>
      </c>
      <c r="CM28" s="236" t="s">
        <v>347</v>
      </c>
      <c r="CO28" s="236">
        <v>4.03</v>
      </c>
      <c r="CP28" s="236" t="s">
        <v>313</v>
      </c>
      <c r="CR28" s="340">
        <v>1.18</v>
      </c>
      <c r="CS28" s="340" t="s">
        <v>331</v>
      </c>
      <c r="CT28" s="1384"/>
      <c r="CU28" s="341">
        <v>33027</v>
      </c>
      <c r="CV28" s="338" t="s">
        <v>289</v>
      </c>
      <c r="CX28" s="338" t="s">
        <v>345</v>
      </c>
      <c r="CZ28" s="1795">
        <v>11</v>
      </c>
      <c r="DA28" s="338" t="s">
        <v>285</v>
      </c>
      <c r="DC28" s="1795">
        <v>4.04</v>
      </c>
      <c r="DD28" s="338" t="s">
        <v>313</v>
      </c>
      <c r="DF28" s="340">
        <v>18.149999999999999</v>
      </c>
      <c r="DG28" s="340" t="s">
        <v>276</v>
      </c>
      <c r="DI28" s="341" t="str">
        <f t="array" ref="DI28">IFERROR(IF($DI$11="Metro",INDEX($CZ$13:$CZ$929,SMALL(IF((County=$DA$13:$DA$929),MATCH(ROW($DA$13:$DA$929),ROW($DA$13:$DA$929)),""),ROWS($A$13:$A28))),INDEX($DC$13:$DC$212,SMALL(IF((County=$DD$13:$DD$212),MATCH(ROW($DD$13:$DD$212),ROW($DD$13:$DD$212)),""),ROWS($A$13:$A28)))),"")</f>
        <v/>
      </c>
      <c r="DK28" s="341" t="str">
        <f t="array" ref="DK28">IFERROR(IF($DK$11="Yes",INDEX($DF$13:$DF$2838,SMALL(IF((County=$DG$13:$DG$2838),MATCH(ROW($DG$13:$DG$2838),ROW($DG$13:$DG$2838)),""),ROWS($A$13:$A28))),""),"")</f>
        <v/>
      </c>
      <c r="DM28" s="1387">
        <v>32221</v>
      </c>
      <c r="DN28" s="338" t="s">
        <v>302</v>
      </c>
      <c r="DP28" s="236">
        <v>2.02</v>
      </c>
      <c r="DQ28" s="236" t="s">
        <v>276</v>
      </c>
      <c r="DS28" s="1795">
        <v>9104.02</v>
      </c>
      <c r="DT28" s="338" t="s">
        <v>337</v>
      </c>
      <c r="DV28" s="340">
        <v>1.18</v>
      </c>
      <c r="DW28" s="340" t="s">
        <v>331</v>
      </c>
      <c r="DX28" s="1671"/>
      <c r="DY28" s="1796"/>
      <c r="DZ28" s="1796"/>
      <c r="EB28" s="549" t="s">
        <v>295</v>
      </c>
      <c r="EC28" s="553" t="str">
        <f>VLOOKUP(EB28,Data1!$A$405:$H$471,8)</f>
        <v>Medium</v>
      </c>
      <c r="ED28" s="549" t="s">
        <v>2339</v>
      </c>
      <c r="EE28" s="549" t="s">
        <v>2340</v>
      </c>
      <c r="EF28" s="550">
        <v>28.765781</v>
      </c>
      <c r="EG28" s="550">
        <v>-82.549772000000004</v>
      </c>
      <c r="EH28" s="551" t="s">
        <v>635</v>
      </c>
      <c r="EI28" s="552" t="s">
        <v>634</v>
      </c>
      <c r="EJ28" s="550" t="str">
        <f t="shared" si="0"/>
        <v>Citrus - Cardinal Oaks</v>
      </c>
      <c r="EK28" s="561" t="str">
        <f t="shared" si="1"/>
        <v>Family</v>
      </c>
      <c r="EL28" s="550" t="str">
        <f t="shared" si="2"/>
        <v>(28.765781, -82.549772)</v>
      </c>
      <c r="EM28" s="552" t="str">
        <f t="shared" si="3"/>
        <v>&gt;30</v>
      </c>
      <c r="EN28" s="1941" t="str">
        <f t="shared" si="4"/>
        <v/>
      </c>
      <c r="EO28" t="str">
        <f t="shared" si="5"/>
        <v>Citrus - Cardinal Oaks</v>
      </c>
      <c r="EP28" s="1941">
        <f t="shared" si="6"/>
        <v>4162.8770166949662</v>
      </c>
      <c r="EQ28" s="1941" t="str">
        <f t="shared" si="7"/>
        <v>No</v>
      </c>
      <c r="ER28" s="1941" t="str">
        <f>VLOOKUP(EB28,Data1!$G$405:$H$471,2)</f>
        <v>Medium</v>
      </c>
      <c r="ET28" s="1941" t="str">
        <f>IF(EU28&gt;0,SUM(EU$13:EU28),"")</f>
        <v/>
      </c>
      <c r="EU28" s="1941">
        <f t="shared" si="8"/>
        <v>0</v>
      </c>
      <c r="EV28" s="1148" t="str">
        <f t="shared" si="9"/>
        <v>Citrus - Cardinal Oaks</v>
      </c>
    </row>
    <row r="29" spans="1:152" ht="14.65" customHeight="1">
      <c r="A29" s="339">
        <v>33019</v>
      </c>
      <c r="B29" s="338" t="s">
        <v>289</v>
      </c>
      <c r="E29" s="858"/>
      <c r="F29" s="338">
        <v>17</v>
      </c>
      <c r="G29" s="338" t="s">
        <v>285</v>
      </c>
      <c r="I29" s="338">
        <v>2108</v>
      </c>
      <c r="J29" s="338" t="s">
        <v>319</v>
      </c>
      <c r="L29" s="2481">
        <v>18.18</v>
      </c>
      <c r="M29" s="340" t="s">
        <v>276</v>
      </c>
      <c r="N29" s="1390"/>
      <c r="O29" s="2479"/>
      <c r="P29" s="2282"/>
      <c r="R29" s="341" t="str">
        <f t="array" ref="R29">IFERROR(IF($R$11="Metro",INDEX($F$13:$F$829,SMALL(IF((County=$G$13:$G$829),MATCH(ROW($G$13:$G$829),ROW($G$13:$G$829)),""),ROWS($A$13:A29))),INDEX($I$13:$I$44,SMALL(IF((County=$J$13:$J$44),MATCH(ROW($J$13:$J$44),ROW($J$13:$J$44)),""),ROWS($A$13:A29)))),"")</f>
        <v/>
      </c>
      <c r="T29" s="341" t="str">
        <f t="array" ref="T29">IFERROR(IF($T$11="Yes",INDEX($L$13:$L$2813,SMALL(IF((County=$M$13:$M$2813),MATCH(ROW($M$13:$M$2813),ROW($M$13:$M$2813)),""),ROWS($A$13:A29))),""),"")</f>
        <v/>
      </c>
      <c r="V29" s="2283" t="str">
        <f t="array" ref="V29">IFERROR(IF($T$11="Yes",INDEX($O$14:$O$2811,SMALL(IF((County=$P$14:$P$2811),MATCH(ROW($P$14:$P$2811),ROW($P$14:$P$2811)),""),ROWS($A$13:A29))),""),"")</f>
        <v/>
      </c>
      <c r="X29" s="339">
        <v>32141</v>
      </c>
      <c r="Y29" s="338" t="s">
        <v>355</v>
      </c>
      <c r="AA29" s="338">
        <v>2.04</v>
      </c>
      <c r="AB29" s="338" t="s">
        <v>328</v>
      </c>
      <c r="AD29" s="338">
        <v>9502.01</v>
      </c>
      <c r="AE29" s="338" t="s">
        <v>345</v>
      </c>
      <c r="AG29" s="2297">
        <v>1.1499999999999999</v>
      </c>
      <c r="AH29" s="2297" t="s">
        <v>331</v>
      </c>
      <c r="AI29" s="1390"/>
      <c r="AJ29" s="2282"/>
      <c r="AK29" s="2282"/>
      <c r="AL29" s="1037"/>
      <c r="AM29" s="339">
        <v>33027</v>
      </c>
      <c r="AN29" s="338" t="s">
        <v>289</v>
      </c>
      <c r="AP29" s="338" t="s">
        <v>333</v>
      </c>
      <c r="AQ29" s="858"/>
      <c r="AR29" s="338">
        <v>8.0299999999999994</v>
      </c>
      <c r="AS29" s="338" t="s">
        <v>285</v>
      </c>
      <c r="AU29" s="338">
        <v>402</v>
      </c>
      <c r="AV29" s="338" t="s">
        <v>317</v>
      </c>
      <c r="AX29" s="340">
        <v>18.149999999999999</v>
      </c>
      <c r="AY29" s="340" t="s">
        <v>276</v>
      </c>
      <c r="BA29" s="341" t="str">
        <f t="array" ref="BA29">IFERROR(IF($BA$11="Metro",INDEX($AR$13:$AR$814,SMALL(IF((County=$AS$13:$AS$814),MATCH(ROW($AS$13:$AS$814),ROW($AS$13:$AS$814)),""),ROWS($A$13:$A29))),INDEX($AU$13:$AU$48,SMALL(IF((County=$AV$13:$AV$48),MATCH(ROW($AV$13:$AV$48),ROW($AV$13:$AV$48)),""),ROWS($A$13:$A29)))),"")</f>
        <v/>
      </c>
      <c r="BC29" s="341" t="str">
        <f t="array" ref="BC29">IFERROR(IF($BC$11="Yes",INDEX($AX$13:$AX$2950,SMALL(IF((County=$AY$13:$AY$2950),MATCH(ROW($AY$13:$AY$2950),ROW($AY$13:$AY$2950)),""),ROWS($A$13:$A29))),""),"")</f>
        <v/>
      </c>
      <c r="BE29" s="339">
        <v>32225</v>
      </c>
      <c r="BF29" s="338" t="s">
        <v>302</v>
      </c>
      <c r="BH29" s="338">
        <v>2.02</v>
      </c>
      <c r="BI29" s="338" t="s">
        <v>276</v>
      </c>
      <c r="BK29" s="338">
        <v>301</v>
      </c>
      <c r="BL29" s="338" t="s">
        <v>353</v>
      </c>
      <c r="BN29" s="340">
        <v>1.18</v>
      </c>
      <c r="BO29" s="340" t="s">
        <v>331</v>
      </c>
      <c r="BP29" s="1385"/>
      <c r="BQ29" s="1386">
        <v>33021</v>
      </c>
      <c r="BR29" s="338" t="s">
        <v>289</v>
      </c>
      <c r="BT29" s="338" t="s">
        <v>333</v>
      </c>
      <c r="BU29" s="858"/>
      <c r="BV29" s="338">
        <v>12.02</v>
      </c>
      <c r="BW29" s="338" t="s">
        <v>276</v>
      </c>
      <c r="BY29" s="338">
        <v>1106.03</v>
      </c>
      <c r="BZ29" s="338" t="s">
        <v>298</v>
      </c>
      <c r="CB29" s="340">
        <v>18.149999999999999</v>
      </c>
      <c r="CC29" s="340" t="s">
        <v>276</v>
      </c>
      <c r="CE29" s="341" t="str">
        <f t="array" ref="CE29">IFERROR(IF($CE$11="Metro",INDEX($BV$13:$BV$4972,SMALL(IF((County=$BW$13:$BW$4972),MATCH(ROW($BW$13:$BW$4972),ROW($BW$13:$BW$4972)),""),ROWS($A$13:$A29))),INDEX($BY$13:$BY$212,SMALL(IF((County=$BZ$13:$BZ$212),MATCH(ROW($BZ$13:$BZ$212),ROW($BZ$13:$BZ$212)),""),ROWS($A$13:$A29)))),"")</f>
        <v/>
      </c>
      <c r="CG29" s="341" t="str">
        <f t="array" ref="CG29">IFERROR(IF($CG$11="Yes",INDEX($CB$13:$CB$2950,SMALL(IF((County=$CC$13:$CC$2950),MATCH(ROW($CC$13:$CC$2950),ROW($CC$13:$CC$2950)),""),ROWS($A$13:$A29))),""),"")</f>
        <v/>
      </c>
      <c r="CI29" s="1387">
        <v>32212</v>
      </c>
      <c r="CJ29" s="338" t="s">
        <v>302</v>
      </c>
      <c r="CL29" s="236">
        <v>1.04</v>
      </c>
      <c r="CM29" s="236" t="s">
        <v>340</v>
      </c>
      <c r="CO29" s="236">
        <v>4.04</v>
      </c>
      <c r="CP29" s="236" t="s">
        <v>313</v>
      </c>
      <c r="CR29" s="340">
        <v>1.2</v>
      </c>
      <c r="CS29" s="340" t="s">
        <v>331</v>
      </c>
      <c r="CT29" s="1384"/>
      <c r="CU29" s="341">
        <v>33028</v>
      </c>
      <c r="CV29" s="338" t="s">
        <v>289</v>
      </c>
      <c r="CX29" s="338" t="s">
        <v>352</v>
      </c>
      <c r="CZ29" s="1795">
        <v>12</v>
      </c>
      <c r="DA29" s="338" t="s">
        <v>285</v>
      </c>
      <c r="DC29" s="1795">
        <v>9604.0300000000007</v>
      </c>
      <c r="DD29" s="338" t="s">
        <v>317</v>
      </c>
      <c r="DF29" s="340">
        <v>18.170000000000002</v>
      </c>
      <c r="DG29" s="340" t="s">
        <v>276</v>
      </c>
      <c r="DI29" s="341" t="str">
        <f t="array" ref="DI29">IFERROR(IF($DI$11="Metro",INDEX($CZ$13:$CZ$929,SMALL(IF((County=$DA$13:$DA$929),MATCH(ROW($DA$13:$DA$929),ROW($DA$13:$DA$929)),""),ROWS($A$13:$A29))),INDEX($DC$13:$DC$212,SMALL(IF((County=$DD$13:$DD$212),MATCH(ROW($DD$13:$DD$212),ROW($DD$13:$DD$212)),""),ROWS($A$13:$A29)))),"")</f>
        <v/>
      </c>
      <c r="DK29" s="341" t="str">
        <f t="array" ref="DK29">IFERROR(IF($DK$11="Yes",INDEX($DF$13:$DF$2838,SMALL(IF((County=$DG$13:$DG$2838),MATCH(ROW($DG$13:$DG$2838),ROW($DG$13:$DG$2838)),""),ROWS($A$13:$A29))),""),"")</f>
        <v/>
      </c>
      <c r="DM29" s="1387">
        <v>32224</v>
      </c>
      <c r="DN29" s="338" t="s">
        <v>302</v>
      </c>
      <c r="DP29" s="236">
        <v>2.02</v>
      </c>
      <c r="DQ29" s="236" t="s">
        <v>309</v>
      </c>
      <c r="DS29" s="1795">
        <v>9502.01</v>
      </c>
      <c r="DT29" s="338" t="s">
        <v>345</v>
      </c>
      <c r="DV29" s="340">
        <v>1.2</v>
      </c>
      <c r="DW29" s="340" t="s">
        <v>331</v>
      </c>
      <c r="DX29" s="1671"/>
      <c r="DY29" s="1796"/>
      <c r="DZ29" s="1796"/>
      <c r="EB29" s="549" t="s">
        <v>295</v>
      </c>
      <c r="EC29" s="553" t="str">
        <f>VLOOKUP(EB29,Data1!$A$405:$H$471,8)</f>
        <v>Medium</v>
      </c>
      <c r="ED29" s="549" t="s">
        <v>3074</v>
      </c>
      <c r="EE29" s="549" t="s">
        <v>3075</v>
      </c>
      <c r="EF29" s="550">
        <v>28.844643000000001</v>
      </c>
      <c r="EG29" s="550">
        <v>-82.356516999999997</v>
      </c>
      <c r="EH29" s="553" t="s">
        <v>633</v>
      </c>
      <c r="EI29" s="552" t="s">
        <v>634</v>
      </c>
      <c r="EJ29" s="550" t="str">
        <f t="shared" si="0"/>
        <v>Citrus - Longwood Gardens</v>
      </c>
      <c r="EK29" s="561" t="str">
        <f t="shared" si="1"/>
        <v>Elderly Non-ALF</v>
      </c>
      <c r="EL29" s="550" t="str">
        <f t="shared" si="2"/>
        <v>(28.844643, -82.356517)</v>
      </c>
      <c r="EM29" s="552" t="str">
        <f t="shared" si="3"/>
        <v>&gt;30</v>
      </c>
      <c r="EN29" s="1941" t="str">
        <f t="shared" si="4"/>
        <v/>
      </c>
      <c r="EO29" t="str">
        <f t="shared" si="5"/>
        <v>Citrus - Longwood Gardens</v>
      </c>
      <c r="EP29" s="1941">
        <f t="shared" si="6"/>
        <v>4160.0721009477411</v>
      </c>
      <c r="EQ29" s="1941" t="str">
        <f t="shared" si="7"/>
        <v>No</v>
      </c>
      <c r="ER29" s="1941" t="str">
        <f>VLOOKUP(EB29,Data1!$G$405:$H$471,2)</f>
        <v>Medium</v>
      </c>
      <c r="ET29" s="1941" t="str">
        <f>IF(EU29&gt;0,SUM(EU$13:EU29),"")</f>
        <v/>
      </c>
      <c r="EU29" s="1941">
        <f t="shared" si="8"/>
        <v>0</v>
      </c>
      <c r="EV29" s="1148" t="str">
        <f t="shared" si="9"/>
        <v>Citrus - Longwood Gardens</v>
      </c>
    </row>
    <row r="30" spans="1:152" ht="14.65" customHeight="1">
      <c r="A30" s="339">
        <v>33020</v>
      </c>
      <c r="B30" s="338" t="s">
        <v>289</v>
      </c>
      <c r="E30" s="858"/>
      <c r="F30" s="338">
        <v>20</v>
      </c>
      <c r="G30" s="338" t="s">
        <v>285</v>
      </c>
      <c r="I30" s="338">
        <v>9502.02</v>
      </c>
      <c r="J30" s="338" t="s">
        <v>326</v>
      </c>
      <c r="L30" s="2481">
        <v>18.190000000000001</v>
      </c>
      <c r="M30" s="340" t="s">
        <v>276</v>
      </c>
      <c r="N30" s="1390"/>
      <c r="O30" s="2479"/>
      <c r="P30" s="2282"/>
      <c r="R30" s="341" t="str">
        <f t="array" ref="R30">IFERROR(IF($R$11="Metro",INDEX($F$13:$F$829,SMALL(IF((County=$G$13:$G$829),MATCH(ROW($G$13:$G$829),ROW($G$13:$G$829)),""),ROWS($A$13:A30))),INDEX($I$13:$I$44,SMALL(IF((County=$J$13:$J$44),MATCH(ROW($J$13:$J$44),ROW($J$13:$J$44)),""),ROWS($A$13:A30)))),"")</f>
        <v/>
      </c>
      <c r="T30" s="341" t="str">
        <f t="array" ref="T30">IFERROR(IF($T$11="Yes",INDEX($L$13:$L$2813,SMALL(IF((County=$M$13:$M$2813),MATCH(ROW($M$13:$M$2813),ROW($M$13:$M$2813)),""),ROWS($A$13:A30))),""),"")</f>
        <v/>
      </c>
      <c r="V30" s="2283" t="str">
        <f t="array" ref="V30">IFERROR(IF($T$11="Yes",INDEX($O$14:$O$2811,SMALL(IF((County=$P$14:$P$2811),MATCH(ROW($P$14:$P$2811),ROW($P$14:$P$2811)),""),ROWS($A$13:A30))),""),"")</f>
        <v/>
      </c>
      <c r="X30" s="339">
        <v>32162</v>
      </c>
      <c r="Y30" s="338" t="str">
        <f>IF(County="Sumter","Sumter","Marion")</f>
        <v>Marion</v>
      </c>
      <c r="AA30" s="338">
        <v>2.06</v>
      </c>
      <c r="AB30" s="338" t="s">
        <v>331</v>
      </c>
      <c r="AD30" s="338">
        <v>9502.02</v>
      </c>
      <c r="AE30" s="338" t="s">
        <v>326</v>
      </c>
      <c r="AG30" s="2297">
        <v>1.18</v>
      </c>
      <c r="AH30" s="2297" t="s">
        <v>331</v>
      </c>
      <c r="AI30" s="1390"/>
      <c r="AJ30" s="2282"/>
      <c r="AK30" s="2282"/>
      <c r="AL30" s="1037"/>
      <c r="AM30" s="339">
        <v>33028</v>
      </c>
      <c r="AN30" s="338" t="s">
        <v>289</v>
      </c>
      <c r="AP30" s="338" t="s">
        <v>337</v>
      </c>
      <c r="AQ30" s="858"/>
      <c r="AR30" s="338">
        <v>10</v>
      </c>
      <c r="AS30" s="338" t="s">
        <v>285</v>
      </c>
      <c r="AU30" s="338">
        <v>403</v>
      </c>
      <c r="AV30" s="338" t="s">
        <v>317</v>
      </c>
      <c r="AX30" s="340">
        <v>18.16</v>
      </c>
      <c r="AY30" s="340" t="s">
        <v>276</v>
      </c>
      <c r="BA30" s="341" t="str">
        <f t="array" ref="BA30">IFERROR(IF($BA$11="Metro",INDEX($AR$13:$AR$814,SMALL(IF((County=$AS$13:$AS$814),MATCH(ROW($AS$13:$AS$814),ROW($AS$13:$AS$814)),""),ROWS($A$13:$A30))),INDEX($AU$13:$AU$48,SMALL(IF((County=$AV$13:$AV$48),MATCH(ROW($AV$13:$AV$48),ROW($AV$13:$AV$48)),""),ROWS($A$13:$A30)))),"")</f>
        <v/>
      </c>
      <c r="BC30" s="341" t="str">
        <f t="array" ref="BC30">IFERROR(IF($BC$11="Yes",INDEX($AX$13:$AX$2950,SMALL(IF((County=$AY$13:$AY$2950),MATCH(ROW($AY$13:$AY$2950),ROW($AY$13:$AY$2950)),""),ROWS($A$13:$A30))),""),"")</f>
        <v/>
      </c>
      <c r="BE30" s="339">
        <v>32226</v>
      </c>
      <c r="BF30" s="338" t="s">
        <v>302</v>
      </c>
      <c r="BH30" s="338">
        <v>2.02</v>
      </c>
      <c r="BI30" s="338" t="s">
        <v>316</v>
      </c>
      <c r="BK30" s="338">
        <v>302</v>
      </c>
      <c r="BL30" s="338" t="s">
        <v>300</v>
      </c>
      <c r="BN30" s="340">
        <v>1.2</v>
      </c>
      <c r="BO30" s="340" t="s">
        <v>331</v>
      </c>
      <c r="BP30" s="1385"/>
      <c r="BQ30" s="1386">
        <v>33024</v>
      </c>
      <c r="BR30" s="338" t="s">
        <v>289</v>
      </c>
      <c r="BT30" s="338" t="s">
        <v>337</v>
      </c>
      <c r="BU30" s="858"/>
      <c r="BV30" s="338">
        <v>12.03</v>
      </c>
      <c r="BW30" s="338" t="s">
        <v>276</v>
      </c>
      <c r="BY30" s="338">
        <v>1106.04</v>
      </c>
      <c r="BZ30" s="338" t="s">
        <v>298</v>
      </c>
      <c r="CB30" s="340">
        <v>18.170000000000002</v>
      </c>
      <c r="CC30" s="340" t="s">
        <v>276</v>
      </c>
      <c r="CE30" s="341" t="str">
        <f t="array" ref="CE30">IFERROR(IF($CE$11="Metro",INDEX($BV$13:$BV$4972,SMALL(IF((County=$BW$13:$BW$4972),MATCH(ROW($BW$13:$BW$4972),ROW($BW$13:$BW$4972)),""),ROWS($A$13:$A30))),INDEX($BY$13:$BY$212,SMALL(IF((County=$BZ$13:$BZ$212),MATCH(ROW($BZ$13:$BZ$212),ROW($BZ$13:$BZ$212)),""),ROWS($A$13:$A30)))),"")</f>
        <v/>
      </c>
      <c r="CG30" s="341" t="str">
        <f t="array" ref="CG30">IFERROR(IF($CG$11="Yes",INDEX($CB$13:$CB$2950,SMALL(IF((County=$CC$13:$CC$2950),MATCH(ROW($CC$13:$CC$2950),ROW($CC$13:$CC$2950)),""),ROWS($A$13:$A30))),""),"")</f>
        <v/>
      </c>
      <c r="CI30" s="1387">
        <v>32225</v>
      </c>
      <c r="CJ30" s="338" t="s">
        <v>302</v>
      </c>
      <c r="CL30" s="236">
        <v>1.04</v>
      </c>
      <c r="CM30" s="236" t="s">
        <v>347</v>
      </c>
      <c r="CO30" s="236">
        <v>6.01</v>
      </c>
      <c r="CP30" s="236" t="s">
        <v>313</v>
      </c>
      <c r="CR30" s="340">
        <v>1.21</v>
      </c>
      <c r="CS30" s="340" t="s">
        <v>331</v>
      </c>
      <c r="CT30" s="1384"/>
      <c r="CU30" s="341">
        <v>33029</v>
      </c>
      <c r="CV30" s="338" t="s">
        <v>289</v>
      </c>
      <c r="CX30" s="338" t="s">
        <v>353</v>
      </c>
      <c r="CZ30" s="1795">
        <v>16</v>
      </c>
      <c r="DA30" s="338" t="s">
        <v>285</v>
      </c>
      <c r="DC30" s="1795">
        <v>2106</v>
      </c>
      <c r="DD30" s="338" t="s">
        <v>319</v>
      </c>
      <c r="DF30" s="340">
        <v>18.190000000000001</v>
      </c>
      <c r="DG30" s="340" t="s">
        <v>276</v>
      </c>
      <c r="DI30" s="341" t="str">
        <f t="array" ref="DI30">IFERROR(IF($DI$11="Metro",INDEX($CZ$13:$CZ$929,SMALL(IF((County=$DA$13:$DA$929),MATCH(ROW($DA$13:$DA$929),ROW($DA$13:$DA$929)),""),ROWS($A$13:$A30))),INDEX($DC$13:$DC$212,SMALL(IF((County=$DD$13:$DD$212),MATCH(ROW($DD$13:$DD$212),ROW($DD$13:$DD$212)),""),ROWS($A$13:$A30)))),"")</f>
        <v/>
      </c>
      <c r="DK30" s="341" t="str">
        <f t="array" ref="DK30">IFERROR(IF($DK$11="Yes",INDEX($DF$13:$DF$2838,SMALL(IF((County=$DG$13:$DG$2838),MATCH(ROW($DG$13:$DG$2838),ROW($DG$13:$DG$2838)),""),ROWS($A$13:$A30))),""),"")</f>
        <v/>
      </c>
      <c r="DM30" s="1387">
        <v>32225</v>
      </c>
      <c r="DN30" s="338" t="s">
        <v>302</v>
      </c>
      <c r="DP30" s="236">
        <v>2.02</v>
      </c>
      <c r="DQ30" s="236" t="s">
        <v>316</v>
      </c>
      <c r="DS30" s="1795">
        <v>9502.02</v>
      </c>
      <c r="DT30" s="338" t="s">
        <v>326</v>
      </c>
      <c r="DV30" s="340">
        <v>1.21</v>
      </c>
      <c r="DW30" s="340" t="s">
        <v>331</v>
      </c>
      <c r="DX30" s="1671"/>
      <c r="DY30" s="1796"/>
      <c r="DZ30" s="1796"/>
      <c r="EB30" s="549" t="s">
        <v>296</v>
      </c>
      <c r="EC30" s="553" t="str">
        <f>VLOOKUP(EB30,Data1!$A$405:$H$471,8)</f>
        <v>Medium</v>
      </c>
      <c r="ED30" s="549" t="s">
        <v>3076</v>
      </c>
      <c r="EE30" s="549" t="s">
        <v>3077</v>
      </c>
      <c r="EF30" s="549">
        <v>30.046958</v>
      </c>
      <c r="EG30" s="549">
        <v>-81.778535000000005</v>
      </c>
      <c r="EH30" s="553" t="s">
        <v>633</v>
      </c>
      <c r="EI30" s="553" t="s">
        <v>634</v>
      </c>
      <c r="EJ30" s="550" t="str">
        <f t="shared" si="0"/>
        <v>Clay - Kelli Grove</v>
      </c>
      <c r="EK30" s="561" t="str">
        <f t="shared" si="1"/>
        <v>Elderly Non-ALF</v>
      </c>
      <c r="EL30" s="550" t="str">
        <f t="shared" si="2"/>
        <v>(30.046958, -81.778535)</v>
      </c>
      <c r="EM30" s="552" t="str">
        <f t="shared" si="3"/>
        <v>&gt;30</v>
      </c>
      <c r="EN30" s="1941" t="str">
        <f t="shared" si="4"/>
        <v/>
      </c>
      <c r="EO30" t="str">
        <f t="shared" si="5"/>
        <v>Clay - Kelli Grove</v>
      </c>
      <c r="EP30" s="1941">
        <f t="shared" si="6"/>
        <v>4164.1569915923674</v>
      </c>
      <c r="EQ30" s="1941" t="str">
        <f t="shared" si="7"/>
        <v>No</v>
      </c>
      <c r="ER30" s="1941" t="str">
        <f>VLOOKUP(EB30,Data1!$G$405:$H$471,2)</f>
        <v>Medium</v>
      </c>
      <c r="ET30" s="1941" t="str">
        <f>IF(EU30&gt;0,SUM(EU$13:EU30),"")</f>
        <v/>
      </c>
      <c r="EU30" s="1941">
        <f t="shared" si="8"/>
        <v>0</v>
      </c>
      <c r="EV30" s="1148" t="str">
        <f t="shared" si="9"/>
        <v>Clay - Kelli Grove</v>
      </c>
    </row>
    <row r="31" spans="1:152" ht="14.65" customHeight="1">
      <c r="A31" s="339">
        <v>33021</v>
      </c>
      <c r="B31" s="338" t="s">
        <v>289</v>
      </c>
      <c r="E31" s="858"/>
      <c r="F31" s="338">
        <v>22</v>
      </c>
      <c r="G31" s="338" t="s">
        <v>285</v>
      </c>
      <c r="I31" s="338">
        <v>1103.02</v>
      </c>
      <c r="J31" s="338" t="s">
        <v>327</v>
      </c>
      <c r="L31" s="2481">
        <v>20.010000000000002</v>
      </c>
      <c r="M31" s="340" t="s">
        <v>276</v>
      </c>
      <c r="N31" s="1390"/>
      <c r="O31" s="2479"/>
      <c r="P31" s="2282"/>
      <c r="R31" s="341" t="str">
        <f t="array" ref="R31">IFERROR(IF($R$11="Metro",INDEX($F$13:$F$829,SMALL(IF((County=$G$13:$G$829),MATCH(ROW($G$13:$G$829),ROW($G$13:$G$829)),""),ROWS($A$13:A31))),INDEX($I$13:$I$44,SMALL(IF((County=$J$13:$J$44),MATCH(ROW($J$13:$J$44),ROW($J$13:$J$44)),""),ROWS($A$13:A31)))),"")</f>
        <v/>
      </c>
      <c r="T31" s="341" t="str">
        <f t="array" ref="T31">IFERROR(IF($T$11="Yes",INDEX($L$13:$L$2813,SMALL(IF((County=$M$13:$M$2813),MATCH(ROW($M$13:$M$2813),ROW($M$13:$M$2813)),""),ROWS($A$13:A31))),""),"")</f>
        <v/>
      </c>
      <c r="V31" s="2283" t="str">
        <f t="array" ref="V31">IFERROR(IF($T$11="Yes",INDEX($O$14:$O$2811,SMALL(IF((County=$P$14:$P$2811),MATCH(ROW($P$14:$P$2811),ROW($P$14:$P$2811)),""),ROWS($A$13:A31))),""),"")</f>
        <v/>
      </c>
      <c r="X31" s="339">
        <v>32162</v>
      </c>
      <c r="Y31" s="338" t="str">
        <f>IF(County="Sumter","Marion","Sumter")</f>
        <v>Sumter</v>
      </c>
      <c r="AA31" s="338">
        <v>2.11</v>
      </c>
      <c r="AB31" s="338" t="s">
        <v>331</v>
      </c>
      <c r="AD31" s="338">
        <v>9502.02</v>
      </c>
      <c r="AE31" s="338" t="s">
        <v>345</v>
      </c>
      <c r="AG31" s="2297">
        <v>1.2</v>
      </c>
      <c r="AH31" s="2297" t="s">
        <v>331</v>
      </c>
      <c r="AI31" s="1390"/>
      <c r="AJ31" s="2282"/>
      <c r="AK31" s="2282"/>
      <c r="AL31" s="1037"/>
      <c r="AM31" s="339">
        <v>33029</v>
      </c>
      <c r="AN31" s="338" t="s">
        <v>289</v>
      </c>
      <c r="AP31" s="338" t="s">
        <v>345</v>
      </c>
      <c r="AQ31" s="858"/>
      <c r="AR31" s="338">
        <v>11</v>
      </c>
      <c r="AS31" s="338" t="s">
        <v>285</v>
      </c>
      <c r="AU31" s="338">
        <v>600</v>
      </c>
      <c r="AV31" s="338" t="s">
        <v>319</v>
      </c>
      <c r="AX31" s="340">
        <v>18.170000000000002</v>
      </c>
      <c r="AY31" s="340" t="s">
        <v>276</v>
      </c>
      <c r="BA31" s="341" t="str">
        <f t="array" ref="BA31">IFERROR(IF($BA$11="Metro",INDEX($AR$13:$AR$814,SMALL(IF((County=$AS$13:$AS$814),MATCH(ROW($AS$13:$AS$814),ROW($AS$13:$AS$814)),""),ROWS($A$13:$A31))),INDEX($AU$13:$AU$48,SMALL(IF((County=$AV$13:$AV$48),MATCH(ROW($AV$13:$AV$48),ROW($AV$13:$AV$48)),""),ROWS($A$13:$A31)))),"")</f>
        <v/>
      </c>
      <c r="BC31" s="341" t="str">
        <f t="array" ref="BC31">IFERROR(IF($BC$11="Yes",INDEX($AX$13:$AX$2950,SMALL(IF((County=$AY$13:$AY$2950),MATCH(ROW($AY$13:$AY$2950),ROW($AY$13:$AY$2950)),""),ROWS($A$13:$A31))),""),"")</f>
        <v/>
      </c>
      <c r="BE31" s="339">
        <v>32227</v>
      </c>
      <c r="BF31" s="338" t="s">
        <v>302</v>
      </c>
      <c r="BH31" s="338">
        <v>2.02</v>
      </c>
      <c r="BI31" s="338" t="s">
        <v>329</v>
      </c>
      <c r="BK31" s="338">
        <v>302</v>
      </c>
      <c r="BL31" s="338" t="s">
        <v>312</v>
      </c>
      <c r="BN31" s="340">
        <v>1.21</v>
      </c>
      <c r="BO31" s="340" t="s">
        <v>331</v>
      </c>
      <c r="BP31" s="1385"/>
      <c r="BQ31" s="1386">
        <v>33025</v>
      </c>
      <c r="BR31" s="338" t="s">
        <v>289</v>
      </c>
      <c r="BT31" s="338" t="s">
        <v>345</v>
      </c>
      <c r="BU31" s="858"/>
      <c r="BV31" s="338">
        <v>14</v>
      </c>
      <c r="BW31" s="338" t="s">
        <v>276</v>
      </c>
      <c r="BY31" s="338">
        <v>1107</v>
      </c>
      <c r="BZ31" s="338" t="s">
        <v>298</v>
      </c>
      <c r="CB31" s="340">
        <v>18.190000000000001</v>
      </c>
      <c r="CC31" s="340" t="s">
        <v>276</v>
      </c>
      <c r="CE31" s="341" t="str">
        <f t="array" ref="CE31">IFERROR(IF($CE$11="Metro",INDEX($BV$13:$BV$4972,SMALL(IF((County=$BW$13:$BW$4972),MATCH(ROW($BW$13:$BW$4972),ROW($BW$13:$BW$4972)),""),ROWS($A$13:$A31))),INDEX($BY$13:$BY$212,SMALL(IF((County=$BZ$13:$BZ$212),MATCH(ROW($BZ$13:$BZ$212),ROW($BZ$13:$BZ$212)),""),ROWS($A$13:$A31)))),"")</f>
        <v/>
      </c>
      <c r="CG31" s="341" t="str">
        <f t="array" ref="CG31">IFERROR(IF($CG$11="Yes",INDEX($CB$13:$CB$2950,SMALL(IF((County=$CC$13:$CC$2950),MATCH(ROW($CC$13:$CC$2950),ROW($CC$13:$CC$2950)),""),ROWS($A$13:$A31))),""),"")</f>
        <v/>
      </c>
      <c r="CI31" s="1387">
        <v>32226</v>
      </c>
      <c r="CJ31" s="338" t="s">
        <v>302</v>
      </c>
      <c r="CL31" s="236">
        <v>1.05</v>
      </c>
      <c r="CM31" s="236" t="s">
        <v>328</v>
      </c>
      <c r="CO31" s="236">
        <v>6.02</v>
      </c>
      <c r="CP31" s="236" t="s">
        <v>313</v>
      </c>
      <c r="CR31" s="340">
        <v>1.22</v>
      </c>
      <c r="CS31" s="340" t="s">
        <v>331</v>
      </c>
      <c r="CT31" s="1384"/>
      <c r="CU31" s="341">
        <v>33062</v>
      </c>
      <c r="CV31" s="338" t="s">
        <v>289</v>
      </c>
      <c r="CX31" s="338" t="s">
        <v>358</v>
      </c>
      <c r="CZ31" s="1795">
        <v>17</v>
      </c>
      <c r="DA31" s="338" t="s">
        <v>285</v>
      </c>
      <c r="DC31" s="1795">
        <v>2108</v>
      </c>
      <c r="DD31" s="338" t="s">
        <v>319</v>
      </c>
      <c r="DF31" s="340">
        <v>19.07</v>
      </c>
      <c r="DG31" s="340" t="s">
        <v>276</v>
      </c>
      <c r="DI31" s="341" t="str">
        <f t="array" ref="DI31">IFERROR(IF($DI$11="Metro",INDEX($CZ$13:$CZ$929,SMALL(IF((County=$DA$13:$DA$929),MATCH(ROW($DA$13:$DA$929),ROW($DA$13:$DA$929)),""),ROWS($A$13:$A31))),INDEX($DC$13:$DC$212,SMALL(IF((County=$DD$13:$DD$212),MATCH(ROW($DD$13:$DD$212),ROW($DD$13:$DD$212)),""),ROWS($A$13:$A31)))),"")</f>
        <v/>
      </c>
      <c r="DK31" s="341" t="str">
        <f t="array" ref="DK31">IFERROR(IF($DK$11="Yes",INDEX($DF$13:$DF$2838,SMALL(IF((County=$DG$13:$DG$2838),MATCH(ROW($DG$13:$DG$2838),ROW($DG$13:$DG$2838)),""),ROWS($A$13:$A31))),""),"")</f>
        <v/>
      </c>
      <c r="DM31" s="1387">
        <v>32226</v>
      </c>
      <c r="DN31" s="338" t="s">
        <v>302</v>
      </c>
      <c r="DP31" s="236">
        <v>2.0299999999999998</v>
      </c>
      <c r="DQ31" s="236" t="s">
        <v>328</v>
      </c>
      <c r="DS31" s="1795">
        <v>9502.02</v>
      </c>
      <c r="DT31" s="338" t="s">
        <v>345</v>
      </c>
      <c r="DV31" s="340">
        <v>1.22</v>
      </c>
      <c r="DW31" s="340" t="s">
        <v>331</v>
      </c>
      <c r="DX31" s="1671"/>
      <c r="DY31" s="1796"/>
      <c r="DZ31" s="1796"/>
      <c r="EB31" s="549" t="s">
        <v>297</v>
      </c>
      <c r="EC31" s="553" t="str">
        <f>VLOOKUP(EB31,Data1!$A$405:$H$471,8)</f>
        <v>Medium</v>
      </c>
      <c r="ED31" s="549" t="s">
        <v>2341</v>
      </c>
      <c r="EE31" s="549" t="s">
        <v>2342</v>
      </c>
      <c r="EF31" s="550">
        <v>26.416374000000001</v>
      </c>
      <c r="EG31" s="550">
        <v>-81.428310999999994</v>
      </c>
      <c r="EH31" s="553" t="s">
        <v>635</v>
      </c>
      <c r="EI31" s="553" t="s">
        <v>634</v>
      </c>
      <c r="EJ31" s="550" t="str">
        <f t="shared" si="0"/>
        <v>Collier - Casa San Juan Diego</v>
      </c>
      <c r="EK31" s="561" t="str">
        <f t="shared" si="1"/>
        <v>Family</v>
      </c>
      <c r="EL31" s="550" t="str">
        <f t="shared" si="2"/>
        <v>(26.416374, -81.428311)</v>
      </c>
      <c r="EM31" s="552" t="str">
        <f t="shared" si="3"/>
        <v>&gt;30</v>
      </c>
      <c r="EN31" s="1941" t="str">
        <f t="shared" si="4"/>
        <v/>
      </c>
      <c r="EO31" t="str">
        <f t="shared" si="5"/>
        <v>Collier - Casa San Juan Diego</v>
      </c>
      <c r="EP31" s="1941">
        <f t="shared" si="6"/>
        <v>4112.3923193633418</v>
      </c>
      <c r="EQ31" s="1941" t="str">
        <f t="shared" si="7"/>
        <v>No</v>
      </c>
      <c r="ER31" s="1941" t="str">
        <f>VLOOKUP(EB31,Data1!$G$405:$H$471,2)</f>
        <v>Medium</v>
      </c>
      <c r="ET31" s="1941" t="str">
        <f>IF(EU31&gt;0,SUM(EU$13:EU31),"")</f>
        <v/>
      </c>
      <c r="EU31" s="1941">
        <f t="shared" si="8"/>
        <v>0</v>
      </c>
      <c r="EV31" s="1148" t="str">
        <f t="shared" si="9"/>
        <v>Collier - Casa San Juan Diego</v>
      </c>
    </row>
    <row r="32" spans="1:152" ht="14.65" customHeight="1">
      <c r="A32" s="339">
        <v>33024</v>
      </c>
      <c r="B32" s="338" t="s">
        <v>289</v>
      </c>
      <c r="E32" s="858"/>
      <c r="F32" s="338">
        <v>24</v>
      </c>
      <c r="G32" s="338" t="s">
        <v>285</v>
      </c>
      <c r="I32" s="338">
        <v>9713</v>
      </c>
      <c r="J32" s="338" t="s">
        <v>333</v>
      </c>
      <c r="L32" s="2481">
        <v>21.01</v>
      </c>
      <c r="M32" s="340" t="s">
        <v>276</v>
      </c>
      <c r="N32" s="1390"/>
      <c r="O32" s="2479"/>
      <c r="P32" s="2282"/>
      <c r="R32" s="341" t="str">
        <f t="array" ref="R32">IFERROR(IF($R$11="Metro",INDEX($F$13:$F$829,SMALL(IF((County=$G$13:$G$829),MATCH(ROW($G$13:$G$829),ROW($G$13:$G$829)),""),ROWS($A$13:A32))),INDEX($I$13:$I$44,SMALL(IF((County=$J$13:$J$44),MATCH(ROW($J$13:$J$44),ROW($J$13:$J$44)),""),ROWS($A$13:A32)))),"")</f>
        <v/>
      </c>
      <c r="T32" s="341" t="str">
        <f t="array" ref="T32">IFERROR(IF($T$11="Yes",INDEX($L$13:$L$2813,SMALL(IF((County=$M$13:$M$2813),MATCH(ROW($M$13:$M$2813),ROW($M$13:$M$2813)),""),ROWS($A$13:A32))),""),"")</f>
        <v/>
      </c>
      <c r="V32" s="2283" t="str">
        <f t="array" ref="V32">IFERROR(IF($T$11="Yes",INDEX($O$14:$O$2811,SMALL(IF((County=$P$14:$P$2811),MATCH(ROW($P$14:$P$2811),ROW($P$14:$P$2811)),""),ROWS($A$13:A32))),""),"")</f>
        <v/>
      </c>
      <c r="X32" s="339">
        <v>32163</v>
      </c>
      <c r="Y32" s="338" t="str">
        <f>IF(County="Sumter","Sumter","Lake")</f>
        <v>Lake</v>
      </c>
      <c r="AA32" s="338">
        <v>2.12</v>
      </c>
      <c r="AB32" s="338" t="s">
        <v>331</v>
      </c>
      <c r="AD32" s="338">
        <v>9507</v>
      </c>
      <c r="AE32" s="338" t="s">
        <v>345</v>
      </c>
      <c r="AG32" s="2297">
        <v>1.21</v>
      </c>
      <c r="AH32" s="2297" t="s">
        <v>331</v>
      </c>
      <c r="AI32" s="1390"/>
      <c r="AJ32" s="2282"/>
      <c r="AK32" s="2282"/>
      <c r="AL32" s="1037"/>
      <c r="AM32" s="339">
        <v>33062</v>
      </c>
      <c r="AN32" s="338" t="s">
        <v>289</v>
      </c>
      <c r="AP32" s="338" t="s">
        <v>352</v>
      </c>
      <c r="AQ32" s="858"/>
      <c r="AR32" s="338">
        <v>16</v>
      </c>
      <c r="AS32" s="338" t="s">
        <v>285</v>
      </c>
      <c r="AU32" s="338">
        <v>0</v>
      </c>
      <c r="AV32" s="338" t="s">
        <v>326</v>
      </c>
      <c r="AX32" s="340">
        <v>18.190000000000001</v>
      </c>
      <c r="AY32" s="340" t="s">
        <v>276</v>
      </c>
      <c r="BA32" s="341" t="str">
        <f t="array" ref="BA32">IFERROR(IF($BA$11="Metro",INDEX($AR$13:$AR$814,SMALL(IF((County=$AS$13:$AS$814),MATCH(ROW($AS$13:$AS$814),ROW($AS$13:$AS$814)),""),ROWS($A$13:$A32))),INDEX($AU$13:$AU$48,SMALL(IF((County=$AV$13:$AV$48),MATCH(ROW($AV$13:$AV$48),ROW($AV$13:$AV$48)),""),ROWS($A$13:$A32)))),"")</f>
        <v/>
      </c>
      <c r="BC32" s="341" t="str">
        <f t="array" ref="BC32">IFERROR(IF($BC$11="Yes",INDEX($AX$13:$AX$2950,SMALL(IF((County=$AY$13:$AY$2950),MATCH(ROW($AY$13:$AY$2950),ROW($AY$13:$AY$2950)),""),ROWS($A$13:$A32))),""),"")</f>
        <v/>
      </c>
      <c r="BE32" s="339">
        <v>32228</v>
      </c>
      <c r="BF32" s="338" t="s">
        <v>302</v>
      </c>
      <c r="BH32" s="338">
        <v>2.0299999999999998</v>
      </c>
      <c r="BI32" s="338" t="s">
        <v>328</v>
      </c>
      <c r="BK32" s="338">
        <v>302</v>
      </c>
      <c r="BL32" s="338" t="s">
        <v>327</v>
      </c>
      <c r="BN32" s="340">
        <v>1.22</v>
      </c>
      <c r="BO32" s="340" t="s">
        <v>331</v>
      </c>
      <c r="BP32" s="1385"/>
      <c r="BQ32" s="1386">
        <v>33026</v>
      </c>
      <c r="BR32" s="338" t="s">
        <v>289</v>
      </c>
      <c r="BT32" s="338" t="s">
        <v>352</v>
      </c>
      <c r="BU32" s="858"/>
      <c r="BV32" s="338">
        <v>15.14</v>
      </c>
      <c r="BW32" s="338" t="s">
        <v>276</v>
      </c>
      <c r="BY32" s="338">
        <v>1108</v>
      </c>
      <c r="BZ32" s="338" t="s">
        <v>298</v>
      </c>
      <c r="CB32" s="340">
        <v>21.01</v>
      </c>
      <c r="CC32" s="340" t="s">
        <v>276</v>
      </c>
      <c r="CE32" s="341" t="str">
        <f t="array" ref="CE32">IFERROR(IF($CE$11="Metro",INDEX($BV$13:$BV$4972,SMALL(IF((County=$BW$13:$BW$4972),MATCH(ROW($BW$13:$BW$4972),ROW($BW$13:$BW$4972)),""),ROWS($A$13:$A32))),INDEX($BY$13:$BY$212,SMALL(IF((County=$BZ$13:$BZ$212),MATCH(ROW($BZ$13:$BZ$212),ROW($BZ$13:$BZ$212)),""),ROWS($A$13:$A32)))),"")</f>
        <v/>
      </c>
      <c r="CG32" s="341" t="str">
        <f t="array" ref="CG32">IFERROR(IF($CG$11="Yes",INDEX($CB$13:$CB$2950,SMALL(IF((County=$CC$13:$CC$2950),MATCH(ROW($CC$13:$CC$2950),ROW($CC$13:$CC$2950)),""),ROWS($A$13:$A32))),""),"")</f>
        <v/>
      </c>
      <c r="CI32" s="1387">
        <v>32227</v>
      </c>
      <c r="CJ32" s="338" t="s">
        <v>302</v>
      </c>
      <c r="CL32" s="236">
        <v>1.06</v>
      </c>
      <c r="CM32" s="236" t="s">
        <v>328</v>
      </c>
      <c r="CO32" s="338">
        <v>101</v>
      </c>
      <c r="CP32" s="338" t="s">
        <v>292</v>
      </c>
      <c r="CR32" s="340">
        <v>1.23</v>
      </c>
      <c r="CS32" s="340" t="s">
        <v>331</v>
      </c>
      <c r="CT32" s="1384"/>
      <c r="CU32" s="341">
        <v>33063</v>
      </c>
      <c r="CV32" s="338" t="s">
        <v>289</v>
      </c>
      <c r="CX32" s="1383" t="s">
        <v>2111</v>
      </c>
      <c r="CZ32" s="1795">
        <v>18</v>
      </c>
      <c r="DA32" s="338" t="s">
        <v>285</v>
      </c>
      <c r="DC32" s="1795">
        <v>9502.02</v>
      </c>
      <c r="DD32" s="338" t="s">
        <v>326</v>
      </c>
      <c r="DF32" s="340">
        <v>21.01</v>
      </c>
      <c r="DG32" s="340" t="s">
        <v>276</v>
      </c>
      <c r="DI32" s="341" t="str">
        <f t="array" ref="DI32">IFERROR(IF($DI$11="Metro",INDEX($CZ$13:$CZ$929,SMALL(IF((County=$DA$13:$DA$929),MATCH(ROW($DA$13:$DA$929),ROW($DA$13:$DA$929)),""),ROWS($A$13:$A32))),INDEX($DC$13:$DC$212,SMALL(IF((County=$DD$13:$DD$212),MATCH(ROW($DD$13:$DD$212),ROW($DD$13:$DD$212)),""),ROWS($A$13:$A32)))),"")</f>
        <v/>
      </c>
      <c r="DK32" s="341" t="str">
        <f t="array" ref="DK32">IFERROR(IF($DK$11="Yes",INDEX($DF$13:$DF$2838,SMALL(IF((County=$DG$13:$DG$2838),MATCH(ROW($DG$13:$DG$2838),ROW($DG$13:$DG$2838)),""),ROWS($A$13:$A32))),""),"")</f>
        <v/>
      </c>
      <c r="DM32" s="1387">
        <v>32227</v>
      </c>
      <c r="DN32" s="338" t="s">
        <v>302</v>
      </c>
      <c r="DP32" s="236">
        <v>2.04</v>
      </c>
      <c r="DQ32" s="236" t="s">
        <v>328</v>
      </c>
      <c r="DS32" s="1795">
        <v>9507</v>
      </c>
      <c r="DT32" s="338" t="s">
        <v>345</v>
      </c>
      <c r="DV32" s="340">
        <v>1.23</v>
      </c>
      <c r="DW32" s="340" t="s">
        <v>331</v>
      </c>
      <c r="DX32" s="1671"/>
      <c r="DY32" s="1796"/>
      <c r="DZ32" s="1796"/>
      <c r="EB32" s="549" t="s">
        <v>297</v>
      </c>
      <c r="EC32" s="553" t="str">
        <f>VLOOKUP(EB32,Data1!$A$405:$H$471,8)</f>
        <v>Medium</v>
      </c>
      <c r="ED32" s="549" t="s">
        <v>3078</v>
      </c>
      <c r="EE32" s="549" t="s">
        <v>2343</v>
      </c>
      <c r="EF32" s="556">
        <v>26.053602999999999</v>
      </c>
      <c r="EG32" s="557">
        <v>-81.699196999999998</v>
      </c>
      <c r="EH32" s="553" t="s">
        <v>635</v>
      </c>
      <c r="EI32" s="552" t="s">
        <v>634</v>
      </c>
      <c r="EJ32" s="550" t="str">
        <f t="shared" si="0"/>
        <v>Collier - Ekos on Collier</v>
      </c>
      <c r="EK32" s="561" t="str">
        <f t="shared" si="1"/>
        <v>Family</v>
      </c>
      <c r="EL32" s="550" t="str">
        <f t="shared" si="2"/>
        <v>(26.053603, -81.699197)</v>
      </c>
      <c r="EM32" s="552" t="str">
        <f t="shared" si="3"/>
        <v>&gt;30</v>
      </c>
      <c r="EN32" s="1941" t="str">
        <f t="shared" si="4"/>
        <v/>
      </c>
      <c r="EO32" t="str">
        <f t="shared" si="5"/>
        <v>Collier - Ekos on Collier</v>
      </c>
      <c r="EP32" s="1941">
        <f t="shared" si="6"/>
        <v>4113.8154157600011</v>
      </c>
      <c r="EQ32" s="1941" t="str">
        <f t="shared" si="7"/>
        <v>No</v>
      </c>
      <c r="ER32" s="1941" t="str">
        <f>VLOOKUP(EB32,Data1!$G$405:$H$471,2)</f>
        <v>Medium</v>
      </c>
      <c r="ET32" s="1941" t="str">
        <f>IF(EU32&gt;0,SUM(EU$13:EU32),"")</f>
        <v/>
      </c>
      <c r="EU32" s="1941">
        <f t="shared" si="8"/>
        <v>0</v>
      </c>
      <c r="EV32" s="1148" t="str">
        <f t="shared" si="9"/>
        <v>Collier - Ekos on Collier</v>
      </c>
    </row>
    <row r="33" spans="1:152" ht="14.65" customHeight="1">
      <c r="A33" s="339">
        <v>33025</v>
      </c>
      <c r="B33" s="338" t="s">
        <v>289</v>
      </c>
      <c r="E33" s="858"/>
      <c r="F33" s="338">
        <v>607</v>
      </c>
      <c r="G33" s="338" t="s">
        <v>288</v>
      </c>
      <c r="I33" s="338">
        <v>9724</v>
      </c>
      <c r="J33" s="338" t="s">
        <v>333</v>
      </c>
      <c r="L33" s="2481">
        <v>21.02</v>
      </c>
      <c r="M33" s="340" t="s">
        <v>276</v>
      </c>
      <c r="N33" s="1390"/>
      <c r="O33" s="2479"/>
      <c r="P33" s="2282"/>
      <c r="R33" s="341" t="str">
        <f t="array" ref="R33">IFERROR(IF($R$11="Metro",INDEX($F$13:$F$829,SMALL(IF((County=$G$13:$G$829),MATCH(ROW($G$13:$G$829),ROW($G$13:$G$829)),""),ROWS($A$13:A33))),INDEX($I$13:$I$44,SMALL(IF((County=$J$13:$J$44),MATCH(ROW($J$13:$J$44),ROW($J$13:$J$44)),""),ROWS($A$13:A33)))),"")</f>
        <v/>
      </c>
      <c r="T33" s="341" t="str">
        <f t="array" ref="T33">IFERROR(IF($T$11="Yes",INDEX($L$13:$L$2813,SMALL(IF((County=$M$13:$M$2813),MATCH(ROW($M$13:$M$2813),ROW($M$13:$M$2813)),""),ROWS($A$13:A33))),""),"")</f>
        <v/>
      </c>
      <c r="V33" s="2283" t="str">
        <f t="array" ref="V33">IFERROR(IF($T$11="Yes",INDEX($O$14:$O$2811,SMALL(IF((County=$P$14:$P$2811),MATCH(ROW($P$14:$P$2811),ROW($P$14:$P$2811)),""),ROWS($A$13:A33))),""),"")</f>
        <v/>
      </c>
      <c r="X33" s="339">
        <v>32163</v>
      </c>
      <c r="Y33" s="338" t="str">
        <f>IF(County="Sumter","Lake","Sumter")</f>
        <v>Sumter</v>
      </c>
      <c r="AA33" s="338">
        <v>2.1800000000000002</v>
      </c>
      <c r="AB33" s="338" t="s">
        <v>331</v>
      </c>
      <c r="AD33" s="338">
        <v>9508</v>
      </c>
      <c r="AE33" s="338" t="s">
        <v>345</v>
      </c>
      <c r="AG33" s="2297">
        <v>1.22</v>
      </c>
      <c r="AH33" s="2297" t="s">
        <v>331</v>
      </c>
      <c r="AI33" s="1390"/>
      <c r="AJ33" s="2282"/>
      <c r="AK33" s="2282"/>
      <c r="AL33" s="1037"/>
      <c r="AM33" s="339">
        <v>33063</v>
      </c>
      <c r="AN33" s="338" t="s">
        <v>289</v>
      </c>
      <c r="AP33" s="338" t="s">
        <v>353</v>
      </c>
      <c r="AQ33" s="858"/>
      <c r="AR33" s="338">
        <v>18</v>
      </c>
      <c r="AS33" s="338" t="s">
        <v>285</v>
      </c>
      <c r="AU33" s="338">
        <v>200</v>
      </c>
      <c r="AV33" s="338" t="s">
        <v>327</v>
      </c>
      <c r="AX33" s="340">
        <v>22.01</v>
      </c>
      <c r="AY33" s="340" t="s">
        <v>276</v>
      </c>
      <c r="BA33" s="341" t="str">
        <f t="array" ref="BA33">IFERROR(IF($BA$11="Metro",INDEX($AR$13:$AR$814,SMALL(IF((County=$AS$13:$AS$814),MATCH(ROW($AS$13:$AS$814),ROW($AS$13:$AS$814)),""),ROWS($A$13:$A33))),INDEX($AU$13:$AU$48,SMALL(IF((County=$AV$13:$AV$48),MATCH(ROW($AV$13:$AV$48),ROW($AV$13:$AV$48)),""),ROWS($A$13:$A33)))),"")</f>
        <v/>
      </c>
      <c r="BC33" s="341" t="str">
        <f t="array" ref="BC33">IFERROR(IF($BC$11="Yes",INDEX($AX$13:$AX$2950,SMALL(IF((County=$AY$13:$AY$2950),MATCH(ROW($AY$13:$AY$2950),ROW($AY$13:$AY$2950)),""),ROWS($A$13:$A33))),""),"")</f>
        <v/>
      </c>
      <c r="BE33" s="339">
        <v>32250</v>
      </c>
      <c r="BF33" s="338" t="s">
        <v>302</v>
      </c>
      <c r="BH33" s="338">
        <v>2.0299999999999998</v>
      </c>
      <c r="BI33" s="338" t="s">
        <v>329</v>
      </c>
      <c r="BK33" s="338">
        <v>302</v>
      </c>
      <c r="BL33" s="338" t="s">
        <v>353</v>
      </c>
      <c r="BN33" s="340">
        <v>1.23</v>
      </c>
      <c r="BO33" s="340" t="s">
        <v>331</v>
      </c>
      <c r="BP33" s="1385"/>
      <c r="BQ33" s="1386">
        <v>33027</v>
      </c>
      <c r="BR33" s="338" t="s">
        <v>289</v>
      </c>
      <c r="BT33" s="338" t="s">
        <v>353</v>
      </c>
      <c r="BU33" s="858"/>
      <c r="BV33" s="338">
        <v>15.15</v>
      </c>
      <c r="BW33" s="338" t="s">
        <v>276</v>
      </c>
      <c r="BY33" s="338">
        <v>1109.01</v>
      </c>
      <c r="BZ33" s="338" t="s">
        <v>298</v>
      </c>
      <c r="CB33" s="340">
        <v>22.01</v>
      </c>
      <c r="CC33" s="340" t="s">
        <v>276</v>
      </c>
      <c r="CE33" s="341" t="str">
        <f t="array" ref="CE33">IFERROR(IF($CE$11="Metro",INDEX($BV$13:$BV$4972,SMALL(IF((County=$BW$13:$BW$4972),MATCH(ROW($BW$13:$BW$4972),ROW($BW$13:$BW$4972)),""),ROWS($A$13:$A33))),INDEX($BY$13:$BY$212,SMALL(IF((County=$BZ$13:$BZ$212),MATCH(ROW($BZ$13:$BZ$212),ROW($BZ$13:$BZ$212)),""),ROWS($A$13:$A33)))),"")</f>
        <v/>
      </c>
      <c r="CG33" s="341" t="str">
        <f t="array" ref="CG33">IFERROR(IF($CG$11="Yes",INDEX($CB$13:$CB$2950,SMALL(IF((County=$CC$13:$CC$2950),MATCH(ROW($CC$13:$CC$2950),ROW($CC$13:$CC$2950)),""),ROWS($A$13:$A33))),""),"")</f>
        <v/>
      </c>
      <c r="CI33" s="1387">
        <v>32250</v>
      </c>
      <c r="CJ33" s="338" t="s">
        <v>302</v>
      </c>
      <c r="CL33" s="236">
        <v>1.07</v>
      </c>
      <c r="CM33" s="236" t="s">
        <v>331</v>
      </c>
      <c r="CO33" s="338">
        <v>101.01</v>
      </c>
      <c r="CP33" s="338" t="s">
        <v>300</v>
      </c>
      <c r="CR33" s="340">
        <v>1.26</v>
      </c>
      <c r="CS33" s="340" t="s">
        <v>331</v>
      </c>
      <c r="CT33" s="1384"/>
      <c r="CU33" s="341">
        <v>33064</v>
      </c>
      <c r="CV33" s="338" t="s">
        <v>289</v>
      </c>
      <c r="CZ33" s="1795">
        <v>20</v>
      </c>
      <c r="DA33" s="338" t="s">
        <v>285</v>
      </c>
      <c r="DC33" s="1795">
        <v>1102</v>
      </c>
      <c r="DD33" s="338" t="s">
        <v>327</v>
      </c>
      <c r="DF33" s="340">
        <v>21.02</v>
      </c>
      <c r="DG33" s="340" t="s">
        <v>276</v>
      </c>
      <c r="DI33" s="341" t="str">
        <f t="array" ref="DI33">IFERROR(IF($DI$11="Metro",INDEX($CZ$13:$CZ$929,SMALL(IF((County=$DA$13:$DA$929),MATCH(ROW($DA$13:$DA$929),ROW($DA$13:$DA$929)),""),ROWS($A$13:$A33))),INDEX($DC$13:$DC$212,SMALL(IF((County=$DD$13:$DD$212),MATCH(ROW($DD$13:$DD$212),ROW($DD$13:$DD$212)),""),ROWS($A$13:$A33)))),"")</f>
        <v/>
      </c>
      <c r="DK33" s="341" t="str">
        <f t="array" ref="DK33">IFERROR(IF($DK$11="Yes",INDEX($DF$13:$DF$2838,SMALL(IF((County=$DG$13:$DG$2838),MATCH(ROW($DG$13:$DG$2838),ROW($DG$13:$DG$2838)),""),ROWS($A$13:$A33))),""),"")</f>
        <v/>
      </c>
      <c r="DM33" s="1387">
        <v>32228</v>
      </c>
      <c r="DN33" s="338" t="s">
        <v>302</v>
      </c>
      <c r="DP33" s="236">
        <v>2.06</v>
      </c>
      <c r="DQ33" s="236" t="s">
        <v>331</v>
      </c>
      <c r="DS33" s="1795">
        <v>9508</v>
      </c>
      <c r="DT33" s="338" t="s">
        <v>345</v>
      </c>
      <c r="DV33" s="340">
        <v>1.26</v>
      </c>
      <c r="DW33" s="340" t="s">
        <v>331</v>
      </c>
      <c r="DX33" s="1671"/>
      <c r="DY33" s="1796"/>
      <c r="DZ33" s="1796"/>
      <c r="EB33" s="554" t="s">
        <v>298</v>
      </c>
      <c r="EC33" s="553" t="str">
        <f>VLOOKUP(EB33,Data1!$A$405:$H$471,8)</f>
        <v>Small</v>
      </c>
      <c r="ED33" s="554" t="s">
        <v>3079</v>
      </c>
      <c r="EE33" s="549" t="s">
        <v>2344</v>
      </c>
      <c r="EF33" s="549">
        <v>30.196731</v>
      </c>
      <c r="EG33" s="549">
        <v>-82.633733000000007</v>
      </c>
      <c r="EH33" s="553" t="s">
        <v>635</v>
      </c>
      <c r="EI33" s="555" t="s">
        <v>634</v>
      </c>
      <c r="EJ33" s="550" t="str">
        <f t="shared" si="0"/>
        <v>Columbia - Sweetwater Apartments Phase II</v>
      </c>
      <c r="EK33" s="561" t="str">
        <f t="shared" si="1"/>
        <v>Family</v>
      </c>
      <c r="EL33" s="550" t="str">
        <f t="shared" si="2"/>
        <v>(30.196731, -82.633733)</v>
      </c>
      <c r="EM33" s="552" t="str">
        <f t="shared" si="3"/>
        <v>&gt;30</v>
      </c>
      <c r="EN33" s="1941" t="str">
        <f t="shared" si="4"/>
        <v/>
      </c>
      <c r="EO33" t="str">
        <f t="shared" si="5"/>
        <v>Columbia - Sweetwater Apartments Phase II</v>
      </c>
      <c r="EP33" s="1941">
        <f t="shared" si="6"/>
        <v>4182.6375102503089</v>
      </c>
      <c r="EQ33" s="1941" t="str">
        <f t="shared" si="7"/>
        <v>No</v>
      </c>
      <c r="ER33" s="1941" t="str">
        <f>VLOOKUP(EB33,Data1!$G$405:$H$471,2)</f>
        <v>Small</v>
      </c>
      <c r="ET33" s="1941" t="str">
        <f>IF(EU33&gt;0,SUM(EU$13:EU33),"")</f>
        <v/>
      </c>
      <c r="EU33" s="1941">
        <f t="shared" si="8"/>
        <v>0</v>
      </c>
      <c r="EV33" s="1148" t="str">
        <f t="shared" si="9"/>
        <v>Columbia - Sweetwater Apartments Phase II</v>
      </c>
    </row>
    <row r="34" spans="1:152" ht="14.65" customHeight="1">
      <c r="A34" s="339">
        <v>33026</v>
      </c>
      <c r="B34" s="338" t="s">
        <v>289</v>
      </c>
      <c r="E34" s="858"/>
      <c r="F34" s="338">
        <v>621.14</v>
      </c>
      <c r="G34" s="338" t="s">
        <v>288</v>
      </c>
      <c r="I34" s="338">
        <v>9103</v>
      </c>
      <c r="J34" s="338" t="s">
        <v>337</v>
      </c>
      <c r="L34" s="2481">
        <v>22.01</v>
      </c>
      <c r="M34" s="340" t="s">
        <v>276</v>
      </c>
      <c r="N34" s="1390"/>
      <c r="O34" s="2479"/>
      <c r="P34" s="2282"/>
      <c r="R34" s="341" t="str">
        <f t="array" ref="R34">IFERROR(IF($R$11="Metro",INDEX($F$13:$F$829,SMALL(IF((County=$G$13:$G$829),MATCH(ROW($G$13:$G$829),ROW($G$13:$G$829)),""),ROWS($A$13:A34))),INDEX($I$13:$I$44,SMALL(IF((County=$J$13:$J$44),MATCH(ROW($J$13:$J$44),ROW($J$13:$J$44)),""),ROWS($A$13:A34)))),"")</f>
        <v/>
      </c>
      <c r="T34" s="341" t="str">
        <f t="array" ref="T34">IFERROR(IF($T$11="Yes",INDEX($L$13:$L$2813,SMALL(IF((County=$M$13:$M$2813),MATCH(ROW($M$13:$M$2813),ROW($M$13:$M$2813)),""),ROWS($A$13:A34))),""),"")</f>
        <v/>
      </c>
      <c r="V34" s="2283" t="str">
        <f t="array" ref="V34">IFERROR(IF($T$11="Yes",INDEX($O$14:$O$2811,SMALL(IF((County=$P$14:$P$2811),MATCH(ROW($P$14:$P$2811),ROW($P$14:$P$2811)),""),ROWS($A$13:A34))),""),"")</f>
        <v/>
      </c>
      <c r="X34" s="339">
        <v>32168</v>
      </c>
      <c r="Y34" s="338" t="s">
        <v>355</v>
      </c>
      <c r="AA34" s="338">
        <v>2.19</v>
      </c>
      <c r="AB34" s="338" t="s">
        <v>331</v>
      </c>
      <c r="AD34" s="338">
        <v>9509</v>
      </c>
      <c r="AE34" s="338" t="s">
        <v>345</v>
      </c>
      <c r="AG34" s="2297">
        <v>1.23</v>
      </c>
      <c r="AH34" s="2297" t="s">
        <v>331</v>
      </c>
      <c r="AI34" s="1390"/>
      <c r="AJ34" s="2282"/>
      <c r="AK34" s="2282"/>
      <c r="AL34" s="1037"/>
      <c r="AM34" s="339">
        <v>33067</v>
      </c>
      <c r="AN34" s="338" t="s">
        <v>289</v>
      </c>
      <c r="AP34" s="338" t="s">
        <v>354</v>
      </c>
      <c r="AQ34" s="858"/>
      <c r="AR34" s="338">
        <v>20</v>
      </c>
      <c r="AS34" s="338" t="s">
        <v>285</v>
      </c>
      <c r="AU34" s="338">
        <v>302</v>
      </c>
      <c r="AV34" s="338" t="s">
        <v>327</v>
      </c>
      <c r="AX34" s="340">
        <v>22.02</v>
      </c>
      <c r="AY34" s="340" t="s">
        <v>276</v>
      </c>
      <c r="BA34" s="341" t="str">
        <f t="array" ref="BA34">IFERROR(IF($BA$11="Metro",INDEX($AR$13:$AR$814,SMALL(IF((County=$AS$13:$AS$814),MATCH(ROW($AS$13:$AS$814),ROW($AS$13:$AS$814)),""),ROWS($A$13:$A34))),INDEX($AU$13:$AU$48,SMALL(IF((County=$AV$13:$AV$48),MATCH(ROW($AV$13:$AV$48),ROW($AV$13:$AV$48)),""),ROWS($A$13:$A34)))),"")</f>
        <v/>
      </c>
      <c r="BC34" s="341" t="str">
        <f t="array" ref="BC34">IFERROR(IF($BC$11="Yes",INDEX($AX$13:$AX$2950,SMALL(IF((County=$AY$13:$AY$2950),MATCH(ROW($AY$13:$AY$2950),ROW($AY$13:$AY$2950)),""),ROWS($A$13:$A34))),""),"")</f>
        <v/>
      </c>
      <c r="BE34" s="339">
        <v>32256</v>
      </c>
      <c r="BF34" s="338" t="s">
        <v>302</v>
      </c>
      <c r="BH34" s="338">
        <v>2.0299999999999998</v>
      </c>
      <c r="BI34" s="338" t="s">
        <v>341</v>
      </c>
      <c r="BK34" s="338">
        <v>302</v>
      </c>
      <c r="BL34" s="338" t="s">
        <v>358</v>
      </c>
      <c r="BN34" s="340">
        <v>1.25</v>
      </c>
      <c r="BO34" s="340" t="s">
        <v>331</v>
      </c>
      <c r="BP34" s="1385"/>
      <c r="BQ34" s="1386">
        <v>33028</v>
      </c>
      <c r="BR34" s="338" t="s">
        <v>289</v>
      </c>
      <c r="BT34" s="338" t="s">
        <v>354</v>
      </c>
      <c r="BU34" s="858"/>
      <c r="BV34" s="338">
        <v>15.16</v>
      </c>
      <c r="BW34" s="338" t="s">
        <v>276</v>
      </c>
      <c r="BY34" s="338">
        <v>1109.03</v>
      </c>
      <c r="BZ34" s="338" t="s">
        <v>298</v>
      </c>
      <c r="CB34" s="340">
        <v>22.02</v>
      </c>
      <c r="CC34" s="340" t="s">
        <v>276</v>
      </c>
      <c r="CE34" s="341" t="str">
        <f t="array" ref="CE34">IFERROR(IF($CE$11="Metro",INDEX($BV$13:$BV$4972,SMALL(IF((County=$BW$13:$BW$4972),MATCH(ROW($BW$13:$BW$4972),ROW($BW$13:$BW$4972)),""),ROWS($A$13:$A34))),INDEX($BY$13:$BY$212,SMALL(IF((County=$BZ$13:$BZ$212),MATCH(ROW($BZ$13:$BZ$212),ROW($BZ$13:$BZ$212)),""),ROWS($A$13:$A34)))),"")</f>
        <v/>
      </c>
      <c r="CG34" s="341" t="str">
        <f t="array" ref="CG34">IFERROR(IF($CG$11="Yes",INDEX($CB$13:$CB$2950,SMALL(IF((County=$CC$13:$CC$2950),MATCH(ROW($CC$13:$CC$2950),ROW($CC$13:$CC$2950)),""),ROWS($A$13:$A34))),""),"")</f>
        <v/>
      </c>
      <c r="CI34" s="1387">
        <v>32258</v>
      </c>
      <c r="CJ34" s="338" t="s">
        <v>302</v>
      </c>
      <c r="CL34" s="236">
        <v>1.0900000000000001</v>
      </c>
      <c r="CM34" s="236" t="s">
        <v>331</v>
      </c>
      <c r="CO34" s="338">
        <v>101.02</v>
      </c>
      <c r="CP34" s="338" t="s">
        <v>300</v>
      </c>
      <c r="CR34" s="340">
        <v>1.27</v>
      </c>
      <c r="CS34" s="340" t="s">
        <v>331</v>
      </c>
      <c r="CT34" s="1384"/>
      <c r="CU34" s="341">
        <v>33065</v>
      </c>
      <c r="CV34" s="338" t="s">
        <v>289</v>
      </c>
      <c r="CZ34" s="1795">
        <v>22</v>
      </c>
      <c r="DA34" s="338" t="s">
        <v>285</v>
      </c>
      <c r="DC34" s="1795">
        <v>1103.02</v>
      </c>
      <c r="DD34" s="338" t="s">
        <v>327</v>
      </c>
      <c r="DF34" s="340">
        <v>22.01</v>
      </c>
      <c r="DG34" s="340" t="s">
        <v>276</v>
      </c>
      <c r="DI34" s="341" t="str">
        <f t="array" ref="DI34">IFERROR(IF($DI$11="Metro",INDEX($CZ$13:$CZ$929,SMALL(IF((County=$DA$13:$DA$929),MATCH(ROW($DA$13:$DA$929),ROW($DA$13:$DA$929)),""),ROWS($A$13:$A34))),INDEX($DC$13:$DC$212,SMALL(IF((County=$DD$13:$DD$212),MATCH(ROW($DD$13:$DD$212),ROW($DD$13:$DD$212)),""),ROWS($A$13:$A34)))),"")</f>
        <v/>
      </c>
      <c r="DK34" s="341" t="str">
        <f t="array" ref="DK34">IFERROR(IF($DK$11="Yes",INDEX($DF$13:$DF$2838,SMALL(IF((County=$DG$13:$DG$2838),MATCH(ROW($DG$13:$DG$2838),ROW($DG$13:$DG$2838)),""),ROWS($A$13:$A34))),""),"")</f>
        <v/>
      </c>
      <c r="DM34" s="1387">
        <v>32246</v>
      </c>
      <c r="DN34" s="338" t="s">
        <v>302</v>
      </c>
      <c r="DP34" s="236">
        <v>2.12</v>
      </c>
      <c r="DQ34" s="236" t="s">
        <v>331</v>
      </c>
      <c r="DS34" s="1795">
        <v>9509</v>
      </c>
      <c r="DT34" s="338" t="s">
        <v>345</v>
      </c>
      <c r="DV34" s="340">
        <v>1.27</v>
      </c>
      <c r="DW34" s="340" t="s">
        <v>331</v>
      </c>
      <c r="DX34" s="1671"/>
      <c r="DY34" s="1796"/>
      <c r="DZ34" s="1796"/>
      <c r="EB34" s="549" t="s">
        <v>300</v>
      </c>
      <c r="EC34" s="553" t="str">
        <f>VLOOKUP(EB34,Data1!$A$405:$H$471,8)</f>
        <v>Small</v>
      </c>
      <c r="ED34" s="549" t="s">
        <v>3080</v>
      </c>
      <c r="EE34" s="549" t="s">
        <v>3081</v>
      </c>
      <c r="EF34" s="550">
        <v>27.207775999999999</v>
      </c>
      <c r="EG34" s="550">
        <v>-81.860049000000004</v>
      </c>
      <c r="EH34" s="553" t="s">
        <v>633</v>
      </c>
      <c r="EI34" s="552" t="s">
        <v>634</v>
      </c>
      <c r="EJ34" s="550" t="str">
        <f t="shared" si="0"/>
        <v>DeSoto - Serenity at Arcadia</v>
      </c>
      <c r="EK34" s="561" t="str">
        <f t="shared" si="1"/>
        <v>Elderly Non-ALF</v>
      </c>
      <c r="EL34" s="550" t="str">
        <f t="shared" si="2"/>
        <v>(27.207776, -81.860049)</v>
      </c>
      <c r="EM34" s="552" t="str">
        <f t="shared" si="3"/>
        <v>&gt;30</v>
      </c>
      <c r="EN34" s="1941" t="str">
        <f t="shared" si="4"/>
        <v/>
      </c>
      <c r="EO34" t="str">
        <f t="shared" si="5"/>
        <v>DeSoto - Serenity at Arcadia</v>
      </c>
      <c r="EP34" s="1941">
        <f t="shared" si="6"/>
        <v>4130.3892803457693</v>
      </c>
      <c r="EQ34" s="1941" t="str">
        <f t="shared" si="7"/>
        <v>No</v>
      </c>
      <c r="ER34" s="1941" t="str">
        <f>VLOOKUP(EB34,Data1!$G$405:$H$471,2)</f>
        <v>Small</v>
      </c>
      <c r="ET34" s="1941" t="str">
        <f>IF(EU34&gt;0,SUM(EU$13:EU34),"")</f>
        <v/>
      </c>
      <c r="EU34" s="1941">
        <f t="shared" si="8"/>
        <v>0</v>
      </c>
      <c r="EV34" s="1148" t="str">
        <f t="shared" si="9"/>
        <v>DeSoto - Serenity at Arcadia</v>
      </c>
    </row>
    <row r="35" spans="1:152" ht="14.65" customHeight="1">
      <c r="A35" s="339">
        <v>33027</v>
      </c>
      <c r="B35" s="338" t="s">
        <v>289</v>
      </c>
      <c r="E35" s="858"/>
      <c r="F35" s="338">
        <v>623.02</v>
      </c>
      <c r="G35" s="338" t="s">
        <v>288</v>
      </c>
      <c r="I35" s="338">
        <v>9104.02</v>
      </c>
      <c r="J35" s="338" t="s">
        <v>337</v>
      </c>
      <c r="L35" s="2481">
        <v>22.02</v>
      </c>
      <c r="M35" s="340" t="s">
        <v>276</v>
      </c>
      <c r="N35" s="1390"/>
      <c r="O35" s="2479"/>
      <c r="P35" s="2282"/>
      <c r="R35" s="341" t="str">
        <f t="array" ref="R35">IFERROR(IF($R$11="Metro",INDEX($F$13:$F$829,SMALL(IF((County=$G$13:$G$829),MATCH(ROW($G$13:$G$829),ROW($G$13:$G$829)),""),ROWS($A$13:A35))),INDEX($I$13:$I$44,SMALL(IF((County=$J$13:$J$44),MATCH(ROW($J$13:$J$44),ROW($J$13:$J$44)),""),ROWS($A$13:A35)))),"")</f>
        <v/>
      </c>
      <c r="T35" s="341" t="str">
        <f t="array" ref="T35">IFERROR(IF($T$11="Yes",INDEX($L$13:$L$2813,SMALL(IF((County=$M$13:$M$2813),MATCH(ROW($M$13:$M$2813),ROW($M$13:$M$2813)),""),ROWS($A$13:A35))),""),"")</f>
        <v/>
      </c>
      <c r="V35" s="2283" t="str">
        <f t="array" ref="V35">IFERROR(IF($T$11="Yes",INDEX($O$14:$O$2811,SMALL(IF((County=$P$14:$P$2811),MATCH(ROW($P$14:$P$2811),ROW($P$14:$P$2811)),""),ROWS($A$13:A35))),""),"")</f>
        <v/>
      </c>
      <c r="X35" s="339">
        <v>32169</v>
      </c>
      <c r="Y35" s="338" t="s">
        <v>355</v>
      </c>
      <c r="AA35" s="338">
        <v>2.2200000000000002</v>
      </c>
      <c r="AB35" s="338" t="s">
        <v>331</v>
      </c>
      <c r="AD35" s="338">
        <v>9512</v>
      </c>
      <c r="AE35" s="338" t="s">
        <v>345</v>
      </c>
      <c r="AG35" s="2297">
        <v>1.27</v>
      </c>
      <c r="AH35" s="2297" t="s">
        <v>331</v>
      </c>
      <c r="AI35" s="1390"/>
      <c r="AJ35" s="2282"/>
      <c r="AK35" s="2282"/>
      <c r="AL35" s="1037"/>
      <c r="AM35" s="339">
        <v>33068</v>
      </c>
      <c r="AN35" s="338" t="s">
        <v>289</v>
      </c>
      <c r="AP35" s="338" t="s">
        <v>358</v>
      </c>
      <c r="AQ35" s="858"/>
      <c r="AR35" s="338">
        <v>22</v>
      </c>
      <c r="AS35" s="338" t="s">
        <v>285</v>
      </c>
      <c r="AU35" s="338">
        <v>402</v>
      </c>
      <c r="AV35" s="338" t="s">
        <v>337</v>
      </c>
      <c r="AX35" s="340">
        <v>22.04</v>
      </c>
      <c r="AY35" s="340" t="s">
        <v>276</v>
      </c>
      <c r="BA35" s="341" t="str">
        <f t="array" ref="BA35">IFERROR(IF($BA$11="Metro",INDEX($AR$13:$AR$814,SMALL(IF((County=$AS$13:$AS$814),MATCH(ROW($AS$13:$AS$814),ROW($AS$13:$AS$814)),""),ROWS($A$13:$A35))),INDEX($AU$13:$AU$48,SMALL(IF((County=$AV$13:$AV$48),MATCH(ROW($AV$13:$AV$48),ROW($AV$13:$AV$48)),""),ROWS($A$13:$A35)))),"")</f>
        <v/>
      </c>
      <c r="BC35" s="341" t="str">
        <f t="array" ref="BC35">IFERROR(IF($BC$11="Yes",INDEX($AX$13:$AX$2950,SMALL(IF((County=$AY$13:$AY$2950),MATCH(ROW($AY$13:$AY$2950),ROW($AY$13:$AY$2950)),""),ROWS($A$13:$A35))),""),"")</f>
        <v/>
      </c>
      <c r="BE35" s="339">
        <v>32258</v>
      </c>
      <c r="BF35" s="338" t="s">
        <v>302</v>
      </c>
      <c r="BH35" s="338">
        <v>2.04</v>
      </c>
      <c r="BI35" s="338" t="s">
        <v>328</v>
      </c>
      <c r="BK35" s="338">
        <v>400</v>
      </c>
      <c r="BL35" s="338" t="s">
        <v>298</v>
      </c>
      <c r="BN35" s="340">
        <v>1.26</v>
      </c>
      <c r="BO35" s="340" t="s">
        <v>331</v>
      </c>
      <c r="BP35" s="1385"/>
      <c r="BQ35" s="1386">
        <v>33029</v>
      </c>
      <c r="BR35" s="338" t="s">
        <v>289</v>
      </c>
      <c r="BT35" s="338" t="s">
        <v>358</v>
      </c>
      <c r="BU35" s="858"/>
      <c r="BV35" s="338">
        <v>15.17</v>
      </c>
      <c r="BW35" s="338" t="s">
        <v>276</v>
      </c>
      <c r="BY35" s="338">
        <v>1109.04</v>
      </c>
      <c r="BZ35" s="338" t="s">
        <v>298</v>
      </c>
      <c r="CB35" s="340">
        <v>22.04</v>
      </c>
      <c r="CC35" s="340" t="s">
        <v>276</v>
      </c>
      <c r="CE35" s="341" t="str">
        <f t="array" ref="CE35">IFERROR(IF($CE$11="Metro",INDEX($BV$13:$BV$4972,SMALL(IF((County=$BW$13:$BW$4972),MATCH(ROW($BW$13:$BW$4972),ROW($BW$13:$BW$4972)),""),ROWS($A$13:$A35))),INDEX($BY$13:$BY$212,SMALL(IF((County=$BZ$13:$BZ$212),MATCH(ROW($BZ$13:$BZ$212),ROW($BZ$13:$BZ$212)),""),ROWS($A$13:$A35)))),"")</f>
        <v/>
      </c>
      <c r="CG35" s="341" t="str">
        <f t="array" ref="CG35">IFERROR(IF($CG$11="Yes",INDEX($CB$13:$CB$2950,SMALL(IF((County=$CC$13:$CC$2950),MATCH(ROW($CC$13:$CC$2950),ROW($CC$13:$CC$2950)),""),ROWS($A$13:$A35))),""),"")</f>
        <v/>
      </c>
      <c r="CI35" s="1387">
        <v>32259</v>
      </c>
      <c r="CJ35" s="236" t="s">
        <v>349</v>
      </c>
      <c r="CL35" s="236">
        <v>1.1499999999999999</v>
      </c>
      <c r="CM35" s="236" t="s">
        <v>331</v>
      </c>
      <c r="CO35" s="338">
        <v>102</v>
      </c>
      <c r="CP35" s="338" t="s">
        <v>292</v>
      </c>
      <c r="CR35" s="340">
        <v>1.28</v>
      </c>
      <c r="CS35" s="340" t="s">
        <v>331</v>
      </c>
      <c r="CT35" s="1384"/>
      <c r="CU35" s="341">
        <v>33067</v>
      </c>
      <c r="CV35" s="338" t="s">
        <v>289</v>
      </c>
      <c r="CZ35" s="1795">
        <v>24</v>
      </c>
      <c r="DA35" s="338" t="s">
        <v>285</v>
      </c>
      <c r="DC35" s="1795">
        <v>9713</v>
      </c>
      <c r="DD35" s="338" t="s">
        <v>333</v>
      </c>
      <c r="DF35" s="340">
        <v>22.02</v>
      </c>
      <c r="DG35" s="340" t="s">
        <v>276</v>
      </c>
      <c r="DI35" s="341" t="str">
        <f t="array" ref="DI35">IFERROR(IF($DI$11="Metro",INDEX($CZ$13:$CZ$929,SMALL(IF((County=$DA$13:$DA$929),MATCH(ROW($DA$13:$DA$929),ROW($DA$13:$DA$929)),""),ROWS($A$13:$A35))),INDEX($DC$13:$DC$212,SMALL(IF((County=$DD$13:$DD$212),MATCH(ROW($DD$13:$DD$212),ROW($DD$13:$DD$212)),""),ROWS($A$13:$A35)))),"")</f>
        <v/>
      </c>
      <c r="DK35" s="341" t="str">
        <f t="array" ref="DK35">IFERROR(IF($DK$11="Yes",INDEX($DF$13:$DF$2838,SMALL(IF((County=$DG$13:$DG$2838),MATCH(ROW($DG$13:$DG$2838),ROW($DG$13:$DG$2838)),""),ROWS($A$13:$A35))),""),"")</f>
        <v/>
      </c>
      <c r="DM35" s="1387">
        <v>32250</v>
      </c>
      <c r="DN35" s="338" t="s">
        <v>302</v>
      </c>
      <c r="DP35" s="236">
        <v>2.1800000000000002</v>
      </c>
      <c r="DQ35" s="236" t="s">
        <v>331</v>
      </c>
      <c r="DS35" s="1795">
        <v>9512</v>
      </c>
      <c r="DT35" s="338" t="s">
        <v>345</v>
      </c>
      <c r="DV35" s="340">
        <v>1.28</v>
      </c>
      <c r="DW35" s="340" t="s">
        <v>331</v>
      </c>
      <c r="DX35" s="1671"/>
      <c r="DY35" s="1796"/>
      <c r="DZ35" s="1796"/>
      <c r="EB35" s="549" t="s">
        <v>3050</v>
      </c>
      <c r="EC35" s="553" t="str">
        <f>VLOOKUP(EB35,Data1!$A$405:$H$471,8)</f>
        <v>Small</v>
      </c>
      <c r="ED35" s="549" t="s">
        <v>3082</v>
      </c>
      <c r="EE35" s="549" t="s">
        <v>3083</v>
      </c>
      <c r="EF35" s="550">
        <v>29.640075</v>
      </c>
      <c r="EG35" s="550">
        <v>-83.130232000000007</v>
      </c>
      <c r="EH35" s="553" t="s">
        <v>635</v>
      </c>
      <c r="EI35" s="553" t="s">
        <v>634</v>
      </c>
      <c r="EJ35" s="550" t="str">
        <f t="shared" si="0"/>
        <v xml:space="preserve">Dixie  - Prince Pointe </v>
      </c>
      <c r="EK35" s="561" t="str">
        <f t="shared" si="1"/>
        <v>Family</v>
      </c>
      <c r="EL35" s="550" t="str">
        <f t="shared" si="2"/>
        <v>(29.640075, -83.130232)</v>
      </c>
      <c r="EM35" s="552" t="str">
        <f t="shared" si="3"/>
        <v>&gt;30</v>
      </c>
      <c r="EN35" s="1941" t="str">
        <f t="shared" si="4"/>
        <v/>
      </c>
      <c r="EO35" t="str">
        <f t="shared" si="5"/>
        <v xml:space="preserve">Dixie  - Prince Pointe </v>
      </c>
      <c r="EP35" s="1941">
        <f t="shared" si="6"/>
        <v>4185.0118413816053</v>
      </c>
      <c r="EQ35" s="1941" t="str">
        <f t="shared" si="7"/>
        <v>No</v>
      </c>
      <c r="ER35" s="1941" t="str">
        <f>VLOOKUP(EB35,Data1!$G$405:$H$471,2)</f>
        <v>Small</v>
      </c>
      <c r="ET35" s="1941" t="str">
        <f>IF(EU35&gt;0,SUM(EU$13:EU35),"")</f>
        <v/>
      </c>
      <c r="EU35" s="1941">
        <f t="shared" si="8"/>
        <v>0</v>
      </c>
      <c r="EV35" s="1148" t="str">
        <f t="shared" si="9"/>
        <v xml:space="preserve">Dixie  - Prince Pointe </v>
      </c>
    </row>
    <row r="36" spans="1:152" ht="14.65" customHeight="1">
      <c r="A36" s="339">
        <v>33028</v>
      </c>
      <c r="B36" s="338" t="s">
        <v>289</v>
      </c>
      <c r="E36" s="858"/>
      <c r="F36" s="338">
        <v>624.02</v>
      </c>
      <c r="G36" s="338" t="s">
        <v>288</v>
      </c>
      <c r="I36" s="338">
        <v>9502.01</v>
      </c>
      <c r="J36" s="338" t="s">
        <v>345</v>
      </c>
      <c r="L36" s="2481">
        <v>22.04</v>
      </c>
      <c r="M36" s="340" t="s">
        <v>276</v>
      </c>
      <c r="N36" s="1390"/>
      <c r="O36" s="2479"/>
      <c r="P36" s="2282"/>
      <c r="R36" s="341" t="str">
        <f t="array" ref="R36">IFERROR(IF($R$11="Metro",INDEX($F$13:$F$829,SMALL(IF((County=$G$13:$G$829),MATCH(ROW($G$13:$G$829),ROW($G$13:$G$829)),""),ROWS($A$13:A36))),INDEX($I$13:$I$44,SMALL(IF((County=$J$13:$J$44),MATCH(ROW($J$13:$J$44),ROW($J$13:$J$44)),""),ROWS($A$13:A36)))),"")</f>
        <v/>
      </c>
      <c r="T36" s="341" t="str">
        <f t="array" ref="T36">IFERROR(IF($T$11="Yes",INDEX($L$13:$L$2813,SMALL(IF((County=$M$13:$M$2813),MATCH(ROW($M$13:$M$2813),ROW($M$13:$M$2813)),""),ROWS($A$13:A36))),""),"")</f>
        <v/>
      </c>
      <c r="V36" s="2283" t="str">
        <f t="array" ref="V36">IFERROR(IF($T$11="Yes",INDEX($O$14:$O$2811,SMALL(IF((County=$P$14:$P$2811),MATCH(ROW($P$14:$P$2811),ROW($P$14:$P$2811)),""),ROWS($A$13:A36))),""),"")</f>
        <v/>
      </c>
      <c r="X36" s="339">
        <v>32176</v>
      </c>
      <c r="Y36" s="338" t="s">
        <v>355</v>
      </c>
      <c r="AA36" s="338">
        <v>2.2200000000000002</v>
      </c>
      <c r="AB36" s="338" t="s">
        <v>340</v>
      </c>
      <c r="AD36" s="338">
        <v>9513</v>
      </c>
      <c r="AE36" s="338" t="s">
        <v>345</v>
      </c>
      <c r="AG36" s="2297">
        <v>1.28</v>
      </c>
      <c r="AH36" s="2297" t="s">
        <v>331</v>
      </c>
      <c r="AI36" s="1390"/>
      <c r="AJ36" s="2282"/>
      <c r="AK36" s="2282"/>
      <c r="AL36" s="1037"/>
      <c r="AM36" s="339">
        <v>33071</v>
      </c>
      <c r="AN36" s="338" t="s">
        <v>289</v>
      </c>
      <c r="AP36" s="1383" t="s">
        <v>2111</v>
      </c>
      <c r="AQ36" s="858"/>
      <c r="AR36" s="338">
        <v>24</v>
      </c>
      <c r="AS36" s="338" t="s">
        <v>285</v>
      </c>
      <c r="AU36" s="338">
        <v>201</v>
      </c>
      <c r="AV36" s="338" t="s">
        <v>345</v>
      </c>
      <c r="AX36" s="340">
        <v>22.07</v>
      </c>
      <c r="AY36" s="340" t="s">
        <v>276</v>
      </c>
      <c r="BA36" s="341" t="str">
        <f t="array" ref="BA36">IFERROR(IF($BA$11="Metro",INDEX($AR$13:$AR$814,SMALL(IF((County=$AS$13:$AS$814),MATCH(ROW($AS$13:$AS$814),ROW($AS$13:$AS$814)),""),ROWS($A$13:$A36))),INDEX($AU$13:$AU$48,SMALL(IF((County=$AV$13:$AV$48),MATCH(ROW($AV$13:$AV$48),ROW($AV$13:$AV$48)),""),ROWS($A$13:$A36)))),"")</f>
        <v/>
      </c>
      <c r="BC36" s="341" t="str">
        <f t="array" ref="BC36">IFERROR(IF($BC$11="Yes",INDEX($AX$13:$AX$2950,SMALL(IF((County=$AY$13:$AY$2950),MATCH(ROW($AY$13:$AY$2950),ROW($AY$13:$AY$2950)),""),ROWS($A$13:$A36))),""),"")</f>
        <v/>
      </c>
      <c r="BE36" s="339">
        <v>32259</v>
      </c>
      <c r="BF36" s="338" t="s">
        <v>349</v>
      </c>
      <c r="BH36" s="338">
        <v>2.06</v>
      </c>
      <c r="BI36" s="338" t="s">
        <v>331</v>
      </c>
      <c r="BK36" s="338">
        <v>401</v>
      </c>
      <c r="BL36" s="338" t="s">
        <v>312</v>
      </c>
      <c r="BN36" s="340">
        <v>1.28</v>
      </c>
      <c r="BO36" s="340" t="s">
        <v>331</v>
      </c>
      <c r="BP36" s="1385"/>
      <c r="BQ36" s="1386">
        <v>33062</v>
      </c>
      <c r="BR36" s="338" t="s">
        <v>289</v>
      </c>
      <c r="BT36" s="1383" t="s">
        <v>2111</v>
      </c>
      <c r="BU36" s="858"/>
      <c r="BV36" s="338">
        <v>15.19</v>
      </c>
      <c r="BW36" s="338" t="s">
        <v>276</v>
      </c>
      <c r="BY36" s="338">
        <v>101.01</v>
      </c>
      <c r="BZ36" s="338" t="s">
        <v>300</v>
      </c>
      <c r="CB36" s="340">
        <v>22.07</v>
      </c>
      <c r="CC36" s="340" t="s">
        <v>276</v>
      </c>
      <c r="CE36" s="341" t="str">
        <f t="array" ref="CE36">IFERROR(IF($CE$11="Metro",INDEX($BV$13:$BV$4972,SMALL(IF((County=$BW$13:$BW$4972),MATCH(ROW($BW$13:$BW$4972),ROW($BW$13:$BW$4972)),""),ROWS($A$13:$A36))),INDEX($BY$13:$BY$212,SMALL(IF((County=$BZ$13:$BZ$212),MATCH(ROW($BZ$13:$BZ$212),ROW($BZ$13:$BZ$212)),""),ROWS($A$13:$A36)))),"")</f>
        <v/>
      </c>
      <c r="CG36" s="341" t="str">
        <f t="array" ref="CG36">IFERROR(IF($CG$11="Yes",INDEX($CB$13:$CB$2950,SMALL(IF((County=$CC$13:$CC$2950),MATCH(ROW($CC$13:$CC$2950),ROW($CC$13:$CC$2950)),""),ROWS($A$13:$A36))),""),"")</f>
        <v/>
      </c>
      <c r="CI36" s="1387">
        <v>32346</v>
      </c>
      <c r="CJ36" s="236" t="s">
        <v>356</v>
      </c>
      <c r="CL36" s="236">
        <v>1.18</v>
      </c>
      <c r="CM36" s="236" t="s">
        <v>331</v>
      </c>
      <c r="CO36" s="338">
        <v>102</v>
      </c>
      <c r="CP36" s="338" t="s">
        <v>300</v>
      </c>
      <c r="CR36" s="340">
        <v>1.29</v>
      </c>
      <c r="CS36" s="340" t="s">
        <v>331</v>
      </c>
      <c r="CT36" s="1384"/>
      <c r="CU36" s="341">
        <v>33068</v>
      </c>
      <c r="CV36" s="338" t="s">
        <v>289</v>
      </c>
      <c r="CZ36" s="1795">
        <v>601.04999999999995</v>
      </c>
      <c r="DA36" s="338" t="s">
        <v>288</v>
      </c>
      <c r="DC36" s="1795">
        <v>9724</v>
      </c>
      <c r="DD36" s="338" t="s">
        <v>333</v>
      </c>
      <c r="DF36" s="340">
        <v>22.04</v>
      </c>
      <c r="DG36" s="340" t="s">
        <v>276</v>
      </c>
      <c r="DI36" s="341" t="str">
        <f t="array" ref="DI36">IFERROR(IF($DI$11="Metro",INDEX($CZ$13:$CZ$929,SMALL(IF((County=$DA$13:$DA$929),MATCH(ROW($DA$13:$DA$929),ROW($DA$13:$DA$929)),""),ROWS($A$13:$A36))),INDEX($DC$13:$DC$212,SMALL(IF((County=$DD$13:$DD$212),MATCH(ROW($DD$13:$DD$212),ROW($DD$13:$DD$212)),""),ROWS($A$13:$A36)))),"")</f>
        <v/>
      </c>
      <c r="DK36" s="341" t="str">
        <f t="array" ref="DK36">IFERROR(IF($DK$11="Yes",INDEX($DF$13:$DF$2838,SMALL(IF((County=$DG$13:$DG$2838),MATCH(ROW($DG$13:$DG$2838),ROW($DG$13:$DG$2838)),""),ROWS($A$13:$A36))),""),"")</f>
        <v/>
      </c>
      <c r="DM36" s="1387">
        <v>32256</v>
      </c>
      <c r="DN36" s="338" t="s">
        <v>302</v>
      </c>
      <c r="DP36" s="236">
        <v>2.19</v>
      </c>
      <c r="DQ36" s="236" t="s">
        <v>331</v>
      </c>
      <c r="DS36" s="1795">
        <v>9514.01</v>
      </c>
      <c r="DT36" s="338" t="s">
        <v>345</v>
      </c>
      <c r="DV36" s="340">
        <v>1.29</v>
      </c>
      <c r="DW36" s="340" t="s">
        <v>331</v>
      </c>
      <c r="DX36" s="1671"/>
      <c r="DY36" s="1796"/>
      <c r="DZ36" s="1796"/>
      <c r="EB36" s="554" t="s">
        <v>304</v>
      </c>
      <c r="EC36" s="553" t="str">
        <f>VLOOKUP(EB36,Data1!$A$405:$H$471,8)</f>
        <v>Medium</v>
      </c>
      <c r="ED36" s="554" t="s">
        <v>3084</v>
      </c>
      <c r="EE36" s="549" t="s">
        <v>3085</v>
      </c>
      <c r="EF36" s="549">
        <v>30.433143999999999</v>
      </c>
      <c r="EG36" s="549">
        <v>-87.267876999999999</v>
      </c>
      <c r="EH36" s="553" t="s">
        <v>635</v>
      </c>
      <c r="EI36" s="555" t="s">
        <v>634</v>
      </c>
      <c r="EJ36" s="550" t="str">
        <f t="shared" si="0"/>
        <v>Escambia - Ekos at Warrington</v>
      </c>
      <c r="EK36" s="561" t="str">
        <f t="shared" si="1"/>
        <v>Family</v>
      </c>
      <c r="EL36" s="550" t="str">
        <f t="shared" si="2"/>
        <v>(30.433144, -87.267877)</v>
      </c>
      <c r="EM36" s="552" t="str">
        <f t="shared" si="3"/>
        <v>&gt;30</v>
      </c>
      <c r="EN36" s="1941" t="str">
        <f t="shared" si="4"/>
        <v/>
      </c>
      <c r="EO36" t="str">
        <f t="shared" si="5"/>
        <v>Escambia - Ekos at Warrington</v>
      </c>
      <c r="EP36" s="1941">
        <f t="shared" si="6"/>
        <v>4270.6798676692042</v>
      </c>
      <c r="EQ36" s="1941" t="str">
        <f t="shared" si="7"/>
        <v>No</v>
      </c>
      <c r="ER36" s="1941" t="str">
        <f>VLOOKUP(EB36,Data1!$G$405:$H$471,2)</f>
        <v>Medium</v>
      </c>
      <c r="ET36" s="1941" t="str">
        <f>IF(EU36&gt;0,SUM(EU$13:EU36),"")</f>
        <v/>
      </c>
      <c r="EU36" s="1941">
        <f t="shared" si="8"/>
        <v>0</v>
      </c>
      <c r="EV36" s="1148" t="str">
        <f t="shared" si="9"/>
        <v>Escambia - Ekos at Warrington</v>
      </c>
    </row>
    <row r="37" spans="1:152" ht="14.65" customHeight="1">
      <c r="A37" s="339">
        <v>33029</v>
      </c>
      <c r="B37" s="338" t="s">
        <v>289</v>
      </c>
      <c r="E37" s="858"/>
      <c r="F37" s="338">
        <v>625</v>
      </c>
      <c r="G37" s="338" t="s">
        <v>288</v>
      </c>
      <c r="I37" s="338">
        <v>9502.02</v>
      </c>
      <c r="J37" s="338" t="s">
        <v>345</v>
      </c>
      <c r="L37" s="2481">
        <v>22.07</v>
      </c>
      <c r="M37" s="340" t="s">
        <v>276</v>
      </c>
      <c r="N37" s="1390"/>
      <c r="O37" s="2479"/>
      <c r="P37" s="2282"/>
      <c r="R37" s="341" t="str">
        <f t="array" ref="R37">IFERROR(IF($R$11="Metro",INDEX($F$13:$F$829,SMALL(IF((County=$G$13:$G$829),MATCH(ROW($G$13:$G$829),ROW($G$13:$G$829)),""),ROWS($A$13:A37))),INDEX($I$13:$I$44,SMALL(IF((County=$J$13:$J$44),MATCH(ROW($J$13:$J$44),ROW($J$13:$J$44)),""),ROWS($A$13:A37)))),"")</f>
        <v/>
      </c>
      <c r="T37" s="341" t="str">
        <f t="array" ref="T37">IFERROR(IF($T$11="Yes",INDEX($L$13:$L$2813,SMALL(IF((County=$M$13:$M$2813),MATCH(ROW($M$13:$M$2813),ROW($M$13:$M$2813)),""),ROWS($A$13:A37))),""),"")</f>
        <v/>
      </c>
      <c r="V37" s="2283" t="str">
        <f t="array" ref="V37">IFERROR(IF($T$11="Yes",INDEX($O$14:$O$2811,SMALL(IF((County=$P$14:$P$2811),MATCH(ROW($P$14:$P$2811),ROW($P$14:$P$2811)),""),ROWS($A$13:A37))),""),"")</f>
        <v/>
      </c>
      <c r="X37" s="339">
        <v>32212</v>
      </c>
      <c r="Y37" s="338" t="s">
        <v>302</v>
      </c>
      <c r="AA37" s="338">
        <v>2.2400000000000002</v>
      </c>
      <c r="AB37" s="338" t="s">
        <v>331</v>
      </c>
      <c r="AD37" s="338">
        <v>9514.01</v>
      </c>
      <c r="AE37" s="338" t="s">
        <v>345</v>
      </c>
      <c r="AG37" s="2297">
        <v>1.29</v>
      </c>
      <c r="AH37" s="2297" t="s">
        <v>331</v>
      </c>
      <c r="AI37" s="1390"/>
      <c r="AJ37" s="2282"/>
      <c r="AK37" s="2282"/>
      <c r="AL37" s="1037"/>
      <c r="AM37" s="339">
        <v>33073</v>
      </c>
      <c r="AN37" s="338" t="s">
        <v>289</v>
      </c>
      <c r="AQ37" s="858"/>
      <c r="AR37" s="338">
        <v>607</v>
      </c>
      <c r="AS37" s="338" t="s">
        <v>288</v>
      </c>
      <c r="AU37" s="338">
        <v>202</v>
      </c>
      <c r="AV37" s="338" t="s">
        <v>345</v>
      </c>
      <c r="AX37" s="340">
        <v>22.08</v>
      </c>
      <c r="AY37" s="340" t="s">
        <v>276</v>
      </c>
      <c r="BA37" s="341" t="str">
        <f t="array" ref="BA37">IFERROR(IF($BA$11="Metro",INDEX($AR$13:$AR$814,SMALL(IF((County=$AS$13:$AS$814),MATCH(ROW($AS$13:$AS$814),ROW($AS$13:$AS$814)),""),ROWS($A$13:$A37))),INDEX($AU$13:$AU$48,SMALL(IF((County=$AV$13:$AV$48),MATCH(ROW($AV$13:$AV$48),ROW($AV$13:$AV$48)),""),ROWS($A$13:$A37)))),"")</f>
        <v/>
      </c>
      <c r="BC37" s="341" t="str">
        <f t="array" ref="BC37">IFERROR(IF($BC$11="Yes",INDEX($AX$13:$AX$2950,SMALL(IF((County=$AY$13:$AY$2950),MATCH(ROW($AY$13:$AY$2950),ROW($AY$13:$AY$2950)),""),ROWS($A$13:$A37))),""),"")</f>
        <v/>
      </c>
      <c r="BE37" s="339">
        <v>32266</v>
      </c>
      <c r="BF37" s="338" t="s">
        <v>302</v>
      </c>
      <c r="BH37" s="338">
        <v>2.12</v>
      </c>
      <c r="BI37" s="338" t="s">
        <v>331</v>
      </c>
      <c r="BK37" s="338">
        <v>401</v>
      </c>
      <c r="BL37" s="338" t="s">
        <v>317</v>
      </c>
      <c r="BN37" s="340">
        <v>1.29</v>
      </c>
      <c r="BO37" s="340" t="s">
        <v>331</v>
      </c>
      <c r="BP37" s="1385"/>
      <c r="BQ37" s="1386">
        <v>33063</v>
      </c>
      <c r="BR37" s="338" t="s">
        <v>289</v>
      </c>
      <c r="BU37" s="858"/>
      <c r="BV37" s="338">
        <v>15.22</v>
      </c>
      <c r="BW37" s="338" t="s">
        <v>276</v>
      </c>
      <c r="BY37" s="338">
        <v>101.02</v>
      </c>
      <c r="BZ37" s="338" t="s">
        <v>300</v>
      </c>
      <c r="CB37" s="340">
        <v>22.08</v>
      </c>
      <c r="CC37" s="340" t="s">
        <v>276</v>
      </c>
      <c r="CE37" s="341" t="str">
        <f t="array" ref="CE37">IFERROR(IF($CE$11="Metro",INDEX($BV$13:$BV$4972,SMALL(IF((County=$BW$13:$BW$4972),MATCH(ROW($BW$13:$BW$4972),ROW($BW$13:$BW$4972)),""),ROWS($A$13:$A37))),INDEX($BY$13:$BY$212,SMALL(IF((County=$BZ$13:$BZ$212),MATCH(ROW($BZ$13:$BZ$212),ROW($BZ$13:$BZ$212)),""),ROWS($A$13:$A37)))),"")</f>
        <v/>
      </c>
      <c r="CG37" s="341" t="str">
        <f t="array" ref="CG37">IFERROR(IF($CG$11="Yes",INDEX($CB$13:$CB$2950,SMALL(IF((County=$CC$13:$CC$2950),MATCH(ROW($CC$13:$CC$2950),ROW($CC$13:$CC$2950)),""),ROWS($A$13:$A37))),""),"")</f>
        <v/>
      </c>
      <c r="CI37" s="1583">
        <v>32403</v>
      </c>
      <c r="CJ37" s="338" t="s">
        <v>285</v>
      </c>
      <c r="CL37" s="236">
        <v>1.2</v>
      </c>
      <c r="CM37" s="236" t="s">
        <v>331</v>
      </c>
      <c r="CO37" s="338">
        <v>103.01</v>
      </c>
      <c r="CP37" s="338" t="s">
        <v>292</v>
      </c>
      <c r="CR37" s="340">
        <v>1.3</v>
      </c>
      <c r="CS37" s="340" t="s">
        <v>331</v>
      </c>
      <c r="CT37" s="1384"/>
      <c r="CU37" s="341">
        <v>33069</v>
      </c>
      <c r="CV37" s="338" t="s">
        <v>289</v>
      </c>
      <c r="CZ37" s="1795">
        <v>604</v>
      </c>
      <c r="DA37" s="338" t="s">
        <v>288</v>
      </c>
      <c r="DC37" s="1795">
        <v>9103</v>
      </c>
      <c r="DD37" s="338" t="s">
        <v>337</v>
      </c>
      <c r="DF37" s="340">
        <v>22.07</v>
      </c>
      <c r="DG37" s="340" t="s">
        <v>276</v>
      </c>
      <c r="DI37" s="341" t="str">
        <f t="array" ref="DI37">IFERROR(IF($DI$11="Metro",INDEX($CZ$13:$CZ$929,SMALL(IF((County=$DA$13:$DA$929),MATCH(ROW($DA$13:$DA$929),ROW($DA$13:$DA$929)),""),ROWS($A$13:$A37))),INDEX($DC$13:$DC$212,SMALL(IF((County=$DD$13:$DD$212),MATCH(ROW($DD$13:$DD$212),ROW($DD$13:$DD$212)),""),ROWS($A$13:$A37)))),"")</f>
        <v/>
      </c>
      <c r="DK37" s="341" t="str">
        <f t="array" ref="DK37">IFERROR(IF($DK$11="Yes",INDEX($DF$13:$DF$2838,SMALL(IF((County=$DG$13:$DG$2838),MATCH(ROW($DG$13:$DG$2838),ROW($DG$13:$DG$2838)),""),ROWS($A$13:$A37))),""),"")</f>
        <v/>
      </c>
      <c r="DM37" s="1387">
        <v>32258</v>
      </c>
      <c r="DN37" s="338" t="s">
        <v>302</v>
      </c>
      <c r="DP37" s="236">
        <v>2.2400000000000002</v>
      </c>
      <c r="DQ37" s="236" t="s">
        <v>331</v>
      </c>
      <c r="DS37" s="1795">
        <v>9602.01</v>
      </c>
      <c r="DT37" s="338" t="s">
        <v>311</v>
      </c>
      <c r="DV37" s="340">
        <v>1.3</v>
      </c>
      <c r="DW37" s="340" t="s">
        <v>331</v>
      </c>
      <c r="DX37" s="1671"/>
      <c r="DY37" s="1796"/>
      <c r="DZ37" s="1796"/>
      <c r="EB37" s="549" t="s">
        <v>307</v>
      </c>
      <c r="EC37" s="553" t="str">
        <f>VLOOKUP(EB37,Data1!$A$405:$H$471,8)</f>
        <v>Small</v>
      </c>
      <c r="ED37" s="549" t="s">
        <v>3086</v>
      </c>
      <c r="EE37" s="549" t="s">
        <v>3087</v>
      </c>
      <c r="EF37" s="550">
        <v>30.557445999999999</v>
      </c>
      <c r="EG37" s="550">
        <v>-84.597852000000003</v>
      </c>
      <c r="EH37" s="551" t="s">
        <v>635</v>
      </c>
      <c r="EI37" s="552" t="s">
        <v>634</v>
      </c>
      <c r="EJ37" s="550" t="str">
        <f t="shared" si="0"/>
        <v xml:space="preserve">Gadsden - Cross Creek Gardens at Quincy </v>
      </c>
      <c r="EK37" s="561" t="str">
        <f t="shared" si="1"/>
        <v>Family</v>
      </c>
      <c r="EL37" s="550" t="str">
        <f t="shared" si="2"/>
        <v>(30.557446, -84.597852)</v>
      </c>
      <c r="EM37" s="552" t="str">
        <f t="shared" si="3"/>
        <v>&gt;30</v>
      </c>
      <c r="EN37" s="1941" t="str">
        <f t="shared" si="4"/>
        <v/>
      </c>
      <c r="EO37" t="str">
        <f t="shared" si="5"/>
        <v xml:space="preserve">Gadsden - Cross Creek Gardens at Quincy </v>
      </c>
      <c r="EP37" s="1941">
        <f t="shared" si="6"/>
        <v>4224.1609287132178</v>
      </c>
      <c r="EQ37" s="1941" t="str">
        <f t="shared" si="7"/>
        <v>No</v>
      </c>
      <c r="ER37" s="1941" t="str">
        <f>VLOOKUP(EB37,Data1!$G$405:$H$471,2)</f>
        <v>Small</v>
      </c>
      <c r="ES37" s="264"/>
      <c r="ET37" s="1941" t="str">
        <f>IF(EU37&gt;0,SUM(EU$13:EU37),"")</f>
        <v/>
      </c>
      <c r="EU37" s="1941">
        <f t="shared" si="8"/>
        <v>0</v>
      </c>
      <c r="EV37" s="1148" t="str">
        <f t="shared" si="9"/>
        <v xml:space="preserve">Gadsden - Cross Creek Gardens at Quincy </v>
      </c>
    </row>
    <row r="38" spans="1:152" ht="14.65" customHeight="1">
      <c r="A38" s="339">
        <v>33062</v>
      </c>
      <c r="B38" s="338" t="s">
        <v>289</v>
      </c>
      <c r="E38" s="858"/>
      <c r="F38" s="338">
        <v>642.02</v>
      </c>
      <c r="G38" s="338" t="s">
        <v>288</v>
      </c>
      <c r="I38" s="338">
        <v>9507</v>
      </c>
      <c r="J38" s="338" t="s">
        <v>345</v>
      </c>
      <c r="L38" s="2481">
        <v>22.08</v>
      </c>
      <c r="M38" s="340" t="s">
        <v>276</v>
      </c>
      <c r="N38" s="1390"/>
      <c r="O38" s="2479"/>
      <c r="P38" s="2282"/>
      <c r="R38" s="341" t="str">
        <f t="array" ref="R38">IFERROR(IF($R$11="Metro",INDEX($F$13:$F$829,SMALL(IF((County=$G$13:$G$829),MATCH(ROW($G$13:$G$829),ROW($G$13:$G$829)),""),ROWS($A$13:A38))),INDEX($I$13:$I$44,SMALL(IF((County=$J$13:$J$44),MATCH(ROW($J$13:$J$44),ROW($J$13:$J$44)),""),ROWS($A$13:A38)))),"")</f>
        <v/>
      </c>
      <c r="T38" s="341" t="str">
        <f t="array" ref="T38">IFERROR(IF($T$11="Yes",INDEX($L$13:$L$2813,SMALL(IF((County=$M$13:$M$2813),MATCH(ROW($M$13:$M$2813),ROW($M$13:$M$2813)),""),ROWS($A$13:A38))),""),"")</f>
        <v/>
      </c>
      <c r="V38" s="2283" t="str">
        <f t="array" ref="V38">IFERROR(IF($T$11="Yes",INDEX($O$14:$O$2811,SMALL(IF((County=$P$14:$P$2811),MATCH(ROW($P$14:$P$2811),ROW($P$14:$P$2811)),""),ROWS($A$13:A38))),""),"")</f>
        <v/>
      </c>
      <c r="X38" s="339">
        <v>32221</v>
      </c>
      <c r="Y38" s="338" t="s">
        <v>302</v>
      </c>
      <c r="AA38" s="338">
        <v>2.27</v>
      </c>
      <c r="AB38" s="338" t="s">
        <v>331</v>
      </c>
      <c r="AD38" s="338">
        <v>9514.02</v>
      </c>
      <c r="AE38" s="338" t="s">
        <v>345</v>
      </c>
      <c r="AG38" s="2297">
        <v>1.3</v>
      </c>
      <c r="AH38" s="2297" t="s">
        <v>331</v>
      </c>
      <c r="AI38" s="1390"/>
      <c r="AJ38" s="2282"/>
      <c r="AK38" s="2282"/>
      <c r="AL38" s="1037"/>
      <c r="AM38" s="339">
        <v>33076</v>
      </c>
      <c r="AN38" s="338" t="s">
        <v>289</v>
      </c>
      <c r="AQ38" s="858"/>
      <c r="AR38" s="338">
        <v>623.02</v>
      </c>
      <c r="AS38" s="338" t="s">
        <v>288</v>
      </c>
      <c r="AU38" s="338">
        <v>700</v>
      </c>
      <c r="AV38" s="338" t="s">
        <v>345</v>
      </c>
      <c r="AX38" s="340">
        <v>22.09</v>
      </c>
      <c r="AY38" s="340" t="s">
        <v>276</v>
      </c>
      <c r="BA38" s="341" t="str">
        <f t="array" ref="BA38">IFERROR(IF($BA$11="Metro",INDEX($AR$13:$AR$814,SMALL(IF((County=$AS$13:$AS$814),MATCH(ROW($AS$13:$AS$814),ROW($AS$13:$AS$814)),""),ROWS($A$13:$A38))),INDEX($AU$13:$AU$48,SMALL(IF((County=$AV$13:$AV$48),MATCH(ROW($AV$13:$AV$48),ROW($AV$13:$AV$48)),""),ROWS($A$13:$A38)))),"")</f>
        <v/>
      </c>
      <c r="BC38" s="341" t="str">
        <f t="array" ref="BC38">IFERROR(IF($BC$11="Yes",INDEX($AX$13:$AX$2950,SMALL(IF((County=$AY$13:$AY$2950),MATCH(ROW($AY$13:$AY$2950),ROW($AY$13:$AY$2950)),""),ROWS($A$13:$A38))),""),"")</f>
        <v/>
      </c>
      <c r="BE38" s="339">
        <v>32312</v>
      </c>
      <c r="BF38" s="338" t="s">
        <v>324</v>
      </c>
      <c r="BH38" s="338">
        <v>2.1800000000000002</v>
      </c>
      <c r="BI38" s="338" t="s">
        <v>331</v>
      </c>
      <c r="BK38" s="338">
        <v>402</v>
      </c>
      <c r="BL38" s="338" t="s">
        <v>317</v>
      </c>
      <c r="BN38" s="340">
        <v>1.3</v>
      </c>
      <c r="BO38" s="340" t="s">
        <v>331</v>
      </c>
      <c r="BP38" s="1385"/>
      <c r="BQ38" s="1386">
        <v>33064</v>
      </c>
      <c r="BR38" s="338" t="s">
        <v>289</v>
      </c>
      <c r="BU38" s="858"/>
      <c r="BV38" s="338">
        <v>16.05</v>
      </c>
      <c r="BW38" s="338" t="s">
        <v>276</v>
      </c>
      <c r="BY38" s="338">
        <v>102</v>
      </c>
      <c r="BZ38" s="338" t="s">
        <v>300</v>
      </c>
      <c r="CB38" s="340">
        <v>22.09</v>
      </c>
      <c r="CC38" s="340" t="s">
        <v>276</v>
      </c>
      <c r="CE38" s="341" t="str">
        <f t="array" ref="CE38">IFERROR(IF($CE$11="Metro",INDEX($BV$13:$BV$4972,SMALL(IF((County=$BW$13:$BW$4972),MATCH(ROW($BW$13:$BW$4972),ROW($BW$13:$BW$4972)),""),ROWS($A$13:$A38))),INDEX($BY$13:$BY$212,SMALL(IF((County=$BZ$13:$BZ$212),MATCH(ROW($BZ$13:$BZ$212),ROW($BZ$13:$BZ$212)),""),ROWS($A$13:$A38)))),"")</f>
        <v/>
      </c>
      <c r="CG38" s="341" t="str">
        <f t="array" ref="CG38">IFERROR(IF($CG$11="Yes",INDEX($CB$13:$CB$2950,SMALL(IF((County=$CC$13:$CC$2950),MATCH(ROW($CC$13:$CC$2950),ROW($CC$13:$CC$2950)),""),ROWS($A$13:$A38))),""),"")</f>
        <v/>
      </c>
      <c r="CI38" s="1583">
        <v>32407</v>
      </c>
      <c r="CJ38" s="338" t="s">
        <v>285</v>
      </c>
      <c r="CL38" s="236">
        <v>1.21</v>
      </c>
      <c r="CM38" s="236" t="s">
        <v>331</v>
      </c>
      <c r="CO38" s="338">
        <v>103.01</v>
      </c>
      <c r="CP38" s="338" t="s">
        <v>300</v>
      </c>
      <c r="CR38" s="340">
        <v>1.31</v>
      </c>
      <c r="CS38" s="340" t="s">
        <v>331</v>
      </c>
      <c r="CT38" s="1384"/>
      <c r="CU38" s="341">
        <v>33071</v>
      </c>
      <c r="CV38" s="338" t="s">
        <v>289</v>
      </c>
      <c r="CZ38" s="1795">
        <v>607</v>
      </c>
      <c r="DA38" s="338" t="s">
        <v>288</v>
      </c>
      <c r="DC38" s="1795">
        <v>9104.02</v>
      </c>
      <c r="DD38" s="338" t="s">
        <v>337</v>
      </c>
      <c r="DF38" s="340">
        <v>22.08</v>
      </c>
      <c r="DG38" s="340" t="s">
        <v>276</v>
      </c>
      <c r="DI38" s="341" t="str">
        <f t="array" ref="DI38">IFERROR(IF($DI$11="Metro",INDEX($CZ$13:$CZ$929,SMALL(IF((County=$DA$13:$DA$929),MATCH(ROW($DA$13:$DA$929),ROW($DA$13:$DA$929)),""),ROWS($A$13:$A38))),INDEX($DC$13:$DC$212,SMALL(IF((County=$DD$13:$DD$212),MATCH(ROW($DD$13:$DD$212),ROW($DD$13:$DD$212)),""),ROWS($A$13:$A38)))),"")</f>
        <v/>
      </c>
      <c r="DK38" s="341" t="str">
        <f t="array" ref="DK38">IFERROR(IF($DK$11="Yes",INDEX($DF$13:$DF$2838,SMALL(IF((County=$DG$13:$DG$2838),MATCH(ROW($DG$13:$DG$2838),ROW($DG$13:$DG$2838)),""),ROWS($A$13:$A38))),""),"")</f>
        <v/>
      </c>
      <c r="DM38" s="1387">
        <v>32259</v>
      </c>
      <c r="DN38" s="338" t="s">
        <v>349</v>
      </c>
      <c r="DP38" s="236">
        <v>2.27</v>
      </c>
      <c r="DQ38" s="236" t="s">
        <v>331</v>
      </c>
      <c r="DS38" s="1795">
        <v>9602.02</v>
      </c>
      <c r="DT38" s="338" t="s">
        <v>311</v>
      </c>
      <c r="DV38" s="340">
        <v>1.31</v>
      </c>
      <c r="DW38" s="340" t="s">
        <v>331</v>
      </c>
      <c r="DX38" s="1671"/>
      <c r="DY38" s="1796"/>
      <c r="DZ38" s="1796"/>
      <c r="EB38" s="549" t="s">
        <v>310</v>
      </c>
      <c r="EC38" s="553" t="str">
        <f>VLOOKUP(EB38,Data1!$A$405:$H$471,8)</f>
        <v>Small</v>
      </c>
      <c r="ED38" s="549" t="s">
        <v>3088</v>
      </c>
      <c r="EE38" s="549" t="s">
        <v>3089</v>
      </c>
      <c r="EF38" s="557">
        <v>29.821729999999999</v>
      </c>
      <c r="EG38" s="560">
        <v>-85.293520000000001</v>
      </c>
      <c r="EH38" s="553" t="s">
        <v>635</v>
      </c>
      <c r="EI38" s="552" t="s">
        <v>634</v>
      </c>
      <c r="EJ38" s="550" t="str">
        <f t="shared" si="0"/>
        <v>Gulf - Vista Pointe at St. Joe</v>
      </c>
      <c r="EK38" s="561" t="str">
        <f t="shared" si="1"/>
        <v>Family</v>
      </c>
      <c r="EL38" s="550" t="str">
        <f t="shared" si="2"/>
        <v>(29.82173, -85.29352)</v>
      </c>
      <c r="EM38" s="552" t="str">
        <f t="shared" si="3"/>
        <v>&gt;30</v>
      </c>
      <c r="EN38" s="1941" t="str">
        <f t="shared" si="4"/>
        <v/>
      </c>
      <c r="EO38" t="str">
        <f t="shared" si="5"/>
        <v>Gulf - Vista Pointe at St. Joe</v>
      </c>
      <c r="EP38" s="1941">
        <f t="shared" si="6"/>
        <v>4227.8115571314665</v>
      </c>
      <c r="EQ38" s="1941" t="str">
        <f t="shared" si="7"/>
        <v>No</v>
      </c>
      <c r="ER38" s="1941" t="str">
        <f>VLOOKUP(EB38,Data1!$G$405:$H$471,2)</f>
        <v>Small</v>
      </c>
      <c r="ET38" s="1941" t="str">
        <f>IF(EU38&gt;0,SUM(EU$13:EU38),"")</f>
        <v/>
      </c>
      <c r="EU38" s="1941">
        <f t="shared" si="8"/>
        <v>0</v>
      </c>
      <c r="EV38" s="1148" t="str">
        <f t="shared" si="9"/>
        <v>Gulf - Vista Pointe at St. Joe</v>
      </c>
    </row>
    <row r="39" spans="1:152" ht="14.65" customHeight="1">
      <c r="A39" s="339">
        <v>33063</v>
      </c>
      <c r="B39" s="338" t="s">
        <v>289</v>
      </c>
      <c r="E39" s="858"/>
      <c r="F39" s="338">
        <v>647.01</v>
      </c>
      <c r="G39" s="338" t="s">
        <v>288</v>
      </c>
      <c r="I39" s="338">
        <v>9508</v>
      </c>
      <c r="J39" s="338" t="s">
        <v>345</v>
      </c>
      <c r="L39" s="2481">
        <v>22.09</v>
      </c>
      <c r="M39" s="340" t="s">
        <v>276</v>
      </c>
      <c r="N39" s="1390"/>
      <c r="O39" s="2479"/>
      <c r="P39" s="2282"/>
      <c r="R39" s="341" t="str">
        <f t="array" ref="R39">IFERROR(IF($R$11="Metro",INDEX($F$13:$F$829,SMALL(IF((County=$G$13:$G$829),MATCH(ROW($G$13:$G$829),ROW($G$13:$G$829)),""),ROWS($A$13:A39))),INDEX($I$13:$I$44,SMALL(IF((County=$J$13:$J$44),MATCH(ROW($J$13:$J$44),ROW($J$13:$J$44)),""),ROWS($A$13:A39)))),"")</f>
        <v/>
      </c>
      <c r="T39" s="341" t="str">
        <f t="array" ref="T39">IFERROR(IF($T$11="Yes",INDEX($L$13:$L$2813,SMALL(IF((County=$M$13:$M$2813),MATCH(ROW($M$13:$M$2813),ROW($M$13:$M$2813)),""),ROWS($A$13:A39))),""),"")</f>
        <v/>
      </c>
      <c r="V39" s="2283" t="str">
        <f t="array" ref="V39">IFERROR(IF($T$11="Yes",INDEX($O$14:$O$2811,SMALL(IF((County=$P$14:$P$2811),MATCH(ROW($P$14:$P$2811),ROW($P$14:$P$2811)),""),ROWS($A$13:A39))),""),"")</f>
        <v/>
      </c>
      <c r="X39" s="339">
        <v>32222</v>
      </c>
      <c r="Y39" s="338" t="s">
        <v>302</v>
      </c>
      <c r="AA39" s="338">
        <v>2.2799999999999998</v>
      </c>
      <c r="AB39" s="338" t="s">
        <v>331</v>
      </c>
      <c r="AD39" s="338">
        <v>9602.01</v>
      </c>
      <c r="AE39" s="338" t="s">
        <v>311</v>
      </c>
      <c r="AG39" s="2297">
        <v>1.31</v>
      </c>
      <c r="AH39" s="2297" t="s">
        <v>331</v>
      </c>
      <c r="AI39" s="1390"/>
      <c r="AJ39" s="2282"/>
      <c r="AK39" s="2282"/>
      <c r="AL39" s="1037"/>
      <c r="AM39" s="339">
        <v>33301</v>
      </c>
      <c r="AN39" s="338" t="s">
        <v>289</v>
      </c>
      <c r="AQ39" s="858"/>
      <c r="AR39" s="338">
        <v>624.01</v>
      </c>
      <c r="AS39" s="338" t="s">
        <v>288</v>
      </c>
      <c r="AU39" s="338">
        <v>800</v>
      </c>
      <c r="AV39" s="338" t="s">
        <v>345</v>
      </c>
      <c r="AX39" s="340">
        <v>22.1</v>
      </c>
      <c r="AY39" s="340" t="s">
        <v>276</v>
      </c>
      <c r="BA39" s="341" t="str">
        <f t="array" ref="BA39">IFERROR(IF($BA$11="Metro",INDEX($AR$13:$AR$814,SMALL(IF((County=$AS$13:$AS$814),MATCH(ROW($AS$13:$AS$814),ROW($AS$13:$AS$814)),""),ROWS($A$13:$A39))),INDEX($AU$13:$AU$48,SMALL(IF((County=$AV$13:$AV$48),MATCH(ROW($AV$13:$AV$48),ROW($AV$13:$AV$48)),""),ROWS($A$13:$A39)))),"")</f>
        <v/>
      </c>
      <c r="BC39" s="341" t="str">
        <f t="array" ref="BC39">IFERROR(IF($BC$11="Yes",INDEX($AX$13:$AX$2950,SMALL(IF((County=$AY$13:$AY$2950),MATCH(ROW($AY$13:$AY$2950),ROW($AY$13:$AY$2950)),""),ROWS($A$13:$A39))),""),"")</f>
        <v/>
      </c>
      <c r="BE39" s="339">
        <v>32317</v>
      </c>
      <c r="BF39" s="338" t="s">
        <v>324</v>
      </c>
      <c r="BH39" s="338">
        <v>2.19</v>
      </c>
      <c r="BI39" s="338" t="s">
        <v>331</v>
      </c>
      <c r="BK39" s="338">
        <v>402</v>
      </c>
      <c r="BL39" s="338" t="s">
        <v>337</v>
      </c>
      <c r="BN39" s="340">
        <v>1.31</v>
      </c>
      <c r="BO39" s="340" t="s">
        <v>331</v>
      </c>
      <c r="BP39" s="1385"/>
      <c r="BQ39" s="1386">
        <v>33065</v>
      </c>
      <c r="BR39" s="338" t="s">
        <v>289</v>
      </c>
      <c r="BU39" s="858"/>
      <c r="BV39" s="338">
        <v>17.010000000000002</v>
      </c>
      <c r="BW39" s="338" t="s">
        <v>276</v>
      </c>
      <c r="BY39" s="338">
        <v>103.01</v>
      </c>
      <c r="BZ39" s="338" t="s">
        <v>300</v>
      </c>
      <c r="CB39" s="340">
        <v>22.19</v>
      </c>
      <c r="CC39" s="340" t="s">
        <v>276</v>
      </c>
      <c r="CE39" s="341" t="str">
        <f t="array" ref="CE39">IFERROR(IF($CE$11="Metro",INDEX($BV$13:$BV$4972,SMALL(IF((County=$BW$13:$BW$4972),MATCH(ROW($BW$13:$BW$4972),ROW($BW$13:$BW$4972)),""),ROWS($A$13:$A39))),INDEX($BY$13:$BY$212,SMALL(IF((County=$BZ$13:$BZ$212),MATCH(ROW($BZ$13:$BZ$212),ROW($BZ$13:$BZ$212)),""),ROWS($A$13:$A39)))),"")</f>
        <v/>
      </c>
      <c r="CG39" s="341" t="str">
        <f t="array" ref="CG39">IFERROR(IF($CG$11="Yes",INDEX($CB$13:$CB$2950,SMALL(IF((County=$CC$13:$CC$2950),MATCH(ROW($CC$13:$CC$2950),ROW($CC$13:$CC$2950)),""),ROWS($A$13:$A39))),""),"")</f>
        <v/>
      </c>
      <c r="CI39" s="1583">
        <v>32410</v>
      </c>
      <c r="CJ39" s="338" t="s">
        <v>285</v>
      </c>
      <c r="CL39" s="236">
        <v>1.22</v>
      </c>
      <c r="CM39" s="236" t="s">
        <v>331</v>
      </c>
      <c r="CO39" s="338">
        <v>103.02</v>
      </c>
      <c r="CP39" s="338" t="s">
        <v>292</v>
      </c>
      <c r="CR39" s="340">
        <v>1.34</v>
      </c>
      <c r="CS39" s="340" t="s">
        <v>331</v>
      </c>
      <c r="CT39" s="1384"/>
      <c r="CU39" s="341">
        <v>33073</v>
      </c>
      <c r="CV39" s="338" t="s">
        <v>289</v>
      </c>
      <c r="CZ39" s="1795">
        <v>621.14</v>
      </c>
      <c r="DA39" s="338" t="s">
        <v>288</v>
      </c>
      <c r="DC39" s="1795">
        <v>9502.01</v>
      </c>
      <c r="DD39" s="338" t="s">
        <v>345</v>
      </c>
      <c r="DF39" s="340">
        <v>22.09</v>
      </c>
      <c r="DG39" s="340" t="s">
        <v>276</v>
      </c>
      <c r="DI39" s="341" t="str">
        <f t="array" ref="DI39">IFERROR(IF($DI$11="Metro",INDEX($CZ$13:$CZ$929,SMALL(IF((County=$DA$13:$DA$929),MATCH(ROW($DA$13:$DA$929),ROW($DA$13:$DA$929)),""),ROWS($A$13:$A39))),INDEX($DC$13:$DC$212,SMALL(IF((County=$DD$13:$DD$212),MATCH(ROW($DD$13:$DD$212),ROW($DD$13:$DD$212)),""),ROWS($A$13:$A39)))),"")</f>
        <v/>
      </c>
      <c r="DK39" s="341" t="str">
        <f t="array" ref="DK39">IFERROR(IF($DK$11="Yes",INDEX($DF$13:$DF$2838,SMALL(IF((County=$DG$13:$DG$2838),MATCH(ROW($DG$13:$DG$2838),ROW($DG$13:$DG$2838)),""),ROWS($A$13:$A39))),""),"")</f>
        <v/>
      </c>
      <c r="DM39" s="1387">
        <v>32266</v>
      </c>
      <c r="DN39" s="338" t="s">
        <v>302</v>
      </c>
      <c r="DP39" s="236">
        <v>2.2799999999999998</v>
      </c>
      <c r="DQ39" s="236" t="s">
        <v>331</v>
      </c>
      <c r="DS39" s="1795">
        <v>9604.0300000000007</v>
      </c>
      <c r="DT39" s="338" t="s">
        <v>317</v>
      </c>
      <c r="DV39" s="340">
        <v>1.32</v>
      </c>
      <c r="DW39" s="340" t="s">
        <v>331</v>
      </c>
      <c r="DX39" s="1671"/>
      <c r="DY39" s="1796"/>
      <c r="DZ39" s="1796"/>
      <c r="EB39" s="549" t="s">
        <v>3051</v>
      </c>
      <c r="EC39" s="553" t="str">
        <f>VLOOKUP(EB39,Data1!$A$405:$H$471,8)</f>
        <v>Small</v>
      </c>
      <c r="ED39" s="549" t="s">
        <v>3090</v>
      </c>
      <c r="EE39" s="549" t="s">
        <v>3091</v>
      </c>
      <c r="EF39" s="560">
        <v>30.100359999999998</v>
      </c>
      <c r="EG39" s="560">
        <v>-85.198610000000002</v>
      </c>
      <c r="EH39" s="553" t="s">
        <v>635</v>
      </c>
      <c r="EI39" s="553" t="s">
        <v>636</v>
      </c>
      <c r="EJ39" s="550" t="str">
        <f t="shared" si="0"/>
        <v>Gulf  - Sandcastle Way</v>
      </c>
      <c r="EK39" s="561" t="str">
        <f t="shared" si="1"/>
        <v>Family</v>
      </c>
      <c r="EL39" s="550" t="str">
        <f t="shared" si="2"/>
        <v>(30.10036, -85.19861)</v>
      </c>
      <c r="EM39" s="552" t="str">
        <f t="shared" si="3"/>
        <v>&lt;31</v>
      </c>
      <c r="EN39" s="1941" t="str">
        <f t="shared" si="4"/>
        <v/>
      </c>
      <c r="EO39" t="str">
        <f t="shared" si="5"/>
        <v>Gulf  - Sandcastle Way</v>
      </c>
      <c r="EP39" s="1941">
        <f t="shared" si="6"/>
        <v>4229.4832031952046</v>
      </c>
      <c r="EQ39" s="1941" t="str">
        <f t="shared" si="7"/>
        <v>No</v>
      </c>
      <c r="ER39" s="1941" t="str">
        <f>VLOOKUP(EB39,Data1!$G$405:$H$471,2)</f>
        <v>Small</v>
      </c>
      <c r="ES39" s="264"/>
      <c r="ET39" s="1941" t="str">
        <f>IF(EU39&gt;0,SUM(EU$13:EU39),"")</f>
        <v/>
      </c>
      <c r="EU39" s="1941">
        <f t="shared" si="8"/>
        <v>0</v>
      </c>
      <c r="EV39" s="1148" t="str">
        <f t="shared" si="9"/>
        <v>Gulf  - Sandcastle Way</v>
      </c>
    </row>
    <row r="40" spans="1:152" ht="14.65" customHeight="1">
      <c r="A40" s="339">
        <v>33064</v>
      </c>
      <c r="B40" s="338" t="s">
        <v>289</v>
      </c>
      <c r="E40" s="858"/>
      <c r="F40" s="338">
        <v>648</v>
      </c>
      <c r="G40" s="338" t="s">
        <v>288</v>
      </c>
      <c r="I40" s="338">
        <v>9509</v>
      </c>
      <c r="J40" s="338" t="s">
        <v>345</v>
      </c>
      <c r="L40" s="2481">
        <v>22.1</v>
      </c>
      <c r="M40" s="340" t="s">
        <v>276</v>
      </c>
      <c r="N40" s="1390"/>
      <c r="O40" s="2479"/>
      <c r="P40" s="2282"/>
      <c r="R40" s="341" t="str">
        <f t="array" ref="R40">IFERROR(IF($R$11="Metro",INDEX($F$13:$F$829,SMALL(IF((County=$G$13:$G$829),MATCH(ROW($G$13:$G$829),ROW($G$13:$G$829)),""),ROWS($A$13:A40))),INDEX($I$13:$I$44,SMALL(IF((County=$J$13:$J$44),MATCH(ROW($J$13:$J$44),ROW($J$13:$J$44)),""),ROWS($A$13:A40)))),"")</f>
        <v/>
      </c>
      <c r="T40" s="341" t="str">
        <f t="array" ref="T40">IFERROR(IF($T$11="Yes",INDEX($L$13:$L$2813,SMALL(IF((County=$M$13:$M$2813),MATCH(ROW($M$13:$M$2813),ROW($M$13:$M$2813)),""),ROWS($A$13:A40))),""),"")</f>
        <v/>
      </c>
      <c r="V40" s="2283" t="str">
        <f t="array" ref="V40">IFERROR(IF($T$11="Yes",INDEX($O$14:$O$2811,SMALL(IF((County=$P$14:$P$2811),MATCH(ROW($P$14:$P$2811),ROW($P$14:$P$2811)),""),ROWS($A$13:A40))),""),"")</f>
        <v/>
      </c>
      <c r="X40" s="339">
        <v>32223</v>
      </c>
      <c r="Y40" s="338" t="s">
        <v>302</v>
      </c>
      <c r="AA40" s="338">
        <v>3</v>
      </c>
      <c r="AB40" s="338" t="s">
        <v>302</v>
      </c>
      <c r="AD40" s="338">
        <v>9602.02</v>
      </c>
      <c r="AE40" s="338" t="s">
        <v>311</v>
      </c>
      <c r="AG40" s="2297">
        <v>1.32</v>
      </c>
      <c r="AH40" s="2297" t="s">
        <v>331</v>
      </c>
      <c r="AI40" s="1390"/>
      <c r="AJ40" s="2282"/>
      <c r="AK40" s="2282"/>
      <c r="AL40" s="1037"/>
      <c r="AM40" s="339">
        <v>33304</v>
      </c>
      <c r="AN40" s="338" t="s">
        <v>289</v>
      </c>
      <c r="AQ40" s="858"/>
      <c r="AR40" s="338">
        <v>624.02</v>
      </c>
      <c r="AS40" s="338" t="s">
        <v>288</v>
      </c>
      <c r="AU40" s="338">
        <v>900</v>
      </c>
      <c r="AV40" s="338" t="s">
        <v>345</v>
      </c>
      <c r="AX40" s="340">
        <v>22.19</v>
      </c>
      <c r="AY40" s="340" t="s">
        <v>276</v>
      </c>
      <c r="BA40" s="341" t="str">
        <f t="array" ref="BA40">IFERROR(IF($BA$11="Metro",INDEX($AR$13:$AR$814,SMALL(IF((County=$AS$13:$AS$814),MATCH(ROW($AS$13:$AS$814),ROW($AS$13:$AS$814)),""),ROWS($A$13:$A40))),INDEX($AU$13:$AU$48,SMALL(IF((County=$AV$13:$AV$48),MATCH(ROW($AV$13:$AV$48),ROW($AV$13:$AV$48)),""),ROWS($A$13:$A40)))),"")</f>
        <v/>
      </c>
      <c r="BC40" s="341" t="str">
        <f t="array" ref="BC40">IFERROR(IF($BC$11="Yes",INDEX($AX$13:$AX$2950,SMALL(IF((County=$AY$13:$AY$2950),MATCH(ROW($AY$13:$AY$2950),ROW($AY$13:$AY$2950)),""),ROWS($A$13:$A40))),""),"")</f>
        <v/>
      </c>
      <c r="BE40" s="339">
        <v>32346</v>
      </c>
      <c r="BF40" s="338" t="s">
        <v>356</v>
      </c>
      <c r="BH40" s="338">
        <v>2.2000000000000002</v>
      </c>
      <c r="BI40" s="338" t="s">
        <v>331</v>
      </c>
      <c r="BK40" s="338">
        <v>403</v>
      </c>
      <c r="BL40" s="338" t="s">
        <v>317</v>
      </c>
      <c r="BN40" s="340">
        <v>1.34</v>
      </c>
      <c r="BO40" s="340" t="s">
        <v>331</v>
      </c>
      <c r="BP40" s="1385"/>
      <c r="BQ40" s="1386">
        <v>33067</v>
      </c>
      <c r="BR40" s="338" t="s">
        <v>289</v>
      </c>
      <c r="BU40" s="858"/>
      <c r="BV40" s="338">
        <v>17.02</v>
      </c>
      <c r="BW40" s="338" t="s">
        <v>276</v>
      </c>
      <c r="BY40" s="338">
        <v>103.02</v>
      </c>
      <c r="BZ40" s="338" t="s">
        <v>300</v>
      </c>
      <c r="CB40" s="340">
        <v>22.21</v>
      </c>
      <c r="CC40" s="340" t="s">
        <v>276</v>
      </c>
      <c r="CE40" s="341" t="str">
        <f t="array" ref="CE40">IFERROR(IF($CE$11="Metro",INDEX($BV$13:$BV$4972,SMALL(IF((County=$BW$13:$BW$4972),MATCH(ROW($BW$13:$BW$4972),ROW($BW$13:$BW$4972)),""),ROWS($A$13:$A40))),INDEX($BY$13:$BY$212,SMALL(IF((County=$BZ$13:$BZ$212),MATCH(ROW($BZ$13:$BZ$212),ROW($BZ$13:$BZ$212)),""),ROWS($A$13:$A40)))),"")</f>
        <v/>
      </c>
      <c r="CG40" s="341" t="str">
        <f t="array" ref="CG40">IFERROR(IF($CG$11="Yes",INDEX($CB$13:$CB$2950,SMALL(IF((County=$CC$13:$CC$2950),MATCH(ROW($CC$13:$CC$2950),ROW($CC$13:$CC$2950)),""),ROWS($A$13:$A40))),""),"")</f>
        <v/>
      </c>
      <c r="CI40" s="1583">
        <v>32444</v>
      </c>
      <c r="CJ40" s="338" t="s">
        <v>285</v>
      </c>
      <c r="CL40" s="236">
        <v>1.23</v>
      </c>
      <c r="CM40" s="236" t="s">
        <v>331</v>
      </c>
      <c r="CO40" s="338">
        <v>103.02</v>
      </c>
      <c r="CP40" s="338" t="s">
        <v>300</v>
      </c>
      <c r="CR40" s="340">
        <v>1.4</v>
      </c>
      <c r="CS40" s="340" t="s">
        <v>331</v>
      </c>
      <c r="CT40" s="1384"/>
      <c r="CU40" s="341">
        <v>33076</v>
      </c>
      <c r="CV40" s="338" t="s">
        <v>289</v>
      </c>
      <c r="CZ40" s="1795">
        <v>623.02</v>
      </c>
      <c r="DA40" s="338" t="s">
        <v>288</v>
      </c>
      <c r="DC40" s="1795">
        <v>9502.02</v>
      </c>
      <c r="DD40" s="338" t="s">
        <v>345</v>
      </c>
      <c r="DF40" s="340">
        <v>22.19</v>
      </c>
      <c r="DG40" s="340" t="s">
        <v>276</v>
      </c>
      <c r="DI40" s="341" t="str">
        <f t="array" ref="DI40">IFERROR(IF($DI$11="Metro",INDEX($CZ$13:$CZ$929,SMALL(IF((County=$DA$13:$DA$929),MATCH(ROW($DA$13:$DA$929),ROW($DA$13:$DA$929)),""),ROWS($A$13:$A40))),INDEX($DC$13:$DC$212,SMALL(IF((County=$DD$13:$DD$212),MATCH(ROW($DD$13:$DD$212),ROW($DD$13:$DD$212)),""),ROWS($A$13:$A40)))),"")</f>
        <v/>
      </c>
      <c r="DK40" s="341" t="str">
        <f t="array" ref="DK40">IFERROR(IF($DK$11="Yes",INDEX($DF$13:$DF$2838,SMALL(IF((County=$DG$13:$DG$2838),MATCH(ROW($DG$13:$DG$2838),ROW($DG$13:$DG$2838)),""),ROWS($A$13:$A40))),""),"")</f>
        <v/>
      </c>
      <c r="DM40" s="1387">
        <v>32312</v>
      </c>
      <c r="DN40" s="338" t="s">
        <v>324</v>
      </c>
      <c r="DP40" s="236">
        <v>3</v>
      </c>
      <c r="DQ40" s="236" t="s">
        <v>302</v>
      </c>
      <c r="DS40" s="1795">
        <v>9701.02</v>
      </c>
      <c r="DT40" s="338" t="s">
        <v>312</v>
      </c>
      <c r="DV40" s="340">
        <v>1.34</v>
      </c>
      <c r="DW40" s="340" t="s">
        <v>331</v>
      </c>
      <c r="DX40" s="1671"/>
      <c r="DY40" s="1796"/>
      <c r="DZ40" s="1796"/>
      <c r="EB40" s="549" t="s">
        <v>3052</v>
      </c>
      <c r="EC40" s="553" t="str">
        <f>VLOOKUP(EB40,Data1!$A$405:$H$471,8)</f>
        <v>Medium</v>
      </c>
      <c r="ED40" s="549" t="s">
        <v>3092</v>
      </c>
      <c r="EE40" s="549" t="s">
        <v>3146</v>
      </c>
      <c r="EF40" s="556">
        <v>28.545801999999998</v>
      </c>
      <c r="EG40" s="557">
        <v>-82.392971000000003</v>
      </c>
      <c r="EH40" s="553" t="s">
        <v>633</v>
      </c>
      <c r="EI40" s="552" t="s">
        <v>634</v>
      </c>
      <c r="EJ40" s="550" t="str">
        <f t="shared" si="0"/>
        <v>Hernando  - Summit Villas - Site 1</v>
      </c>
      <c r="EK40" s="561" t="str">
        <f t="shared" si="1"/>
        <v>Elderly Non-ALF</v>
      </c>
      <c r="EL40" s="550" t="str">
        <f t="shared" si="2"/>
        <v>(28.545802, -82.392971)</v>
      </c>
      <c r="EM40" s="552" t="str">
        <f t="shared" si="3"/>
        <v>&gt;30</v>
      </c>
      <c r="EN40" s="1941">
        <f t="shared" si="4"/>
        <v>1</v>
      </c>
      <c r="EO40" t="str">
        <f t="shared" si="5"/>
        <v>Hernando  - Summit Villas - Site 1</v>
      </c>
      <c r="EP40" s="1941">
        <f t="shared" si="6"/>
        <v>4157.095391623192</v>
      </c>
      <c r="EQ40" s="1941" t="str">
        <f t="shared" si="7"/>
        <v>No</v>
      </c>
      <c r="ER40" s="1941" t="str">
        <f>VLOOKUP(EB40,Data1!$G$405:$H$471,2)</f>
        <v>Medium</v>
      </c>
      <c r="ET40" s="1941" t="str">
        <f>IF(EU40&gt;0,SUM(EU$13:EU40),"")</f>
        <v/>
      </c>
      <c r="EU40" s="1941">
        <f t="shared" si="8"/>
        <v>0</v>
      </c>
      <c r="EV40" s="1148" t="str">
        <f t="shared" si="9"/>
        <v xml:space="preserve">Hernando  - Summit Villas </v>
      </c>
    </row>
    <row r="41" spans="1:152" ht="14.65" customHeight="1">
      <c r="A41" s="339">
        <v>33065</v>
      </c>
      <c r="B41" s="338" t="s">
        <v>289</v>
      </c>
      <c r="E41" s="858"/>
      <c r="F41" s="338">
        <v>649.02</v>
      </c>
      <c r="G41" s="338" t="s">
        <v>288</v>
      </c>
      <c r="I41" s="338">
        <v>9512</v>
      </c>
      <c r="J41" s="338" t="s">
        <v>345</v>
      </c>
      <c r="L41" s="2481">
        <v>22.19</v>
      </c>
      <c r="M41" s="340" t="s">
        <v>276</v>
      </c>
      <c r="N41" s="1390"/>
      <c r="O41" s="2479"/>
      <c r="P41" s="2282"/>
      <c r="R41" s="341" t="str">
        <f t="array" ref="R41">IFERROR(IF($R$11="Metro",INDEX($F$13:$F$829,SMALL(IF((County=$G$13:$G$829),MATCH(ROW($G$13:$G$829),ROW($G$13:$G$829)),""),ROWS($A$13:A41))),INDEX($I$13:$I$44,SMALL(IF((County=$J$13:$J$44),MATCH(ROW($J$13:$J$44),ROW($J$13:$J$44)),""),ROWS($A$13:A41)))),"")</f>
        <v/>
      </c>
      <c r="T41" s="341" t="str">
        <f t="array" ref="T41">IFERROR(IF($T$11="Yes",INDEX($L$13:$L$2813,SMALL(IF((County=$M$13:$M$2813),MATCH(ROW($M$13:$M$2813),ROW($M$13:$M$2813)),""),ROWS($A$13:A41))),""),"")</f>
        <v/>
      </c>
      <c r="V41" s="2283" t="str">
        <f t="array" ref="V41">IFERROR(IF($T$11="Yes",INDEX($O$14:$O$2811,SMALL(IF((County=$P$14:$P$2811),MATCH(ROW($P$14:$P$2811),ROW($P$14:$P$2811)),""),ROWS($A$13:A41))),""),"")</f>
        <v/>
      </c>
      <c r="X41" s="339">
        <v>32224</v>
      </c>
      <c r="Y41" s="338" t="s">
        <v>302</v>
      </c>
      <c r="AA41" s="338">
        <v>3</v>
      </c>
      <c r="AB41" s="338" t="s">
        <v>347</v>
      </c>
      <c r="AD41" s="338">
        <v>9604.0300000000007</v>
      </c>
      <c r="AE41" s="338" t="s">
        <v>317</v>
      </c>
      <c r="AG41" s="2297">
        <v>1.41</v>
      </c>
      <c r="AH41" s="2297" t="s">
        <v>331</v>
      </c>
      <c r="AI41" s="1390"/>
      <c r="AJ41" s="2282"/>
      <c r="AK41" s="2282"/>
      <c r="AL41" s="1037"/>
      <c r="AM41" s="339">
        <v>33308</v>
      </c>
      <c r="AN41" s="338" t="s">
        <v>289</v>
      </c>
      <c r="AQ41" s="858"/>
      <c r="AR41" s="338">
        <v>625</v>
      </c>
      <c r="AS41" s="338" t="s">
        <v>288</v>
      </c>
      <c r="AU41" s="338">
        <v>1200</v>
      </c>
      <c r="AV41" s="338" t="s">
        <v>345</v>
      </c>
      <c r="AX41" s="340">
        <v>22.21</v>
      </c>
      <c r="AY41" s="340" t="s">
        <v>276</v>
      </c>
      <c r="BA41" s="341" t="str">
        <f t="array" ref="BA41">IFERROR(IF($BA$11="Metro",INDEX($AR$13:$AR$814,SMALL(IF((County=$AS$13:$AS$814),MATCH(ROW($AS$13:$AS$814),ROW($AS$13:$AS$814)),""),ROWS($A$13:$A41))),INDEX($AU$13:$AU$48,SMALL(IF((County=$AV$13:$AV$48),MATCH(ROW($AV$13:$AV$48),ROW($AV$13:$AV$48)),""),ROWS($A$13:$A41)))),"")</f>
        <v/>
      </c>
      <c r="BC41" s="341" t="str">
        <f t="array" ref="BC41">IFERROR(IF($BC$11="Yes",INDEX($AX$13:$AX$2950,SMALL(IF((County=$AY$13:$AY$2950),MATCH(ROW($AY$13:$AY$2950),ROW($AY$13:$AY$2950)),""),ROWS($A$13:$A41))),""),"")</f>
        <v/>
      </c>
      <c r="BE41" s="339">
        <v>32403</v>
      </c>
      <c r="BF41" s="338" t="s">
        <v>285</v>
      </c>
      <c r="BH41" s="338">
        <v>2.2200000000000002</v>
      </c>
      <c r="BI41" s="338" t="s">
        <v>331</v>
      </c>
      <c r="BK41" s="338">
        <v>600</v>
      </c>
      <c r="BL41" s="338" t="s">
        <v>319</v>
      </c>
      <c r="BN41" s="340">
        <v>1.4</v>
      </c>
      <c r="BO41" s="340" t="s">
        <v>331</v>
      </c>
      <c r="BP41" s="1385"/>
      <c r="BQ41" s="1386">
        <v>33068</v>
      </c>
      <c r="BR41" s="338" t="s">
        <v>289</v>
      </c>
      <c r="BU41" s="858"/>
      <c r="BV41" s="338">
        <v>18.02</v>
      </c>
      <c r="BW41" s="338" t="s">
        <v>276</v>
      </c>
      <c r="BY41" s="338">
        <v>104.03</v>
      </c>
      <c r="BZ41" s="338" t="s">
        <v>300</v>
      </c>
      <c r="CB41" s="340">
        <v>22.22</v>
      </c>
      <c r="CC41" s="340" t="s">
        <v>276</v>
      </c>
      <c r="CE41" s="341" t="str">
        <f t="array" ref="CE41">IFERROR(IF($CE$11="Metro",INDEX($BV$13:$BV$4972,SMALL(IF((County=$BW$13:$BW$4972),MATCH(ROW($BW$13:$BW$4972),ROW($BW$13:$BW$4972)),""),ROWS($A$13:$A41))),INDEX($BY$13:$BY$212,SMALL(IF((County=$BZ$13:$BZ$212),MATCH(ROW($BZ$13:$BZ$212),ROW($BZ$13:$BZ$212)),""),ROWS($A$13:$A41)))),"")</f>
        <v/>
      </c>
      <c r="CG41" s="341" t="str">
        <f t="array" ref="CG41">IFERROR(IF($CG$11="Yes",INDEX($CB$13:$CB$2950,SMALL(IF((County=$CC$13:$CC$2950),MATCH(ROW($CC$13:$CC$2950),ROW($CC$13:$CC$2950)),""),ROWS($A$13:$A41))),""),"")</f>
        <v/>
      </c>
      <c r="CI41" s="1583">
        <v>32456</v>
      </c>
      <c r="CJ41" s="338" t="s">
        <v>310</v>
      </c>
      <c r="CL41" s="236">
        <v>1.24</v>
      </c>
      <c r="CM41" s="236" t="s">
        <v>331</v>
      </c>
      <c r="CO41" s="338">
        <v>104.03</v>
      </c>
      <c r="CP41" s="338" t="s">
        <v>300</v>
      </c>
      <c r="CR41" s="340">
        <v>1.41</v>
      </c>
      <c r="CS41" s="340" t="s">
        <v>331</v>
      </c>
      <c r="CT41" s="1384"/>
      <c r="CU41" s="341">
        <v>33301</v>
      </c>
      <c r="CV41" s="338" t="s">
        <v>289</v>
      </c>
      <c r="CZ41" s="1795">
        <v>624.01</v>
      </c>
      <c r="DA41" s="338" t="s">
        <v>288</v>
      </c>
      <c r="DC41" s="1795">
        <v>9507</v>
      </c>
      <c r="DD41" s="338" t="s">
        <v>345</v>
      </c>
      <c r="DF41" s="340">
        <v>22.21</v>
      </c>
      <c r="DG41" s="340" t="s">
        <v>276</v>
      </c>
      <c r="DI41" s="341" t="str">
        <f t="array" ref="DI41">IFERROR(IF($DI$11="Metro",INDEX($CZ$13:$CZ$929,SMALL(IF((County=$DA$13:$DA$929),MATCH(ROW($DA$13:$DA$929),ROW($DA$13:$DA$929)),""),ROWS($A$13:$A41))),INDEX($DC$13:$DC$212,SMALL(IF((County=$DD$13:$DD$212),MATCH(ROW($DD$13:$DD$212),ROW($DD$13:$DD$212)),""),ROWS($A$13:$A41)))),"")</f>
        <v/>
      </c>
      <c r="DK41" s="341" t="str">
        <f t="array" ref="DK41">IFERROR(IF($DK$11="Yes",INDEX($DF$13:$DF$2838,SMALL(IF((County=$DG$13:$DG$2838),MATCH(ROW($DG$13:$DG$2838),ROW($DG$13:$DG$2838)),""),ROWS($A$13:$A41))),""),"")</f>
        <v/>
      </c>
      <c r="DM41" s="1387">
        <v>32346</v>
      </c>
      <c r="DN41" s="338" t="s">
        <v>356</v>
      </c>
      <c r="DP41" s="236">
        <v>3</v>
      </c>
      <c r="DQ41" s="236" t="s">
        <v>313</v>
      </c>
      <c r="DS41" s="1795">
        <v>9701.0400000000009</v>
      </c>
      <c r="DT41" s="338" t="s">
        <v>358</v>
      </c>
      <c r="DV41" s="340">
        <v>1.4</v>
      </c>
      <c r="DW41" s="340" t="s">
        <v>331</v>
      </c>
      <c r="DX41" s="1671"/>
      <c r="DY41" s="1796"/>
      <c r="DZ41" s="1796"/>
      <c r="EB41" s="554" t="s">
        <v>3052</v>
      </c>
      <c r="EC41" s="553" t="str">
        <f>VLOOKUP(EB41,Data1!$A$405:$H$471,8)</f>
        <v>Medium</v>
      </c>
      <c r="ED41" s="554" t="s">
        <v>3092</v>
      </c>
      <c r="EE41" s="549" t="s">
        <v>3147</v>
      </c>
      <c r="EF41" s="549">
        <v>28.546555999999999</v>
      </c>
      <c r="EG41" s="549">
        <v>-82.392735000000002</v>
      </c>
      <c r="EH41" s="553" t="s">
        <v>633</v>
      </c>
      <c r="EI41" s="555" t="s">
        <v>634</v>
      </c>
      <c r="EJ41" s="550" t="str">
        <f t="shared" si="0"/>
        <v>Hernando  - Summit Villas - Site 2</v>
      </c>
      <c r="EK41" s="561" t="str">
        <f t="shared" si="1"/>
        <v>Elderly Non-ALF</v>
      </c>
      <c r="EL41" s="550" t="str">
        <f t="shared" si="2"/>
        <v>(28.546556, -82.392735)</v>
      </c>
      <c r="EM41" s="552" t="str">
        <f t="shared" si="3"/>
        <v>&gt;30</v>
      </c>
      <c r="EN41" s="1941">
        <f t="shared" si="4"/>
        <v>1</v>
      </c>
      <c r="EO41" t="str">
        <f t="shared" si="5"/>
        <v>Hernando  - Summit Villas - Site 2</v>
      </c>
      <c r="EP41" s="1941">
        <f t="shared" si="6"/>
        <v>4157.1000120393419</v>
      </c>
      <c r="EQ41" s="1941" t="str">
        <f t="shared" si="7"/>
        <v>No</v>
      </c>
      <c r="ER41" s="1941" t="str">
        <f>VLOOKUP(EB41,Data1!$G$405:$H$471,2)</f>
        <v>Medium</v>
      </c>
      <c r="ET41" s="1941" t="str">
        <f>IF(EU41&gt;0,SUM(EU$13:EU41),"")</f>
        <v/>
      </c>
      <c r="EU41" s="1941">
        <f t="shared" si="8"/>
        <v>0</v>
      </c>
      <c r="EV41" s="1148" t="str">
        <f t="shared" si="9"/>
        <v xml:space="preserve">Hernando  - Summit Villas </v>
      </c>
    </row>
    <row r="42" spans="1:152" ht="14.65" customHeight="1">
      <c r="A42" s="339">
        <v>33066</v>
      </c>
      <c r="B42" s="338" t="s">
        <v>289</v>
      </c>
      <c r="E42" s="858"/>
      <c r="F42" s="338">
        <v>651.24</v>
      </c>
      <c r="G42" s="338" t="s">
        <v>288</v>
      </c>
      <c r="I42" s="338">
        <v>9513</v>
      </c>
      <c r="J42" s="338" t="s">
        <v>345</v>
      </c>
      <c r="L42" s="2481">
        <v>22.21</v>
      </c>
      <c r="M42" s="340" t="s">
        <v>276</v>
      </c>
      <c r="N42" s="1390"/>
      <c r="O42" s="2479"/>
      <c r="P42" s="2282"/>
      <c r="R42" s="341" t="str">
        <f t="array" ref="R42">IFERROR(IF($R$11="Metro",INDEX($F$13:$F$829,SMALL(IF((County=$G$13:$G$829),MATCH(ROW($G$13:$G$829),ROW($G$13:$G$829)),""),ROWS($A$13:A42))),INDEX($I$13:$I$44,SMALL(IF((County=$J$13:$J$44),MATCH(ROW($J$13:$J$44),ROW($J$13:$J$44)),""),ROWS($A$13:A42)))),"")</f>
        <v/>
      </c>
      <c r="T42" s="341" t="str">
        <f t="array" ref="T42">IFERROR(IF($T$11="Yes",INDEX($L$13:$L$2813,SMALL(IF((County=$M$13:$M$2813),MATCH(ROW($M$13:$M$2813),ROW($M$13:$M$2813)),""),ROWS($A$13:A42))),""),"")</f>
        <v/>
      </c>
      <c r="V42" s="2283" t="str">
        <f t="array" ref="V42">IFERROR(IF($T$11="Yes",INDEX($O$14:$O$2811,SMALL(IF((County=$P$14:$P$2811),MATCH(ROW($P$14:$P$2811),ROW($P$14:$P$2811)),""),ROWS($A$13:A42))),""),"")</f>
        <v/>
      </c>
      <c r="X42" s="339">
        <v>32225</v>
      </c>
      <c r="Y42" s="338" t="s">
        <v>302</v>
      </c>
      <c r="AA42" s="338">
        <v>3.01</v>
      </c>
      <c r="AB42" s="338" t="s">
        <v>316</v>
      </c>
      <c r="AD42" s="338">
        <v>9702</v>
      </c>
      <c r="AE42" s="338" t="s">
        <v>306</v>
      </c>
      <c r="AG42" s="2297">
        <v>1.42</v>
      </c>
      <c r="AH42" s="2297" t="s">
        <v>331</v>
      </c>
      <c r="AI42" s="1390"/>
      <c r="AJ42" s="2282"/>
      <c r="AK42" s="2282"/>
      <c r="AL42" s="1037"/>
      <c r="AM42" s="339">
        <v>33315</v>
      </c>
      <c r="AN42" s="338" t="s">
        <v>289</v>
      </c>
      <c r="AQ42" s="858"/>
      <c r="AR42" s="338">
        <v>626</v>
      </c>
      <c r="AS42" s="338" t="s">
        <v>288</v>
      </c>
      <c r="AU42" s="338">
        <v>1401</v>
      </c>
      <c r="AV42" s="338" t="s">
        <v>345</v>
      </c>
      <c r="AX42" s="340">
        <v>22.22</v>
      </c>
      <c r="AY42" s="340" t="s">
        <v>276</v>
      </c>
      <c r="BA42" s="341" t="str">
        <f t="array" ref="BA42">IFERROR(IF($BA$11="Metro",INDEX($AR$13:$AR$814,SMALL(IF((County=$AS$13:$AS$814),MATCH(ROW($AS$13:$AS$814),ROW($AS$13:$AS$814)),""),ROWS($A$13:$A48))),INDEX($AU$13:$AU$48,SMALL(IF((County=$AV$13:$AV$48),MATCH(ROW($AV$13:$AV$48),ROW($AV$13:$AV$48)),""),ROWS($A$13:$A48)))),"")</f>
        <v/>
      </c>
      <c r="BC42" s="341" t="str">
        <f t="array" ref="BC42">IFERROR(IF($BC$11="Yes",INDEX($AX$13:$AX$2950,SMALL(IF((County=$AY$13:$AY$2950),MATCH(ROW($AY$13:$AY$2950),ROW($AY$13:$AY$2950)),""),ROWS($A$13:$A42))),""),"")</f>
        <v/>
      </c>
      <c r="BE42" s="339">
        <v>32407</v>
      </c>
      <c r="BF42" s="338" t="s">
        <v>285</v>
      </c>
      <c r="BH42" s="338">
        <v>2.23</v>
      </c>
      <c r="BI42" s="338" t="s">
        <v>331</v>
      </c>
      <c r="BK42" s="338">
        <v>601</v>
      </c>
      <c r="BL42" s="338" t="s">
        <v>313</v>
      </c>
      <c r="BN42" s="340">
        <v>1.41</v>
      </c>
      <c r="BO42" s="340" t="s">
        <v>331</v>
      </c>
      <c r="BP42" s="1385"/>
      <c r="BQ42" s="1386">
        <v>33069</v>
      </c>
      <c r="BR42" s="338" t="s">
        <v>289</v>
      </c>
      <c r="BU42" s="858"/>
      <c r="BV42" s="338">
        <v>18.03</v>
      </c>
      <c r="BW42" s="338" t="s">
        <v>276</v>
      </c>
      <c r="BY42" s="338">
        <v>104.04</v>
      </c>
      <c r="BZ42" s="338" t="s">
        <v>300</v>
      </c>
      <c r="CB42" s="340">
        <v>1108</v>
      </c>
      <c r="CC42" s="340" t="s">
        <v>276</v>
      </c>
      <c r="CE42" s="341" t="str">
        <f t="array" ref="CE42">IFERROR(IF($CE$11="Metro",INDEX($BV$13:$BV$4972,SMALL(IF((County=$BW$13:$BW$4972),MATCH(ROW($BW$13:$BW$4972),ROW($BW$13:$BW$4972)),""),ROWS($A$13:$A42))),INDEX($BY$13:$BY$212,SMALL(IF((County=$BZ$13:$BZ$212),MATCH(ROW($BZ$13:$BZ$212),ROW($BZ$13:$BZ$212)),""),ROWS($A$13:$A42)))),"")</f>
        <v/>
      </c>
      <c r="CG42" s="341" t="str">
        <f t="array" ref="CG42">IFERROR(IF($CG$11="Yes",INDEX($CB$13:$CB$2950,SMALL(IF((County=$CC$13:$CC$2950),MATCH(ROW($CC$13:$CC$2950),ROW($CC$13:$CC$2950)),""),ROWS($A$13:$A42))),""),"")</f>
        <v/>
      </c>
      <c r="CI42" s="1387">
        <v>32459</v>
      </c>
      <c r="CJ42" s="236" t="s">
        <v>357</v>
      </c>
      <c r="CL42" s="236">
        <v>1.25</v>
      </c>
      <c r="CM42" s="236" t="s">
        <v>331</v>
      </c>
      <c r="CO42" s="338">
        <v>104.04</v>
      </c>
      <c r="CP42" s="338" t="s">
        <v>300</v>
      </c>
      <c r="CR42" s="340">
        <v>1.42</v>
      </c>
      <c r="CS42" s="340" t="s">
        <v>331</v>
      </c>
      <c r="CT42" s="1384"/>
      <c r="CU42" s="341">
        <v>33304</v>
      </c>
      <c r="CV42" s="338" t="s">
        <v>289</v>
      </c>
      <c r="CZ42" s="1795">
        <v>624.02</v>
      </c>
      <c r="DA42" s="338" t="s">
        <v>288</v>
      </c>
      <c r="DC42" s="1795">
        <v>9508</v>
      </c>
      <c r="DD42" s="338" t="s">
        <v>345</v>
      </c>
      <c r="DF42" s="340">
        <v>22.22</v>
      </c>
      <c r="DG42" s="340" t="s">
        <v>276</v>
      </c>
      <c r="DI42" s="341" t="str">
        <f t="array" ref="DI42">IFERROR(IF($DI$11="Metro",INDEX($CZ$13:$CZ$929,SMALL(IF((County=$DA$13:$DA$929),MATCH(ROW($DA$13:$DA$929),ROW($DA$13:$DA$929)),""),ROWS($A$13:$A42))),INDEX($DC$13:$DC$212,SMALL(IF((County=$DD$13:$DD$212),MATCH(ROW($DD$13:$DD$212),ROW($DD$13:$DD$212)),""),ROWS($A$13:$A42)))),"")</f>
        <v/>
      </c>
      <c r="DK42" s="341" t="str">
        <f t="array" ref="DK42">IFERROR(IF($DK$11="Yes",INDEX($DF$13:$DF$2838,SMALL(IF((County=$DG$13:$DG$2838),MATCH(ROW($DG$13:$DG$2838),ROW($DG$13:$DG$2838)),""),ROWS($A$13:$A42))),""),"")</f>
        <v/>
      </c>
      <c r="DM42" s="1387">
        <v>32403</v>
      </c>
      <c r="DN42" s="338" t="s">
        <v>285</v>
      </c>
      <c r="DP42" s="236">
        <v>3</v>
      </c>
      <c r="DQ42" s="236" t="s">
        <v>347</v>
      </c>
      <c r="DS42" s="1795">
        <v>9702</v>
      </c>
      <c r="DT42" s="338" t="s">
        <v>358</v>
      </c>
      <c r="DV42" s="340">
        <v>1.41</v>
      </c>
      <c r="DW42" s="340" t="s">
        <v>331</v>
      </c>
      <c r="DX42" s="1671"/>
      <c r="DY42" s="1796"/>
      <c r="DZ42" s="1796"/>
      <c r="EB42" s="549" t="s">
        <v>315</v>
      </c>
      <c r="EC42" s="553" t="str">
        <f>VLOOKUP(EB42,Data1!$A$405:$H$471,8)</f>
        <v>Medium</v>
      </c>
      <c r="ED42" s="549" t="s">
        <v>3093</v>
      </c>
      <c r="EE42" s="549" t="s">
        <v>3094</v>
      </c>
      <c r="EF42" s="549">
        <v>27.588829</v>
      </c>
      <c r="EG42" s="549">
        <v>-81.512071000000006</v>
      </c>
      <c r="EH42" s="553" t="s">
        <v>635</v>
      </c>
      <c r="EI42" s="553" t="s">
        <v>634</v>
      </c>
      <c r="EJ42" s="550" t="str">
        <f t="shared" si="0"/>
        <v>Highlands - Addison Grove</v>
      </c>
      <c r="EK42" s="561" t="str">
        <f t="shared" si="1"/>
        <v>Family</v>
      </c>
      <c r="EL42" s="550" t="str">
        <f t="shared" si="2"/>
        <v>(27.588829, -81.512071)</v>
      </c>
      <c r="EM42" s="552" t="str">
        <f t="shared" si="3"/>
        <v>&gt;30</v>
      </c>
      <c r="EN42" s="1941" t="str">
        <f t="shared" si="4"/>
        <v/>
      </c>
      <c r="EO42" t="str">
        <f t="shared" si="5"/>
        <v>Highlands - Addison Grove</v>
      </c>
      <c r="EP42" s="1941">
        <f t="shared" si="6"/>
        <v>4127.9033204725811</v>
      </c>
      <c r="EQ42" s="1941" t="str">
        <f t="shared" si="7"/>
        <v>No</v>
      </c>
      <c r="ER42" s="1941" t="str">
        <f>VLOOKUP(EB42,Data1!$G$405:$H$471,2)</f>
        <v>Medium</v>
      </c>
      <c r="ET42" s="1941" t="str">
        <f>IF(EU42&gt;0,SUM(EU$13:EU42),"")</f>
        <v/>
      </c>
      <c r="EU42" s="1941">
        <f t="shared" si="8"/>
        <v>0</v>
      </c>
      <c r="EV42" s="1148" t="str">
        <f t="shared" si="9"/>
        <v>Highlands - Addison Grove</v>
      </c>
    </row>
    <row r="43" spans="1:152" ht="14.65" customHeight="1">
      <c r="A43" s="339">
        <v>33067</v>
      </c>
      <c r="B43" s="338" t="s">
        <v>289</v>
      </c>
      <c r="E43" s="858"/>
      <c r="F43" s="338">
        <v>651.28</v>
      </c>
      <c r="G43" s="338" t="s">
        <v>288</v>
      </c>
      <c r="I43" s="338">
        <v>9514.01</v>
      </c>
      <c r="J43" s="338" t="s">
        <v>345</v>
      </c>
      <c r="L43" s="2481">
        <v>22.22</v>
      </c>
      <c r="M43" s="340" t="s">
        <v>276</v>
      </c>
      <c r="N43" s="1390"/>
      <c r="O43" s="2479"/>
      <c r="P43" s="2282"/>
      <c r="R43" s="341" t="str">
        <f t="array" ref="R43">IFERROR(IF($R$11="Metro",INDEX($F$13:$F$829,SMALL(IF((County=$G$13:$G$829),MATCH(ROW($G$13:$G$829),ROW($G$13:$G$829)),""),ROWS($A$13:A43))),INDEX($I$13:$I$44,SMALL(IF((County=$J$13:$J$44),MATCH(ROW($J$13:$J$44),ROW($J$13:$J$44)),""),ROWS($A$13:A43)))),"")</f>
        <v/>
      </c>
      <c r="T43" s="341" t="str">
        <f t="array" ref="T43">IFERROR(IF($T$11="Yes",INDEX($L$13:$L$2813,SMALL(IF((County=$M$13:$M$2813),MATCH(ROW($M$13:$M$2813),ROW($M$13:$M$2813)),""),ROWS($A$13:A43))),""),"")</f>
        <v/>
      </c>
      <c r="V43" s="2283" t="str">
        <f t="array" ref="V43">IFERROR(IF($T$11="Yes",INDEX($O$14:$O$2811,SMALL(IF((County=$P$14:$P$2811),MATCH(ROW($P$14:$P$2811),ROW($P$14:$P$2811)),""),ROWS($A$13:A43))),""),"")</f>
        <v/>
      </c>
      <c r="X43" s="339">
        <v>32226</v>
      </c>
      <c r="Y43" s="338" t="s">
        <v>302</v>
      </c>
      <c r="AA43" s="338">
        <v>3.02</v>
      </c>
      <c r="AB43" s="338" t="s">
        <v>316</v>
      </c>
      <c r="AD43" s="338">
        <v>9713</v>
      </c>
      <c r="AE43" s="338" t="s">
        <v>333</v>
      </c>
      <c r="AG43" s="2297">
        <v>1.43</v>
      </c>
      <c r="AH43" s="2297" t="s">
        <v>331</v>
      </c>
      <c r="AI43" s="1390"/>
      <c r="AJ43" s="2282"/>
      <c r="AK43" s="2282"/>
      <c r="AL43" s="1037"/>
      <c r="AM43" s="339">
        <v>33321</v>
      </c>
      <c r="AN43" s="338" t="s">
        <v>289</v>
      </c>
      <c r="AQ43" s="858"/>
      <c r="AR43" s="338">
        <v>642.02</v>
      </c>
      <c r="AS43" s="338" t="s">
        <v>288</v>
      </c>
      <c r="AU43" s="338">
        <v>301</v>
      </c>
      <c r="AV43" s="338" t="s">
        <v>353</v>
      </c>
      <c r="AX43" s="340">
        <v>1108</v>
      </c>
      <c r="AY43" s="340" t="s">
        <v>276</v>
      </c>
      <c r="BA43" s="341" t="str">
        <f t="array" ref="BA43">IFERROR(IF($BA$11="Metro",INDEX($AR$13:$AR$814,SMALL(IF((County=$AS$13:$AS$814),MATCH(ROW($AS$13:$AS$814),ROW($AS$13:$AS$814)),""),ROWS($A$13:$A43))),INDEX($AU$13:$AU$48,SMALL(IF((County=$AV$13:$AV$48),MATCH(ROW($AV$13:$AV$48),ROW($AV$13:$AV$48)),""),ROWS($A$13:$A43)))),"")</f>
        <v/>
      </c>
      <c r="BC43" s="341" t="str">
        <f t="array" ref="BC43">IFERROR(IF($BC$11="Yes",INDEX($AX$13:$AX$2950,SMALL(IF((County=$AY$13:$AY$2950),MATCH(ROW($AY$13:$AY$2950),ROW($AY$13:$AY$2950)),""),ROWS($A$13:$A43))),""),"")</f>
        <v/>
      </c>
      <c r="BE43" s="339">
        <v>32410</v>
      </c>
      <c r="BF43" s="338" t="s">
        <v>285</v>
      </c>
      <c r="BH43" s="338">
        <v>2.2400000000000002</v>
      </c>
      <c r="BI43" s="338" t="s">
        <v>331</v>
      </c>
      <c r="BK43" s="338">
        <v>602</v>
      </c>
      <c r="BL43" s="338" t="s">
        <v>313</v>
      </c>
      <c r="BN43" s="340">
        <v>1.43</v>
      </c>
      <c r="BO43" s="340" t="s">
        <v>331</v>
      </c>
      <c r="BP43" s="1385"/>
      <c r="BQ43" s="1386">
        <v>33071</v>
      </c>
      <c r="BR43" s="338" t="s">
        <v>289</v>
      </c>
      <c r="BU43" s="858"/>
      <c r="BV43" s="338">
        <v>18.11</v>
      </c>
      <c r="BW43" s="338" t="s">
        <v>276</v>
      </c>
      <c r="BY43" s="338">
        <v>104.05</v>
      </c>
      <c r="BZ43" s="338" t="s">
        <v>300</v>
      </c>
      <c r="CB43" s="340">
        <v>401.01</v>
      </c>
      <c r="CC43" s="340" t="s">
        <v>281</v>
      </c>
      <c r="CE43" s="341" t="str">
        <f t="array" ref="CE43">IFERROR(IF($CE$11="Metro",INDEX($BV$13:$BV$4972,SMALL(IF((County=$BW$13:$BW$4972),MATCH(ROW($BW$13:$BW$4972),ROW($BW$13:$BW$4972)),""),ROWS($A$13:$A43))),INDEX($BY$13:$BY$212,SMALL(IF((County=$BZ$13:$BZ$212),MATCH(ROW($BZ$13:$BZ$212),ROW($BZ$13:$BZ$212)),""),ROWS($A$13:$A43)))),"")</f>
        <v/>
      </c>
      <c r="CG43" s="341" t="str">
        <f t="array" ref="CG43">IFERROR(IF($CG$11="Yes",INDEX($CB$13:$CB$2950,SMALL(IF((County=$CC$13:$CC$2950),MATCH(ROW($CC$13:$CC$2950),ROW($CC$13:$CC$2950)),""),ROWS($A$13:$A43))),""),"")</f>
        <v/>
      </c>
      <c r="CI43" s="1583">
        <v>32508</v>
      </c>
      <c r="CJ43" s="338" t="s">
        <v>304</v>
      </c>
      <c r="CL43" s="236">
        <v>1.26</v>
      </c>
      <c r="CM43" s="236" t="s">
        <v>331</v>
      </c>
      <c r="CO43" s="338">
        <v>104.05</v>
      </c>
      <c r="CP43" s="338" t="s">
        <v>300</v>
      </c>
      <c r="CR43" s="340">
        <v>1.43</v>
      </c>
      <c r="CS43" s="340" t="s">
        <v>331</v>
      </c>
      <c r="CT43" s="1384"/>
      <c r="CU43" s="341">
        <v>33305</v>
      </c>
      <c r="CV43" s="338" t="s">
        <v>289</v>
      </c>
      <c r="CZ43" s="1795">
        <v>625</v>
      </c>
      <c r="DA43" s="338" t="s">
        <v>288</v>
      </c>
      <c r="DC43" s="1795">
        <v>9509</v>
      </c>
      <c r="DD43" s="338" t="s">
        <v>345</v>
      </c>
      <c r="DF43" s="340">
        <v>1108</v>
      </c>
      <c r="DG43" s="340" t="s">
        <v>276</v>
      </c>
      <c r="DI43" s="341" t="str">
        <f t="array" ref="DI43">IFERROR(IF($DI$11="Metro",INDEX($CZ$13:$CZ$929,SMALL(IF((County=$DA$13:$DA$929),MATCH(ROW($DA$13:$DA$929),ROW($DA$13:$DA$929)),""),ROWS($A$13:$A43))),INDEX($DC$13:$DC$212,SMALL(IF((County=$DD$13:$DD$212),MATCH(ROW($DD$13:$DD$212),ROW($DD$13:$DD$212)),""),ROWS($A$13:$A43)))),"")</f>
        <v/>
      </c>
      <c r="DK43" s="341" t="str">
        <f t="array" ref="DK43">IFERROR(IF($DK$11="Yes",INDEX($DF$13:$DF$2838,SMALL(IF((County=$DG$13:$DG$2838),MATCH(ROW($DG$13:$DG$2838),ROW($DG$13:$DG$2838)),""),ROWS($A$13:$A43))),""),"")</f>
        <v/>
      </c>
      <c r="DM43" s="1387">
        <v>32407</v>
      </c>
      <c r="DN43" s="338" t="s">
        <v>285</v>
      </c>
      <c r="DP43" s="236">
        <v>3.01</v>
      </c>
      <c r="DQ43" s="236" t="s">
        <v>316</v>
      </c>
      <c r="DS43" s="1795">
        <v>9702.01</v>
      </c>
      <c r="DT43" s="338" t="s">
        <v>301</v>
      </c>
      <c r="DV43" s="340">
        <v>1.42</v>
      </c>
      <c r="DW43" s="340" t="s">
        <v>331</v>
      </c>
      <c r="DX43" s="1671"/>
      <c r="DY43" s="1796"/>
      <c r="DZ43" s="1796"/>
      <c r="EB43" s="549" t="s">
        <v>321</v>
      </c>
      <c r="EC43" s="553" t="str">
        <f>VLOOKUP(EB43,Data1!$A$405:$H$471,8)</f>
        <v>Small</v>
      </c>
      <c r="ED43" s="549" t="s">
        <v>3095</v>
      </c>
      <c r="EE43" s="549" t="s">
        <v>3096</v>
      </c>
      <c r="EF43" s="556">
        <v>30.055482999999999</v>
      </c>
      <c r="EG43" s="557">
        <v>-83.181774000000004</v>
      </c>
      <c r="EH43" s="553" t="s">
        <v>633</v>
      </c>
      <c r="EI43" s="552" t="s">
        <v>634</v>
      </c>
      <c r="EJ43" s="550" t="str">
        <f t="shared" si="0"/>
        <v>Lafayette - Serenity at Holly Park</v>
      </c>
      <c r="EK43" s="561" t="str">
        <f t="shared" si="1"/>
        <v>Elderly Non-ALF</v>
      </c>
      <c r="EL43" s="550" t="str">
        <f t="shared" si="2"/>
        <v>(30.055483, -83.181774)</v>
      </c>
      <c r="EM43" s="552" t="str">
        <f t="shared" si="3"/>
        <v>&gt;30</v>
      </c>
      <c r="EN43" s="1941" t="str">
        <f t="shared" si="4"/>
        <v/>
      </c>
      <c r="EO43" t="str">
        <f t="shared" si="5"/>
        <v>Lafayette - Serenity at Holly Park</v>
      </c>
      <c r="EP43" s="1941">
        <f t="shared" si="6"/>
        <v>4191.272652041157</v>
      </c>
      <c r="EQ43" s="1941" t="str">
        <f t="shared" si="7"/>
        <v>No</v>
      </c>
      <c r="ER43" s="1941" t="str">
        <f>VLOOKUP(EB43,Data1!$G$405:$H$471,2)</f>
        <v>Small</v>
      </c>
      <c r="ET43" s="1941" t="str">
        <f>IF(EU43&gt;0,SUM(EU$13:EU43),"")</f>
        <v/>
      </c>
      <c r="EU43" s="1941">
        <f t="shared" si="8"/>
        <v>0</v>
      </c>
      <c r="EV43" s="1148" t="str">
        <f t="shared" si="9"/>
        <v>Lafayette - Serenity at Holly Park</v>
      </c>
    </row>
    <row r="44" spans="1:152" ht="14.65" customHeight="1">
      <c r="A44" s="339">
        <v>33068</v>
      </c>
      <c r="B44" s="338" t="s">
        <v>289</v>
      </c>
      <c r="E44" s="858"/>
      <c r="F44" s="338">
        <v>699.06</v>
      </c>
      <c r="G44" s="338" t="s">
        <v>288</v>
      </c>
      <c r="I44" s="338">
        <v>9514.02</v>
      </c>
      <c r="J44" s="338" t="s">
        <v>345</v>
      </c>
      <c r="L44" s="2481">
        <v>1108</v>
      </c>
      <c r="M44" s="340" t="s">
        <v>276</v>
      </c>
      <c r="N44" s="1390"/>
      <c r="O44" s="2479"/>
      <c r="P44" s="2282"/>
      <c r="R44" s="341" t="str">
        <f t="array" ref="R44">IFERROR(IF($R$11="Metro",INDEX($F$13:$F$829,SMALL(IF((County=$G$13:$G$829),MATCH(ROW($G$13:$G$829),ROW($G$13:$G$829)),""),ROWS($A$13:A44))),INDEX($I$13:$I$44,SMALL(IF((County=$J$13:$J$44),MATCH(ROW($J$13:$J$44),ROW($J$13:$J$44)),""),ROWS($A$13:A44)))),"")</f>
        <v/>
      </c>
      <c r="T44" s="341" t="str">
        <f t="array" ref="T44">IFERROR(IF($T$11="Yes",INDEX($L$13:$L$2813,SMALL(IF((County=$M$13:$M$2813),MATCH(ROW($M$13:$M$2813),ROW($M$13:$M$2813)),""),ROWS($A$13:A44))),""),"")</f>
        <v/>
      </c>
      <c r="V44" s="2283" t="str">
        <f t="array" ref="V44">IFERROR(IF($T$11="Yes",INDEX($O$14:$O$2811,SMALL(IF((County=$P$14:$P$2811),MATCH(ROW($P$14:$P$2811),ROW($P$14:$P$2811)),""),ROWS($A$13:A44))),""),"")</f>
        <v/>
      </c>
      <c r="X44" s="339">
        <v>32227</v>
      </c>
      <c r="Y44" s="338" t="s">
        <v>302</v>
      </c>
      <c r="AA44" s="338">
        <v>3.02</v>
      </c>
      <c r="AB44" s="338" t="s">
        <v>329</v>
      </c>
      <c r="AD44" s="338">
        <v>9724</v>
      </c>
      <c r="AE44" s="338" t="s">
        <v>333</v>
      </c>
      <c r="AG44" s="2297">
        <v>1.44</v>
      </c>
      <c r="AH44" s="2297" t="s">
        <v>331</v>
      </c>
      <c r="AI44" s="1390"/>
      <c r="AJ44" s="2282"/>
      <c r="AK44" s="2282"/>
      <c r="AL44" s="1037"/>
      <c r="AM44" s="339">
        <v>33322</v>
      </c>
      <c r="AN44" s="338" t="s">
        <v>289</v>
      </c>
      <c r="AQ44" s="858"/>
      <c r="AR44" s="338">
        <v>645</v>
      </c>
      <c r="AS44" s="338" t="s">
        <v>288</v>
      </c>
      <c r="AU44" s="338">
        <v>302</v>
      </c>
      <c r="AV44" s="338" t="s">
        <v>353</v>
      </c>
      <c r="AX44" s="340">
        <v>401.01</v>
      </c>
      <c r="AY44" s="340" t="s">
        <v>281</v>
      </c>
      <c r="BA44" s="341" t="str">
        <f t="array" ref="BA44">IFERROR(IF($BA$11="Metro",INDEX($AR$13:$AR$814,SMALL(IF((County=$AS$13:$AS$814),MATCH(ROW($AS$13:$AS$814),ROW($AS$13:$AS$814)),""),ROWS($A$13:$A44))),INDEX($AU$13:$AU$48,SMALL(IF((County=$AV$13:$AV$48),MATCH(ROW($AV$13:$AV$48),ROW($AV$13:$AV$48)),""),ROWS($A$13:$A44)))),"")</f>
        <v/>
      </c>
      <c r="BC44" s="341" t="str">
        <f t="array" ref="BC44">IFERROR(IF($BC$11="Yes",INDEX($AX$13:$AX$2950,SMALL(IF((County=$AY$13:$AY$2950),MATCH(ROW($AY$13:$AY$2950),ROW($AY$13:$AY$2950)),""),ROWS($A$13:$A44))),""),"")</f>
        <v/>
      </c>
      <c r="BE44" s="339">
        <v>32456</v>
      </c>
      <c r="BF44" s="338" t="s">
        <v>310</v>
      </c>
      <c r="BH44" s="338">
        <v>2.27</v>
      </c>
      <c r="BI44" s="338" t="s">
        <v>331</v>
      </c>
      <c r="BK44" s="338">
        <v>700</v>
      </c>
      <c r="BL44" s="338" t="s">
        <v>345</v>
      </c>
      <c r="BN44" s="340">
        <v>1.44</v>
      </c>
      <c r="BO44" s="340" t="s">
        <v>331</v>
      </c>
      <c r="BP44" s="1385"/>
      <c r="BQ44" s="1386">
        <v>33073</v>
      </c>
      <c r="BR44" s="338" t="s">
        <v>289</v>
      </c>
      <c r="BU44" s="858"/>
      <c r="BV44" s="338">
        <v>18.13</v>
      </c>
      <c r="BW44" s="338" t="s">
        <v>276</v>
      </c>
      <c r="BY44" s="338">
        <v>104.06</v>
      </c>
      <c r="BZ44" s="338" t="s">
        <v>300</v>
      </c>
      <c r="CB44" s="340">
        <v>401.02</v>
      </c>
      <c r="CC44" s="340" t="s">
        <v>281</v>
      </c>
      <c r="CE44" s="341" t="str">
        <f t="array" ref="CE44">IFERROR(IF($CE$11="Metro",INDEX($BV$13:$BV$4972,SMALL(IF((County=$BW$13:$BW$4972),MATCH(ROW($BW$13:$BW$4972),ROW($BW$13:$BW$4972)),""),ROWS($A$13:$A44))),INDEX($BY$13:$BY$212,SMALL(IF((County=$BZ$13:$BZ$212),MATCH(ROW($BZ$13:$BZ$212),ROW($BZ$13:$BZ$212)),""),ROWS($A$13:$A44)))),"")</f>
        <v/>
      </c>
      <c r="CG44" s="341" t="str">
        <f t="array" ref="CG44">IFERROR(IF($CG$11="Yes",INDEX($CB$13:$CB$2950,SMALL(IF((County=$CC$13:$CC$2950),MATCH(ROW($CC$13:$CC$2950),ROW($CC$13:$CC$2950)),""),ROWS($A$13:$A44))),""),"")</f>
        <v/>
      </c>
      <c r="CI44" s="1387">
        <v>32541</v>
      </c>
      <c r="CJ44" s="338" t="s">
        <v>336</v>
      </c>
      <c r="CL44" s="236">
        <v>1.27</v>
      </c>
      <c r="CM44" s="236" t="s">
        <v>331</v>
      </c>
      <c r="CO44" s="338">
        <v>104.06</v>
      </c>
      <c r="CP44" s="338" t="s">
        <v>300</v>
      </c>
      <c r="CR44" s="340">
        <v>1.44</v>
      </c>
      <c r="CS44" s="340" t="s">
        <v>331</v>
      </c>
      <c r="CT44" s="1384"/>
      <c r="CU44" s="341">
        <v>33308</v>
      </c>
      <c r="CV44" s="338" t="s">
        <v>289</v>
      </c>
      <c r="CZ44" s="1795">
        <v>626</v>
      </c>
      <c r="DA44" s="338" t="s">
        <v>288</v>
      </c>
      <c r="DC44" s="1795">
        <v>9512</v>
      </c>
      <c r="DD44" s="338" t="s">
        <v>345</v>
      </c>
      <c r="DF44" s="340">
        <v>401.01</v>
      </c>
      <c r="DG44" s="340" t="s">
        <v>281</v>
      </c>
      <c r="DI44" s="341" t="str">
        <f t="array" ref="DI44">IFERROR(IF($DI$11="Metro",INDEX($CZ$13:$CZ$929,SMALL(IF((County=$DA$13:$DA$929),MATCH(ROW($DA$13:$DA$929),ROW($DA$13:$DA$929)),""),ROWS($A$13:$A44))),INDEX($DC$13:$DC$212,SMALL(IF((County=$DD$13:$DD$212),MATCH(ROW($DD$13:$DD$212),ROW($DD$13:$DD$212)),""),ROWS($A$13:$A44)))),"")</f>
        <v/>
      </c>
      <c r="DK44" s="341" t="str">
        <f t="array" ref="DK44">IFERROR(IF($DK$11="Yes",INDEX($DF$13:$DF$2838,SMALL(IF((County=$DG$13:$DG$2838),MATCH(ROW($DG$13:$DG$2838),ROW($DG$13:$DG$2838)),""),ROWS($A$13:$A44))),""),"")</f>
        <v/>
      </c>
      <c r="DM44" s="1387">
        <v>32410</v>
      </c>
      <c r="DN44" s="338" t="s">
        <v>285</v>
      </c>
      <c r="DP44" s="236">
        <v>3.02</v>
      </c>
      <c r="DQ44" s="236" t="s">
        <v>316</v>
      </c>
      <c r="DS44" s="1795">
        <v>9702.01</v>
      </c>
      <c r="DT44" s="338" t="s">
        <v>312</v>
      </c>
      <c r="DV44" s="340">
        <v>1.43</v>
      </c>
      <c r="DW44" s="340" t="s">
        <v>331</v>
      </c>
      <c r="DX44" s="1671"/>
      <c r="EB44" s="562" t="s">
        <v>322</v>
      </c>
      <c r="EC44" s="553" t="str">
        <f>VLOOKUP(EB44,Data1!$A$405:$H$471,8)</f>
        <v>Medium</v>
      </c>
      <c r="ED44" s="562" t="s">
        <v>3097</v>
      </c>
      <c r="EE44" s="563" t="s">
        <v>3098</v>
      </c>
      <c r="EF44" s="563">
        <v>28.813424000000001</v>
      </c>
      <c r="EG44" s="563">
        <v>-81.687234000000004</v>
      </c>
      <c r="EH44" s="564" t="s">
        <v>635</v>
      </c>
      <c r="EI44" s="565" t="s">
        <v>634</v>
      </c>
      <c r="EJ44" s="550" t="str">
        <f t="shared" si="0"/>
        <v xml:space="preserve">Lake - Lake Saunders Apartments </v>
      </c>
      <c r="EK44" s="561" t="str">
        <f t="shared" si="1"/>
        <v>Family</v>
      </c>
      <c r="EL44" s="550" t="str">
        <f t="shared" si="2"/>
        <v>(28.813424, -81.687234)</v>
      </c>
      <c r="EM44" s="552" t="str">
        <f t="shared" si="3"/>
        <v>&gt;30</v>
      </c>
      <c r="EN44" s="1941" t="str">
        <f t="shared" si="4"/>
        <v/>
      </c>
      <c r="EO44" t="str">
        <f t="shared" si="5"/>
        <v xml:space="preserve">Lake - Lake Saunders Apartments </v>
      </c>
      <c r="EP44" s="1941">
        <f t="shared" si="6"/>
        <v>4146.4880164982133</v>
      </c>
      <c r="EQ44" s="1941" t="str">
        <f t="shared" si="7"/>
        <v>No</v>
      </c>
      <c r="ER44" s="1941" t="str">
        <f>VLOOKUP(EB44,Data1!$G$405:$H$471,2)</f>
        <v>Medium</v>
      </c>
      <c r="ET44" s="1941" t="str">
        <f>IF(EU44&gt;0,SUM(EU$13:EU44),"")</f>
        <v/>
      </c>
      <c r="EU44" s="1941">
        <f t="shared" si="8"/>
        <v>0</v>
      </c>
      <c r="EV44" s="1148" t="str">
        <f t="shared" si="9"/>
        <v xml:space="preserve">Lake - Lake Saunders Apartments </v>
      </c>
    </row>
    <row r="45" spans="1:152" ht="14.65" customHeight="1">
      <c r="A45" s="339">
        <v>33069</v>
      </c>
      <c r="B45" s="338" t="s">
        <v>289</v>
      </c>
      <c r="E45" s="858"/>
      <c r="F45" s="338">
        <v>714.02</v>
      </c>
      <c r="G45" s="338" t="s">
        <v>288</v>
      </c>
      <c r="I45" s="2711" t="s">
        <v>2073</v>
      </c>
      <c r="J45" s="2712"/>
      <c r="L45" s="2481">
        <v>401.01</v>
      </c>
      <c r="M45" s="340" t="s">
        <v>281</v>
      </c>
      <c r="N45" s="1390"/>
      <c r="O45" s="2479"/>
      <c r="P45" s="2282"/>
      <c r="R45" s="341" t="str">
        <f t="array" ref="R45">IFERROR(IF($R$11="Metro",INDEX($F$13:$F$829,SMALL(IF((County=$G$13:$G$829),MATCH(ROW($G$13:$G$829),ROW($G$13:$G$829)),""),ROWS($A$13:A45))),INDEX($I$13:$I$44,SMALL(IF((County=$J$13:$J$44),MATCH(ROW($J$13:$J$44),ROW($J$13:$J$44)),""),ROWS($A$13:A45)))),"")</f>
        <v/>
      </c>
      <c r="T45" s="341" t="str">
        <f t="array" ref="T45">IFERROR(IF($T$11="Yes",INDEX($L$13:$L$2813,SMALL(IF((County=$M$13:$M$2813),MATCH(ROW($M$13:$M$2813),ROW($M$13:$M$2813)),""),ROWS($A$13:A45))),""),"")</f>
        <v/>
      </c>
      <c r="V45" s="2283" t="str">
        <f t="array" ref="V45">IFERROR(IF($T$11="Yes",INDEX($O$14:$O$2811,SMALL(IF((County=$P$14:$P$2811),MATCH(ROW($P$14:$P$2811),ROW($P$14:$P$2811)),""),ROWS($A$13:A45))),""),"")</f>
        <v/>
      </c>
      <c r="X45" s="339">
        <v>32228</v>
      </c>
      <c r="Y45" s="338" t="s">
        <v>302</v>
      </c>
      <c r="AA45" s="338">
        <v>3.03</v>
      </c>
      <c r="AB45" s="338" t="s">
        <v>323</v>
      </c>
      <c r="AD45" s="2711" t="s">
        <v>2073</v>
      </c>
      <c r="AE45" s="2712"/>
      <c r="AG45" s="2297">
        <v>1.45</v>
      </c>
      <c r="AH45" s="2297" t="s">
        <v>331</v>
      </c>
      <c r="AI45" s="1390"/>
      <c r="AJ45" s="2282"/>
      <c r="AK45" s="2282"/>
      <c r="AL45" s="1037"/>
      <c r="AM45" s="339">
        <v>33323</v>
      </c>
      <c r="AN45" s="338" t="s">
        <v>289</v>
      </c>
      <c r="AQ45" s="858"/>
      <c r="AR45" s="338">
        <v>648</v>
      </c>
      <c r="AS45" s="338" t="s">
        <v>288</v>
      </c>
      <c r="AU45" s="338">
        <v>103</v>
      </c>
      <c r="AV45" s="338" t="s">
        <v>358</v>
      </c>
      <c r="AX45" s="340">
        <v>401.02</v>
      </c>
      <c r="AY45" s="340" t="s">
        <v>281</v>
      </c>
      <c r="BA45" s="341" t="str">
        <f t="array" ref="BA45">IFERROR(IF($BA$11="Metro",INDEX($AR$13:$AR$814,SMALL(IF((County=$AS$13:$AS$814),MATCH(ROW($AS$13:$AS$814),ROW($AS$13:$AS$814)),""),ROWS($A$13:$A45))),INDEX($AU$13:$AU$48,SMALL(IF((County=$AV$13:$AV$48),MATCH(ROW($AV$13:$AV$48),ROW($AV$13:$AV$48)),""),ROWS($A$13:$A45)))),"")</f>
        <v/>
      </c>
      <c r="BC45" s="341" t="str">
        <f t="array" ref="BC45">IFERROR(IF($BC$11="Yes",INDEX($AX$13:$AX$2950,SMALL(IF((County=$AY$13:$AY$2950),MATCH(ROW($AY$13:$AY$2950),ROW($AY$13:$AY$2950)),""),ROWS($A$13:$A45))),""),"")</f>
        <v/>
      </c>
      <c r="BE45" s="339">
        <v>32459</v>
      </c>
      <c r="BF45" s="338" t="s">
        <v>357</v>
      </c>
      <c r="BH45" s="338">
        <v>2.2799999999999998</v>
      </c>
      <c r="BI45" s="338" t="s">
        <v>331</v>
      </c>
      <c r="BK45" s="338">
        <v>800</v>
      </c>
      <c r="BL45" s="338" t="s">
        <v>345</v>
      </c>
      <c r="BN45" s="340">
        <v>1.45</v>
      </c>
      <c r="BO45" s="340" t="s">
        <v>331</v>
      </c>
      <c r="BP45" s="1385"/>
      <c r="BQ45" s="1386">
        <v>33076</v>
      </c>
      <c r="BR45" s="338" t="s">
        <v>289</v>
      </c>
      <c r="BU45" s="858"/>
      <c r="BV45" s="338">
        <v>18.149999999999999</v>
      </c>
      <c r="BW45" s="338" t="s">
        <v>276</v>
      </c>
      <c r="BY45" s="338">
        <v>9701.01</v>
      </c>
      <c r="BZ45" s="338" t="s">
        <v>301</v>
      </c>
      <c r="CB45" s="340">
        <v>402.02</v>
      </c>
      <c r="CC45" s="340" t="s">
        <v>281</v>
      </c>
      <c r="CE45" s="341" t="str">
        <f t="array" ref="CE45">IFERROR(IF($CE$11="Metro",INDEX($BV$13:$BV$4972,SMALL(IF((County=$BW$13:$BW$4972),MATCH(ROW($BW$13:$BW$4972),ROW($BW$13:$BW$4972)),""),ROWS($A$13:$A45))),INDEX($BY$13:$BY$212,SMALL(IF((County=$BZ$13:$BZ$212),MATCH(ROW($BZ$13:$BZ$212),ROW($BZ$13:$BZ$212)),""),ROWS($A$13:$A45)))),"")</f>
        <v/>
      </c>
      <c r="CG45" s="341" t="str">
        <f t="array" ref="CG45">IFERROR(IF($CG$11="Yes",INDEX($CB$13:$CB$2950,SMALL(IF((County=$CC$13:$CC$2950),MATCH(ROW($CC$13:$CC$2950),ROW($CC$13:$CC$2950)),""),ROWS($A$13:$A45))),""),"")</f>
        <v/>
      </c>
      <c r="CI45" s="1387">
        <v>32542</v>
      </c>
      <c r="CJ45" s="338" t="s">
        <v>336</v>
      </c>
      <c r="CL45" s="236">
        <v>1.28</v>
      </c>
      <c r="CM45" s="236" t="s">
        <v>331</v>
      </c>
      <c r="CO45" s="236">
        <v>1101</v>
      </c>
      <c r="CP45" s="236" t="s">
        <v>327</v>
      </c>
      <c r="CR45" s="340">
        <v>1.45</v>
      </c>
      <c r="CS45" s="340" t="s">
        <v>331</v>
      </c>
      <c r="CT45" s="1384"/>
      <c r="CU45" s="341">
        <v>33312</v>
      </c>
      <c r="CV45" s="338" t="s">
        <v>289</v>
      </c>
      <c r="CZ45" s="1795">
        <v>642.02</v>
      </c>
      <c r="DA45" s="338" t="s">
        <v>288</v>
      </c>
      <c r="DC45" s="1795">
        <v>9514.01</v>
      </c>
      <c r="DD45" s="338" t="s">
        <v>345</v>
      </c>
      <c r="DF45" s="340">
        <v>402.02</v>
      </c>
      <c r="DG45" s="340" t="s">
        <v>281</v>
      </c>
      <c r="DI45" s="341" t="str">
        <f t="array" ref="DI45">IFERROR(IF($DI$11="Metro",INDEX($CZ$13:$CZ$929,SMALL(IF((County=$DA$13:$DA$929),MATCH(ROW($DA$13:$DA$929),ROW($DA$13:$DA$929)),""),ROWS($A$13:$A45))),INDEX($DC$13:$DC$212,SMALL(IF((County=$DD$13:$DD$212),MATCH(ROW($DD$13:$DD$212),ROW($DD$13:$DD$212)),""),ROWS($A$13:$A45)))),"")</f>
        <v/>
      </c>
      <c r="DK45" s="341" t="str">
        <f t="array" ref="DK45">IFERROR(IF($DK$11="Yes",INDEX($DF$13:$DF$2838,SMALL(IF((County=$DG$13:$DG$2838),MATCH(ROW($DG$13:$DG$2838),ROW($DG$13:$DG$2838)),""),ROWS($A$13:$A45))),""),"")</f>
        <v/>
      </c>
      <c r="DM45" s="1387">
        <v>32444</v>
      </c>
      <c r="DN45" s="338" t="s">
        <v>285</v>
      </c>
      <c r="DP45" s="236">
        <v>3.02</v>
      </c>
      <c r="DQ45" s="236" t="s">
        <v>329</v>
      </c>
      <c r="DS45" s="1795">
        <v>9704.01</v>
      </c>
      <c r="DT45" s="338" t="s">
        <v>312</v>
      </c>
      <c r="DV45" s="340">
        <v>1.44</v>
      </c>
      <c r="DW45" s="340" t="s">
        <v>331</v>
      </c>
      <c r="DX45" s="1671"/>
      <c r="EB45" s="561" t="s">
        <v>322</v>
      </c>
      <c r="EC45" s="553" t="str">
        <f>VLOOKUP(EB45,Data1!$A$405:$H$471,8)</f>
        <v>Medium</v>
      </c>
      <c r="ED45" s="561" t="s">
        <v>2345</v>
      </c>
      <c r="EE45" s="549" t="s">
        <v>2346</v>
      </c>
      <c r="EF45" s="549">
        <v>28.844743999999999</v>
      </c>
      <c r="EG45" s="560">
        <v>-81.906739999999999</v>
      </c>
      <c r="EH45" s="553" t="s">
        <v>635</v>
      </c>
      <c r="EI45" s="552" t="s">
        <v>634</v>
      </c>
      <c r="EJ45" s="550" t="str">
        <f t="shared" ref="EJ45:EJ59" si="10">EB45&amp;" - "&amp;EE45</f>
        <v>Lake - Urick Street Apartments</v>
      </c>
      <c r="EK45" s="561" t="str">
        <f t="shared" ref="EK45:EK76" si="11">IF(EH45="F","Family",IF(EH45="E","Elderly Non-ALF",IF(EH45="ALF","Elderly ALF",IF(EH45="W","Workforce",IF(EH45="F,F","Farm/Fishing Worker","")))))</f>
        <v>Family</v>
      </c>
      <c r="EL45" s="550" t="str">
        <f t="shared" ref="EL45:EL59" si="12">"("&amp;EF45&amp;", "&amp;EG45&amp;")"</f>
        <v>(28.844744, -81.90674)</v>
      </c>
      <c r="EM45" s="552" t="str">
        <f t="shared" ref="EM45:EM59" si="13">IF(EI45="N","&gt;30",IF(EI45="Y","&lt;31",""))</f>
        <v>&gt;30</v>
      </c>
      <c r="EN45" s="1941" t="str">
        <f t="shared" ref="EN45:EN76" si="14">IF(AND($EV$11="Yes",_xlfn.MINIFS($EP$13:$EP$76,$EO$13:$EO$76,$EO45)=EP45,IFERROR(FIND("- Site",EJ45),0)&gt;0),1,"")</f>
        <v/>
      </c>
      <c r="EO45" t="str">
        <f t="shared" ref="EO45:EO76" si="15">IF(IFERROR(FIND("- site",EJ45),0)=0,EJ45,LEFT(EJ45,IFERROR(FIND("- site",EJ45),0)-2))</f>
        <v>Lake - Urick Street Apartments</v>
      </c>
      <c r="EP45" s="1941">
        <f t="shared" ref="EP45:EP76" si="16">IF($EF45=0,0,2*ATAN2(SQRT(1-SIN(ABS($EF45-$EO$5)*PI()/180/2)^2+COS($EO$5*PI()/180)*COS($EF45*PI()/180)*SIN(ABS($EG45-$EO$6)*PI()/180/2)^2),SQRT(SIN(ABS($EF45-$EO$5)*PI()/180/2)^2+COS($EO$5*PI()/180)*COS($EF45*PI()/180)*SIN(ABS($EG45-$EO$6)*PI()/180/2)^2))*SQRT((($EK$5^2*COS($EO$5))^2+($EK$6^2*SIN($EO$5))^2)/(($EK$5*COS($EO$5))^2+($EK$6*SIN($EO$5))^2))/$EK$7)</f>
        <v>4151.2258496960458</v>
      </c>
      <c r="EQ45" s="1941" t="str">
        <f t="shared" ref="EQ45:EQ76" si="17">IF($EO$7=EK45,"Yes","No")</f>
        <v>No</v>
      </c>
      <c r="ER45" s="1941" t="str">
        <f>VLOOKUP(EB45,Data1!$G$405:$H$471,2)</f>
        <v>Medium</v>
      </c>
      <c r="ET45" s="1941" t="str">
        <f>IF(EU45&gt;0,SUM(EU$13:EU45),"")</f>
        <v/>
      </c>
      <c r="EU45" s="1941">
        <f t="shared" ref="EU45:EU76" si="18">IF(AND(ER45="Large",OR($ER$5="NA",$ER$6="NA",$ER$7="NA")),0,IF(AND(EP45&lt;IF(LDA_Notice="LDA",IF(ER45="Small",N($EP$5)+N($EP$8),IF(ER45="Medium",N($EQ$5)+N($EQ$8),N($ER$5)+N($ER$8))),IF(EM45="&gt;30",IF(ER45="Small",N($EP$6)+N($EP$8),IF(ER45="Medium",N($EQ$6)+N($EQ$8),N($ER$6)+N($ER$8))),IF(ER45="Small",N($EP$7)+N($EP$8),IF(ER45="Medium",N($EQ$7)+N($EQ$8),N($ER$7)+N($ER$8))))),EQ45="Yes",OR(IFERROR(FIND("- site",EJ45),0)=0,$EV$11="No",AND(IFERROR(FIND("- site",EJ45),0)&gt;0,EN45=1)),OR(Proximity_list_related&lt;&gt;"Yes",AND(Proximity_list_related="Yes",EJ45&lt;&gt;Prox_List_Related_Disregard_1,EJ45&lt;&gt;Prox_List_Related_Disregard_2,EJ45&lt;&gt;Prox_List_Related_Disregard_3,EJ45&lt;&gt;Prox_List_Related_Disregard_4,EJ45&lt;&gt;Prox_List_Related_Disregard_5))),1,0))</f>
        <v>0</v>
      </c>
      <c r="EV45" s="1148" t="str">
        <f t="shared" ref="EV45:EV76" si="19">IF(AND($EV$11="Yes",IFERROR(FIND("- Site",EJ45),0)&gt;0,EN45=1)=FALSE,EJ45,LEFT(EJ45,LEN(EJ45)-(LEN(EJ45)-FIND("- Site",EJ45)+1)))</f>
        <v>Lake - Urick Street Apartments</v>
      </c>
    </row>
    <row r="46" spans="1:152" ht="14.65" customHeight="1">
      <c r="A46" s="339">
        <v>33071</v>
      </c>
      <c r="B46" s="338" t="s">
        <v>289</v>
      </c>
      <c r="E46" s="858"/>
      <c r="F46" s="338">
        <v>103.05</v>
      </c>
      <c r="G46" s="338" t="s">
        <v>289</v>
      </c>
      <c r="L46" s="2481">
        <v>402.02</v>
      </c>
      <c r="M46" s="340" t="s">
        <v>281</v>
      </c>
      <c r="N46" s="1390"/>
      <c r="O46" s="2479"/>
      <c r="P46" s="2282"/>
      <c r="R46" s="341" t="str">
        <f t="array" ref="R46">IFERROR(IF($R$11="Metro",INDEX($F$13:$F$829,SMALL(IF((County=$G$13:$G$829),MATCH(ROW($G$13:$G$829),ROW($G$13:$G$829)),""),ROWS($A$13:A46))),INDEX($I$13:$I$44,SMALL(IF((County=$J$13:$J$44),MATCH(ROW($J$13:$J$44),ROW($J$13:$J$44)),""),ROWS($A$13:A46)))),"")</f>
        <v/>
      </c>
      <c r="T46" s="341" t="str">
        <f t="array" ref="T46">IFERROR(IF($T$11="Yes",INDEX($L$13:$L$2813,SMALL(IF((County=$M$13:$M$2813),MATCH(ROW($M$13:$M$2813),ROW($M$13:$M$2813)),""),ROWS($A$13:A46))),""),"")</f>
        <v/>
      </c>
      <c r="V46" s="2283" t="str">
        <f t="array" ref="V46">IFERROR(IF($T$11="Yes",INDEX($O$14:$O$2811,SMALL(IF((County=$P$14:$P$2811),MATCH(ROW($P$14:$P$2811),ROW($P$14:$P$2811)),""),ROWS($A$13:A46))),""),"")</f>
        <v/>
      </c>
      <c r="X46" s="339">
        <v>32246</v>
      </c>
      <c r="Y46" s="338" t="s">
        <v>302</v>
      </c>
      <c r="AA46" s="338">
        <v>3.05</v>
      </c>
      <c r="AB46" s="338" t="s">
        <v>323</v>
      </c>
      <c r="AG46" s="2297">
        <v>1.46</v>
      </c>
      <c r="AH46" s="2297" t="s">
        <v>331</v>
      </c>
      <c r="AI46" s="1390"/>
      <c r="AJ46" s="2282"/>
      <c r="AK46" s="2282"/>
      <c r="AL46" s="1037"/>
      <c r="AM46" s="339">
        <v>33324</v>
      </c>
      <c r="AN46" s="338" t="s">
        <v>289</v>
      </c>
      <c r="AQ46" s="858"/>
      <c r="AR46" s="338">
        <v>649.02</v>
      </c>
      <c r="AS46" s="338" t="s">
        <v>288</v>
      </c>
      <c r="AU46" s="338">
        <v>104</v>
      </c>
      <c r="AV46" s="338" t="s">
        <v>358</v>
      </c>
      <c r="AX46" s="340">
        <v>402.02</v>
      </c>
      <c r="AY46" s="340" t="s">
        <v>281</v>
      </c>
      <c r="BA46" s="341" t="str">
        <f t="array" ref="BA46">IFERROR(IF($BA$11="Metro",INDEX($AR$13:$AR$814,SMALL(IF((County=$AS$13:$AS$814),MATCH(ROW($AS$13:$AS$814),ROW($AS$13:$AS$814)),""),ROWS($A$13:$A46))),INDEX($AU$13:$AU$48,SMALL(IF((County=$AV$13:$AV$48),MATCH(ROW($AV$13:$AV$48),ROW($AV$13:$AV$48)),""),ROWS($A$13:$A46)))),"")</f>
        <v/>
      </c>
      <c r="BC46" s="341" t="str">
        <f t="array" ref="BC46">IFERROR(IF($BC$11="Yes",INDEX($AX$13:$AX$2950,SMALL(IF((County=$AY$13:$AY$2950),MATCH(ROW($AY$13:$AY$2950),ROW($AY$13:$AY$2950)),""),ROWS($A$13:$A46))),""),"")</f>
        <v/>
      </c>
      <c r="BE46" s="339">
        <v>32541</v>
      </c>
      <c r="BF46" s="338" t="s">
        <v>336</v>
      </c>
      <c r="BH46" s="338">
        <v>3</v>
      </c>
      <c r="BI46" s="338" t="s">
        <v>302</v>
      </c>
      <c r="BK46" s="338">
        <v>900</v>
      </c>
      <c r="BL46" s="338" t="s">
        <v>345</v>
      </c>
      <c r="BN46" s="340">
        <v>1.46</v>
      </c>
      <c r="BO46" s="340" t="s">
        <v>331</v>
      </c>
      <c r="BP46" s="1385"/>
      <c r="BQ46" s="1386">
        <v>33301</v>
      </c>
      <c r="BR46" s="338" t="s">
        <v>289</v>
      </c>
      <c r="BU46" s="858"/>
      <c r="BV46" s="338">
        <v>18.16</v>
      </c>
      <c r="BW46" s="338" t="s">
        <v>276</v>
      </c>
      <c r="BY46" s="338">
        <v>9701.0300000000007</v>
      </c>
      <c r="BZ46" s="338" t="s">
        <v>301</v>
      </c>
      <c r="CB46" s="340">
        <v>2.04</v>
      </c>
      <c r="CC46" s="340" t="s">
        <v>285</v>
      </c>
      <c r="CE46" s="341" t="str">
        <f t="array" ref="CE46">IFERROR(IF($CE$11="Metro",INDEX($BV$13:$BV$4972,SMALL(IF((County=$BW$13:$BW$4972),MATCH(ROW($BW$13:$BW$4972),ROW($BW$13:$BW$4972)),""),ROWS($A$13:$A46))),INDEX($BY$13:$BY$212,SMALL(IF((County=$BZ$13:$BZ$212),MATCH(ROW($BZ$13:$BZ$212),ROW($BZ$13:$BZ$212)),""),ROWS($A$13:$A46)))),"")</f>
        <v/>
      </c>
      <c r="CG46" s="341" t="str">
        <f t="array" ref="CG46">IFERROR(IF($CG$11="Yes",INDEX($CB$13:$CB$2950,SMALL(IF((County=$CC$13:$CC$2950),MATCH(ROW($CC$13:$CC$2950),ROW($CC$13:$CC$2950)),""),ROWS($A$13:$A46))),""),"")</f>
        <v/>
      </c>
      <c r="CI46" s="1387">
        <v>32544</v>
      </c>
      <c r="CJ46" s="338" t="s">
        <v>336</v>
      </c>
      <c r="CL46" s="236">
        <v>1.29</v>
      </c>
      <c r="CM46" s="236" t="s">
        <v>331</v>
      </c>
      <c r="CO46" s="236">
        <v>1102</v>
      </c>
      <c r="CP46" s="236" t="s">
        <v>327</v>
      </c>
      <c r="CR46" s="340">
        <v>1.46</v>
      </c>
      <c r="CS46" s="340" t="s">
        <v>331</v>
      </c>
      <c r="CT46" s="1384"/>
      <c r="CU46" s="341">
        <v>33314</v>
      </c>
      <c r="CV46" s="338" t="s">
        <v>289</v>
      </c>
      <c r="CZ46" s="1795">
        <v>645</v>
      </c>
      <c r="DA46" s="338" t="s">
        <v>288</v>
      </c>
      <c r="DC46" s="1795">
        <v>9701.0400000000009</v>
      </c>
      <c r="DD46" s="338" t="s">
        <v>358</v>
      </c>
      <c r="DF46" s="340">
        <v>2.04</v>
      </c>
      <c r="DG46" s="340" t="s">
        <v>285</v>
      </c>
      <c r="DI46" s="341" t="str">
        <f t="array" ref="DI46">IFERROR(IF($DI$11="Metro",INDEX($CZ$13:$CZ$929,SMALL(IF((County=$DA$13:$DA$929),MATCH(ROW($DA$13:$DA$929),ROW($DA$13:$DA$929)),""),ROWS($A$13:$A46))),INDEX($DC$13:$DC$212,SMALL(IF((County=$DD$13:$DD$212),MATCH(ROW($DD$13:$DD$212),ROW($DD$13:$DD$212)),""),ROWS($A$13:$A46)))),"")</f>
        <v/>
      </c>
      <c r="DK46" s="341" t="str">
        <f t="array" ref="DK46">IFERROR(IF($DK$11="Yes",INDEX($DF$13:$DF$2838,SMALL(IF((County=$DG$13:$DG$2838),MATCH(ROW($DG$13:$DG$2838),ROW($DG$13:$DG$2838)),""),ROWS($A$13:$A46))),""),"")</f>
        <v/>
      </c>
      <c r="DM46" s="1387">
        <v>32456</v>
      </c>
      <c r="DN46" s="338" t="s">
        <v>310</v>
      </c>
      <c r="DP46" s="236">
        <v>3.03</v>
      </c>
      <c r="DQ46" s="236" t="s">
        <v>323</v>
      </c>
      <c r="DS46" s="1795">
        <v>9713</v>
      </c>
      <c r="DT46" s="338" t="s">
        <v>333</v>
      </c>
      <c r="DV46" s="340">
        <v>1.45</v>
      </c>
      <c r="DW46" s="340" t="s">
        <v>331</v>
      </c>
      <c r="DX46" s="1671"/>
      <c r="EB46" s="549" t="s">
        <v>324</v>
      </c>
      <c r="EC46" s="553" t="str">
        <f>VLOOKUP(EB46,Data1!$A$405:$H$471,8)</f>
        <v>Medium</v>
      </c>
      <c r="ED46" s="549" t="s">
        <v>2347</v>
      </c>
      <c r="EE46" s="549" t="s">
        <v>2348</v>
      </c>
      <c r="EF46" s="560">
        <v>30.422141</v>
      </c>
      <c r="EG46" s="560">
        <v>-84.301309000000003</v>
      </c>
      <c r="EH46" s="553" t="s">
        <v>635</v>
      </c>
      <c r="EI46" s="553" t="s">
        <v>634</v>
      </c>
      <c r="EJ46" s="550" t="str">
        <f t="shared" si="10"/>
        <v>Leon - Lake Bradford Apartments</v>
      </c>
      <c r="EK46" s="561" t="str">
        <f t="shared" si="11"/>
        <v>Family</v>
      </c>
      <c r="EL46" s="550" t="str">
        <f t="shared" si="12"/>
        <v>(30.422141, -84.301309)</v>
      </c>
      <c r="EM46" s="552" t="str">
        <f t="shared" si="13"/>
        <v>&gt;30</v>
      </c>
      <c r="EN46" s="1941" t="str">
        <f t="shared" si="14"/>
        <v/>
      </c>
      <c r="EO46" t="str">
        <f t="shared" si="15"/>
        <v>Leon - Lake Bradford Apartments</v>
      </c>
      <c r="EP46" s="1941">
        <f t="shared" si="16"/>
        <v>4216.9646195755349</v>
      </c>
      <c r="EQ46" s="1941" t="str">
        <f t="shared" si="17"/>
        <v>No</v>
      </c>
      <c r="ER46" s="1941" t="str">
        <f>VLOOKUP(EB46,Data1!$G$405:$H$471,2)</f>
        <v>Medium</v>
      </c>
      <c r="ET46" s="1941" t="str">
        <f>IF(EU46&gt;0,SUM(EU$13:EU46),"")</f>
        <v/>
      </c>
      <c r="EU46" s="1941">
        <f t="shared" si="18"/>
        <v>0</v>
      </c>
      <c r="EV46" s="1148" t="str">
        <f t="shared" si="19"/>
        <v>Leon - Lake Bradford Apartments</v>
      </c>
    </row>
    <row r="47" spans="1:152" ht="14.65" customHeight="1">
      <c r="A47" s="339">
        <v>33073</v>
      </c>
      <c r="B47" s="338" t="s">
        <v>289</v>
      </c>
      <c r="E47" s="858"/>
      <c r="F47" s="338">
        <v>103.06</v>
      </c>
      <c r="G47" s="338" t="s">
        <v>289</v>
      </c>
      <c r="L47" s="2481">
        <v>2.04</v>
      </c>
      <c r="M47" s="340" t="s">
        <v>285</v>
      </c>
      <c r="N47" s="1390"/>
      <c r="O47" s="2479"/>
      <c r="P47" s="2282"/>
      <c r="R47" s="341" t="str">
        <f t="array" ref="R47">IFERROR(IF($R$11="Metro",INDEX($F$13:$F$829,SMALL(IF((County=$G$13:$G$829),MATCH(ROW($G$13:$G$829),ROW($G$13:$G$829)),""),ROWS($A$13:A47))),INDEX($I$13:$I$44,SMALL(IF((County=$J$13:$J$44),MATCH(ROW($J$13:$J$44),ROW($J$13:$J$44)),""),ROWS($A$13:A47)))),"")</f>
        <v/>
      </c>
      <c r="T47" s="341" t="str">
        <f t="array" ref="T47">IFERROR(IF($T$11="Yes",INDEX($L$13:$L$2813,SMALL(IF((County=$M$13:$M$2813),MATCH(ROW($M$13:$M$2813),ROW($M$13:$M$2813)),""),ROWS($A$13:A47))),""),"")</f>
        <v/>
      </c>
      <c r="V47" s="2283" t="str">
        <f t="array" ref="V47">IFERROR(IF($T$11="Yes",INDEX($O$14:$O$2811,SMALL(IF((County=$P$14:$P$2811),MATCH(ROW($P$14:$P$2811),ROW($P$14:$P$2811)),""),ROWS($A$13:A47))),""),"")</f>
        <v/>
      </c>
      <c r="X47" s="339">
        <v>32250</v>
      </c>
      <c r="Y47" s="338" t="s">
        <v>302</v>
      </c>
      <c r="AA47" s="338">
        <v>3.05</v>
      </c>
      <c r="AB47" s="338" t="s">
        <v>328</v>
      </c>
      <c r="AG47" s="2297">
        <v>2</v>
      </c>
      <c r="AH47" s="2297" t="s">
        <v>297</v>
      </c>
      <c r="AI47" s="1390"/>
      <c r="AJ47" s="2282"/>
      <c r="AK47" s="2282"/>
      <c r="AL47" s="1037"/>
      <c r="AM47" s="339">
        <v>33325</v>
      </c>
      <c r="AN47" s="338" t="s">
        <v>289</v>
      </c>
      <c r="AQ47" s="858"/>
      <c r="AR47" s="338">
        <v>651.24</v>
      </c>
      <c r="AS47" s="338" t="s">
        <v>288</v>
      </c>
      <c r="AU47" s="338">
        <v>200</v>
      </c>
      <c r="AV47" s="338" t="s">
        <v>358</v>
      </c>
      <c r="AX47" s="340">
        <v>4.01</v>
      </c>
      <c r="AY47" s="340" t="s">
        <v>285</v>
      </c>
      <c r="BA47" s="341" t="str">
        <f t="array" ref="BA47">IFERROR(IF($BA$11="Metro",INDEX($AR$13:$AR$814,SMALL(IF((County=$AS$13:$AS$814),MATCH(ROW($AS$13:$AS$814),ROW($AS$13:$AS$814)),""),ROWS($A$13:$A47))),INDEX($AU$13:$AU$48,SMALL(IF((County=$AV$13:$AV$48),MATCH(ROW($AV$13:$AV$48),ROW($AV$13:$AV$48)),""),ROWS($A$13:$A47)))),"")</f>
        <v/>
      </c>
      <c r="BC47" s="341" t="str">
        <f t="array" ref="BC47">IFERROR(IF($BC$11="Yes",INDEX($AX$13:$AX$2950,SMALL(IF((County=$AY$13:$AY$2950),MATCH(ROW($AY$13:$AY$2950),ROW($AY$13:$AY$2950)),""),ROWS($A$13:$A47))),""),"")</f>
        <v/>
      </c>
      <c r="BE47" s="339">
        <v>32542</v>
      </c>
      <c r="BF47" s="338" t="s">
        <v>336</v>
      </c>
      <c r="BH47" s="338">
        <v>3</v>
      </c>
      <c r="BI47" s="338" t="s">
        <v>304</v>
      </c>
      <c r="BK47" s="338">
        <v>1200</v>
      </c>
      <c r="BL47" s="338" t="s">
        <v>345</v>
      </c>
      <c r="BN47" s="340">
        <v>2</v>
      </c>
      <c r="BO47" s="340" t="s">
        <v>297</v>
      </c>
      <c r="BP47" s="1385"/>
      <c r="BQ47" s="1386">
        <v>33304</v>
      </c>
      <c r="BR47" s="338" t="s">
        <v>289</v>
      </c>
      <c r="BU47" s="858"/>
      <c r="BV47" s="338">
        <v>18.170000000000002</v>
      </c>
      <c r="BW47" s="338" t="s">
        <v>276</v>
      </c>
      <c r="BY47" s="338">
        <v>9701.0400000000009</v>
      </c>
      <c r="BZ47" s="338" t="s">
        <v>301</v>
      </c>
      <c r="CB47" s="340">
        <v>3.02</v>
      </c>
      <c r="CC47" s="340" t="s">
        <v>285</v>
      </c>
      <c r="CE47" s="341" t="str">
        <f t="array" ref="CE47">IFERROR(IF($CE$11="Metro",INDEX($BV$13:$BV$4972,SMALL(IF((County=$BW$13:$BW$4972),MATCH(ROW($BW$13:$BW$4972),ROW($BW$13:$BW$4972)),""),ROWS($A$13:$A47))),INDEX($BY$13:$BY$212,SMALL(IF((County=$BZ$13:$BZ$212),MATCH(ROW($BZ$13:$BZ$212),ROW($BZ$13:$BZ$212)),""),ROWS($A$13:$A47)))),"")</f>
        <v/>
      </c>
      <c r="CG47" s="341" t="str">
        <f t="array" ref="CG47">IFERROR(IF($CG$11="Yes",INDEX($CB$13:$CB$2950,SMALL(IF((County=$CC$13:$CC$2950),MATCH(ROW($CC$13:$CC$2950),ROW($CC$13:$CC$2950)),""),ROWS($A$13:$A47))),""),"")</f>
        <v/>
      </c>
      <c r="CI47" s="1387">
        <v>32550</v>
      </c>
      <c r="CJ47" s="236" t="s">
        <v>357</v>
      </c>
      <c r="CL47" s="236">
        <v>1.3</v>
      </c>
      <c r="CM47" s="236" t="s">
        <v>331</v>
      </c>
      <c r="CO47" s="338">
        <v>1102.01</v>
      </c>
      <c r="CP47" s="338" t="s">
        <v>298</v>
      </c>
      <c r="CR47" s="340">
        <v>2</v>
      </c>
      <c r="CS47" s="340" t="s">
        <v>297</v>
      </c>
      <c r="CT47" s="1384"/>
      <c r="CU47" s="341">
        <v>33315</v>
      </c>
      <c r="CV47" s="338" t="s">
        <v>289</v>
      </c>
      <c r="CZ47" s="1795">
        <v>648</v>
      </c>
      <c r="DA47" s="338" t="s">
        <v>288</v>
      </c>
      <c r="DC47" s="1795">
        <v>9702</v>
      </c>
      <c r="DD47" s="338" t="s">
        <v>358</v>
      </c>
      <c r="DF47" s="340">
        <v>4.0199999999999996</v>
      </c>
      <c r="DG47" s="340" t="s">
        <v>285</v>
      </c>
      <c r="DI47" s="341" t="str">
        <f t="array" ref="DI47">IFERROR(IF($DI$11="Metro",INDEX($CZ$13:$CZ$929,SMALL(IF((County=$DA$13:$DA$929),MATCH(ROW($DA$13:$DA$929),ROW($DA$13:$DA$929)),""),ROWS($A$13:$A47))),INDEX($DC$13:$DC$212,SMALL(IF((County=$DD$13:$DD$212),MATCH(ROW($DD$13:$DD$212),ROW($DD$13:$DD$212)),""),ROWS($A$13:$A47)))),"")</f>
        <v/>
      </c>
      <c r="DK47" s="341" t="str">
        <f t="array" ref="DK47">IFERROR(IF($DK$11="Yes",INDEX($DF$13:$DF$2838,SMALL(IF((County=$DG$13:$DG$2838),MATCH(ROW($DG$13:$DG$2838),ROW($DG$13:$DG$2838)),""),ROWS($A$13:$A47))),""),"")</f>
        <v/>
      </c>
      <c r="DM47" s="1387">
        <v>32459</v>
      </c>
      <c r="DN47" s="338" t="s">
        <v>357</v>
      </c>
      <c r="DP47" s="236">
        <v>3.04</v>
      </c>
      <c r="DQ47" s="236" t="s">
        <v>328</v>
      </c>
      <c r="DS47" s="1795">
        <v>9724</v>
      </c>
      <c r="DT47" s="338" t="s">
        <v>333</v>
      </c>
      <c r="DV47" s="340">
        <v>1.46</v>
      </c>
      <c r="DW47" s="340" t="s">
        <v>331</v>
      </c>
      <c r="DX47" s="1671"/>
      <c r="EB47" s="549" t="s">
        <v>3053</v>
      </c>
      <c r="EC47" s="553" t="str">
        <f>VLOOKUP(EB47,Data1!$A$405:$H$471,8)</f>
        <v>Medium</v>
      </c>
      <c r="ED47" s="549" t="s">
        <v>3099</v>
      </c>
      <c r="EE47" s="549" t="s">
        <v>3100</v>
      </c>
      <c r="EF47" s="550">
        <v>30.411024999999999</v>
      </c>
      <c r="EG47" s="550">
        <v>-84.240769</v>
      </c>
      <c r="EH47" s="552" t="s">
        <v>635</v>
      </c>
      <c r="EI47" s="552" t="s">
        <v>634</v>
      </c>
      <c r="EJ47" s="550" t="str">
        <f t="shared" si="10"/>
        <v xml:space="preserve">Leon  - The Heights on Orange </v>
      </c>
      <c r="EK47" s="561" t="str">
        <f t="shared" si="11"/>
        <v>Family</v>
      </c>
      <c r="EL47" s="550" t="str">
        <f t="shared" si="12"/>
        <v>(30.411025, -84.240769)</v>
      </c>
      <c r="EM47" s="552" t="str">
        <f t="shared" si="13"/>
        <v>&gt;30</v>
      </c>
      <c r="EN47" s="1941" t="str">
        <f t="shared" si="14"/>
        <v/>
      </c>
      <c r="EO47" t="str">
        <f t="shared" si="15"/>
        <v xml:space="preserve">Leon  - The Heights on Orange </v>
      </c>
      <c r="EP47" s="1941">
        <f t="shared" si="16"/>
        <v>4215.7001350244209</v>
      </c>
      <c r="EQ47" s="1941" t="str">
        <f t="shared" si="17"/>
        <v>No</v>
      </c>
      <c r="ER47" s="1941" t="str">
        <f>VLOOKUP(EB47,Data1!$G$405:$H$471,2)</f>
        <v>Medium</v>
      </c>
      <c r="ET47" s="1941" t="str">
        <f>IF(EU47&gt;0,SUM(EU$13:EU47),"")</f>
        <v/>
      </c>
      <c r="EU47" s="1941">
        <f t="shared" si="18"/>
        <v>0</v>
      </c>
      <c r="EV47" s="1148" t="str">
        <f t="shared" si="19"/>
        <v xml:space="preserve">Leon  - The Heights on Orange </v>
      </c>
    </row>
    <row r="48" spans="1:152" ht="14.65" customHeight="1">
      <c r="A48" s="339">
        <v>33076</v>
      </c>
      <c r="B48" s="338" t="s">
        <v>289</v>
      </c>
      <c r="E48" s="858"/>
      <c r="F48" s="338">
        <v>103.07</v>
      </c>
      <c r="G48" s="338" t="s">
        <v>289</v>
      </c>
      <c r="L48" s="2481">
        <v>5</v>
      </c>
      <c r="M48" s="340" t="s">
        <v>285</v>
      </c>
      <c r="N48" s="1390"/>
      <c r="O48" s="2479"/>
      <c r="P48" s="2282"/>
      <c r="R48" s="341" t="str">
        <f t="array" ref="R48">IFERROR(IF($R$11="Metro",INDEX($F$13:$F$829,SMALL(IF((County=$G$13:$G$829),MATCH(ROW($G$13:$G$829),ROW($G$13:$G$829)),""),ROWS($A$13:A48))),INDEX($I$13:$I$44,SMALL(IF((County=$J$13:$J$44),MATCH(ROW($J$13:$J$44),ROW($J$13:$J$44)),""),ROWS($A$13:A48)))),"")</f>
        <v/>
      </c>
      <c r="T48" s="341" t="str">
        <f t="array" ref="T48">IFERROR(IF($T$11="Yes",INDEX($L$13:$L$2813,SMALL(IF((County=$M$13:$M$2813),MATCH(ROW($M$13:$M$2813),ROW($M$13:$M$2813)),""),ROWS($A$13:A48))),""),"")</f>
        <v/>
      </c>
      <c r="V48" s="2283" t="str">
        <f t="array" ref="V48">IFERROR(IF($T$11="Yes",INDEX($O$14:$O$2811,SMALL(IF((County=$P$14:$P$2811),MATCH(ROW($P$14:$P$2811),ROW($P$14:$P$2811)),""),ROWS($A$13:A48))),""),"")</f>
        <v/>
      </c>
      <c r="X48" s="339">
        <v>32256</v>
      </c>
      <c r="Y48" s="338" t="s">
        <v>302</v>
      </c>
      <c r="AA48" s="338">
        <v>3.06</v>
      </c>
      <c r="AB48" s="338" t="s">
        <v>323</v>
      </c>
      <c r="AG48" s="2297">
        <v>2</v>
      </c>
      <c r="AH48" s="2297" t="s">
        <v>324</v>
      </c>
      <c r="AI48" s="1390"/>
      <c r="AJ48" s="2282"/>
      <c r="AK48" s="2282"/>
      <c r="AL48" s="1037"/>
      <c r="AM48" s="339">
        <v>33326</v>
      </c>
      <c r="AN48" s="338" t="s">
        <v>289</v>
      </c>
      <c r="AQ48" s="858"/>
      <c r="AR48" s="338">
        <v>699.06</v>
      </c>
      <c r="AS48" s="338" t="s">
        <v>288</v>
      </c>
      <c r="AU48" s="338">
        <v>302</v>
      </c>
      <c r="AV48" s="338" t="s">
        <v>358</v>
      </c>
      <c r="AX48" s="340">
        <v>4.0199999999999996</v>
      </c>
      <c r="AY48" s="340" t="s">
        <v>285</v>
      </c>
      <c r="BA48" s="341" t="str">
        <f t="array" ref="BA48">IFERROR(IF($BA$11="Metro",INDEX($AR$13:$AR$814,SMALL(IF((County=$AS$13:$AS$814),MATCH(ROW($AS$13:$AS$814),ROW($AS$13:$AS$814)),""),ROWS($A$13:$A48))),INDEX($AU$13:$AU$48,SMALL(IF((County=$AV$13:$AV$48),MATCH(ROW($AV$13:$AV$48),ROW($AV$13:$AV$48)),""),ROWS($A$13:$A48)))),"")</f>
        <v/>
      </c>
      <c r="BC48" s="341" t="str">
        <f t="array" ref="BC48">IFERROR(IF($BC$11="Yes",INDEX($AX$13:$AX$2950,SMALL(IF((County=$AY$13:$AY$2950),MATCH(ROW($AY$13:$AY$2950),ROW($AY$13:$AY$2950)),""),ROWS($A$13:$A48))),""),"")</f>
        <v/>
      </c>
      <c r="BE48" s="339">
        <v>32544</v>
      </c>
      <c r="BF48" s="338" t="s">
        <v>336</v>
      </c>
      <c r="BH48" s="338">
        <v>3</v>
      </c>
      <c r="BI48" s="338" t="s">
        <v>347</v>
      </c>
      <c r="BK48" s="338">
        <v>1401</v>
      </c>
      <c r="BL48" s="338" t="s">
        <v>345</v>
      </c>
      <c r="BN48" s="340">
        <v>2</v>
      </c>
      <c r="BO48" s="340" t="s">
        <v>313</v>
      </c>
      <c r="BP48" s="1385"/>
      <c r="BQ48" s="1386">
        <v>33305</v>
      </c>
      <c r="BR48" s="338" t="s">
        <v>289</v>
      </c>
      <c r="BU48" s="858"/>
      <c r="BV48" s="338">
        <v>18.18</v>
      </c>
      <c r="BW48" s="338" t="s">
        <v>276</v>
      </c>
      <c r="BY48" s="338">
        <v>9702.01</v>
      </c>
      <c r="BZ48" s="338" t="s">
        <v>301</v>
      </c>
      <c r="CB48" s="340">
        <v>5</v>
      </c>
      <c r="CC48" s="340" t="s">
        <v>285</v>
      </c>
      <c r="CE48" s="341" t="str">
        <f t="array" ref="CE48">IFERROR(IF($CE$11="Metro",INDEX($BV$13:$BV$4972,SMALL(IF((County=$BW$13:$BW$4972),MATCH(ROW($BW$13:$BW$4972),ROW($BW$13:$BW$4972)),""),ROWS($A$13:$A48))),INDEX($BY$13:$BY$212,SMALL(IF((County=$BZ$13:$BZ$212),MATCH(ROW($BZ$13:$BZ$212),ROW($BZ$13:$BZ$212)),""),ROWS($A$13:$A48)))),"")</f>
        <v/>
      </c>
      <c r="CG48" s="341" t="str">
        <f t="array" ref="CG48">IFERROR(IF($CG$11="Yes",INDEX($CB$13:$CB$2950,SMALL(IF((County=$CC$13:$CC$2950),MATCH(ROW($CC$13:$CC$2950),ROW($CC$13:$CC$2950)),""),ROWS($A$13:$A48))),""),"")</f>
        <v/>
      </c>
      <c r="CI48" s="1583">
        <v>32561</v>
      </c>
      <c r="CJ48" s="338" t="s">
        <v>346</v>
      </c>
      <c r="CL48" s="236">
        <v>1.31</v>
      </c>
      <c r="CM48" s="236" t="s">
        <v>331</v>
      </c>
      <c r="CO48" s="338">
        <v>1102.02</v>
      </c>
      <c r="CP48" s="338" t="s">
        <v>298</v>
      </c>
      <c r="CR48" s="340">
        <v>2</v>
      </c>
      <c r="CS48" s="340" t="s">
        <v>313</v>
      </c>
      <c r="CT48" s="1384"/>
      <c r="CU48" s="341">
        <v>33316</v>
      </c>
      <c r="CV48" s="338" t="s">
        <v>289</v>
      </c>
      <c r="CZ48" s="1795">
        <v>649.02</v>
      </c>
      <c r="DA48" s="338" t="s">
        <v>288</v>
      </c>
      <c r="DC48" s="2711" t="s">
        <v>2073</v>
      </c>
      <c r="DD48" s="2712"/>
      <c r="DF48" s="340">
        <v>5</v>
      </c>
      <c r="DG48" s="340" t="s">
        <v>285</v>
      </c>
      <c r="DI48" s="341" t="str">
        <f t="array" ref="DI48">IFERROR(IF($DI$11="Metro",INDEX($CZ$13:$CZ$929,SMALL(IF((County=$DA$13:$DA$929),MATCH(ROW($DA$13:$DA$929),ROW($DA$13:$DA$929)),""),ROWS($A$13:$A48))),INDEX($DC$13:$DC$212,SMALL(IF((County=$DD$13:$DD$212),MATCH(ROW($DD$13:$DD$212),ROW($DD$13:$DD$212)),""),ROWS($A$13:$A48)))),"")</f>
        <v/>
      </c>
      <c r="DK48" s="341" t="str">
        <f t="array" ref="DK48">IFERROR(IF($DK$11="Yes",INDEX($DF$13:$DF$2838,SMALL(IF((County=$DG$13:$DG$2838),MATCH(ROW($DG$13:$DG$2838),ROW($DG$13:$DG$2838)),""),ROWS($A$13:$A48))),""),"")</f>
        <v/>
      </c>
      <c r="DM48" s="1387">
        <v>32541</v>
      </c>
      <c r="DN48" s="338" t="s">
        <v>336</v>
      </c>
      <c r="DP48" s="236">
        <v>3.05</v>
      </c>
      <c r="DQ48" s="236" t="s">
        <v>323</v>
      </c>
      <c r="DS48" s="2711" t="s">
        <v>2073</v>
      </c>
      <c r="DT48" s="2712"/>
      <c r="DV48" s="340">
        <v>2</v>
      </c>
      <c r="DW48" s="340" t="s">
        <v>297</v>
      </c>
      <c r="DX48" s="1671"/>
      <c r="EB48" s="554" t="s">
        <v>328</v>
      </c>
      <c r="EC48" s="553" t="str">
        <f>VLOOKUP(EB48,Data1!$A$405:$H$471,8)</f>
        <v>Medium</v>
      </c>
      <c r="ED48" s="554" t="s">
        <v>2349</v>
      </c>
      <c r="EE48" s="549" t="s">
        <v>2350</v>
      </c>
      <c r="EF48" s="549">
        <v>27.444780000000002</v>
      </c>
      <c r="EG48" s="549">
        <v>-82.554224000000005</v>
      </c>
      <c r="EH48" s="553" t="s">
        <v>635</v>
      </c>
      <c r="EI48" s="555" t="s">
        <v>634</v>
      </c>
      <c r="EJ48" s="550" t="str">
        <f t="shared" si="10"/>
        <v>Manatee - Ninth Street Apartments</v>
      </c>
      <c r="EK48" s="561" t="str">
        <f t="shared" si="11"/>
        <v>Family</v>
      </c>
      <c r="EL48" s="550" t="str">
        <f t="shared" si="12"/>
        <v>(27.44478, -82.554224)</v>
      </c>
      <c r="EM48" s="552" t="str">
        <f t="shared" si="13"/>
        <v>&gt;30</v>
      </c>
      <c r="EN48" s="1941" t="str">
        <f t="shared" si="14"/>
        <v/>
      </c>
      <c r="EO48" t="str">
        <f t="shared" si="15"/>
        <v>Manatee - Ninth Street Apartments</v>
      </c>
      <c r="EP48" s="1941">
        <f t="shared" si="16"/>
        <v>4147.0688843038379</v>
      </c>
      <c r="EQ48" s="1941" t="str">
        <f t="shared" si="17"/>
        <v>No</v>
      </c>
      <c r="ER48" s="1941" t="str">
        <f>VLOOKUP(EB48,Data1!$G$405:$H$471,2)</f>
        <v>Medium</v>
      </c>
      <c r="ET48" s="1941" t="str">
        <f>IF(EU48&gt;0,SUM(EU$13:EU48),"")</f>
        <v/>
      </c>
      <c r="EU48" s="1941">
        <f t="shared" si="18"/>
        <v>0</v>
      </c>
      <c r="EV48" s="1148" t="str">
        <f t="shared" si="19"/>
        <v>Manatee - Ninth Street Apartments</v>
      </c>
    </row>
    <row r="49" spans="1:152" ht="14.65" customHeight="1">
      <c r="A49" s="339">
        <v>33301</v>
      </c>
      <c r="B49" s="338" t="s">
        <v>289</v>
      </c>
      <c r="E49" s="858"/>
      <c r="F49" s="338">
        <v>104.03</v>
      </c>
      <c r="G49" s="338" t="s">
        <v>289</v>
      </c>
      <c r="L49" s="2481">
        <v>8.0399999999999991</v>
      </c>
      <c r="M49" s="340" t="s">
        <v>285</v>
      </c>
      <c r="N49" s="1390"/>
      <c r="O49" s="2479"/>
      <c r="P49" s="2282"/>
      <c r="R49" s="341" t="str">
        <f t="array" ref="R49">IFERROR(IF($R$11="Metro",INDEX($F$13:$F$829,SMALL(IF((County=$G$13:$G$829),MATCH(ROW($G$13:$G$829),ROW($G$13:$G$829)),""),ROWS($A$13:A49))),INDEX($I$13:$I$44,SMALL(IF((County=$J$13:$J$44),MATCH(ROW($J$13:$J$44),ROW($J$13:$J$44)),""),ROWS($A$13:A49)))),"")</f>
        <v/>
      </c>
      <c r="T49" s="341" t="str">
        <f t="array" ref="T49">IFERROR(IF($T$11="Yes",INDEX($L$13:$L$2813,SMALL(IF((County=$M$13:$M$2813),MATCH(ROW($M$13:$M$2813),ROW($M$13:$M$2813)),""),ROWS($A$13:A49))),""),"")</f>
        <v/>
      </c>
      <c r="V49" s="2283" t="str">
        <f t="array" ref="V49">IFERROR(IF($T$11="Yes",INDEX($O$14:$O$2811,SMALL(IF((County=$P$14:$P$2811),MATCH(ROW($P$14:$P$2811),ROW($P$14:$P$2811)),""),ROWS($A$13:A49))),""),"")</f>
        <v/>
      </c>
      <c r="X49" s="339">
        <v>32258</v>
      </c>
      <c r="Y49" s="338" t="s">
        <v>302</v>
      </c>
      <c r="AA49" s="338">
        <v>3.06</v>
      </c>
      <c r="AB49" s="338" t="s">
        <v>331</v>
      </c>
      <c r="AG49" s="2297">
        <v>2</v>
      </c>
      <c r="AH49" s="2297" t="s">
        <v>330</v>
      </c>
      <c r="AI49" s="1390"/>
      <c r="AJ49" s="2282"/>
      <c r="AK49" s="2282"/>
      <c r="AL49" s="1037"/>
      <c r="AM49" s="339">
        <v>33327</v>
      </c>
      <c r="AN49" s="338" t="s">
        <v>289</v>
      </c>
      <c r="AQ49" s="858"/>
      <c r="AR49" s="338">
        <v>699.07</v>
      </c>
      <c r="AS49" s="338" t="s">
        <v>288</v>
      </c>
      <c r="AU49" s="2711" t="s">
        <v>2073</v>
      </c>
      <c r="AV49" s="2712"/>
      <c r="AX49" s="340">
        <v>6</v>
      </c>
      <c r="AY49" s="340" t="s">
        <v>285</v>
      </c>
      <c r="BA49" s="341" t="str">
        <f t="array" ref="BA49">IFERROR(IF($BA$11="Metro",INDEX($AR$13:$AR$814,SMALL(IF((County=$AS$13:$AS$814),MATCH(ROW($AS$13:$AS$814),ROW($AS$13:$AS$814)),""),ROWS($A$13:$A49))),INDEX($AU$13:$AU$48,SMALL(IF((County=$AV$13:$AV$48),MATCH(ROW($AV$13:$AV$48),ROW($AV$13:$AV$48)),""),ROWS($A$13:$A49)))),"")</f>
        <v/>
      </c>
      <c r="BC49" s="341" t="str">
        <f t="array" ref="BC49">IFERROR(IF($BC$11="Yes",INDEX($AX$13:$AX$2950,SMALL(IF((County=$AY$13:$AY$2950),MATCH(ROW($AY$13:$AY$2950),ROW($AY$13:$AY$2950)),""),ROWS($A$13:$A49))),""),"")</f>
        <v/>
      </c>
      <c r="BE49" s="339">
        <v>32561</v>
      </c>
      <c r="BF49" s="338" t="s">
        <v>346</v>
      </c>
      <c r="BH49" s="338">
        <v>3.01</v>
      </c>
      <c r="BI49" s="338" t="s">
        <v>276</v>
      </c>
      <c r="BK49" s="2711" t="s">
        <v>2073</v>
      </c>
      <c r="BL49" s="2712"/>
      <c r="BN49" s="340">
        <v>2</v>
      </c>
      <c r="BO49" s="340" t="s">
        <v>324</v>
      </c>
      <c r="BP49" s="1385"/>
      <c r="BQ49" s="1386">
        <v>33308</v>
      </c>
      <c r="BR49" s="338" t="s">
        <v>289</v>
      </c>
      <c r="BU49" s="858"/>
      <c r="BV49" s="338">
        <v>18.190000000000001</v>
      </c>
      <c r="BW49" s="338" t="s">
        <v>276</v>
      </c>
      <c r="BY49" s="236">
        <v>9702.02</v>
      </c>
      <c r="BZ49" s="236" t="s">
        <v>301</v>
      </c>
      <c r="CB49" s="340">
        <v>7</v>
      </c>
      <c r="CC49" s="340" t="s">
        <v>285</v>
      </c>
      <c r="CE49" s="341" t="str">
        <f t="array" ref="CE49">IFERROR(IF($CE$11="Metro",INDEX($BV$13:$BV$4972,SMALL(IF((County=$BW$13:$BW$4972),MATCH(ROW($BW$13:$BW$4972),ROW($BW$13:$BW$4972)),""),ROWS($A$13:$A49))),INDEX($BY$13:$BY$212,SMALL(IF((County=$BZ$13:$BZ$212),MATCH(ROW($BZ$13:$BZ$212),ROW($BZ$13:$BZ$212)),""),ROWS($A$13:$A49)))),"")</f>
        <v/>
      </c>
      <c r="CG49" s="341" t="str">
        <f t="array" ref="CG49">IFERROR(IF($CG$11="Yes",INDEX($CB$13:$CB$2950,SMALL(IF((County=$CC$13:$CC$2950),MATCH(ROW($CC$13:$CC$2950),ROW($CC$13:$CC$2950)),""),ROWS($A$13:$A49))),""),"")</f>
        <v/>
      </c>
      <c r="CI49" s="1583">
        <v>32566</v>
      </c>
      <c r="CJ49" s="338" t="s">
        <v>346</v>
      </c>
      <c r="CL49" s="236">
        <v>1.32</v>
      </c>
      <c r="CM49" s="236" t="s">
        <v>331</v>
      </c>
      <c r="CO49" s="338">
        <v>1103</v>
      </c>
      <c r="CP49" s="338" t="s">
        <v>298</v>
      </c>
      <c r="CR49" s="340">
        <v>2</v>
      </c>
      <c r="CS49" s="340" t="s">
        <v>324</v>
      </c>
      <c r="CT49" s="1384"/>
      <c r="CU49" s="341">
        <v>33317</v>
      </c>
      <c r="CV49" s="338" t="s">
        <v>289</v>
      </c>
      <c r="CZ49" s="1795">
        <v>651.24</v>
      </c>
      <c r="DA49" s="338" t="s">
        <v>288</v>
      </c>
      <c r="DF49" s="340">
        <v>8.0399999999999991</v>
      </c>
      <c r="DG49" s="340" t="s">
        <v>285</v>
      </c>
      <c r="DI49" s="341" t="str">
        <f t="array" ref="DI49">IFERROR(IF($DI$11="Metro",INDEX($CZ$13:$CZ$929,SMALL(IF((County=$DA$13:$DA$929),MATCH(ROW($DA$13:$DA$929),ROW($DA$13:$DA$929)),""),ROWS($A$13:$A49))),INDEX($DC$13:$DC$212,SMALL(IF((County=$DD$13:$DD$212),MATCH(ROW($DD$13:$DD$212),ROW($DD$13:$DD$212)),""),ROWS($A$13:$A49)))),"")</f>
        <v/>
      </c>
      <c r="DK49" s="341" t="str">
        <f t="array" ref="DK49">IFERROR(IF($DK$11="Yes",INDEX($DF$13:$DF$2838,SMALL(IF((County=$DG$13:$DG$2838),MATCH(ROW($DG$13:$DG$2838),ROW($DG$13:$DG$2838)),""),ROWS($A$13:$A49))),""),"")</f>
        <v/>
      </c>
      <c r="DM49" s="1387">
        <v>32542</v>
      </c>
      <c r="DN49" s="338" t="s">
        <v>336</v>
      </c>
      <c r="DP49" s="236">
        <v>3.05</v>
      </c>
      <c r="DQ49" s="236" t="s">
        <v>328</v>
      </c>
      <c r="DV49" s="340">
        <v>2</v>
      </c>
      <c r="DW49" s="340" t="s">
        <v>324</v>
      </c>
      <c r="DX49" s="1671"/>
      <c r="EB49" s="549" t="s">
        <v>328</v>
      </c>
      <c r="EC49" s="553" t="str">
        <f>VLOOKUP(EB49,Data1!$A$405:$H$471,8)</f>
        <v>Medium</v>
      </c>
      <c r="ED49" s="549" t="s">
        <v>3101</v>
      </c>
      <c r="EE49" s="549" t="s">
        <v>3102</v>
      </c>
      <c r="EF49" s="550">
        <v>27.46705</v>
      </c>
      <c r="EG49" s="550">
        <v>-82.576089999999994</v>
      </c>
      <c r="EH49" s="553" t="s">
        <v>635</v>
      </c>
      <c r="EI49" s="553" t="s">
        <v>634</v>
      </c>
      <c r="EJ49" s="550" t="str">
        <f t="shared" si="10"/>
        <v>Manatee - Orange on 14th Street</v>
      </c>
      <c r="EK49" s="561" t="str">
        <f t="shared" si="11"/>
        <v>Family</v>
      </c>
      <c r="EL49" s="550" t="str">
        <f t="shared" si="12"/>
        <v>(27.46705, -82.57609)</v>
      </c>
      <c r="EM49" s="552" t="str">
        <f t="shared" si="13"/>
        <v>&gt;30</v>
      </c>
      <c r="EN49" s="1941" t="str">
        <f t="shared" si="14"/>
        <v/>
      </c>
      <c r="EO49" t="str">
        <f t="shared" si="15"/>
        <v>Manatee - Orange on 14th Street</v>
      </c>
      <c r="EP49" s="1941">
        <f t="shared" si="16"/>
        <v>4147.7642128544576</v>
      </c>
      <c r="EQ49" s="1941" t="str">
        <f t="shared" si="17"/>
        <v>No</v>
      </c>
      <c r="ER49" s="1941" t="str">
        <f>VLOOKUP(EB49,Data1!$G$405:$H$471,2)</f>
        <v>Medium</v>
      </c>
      <c r="ET49" s="1941" t="str">
        <f>IF(EU49&gt;0,SUM(EU$13:EU49),"")</f>
        <v/>
      </c>
      <c r="EU49" s="1941">
        <f t="shared" si="18"/>
        <v>0</v>
      </c>
      <c r="EV49" s="1148" t="str">
        <f t="shared" si="19"/>
        <v>Manatee - Orange on 14th Street</v>
      </c>
    </row>
    <row r="50" spans="1:152" ht="14.65" customHeight="1">
      <c r="A50" s="339">
        <v>33304</v>
      </c>
      <c r="B50" s="338" t="s">
        <v>289</v>
      </c>
      <c r="E50" s="858"/>
      <c r="F50" s="338">
        <v>107.02</v>
      </c>
      <c r="G50" s="338" t="s">
        <v>289</v>
      </c>
      <c r="L50" s="2481">
        <v>8.0500000000000007</v>
      </c>
      <c r="M50" s="340" t="s">
        <v>285</v>
      </c>
      <c r="N50" s="1390"/>
      <c r="O50" s="2479"/>
      <c r="P50" s="2282"/>
      <c r="R50" s="341" t="str">
        <f t="array" ref="R50">IFERROR(IF($R$11="Metro",INDEX($F$13:$F$829,SMALL(IF((County=$G$13:$G$829),MATCH(ROW($G$13:$G$829),ROW($G$13:$G$829)),""),ROWS($A$13:A50))),INDEX($I$13:$I$44,SMALL(IF((County=$J$13:$J$44),MATCH(ROW($J$13:$J$44),ROW($J$13:$J$44)),""),ROWS($A$13:A50)))),"")</f>
        <v/>
      </c>
      <c r="T50" s="341" t="str">
        <f t="array" ref="T50">IFERROR(IF($T$11="Yes",INDEX($L$13:$L$2813,SMALL(IF((County=$M$13:$M$2813),MATCH(ROW($M$13:$M$2813),ROW($M$13:$M$2813)),""),ROWS($A$13:A50))),""),"")</f>
        <v/>
      </c>
      <c r="V50" s="2283" t="str">
        <f t="array" ref="V50">IFERROR(IF($T$11="Yes",INDEX($O$14:$O$2811,SMALL(IF((County=$P$14:$P$2811),MATCH(ROW($P$14:$P$2811),ROW($P$14:$P$2811)),""),ROWS($A$13:A50))),""),"")</f>
        <v/>
      </c>
      <c r="X50" s="339">
        <v>32259</v>
      </c>
      <c r="Y50" s="338" t="s">
        <v>349</v>
      </c>
      <c r="AA50" s="338">
        <v>3.07</v>
      </c>
      <c r="AB50" s="338" t="s">
        <v>328</v>
      </c>
      <c r="AG50" s="2297">
        <v>2.0099999999999998</v>
      </c>
      <c r="AH50" s="2297" t="s">
        <v>287</v>
      </c>
      <c r="AI50" s="1390"/>
      <c r="AJ50" s="2282"/>
      <c r="AK50" s="2282"/>
      <c r="AL50" s="1037"/>
      <c r="AM50" s="339">
        <v>33328</v>
      </c>
      <c r="AN50" s="338" t="s">
        <v>289</v>
      </c>
      <c r="AQ50" s="858"/>
      <c r="AR50" s="338">
        <v>103.07</v>
      </c>
      <c r="AS50" s="338" t="s">
        <v>289</v>
      </c>
      <c r="AX50" s="340">
        <v>7</v>
      </c>
      <c r="AY50" s="340" t="s">
        <v>285</v>
      </c>
      <c r="BA50" s="341" t="str">
        <f t="array" ref="BA50">IFERROR(IF($BA$11="Metro",INDEX($AR$13:$AR$814,SMALL(IF((County=$AS$13:$AS$814),MATCH(ROW($AS$13:$AS$814),ROW($AS$13:$AS$814)),""),ROWS($A$13:$A50))),INDEX($AU$13:$AU$48,SMALL(IF((County=$AV$13:$AV$48),MATCH(ROW($AV$13:$AV$48),ROW($AV$13:$AV$48)),""),ROWS($A$13:$A50)))),"")</f>
        <v/>
      </c>
      <c r="BC50" s="341" t="str">
        <f t="array" ref="BC50">IFERROR(IF($BC$11="Yes",INDEX($AX$13:$AX$2950,SMALL(IF((County=$AY$13:$AY$2950),MATCH(ROW($AY$13:$AY$2950),ROW($AY$13:$AY$2950)),""),ROWS($A$13:$A50))),""),"")</f>
        <v/>
      </c>
      <c r="BE50" s="339">
        <v>32566</v>
      </c>
      <c r="BF50" s="338" t="s">
        <v>346</v>
      </c>
      <c r="BH50" s="338">
        <v>3.01</v>
      </c>
      <c r="BI50" s="338" t="s">
        <v>316</v>
      </c>
      <c r="BN50" s="340">
        <v>2</v>
      </c>
      <c r="BO50" s="340" t="s">
        <v>330</v>
      </c>
      <c r="BP50" s="1385"/>
      <c r="BQ50" s="1386">
        <v>33309</v>
      </c>
      <c r="BR50" s="338" t="s">
        <v>289</v>
      </c>
      <c r="BU50" s="858"/>
      <c r="BV50" s="338">
        <v>19.02</v>
      </c>
      <c r="BW50" s="338" t="s">
        <v>276</v>
      </c>
      <c r="BY50" s="236">
        <v>9900</v>
      </c>
      <c r="BZ50" s="236" t="s">
        <v>301</v>
      </c>
      <c r="CB50" s="340">
        <v>8.06</v>
      </c>
      <c r="CC50" s="340" t="s">
        <v>285</v>
      </c>
      <c r="CE50" s="341" t="str">
        <f t="array" ref="CE50">IFERROR(IF($CE$11="Metro",INDEX($BV$13:$BV$4972,SMALL(IF((County=$BW$13:$BW$4972),MATCH(ROW($BW$13:$BW$4972),ROW($BW$13:$BW$4972)),""),ROWS($A$13:$A50))),INDEX($BY$13:$BY$212,SMALL(IF((County=$BZ$13:$BZ$212),MATCH(ROW($BZ$13:$BZ$212),ROW($BZ$13:$BZ$212)),""),ROWS($A$13:$A50)))),"")</f>
        <v/>
      </c>
      <c r="CG50" s="341" t="str">
        <f t="array" ref="CG50">IFERROR(IF($CG$11="Yes",INDEX($CB$13:$CB$2950,SMALL(IF((County=$CC$13:$CC$2950),MATCH(ROW($CC$13:$CC$2950),ROW($CC$13:$CC$2950)),""),ROWS($A$13:$A50))),""),"")</f>
        <v/>
      </c>
      <c r="CI50" s="1583">
        <v>32701</v>
      </c>
      <c r="CJ50" s="236" t="s">
        <v>348</v>
      </c>
      <c r="CL50" s="236">
        <v>1.34</v>
      </c>
      <c r="CM50" s="236" t="s">
        <v>331</v>
      </c>
      <c r="CO50" s="236">
        <v>1103.01</v>
      </c>
      <c r="CP50" s="236" t="s">
        <v>327</v>
      </c>
      <c r="CR50" s="340">
        <v>2</v>
      </c>
      <c r="CS50" s="340" t="s">
        <v>330</v>
      </c>
      <c r="CT50" s="1384"/>
      <c r="CU50" s="341">
        <v>33321</v>
      </c>
      <c r="CV50" s="338" t="s">
        <v>289</v>
      </c>
      <c r="CZ50" s="1795">
        <v>651.28</v>
      </c>
      <c r="DA50" s="338" t="s">
        <v>288</v>
      </c>
      <c r="DF50" s="340">
        <v>8.06</v>
      </c>
      <c r="DG50" s="340" t="s">
        <v>285</v>
      </c>
      <c r="DI50" s="341" t="str">
        <f t="array" ref="DI50">IFERROR(IF($DI$11="Metro",INDEX($CZ$13:$CZ$929,SMALL(IF((County=$DA$13:$DA$929),MATCH(ROW($DA$13:$DA$929),ROW($DA$13:$DA$929)),""),ROWS($A$13:$A50))),INDEX($DC$13:$DC$212,SMALL(IF((County=$DD$13:$DD$212),MATCH(ROW($DD$13:$DD$212),ROW($DD$13:$DD$212)),""),ROWS($A$13:$A50)))),"")</f>
        <v/>
      </c>
      <c r="DK50" s="341" t="str">
        <f t="array" ref="DK50">IFERROR(IF($DK$11="Yes",INDEX($DF$13:$DF$2838,SMALL(IF((County=$DG$13:$DG$2838),MATCH(ROW($DG$13:$DG$2838),ROW($DG$13:$DG$2838)),""),ROWS($A$13:$A50))),""),"")</f>
        <v/>
      </c>
      <c r="DM50" s="1387">
        <v>32544</v>
      </c>
      <c r="DN50" s="338" t="s">
        <v>336</v>
      </c>
      <c r="DP50" s="236">
        <v>3.06</v>
      </c>
      <c r="DQ50" s="236" t="s">
        <v>323</v>
      </c>
      <c r="DV50" s="340">
        <v>2</v>
      </c>
      <c r="DW50" s="340" t="s">
        <v>330</v>
      </c>
      <c r="DX50" s="1671"/>
      <c r="EB50" s="549" t="s">
        <v>328</v>
      </c>
      <c r="EC50" s="553" t="str">
        <f>VLOOKUP(EB50,Data1!$A$405:$H$471,8)</f>
        <v>Medium</v>
      </c>
      <c r="ED50" s="549" t="s">
        <v>3103</v>
      </c>
      <c r="EE50" s="549" t="s">
        <v>3104</v>
      </c>
      <c r="EF50" s="558">
        <v>27.389461000000001</v>
      </c>
      <c r="EG50" s="558">
        <v>-82.484470999999999</v>
      </c>
      <c r="EH50" s="551" t="s">
        <v>635</v>
      </c>
      <c r="EI50" s="552" t="s">
        <v>634</v>
      </c>
      <c r="EJ50" s="550" t="str">
        <f t="shared" si="10"/>
        <v>Manatee - University Parkway</v>
      </c>
      <c r="EK50" s="561" t="str">
        <f t="shared" si="11"/>
        <v>Family</v>
      </c>
      <c r="EL50" s="550" t="str">
        <f t="shared" si="12"/>
        <v>(27.389461, -82.484471)</v>
      </c>
      <c r="EM50" s="552" t="str">
        <f t="shared" si="13"/>
        <v>&gt;30</v>
      </c>
      <c r="EN50" s="1941" t="str">
        <f t="shared" si="14"/>
        <v/>
      </c>
      <c r="EO50" t="str">
        <f t="shared" si="15"/>
        <v>Manatee - University Parkway</v>
      </c>
      <c r="EP50" s="1941">
        <f t="shared" si="16"/>
        <v>4145.033751797092</v>
      </c>
      <c r="EQ50" s="1941" t="str">
        <f t="shared" si="17"/>
        <v>No</v>
      </c>
      <c r="ER50" s="1941" t="str">
        <f>VLOOKUP(EB50,Data1!$G$405:$H$471,2)</f>
        <v>Medium</v>
      </c>
      <c r="ET50" s="1941" t="str">
        <f>IF(EU50&gt;0,SUM(EU$13:EU50),"")</f>
        <v/>
      </c>
      <c r="EU50" s="1941">
        <f t="shared" si="18"/>
        <v>0</v>
      </c>
      <c r="EV50" s="1148" t="str">
        <f t="shared" si="19"/>
        <v>Manatee - University Parkway</v>
      </c>
    </row>
    <row r="51" spans="1:152" ht="14.65" customHeight="1">
      <c r="A51" s="339">
        <v>33305</v>
      </c>
      <c r="B51" s="338" t="s">
        <v>289</v>
      </c>
      <c r="E51" s="858"/>
      <c r="F51" s="338">
        <v>202.11</v>
      </c>
      <c r="G51" s="338" t="s">
        <v>289</v>
      </c>
      <c r="L51" s="2481">
        <v>8.06</v>
      </c>
      <c r="M51" s="340" t="s">
        <v>285</v>
      </c>
      <c r="N51" s="1390"/>
      <c r="O51" s="2479"/>
      <c r="P51" s="2282"/>
      <c r="R51" s="341" t="str">
        <f t="array" ref="R51">IFERROR(IF($R$11="Metro",INDEX($F$13:$F$829,SMALL(IF((County=$G$13:$G$829),MATCH(ROW($G$13:$G$829),ROW($G$13:$G$829)),""),ROWS($A$13:A51))),INDEX($I$13:$I$44,SMALL(IF((County=$J$13:$J$44),MATCH(ROW($J$13:$J$44),ROW($J$13:$J$44)),""),ROWS($A$13:A51)))),"")</f>
        <v/>
      </c>
      <c r="T51" s="341" t="str">
        <f t="array" ref="T51">IFERROR(IF($T$11="Yes",INDEX($L$13:$L$2813,SMALL(IF((County=$M$13:$M$2813),MATCH(ROW($M$13:$M$2813),ROW($M$13:$M$2813)),""),ROWS($A$13:A51))),""),"")</f>
        <v/>
      </c>
      <c r="V51" s="2283" t="str">
        <f t="array" ref="V51">IFERROR(IF($T$11="Yes",INDEX($O$14:$O$2811,SMALL(IF((County=$P$14:$P$2811),MATCH(ROW($P$14:$P$2811),ROW($P$14:$P$2811)),""),ROWS($A$13:A51))),""),"")</f>
        <v/>
      </c>
      <c r="X51" s="339">
        <v>32266</v>
      </c>
      <c r="Y51" s="338" t="s">
        <v>302</v>
      </c>
      <c r="AA51" s="338">
        <v>3.11</v>
      </c>
      <c r="AB51" s="338" t="s">
        <v>328</v>
      </c>
      <c r="AG51" s="2297">
        <v>2.02</v>
      </c>
      <c r="AH51" s="2297" t="s">
        <v>309</v>
      </c>
      <c r="AI51" s="1390"/>
      <c r="AJ51" s="2282"/>
      <c r="AK51" s="2282"/>
      <c r="AL51" s="1037"/>
      <c r="AM51" s="339">
        <v>33330</v>
      </c>
      <c r="AN51" s="338" t="s">
        <v>289</v>
      </c>
      <c r="AQ51" s="858"/>
      <c r="AR51" s="338">
        <v>204.05</v>
      </c>
      <c r="AS51" s="338" t="s">
        <v>289</v>
      </c>
      <c r="AX51" s="340">
        <v>13.01</v>
      </c>
      <c r="AY51" s="340" t="s">
        <v>285</v>
      </c>
      <c r="BA51" s="341" t="str">
        <f t="array" ref="BA51">IFERROR(IF($BA$11="Metro",INDEX($AR$13:$AR$814,SMALL(IF((County=$AS$13:$AS$814),MATCH(ROW($AS$13:$AS$814),ROW($AS$13:$AS$814)),""),ROWS($A$13:$A51))),INDEX($AU$13:$AU$48,SMALL(IF((County=$AV$13:$AV$48),MATCH(ROW($AV$13:$AV$48),ROW($AV$13:$AV$48)),""),ROWS($A$13:$A51)))),"")</f>
        <v/>
      </c>
      <c r="BC51" s="341" t="str">
        <f t="array" ref="BC51">IFERROR(IF($BC$11="Yes",INDEX($AX$13:$AX$2950,SMALL(IF((County=$AY$13:$AY$2950),MATCH(ROW($AY$13:$AY$2950),ROW($AY$13:$AY$2950)),""),ROWS($A$13:$A51))),""),"")</f>
        <v/>
      </c>
      <c r="BE51" s="339">
        <v>32701</v>
      </c>
      <c r="BF51" s="338" t="s">
        <v>348</v>
      </c>
      <c r="BH51" s="338">
        <v>3.02</v>
      </c>
      <c r="BI51" s="338" t="s">
        <v>316</v>
      </c>
      <c r="BN51" s="340">
        <v>2.0099999999999998</v>
      </c>
      <c r="BO51" s="340" t="s">
        <v>276</v>
      </c>
      <c r="BP51" s="1385"/>
      <c r="BQ51" s="1386">
        <v>33314</v>
      </c>
      <c r="BR51" s="338" t="s">
        <v>289</v>
      </c>
      <c r="BU51" s="858"/>
      <c r="BV51" s="338">
        <v>19.07</v>
      </c>
      <c r="BW51" s="338" t="s">
        <v>276</v>
      </c>
      <c r="BY51" s="236">
        <v>9701.01</v>
      </c>
      <c r="BZ51" s="236" t="s">
        <v>306</v>
      </c>
      <c r="CB51" s="340">
        <v>13.01</v>
      </c>
      <c r="CC51" s="340" t="s">
        <v>285</v>
      </c>
      <c r="CE51" s="341" t="str">
        <f t="array" ref="CE51">IFERROR(IF($CE$11="Metro",INDEX($BV$13:$BV$4972,SMALL(IF((County=$BW$13:$BW$4972),MATCH(ROW($BW$13:$BW$4972),ROW($BW$13:$BW$4972)),""),ROWS($A$13:$A51))),INDEX($BY$13:$BY$212,SMALL(IF((County=$BZ$13:$BZ$212),MATCH(ROW($BZ$13:$BZ$212),ROW($BZ$13:$BZ$212)),""),ROWS($A$13:$A51)))),"")</f>
        <v/>
      </c>
      <c r="CG51" s="341" t="str">
        <f t="array" ref="CG51">IFERROR(IF($CG$11="Yes",INDEX($CB$13:$CB$2950,SMALL(IF((County=$CC$13:$CC$2950),MATCH(ROW($CC$13:$CC$2950),ROW($CC$13:$CC$2950)),""),ROWS($A$13:$A51))),""),"")</f>
        <v/>
      </c>
      <c r="CI51" s="1583">
        <v>32707</v>
      </c>
      <c r="CJ51" s="236" t="s">
        <v>348</v>
      </c>
      <c r="CL51" s="236">
        <v>1.4</v>
      </c>
      <c r="CM51" s="236" t="s">
        <v>331</v>
      </c>
      <c r="CO51" s="236">
        <v>1103.02</v>
      </c>
      <c r="CP51" s="236" t="s">
        <v>327</v>
      </c>
      <c r="CR51" s="340">
        <v>2.0099999999999998</v>
      </c>
      <c r="CS51" s="340" t="s">
        <v>276</v>
      </c>
      <c r="CT51" s="1384"/>
      <c r="CU51" s="341">
        <v>33322</v>
      </c>
      <c r="CV51" s="338" t="s">
        <v>289</v>
      </c>
      <c r="CZ51" s="1795">
        <v>652.4</v>
      </c>
      <c r="DA51" s="338" t="s">
        <v>288</v>
      </c>
      <c r="DF51" s="340">
        <v>13.01</v>
      </c>
      <c r="DG51" s="340" t="s">
        <v>285</v>
      </c>
      <c r="DI51" s="341" t="str">
        <f t="array" ref="DI51">IFERROR(IF($DI$11="Metro",INDEX($CZ$13:$CZ$929,SMALL(IF((County=$DA$13:$DA$929),MATCH(ROW($DA$13:$DA$929),ROW($DA$13:$DA$929)),""),ROWS($A$13:$A51))),INDEX($DC$13:$DC$212,SMALL(IF((County=$DD$13:$DD$212),MATCH(ROW($DD$13:$DD$212),ROW($DD$13:$DD$212)),""),ROWS($A$13:$A51)))),"")</f>
        <v/>
      </c>
      <c r="DK51" s="341" t="str">
        <f t="array" ref="DK51">IFERROR(IF($DK$11="Yes",INDEX($DF$13:$DF$2838,SMALL(IF((County=$DG$13:$DG$2838),MATCH(ROW($DG$13:$DG$2838),ROW($DG$13:$DG$2838)),""),ROWS($A$13:$A51))),""),"")</f>
        <v/>
      </c>
      <c r="DM51" s="1387">
        <v>32550</v>
      </c>
      <c r="DN51" s="338" t="s">
        <v>357</v>
      </c>
      <c r="DP51" s="236">
        <v>3.06</v>
      </c>
      <c r="DQ51" s="236" t="s">
        <v>331</v>
      </c>
      <c r="DV51" s="340">
        <v>2.0099999999999998</v>
      </c>
      <c r="DW51" s="340" t="s">
        <v>276</v>
      </c>
      <c r="DX51" s="1671"/>
      <c r="EB51" s="549" t="s">
        <v>328</v>
      </c>
      <c r="EC51" s="553" t="str">
        <f>VLOOKUP(EB51,Data1!$A$405:$H$471,8)</f>
        <v>Medium</v>
      </c>
      <c r="ED51" s="549" t="s">
        <v>3105</v>
      </c>
      <c r="EE51" s="549" t="s">
        <v>3106</v>
      </c>
      <c r="EF51" s="550">
        <v>27.460428</v>
      </c>
      <c r="EG51" s="549">
        <v>-82.527928000000003</v>
      </c>
      <c r="EH51" s="553" t="s">
        <v>635</v>
      </c>
      <c r="EI51" s="553" t="s">
        <v>634</v>
      </c>
      <c r="EJ51" s="550" t="str">
        <f t="shared" si="10"/>
        <v>Manatee - Vista at Poinciana</v>
      </c>
      <c r="EK51" s="561" t="str">
        <f t="shared" si="11"/>
        <v>Family</v>
      </c>
      <c r="EL51" s="550" t="str">
        <f t="shared" si="12"/>
        <v>(27.460428, -82.527928)</v>
      </c>
      <c r="EM51" s="552" t="str">
        <f t="shared" si="13"/>
        <v>&gt;30</v>
      </c>
      <c r="EN51" s="1941" t="str">
        <f t="shared" si="14"/>
        <v/>
      </c>
      <c r="EO51" t="str">
        <f t="shared" si="15"/>
        <v>Manatee - Vista at Poinciana</v>
      </c>
      <c r="EP51" s="1941">
        <f t="shared" si="16"/>
        <v>4146.7300247110807</v>
      </c>
      <c r="EQ51" s="1941" t="str">
        <f t="shared" si="17"/>
        <v>No</v>
      </c>
      <c r="ER51" s="1941" t="str">
        <f>VLOOKUP(EB51,Data1!$G$405:$H$471,2)</f>
        <v>Medium</v>
      </c>
      <c r="ET51" s="1941" t="str">
        <f>IF(EU51&gt;0,SUM(EU$13:EU51),"")</f>
        <v/>
      </c>
      <c r="EU51" s="1941">
        <f t="shared" si="18"/>
        <v>0</v>
      </c>
      <c r="EV51" s="1148" t="str">
        <f t="shared" si="19"/>
        <v>Manatee - Vista at Poinciana</v>
      </c>
    </row>
    <row r="52" spans="1:152" ht="14.65" customHeight="1">
      <c r="A52" s="339">
        <v>33308</v>
      </c>
      <c r="B52" s="338" t="s">
        <v>289</v>
      </c>
      <c r="E52" s="858"/>
      <c r="F52" s="338">
        <v>203.08</v>
      </c>
      <c r="G52" s="338" t="s">
        <v>289</v>
      </c>
      <c r="L52" s="2481">
        <v>13.01</v>
      </c>
      <c r="M52" s="340" t="s">
        <v>285</v>
      </c>
      <c r="N52" s="1390"/>
      <c r="O52" s="2479"/>
      <c r="P52" s="2282"/>
      <c r="R52" s="341" t="str">
        <f t="array" ref="R52">IFERROR(IF($R$11="Metro",INDEX($F$13:$F$829,SMALL(IF((County=$G$13:$G$829),MATCH(ROW($G$13:$G$829),ROW($G$13:$G$829)),""),ROWS($A$13:A52))),INDEX($I$13:$I$44,SMALL(IF((County=$J$13:$J$44),MATCH(ROW($J$13:$J$44),ROW($J$13:$J$44)),""),ROWS($A$13:A52)))),"")</f>
        <v/>
      </c>
      <c r="T52" s="341" t="str">
        <f t="array" ref="T52">IFERROR(IF($T$11="Yes",INDEX($L$13:$L$2813,SMALL(IF((County=$M$13:$M$2813),MATCH(ROW($M$13:$M$2813),ROW($M$13:$M$2813)),""),ROWS($A$13:A52))),""),"")</f>
        <v/>
      </c>
      <c r="V52" s="2283" t="str">
        <f t="array" ref="V52">IFERROR(IF($T$11="Yes",INDEX($O$14:$O$2811,SMALL(IF((County=$P$14:$P$2811),MATCH(ROW($P$14:$P$2811),ROW($P$14:$P$2811)),""),ROWS($A$13:A52))),""),"")</f>
        <v/>
      </c>
      <c r="X52" s="339">
        <v>32346</v>
      </c>
      <c r="Y52" s="338" t="s">
        <v>356</v>
      </c>
      <c r="AA52" s="338">
        <v>3.11</v>
      </c>
      <c r="AB52" s="338" t="s">
        <v>331</v>
      </c>
      <c r="AG52" s="2297">
        <v>2.02</v>
      </c>
      <c r="AH52" s="2297" t="s">
        <v>329</v>
      </c>
      <c r="AI52" s="1390"/>
      <c r="AJ52" s="2282"/>
      <c r="AK52" s="2282"/>
      <c r="AL52" s="1037"/>
      <c r="AM52" s="339">
        <v>33331</v>
      </c>
      <c r="AN52" s="338" t="s">
        <v>289</v>
      </c>
      <c r="AQ52" s="858"/>
      <c r="AR52" s="338">
        <v>204.12</v>
      </c>
      <c r="AS52" s="338" t="s">
        <v>289</v>
      </c>
      <c r="AX52" s="340">
        <v>14.02</v>
      </c>
      <c r="AY52" s="340" t="s">
        <v>285</v>
      </c>
      <c r="BA52" s="341" t="str">
        <f t="array" ref="BA52">IFERROR(IF($BA$11="Metro",INDEX($AR$13:$AR$814,SMALL(IF((County=$AS$13:$AS$814),MATCH(ROW($AS$13:$AS$814),ROW($AS$13:$AS$814)),""),ROWS($A$13:$A52))),INDEX($AU$13:$AU$48,SMALL(IF((County=$AV$13:$AV$48),MATCH(ROW($AV$13:$AV$48),ROW($AV$13:$AV$48)),""),ROWS($A$13:$A52)))),"")</f>
        <v/>
      </c>
      <c r="BC52" s="341" t="str">
        <f t="array" ref="BC52">IFERROR(IF($BC$11="Yes",INDEX($AX$13:$AX$2950,SMALL(IF((County=$AY$13:$AY$2950),MATCH(ROW($AY$13:$AY$2950),ROW($AY$13:$AY$2950)),""),ROWS($A$13:$A52))),""),"")</f>
        <v/>
      </c>
      <c r="BE52" s="339">
        <v>32707</v>
      </c>
      <c r="BF52" s="338" t="s">
        <v>348</v>
      </c>
      <c r="BH52" s="338">
        <v>3.02</v>
      </c>
      <c r="BI52" s="338" t="s">
        <v>329</v>
      </c>
      <c r="BN52" s="340">
        <v>2.0099999999999998</v>
      </c>
      <c r="BO52" s="340" t="s">
        <v>309</v>
      </c>
      <c r="BP52" s="1385"/>
      <c r="BQ52" s="1386">
        <v>33315</v>
      </c>
      <c r="BR52" s="338" t="s">
        <v>289</v>
      </c>
      <c r="BU52" s="858"/>
      <c r="BV52" s="338">
        <v>19.079999999999998</v>
      </c>
      <c r="BW52" s="338" t="s">
        <v>276</v>
      </c>
      <c r="BY52" s="236">
        <v>9701.02</v>
      </c>
      <c r="BZ52" s="236" t="s">
        <v>306</v>
      </c>
      <c r="CB52" s="340">
        <v>13.02</v>
      </c>
      <c r="CC52" s="340" t="s">
        <v>285</v>
      </c>
      <c r="CE52" s="341" t="str">
        <f t="array" ref="CE52">IFERROR(IF($CE$11="Metro",INDEX($BV$13:$BV$4972,SMALL(IF((County=$BW$13:$BW$4972),MATCH(ROW($BW$13:$BW$4972),ROW($BW$13:$BW$4972)),""),ROWS($A$13:$A52))),INDEX($BY$13:$BY$212,SMALL(IF((County=$BZ$13:$BZ$212),MATCH(ROW($BZ$13:$BZ$212),ROW($BZ$13:$BZ$212)),""),ROWS($A$13:$A52)))),"")</f>
        <v/>
      </c>
      <c r="CG52" s="341" t="str">
        <f t="array" ref="CG52">IFERROR(IF($CG$11="Yes",INDEX($CB$13:$CB$2950,SMALL(IF((County=$CC$13:$CC$2950),MATCH(ROW($CC$13:$CC$2950),ROW($CC$13:$CC$2950)),""),ROWS($A$13:$A52))),""),"")</f>
        <v/>
      </c>
      <c r="CI52" s="1583">
        <v>32708</v>
      </c>
      <c r="CJ52" s="236" t="s">
        <v>348</v>
      </c>
      <c r="CL52" s="236">
        <v>1.41</v>
      </c>
      <c r="CM52" s="236" t="s">
        <v>331</v>
      </c>
      <c r="CO52" s="338">
        <v>1104</v>
      </c>
      <c r="CP52" s="338" t="s">
        <v>298</v>
      </c>
      <c r="CR52" s="340">
        <v>2.02</v>
      </c>
      <c r="CS52" s="340" t="s">
        <v>287</v>
      </c>
      <c r="CT52" s="1384"/>
      <c r="CU52" s="341">
        <v>33323</v>
      </c>
      <c r="CV52" s="338" t="s">
        <v>289</v>
      </c>
      <c r="CZ52" s="1795">
        <v>713.41</v>
      </c>
      <c r="DA52" s="338" t="s">
        <v>288</v>
      </c>
      <c r="DF52" s="340">
        <v>13.02</v>
      </c>
      <c r="DG52" s="340" t="s">
        <v>285</v>
      </c>
      <c r="DI52" s="341" t="str">
        <f t="array" ref="DI52">IFERROR(IF($DI$11="Metro",INDEX($CZ$13:$CZ$929,SMALL(IF((County=$DA$13:$DA$929),MATCH(ROW($DA$13:$DA$929),ROW($DA$13:$DA$929)),""),ROWS($A$13:$A52))),INDEX($DC$13:$DC$212,SMALL(IF((County=$DD$13:$DD$212),MATCH(ROW($DD$13:$DD$212),ROW($DD$13:$DD$212)),""),ROWS($A$13:$A52)))),"")</f>
        <v/>
      </c>
      <c r="DK52" s="341" t="str">
        <f t="array" ref="DK52">IFERROR(IF($DK$11="Yes",INDEX($DF$13:$DF$2838,SMALL(IF((County=$DG$13:$DG$2838),MATCH(ROW($DG$13:$DG$2838),ROW($DG$13:$DG$2838)),""),ROWS($A$13:$A52))),""),"")</f>
        <v/>
      </c>
      <c r="DM52" s="1387">
        <v>32561</v>
      </c>
      <c r="DN52" s="338" t="s">
        <v>346</v>
      </c>
      <c r="DP52" s="236">
        <v>3.07</v>
      </c>
      <c r="DQ52" s="236" t="s">
        <v>328</v>
      </c>
      <c r="DV52" s="340">
        <v>2.0099999999999998</v>
      </c>
      <c r="DW52" s="340" t="s">
        <v>287</v>
      </c>
      <c r="DX52" s="1671"/>
      <c r="EB52" s="549" t="s">
        <v>3054</v>
      </c>
      <c r="EC52" s="553" t="str">
        <f>VLOOKUP(EB52,Data1!$A$405:$H$471,8)</f>
        <v>Medium</v>
      </c>
      <c r="ED52" s="549" t="s">
        <v>3107</v>
      </c>
      <c r="EE52" s="549" t="s">
        <v>3108</v>
      </c>
      <c r="EF52" s="549">
        <v>29.221194000000001</v>
      </c>
      <c r="EG52" s="549">
        <v>-82.160972000000001</v>
      </c>
      <c r="EH52" s="553" t="s">
        <v>633</v>
      </c>
      <c r="EI52" s="553" t="s">
        <v>634</v>
      </c>
      <c r="EJ52" s="550" t="str">
        <f t="shared" si="10"/>
        <v>Marion  - Madison Oaks East</v>
      </c>
      <c r="EK52" s="561" t="str">
        <f t="shared" si="11"/>
        <v>Elderly Non-ALF</v>
      </c>
      <c r="EL52" s="550" t="str">
        <f t="shared" si="12"/>
        <v>(29.221194, -82.160972)</v>
      </c>
      <c r="EM52" s="552" t="str">
        <f t="shared" si="13"/>
        <v>&gt;30</v>
      </c>
      <c r="EN52" s="1941" t="str">
        <f t="shared" si="14"/>
        <v/>
      </c>
      <c r="EO52" t="str">
        <f t="shared" si="15"/>
        <v>Marion  - Madison Oaks East</v>
      </c>
      <c r="EP52" s="1941">
        <f t="shared" si="16"/>
        <v>4160.9669410312918</v>
      </c>
      <c r="EQ52" s="1941" t="str">
        <f t="shared" si="17"/>
        <v>No</v>
      </c>
      <c r="ER52" s="1941" t="str">
        <f>VLOOKUP(EB52,Data1!$G$405:$H$471,2)</f>
        <v>Medium</v>
      </c>
      <c r="ET52" s="1941" t="str">
        <f>IF(EU52&gt;0,SUM(EU$13:EU52),"")</f>
        <v/>
      </c>
      <c r="EU52" s="1941">
        <f t="shared" si="18"/>
        <v>0</v>
      </c>
      <c r="EV52" s="1148" t="str">
        <f t="shared" si="19"/>
        <v>Marion  - Madison Oaks East</v>
      </c>
    </row>
    <row r="53" spans="1:152" ht="14.65" customHeight="1">
      <c r="A53" s="339">
        <v>33309</v>
      </c>
      <c r="B53" s="338" t="s">
        <v>289</v>
      </c>
      <c r="E53" s="858"/>
      <c r="F53" s="338">
        <v>204.05</v>
      </c>
      <c r="G53" s="338" t="s">
        <v>289</v>
      </c>
      <c r="L53" s="2481">
        <v>13.02</v>
      </c>
      <c r="M53" s="340" t="s">
        <v>285</v>
      </c>
      <c r="N53" s="1390"/>
      <c r="O53" s="2479"/>
      <c r="P53" s="2282"/>
      <c r="R53" s="341" t="str">
        <f t="array" ref="R53">IFERROR(IF($R$11="Metro",INDEX($F$13:$F$829,SMALL(IF((County=$G$13:$G$829),MATCH(ROW($G$13:$G$829),ROW($G$13:$G$829)),""),ROWS($A$13:A53))),INDEX($I$13:$I$44,SMALL(IF((County=$J$13:$J$44),MATCH(ROW($J$13:$J$44),ROW($J$13:$J$44)),""),ROWS($A$13:A53)))),"")</f>
        <v/>
      </c>
      <c r="T53" s="341" t="str">
        <f t="array" ref="T53">IFERROR(IF($T$11="Yes",INDEX($L$13:$L$2813,SMALL(IF((County=$M$13:$M$2813),MATCH(ROW($M$13:$M$2813),ROW($M$13:$M$2813)),""),ROWS($A$13:A53))),""),"")</f>
        <v/>
      </c>
      <c r="V53" s="2283" t="str">
        <f t="array" ref="V53">IFERROR(IF($T$11="Yes",INDEX($O$14:$O$2811,SMALL(IF((County=$P$14:$P$2811),MATCH(ROW($P$14:$P$2811),ROW($P$14:$P$2811)),""),ROWS($A$13:A53))),""),"")</f>
        <v/>
      </c>
      <c r="X53" s="339">
        <v>32403</v>
      </c>
      <c r="Y53" s="338" t="s">
        <v>285</v>
      </c>
      <c r="AA53" s="338">
        <v>3.13</v>
      </c>
      <c r="AB53" s="338" t="s">
        <v>328</v>
      </c>
      <c r="AG53" s="2297">
        <v>2.0299999999999998</v>
      </c>
      <c r="AH53" s="2297" t="s">
        <v>329</v>
      </c>
      <c r="AI53" s="1390"/>
      <c r="AJ53" s="2282"/>
      <c r="AK53" s="2282"/>
      <c r="AL53" s="1037"/>
      <c r="AM53" s="339">
        <v>33332</v>
      </c>
      <c r="AN53" s="338" t="s">
        <v>289</v>
      </c>
      <c r="AQ53" s="858"/>
      <c r="AR53" s="338">
        <v>302.02</v>
      </c>
      <c r="AS53" s="338" t="s">
        <v>289</v>
      </c>
      <c r="AX53" s="340">
        <v>14.03</v>
      </c>
      <c r="AY53" s="340" t="s">
        <v>285</v>
      </c>
      <c r="BA53" s="341" t="str">
        <f t="array" ref="BA53">IFERROR(IF($BA$11="Metro",INDEX($AR$13:$AR$814,SMALL(IF((County=$AS$13:$AS$814),MATCH(ROW($AS$13:$AS$814),ROW($AS$13:$AS$814)),""),ROWS($A$13:$A53))),INDEX($AU$13:$AU$48,SMALL(IF((County=$AV$13:$AV$48),MATCH(ROW($AV$13:$AV$48),ROW($AV$13:$AV$48)),""),ROWS($A$13:$A53)))),"")</f>
        <v/>
      </c>
      <c r="BC53" s="341" t="str">
        <f t="array" ref="BC53">IFERROR(IF($BC$11="Yes",INDEX($AX$13:$AX$2950,SMALL(IF((County=$AY$13:$AY$2950),MATCH(ROW($AY$13:$AY$2950),ROW($AY$13:$AY$2950)),""),ROWS($A$13:$A53))),""),"")</f>
        <v/>
      </c>
      <c r="BE53" s="339">
        <v>32708</v>
      </c>
      <c r="BF53" s="338" t="s">
        <v>348</v>
      </c>
      <c r="BH53" s="338">
        <v>3.05</v>
      </c>
      <c r="BI53" s="338" t="s">
        <v>323</v>
      </c>
      <c r="BN53" s="340">
        <v>2.02</v>
      </c>
      <c r="BO53" s="340" t="s">
        <v>287</v>
      </c>
      <c r="BP53" s="1385"/>
      <c r="BQ53" s="1387">
        <v>33317</v>
      </c>
      <c r="BR53" s="236" t="s">
        <v>289</v>
      </c>
      <c r="BU53" s="858"/>
      <c r="BV53" s="338">
        <v>20.010000000000002</v>
      </c>
      <c r="BW53" s="338" t="s">
        <v>276</v>
      </c>
      <c r="BY53" s="236">
        <v>9702</v>
      </c>
      <c r="BZ53" s="236" t="s">
        <v>306</v>
      </c>
      <c r="CB53" s="340">
        <v>14.02</v>
      </c>
      <c r="CC53" s="340" t="s">
        <v>285</v>
      </c>
      <c r="CE53" s="341" t="str">
        <f t="array" ref="CE53">IFERROR(IF($CE$11="Metro",INDEX($BV$13:$BV$4972,SMALL(IF((County=$BW$13:$BW$4972),MATCH(ROW($BW$13:$BW$4972),ROW($BW$13:$BW$4972)),""),ROWS($A$13:$A53))),INDEX($BY$13:$BY$212,SMALL(IF((County=$BZ$13:$BZ$212),MATCH(ROW($BZ$13:$BZ$212),ROW($BZ$13:$BZ$212)),""),ROWS($A$13:$A53)))),"")</f>
        <v/>
      </c>
      <c r="CG53" s="341" t="str">
        <f t="array" ref="CG53">IFERROR(IF($CG$11="Yes",INDEX($CB$13:$CB$2950,SMALL(IF((County=$CC$13:$CC$2950),MATCH(ROW($CC$13:$CC$2950),ROW($CC$13:$CC$2950)),""),ROWS($A$13:$A53))),""),"")</f>
        <v/>
      </c>
      <c r="CI53" s="1583">
        <v>32712</v>
      </c>
      <c r="CJ53" s="338" t="s">
        <v>338</v>
      </c>
      <c r="CL53" s="236">
        <v>1.42</v>
      </c>
      <c r="CM53" s="236" t="s">
        <v>331</v>
      </c>
      <c r="CO53" s="236">
        <v>1104</v>
      </c>
      <c r="CP53" s="236" t="s">
        <v>327</v>
      </c>
      <c r="CR53" s="340">
        <v>2.02</v>
      </c>
      <c r="CS53" s="340" t="s">
        <v>309</v>
      </c>
      <c r="CT53" s="1384"/>
      <c r="CU53" s="341">
        <v>33324</v>
      </c>
      <c r="CV53" s="338" t="s">
        <v>289</v>
      </c>
      <c r="CZ53" s="1795">
        <v>714.02</v>
      </c>
      <c r="DA53" s="338" t="s">
        <v>288</v>
      </c>
      <c r="DF53" s="340">
        <v>14.02</v>
      </c>
      <c r="DG53" s="340" t="s">
        <v>285</v>
      </c>
      <c r="DI53" s="341" t="str">
        <f t="array" ref="DI53">IFERROR(IF($DI$11="Metro",INDEX($CZ$13:$CZ$929,SMALL(IF((County=$DA$13:$DA$929),MATCH(ROW($DA$13:$DA$929),ROW($DA$13:$DA$929)),""),ROWS($A$13:$A53))),INDEX($DC$13:$DC$212,SMALL(IF((County=$DD$13:$DD$212),MATCH(ROW($DD$13:$DD$212),ROW($DD$13:$DD$212)),""),ROWS($A$13:$A53)))),"")</f>
        <v/>
      </c>
      <c r="DK53" s="341" t="str">
        <f t="array" ref="DK53">IFERROR(IF($DK$11="Yes",INDEX($DF$13:$DF$2838,SMALL(IF((County=$DG$13:$DG$2838),MATCH(ROW($DG$13:$DG$2838),ROW($DG$13:$DG$2838)),""),ROWS($A$13:$A53))),""),"")</f>
        <v/>
      </c>
      <c r="DM53" s="1387">
        <v>32566</v>
      </c>
      <c r="DN53" s="338" t="s">
        <v>346</v>
      </c>
      <c r="DP53" s="236">
        <v>3.09</v>
      </c>
      <c r="DQ53" s="236" t="s">
        <v>328</v>
      </c>
      <c r="DV53" s="340">
        <v>2.02</v>
      </c>
      <c r="DW53" s="340" t="s">
        <v>276</v>
      </c>
      <c r="DX53" s="1671"/>
      <c r="EB53" s="549" t="s">
        <v>333</v>
      </c>
      <c r="EC53" s="553" t="str">
        <f>VLOOKUP(EB53,Data1!$A$405:$H$471,8)</f>
        <v>Small</v>
      </c>
      <c r="ED53" s="549" t="s">
        <v>3109</v>
      </c>
      <c r="EE53" s="549" t="s">
        <v>3110</v>
      </c>
      <c r="EF53" s="549">
        <v>25.015716000000001</v>
      </c>
      <c r="EG53" s="549">
        <v>-80.508472999999995</v>
      </c>
      <c r="EH53" s="551" t="s">
        <v>635</v>
      </c>
      <c r="EI53" s="553" t="s">
        <v>634</v>
      </c>
      <c r="EJ53" s="550" t="str">
        <f t="shared" si="10"/>
        <v>Monroe - Lofts at Tavernier</v>
      </c>
      <c r="EK53" s="561" t="str">
        <f t="shared" si="11"/>
        <v>Family</v>
      </c>
      <c r="EL53" s="550" t="str">
        <f t="shared" si="12"/>
        <v>(25.015716, -80.508473)</v>
      </c>
      <c r="EM53" s="552" t="str">
        <f t="shared" si="13"/>
        <v>&gt;30</v>
      </c>
      <c r="EN53" s="1941" t="str">
        <f t="shared" si="14"/>
        <v/>
      </c>
      <c r="EO53" t="str">
        <f t="shared" si="15"/>
        <v>Monroe - Lofts at Tavernier</v>
      </c>
      <c r="EP53" s="1941">
        <f t="shared" si="16"/>
        <v>4077.4034434985788</v>
      </c>
      <c r="EQ53" s="1941" t="str">
        <f t="shared" si="17"/>
        <v>No</v>
      </c>
      <c r="ER53" s="1941" t="str">
        <f>VLOOKUP(EB53,Data1!$G$405:$H$471,2)</f>
        <v>Small</v>
      </c>
      <c r="ET53" s="1941" t="str">
        <f>IF(EU53&gt;0,SUM(EU$13:EU53),"")</f>
        <v/>
      </c>
      <c r="EU53" s="1941">
        <f t="shared" si="18"/>
        <v>0</v>
      </c>
      <c r="EV53" s="1148" t="str">
        <f t="shared" si="19"/>
        <v>Monroe - Lofts at Tavernier</v>
      </c>
    </row>
    <row r="54" spans="1:152" ht="14.65" customHeight="1">
      <c r="A54" s="339">
        <v>33312</v>
      </c>
      <c r="B54" s="338" t="s">
        <v>289</v>
      </c>
      <c r="E54" s="858"/>
      <c r="F54" s="338">
        <v>204.12</v>
      </c>
      <c r="G54" s="338" t="s">
        <v>289</v>
      </c>
      <c r="L54" s="2481">
        <v>14.02</v>
      </c>
      <c r="M54" s="340" t="s">
        <v>285</v>
      </c>
      <c r="N54" s="1390"/>
      <c r="O54" s="2479"/>
      <c r="P54" s="2282"/>
      <c r="R54" s="341" t="str">
        <f t="array" ref="R54">IFERROR(IF($R$11="Metro",INDEX($F$13:$F$829,SMALL(IF((County=$G$13:$G$829),MATCH(ROW($G$13:$G$829),ROW($G$13:$G$829)),""),ROWS($A$13:A54))),INDEX($I$13:$I$44,SMALL(IF((County=$J$13:$J$44),MATCH(ROW($J$13:$J$44),ROW($J$13:$J$44)),""),ROWS($A$13:A54)))),"")</f>
        <v/>
      </c>
      <c r="T54" s="341" t="str">
        <f t="array" ref="T54">IFERROR(IF($T$11="Yes",INDEX($L$13:$L$2813,SMALL(IF((County=$M$13:$M$2813),MATCH(ROW($M$13:$M$2813),ROW($M$13:$M$2813)),""),ROWS($A$13:A54))),""),"")</f>
        <v/>
      </c>
      <c r="V54" s="2283" t="str">
        <f t="array" ref="V54">IFERROR(IF($T$11="Yes",INDEX($O$14:$O$2811,SMALL(IF((County=$P$14:$P$2811),MATCH(ROW($P$14:$P$2811),ROW($P$14:$P$2811)),""),ROWS($A$13:A54))),""),"")</f>
        <v/>
      </c>
      <c r="X54" s="339">
        <v>32407</v>
      </c>
      <c r="Y54" s="338" t="s">
        <v>285</v>
      </c>
      <c r="AA54" s="338">
        <v>3.14</v>
      </c>
      <c r="AB54" s="338" t="s">
        <v>328</v>
      </c>
      <c r="AG54" s="2297">
        <v>2.04</v>
      </c>
      <c r="AH54" s="2297" t="s">
        <v>285</v>
      </c>
      <c r="AI54" s="1390"/>
      <c r="AJ54" s="2282"/>
      <c r="AK54" s="2282"/>
      <c r="AL54" s="1037"/>
      <c r="AM54" s="339">
        <v>33351</v>
      </c>
      <c r="AN54" s="338" t="s">
        <v>289</v>
      </c>
      <c r="AQ54" s="858"/>
      <c r="AR54" s="338">
        <v>303.01</v>
      </c>
      <c r="AS54" s="338" t="s">
        <v>289</v>
      </c>
      <c r="AX54" s="340">
        <v>14.04</v>
      </c>
      <c r="AY54" s="340" t="s">
        <v>285</v>
      </c>
      <c r="BA54" s="341" t="str">
        <f t="array" ref="BA54">IFERROR(IF($BA$11="Metro",INDEX($AR$13:$AR$814,SMALL(IF((County=$AS$13:$AS$814),MATCH(ROW($AS$13:$AS$814),ROW($AS$13:$AS$814)),""),ROWS($A$13:$A54))),INDEX($AU$13:$AU$48,SMALL(IF((County=$AV$13:$AV$48),MATCH(ROW($AV$13:$AV$48),ROW($AV$13:$AV$48)),""),ROWS($A$13:$A54)))),"")</f>
        <v/>
      </c>
      <c r="BC54" s="341" t="str">
        <f t="array" ref="BC54">IFERROR(IF($BC$11="Yes",INDEX($AX$13:$AX$2950,SMALL(IF((County=$AY$13:$AY$2950),MATCH(ROW($AY$13:$AY$2950),ROW($AY$13:$AY$2950)),""),ROWS($A$13:$A54))),""),"")</f>
        <v/>
      </c>
      <c r="BE54" s="339">
        <v>32712</v>
      </c>
      <c r="BF54" s="338" t="s">
        <v>338</v>
      </c>
      <c r="BH54" s="338">
        <v>3.05</v>
      </c>
      <c r="BI54" s="338" t="s">
        <v>328</v>
      </c>
      <c r="BN54" s="340">
        <v>2.02</v>
      </c>
      <c r="BO54" s="340" t="s">
        <v>309</v>
      </c>
      <c r="BP54" s="1385"/>
      <c r="BQ54" s="1387">
        <v>33321</v>
      </c>
      <c r="BR54" s="236" t="s">
        <v>289</v>
      </c>
      <c r="BU54" s="858"/>
      <c r="BV54" s="338">
        <v>20.02</v>
      </c>
      <c r="BW54" s="338" t="s">
        <v>276</v>
      </c>
      <c r="BY54" s="236">
        <v>9703.02</v>
      </c>
      <c r="BZ54" s="236" t="s">
        <v>306</v>
      </c>
      <c r="CB54" s="340">
        <v>14.03</v>
      </c>
      <c r="CC54" s="340" t="s">
        <v>285</v>
      </c>
      <c r="CE54" s="341" t="str">
        <f t="array" ref="CE54">IFERROR(IF($CE$11="Metro",INDEX($BV$13:$BV$4972,SMALL(IF((County=$BW$13:$BW$4972),MATCH(ROW($BW$13:$BW$4972),ROW($BW$13:$BW$4972)),""),ROWS($A$13:$A54))),INDEX($BY$13:$BY$212,SMALL(IF((County=$BZ$13:$BZ$212),MATCH(ROW($BZ$13:$BZ$212),ROW($BZ$13:$BZ$212)),""),ROWS($A$13:$A54)))),"")</f>
        <v/>
      </c>
      <c r="CG54" s="341" t="str">
        <f t="array" ref="CG54">IFERROR(IF($CG$11="Yes",INDEX($CB$13:$CB$2950,SMALL(IF((County=$CC$13:$CC$2950),MATCH(ROW($CC$13:$CC$2950),ROW($CC$13:$CC$2950)),""),ROWS($A$13:$A54))),""),"")</f>
        <v/>
      </c>
      <c r="CI54" s="1387">
        <v>32713</v>
      </c>
      <c r="CJ54" s="236" t="s">
        <v>355</v>
      </c>
      <c r="CL54" s="236">
        <v>1.43</v>
      </c>
      <c r="CM54" s="236" t="s">
        <v>331</v>
      </c>
      <c r="CO54" s="338">
        <v>1105</v>
      </c>
      <c r="CP54" s="338" t="s">
        <v>298</v>
      </c>
      <c r="CR54" s="340">
        <v>2.02</v>
      </c>
      <c r="CS54" s="340" t="s">
        <v>329</v>
      </c>
      <c r="CT54" s="1384"/>
      <c r="CU54" s="341">
        <v>33325</v>
      </c>
      <c r="CV54" s="338" t="s">
        <v>289</v>
      </c>
      <c r="CZ54" s="1795">
        <v>103.05</v>
      </c>
      <c r="DA54" s="338" t="s">
        <v>289</v>
      </c>
      <c r="DF54" s="340">
        <v>14.03</v>
      </c>
      <c r="DG54" s="340" t="s">
        <v>285</v>
      </c>
      <c r="DI54" s="341" t="str">
        <f t="array" ref="DI54">IFERROR(IF($DI$11="Metro",INDEX($CZ$13:$CZ$929,SMALL(IF((County=$DA$13:$DA$929),MATCH(ROW($DA$13:$DA$929),ROW($DA$13:$DA$929)),""),ROWS($A$13:$A54))),INDEX($DC$13:$DC$212,SMALL(IF((County=$DD$13:$DD$212),MATCH(ROW($DD$13:$DD$212),ROW($DD$13:$DD$212)),""),ROWS($A$13:$A54)))),"")</f>
        <v/>
      </c>
      <c r="DK54" s="341" t="str">
        <f t="array" ref="DK54">IFERROR(IF($DK$11="Yes",INDEX($DF$13:$DF$2838,SMALL(IF((County=$DG$13:$DG$2838),MATCH(ROW($DG$13:$DG$2838),ROW($DG$13:$DG$2838)),""),ROWS($A$13:$A54))),""),"")</f>
        <v/>
      </c>
      <c r="DM54" s="1387">
        <v>32578</v>
      </c>
      <c r="DN54" s="338" t="s">
        <v>336</v>
      </c>
      <c r="DP54" s="236">
        <v>3.1</v>
      </c>
      <c r="DQ54" s="236" t="s">
        <v>328</v>
      </c>
      <c r="DV54" s="340">
        <v>2.02</v>
      </c>
      <c r="DW54" s="340" t="s">
        <v>309</v>
      </c>
      <c r="DX54" s="1671"/>
      <c r="EB54" s="549" t="s">
        <v>333</v>
      </c>
      <c r="EC54" s="553" t="str">
        <f>VLOOKUP(EB54,Data1!$A$405:$H$471,8)</f>
        <v>Small</v>
      </c>
      <c r="ED54" s="549" t="s">
        <v>3111</v>
      </c>
      <c r="EE54" s="549" t="s">
        <v>3112</v>
      </c>
      <c r="EF54" s="549">
        <v>24.563454</v>
      </c>
      <c r="EG54" s="549">
        <v>-81.797280999999998</v>
      </c>
      <c r="EH54" s="553" t="s">
        <v>635</v>
      </c>
      <c r="EI54" s="555" t="s">
        <v>634</v>
      </c>
      <c r="EJ54" s="550" t="str">
        <f t="shared" si="10"/>
        <v>Monroe - Lofts at Trumbo</v>
      </c>
      <c r="EK54" s="561" t="str">
        <f t="shared" si="11"/>
        <v>Family</v>
      </c>
      <c r="EL54" s="550" t="str">
        <f t="shared" si="12"/>
        <v>(24.563454, -81.797281)</v>
      </c>
      <c r="EM54" s="552" t="str">
        <f t="shared" si="13"/>
        <v>&gt;30</v>
      </c>
      <c r="EN54" s="1941" t="str">
        <f t="shared" si="14"/>
        <v/>
      </c>
      <c r="EO54" t="str">
        <f t="shared" si="15"/>
        <v>Monroe - Lofts at Trumbo</v>
      </c>
      <c r="EP54" s="1941">
        <f t="shared" si="16"/>
        <v>4099.573310799793</v>
      </c>
      <c r="EQ54" s="1941" t="str">
        <f t="shared" si="17"/>
        <v>No</v>
      </c>
      <c r="ER54" s="1941" t="str">
        <f>VLOOKUP(EB54,Data1!$G$405:$H$471,2)</f>
        <v>Small</v>
      </c>
      <c r="ET54" s="1941" t="str">
        <f>IF(EU54&gt;0,SUM(EU$13:EU54),"")</f>
        <v/>
      </c>
      <c r="EU54" s="1941">
        <f t="shared" si="18"/>
        <v>0</v>
      </c>
      <c r="EV54" s="1148" t="str">
        <f t="shared" si="19"/>
        <v>Monroe - Lofts at Trumbo</v>
      </c>
    </row>
    <row r="55" spans="1:152" ht="14.65" customHeight="1">
      <c r="A55" s="339">
        <v>33313</v>
      </c>
      <c r="B55" s="338" t="s">
        <v>289</v>
      </c>
      <c r="E55" s="858"/>
      <c r="F55" s="338">
        <v>303.01</v>
      </c>
      <c r="G55" s="338" t="s">
        <v>289</v>
      </c>
      <c r="L55" s="2481">
        <v>14.03</v>
      </c>
      <c r="M55" s="340" t="s">
        <v>285</v>
      </c>
      <c r="N55" s="1390"/>
      <c r="O55" s="2479"/>
      <c r="P55" s="2282"/>
      <c r="R55" s="341" t="str">
        <f t="array" ref="R55">IFERROR(IF($R$11="Metro",INDEX($F$13:$F$829,SMALL(IF((County=$G$13:$G$829),MATCH(ROW($G$13:$G$829),ROW($G$13:$G$829)),""),ROWS($A$13:A55))),INDEX($I$13:$I$44,SMALL(IF((County=$J$13:$J$44),MATCH(ROW($J$13:$J$44),ROW($J$13:$J$44)),""),ROWS($A$13:A55)))),"")</f>
        <v/>
      </c>
      <c r="T55" s="341" t="str">
        <f t="array" ref="T55">IFERROR(IF($T$11="Yes",INDEX($L$13:$L$2813,SMALL(IF((County=$M$13:$M$2813),MATCH(ROW($M$13:$M$2813),ROW($M$13:$M$2813)),""),ROWS($A$13:A55))),""),"")</f>
        <v/>
      </c>
      <c r="V55" s="2283" t="str">
        <f t="array" ref="V55">IFERROR(IF($T$11="Yes",INDEX($O$14:$O$2811,SMALL(IF((County=$P$14:$P$2811),MATCH(ROW($P$14:$P$2811),ROW($P$14:$P$2811)),""),ROWS($A$13:A55))),""),"")</f>
        <v/>
      </c>
      <c r="X55" s="339">
        <v>32410</v>
      </c>
      <c r="Y55" s="338" t="s">
        <v>285</v>
      </c>
      <c r="AA55" s="338">
        <v>4</v>
      </c>
      <c r="AB55" s="338" t="s">
        <v>304</v>
      </c>
      <c r="AG55" s="2297">
        <v>2.04</v>
      </c>
      <c r="AH55" s="2297" t="s">
        <v>340</v>
      </c>
      <c r="AI55" s="1390"/>
      <c r="AJ55" s="2282"/>
      <c r="AK55" s="2282"/>
      <c r="AL55" s="1037"/>
      <c r="AM55" s="339">
        <v>33442</v>
      </c>
      <c r="AN55" s="338" t="s">
        <v>289</v>
      </c>
      <c r="AQ55" s="858"/>
      <c r="AR55" s="338">
        <v>303.02</v>
      </c>
      <c r="AS55" s="338" t="s">
        <v>289</v>
      </c>
      <c r="AX55" s="340">
        <v>15.01</v>
      </c>
      <c r="AY55" s="340" t="s">
        <v>285</v>
      </c>
      <c r="BA55" s="341" t="str">
        <f t="array" ref="BA55">IFERROR(IF($BA$11="Metro",INDEX($AR$13:$AR$814,SMALL(IF((County=$AS$13:$AS$814),MATCH(ROW($AS$13:$AS$814),ROW($AS$13:$AS$814)),""),ROWS($A$13:$A55))),INDEX($AU$13:$AU$48,SMALL(IF((County=$AV$13:$AV$48),MATCH(ROW($AV$13:$AV$48),ROW($AV$13:$AV$48)),""),ROWS($A$13:$A55)))),"")</f>
        <v/>
      </c>
      <c r="BC55" s="341" t="str">
        <f t="array" ref="BC55">IFERROR(IF($BC$11="Yes",INDEX($AX$13:$AX$2950,SMALL(IF((County=$AY$13:$AY$2950),MATCH(ROW($AY$13:$AY$2950),ROW($AY$13:$AY$2950)),""),ROWS($A$13:$A55))),""),"")</f>
        <v/>
      </c>
      <c r="BE55" s="339">
        <v>32714</v>
      </c>
      <c r="BF55" s="338" t="s">
        <v>348</v>
      </c>
      <c r="BH55" s="338">
        <v>3.06</v>
      </c>
      <c r="BI55" s="338" t="s">
        <v>323</v>
      </c>
      <c r="BN55" s="340">
        <v>2.02</v>
      </c>
      <c r="BO55" s="340" t="s">
        <v>329</v>
      </c>
      <c r="BP55" s="1385"/>
      <c r="BQ55" s="1387">
        <v>33322</v>
      </c>
      <c r="BR55" s="236" t="s">
        <v>289</v>
      </c>
      <c r="BU55" s="858"/>
      <c r="BV55" s="338">
        <v>21.01</v>
      </c>
      <c r="BW55" s="338" t="s">
        <v>276</v>
      </c>
      <c r="BY55" s="236">
        <v>9703.0400000000009</v>
      </c>
      <c r="BZ55" s="236" t="s">
        <v>306</v>
      </c>
      <c r="CB55" s="340">
        <v>14.04</v>
      </c>
      <c r="CC55" s="340" t="s">
        <v>285</v>
      </c>
      <c r="CE55" s="341" t="str">
        <f t="array" ref="CE55">IFERROR(IF($CE$11="Metro",INDEX($BV$13:$BV$4972,SMALL(IF((County=$BW$13:$BW$4972),MATCH(ROW($BW$13:$BW$4972),ROW($BW$13:$BW$4972)),""),ROWS($A$13:$A55))),INDEX($BY$13:$BY$212,SMALL(IF((County=$BZ$13:$BZ$212),MATCH(ROW($BZ$13:$BZ$212),ROW($BZ$13:$BZ$212)),""),ROWS($A$13:$A55)))),"")</f>
        <v/>
      </c>
      <c r="CG55" s="341" t="str">
        <f t="array" ref="CG55">IFERROR(IF($CG$11="Yes",INDEX($CB$13:$CB$2950,SMALL(IF((County=$CC$13:$CC$2950),MATCH(ROW($CC$13:$CC$2950),ROW($CC$13:$CC$2950)),""),ROWS($A$13:$A55))),""),"")</f>
        <v/>
      </c>
      <c r="CI55" s="1583">
        <v>32714</v>
      </c>
      <c r="CJ55" s="236" t="s">
        <v>348</v>
      </c>
      <c r="CL55" s="236">
        <v>1.44</v>
      </c>
      <c r="CM55" s="236" t="s">
        <v>331</v>
      </c>
      <c r="CO55" s="338">
        <v>1106.02</v>
      </c>
      <c r="CP55" s="338" t="s">
        <v>298</v>
      </c>
      <c r="CR55" s="340">
        <v>2.0299999999999998</v>
      </c>
      <c r="CS55" s="340" t="s">
        <v>329</v>
      </c>
      <c r="CT55" s="1384"/>
      <c r="CU55" s="341">
        <v>33326</v>
      </c>
      <c r="CV55" s="338" t="s">
        <v>289</v>
      </c>
      <c r="CZ55" s="1795">
        <v>103.06</v>
      </c>
      <c r="DA55" s="338" t="s">
        <v>289</v>
      </c>
      <c r="DF55" s="340">
        <v>14.04</v>
      </c>
      <c r="DG55" s="340" t="s">
        <v>285</v>
      </c>
      <c r="DI55" s="341" t="str">
        <f t="array" ref="DI55">IFERROR(IF($DI$11="Metro",INDEX($CZ$13:$CZ$929,SMALL(IF((County=$DA$13:$DA$929),MATCH(ROW($DA$13:$DA$929),ROW($DA$13:$DA$929)),""),ROWS($A$13:$A55))),INDEX($DC$13:$DC$212,SMALL(IF((County=$DD$13:$DD$212),MATCH(ROW($DD$13:$DD$212),ROW($DD$13:$DD$212)),""),ROWS($A$13:$A55)))),"")</f>
        <v/>
      </c>
      <c r="DK55" s="341" t="str">
        <f t="array" ref="DK55">IFERROR(IF($DK$11="Yes",INDEX($DF$13:$DF$2838,SMALL(IF((County=$DG$13:$DG$2838),MATCH(ROW($DG$13:$DG$2838),ROW($DG$13:$DG$2838)),""),ROWS($A$13:$A55))),""),"")</f>
        <v/>
      </c>
      <c r="DM55" s="1387">
        <v>32669</v>
      </c>
      <c r="DN55" s="338" t="s">
        <v>276</v>
      </c>
      <c r="DP55" s="236">
        <v>3.1</v>
      </c>
      <c r="DQ55" s="236" t="s">
        <v>331</v>
      </c>
      <c r="DV55" s="340">
        <v>2.02</v>
      </c>
      <c r="DW55" s="340" t="s">
        <v>329</v>
      </c>
      <c r="DX55" s="1671"/>
      <c r="EB55" s="549" t="s">
        <v>339</v>
      </c>
      <c r="EC55" s="553" t="str">
        <f>VLOOKUP(EB55,Data1!$A$405:$H$471,8)</f>
        <v>Medium</v>
      </c>
      <c r="ED55" s="549" t="s">
        <v>3113</v>
      </c>
      <c r="EE55" s="549" t="s">
        <v>3114</v>
      </c>
      <c r="EF55" s="550">
        <v>28.311285999999999</v>
      </c>
      <c r="EG55" s="550">
        <v>-81.456844000000004</v>
      </c>
      <c r="EH55" s="553" t="s">
        <v>635</v>
      </c>
      <c r="EI55" s="553" t="s">
        <v>634</v>
      </c>
      <c r="EJ55" s="550" t="str">
        <f t="shared" si="10"/>
        <v>Osceola - Dominium Kissimmee Family</v>
      </c>
      <c r="EK55" s="561" t="str">
        <f t="shared" si="11"/>
        <v>Family</v>
      </c>
      <c r="EL55" s="550" t="str">
        <f t="shared" si="12"/>
        <v>(28.311286, -81.456844)</v>
      </c>
      <c r="EM55" s="552" t="str">
        <f t="shared" si="13"/>
        <v>&gt;30</v>
      </c>
      <c r="EN55" s="1941" t="str">
        <f t="shared" si="14"/>
        <v/>
      </c>
      <c r="EO55" t="str">
        <f t="shared" si="15"/>
        <v>Osceola - Dominium Kissimmee Family</v>
      </c>
      <c r="EP55" s="1941">
        <f t="shared" si="16"/>
        <v>4135.6216189849583</v>
      </c>
      <c r="EQ55" s="1941" t="str">
        <f t="shared" si="17"/>
        <v>No</v>
      </c>
      <c r="ER55" s="1941" t="str">
        <f>VLOOKUP(EB55,Data1!$G$405:$H$471,2)</f>
        <v>Medium</v>
      </c>
      <c r="ET55" s="1941" t="str">
        <f>IF(EU55&gt;0,SUM(EU$13:EU55),"")</f>
        <v/>
      </c>
      <c r="EU55" s="1941">
        <f t="shared" si="18"/>
        <v>0</v>
      </c>
      <c r="EV55" s="1148" t="str">
        <f t="shared" si="19"/>
        <v>Osceola - Dominium Kissimmee Family</v>
      </c>
    </row>
    <row r="56" spans="1:152" ht="14.65" customHeight="1">
      <c r="A56" s="339">
        <v>33314</v>
      </c>
      <c r="B56" s="338" t="s">
        <v>289</v>
      </c>
      <c r="E56" s="858"/>
      <c r="F56" s="338">
        <v>304.02</v>
      </c>
      <c r="G56" s="338" t="s">
        <v>289</v>
      </c>
      <c r="L56" s="2481">
        <v>14.04</v>
      </c>
      <c r="M56" s="340" t="s">
        <v>285</v>
      </c>
      <c r="N56" s="1390"/>
      <c r="O56" s="2479"/>
      <c r="P56" s="2282"/>
      <c r="R56" s="341" t="str">
        <f t="array" ref="R56">IFERROR(IF($R$11="Metro",INDEX($F$13:$F$829,SMALL(IF((County=$G$13:$G$829),MATCH(ROW($G$13:$G$829),ROW($G$13:$G$829)),""),ROWS($A$13:A56))),INDEX($I$13:$I$44,SMALL(IF((County=$J$13:$J$44),MATCH(ROW($J$13:$J$44),ROW($J$13:$J$44)),""),ROWS($A$13:A56)))),"")</f>
        <v/>
      </c>
      <c r="T56" s="341" t="str">
        <f t="array" ref="T56">IFERROR(IF($T$11="Yes",INDEX($L$13:$L$2813,SMALL(IF((County=$M$13:$M$2813),MATCH(ROW($M$13:$M$2813),ROW($M$13:$M$2813)),""),ROWS($A$13:A56))),""),"")</f>
        <v/>
      </c>
      <c r="V56" s="2283" t="str">
        <f t="array" ref="V56">IFERROR(IF($T$11="Yes",INDEX($O$14:$O$2811,SMALL(IF((County=$P$14:$P$2811),MATCH(ROW($P$14:$P$2811),ROW($P$14:$P$2811)),""),ROWS($A$13:A56))),""),"")</f>
        <v/>
      </c>
      <c r="X56" s="339">
        <v>32444</v>
      </c>
      <c r="Y56" s="338" t="s">
        <v>285</v>
      </c>
      <c r="AA56" s="338">
        <v>4.0199999999999996</v>
      </c>
      <c r="AB56" s="338" t="s">
        <v>316</v>
      </c>
      <c r="AG56" s="2297">
        <v>2.08</v>
      </c>
      <c r="AH56" s="2297" t="s">
        <v>340</v>
      </c>
      <c r="AI56" s="1390"/>
      <c r="AJ56" s="2282"/>
      <c r="AK56" s="2282"/>
      <c r="AL56" s="1037"/>
      <c r="AM56" s="339">
        <v>33946</v>
      </c>
      <c r="AN56" s="338" t="s">
        <v>294</v>
      </c>
      <c r="AQ56" s="858"/>
      <c r="AR56" s="338">
        <v>304.02</v>
      </c>
      <c r="AS56" s="338" t="s">
        <v>289</v>
      </c>
      <c r="AX56" s="340">
        <v>15.02</v>
      </c>
      <c r="AY56" s="340" t="s">
        <v>285</v>
      </c>
      <c r="BA56" s="341" t="str">
        <f t="array" ref="BA56">IFERROR(IF($BA$11="Metro",INDEX($AR$13:$AR$814,SMALL(IF((County=$AS$13:$AS$814),MATCH(ROW($AS$13:$AS$814),ROW($AS$13:$AS$814)),""),ROWS($A$13:$A56))),INDEX($AU$13:$AU$48,SMALL(IF((County=$AV$13:$AV$48),MATCH(ROW($AV$13:$AV$48),ROW($AV$13:$AV$48)),""),ROWS($A$13:$A56)))),"")</f>
        <v/>
      </c>
      <c r="BC56" s="341" t="str">
        <f t="array" ref="BC56">IFERROR(IF($BC$11="Yes",INDEX($AX$13:$AX$2950,SMALL(IF((County=$AY$13:$AY$2950),MATCH(ROW($AY$13:$AY$2950),ROW($AY$13:$AY$2950)),""),ROWS($A$13:$A56))),""),"")</f>
        <v/>
      </c>
      <c r="BE56" s="339">
        <v>32725</v>
      </c>
      <c r="BF56" s="338" t="s">
        <v>355</v>
      </c>
      <c r="BH56" s="338">
        <v>3.06</v>
      </c>
      <c r="BI56" s="338" t="s">
        <v>331</v>
      </c>
      <c r="BN56" s="340">
        <v>2.02</v>
      </c>
      <c r="BO56" s="340" t="s">
        <v>340</v>
      </c>
      <c r="BP56" s="1385"/>
      <c r="BQ56" s="1387">
        <v>33323</v>
      </c>
      <c r="BR56" s="236" t="s">
        <v>289</v>
      </c>
      <c r="BU56" s="858"/>
      <c r="BV56" s="338">
        <v>21.02</v>
      </c>
      <c r="BW56" s="338" t="s">
        <v>276</v>
      </c>
      <c r="BY56" s="236">
        <v>9900</v>
      </c>
      <c r="BZ56" s="236" t="s">
        <v>306</v>
      </c>
      <c r="CB56" s="340">
        <v>15.01</v>
      </c>
      <c r="CC56" s="340" t="s">
        <v>285</v>
      </c>
      <c r="CE56" s="341" t="str">
        <f t="array" ref="CE56">IFERROR(IF($CE$11="Metro",INDEX($BV$13:$BV$4972,SMALL(IF((County=$BW$13:$BW$4972),MATCH(ROW($BW$13:$BW$4972),ROW($BW$13:$BW$4972)),""),ROWS($A$13:$A56))),INDEX($BY$13:$BY$212,SMALL(IF((County=$BZ$13:$BZ$212),MATCH(ROW($BZ$13:$BZ$212),ROW($BZ$13:$BZ$212)),""),ROWS($A$13:$A56)))),"")</f>
        <v/>
      </c>
      <c r="CG56" s="341" t="str">
        <f t="array" ref="CG56">IFERROR(IF($CG$11="Yes",INDEX($CB$13:$CB$2950,SMALL(IF((County=$CC$13:$CC$2950),MATCH(ROW($CC$13:$CC$2950),ROW($CC$13:$CC$2950)),""),ROWS($A$13:$A56))),""),"")</f>
        <v/>
      </c>
      <c r="CI56" s="1387">
        <v>32725</v>
      </c>
      <c r="CJ56" s="236" t="s">
        <v>355</v>
      </c>
      <c r="CL56" s="236">
        <v>1.45</v>
      </c>
      <c r="CM56" s="236" t="s">
        <v>331</v>
      </c>
      <c r="CO56" s="338">
        <v>1106.03</v>
      </c>
      <c r="CP56" s="338" t="s">
        <v>298</v>
      </c>
      <c r="CR56" s="340">
        <v>2.04</v>
      </c>
      <c r="CS56" s="340" t="s">
        <v>285</v>
      </c>
      <c r="CT56" s="1384"/>
      <c r="CU56" s="341">
        <v>33327</v>
      </c>
      <c r="CV56" s="338" t="s">
        <v>289</v>
      </c>
      <c r="CZ56" s="1795">
        <v>103.07</v>
      </c>
      <c r="DA56" s="338" t="s">
        <v>289</v>
      </c>
      <c r="DF56" s="340">
        <v>15.01</v>
      </c>
      <c r="DG56" s="340" t="s">
        <v>285</v>
      </c>
      <c r="DI56" s="341" t="str">
        <f t="array" ref="DI56">IFERROR(IF($DI$11="Metro",INDEX($CZ$13:$CZ$929,SMALL(IF((County=$DA$13:$DA$929),MATCH(ROW($DA$13:$DA$929),ROW($DA$13:$DA$929)),""),ROWS($A$13:$A56))),INDEX($DC$13:$DC$212,SMALL(IF((County=$DD$13:$DD$212),MATCH(ROW($DD$13:$DD$212),ROW($DD$13:$DD$212)),""),ROWS($A$13:$A56)))),"")</f>
        <v/>
      </c>
      <c r="DK56" s="341" t="str">
        <f t="array" ref="DK56">IFERROR(IF($DK$11="Yes",INDEX($DF$13:$DF$2838,SMALL(IF((County=$DG$13:$DG$2838),MATCH(ROW($DG$13:$DG$2838),ROW($DG$13:$DG$2838)),""),ROWS($A$13:$A56))),""),"")</f>
        <v/>
      </c>
      <c r="DM56" s="1387">
        <v>32701</v>
      </c>
      <c r="DN56" s="338" t="s">
        <v>348</v>
      </c>
      <c r="DP56" s="236">
        <v>3.11</v>
      </c>
      <c r="DQ56" s="236" t="s">
        <v>328</v>
      </c>
      <c r="DV56" s="340">
        <v>2.0299999999999998</v>
      </c>
      <c r="DW56" s="340" t="s">
        <v>329</v>
      </c>
      <c r="DX56" s="1671"/>
      <c r="EB56" s="549" t="s">
        <v>339</v>
      </c>
      <c r="EC56" s="553" t="str">
        <f>VLOOKUP(EB56,Data1!$A$405:$H$471,8)</f>
        <v>Medium</v>
      </c>
      <c r="ED56" s="549" t="s">
        <v>2351</v>
      </c>
      <c r="EE56" s="549" t="s">
        <v>2352</v>
      </c>
      <c r="EF56" s="558">
        <v>28.254057</v>
      </c>
      <c r="EG56" s="557">
        <v>-81.479622000000006</v>
      </c>
      <c r="EH56" s="553" t="s">
        <v>633</v>
      </c>
      <c r="EI56" s="552" t="s">
        <v>634</v>
      </c>
      <c r="EJ56" s="550" t="str">
        <f t="shared" si="10"/>
        <v>Osceola - Woodlock Manor</v>
      </c>
      <c r="EK56" s="561" t="str">
        <f t="shared" si="11"/>
        <v>Elderly Non-ALF</v>
      </c>
      <c r="EL56" s="550" t="str">
        <f t="shared" si="12"/>
        <v>(28.254057, -81.479622)</v>
      </c>
      <c r="EM56" s="552" t="str">
        <f t="shared" si="13"/>
        <v>&gt;30</v>
      </c>
      <c r="EN56" s="1941" t="str">
        <f t="shared" si="14"/>
        <v/>
      </c>
      <c r="EO56" t="str">
        <f t="shared" si="15"/>
        <v>Osceola - Woodlock Manor</v>
      </c>
      <c r="EP56" s="1941">
        <f t="shared" si="16"/>
        <v>4135.3694522934957</v>
      </c>
      <c r="EQ56" s="1941" t="str">
        <f t="shared" si="17"/>
        <v>No</v>
      </c>
      <c r="ER56" s="1941" t="str">
        <f>VLOOKUP(EB56,Data1!$G$405:$H$471,2)</f>
        <v>Medium</v>
      </c>
      <c r="ET56" s="1941" t="str">
        <f>IF(EU56&gt;0,SUM(EU$13:EU56),"")</f>
        <v/>
      </c>
      <c r="EU56" s="1941">
        <f t="shared" si="18"/>
        <v>0</v>
      </c>
      <c r="EV56" s="1148" t="str">
        <f t="shared" si="19"/>
        <v>Osceola - Woodlock Manor</v>
      </c>
    </row>
    <row r="57" spans="1:152" ht="14.65" customHeight="1">
      <c r="A57" s="339">
        <v>33315</v>
      </c>
      <c r="B57" s="338" t="s">
        <v>289</v>
      </c>
      <c r="E57" s="858"/>
      <c r="F57" s="338">
        <v>305</v>
      </c>
      <c r="G57" s="338" t="s">
        <v>289</v>
      </c>
      <c r="L57" s="2481">
        <v>15.01</v>
      </c>
      <c r="M57" s="340" t="s">
        <v>285</v>
      </c>
      <c r="N57" s="1390"/>
      <c r="O57" s="2479"/>
      <c r="P57" s="2282"/>
      <c r="R57" s="341" t="str">
        <f t="array" ref="R57">IFERROR(IF($R$11="Metro",INDEX($F$13:$F$829,SMALL(IF((County=$G$13:$G$829),MATCH(ROW($G$13:$G$829),ROW($G$13:$G$829)),""),ROWS($A$13:A57))),INDEX($I$13:$I$44,SMALL(IF((County=$J$13:$J$44),MATCH(ROW($J$13:$J$44),ROW($J$13:$J$44)),""),ROWS($A$13:A57)))),"")</f>
        <v/>
      </c>
      <c r="T57" s="341" t="str">
        <f t="array" ref="T57">IFERROR(IF($T$11="Yes",INDEX($L$13:$L$2813,SMALL(IF((County=$M$13:$M$2813),MATCH(ROW($M$13:$M$2813),ROW($M$13:$M$2813)),""),ROWS($A$13:A57))),""),"")</f>
        <v/>
      </c>
      <c r="V57" s="2283" t="str">
        <f t="array" ref="V57">IFERROR(IF($T$11="Yes",INDEX($O$14:$O$2811,SMALL(IF((County=$P$14:$P$2811),MATCH(ROW($P$14:$P$2811),ROW($P$14:$P$2811)),""),ROWS($A$13:A57))),""),"")</f>
        <v/>
      </c>
      <c r="X57" s="339">
        <v>32461</v>
      </c>
      <c r="Y57" s="338" t="s">
        <v>357</v>
      </c>
      <c r="AA57" s="338">
        <v>4.0199999999999996</v>
      </c>
      <c r="AB57" s="338" t="s">
        <v>331</v>
      </c>
      <c r="AG57" s="2297">
        <v>2.1</v>
      </c>
      <c r="AH57" s="2297" t="s">
        <v>340</v>
      </c>
      <c r="AI57" s="1390"/>
      <c r="AJ57" s="2282"/>
      <c r="AK57" s="2282"/>
      <c r="AL57" s="1037"/>
      <c r="AM57" s="339">
        <v>33947</v>
      </c>
      <c r="AN57" s="338" t="s">
        <v>294</v>
      </c>
      <c r="AQ57" s="858"/>
      <c r="AR57" s="338">
        <v>305</v>
      </c>
      <c r="AS57" s="338" t="s">
        <v>289</v>
      </c>
      <c r="AX57" s="340">
        <v>19</v>
      </c>
      <c r="AY57" s="340" t="s">
        <v>285</v>
      </c>
      <c r="BA57" s="341" t="str">
        <f t="array" ref="BA57">IFERROR(IF($BA$11="Metro",INDEX($AR$13:$AR$814,SMALL(IF((County=$AS$13:$AS$814),MATCH(ROW($AS$13:$AS$814),ROW($AS$13:$AS$814)),""),ROWS($A$13:$A57))),INDEX($AU$13:$AU$48,SMALL(IF((County=$AV$13:$AV$48),MATCH(ROW($AV$13:$AV$48),ROW($AV$13:$AV$48)),""),ROWS($A$13:$A57)))),"")</f>
        <v/>
      </c>
      <c r="BC57" s="341" t="str">
        <f t="array" ref="BC57">IFERROR(IF($BC$11="Yes",INDEX($AX$13:$AX$2950,SMALL(IF((County=$AY$13:$AY$2950),MATCH(ROW($AY$13:$AY$2950),ROW($AY$13:$AY$2950)),""),ROWS($A$13:$A57))),""),"")</f>
        <v/>
      </c>
      <c r="BE57" s="339">
        <v>32732</v>
      </c>
      <c r="BF57" s="338" t="s">
        <v>348</v>
      </c>
      <c r="BH57" s="338">
        <v>3.07</v>
      </c>
      <c r="BI57" s="338" t="s">
        <v>328</v>
      </c>
      <c r="BN57" s="340">
        <v>2.0299999999999998</v>
      </c>
      <c r="BO57" s="340" t="s">
        <v>329</v>
      </c>
      <c r="BP57" s="1385"/>
      <c r="BQ57" s="1387">
        <v>33324</v>
      </c>
      <c r="BR57" s="236" t="s">
        <v>289</v>
      </c>
      <c r="BU57" s="858"/>
      <c r="BV57" s="338">
        <v>22.01</v>
      </c>
      <c r="BW57" s="338" t="s">
        <v>276</v>
      </c>
      <c r="BY57" s="236">
        <v>9901</v>
      </c>
      <c r="BZ57" s="236" t="s">
        <v>306</v>
      </c>
      <c r="CB57" s="340">
        <v>15.02</v>
      </c>
      <c r="CC57" s="340" t="s">
        <v>285</v>
      </c>
      <c r="CE57" s="341" t="str">
        <f t="array" ref="CE57">IFERROR(IF($CE$11="Metro",INDEX($BV$13:$BV$4972,SMALL(IF((County=$BW$13:$BW$4972),MATCH(ROW($BW$13:$BW$4972),ROW($BW$13:$BW$4972)),""),ROWS($A$13:$A57))),INDEX($BY$13:$BY$212,SMALL(IF((County=$BZ$13:$BZ$212),MATCH(ROW($BZ$13:$BZ$212),ROW($BZ$13:$BZ$212)),""),ROWS($A$13:$A57)))),"")</f>
        <v/>
      </c>
      <c r="CG57" s="341" t="str">
        <f t="array" ref="CG57">IFERROR(IF($CG$11="Yes",INDEX($CB$13:$CB$2950,SMALL(IF((County=$CC$13:$CC$2950),MATCH(ROW($CC$13:$CC$2950),ROW($CC$13:$CC$2950)),""),ROWS($A$13:$A57))),""),"")</f>
        <v/>
      </c>
      <c r="CI57" s="1583">
        <v>32732</v>
      </c>
      <c r="CJ57" s="236" t="s">
        <v>348</v>
      </c>
      <c r="CL57" s="236">
        <v>1.46</v>
      </c>
      <c r="CM57" s="236" t="s">
        <v>331</v>
      </c>
      <c r="CO57" s="338">
        <v>1106.04</v>
      </c>
      <c r="CP57" s="338" t="s">
        <v>298</v>
      </c>
      <c r="CR57" s="340">
        <v>2.04</v>
      </c>
      <c r="CS57" s="340" t="s">
        <v>331</v>
      </c>
      <c r="CT57" s="1384"/>
      <c r="CU57" s="341">
        <v>33328</v>
      </c>
      <c r="CV57" s="338" t="s">
        <v>289</v>
      </c>
      <c r="CZ57" s="1795">
        <v>104.03</v>
      </c>
      <c r="DA57" s="338" t="s">
        <v>289</v>
      </c>
      <c r="DF57" s="340">
        <v>15.02</v>
      </c>
      <c r="DG57" s="340" t="s">
        <v>285</v>
      </c>
      <c r="DI57" s="341" t="str">
        <f t="array" ref="DI57">IFERROR(IF($DI$11="Metro",INDEX($CZ$13:$CZ$929,SMALL(IF((County=$DA$13:$DA$929),MATCH(ROW($DA$13:$DA$929),ROW($DA$13:$DA$929)),""),ROWS($A$13:$A57))),INDEX($DC$13:$DC$212,SMALL(IF((County=$DD$13:$DD$212),MATCH(ROW($DD$13:$DD$212),ROW($DD$13:$DD$212)),""),ROWS($A$13:$A57)))),"")</f>
        <v/>
      </c>
      <c r="DK57" s="341" t="str">
        <f t="array" ref="DK57">IFERROR(IF($DK$11="Yes",INDEX($DF$13:$DF$2838,SMALL(IF((County=$DG$13:$DG$2838),MATCH(ROW($DG$13:$DG$2838),ROW($DG$13:$DG$2838)),""),ROWS($A$13:$A57))),""),"")</f>
        <v/>
      </c>
      <c r="DM57" s="1387">
        <v>32702</v>
      </c>
      <c r="DN57" s="338" t="s">
        <v>322</v>
      </c>
      <c r="DP57" s="236">
        <v>3.11</v>
      </c>
      <c r="DQ57" s="236" t="s">
        <v>331</v>
      </c>
      <c r="DV57" s="340">
        <v>2.04</v>
      </c>
      <c r="DW57" s="340" t="s">
        <v>285</v>
      </c>
      <c r="DX57" s="1671"/>
      <c r="EB57" s="554" t="s">
        <v>3055</v>
      </c>
      <c r="EC57" s="553" t="str">
        <f>VLOOKUP(EB57,Data1!$A$405:$H$471,8)</f>
        <v>Medium</v>
      </c>
      <c r="ED57" s="554" t="s">
        <v>3115</v>
      </c>
      <c r="EE57" s="549" t="s">
        <v>3116</v>
      </c>
      <c r="EF57" s="549">
        <v>28.319334000000001</v>
      </c>
      <c r="EG57" s="567">
        <v>-81.336296000000004</v>
      </c>
      <c r="EH57" s="553" t="s">
        <v>635</v>
      </c>
      <c r="EI57" s="555" t="s">
        <v>634</v>
      </c>
      <c r="EJ57" s="550" t="str">
        <f t="shared" si="10"/>
        <v xml:space="preserve">Osceola  - Simpson Crossings </v>
      </c>
      <c r="EK57" s="561" t="str">
        <f t="shared" si="11"/>
        <v>Family</v>
      </c>
      <c r="EL57" s="550" t="str">
        <f t="shared" si="12"/>
        <v>(28.319334, -81.336296)</v>
      </c>
      <c r="EM57" s="552" t="str">
        <f t="shared" si="13"/>
        <v>&gt;30</v>
      </c>
      <c r="EN57" s="1941" t="str">
        <f t="shared" si="14"/>
        <v/>
      </c>
      <c r="EO57" t="str">
        <f t="shared" si="15"/>
        <v xml:space="preserve">Osceola  - Simpson Crossings </v>
      </c>
      <c r="EP57" s="1941">
        <f t="shared" si="16"/>
        <v>4133.3030769678571</v>
      </c>
      <c r="EQ57" s="1941" t="str">
        <f t="shared" si="17"/>
        <v>No</v>
      </c>
      <c r="ER57" s="1941" t="str">
        <f>VLOOKUP(EB57,Data1!$G$405:$H$471,2)</f>
        <v>Medium</v>
      </c>
      <c r="ET57" s="1941" t="str">
        <f>IF(EU57&gt;0,SUM(EU$13:EU57),"")</f>
        <v/>
      </c>
      <c r="EU57" s="1941">
        <f t="shared" si="18"/>
        <v>0</v>
      </c>
      <c r="EV57" s="1148" t="str">
        <f t="shared" si="19"/>
        <v xml:space="preserve">Osceola  - Simpson Crossings </v>
      </c>
    </row>
    <row r="58" spans="1:152" ht="14.65" customHeight="1">
      <c r="A58" s="339">
        <v>33316</v>
      </c>
      <c r="B58" s="338" t="s">
        <v>289</v>
      </c>
      <c r="E58" s="858"/>
      <c r="F58" s="338">
        <v>306.01</v>
      </c>
      <c r="G58" s="338" t="s">
        <v>289</v>
      </c>
      <c r="L58" s="2481">
        <v>15.02</v>
      </c>
      <c r="M58" s="340" t="s">
        <v>285</v>
      </c>
      <c r="N58" s="1390"/>
      <c r="O58" s="2479"/>
      <c r="P58" s="2282"/>
      <c r="R58" s="341" t="str">
        <f t="array" ref="R58">IFERROR(IF($R$11="Metro",INDEX($F$13:$F$829,SMALL(IF((County=$G$13:$G$829),MATCH(ROW($G$13:$G$829),ROW($G$13:$G$829)),""),ROWS($A$13:A58))),INDEX($I$13:$I$44,SMALL(IF((County=$J$13:$J$44),MATCH(ROW($J$13:$J$44),ROW($J$13:$J$44)),""),ROWS($A$13:A58)))),"")</f>
        <v/>
      </c>
      <c r="T58" s="341" t="str">
        <f t="array" ref="T58">IFERROR(IF($T$11="Yes",INDEX($L$13:$L$2813,SMALL(IF((County=$M$13:$M$2813),MATCH(ROW($M$13:$M$2813),ROW($M$13:$M$2813)),""),ROWS($A$13:A58))),""),"")</f>
        <v/>
      </c>
      <c r="V58" s="2283" t="str">
        <f t="array" ref="V58">IFERROR(IF($T$11="Yes",INDEX($O$14:$O$2811,SMALL(IF((County=$P$14:$P$2811),MATCH(ROW($P$14:$P$2811),ROW($P$14:$P$2811)),""),ROWS($A$13:A58))),""),"")</f>
        <v/>
      </c>
      <c r="X58" s="339">
        <v>32466</v>
      </c>
      <c r="Y58" s="338" t="s">
        <v>357</v>
      </c>
      <c r="AA58" s="338">
        <v>4.05</v>
      </c>
      <c r="AB58" s="338" t="s">
        <v>331</v>
      </c>
      <c r="AG58" s="2297">
        <v>2.11</v>
      </c>
      <c r="AH58" s="2297" t="s">
        <v>340</v>
      </c>
      <c r="AI58" s="1390"/>
      <c r="AJ58" s="2282"/>
      <c r="AK58" s="2282"/>
      <c r="AL58" s="1037"/>
      <c r="AM58" s="339">
        <v>33953</v>
      </c>
      <c r="AN58" s="338" t="s">
        <v>294</v>
      </c>
      <c r="AQ58" s="858"/>
      <c r="AR58" s="338">
        <v>308.02999999999997</v>
      </c>
      <c r="AS58" s="338" t="s">
        <v>289</v>
      </c>
      <c r="AX58" s="340">
        <v>25</v>
      </c>
      <c r="AY58" s="340" t="s">
        <v>285</v>
      </c>
      <c r="BA58" s="341" t="str">
        <f t="array" ref="BA58">IFERROR(IF($BA$11="Metro",INDEX($AR$13:$AR$814,SMALL(IF((County=$AS$13:$AS$814),MATCH(ROW($AS$13:$AS$814),ROW($AS$13:$AS$814)),""),ROWS($A$13:$A58))),INDEX($AU$13:$AU$48,SMALL(IF((County=$AV$13:$AV$48),MATCH(ROW($AV$13:$AV$48),ROW($AV$13:$AV$48)),""),ROWS($A$13:$A58)))),"")</f>
        <v/>
      </c>
      <c r="BC58" s="341" t="str">
        <f t="array" ref="BC58">IFERROR(IF($BC$11="Yes",INDEX($AX$13:$AX$2950,SMALL(IF((County=$AY$13:$AY$2950),MATCH(ROW($AY$13:$AY$2950),ROW($AY$13:$AY$2950)),""),ROWS($A$13:$A58))),""),"")</f>
        <v/>
      </c>
      <c r="BE58" s="339">
        <v>32735</v>
      </c>
      <c r="BF58" s="338" t="s">
        <v>322</v>
      </c>
      <c r="BH58" s="338">
        <v>3.09</v>
      </c>
      <c r="BI58" s="338" t="s">
        <v>328</v>
      </c>
      <c r="BN58" s="340">
        <v>2.04</v>
      </c>
      <c r="BO58" s="340" t="s">
        <v>331</v>
      </c>
      <c r="BP58" s="1385"/>
      <c r="BQ58" s="1387">
        <v>33325</v>
      </c>
      <c r="BR58" s="236" t="s">
        <v>289</v>
      </c>
      <c r="BU58" s="858"/>
      <c r="BV58" s="338">
        <v>22.02</v>
      </c>
      <c r="BW58" s="338" t="s">
        <v>276</v>
      </c>
      <c r="BY58" s="236">
        <v>1</v>
      </c>
      <c r="BZ58" s="236" t="s">
        <v>309</v>
      </c>
      <c r="CB58" s="340">
        <v>19</v>
      </c>
      <c r="CC58" s="340" t="s">
        <v>285</v>
      </c>
      <c r="CE58" s="341" t="str">
        <f t="array" ref="CE58">IFERROR(IF($CE$11="Metro",INDEX($BV$13:$BV$4972,SMALL(IF((County=$BW$13:$BW$4972),MATCH(ROW($BW$13:$BW$4972),ROW($BW$13:$BW$4972)),""),ROWS($A$13:$A58))),INDEX($BY$13:$BY$212,SMALL(IF((County=$BZ$13:$BZ$212),MATCH(ROW($BZ$13:$BZ$212),ROW($BZ$13:$BZ$212)),""),ROWS($A$13:$A58)))),"")</f>
        <v/>
      </c>
      <c r="CG58" s="341" t="str">
        <f t="array" ref="CG58">IFERROR(IF($CG$11="Yes",INDEX($CB$13:$CB$2950,SMALL(IF((County=$CC$13:$CC$2950),MATCH(ROW($CC$13:$CC$2950),ROW($CC$13:$CC$2950)),""),ROWS($A$13:$A58))),""),"")</f>
        <v/>
      </c>
      <c r="CI58" s="1583">
        <v>32735</v>
      </c>
      <c r="CJ58" s="338" t="s">
        <v>322</v>
      </c>
      <c r="CL58" s="236">
        <v>2</v>
      </c>
      <c r="CM58" s="236" t="s">
        <v>297</v>
      </c>
      <c r="CO58" s="338">
        <v>1107</v>
      </c>
      <c r="CP58" s="338" t="s">
        <v>298</v>
      </c>
      <c r="CR58" s="340">
        <v>2.04</v>
      </c>
      <c r="CS58" s="340" t="s">
        <v>340</v>
      </c>
      <c r="CT58" s="1384"/>
      <c r="CU58" s="341">
        <v>33330</v>
      </c>
      <c r="CV58" s="338" t="s">
        <v>289</v>
      </c>
      <c r="CZ58" s="1795">
        <v>107.02</v>
      </c>
      <c r="DA58" s="338" t="s">
        <v>289</v>
      </c>
      <c r="DF58" s="340">
        <v>19</v>
      </c>
      <c r="DG58" s="340" t="s">
        <v>285</v>
      </c>
      <c r="DI58" s="341" t="str">
        <f t="array" ref="DI58">IFERROR(IF($DI$11="Metro",INDEX($CZ$13:$CZ$929,SMALL(IF((County=$DA$13:$DA$929),MATCH(ROW($DA$13:$DA$929),ROW($DA$13:$DA$929)),""),ROWS($A$13:$A58))),INDEX($DC$13:$DC$212,SMALL(IF((County=$DD$13:$DD$212),MATCH(ROW($DD$13:$DD$212),ROW($DD$13:$DD$212)),""),ROWS($A$13:$A58)))),"")</f>
        <v/>
      </c>
      <c r="DK58" s="341" t="str">
        <f t="array" ref="DK58">IFERROR(IF($DK$11="Yes",INDEX($DF$13:$DF$2838,SMALL(IF((County=$DG$13:$DG$2838),MATCH(ROW($DG$13:$DG$2838),ROW($DG$13:$DG$2838)),""),ROWS($A$13:$A58))),""),"")</f>
        <v/>
      </c>
      <c r="DM58" s="1387">
        <v>32708</v>
      </c>
      <c r="DN58" s="338" t="s">
        <v>348</v>
      </c>
      <c r="DP58" s="236">
        <v>3.13</v>
      </c>
      <c r="DQ58" s="236" t="s">
        <v>328</v>
      </c>
      <c r="DV58" s="340">
        <v>2.04</v>
      </c>
      <c r="DW58" s="340" t="s">
        <v>340</v>
      </c>
      <c r="DX58" s="1671"/>
      <c r="EB58" s="549" t="s">
        <v>3055</v>
      </c>
      <c r="EC58" s="553" t="str">
        <f>VLOOKUP(EB58,Data1!$A$405:$H$471,8)</f>
        <v>Medium</v>
      </c>
      <c r="ED58" s="549" t="s">
        <v>3117</v>
      </c>
      <c r="EE58" s="549" t="s">
        <v>3118</v>
      </c>
      <c r="EF58" s="549">
        <v>28.253426999999999</v>
      </c>
      <c r="EG58" s="549">
        <v>-81.479459000000006</v>
      </c>
      <c r="EH58" s="553" t="s">
        <v>633</v>
      </c>
      <c r="EI58" s="553" t="s">
        <v>634</v>
      </c>
      <c r="EJ58" s="550" t="str">
        <f t="shared" si="10"/>
        <v>Osceola  - Woodlock Manor Phase Two</v>
      </c>
      <c r="EK58" s="561" t="str">
        <f t="shared" si="11"/>
        <v>Elderly Non-ALF</v>
      </c>
      <c r="EL58" s="550" t="str">
        <f t="shared" si="12"/>
        <v>(28.253427, -81.479459)</v>
      </c>
      <c r="EM58" s="552" t="str">
        <f t="shared" si="13"/>
        <v>&gt;30</v>
      </c>
      <c r="EN58" s="1941" t="str">
        <f t="shared" si="14"/>
        <v/>
      </c>
      <c r="EO58" t="str">
        <f t="shared" si="15"/>
        <v>Osceola  - Woodlock Manor Phase Two</v>
      </c>
      <c r="EP58" s="1941">
        <f t="shared" si="16"/>
        <v>4135.3583926302754</v>
      </c>
      <c r="EQ58" s="1941" t="str">
        <f t="shared" si="17"/>
        <v>No</v>
      </c>
      <c r="ER58" s="1941" t="str">
        <f>VLOOKUP(EB58,Data1!$G$405:$H$471,2)</f>
        <v>Medium</v>
      </c>
      <c r="ET58" s="1941" t="str">
        <f>IF(EU58&gt;0,SUM(EU$13:EU58),"")</f>
        <v/>
      </c>
      <c r="EU58" s="1941">
        <f t="shared" si="18"/>
        <v>0</v>
      </c>
      <c r="EV58" s="1148" t="str">
        <f t="shared" si="19"/>
        <v>Osceola  - Woodlock Manor Phase Two</v>
      </c>
    </row>
    <row r="59" spans="1:152" ht="14.65" customHeight="1">
      <c r="A59" s="339">
        <v>33317</v>
      </c>
      <c r="B59" s="338" t="s">
        <v>289</v>
      </c>
      <c r="E59" s="858"/>
      <c r="F59" s="338">
        <v>307.02999999999997</v>
      </c>
      <c r="G59" s="338" t="s">
        <v>289</v>
      </c>
      <c r="L59" s="2481">
        <v>19</v>
      </c>
      <c r="M59" s="340" t="s">
        <v>285</v>
      </c>
      <c r="N59" s="1390"/>
      <c r="O59" s="2479"/>
      <c r="P59" s="2282"/>
      <c r="R59" s="341" t="str">
        <f t="array" ref="R59">IFERROR(IF($R$11="Metro",INDEX($F$13:$F$829,SMALL(IF((County=$G$13:$G$829),MATCH(ROW($G$13:$G$829),ROW($G$13:$G$829)),""),ROWS($A$13:A59))),INDEX($I$13:$I$44,SMALL(IF((County=$J$13:$J$44),MATCH(ROW($J$13:$J$44),ROW($J$13:$J$44)),""),ROWS($A$13:A59)))),"")</f>
        <v/>
      </c>
      <c r="T59" s="341" t="str">
        <f t="array" ref="T59">IFERROR(IF($T$11="Yes",INDEX($L$13:$L$2813,SMALL(IF((County=$M$13:$M$2813),MATCH(ROW($M$13:$M$2813),ROW($M$13:$M$2813)),""),ROWS($A$13:A59))),""),"")</f>
        <v/>
      </c>
      <c r="V59" s="2283" t="str">
        <f t="array" ref="V59">IFERROR(IF($T$11="Yes",INDEX($O$14:$O$2811,SMALL(IF((County=$P$14:$P$2811),MATCH(ROW($P$14:$P$2811),ROW($P$14:$P$2811)),""),ROWS($A$13:A59))),""),"")</f>
        <v/>
      </c>
      <c r="X59" s="339">
        <v>32508</v>
      </c>
      <c r="Y59" s="338" t="s">
        <v>304</v>
      </c>
      <c r="AA59" s="338">
        <v>4.08</v>
      </c>
      <c r="AB59" s="338" t="s">
        <v>331</v>
      </c>
      <c r="AG59" s="2297">
        <v>2.13</v>
      </c>
      <c r="AH59" s="2297" t="s">
        <v>331</v>
      </c>
      <c r="AI59" s="1390"/>
      <c r="AJ59" s="2282"/>
      <c r="AK59" s="2282"/>
      <c r="AL59" s="1037"/>
      <c r="AM59" s="339">
        <v>33954</v>
      </c>
      <c r="AN59" s="338" t="s">
        <v>294</v>
      </c>
      <c r="AQ59" s="858"/>
      <c r="AR59" s="338">
        <v>308.04000000000002</v>
      </c>
      <c r="AS59" s="338" t="s">
        <v>289</v>
      </c>
      <c r="AX59" s="340">
        <v>26.05</v>
      </c>
      <c r="AY59" s="340" t="s">
        <v>285</v>
      </c>
      <c r="BA59" s="341" t="str">
        <f t="array" ref="BA59">IFERROR(IF($BA$11="Metro",INDEX($AR$13:$AR$814,SMALL(IF((County=$AS$13:$AS$814),MATCH(ROW($AS$13:$AS$814),ROW($AS$13:$AS$814)),""),ROWS($A$13:$A59))),INDEX($AU$13:$AU$48,SMALL(IF((County=$AV$13:$AV$48),MATCH(ROW($AV$13:$AV$48),ROW($AV$13:$AV$48)),""),ROWS($A$13:$A59)))),"")</f>
        <v/>
      </c>
      <c r="BC59" s="341" t="str">
        <f t="array" ref="BC59">IFERROR(IF($BC$11="Yes",INDEX($AX$13:$AX$2950,SMALL(IF((County=$AY$13:$AY$2950),MATCH(ROW($AY$13:$AY$2950),ROW($AY$13:$AY$2950)),""),ROWS($A$13:$A59))),""),"")</f>
        <v/>
      </c>
      <c r="BE59" s="339">
        <v>32746</v>
      </c>
      <c r="BF59" s="338" t="s">
        <v>348</v>
      </c>
      <c r="BH59" s="338">
        <v>3.09</v>
      </c>
      <c r="BI59" s="338" t="s">
        <v>331</v>
      </c>
      <c r="BN59" s="340">
        <v>2.04</v>
      </c>
      <c r="BO59" s="340" t="s">
        <v>340</v>
      </c>
      <c r="BP59" s="1385"/>
      <c r="BQ59" s="1387">
        <v>33326</v>
      </c>
      <c r="BR59" s="236" t="s">
        <v>289</v>
      </c>
      <c r="BU59" s="858"/>
      <c r="BV59" s="338">
        <v>22.04</v>
      </c>
      <c r="BW59" s="338" t="s">
        <v>276</v>
      </c>
      <c r="BY59" s="236">
        <v>2.0099999999999998</v>
      </c>
      <c r="BZ59" s="236" t="s">
        <v>309</v>
      </c>
      <c r="CB59" s="340">
        <v>23</v>
      </c>
      <c r="CC59" s="340" t="s">
        <v>285</v>
      </c>
      <c r="CE59" s="341" t="str">
        <f t="array" ref="CE59">IFERROR(IF($CE$11="Metro",INDEX($BV$13:$BV$4972,SMALL(IF((County=$BW$13:$BW$4972),MATCH(ROW($BW$13:$BW$4972),ROW($BW$13:$BW$4972)),""),ROWS($A$13:$A59))),INDEX($BY$13:$BY$212,SMALL(IF((County=$BZ$13:$BZ$212),MATCH(ROW($BZ$13:$BZ$212),ROW($BZ$13:$BZ$212)),""),ROWS($A$13:$A59)))),"")</f>
        <v/>
      </c>
      <c r="CG59" s="341" t="str">
        <f t="array" ref="CG59">IFERROR(IF($CG$11="Yes",INDEX($CB$13:$CB$2950,SMALL(IF((County=$CC$13:$CC$2950),MATCH(ROW($CC$13:$CC$2950),ROW($CC$13:$CC$2950)),""),ROWS($A$13:$A59))),""),"")</f>
        <v/>
      </c>
      <c r="CI59" s="1387">
        <v>32738</v>
      </c>
      <c r="CJ59" s="236" t="s">
        <v>355</v>
      </c>
      <c r="CL59" s="236">
        <v>2</v>
      </c>
      <c r="CM59" s="236" t="s">
        <v>302</v>
      </c>
      <c r="CO59" s="338">
        <v>1108</v>
      </c>
      <c r="CP59" s="338" t="s">
        <v>298</v>
      </c>
      <c r="CR59" s="340">
        <v>2.08</v>
      </c>
      <c r="CS59" s="340" t="s">
        <v>340</v>
      </c>
      <c r="CT59" s="1384"/>
      <c r="CU59" s="341">
        <v>33331</v>
      </c>
      <c r="CV59" s="338" t="s">
        <v>289</v>
      </c>
      <c r="CZ59" s="1795">
        <v>202.11</v>
      </c>
      <c r="DA59" s="338" t="s">
        <v>289</v>
      </c>
      <c r="DF59" s="340">
        <v>23</v>
      </c>
      <c r="DG59" s="340" t="s">
        <v>285</v>
      </c>
      <c r="DI59" s="341" t="str">
        <f t="array" ref="DI59">IFERROR(IF($DI$11="Metro",INDEX($CZ$13:$CZ$929,SMALL(IF((County=$DA$13:$DA$929),MATCH(ROW($DA$13:$DA$929),ROW($DA$13:$DA$929)),""),ROWS($A$13:$A59))),INDEX($DC$13:$DC$212,SMALL(IF((County=$DD$13:$DD$212),MATCH(ROW($DD$13:$DD$212),ROW($DD$13:$DD$212)),""),ROWS($A$13:$A59)))),"")</f>
        <v/>
      </c>
      <c r="DK59" s="341" t="str">
        <f t="array" ref="DK59">IFERROR(IF($DK$11="Yes",INDEX($DF$13:$DF$2838,SMALL(IF((County=$DG$13:$DG$2838),MATCH(ROW($DG$13:$DG$2838),ROW($DG$13:$DG$2838)),""),ROWS($A$13:$A59))),""),"")</f>
        <v/>
      </c>
      <c r="DM59" s="1387">
        <v>32712</v>
      </c>
      <c r="DN59" s="338" t="s">
        <v>338</v>
      </c>
      <c r="DP59" s="236">
        <v>3.14</v>
      </c>
      <c r="DQ59" s="236" t="s">
        <v>328</v>
      </c>
      <c r="DV59" s="340">
        <v>2.08</v>
      </c>
      <c r="DW59" s="340" t="s">
        <v>340</v>
      </c>
      <c r="DX59" s="1671"/>
      <c r="EB59" s="549" t="s">
        <v>341</v>
      </c>
      <c r="EC59" s="553" t="str">
        <f>VLOOKUP(EB59,Data1!$A$405:$H$471,8)</f>
        <v>Medium</v>
      </c>
      <c r="ED59" s="549" t="s">
        <v>3119</v>
      </c>
      <c r="EE59" s="549" t="s">
        <v>3120</v>
      </c>
      <c r="EF59" s="558">
        <v>28.356283000000001</v>
      </c>
      <c r="EG59" s="557">
        <v>-82.689183</v>
      </c>
      <c r="EH59" s="553" t="s">
        <v>635</v>
      </c>
      <c r="EI59" s="552" t="s">
        <v>634</v>
      </c>
      <c r="EJ59" s="550" t="str">
        <f t="shared" si="10"/>
        <v>Pasco - Ekos at Bayonet Point III</v>
      </c>
      <c r="EK59" s="561" t="str">
        <f t="shared" si="11"/>
        <v>Family</v>
      </c>
      <c r="EL59" s="550" t="str">
        <f t="shared" si="12"/>
        <v>(28.356283, -82.689183)</v>
      </c>
      <c r="EM59" s="552" t="str">
        <f t="shared" si="13"/>
        <v>&gt;30</v>
      </c>
      <c r="EN59" s="1941" t="str">
        <f t="shared" si="14"/>
        <v/>
      </c>
      <c r="EO59" t="str">
        <f t="shared" si="15"/>
        <v>Pasco - Ekos at Bayonet Point III</v>
      </c>
      <c r="EP59" s="1941">
        <f t="shared" si="16"/>
        <v>4160.5969532130648</v>
      </c>
      <c r="EQ59" s="1941" t="str">
        <f t="shared" si="17"/>
        <v>No</v>
      </c>
      <c r="ER59" s="1941" t="str">
        <f>VLOOKUP(EB59,Data1!$G$405:$H$471,2)</f>
        <v>Medium</v>
      </c>
      <c r="ET59" s="1941" t="str">
        <f>IF(EU59&gt;0,SUM(EU$13:EU59),"")</f>
        <v/>
      </c>
      <c r="EU59" s="1941">
        <f t="shared" si="18"/>
        <v>0</v>
      </c>
      <c r="EV59" s="1148" t="str">
        <f t="shared" si="19"/>
        <v>Pasco - Ekos at Bayonet Point III</v>
      </c>
    </row>
    <row r="60" spans="1:152" ht="14.65" customHeight="1">
      <c r="A60" s="339">
        <v>33319</v>
      </c>
      <c r="B60" s="338" t="s">
        <v>289</v>
      </c>
      <c r="E60" s="858"/>
      <c r="F60" s="338">
        <v>308.02999999999997</v>
      </c>
      <c r="G60" s="338" t="s">
        <v>289</v>
      </c>
      <c r="L60" s="2481">
        <v>23</v>
      </c>
      <c r="M60" s="340" t="s">
        <v>285</v>
      </c>
      <c r="N60" s="1390"/>
      <c r="O60" s="2479"/>
      <c r="P60" s="2282"/>
      <c r="R60" s="341" t="str">
        <f t="array" ref="R60">IFERROR(IF($R$11="Metro",INDEX($F$13:$F$829,SMALL(IF((County=$G$13:$G$829),MATCH(ROW($G$13:$G$829),ROW($G$13:$G$829)),""),ROWS($A$13:A60))),INDEX($I$13:$I$44,SMALL(IF((County=$J$13:$J$44),MATCH(ROW($J$13:$J$44),ROW($J$13:$J$44)),""),ROWS($A$13:A60)))),"")</f>
        <v/>
      </c>
      <c r="T60" s="341" t="str">
        <f t="array" ref="T60">IFERROR(IF($T$11="Yes",INDEX($L$13:$L$2813,SMALL(IF((County=$M$13:$M$2813),MATCH(ROW($M$13:$M$2813),ROW($M$13:$M$2813)),""),ROWS($A$13:A60))),""),"")</f>
        <v/>
      </c>
      <c r="V60" s="2283" t="str">
        <f t="array" ref="V60">IFERROR(IF($T$11="Yes",INDEX($O$14:$O$2811,SMALL(IF((County=$P$14:$P$2811),MATCH(ROW($P$14:$P$2811),ROW($P$14:$P$2811)),""),ROWS($A$13:A60))),""),"")</f>
        <v/>
      </c>
      <c r="X60" s="339">
        <v>32541</v>
      </c>
      <c r="Y60" s="338" t="s">
        <v>336</v>
      </c>
      <c r="AA60" s="338">
        <v>4.0999999999999996</v>
      </c>
      <c r="AB60" s="338" t="s">
        <v>331</v>
      </c>
      <c r="AG60" s="2297">
        <v>2.14</v>
      </c>
      <c r="AH60" s="2297" t="s">
        <v>340</v>
      </c>
      <c r="AI60" s="1390"/>
      <c r="AJ60" s="2282"/>
      <c r="AK60" s="2282"/>
      <c r="AL60" s="1037"/>
      <c r="AM60" s="339">
        <v>33955</v>
      </c>
      <c r="AN60" s="338" t="s">
        <v>294</v>
      </c>
      <c r="AQ60" s="858"/>
      <c r="AR60" s="338">
        <v>310.01</v>
      </c>
      <c r="AS60" s="338" t="s">
        <v>289</v>
      </c>
      <c r="AX60" s="340">
        <v>26.06</v>
      </c>
      <c r="AY60" s="340" t="s">
        <v>285</v>
      </c>
      <c r="BA60" s="341" t="str">
        <f t="array" ref="BA60">IFERROR(IF($BA$11="Metro",INDEX($AR$13:$AR$814,SMALL(IF((County=$AS$13:$AS$814),MATCH(ROW($AS$13:$AS$814),ROW($AS$13:$AS$814)),""),ROWS($A$13:$A60))),INDEX($AU$13:$AU$48,SMALL(IF((County=$AV$13:$AV$48),MATCH(ROW($AV$13:$AV$48),ROW($AV$13:$AV$48)),""),ROWS($A$13:$A60)))),"")</f>
        <v/>
      </c>
      <c r="BC60" s="341" t="str">
        <f t="array" ref="BC60">IFERROR(IF($BC$11="Yes",INDEX($AX$13:$AX$2950,SMALL(IF((County=$AY$13:$AY$2950),MATCH(ROW($AY$13:$AY$2950),ROW($AY$13:$AY$2950)),""),ROWS($A$13:$A60))),""),"")</f>
        <v/>
      </c>
      <c r="BE60" s="339">
        <v>32750</v>
      </c>
      <c r="BF60" s="338" t="s">
        <v>348</v>
      </c>
      <c r="BH60" s="338">
        <v>3.1</v>
      </c>
      <c r="BI60" s="338" t="s">
        <v>328</v>
      </c>
      <c r="BN60" s="340">
        <v>2.06</v>
      </c>
      <c r="BO60" s="340" t="s">
        <v>331</v>
      </c>
      <c r="BP60" s="1385"/>
      <c r="BQ60" s="1387">
        <v>33327</v>
      </c>
      <c r="BR60" s="236" t="s">
        <v>289</v>
      </c>
      <c r="BU60" s="858"/>
      <c r="BV60" s="338">
        <v>22.07</v>
      </c>
      <c r="BW60" s="338" t="s">
        <v>276</v>
      </c>
      <c r="BY60" s="236">
        <v>2.02</v>
      </c>
      <c r="BZ60" s="236" t="s">
        <v>309</v>
      </c>
      <c r="CB60" s="340">
        <v>25</v>
      </c>
      <c r="CC60" s="340" t="s">
        <v>285</v>
      </c>
      <c r="CE60" s="341" t="str">
        <f t="array" ref="CE60">IFERROR(IF($CE$11="Metro",INDEX($BV$13:$BV$4972,SMALL(IF((County=$BW$13:$BW$4972),MATCH(ROW($BW$13:$BW$4972),ROW($BW$13:$BW$4972)),""),ROWS($A$13:$A60))),INDEX($BY$13:$BY$212,SMALL(IF((County=$BZ$13:$BZ$212),MATCH(ROW($BZ$13:$BZ$212),ROW($BZ$13:$BZ$212)),""),ROWS($A$13:$A60)))),"")</f>
        <v/>
      </c>
      <c r="CG60" s="341" t="str">
        <f t="array" ref="CG60">IFERROR(IF($CG$11="Yes",INDEX($CB$13:$CB$2950,SMALL(IF((County=$CC$13:$CC$2950),MATCH(ROW($CC$13:$CC$2950),ROW($CC$13:$CC$2950)),""),ROWS($A$13:$A60))),""),"")</f>
        <v/>
      </c>
      <c r="CI60" s="1583">
        <v>32746</v>
      </c>
      <c r="CJ60" s="236" t="s">
        <v>348</v>
      </c>
      <c r="CL60" s="236">
        <v>2</v>
      </c>
      <c r="CM60" s="236" t="s">
        <v>324</v>
      </c>
      <c r="CO60" s="338">
        <v>1109.01</v>
      </c>
      <c r="CP60" s="338" t="s">
        <v>298</v>
      </c>
      <c r="CR60" s="340">
        <v>2.11</v>
      </c>
      <c r="CS60" s="340" t="s">
        <v>340</v>
      </c>
      <c r="CT60" s="1384"/>
      <c r="CU60" s="341">
        <v>33332</v>
      </c>
      <c r="CV60" s="338" t="s">
        <v>289</v>
      </c>
      <c r="CZ60" s="1795">
        <v>203.08</v>
      </c>
      <c r="DA60" s="338" t="s">
        <v>289</v>
      </c>
      <c r="DF60" s="340">
        <v>25</v>
      </c>
      <c r="DG60" s="340" t="s">
        <v>285</v>
      </c>
      <c r="DI60" s="341" t="str">
        <f t="array" ref="DI60">IFERROR(IF($DI$11="Metro",INDEX($CZ$13:$CZ$929,SMALL(IF((County=$DA$13:$DA$929),MATCH(ROW($DA$13:$DA$929),ROW($DA$13:$DA$929)),""),ROWS($A$13:$A60))),INDEX($DC$13:$DC$212,SMALL(IF((County=$DD$13:$DD$212),MATCH(ROW($DD$13:$DD$212),ROW($DD$13:$DD$212)),""),ROWS($A$13:$A60)))),"")</f>
        <v/>
      </c>
      <c r="DK60" s="341" t="str">
        <f t="array" ref="DK60">IFERROR(IF($DK$11="Yes",INDEX($DF$13:$DF$2838,SMALL(IF((County=$DG$13:$DG$2838),MATCH(ROW($DG$13:$DG$2838),ROW($DG$13:$DG$2838)),""),ROWS($A$13:$A60))),""),"")</f>
        <v/>
      </c>
      <c r="DM60" s="1387">
        <v>32713</v>
      </c>
      <c r="DN60" s="338" t="s">
        <v>355</v>
      </c>
      <c r="DP60" s="236">
        <v>4</v>
      </c>
      <c r="DQ60" s="236" t="s">
        <v>304</v>
      </c>
      <c r="DV60" s="340">
        <v>2.11</v>
      </c>
      <c r="DW60" s="340" t="s">
        <v>340</v>
      </c>
      <c r="DX60" s="1671"/>
      <c r="EB60" s="550" t="s">
        <v>341</v>
      </c>
      <c r="EC60" s="553" t="str">
        <f>VLOOKUP(EB60,Data1!$A$405:$H$471,8)</f>
        <v>Medium</v>
      </c>
      <c r="ED60" s="550" t="s">
        <v>3121</v>
      </c>
      <c r="EE60" s="550" t="s">
        <v>2365</v>
      </c>
      <c r="EF60" s="550">
        <v>28.358250000000002</v>
      </c>
      <c r="EG60" s="550">
        <v>-82.690602999999996</v>
      </c>
      <c r="EH60" s="553" t="s">
        <v>633</v>
      </c>
      <c r="EI60" s="552" t="s">
        <v>634</v>
      </c>
      <c r="EJ60" s="550" t="str">
        <f t="shared" ref="EJ60:EJ73" si="20">EB60&amp;" - "&amp;EE60</f>
        <v>Pasco - Ekos at Bayonet Pointe fka Bayonet Gardens</v>
      </c>
      <c r="EK60" s="561" t="str">
        <f t="shared" si="11"/>
        <v>Elderly Non-ALF</v>
      </c>
      <c r="EL60" s="550" t="str">
        <f t="shared" ref="EL60:EL73" si="21">"("&amp;EF60&amp;", "&amp;EG60&amp;")"</f>
        <v>(28.35825, -82.690603)</v>
      </c>
      <c r="EM60" s="552" t="str">
        <f t="shared" ref="EM60:EM73" si="22">IF(EI60="N","&gt;30",IF(EI60="Y","&lt;31",""))</f>
        <v>&gt;30</v>
      </c>
      <c r="EN60" s="1941" t="str">
        <f t="shared" si="14"/>
        <v/>
      </c>
      <c r="EO60" t="str">
        <f t="shared" si="15"/>
        <v>Pasco - Ekos at Bayonet Pointe fka Bayonet Gardens</v>
      </c>
      <c r="EP60" s="1941">
        <f t="shared" si="16"/>
        <v>4160.6486159717833</v>
      </c>
      <c r="EQ60" s="1941" t="str">
        <f t="shared" si="17"/>
        <v>No</v>
      </c>
      <c r="ER60" s="1941" t="str">
        <f>VLOOKUP(EB60,Data1!$G$405:$H$471,2)</f>
        <v>Medium</v>
      </c>
      <c r="ET60" s="1941" t="str">
        <f>IF(EU60&gt;0,SUM(EU$13:EU60),"")</f>
        <v/>
      </c>
      <c r="EU60" s="1941">
        <f t="shared" si="18"/>
        <v>0</v>
      </c>
      <c r="EV60" s="1148" t="str">
        <f t="shared" si="19"/>
        <v>Pasco - Ekos at Bayonet Pointe fka Bayonet Gardens</v>
      </c>
    </row>
    <row r="61" spans="1:152" ht="14.65" customHeight="1">
      <c r="A61" s="339">
        <v>33321</v>
      </c>
      <c r="B61" s="338" t="s">
        <v>289</v>
      </c>
      <c r="E61" s="858"/>
      <c r="F61" s="338">
        <v>308.04000000000002</v>
      </c>
      <c r="G61" s="338" t="s">
        <v>289</v>
      </c>
      <c r="L61" s="2481">
        <v>25</v>
      </c>
      <c r="M61" s="340" t="s">
        <v>285</v>
      </c>
      <c r="N61" s="1390"/>
      <c r="O61" s="2479"/>
      <c r="P61" s="2282"/>
      <c r="R61" s="341" t="str">
        <f t="array" ref="R61">IFERROR(IF($R$11="Metro",INDEX($F$13:$F$829,SMALL(IF((County=$G$13:$G$829),MATCH(ROW($G$13:$G$829),ROW($G$13:$G$829)),""),ROWS($A$13:A61))),INDEX($I$13:$I$44,SMALL(IF((County=$J$13:$J$44),MATCH(ROW($J$13:$J$44),ROW($J$13:$J$44)),""),ROWS($A$13:A61)))),"")</f>
        <v/>
      </c>
      <c r="T61" s="341" t="str">
        <f t="array" ref="T61">IFERROR(IF($T$11="Yes",INDEX($L$13:$L$2813,SMALL(IF((County=$M$13:$M$2813),MATCH(ROW($M$13:$M$2813),ROW($M$13:$M$2813)),""),ROWS($A$13:A61))),""),"")</f>
        <v/>
      </c>
      <c r="V61" s="2283" t="str">
        <f t="array" ref="V61">IFERROR(IF($T$11="Yes",INDEX($O$14:$O$2811,SMALL(IF((County=$P$14:$P$2811),MATCH(ROW($P$14:$P$2811),ROW($P$14:$P$2811)),""),ROWS($A$13:A61))),""),"")</f>
        <v/>
      </c>
      <c r="X61" s="339">
        <v>32542</v>
      </c>
      <c r="Y61" s="338" t="s">
        <v>336</v>
      </c>
      <c r="AA61" s="338">
        <v>4.1100000000000003</v>
      </c>
      <c r="AB61" s="338" t="s">
        <v>331</v>
      </c>
      <c r="AG61" s="2297">
        <v>2.16</v>
      </c>
      <c r="AH61" s="2297" t="s">
        <v>340</v>
      </c>
      <c r="AI61" s="1390"/>
      <c r="AJ61" s="2282"/>
      <c r="AK61" s="2282"/>
      <c r="AL61" s="1037"/>
      <c r="AM61" s="339">
        <v>33981</v>
      </c>
      <c r="AN61" s="338" t="s">
        <v>294</v>
      </c>
      <c r="AQ61" s="858"/>
      <c r="AR61" s="338">
        <v>409.01</v>
      </c>
      <c r="AS61" s="338" t="s">
        <v>289</v>
      </c>
      <c r="AX61" s="340">
        <v>26.07</v>
      </c>
      <c r="AY61" s="340" t="s">
        <v>285</v>
      </c>
      <c r="BA61" s="341" t="str">
        <f t="array" ref="BA61">IFERROR(IF($BA$11="Metro",INDEX($AR$13:$AR$814,SMALL(IF((County=$AS$13:$AS$814),MATCH(ROW($AS$13:$AS$814),ROW($AS$13:$AS$814)),""),ROWS($A$13:$A61))),INDEX($AU$13:$AU$48,SMALL(IF((County=$AV$13:$AV$48),MATCH(ROW($AV$13:$AV$48),ROW($AV$13:$AV$48)),""),ROWS($A$13:$A61)))),"")</f>
        <v/>
      </c>
      <c r="BC61" s="341" t="str">
        <f t="array" ref="BC61">IFERROR(IF($BC$11="Yes",INDEX($AX$13:$AX$2950,SMALL(IF((County=$AY$13:$AY$2950),MATCH(ROW($AY$13:$AY$2950),ROW($AY$13:$AY$2950)),""),ROWS($A$13:$A61))),""),"")</f>
        <v/>
      </c>
      <c r="BE61" s="339">
        <v>32751</v>
      </c>
      <c r="BF61" s="338" t="s">
        <v>338</v>
      </c>
      <c r="BH61" s="338">
        <v>3.1</v>
      </c>
      <c r="BI61" s="338" t="s">
        <v>331</v>
      </c>
      <c r="BN61" s="340">
        <v>2.08</v>
      </c>
      <c r="BO61" s="340" t="s">
        <v>340</v>
      </c>
      <c r="BP61" s="1385"/>
      <c r="BQ61" s="1387">
        <v>33328</v>
      </c>
      <c r="BR61" s="236" t="s">
        <v>289</v>
      </c>
      <c r="BU61" s="858"/>
      <c r="BV61" s="338">
        <v>22.08</v>
      </c>
      <c r="BW61" s="338" t="s">
        <v>276</v>
      </c>
      <c r="BY61" s="236">
        <v>3</v>
      </c>
      <c r="BZ61" s="236" t="s">
        <v>309</v>
      </c>
      <c r="CB61" s="340">
        <v>26.04</v>
      </c>
      <c r="CC61" s="340" t="s">
        <v>285</v>
      </c>
      <c r="CE61" s="341" t="str">
        <f t="array" ref="CE61">IFERROR(IF($CE$11="Metro",INDEX($BV$13:$BV$4972,SMALL(IF((County=$BW$13:$BW$4972),MATCH(ROW($BW$13:$BW$4972),ROW($BW$13:$BW$4972)),""),ROWS($A$13:$A61))),INDEX($BY$13:$BY$212,SMALL(IF((County=$BZ$13:$BZ$212),MATCH(ROW($BZ$13:$BZ$212),ROW($BZ$13:$BZ$212)),""),ROWS($A$13:$A61)))),"")</f>
        <v/>
      </c>
      <c r="CG61" s="341" t="str">
        <f t="array" ref="CG61">IFERROR(IF($CG$11="Yes",INDEX($CB$13:$CB$2950,SMALL(IF((County=$CC$13:$CC$2950),MATCH(ROW($CC$13:$CC$2950),ROW($CC$13:$CC$2950)),""),ROWS($A$13:$A61))),""),"")</f>
        <v/>
      </c>
      <c r="CI61" s="1583">
        <v>32750</v>
      </c>
      <c r="CJ61" s="236" t="s">
        <v>348</v>
      </c>
      <c r="CL61" s="236">
        <v>2</v>
      </c>
      <c r="CM61" s="236" t="s">
        <v>330</v>
      </c>
      <c r="CO61" s="338">
        <v>1109.03</v>
      </c>
      <c r="CP61" s="338" t="s">
        <v>298</v>
      </c>
      <c r="CR61" s="340">
        <v>2.13</v>
      </c>
      <c r="CS61" s="340" t="s">
        <v>331</v>
      </c>
      <c r="CT61" s="1384"/>
      <c r="CU61" s="341">
        <v>33351</v>
      </c>
      <c r="CV61" s="338" t="s">
        <v>289</v>
      </c>
      <c r="CZ61" s="1795">
        <v>204.05</v>
      </c>
      <c r="DA61" s="338" t="s">
        <v>289</v>
      </c>
      <c r="DF61" s="340">
        <v>26.05</v>
      </c>
      <c r="DG61" s="340" t="s">
        <v>285</v>
      </c>
      <c r="DI61" s="341" t="str">
        <f t="array" ref="DI61">IFERROR(IF($DI$11="Metro",INDEX($CZ$13:$CZ$929,SMALL(IF((County=$DA$13:$DA$929),MATCH(ROW($DA$13:$DA$929),ROW($DA$13:$DA$929)),""),ROWS($A$13:$A61))),INDEX($DC$13:$DC$212,SMALL(IF((County=$DD$13:$DD$212),MATCH(ROW($DD$13:$DD$212),ROW($DD$13:$DD$212)),""),ROWS($A$13:$A61)))),"")</f>
        <v/>
      </c>
      <c r="DK61" s="341" t="str">
        <f t="array" ref="DK61">IFERROR(IF($DK$11="Yes",INDEX($DF$13:$DF$2838,SMALL(IF((County=$DG$13:$DG$2838),MATCH(ROW($DG$13:$DG$2838),ROW($DG$13:$DG$2838)),""),ROWS($A$13:$A61))),""),"")</f>
        <v/>
      </c>
      <c r="DM61" s="1387">
        <v>32714</v>
      </c>
      <c r="DN61" s="338" t="s">
        <v>348</v>
      </c>
      <c r="DP61" s="236">
        <v>4.0199999999999996</v>
      </c>
      <c r="DQ61" s="236" t="s">
        <v>316</v>
      </c>
      <c r="DV61" s="340">
        <v>2.13</v>
      </c>
      <c r="DW61" s="340" t="s">
        <v>331</v>
      </c>
      <c r="DX61" s="1671"/>
      <c r="EB61" s="549" t="s">
        <v>341</v>
      </c>
      <c r="EC61" s="553" t="str">
        <f>VLOOKUP(EB61,Data1!$A$405:$H$471,8)</f>
        <v>Medium</v>
      </c>
      <c r="ED61" s="549" t="s">
        <v>3122</v>
      </c>
      <c r="EE61" s="549" t="s">
        <v>3123</v>
      </c>
      <c r="EF61" s="557">
        <v>28.355967</v>
      </c>
      <c r="EG61" s="560">
        <v>-82.690437000000003</v>
      </c>
      <c r="EH61" s="553" t="s">
        <v>633</v>
      </c>
      <c r="EI61" s="552" t="s">
        <v>634</v>
      </c>
      <c r="EJ61" s="550" t="str">
        <f t="shared" si="20"/>
        <v xml:space="preserve">Pasco - Ekos at Bayonet Pointe II </v>
      </c>
      <c r="EK61" s="561" t="str">
        <f t="shared" si="11"/>
        <v>Elderly Non-ALF</v>
      </c>
      <c r="EL61" s="550" t="str">
        <f t="shared" si="21"/>
        <v>(28.355967, -82.690437)</v>
      </c>
      <c r="EM61" s="552" t="str">
        <f t="shared" si="22"/>
        <v>&gt;30</v>
      </c>
      <c r="EN61" s="1941" t="str">
        <f t="shared" si="14"/>
        <v/>
      </c>
      <c r="EO61" t="str">
        <f t="shared" si="15"/>
        <v xml:space="preserve">Pasco - Ekos at Bayonet Pointe II </v>
      </c>
      <c r="EP61" s="1941">
        <f t="shared" si="16"/>
        <v>4160.6176987053195</v>
      </c>
      <c r="EQ61" s="1941" t="str">
        <f t="shared" si="17"/>
        <v>No</v>
      </c>
      <c r="ER61" s="1941" t="str">
        <f>VLOOKUP(EB61,Data1!$G$405:$H$471,2)</f>
        <v>Medium</v>
      </c>
      <c r="ET61" s="1941" t="str">
        <f>IF(EU61&gt;0,SUM(EU$13:EU61),"")</f>
        <v/>
      </c>
      <c r="EU61" s="1941">
        <f t="shared" si="18"/>
        <v>0</v>
      </c>
      <c r="EV61" s="1148" t="str">
        <f t="shared" si="19"/>
        <v xml:space="preserve">Pasco - Ekos at Bayonet Pointe II </v>
      </c>
    </row>
    <row r="62" spans="1:152" ht="14.65" customHeight="1">
      <c r="A62" s="339">
        <v>33322</v>
      </c>
      <c r="B62" s="338" t="s">
        <v>289</v>
      </c>
      <c r="E62" s="858"/>
      <c r="F62" s="338">
        <v>409.01</v>
      </c>
      <c r="G62" s="338" t="s">
        <v>289</v>
      </c>
      <c r="L62" s="2481">
        <v>26.04</v>
      </c>
      <c r="M62" s="340" t="s">
        <v>285</v>
      </c>
      <c r="N62" s="1390"/>
      <c r="O62" s="2479"/>
      <c r="P62" s="2282"/>
      <c r="R62" s="341" t="str">
        <f t="array" ref="R62">IFERROR(IF($R$11="Metro",INDEX($F$13:$F$829,SMALL(IF((County=$G$13:$G$829),MATCH(ROW($G$13:$G$829),ROW($G$13:$G$829)),""),ROWS($A$13:A62))),INDEX($I$13:$I$44,SMALL(IF((County=$J$13:$J$44),MATCH(ROW($J$13:$J$44),ROW($J$13:$J$44)),""),ROWS($A$13:A62)))),"")</f>
        <v/>
      </c>
      <c r="T62" s="341" t="str">
        <f t="array" ref="T62">IFERROR(IF($T$11="Yes",INDEX($L$13:$L$2813,SMALL(IF((County=$M$13:$M$2813),MATCH(ROW($M$13:$M$2813),ROW($M$13:$M$2813)),""),ROWS($A$13:A62))),""),"")</f>
        <v/>
      </c>
      <c r="V62" s="2283" t="str">
        <f t="array" ref="V62">IFERROR(IF($T$11="Yes",INDEX($O$14:$O$2811,SMALL(IF((County=$P$14:$P$2811),MATCH(ROW($P$14:$P$2811),ROW($P$14:$P$2811)),""),ROWS($A$13:A62))),""),"")</f>
        <v/>
      </c>
      <c r="X62" s="339">
        <v>32544</v>
      </c>
      <c r="Y62" s="338" t="s">
        <v>336</v>
      </c>
      <c r="AA62" s="338">
        <v>4.13</v>
      </c>
      <c r="AB62" s="338" t="s">
        <v>331</v>
      </c>
      <c r="AG62" s="2297">
        <v>2.17</v>
      </c>
      <c r="AH62" s="2297" t="s">
        <v>340</v>
      </c>
      <c r="AI62" s="1390"/>
      <c r="AJ62" s="2282"/>
      <c r="AK62" s="2282"/>
      <c r="AL62" s="1037"/>
      <c r="AM62" s="339">
        <v>34429</v>
      </c>
      <c r="AN62" s="338" t="s">
        <v>295</v>
      </c>
      <c r="AQ62" s="858"/>
      <c r="AR62" s="338">
        <v>409.02</v>
      </c>
      <c r="AS62" s="338" t="s">
        <v>289</v>
      </c>
      <c r="AX62" s="340">
        <v>26.08</v>
      </c>
      <c r="AY62" s="340" t="s">
        <v>285</v>
      </c>
      <c r="BA62" s="341" t="str">
        <f t="array" ref="BA62">IFERROR(IF($BA$11="Metro",INDEX($AR$13:$AR$814,SMALL(IF((County=$AS$13:$AS$814),MATCH(ROW($AS$13:$AS$814),ROW($AS$13:$AS$814)),""),ROWS($A$13:$A62))),INDEX($AU$13:$AU$48,SMALL(IF((County=$AV$13:$AV$48),MATCH(ROW($AV$13:$AV$48),ROW($AV$13:$AV$48)),""),ROWS($A$13:$A62)))),"")</f>
        <v/>
      </c>
      <c r="BC62" s="341" t="str">
        <f t="array" ref="BC62">IFERROR(IF($BC$11="Yes",INDEX($AX$13:$AX$2950,SMALL(IF((County=$AY$13:$AY$2950),MATCH(ROW($AY$13:$AY$2950),ROW($AY$13:$AY$2950)),""),ROWS($A$13:$A62))),""),"")</f>
        <v/>
      </c>
      <c r="BE62" s="339">
        <v>32765</v>
      </c>
      <c r="BF62" s="338" t="s">
        <v>348</v>
      </c>
      <c r="BH62" s="338">
        <v>3.11</v>
      </c>
      <c r="BI62" s="338" t="s">
        <v>328</v>
      </c>
      <c r="BN62" s="340">
        <v>2.1</v>
      </c>
      <c r="BO62" s="340" t="s">
        <v>340</v>
      </c>
      <c r="BP62" s="1385"/>
      <c r="BQ62" s="1387">
        <v>33330</v>
      </c>
      <c r="BR62" s="236" t="s">
        <v>289</v>
      </c>
      <c r="BU62" s="858"/>
      <c r="BV62" s="338">
        <v>22.09</v>
      </c>
      <c r="BW62" s="338" t="s">
        <v>276</v>
      </c>
      <c r="BY62" s="236">
        <v>9900</v>
      </c>
      <c r="BZ62" s="236" t="s">
        <v>309</v>
      </c>
      <c r="CB62" s="340">
        <v>26.05</v>
      </c>
      <c r="CC62" s="340" t="s">
        <v>285</v>
      </c>
      <c r="CE62" s="341" t="str">
        <f t="array" ref="CE62">IFERROR(IF($CE$11="Metro",INDEX($BV$13:$BV$4972,SMALL(IF((County=$BW$13:$BW$4972),MATCH(ROW($BW$13:$BW$4972),ROW($BW$13:$BW$4972)),""),ROWS($A$13:$A62))),INDEX($BY$13:$BY$212,SMALL(IF((County=$BZ$13:$BZ$212),MATCH(ROW($BZ$13:$BZ$212),ROW($BZ$13:$BZ$212)),""),ROWS($A$13:$A62)))),"")</f>
        <v/>
      </c>
      <c r="CG62" s="341" t="str">
        <f t="array" ref="CG62">IFERROR(IF($CG$11="Yes",INDEX($CB$13:$CB$2950,SMALL(IF((County=$CC$13:$CC$2950),MATCH(ROW($CC$13:$CC$2950),ROW($CC$13:$CC$2950)),""),ROWS($A$13:$A62))),""),"")</f>
        <v/>
      </c>
      <c r="CI62" s="1583">
        <v>32751</v>
      </c>
      <c r="CJ62" s="338" t="s">
        <v>338</v>
      </c>
      <c r="CL62" s="236">
        <v>2</v>
      </c>
      <c r="CM62" s="236" t="s">
        <v>347</v>
      </c>
      <c r="CO62" s="338">
        <v>1109.04</v>
      </c>
      <c r="CP62" s="338" t="s">
        <v>298</v>
      </c>
      <c r="CR62" s="340">
        <v>2.13</v>
      </c>
      <c r="CS62" s="340" t="s">
        <v>340</v>
      </c>
      <c r="CT62" s="1384"/>
      <c r="CU62" s="341">
        <v>33442</v>
      </c>
      <c r="CV62" s="338" t="s">
        <v>289</v>
      </c>
      <c r="CZ62" s="1795">
        <v>204.12</v>
      </c>
      <c r="DA62" s="338" t="s">
        <v>289</v>
      </c>
      <c r="DF62" s="340">
        <v>26.06</v>
      </c>
      <c r="DG62" s="340" t="s">
        <v>285</v>
      </c>
      <c r="DI62" s="341" t="str">
        <f t="array" ref="DI62">IFERROR(IF($DI$11="Metro",INDEX($CZ$13:$CZ$929,SMALL(IF((County=$DA$13:$DA$929),MATCH(ROW($DA$13:$DA$929),ROW($DA$13:$DA$929)),""),ROWS($A$13:$A62))),INDEX($DC$13:$DC$212,SMALL(IF((County=$DD$13:$DD$212),MATCH(ROW($DD$13:$DD$212),ROW($DD$13:$DD$212)),""),ROWS($A$13:$A62)))),"")</f>
        <v/>
      </c>
      <c r="DK62" s="341" t="str">
        <f t="array" ref="DK62">IFERROR(IF($DK$11="Yes",INDEX($DF$13:$DF$2838,SMALL(IF((County=$DG$13:$DG$2838),MATCH(ROW($DG$13:$DG$2838),ROW($DG$13:$DG$2838)),""),ROWS($A$13:$A62))),""),"")</f>
        <v/>
      </c>
      <c r="DM62" s="1387">
        <v>32732</v>
      </c>
      <c r="DN62" s="338" t="s">
        <v>348</v>
      </c>
      <c r="DP62" s="236">
        <v>4.04</v>
      </c>
      <c r="DQ62" s="236" t="s">
        <v>313</v>
      </c>
      <c r="DV62" s="340">
        <v>2.13</v>
      </c>
      <c r="DW62" s="340" t="s">
        <v>340</v>
      </c>
      <c r="DX62" s="1671"/>
      <c r="EB62" s="554" t="s">
        <v>347</v>
      </c>
      <c r="EC62" s="553" t="str">
        <f>VLOOKUP(EB62,Data1!$A$405:$H$471,8)</f>
        <v>Medium</v>
      </c>
      <c r="ED62" s="554" t="s">
        <v>3124</v>
      </c>
      <c r="EE62" s="549" t="s">
        <v>3125</v>
      </c>
      <c r="EF62" s="549">
        <v>27.341007999999999</v>
      </c>
      <c r="EG62" s="549">
        <v>-82.544211000000004</v>
      </c>
      <c r="EH62" s="553" t="s">
        <v>633</v>
      </c>
      <c r="EI62" s="555" t="s">
        <v>634</v>
      </c>
      <c r="EJ62" s="550" t="str">
        <f t="shared" si="20"/>
        <v>Sarasota - 3 McCown Tower</v>
      </c>
      <c r="EK62" s="561" t="str">
        <f t="shared" si="11"/>
        <v>Elderly Non-ALF</v>
      </c>
      <c r="EL62" s="550" t="str">
        <f t="shared" si="21"/>
        <v>(27.341008, -82.544211)</v>
      </c>
      <c r="EM62" s="552" t="str">
        <f t="shared" si="22"/>
        <v>&gt;30</v>
      </c>
      <c r="EN62" s="1941" t="str">
        <f t="shared" si="14"/>
        <v/>
      </c>
      <c r="EO62" t="str">
        <f t="shared" si="15"/>
        <v>Sarasota - 3 McCown Tower</v>
      </c>
      <c r="EP62" s="1941">
        <f t="shared" si="16"/>
        <v>4145.6557015798981</v>
      </c>
      <c r="EQ62" s="1941" t="str">
        <f t="shared" si="17"/>
        <v>No</v>
      </c>
      <c r="ER62" s="1941" t="str">
        <f>VLOOKUP(EB62,Data1!$G$405:$H$471,2)</f>
        <v>Medium</v>
      </c>
      <c r="ET62" s="1941" t="str">
        <f>IF(EU62&gt;0,SUM(EU$13:EU62),"")</f>
        <v/>
      </c>
      <c r="EU62" s="1941">
        <f t="shared" si="18"/>
        <v>0</v>
      </c>
      <c r="EV62" s="1148" t="str">
        <f t="shared" si="19"/>
        <v>Sarasota - 3 McCown Tower</v>
      </c>
    </row>
    <row r="63" spans="1:152" ht="14.65" customHeight="1">
      <c r="A63" s="339">
        <v>33323</v>
      </c>
      <c r="B63" s="338" t="s">
        <v>289</v>
      </c>
      <c r="E63" s="858"/>
      <c r="F63" s="338">
        <v>410</v>
      </c>
      <c r="G63" s="338" t="s">
        <v>289</v>
      </c>
      <c r="L63" s="2481">
        <v>26.05</v>
      </c>
      <c r="M63" s="340" t="s">
        <v>285</v>
      </c>
      <c r="N63" s="1390"/>
      <c r="O63" s="2479"/>
      <c r="P63" s="2282"/>
      <c r="R63" s="341" t="str">
        <f t="array" ref="R63">IFERROR(IF($R$11="Metro",INDEX($F$13:$F$829,SMALL(IF((County=$G$13:$G$829),MATCH(ROW($G$13:$G$829),ROW($G$13:$G$829)),""),ROWS($A$13:A63))),INDEX($I$13:$I$44,SMALL(IF((County=$J$13:$J$44),MATCH(ROW($J$13:$J$44),ROW($J$13:$J$44)),""),ROWS($A$13:A63)))),"")</f>
        <v/>
      </c>
      <c r="T63" s="341" t="str">
        <f t="array" ref="T63">IFERROR(IF($T$11="Yes",INDEX($L$13:$L$2813,SMALL(IF((County=$M$13:$M$2813),MATCH(ROW($M$13:$M$2813),ROW($M$13:$M$2813)),""),ROWS($A$13:A63))),""),"")</f>
        <v/>
      </c>
      <c r="V63" s="2283" t="str">
        <f t="array" ref="V63">IFERROR(IF($T$11="Yes",INDEX($O$14:$O$2811,SMALL(IF((County=$P$14:$P$2811),MATCH(ROW($P$14:$P$2811),ROW($P$14:$P$2811)),""),ROWS($A$13:A63))),""),"")</f>
        <v/>
      </c>
      <c r="X63" s="339">
        <v>32550</v>
      </c>
      <c r="Y63" s="338" t="s">
        <v>357</v>
      </c>
      <c r="AA63" s="338">
        <v>4.1399999999999997</v>
      </c>
      <c r="AB63" s="338" t="s">
        <v>331</v>
      </c>
      <c r="AG63" s="2297">
        <v>2.1800000000000002</v>
      </c>
      <c r="AH63" s="2297" t="s">
        <v>340</v>
      </c>
      <c r="AI63" s="1390"/>
      <c r="AJ63" s="2282"/>
      <c r="AK63" s="2282"/>
      <c r="AL63" s="1037"/>
      <c r="AM63" s="339">
        <v>34434</v>
      </c>
      <c r="AN63" s="338" t="s">
        <v>295</v>
      </c>
      <c r="AQ63" s="858"/>
      <c r="AR63" s="338">
        <v>410</v>
      </c>
      <c r="AS63" s="338" t="s">
        <v>289</v>
      </c>
      <c r="AX63" s="340">
        <v>26.09</v>
      </c>
      <c r="AY63" s="340" t="s">
        <v>285</v>
      </c>
      <c r="BA63" s="341" t="str">
        <f t="array" ref="BA63">IFERROR(IF($BA$11="Metro",INDEX($AR$13:$AR$814,SMALL(IF((County=$AS$13:$AS$814),MATCH(ROW($AS$13:$AS$814),ROW($AS$13:$AS$814)),""),ROWS($A$13:$A63))),INDEX($AU$13:$AU$48,SMALL(IF((County=$AV$13:$AV$48),MATCH(ROW($AV$13:$AV$48),ROW($AV$13:$AV$48)),""),ROWS($A$13:$A63)))),"")</f>
        <v/>
      </c>
      <c r="BC63" s="341" t="str">
        <f t="array" ref="BC63">IFERROR(IF($BC$11="Yes",INDEX($AX$13:$AX$2950,SMALL(IF((County=$AY$13:$AY$2950),MATCH(ROW($AY$13:$AY$2950),ROW($AY$13:$AY$2950)),""),ROWS($A$13:$A63))),""),"")</f>
        <v/>
      </c>
      <c r="BE63" s="339">
        <v>32766</v>
      </c>
      <c r="BF63" s="338" t="s">
        <v>348</v>
      </c>
      <c r="BH63" s="338">
        <v>3.13</v>
      </c>
      <c r="BI63" s="338" t="s">
        <v>328</v>
      </c>
      <c r="BN63" s="340">
        <v>2.11</v>
      </c>
      <c r="BO63" s="340" t="s">
        <v>331</v>
      </c>
      <c r="BP63" s="1385"/>
      <c r="BQ63" s="1387">
        <v>33331</v>
      </c>
      <c r="BR63" s="236" t="s">
        <v>289</v>
      </c>
      <c r="BU63" s="858"/>
      <c r="BV63" s="338">
        <v>22.1</v>
      </c>
      <c r="BW63" s="338" t="s">
        <v>276</v>
      </c>
      <c r="BY63" s="236">
        <v>9601.01</v>
      </c>
      <c r="BZ63" s="236" t="s">
        <v>310</v>
      </c>
      <c r="CB63" s="340">
        <v>26.06</v>
      </c>
      <c r="CC63" s="340" t="s">
        <v>285</v>
      </c>
      <c r="CE63" s="341" t="str">
        <f t="array" ref="CE63">IFERROR(IF($CE$11="Metro",INDEX($BV$13:$BV$4972,SMALL(IF((County=$BW$13:$BW$4972),MATCH(ROW($BW$13:$BW$4972),ROW($BW$13:$BW$4972)),""),ROWS($A$13:$A63))),INDEX($BY$13:$BY$212,SMALL(IF((County=$BZ$13:$BZ$212),MATCH(ROW($BZ$13:$BZ$212),ROW($BZ$13:$BZ$212)),""),ROWS($A$13:$A63)))),"")</f>
        <v/>
      </c>
      <c r="CG63" s="341" t="str">
        <f t="array" ref="CG63">IFERROR(IF($CG$11="Yes",INDEX($CB$13:$CB$2950,SMALL(IF((County=$CC$13:$CC$2950),MATCH(ROW($CC$13:$CC$2950),ROW($CC$13:$CC$2950)),""),ROWS($A$13:$A63))),""),"")</f>
        <v/>
      </c>
      <c r="CI63" s="1583">
        <v>32765</v>
      </c>
      <c r="CJ63" s="236" t="s">
        <v>348</v>
      </c>
      <c r="CL63" s="338">
        <v>2.0099999999999998</v>
      </c>
      <c r="CM63" s="338" t="s">
        <v>276</v>
      </c>
      <c r="CO63" s="236">
        <v>2101</v>
      </c>
      <c r="CP63" s="236" t="s">
        <v>319</v>
      </c>
      <c r="CR63" s="340">
        <v>2.14</v>
      </c>
      <c r="CS63" s="340" t="s">
        <v>340</v>
      </c>
      <c r="CT63" s="1384"/>
      <c r="CU63" s="341">
        <v>33947</v>
      </c>
      <c r="CV63" s="338" t="s">
        <v>294</v>
      </c>
      <c r="CZ63" s="1795">
        <v>303.01</v>
      </c>
      <c r="DA63" s="338" t="s">
        <v>289</v>
      </c>
      <c r="DF63" s="340">
        <v>26.07</v>
      </c>
      <c r="DG63" s="340" t="s">
        <v>285</v>
      </c>
      <c r="DI63" s="341" t="str">
        <f t="array" ref="DI63">IFERROR(IF($DI$11="Metro",INDEX($CZ$13:$CZ$929,SMALL(IF((County=$DA$13:$DA$929),MATCH(ROW($DA$13:$DA$929),ROW($DA$13:$DA$929)),""),ROWS($A$13:$A63))),INDEX($DC$13:$DC$212,SMALL(IF((County=$DD$13:$DD$212),MATCH(ROW($DD$13:$DD$212),ROW($DD$13:$DD$212)),""),ROWS($A$13:$A63)))),"")</f>
        <v/>
      </c>
      <c r="DK63" s="341" t="str">
        <f t="array" ref="DK63">IFERROR(IF($DK$11="Yes",INDEX($DF$13:$DF$2838,SMALL(IF((County=$DG$13:$DG$2838),MATCH(ROW($DG$13:$DG$2838),ROW($DG$13:$DG$2838)),""),ROWS($A$13:$A63))),""),"")</f>
        <v/>
      </c>
      <c r="DM63" s="1387">
        <v>32735</v>
      </c>
      <c r="DN63" s="338" t="s">
        <v>322</v>
      </c>
      <c r="DP63" s="236">
        <v>4.08</v>
      </c>
      <c r="DQ63" s="236" t="s">
        <v>331</v>
      </c>
      <c r="DV63" s="340">
        <v>2.14</v>
      </c>
      <c r="DW63" s="340" t="s">
        <v>340</v>
      </c>
      <c r="DX63" s="1671"/>
      <c r="EB63" s="2428" t="s">
        <v>347</v>
      </c>
      <c r="EC63" s="2429" t="str">
        <f>VLOOKUP(EB63,Data1!$A$405:$H$471,8)</f>
        <v>Medium</v>
      </c>
      <c r="ED63" s="2428" t="s">
        <v>3126</v>
      </c>
      <c r="EE63" s="2428" t="s">
        <v>3127</v>
      </c>
      <c r="EF63" s="2430">
        <v>27.053609999999999</v>
      </c>
      <c r="EG63" s="2431">
        <v>-82.187562999999997</v>
      </c>
      <c r="EH63" s="2429" t="s">
        <v>635</v>
      </c>
      <c r="EI63" s="2432" t="s">
        <v>634</v>
      </c>
      <c r="EJ63" s="550" t="str">
        <f t="shared" si="20"/>
        <v>Sarasota - Autumn Palms North Port</v>
      </c>
      <c r="EK63" s="561" t="str">
        <f t="shared" si="11"/>
        <v>Family</v>
      </c>
      <c r="EL63" s="550" t="str">
        <f t="shared" si="21"/>
        <v>(27.05361, -82.187563)</v>
      </c>
      <c r="EM63" s="552" t="str">
        <f t="shared" si="22"/>
        <v>&gt;30</v>
      </c>
      <c r="EN63" s="1941" t="str">
        <f t="shared" si="14"/>
        <v/>
      </c>
      <c r="EO63" t="str">
        <f t="shared" si="15"/>
        <v>Sarasota - Autumn Palms North Port</v>
      </c>
      <c r="EP63" s="1941">
        <f t="shared" si="16"/>
        <v>4135.1775732089427</v>
      </c>
      <c r="EQ63" s="1941" t="str">
        <f t="shared" si="17"/>
        <v>No</v>
      </c>
      <c r="ER63" s="1941" t="str">
        <f>VLOOKUP(EB63,Data1!$G$405:$H$471,2)</f>
        <v>Medium</v>
      </c>
      <c r="ET63" s="1941" t="str">
        <f>IF(EU63&gt;0,SUM(EU$13:EU63),"")</f>
        <v/>
      </c>
      <c r="EU63" s="1941">
        <f t="shared" si="18"/>
        <v>0</v>
      </c>
      <c r="EV63" s="1148" t="str">
        <f t="shared" si="19"/>
        <v>Sarasota - Autumn Palms North Port</v>
      </c>
    </row>
    <row r="64" spans="1:152" ht="14.65" customHeight="1">
      <c r="A64" s="339">
        <v>33324</v>
      </c>
      <c r="B64" s="338" t="s">
        <v>289</v>
      </c>
      <c r="E64" s="858"/>
      <c r="F64" s="338">
        <v>411</v>
      </c>
      <c r="G64" s="338" t="s">
        <v>289</v>
      </c>
      <c r="L64" s="2481">
        <v>26.07</v>
      </c>
      <c r="M64" s="340" t="s">
        <v>285</v>
      </c>
      <c r="N64" s="1390"/>
      <c r="O64" s="2479"/>
      <c r="P64" s="2282"/>
      <c r="R64" s="341" t="str">
        <f t="array" ref="R64">IFERROR(IF($R$11="Metro",INDEX($F$13:$F$829,SMALL(IF((County=$G$13:$G$829),MATCH(ROW($G$13:$G$829),ROW($G$13:$G$829)),""),ROWS($A$13:A64))),INDEX($I$13:$I$44,SMALL(IF((County=$J$13:$J$44),MATCH(ROW($J$13:$J$44),ROW($J$13:$J$44)),""),ROWS($A$13:A64)))),"")</f>
        <v/>
      </c>
      <c r="T64" s="341" t="str">
        <f t="array" ref="T64">IFERROR(IF($T$11="Yes",INDEX($L$13:$L$2813,SMALL(IF((County=$M$13:$M$2813),MATCH(ROW($M$13:$M$2813),ROW($M$13:$M$2813)),""),ROWS($A$13:A64))),""),"")</f>
        <v/>
      </c>
      <c r="V64" s="2283" t="str">
        <f t="array" ref="V64">IFERROR(IF($T$11="Yes",INDEX($O$14:$O$2811,SMALL(IF((County=$P$14:$P$2811),MATCH(ROW($P$14:$P$2811),ROW($P$14:$P$2811)),""),ROWS($A$13:A64))),""),"")</f>
        <v/>
      </c>
      <c r="X64" s="339">
        <v>32561</v>
      </c>
      <c r="Y64" s="338" t="s">
        <v>346</v>
      </c>
      <c r="AA64" s="338">
        <v>4.16</v>
      </c>
      <c r="AB64" s="338" t="s">
        <v>331</v>
      </c>
      <c r="AG64" s="2297">
        <v>2.19</v>
      </c>
      <c r="AH64" s="2297" t="s">
        <v>340</v>
      </c>
      <c r="AI64" s="1390"/>
      <c r="AJ64" s="2282"/>
      <c r="AK64" s="2282"/>
      <c r="AL64" s="1037"/>
      <c r="AM64" s="339">
        <v>34446</v>
      </c>
      <c r="AN64" s="338" t="s">
        <v>295</v>
      </c>
      <c r="AQ64" s="858"/>
      <c r="AR64" s="338">
        <v>412</v>
      </c>
      <c r="AS64" s="338" t="s">
        <v>289</v>
      </c>
      <c r="AX64" s="340">
        <v>27.03</v>
      </c>
      <c r="AY64" s="340" t="s">
        <v>285</v>
      </c>
      <c r="BA64" s="341" t="str">
        <f t="array" ref="BA64">IFERROR(IF($BA$11="Metro",INDEX($AR$13:$AR$814,SMALL(IF((County=$AS$13:$AS$814),MATCH(ROW($AS$13:$AS$814),ROW($AS$13:$AS$814)),""),ROWS($A$13:$A64))),INDEX($AU$13:$AU$48,SMALL(IF((County=$AV$13:$AV$48),MATCH(ROW($AV$13:$AV$48),ROW($AV$13:$AV$48)),""),ROWS($A$13:$A64)))),"")</f>
        <v/>
      </c>
      <c r="BC64" s="341" t="str">
        <f t="array" ref="BC64">IFERROR(IF($BC$11="Yes",INDEX($AX$13:$AX$2950,SMALL(IF((County=$AY$13:$AY$2950),MATCH(ROW($AY$13:$AY$2950),ROW($AY$13:$AY$2950)),""),ROWS($A$13:$A64))),""),"")</f>
        <v/>
      </c>
      <c r="BE64" s="339">
        <v>32776</v>
      </c>
      <c r="BF64" s="338" t="s">
        <v>322</v>
      </c>
      <c r="BH64" s="338">
        <v>3.14</v>
      </c>
      <c r="BI64" s="338" t="s">
        <v>328</v>
      </c>
      <c r="BN64" s="340">
        <v>2.11</v>
      </c>
      <c r="BO64" s="340" t="s">
        <v>340</v>
      </c>
      <c r="BP64" s="1385"/>
      <c r="BQ64" s="1387">
        <v>33332</v>
      </c>
      <c r="BR64" s="236" t="s">
        <v>289</v>
      </c>
      <c r="BU64" s="858"/>
      <c r="BV64" s="338">
        <v>22.17</v>
      </c>
      <c r="BW64" s="338" t="s">
        <v>276</v>
      </c>
      <c r="BY64" s="236">
        <v>9601.02</v>
      </c>
      <c r="BZ64" s="236" t="s">
        <v>310</v>
      </c>
      <c r="CB64" s="340">
        <v>26.07</v>
      </c>
      <c r="CC64" s="340" t="s">
        <v>285</v>
      </c>
      <c r="CE64" s="341" t="str">
        <f t="array" ref="CE64">IFERROR(IF($CE$11="Metro",INDEX($BV$13:$BV$4972,SMALL(IF((County=$BW$13:$BW$4972),MATCH(ROW($BW$13:$BW$4972),ROW($BW$13:$BW$4972)),""),ROWS($A$13:$A64))),INDEX($BY$13:$BY$212,SMALL(IF((County=$BZ$13:$BZ$212),MATCH(ROW($BZ$13:$BZ$212),ROW($BZ$13:$BZ$212)),""),ROWS($A$13:$A64)))),"")</f>
        <v/>
      </c>
      <c r="CG64" s="341" t="str">
        <f t="array" ref="CG64">IFERROR(IF($CG$11="Yes",INDEX($CB$13:$CB$2950,SMALL(IF((County=$CC$13:$CC$2950),MATCH(ROW($CC$13:$CC$2950),ROW($CC$13:$CC$2950)),""),ROWS($A$13:$A64))),""),"")</f>
        <v/>
      </c>
      <c r="CI64" s="1583">
        <v>32766</v>
      </c>
      <c r="CJ64" s="236" t="s">
        <v>348</v>
      </c>
      <c r="CL64" s="338">
        <v>2.0099999999999998</v>
      </c>
      <c r="CM64" s="338" t="s">
        <v>285</v>
      </c>
      <c r="CO64" s="236">
        <v>2102</v>
      </c>
      <c r="CP64" s="236" t="s">
        <v>319</v>
      </c>
      <c r="CR64" s="340">
        <v>2.16</v>
      </c>
      <c r="CS64" s="340" t="s">
        <v>331</v>
      </c>
      <c r="CT64" s="1384"/>
      <c r="CU64" s="341">
        <v>33953</v>
      </c>
      <c r="CV64" s="338" t="s">
        <v>294</v>
      </c>
      <c r="CZ64" s="1795">
        <v>304.02</v>
      </c>
      <c r="DA64" s="338" t="s">
        <v>289</v>
      </c>
      <c r="DF64" s="340">
        <v>26.08</v>
      </c>
      <c r="DG64" s="340" t="s">
        <v>285</v>
      </c>
      <c r="DI64" s="341" t="str">
        <f t="array" ref="DI64">IFERROR(IF($DI$11="Metro",INDEX($CZ$13:$CZ$929,SMALL(IF((County=$DA$13:$DA$929),MATCH(ROW($DA$13:$DA$929),ROW($DA$13:$DA$929)),""),ROWS($A$13:$A64))),INDEX($DC$13:$DC$212,SMALL(IF((County=$DD$13:$DD$212),MATCH(ROW($DD$13:$DD$212),ROW($DD$13:$DD$212)),""),ROWS($A$13:$A64)))),"")</f>
        <v/>
      </c>
      <c r="DK64" s="341" t="str">
        <f t="array" ref="DK64">IFERROR(IF($DK$11="Yes",INDEX($DF$13:$DF$2838,SMALL(IF((County=$DG$13:$DG$2838),MATCH(ROW($DG$13:$DG$2838),ROW($DG$13:$DG$2838)),""),ROWS($A$13:$A64))),""),"")</f>
        <v/>
      </c>
      <c r="DM64" s="1387">
        <v>32746</v>
      </c>
      <c r="DN64" s="338" t="s">
        <v>348</v>
      </c>
      <c r="DP64" s="236">
        <v>4.0999999999999996</v>
      </c>
      <c r="DQ64" s="236" t="s">
        <v>331</v>
      </c>
      <c r="DV64" s="340">
        <v>2.16</v>
      </c>
      <c r="DW64" s="340" t="s">
        <v>331</v>
      </c>
      <c r="DX64" s="1671"/>
      <c r="EB64" s="2428" t="s">
        <v>347</v>
      </c>
      <c r="EC64" s="2429" t="str">
        <f>VLOOKUP(EB64,Data1!$A$405:$H$471,8)</f>
        <v>Medium</v>
      </c>
      <c r="ED64" s="2428" t="s">
        <v>3128</v>
      </c>
      <c r="EE64" s="2428" t="s">
        <v>3127</v>
      </c>
      <c r="EF64" s="2430">
        <v>27.053609999999999</v>
      </c>
      <c r="EG64" s="2431">
        <v>-82.187562999999997</v>
      </c>
      <c r="EH64" s="2429" t="s">
        <v>635</v>
      </c>
      <c r="EI64" s="2432" t="s">
        <v>634</v>
      </c>
      <c r="EJ64" s="550" t="str">
        <f t="shared" si="20"/>
        <v>Sarasota - Autumn Palms North Port</v>
      </c>
      <c r="EK64" s="561" t="str">
        <f t="shared" si="11"/>
        <v>Family</v>
      </c>
      <c r="EL64" s="550" t="str">
        <f t="shared" si="21"/>
        <v>(27.05361, -82.187563)</v>
      </c>
      <c r="EM64" s="552" t="str">
        <f t="shared" si="22"/>
        <v>&gt;30</v>
      </c>
      <c r="EN64" s="1941" t="str">
        <f t="shared" si="14"/>
        <v/>
      </c>
      <c r="EO64" t="str">
        <f t="shared" si="15"/>
        <v>Sarasota - Autumn Palms North Port</v>
      </c>
      <c r="EP64" s="1941">
        <f t="shared" si="16"/>
        <v>4135.1775732089427</v>
      </c>
      <c r="EQ64" s="1941" t="str">
        <f t="shared" si="17"/>
        <v>No</v>
      </c>
      <c r="ER64" s="1941" t="str">
        <f>VLOOKUP(EB64,Data1!$G$405:$H$471,2)</f>
        <v>Medium</v>
      </c>
      <c r="ET64" s="1941" t="str">
        <f>IF(EU64&gt;0,SUM(EU$13:EU64),"")</f>
        <v/>
      </c>
      <c r="EU64" s="1941">
        <f t="shared" si="18"/>
        <v>0</v>
      </c>
      <c r="EV64" s="1148" t="str">
        <f t="shared" si="19"/>
        <v>Sarasota - Autumn Palms North Port</v>
      </c>
    </row>
    <row r="65" spans="1:152" ht="14.65" customHeight="1">
      <c r="A65" s="339">
        <v>33325</v>
      </c>
      <c r="B65" s="338" t="s">
        <v>289</v>
      </c>
      <c r="E65" s="858"/>
      <c r="F65" s="338">
        <v>412</v>
      </c>
      <c r="G65" s="338" t="s">
        <v>289</v>
      </c>
      <c r="L65" s="2481">
        <v>26.08</v>
      </c>
      <c r="M65" s="340" t="s">
        <v>285</v>
      </c>
      <c r="N65" s="1390"/>
      <c r="O65" s="2479"/>
      <c r="P65" s="2282"/>
      <c r="R65" s="341" t="str">
        <f t="array" ref="R65">IFERROR(IF($R$11="Metro",INDEX($F$13:$F$829,SMALL(IF((County=$G$13:$G$829),MATCH(ROW($G$13:$G$829),ROW($G$13:$G$829)),""),ROWS($A$13:A65))),INDEX($I$13:$I$44,SMALL(IF((County=$J$13:$J$44),MATCH(ROW($J$13:$J$44),ROW($J$13:$J$44)),""),ROWS($A$13:A65)))),"")</f>
        <v/>
      </c>
      <c r="T65" s="341" t="str">
        <f t="array" ref="T65">IFERROR(IF($T$11="Yes",INDEX($L$13:$L$2813,SMALL(IF((County=$M$13:$M$2813),MATCH(ROW($M$13:$M$2813),ROW($M$13:$M$2813)),""),ROWS($A$13:A65))),""),"")</f>
        <v/>
      </c>
      <c r="V65" s="2283" t="str">
        <f t="array" ref="V65">IFERROR(IF($T$11="Yes",INDEX($O$14:$O$2811,SMALL(IF((County=$P$14:$P$2811),MATCH(ROW($P$14:$P$2811),ROW($P$14:$P$2811)),""),ROWS($A$13:A65))),""),"")</f>
        <v/>
      </c>
      <c r="X65" s="339">
        <v>32563</v>
      </c>
      <c r="Y65" s="338" t="s">
        <v>346</v>
      </c>
      <c r="AA65" s="338">
        <v>4.17</v>
      </c>
      <c r="AB65" s="338" t="s">
        <v>331</v>
      </c>
      <c r="AG65" s="2297">
        <v>2.2000000000000002</v>
      </c>
      <c r="AH65" s="2297" t="s">
        <v>340</v>
      </c>
      <c r="AI65" s="1390"/>
      <c r="AJ65" s="2282"/>
      <c r="AK65" s="2282"/>
      <c r="AL65" s="1037"/>
      <c r="AM65" s="339">
        <v>32003</v>
      </c>
      <c r="AN65" s="338" t="s">
        <v>296</v>
      </c>
      <c r="AQ65" s="858"/>
      <c r="AR65" s="338">
        <v>413</v>
      </c>
      <c r="AS65" s="338" t="s">
        <v>289</v>
      </c>
      <c r="AX65" s="340">
        <v>27.06</v>
      </c>
      <c r="AY65" s="340" t="s">
        <v>285</v>
      </c>
      <c r="BA65" s="341" t="str">
        <f t="array" ref="BA65">IFERROR(IF($BA$11="Metro",INDEX($AR$13:$AR$814,SMALL(IF((County=$AS$13:$AS$814),MATCH(ROW($AS$13:$AS$814),ROW($AS$13:$AS$814)),""),ROWS($A$13:$A65))),INDEX($AU$13:$AU$48,SMALL(IF((County=$AV$13:$AV$48),MATCH(ROW($AV$13:$AV$48),ROW($AV$13:$AV$48)),""),ROWS($A$13:$A65)))),"")</f>
        <v/>
      </c>
      <c r="BC65" s="341" t="str">
        <f t="array" ref="BC65">IFERROR(IF($BC$11="Yes",INDEX($AX$13:$AX$2950,SMALL(IF((County=$AY$13:$AY$2950),MATCH(ROW($AY$13:$AY$2950),ROW($AY$13:$AY$2950)),""),ROWS($A$13:$A65))),""),"")</f>
        <v/>
      </c>
      <c r="BE65" s="339">
        <v>32779</v>
      </c>
      <c r="BF65" s="338" t="s">
        <v>348</v>
      </c>
      <c r="BH65" s="338">
        <v>4</v>
      </c>
      <c r="BI65" s="338" t="s">
        <v>304</v>
      </c>
      <c r="BN65" s="340">
        <v>2.13</v>
      </c>
      <c r="BO65" s="340" t="s">
        <v>331</v>
      </c>
      <c r="BP65" s="1385"/>
      <c r="BQ65" s="1387">
        <v>33351</v>
      </c>
      <c r="BR65" s="236" t="s">
        <v>289</v>
      </c>
      <c r="BU65" s="858"/>
      <c r="BV65" s="338">
        <v>22.18</v>
      </c>
      <c r="BW65" s="338" t="s">
        <v>276</v>
      </c>
      <c r="BY65" s="236">
        <v>9602</v>
      </c>
      <c r="BZ65" s="236" t="s">
        <v>310</v>
      </c>
      <c r="CB65" s="340">
        <v>26.08</v>
      </c>
      <c r="CC65" s="340" t="s">
        <v>285</v>
      </c>
      <c r="CE65" s="341" t="str">
        <f t="array" ref="CE65">IFERROR(IF($CE$11="Metro",INDEX($BV$13:$BV$4972,SMALL(IF((County=$BW$13:$BW$4972),MATCH(ROW($BW$13:$BW$4972),ROW($BW$13:$BW$4972)),""),ROWS($A$13:$A65))),INDEX($BY$13:$BY$212,SMALL(IF((County=$BZ$13:$BZ$212),MATCH(ROW($BZ$13:$BZ$212),ROW($BZ$13:$BZ$212)),""),ROWS($A$13:$A65)))),"")</f>
        <v/>
      </c>
      <c r="CG65" s="341" t="str">
        <f t="array" ref="CG65">IFERROR(IF($CG$11="Yes",INDEX($CB$13:$CB$2950,SMALL(IF((County=$CC$13:$CC$2950),MATCH(ROW($CC$13:$CC$2950),ROW($CC$13:$CC$2950)),""),ROWS($A$13:$A65))),""),"")</f>
        <v/>
      </c>
      <c r="CI65" s="1583">
        <v>32776</v>
      </c>
      <c r="CJ65" s="338" t="s">
        <v>322</v>
      </c>
      <c r="CL65" s="236">
        <v>2.0099999999999998</v>
      </c>
      <c r="CM65" s="236" t="s">
        <v>316</v>
      </c>
      <c r="CO65" s="236">
        <v>2103.0100000000002</v>
      </c>
      <c r="CP65" s="236" t="s">
        <v>319</v>
      </c>
      <c r="CR65" s="340">
        <v>2.16</v>
      </c>
      <c r="CS65" s="340" t="s">
        <v>340</v>
      </c>
      <c r="CT65" s="1384"/>
      <c r="CU65" s="341">
        <v>33954</v>
      </c>
      <c r="CV65" s="338" t="s">
        <v>294</v>
      </c>
      <c r="CZ65" s="1795">
        <v>305</v>
      </c>
      <c r="DA65" s="338" t="s">
        <v>289</v>
      </c>
      <c r="DF65" s="340">
        <v>26.09</v>
      </c>
      <c r="DG65" s="340" t="s">
        <v>285</v>
      </c>
      <c r="DI65" s="341" t="str">
        <f t="array" ref="DI65">IFERROR(IF($DI$11="Metro",INDEX($CZ$13:$CZ$929,SMALL(IF((County=$DA$13:$DA$929),MATCH(ROW($DA$13:$DA$929),ROW($DA$13:$DA$929)),""),ROWS($A$13:$A65))),INDEX($DC$13:$DC$212,SMALL(IF((County=$DD$13:$DD$212),MATCH(ROW($DD$13:$DD$212),ROW($DD$13:$DD$212)),""),ROWS($A$13:$A65)))),"")</f>
        <v/>
      </c>
      <c r="DK65" s="341" t="str">
        <f t="array" ref="DK65">IFERROR(IF($DK$11="Yes",INDEX($DF$13:$DF$2838,SMALL(IF((County=$DG$13:$DG$2838),MATCH(ROW($DG$13:$DG$2838),ROW($DG$13:$DG$2838)),""),ROWS($A$13:$A65))),""),"")</f>
        <v/>
      </c>
      <c r="DM65" s="1387">
        <v>32750</v>
      </c>
      <c r="DN65" s="338" t="s">
        <v>348</v>
      </c>
      <c r="DP65" s="236">
        <v>4.1100000000000003</v>
      </c>
      <c r="DQ65" s="236" t="s">
        <v>331</v>
      </c>
      <c r="DV65" s="340">
        <v>2.16</v>
      </c>
      <c r="DW65" s="340" t="s">
        <v>340</v>
      </c>
      <c r="DX65" s="1671"/>
      <c r="EB65" s="549" t="s">
        <v>347</v>
      </c>
      <c r="EC65" s="553" t="str">
        <f>VLOOKUP(EB65,Data1!$A$405:$H$471,8)</f>
        <v>Medium</v>
      </c>
      <c r="ED65" s="549" t="s">
        <v>2353</v>
      </c>
      <c r="EE65" s="549" t="s">
        <v>2354</v>
      </c>
      <c r="EF65" s="550">
        <v>27.068049999999999</v>
      </c>
      <c r="EG65" s="550">
        <v>-82.160799999999995</v>
      </c>
      <c r="EH65" s="553" t="s">
        <v>635</v>
      </c>
      <c r="EI65" s="553" t="s">
        <v>634</v>
      </c>
      <c r="EJ65" s="550" t="str">
        <f t="shared" si="20"/>
        <v>Sarasota - Ekos at Arbor Park Phase II</v>
      </c>
      <c r="EK65" s="561" t="str">
        <f t="shared" si="11"/>
        <v>Family</v>
      </c>
      <c r="EL65" s="550" t="str">
        <f t="shared" si="21"/>
        <v>(27.06805, -82.1608)</v>
      </c>
      <c r="EM65" s="552" t="str">
        <f t="shared" si="22"/>
        <v>&gt;30</v>
      </c>
      <c r="EN65" s="1941" t="str">
        <f t="shared" si="14"/>
        <v/>
      </c>
      <c r="EO65" t="str">
        <f t="shared" si="15"/>
        <v>Sarasota - Ekos at Arbor Park Phase II</v>
      </c>
      <c r="EP65" s="1941">
        <f t="shared" si="16"/>
        <v>4134.807871441697</v>
      </c>
      <c r="EQ65" s="1941" t="str">
        <f t="shared" si="17"/>
        <v>No</v>
      </c>
      <c r="ER65" s="1941" t="str">
        <f>VLOOKUP(EB65,Data1!$G$405:$H$471,2)</f>
        <v>Medium</v>
      </c>
      <c r="ET65" s="1941" t="str">
        <f>IF(EU65&gt;0,SUM(EU$13:EU65),"")</f>
        <v/>
      </c>
      <c r="EU65" s="1941">
        <f t="shared" si="18"/>
        <v>0</v>
      </c>
      <c r="EV65" s="1148" t="str">
        <f t="shared" si="19"/>
        <v>Sarasota - Ekos at Arbor Park Phase II</v>
      </c>
    </row>
    <row r="66" spans="1:152" ht="14.65" customHeight="1">
      <c r="A66" s="339">
        <v>33326</v>
      </c>
      <c r="B66" s="338" t="s">
        <v>289</v>
      </c>
      <c r="E66" s="858"/>
      <c r="F66" s="338">
        <v>413</v>
      </c>
      <c r="G66" s="338" t="s">
        <v>289</v>
      </c>
      <c r="L66" s="2481">
        <v>26.09</v>
      </c>
      <c r="M66" s="340" t="s">
        <v>285</v>
      </c>
      <c r="N66" s="1390"/>
      <c r="O66" s="2479"/>
      <c r="P66" s="2282"/>
      <c r="R66" s="341" t="str">
        <f t="array" ref="R66">IFERROR(IF($R$11="Metro",INDEX($F$13:$F$829,SMALL(IF((County=$G$13:$G$829),MATCH(ROW($G$13:$G$829),ROW($G$13:$G$829)),""),ROWS($A$13:A66))),INDEX($I$13:$I$44,SMALL(IF((County=$J$13:$J$44),MATCH(ROW($J$13:$J$44),ROW($J$13:$J$44)),""),ROWS($A$13:A66)))),"")</f>
        <v/>
      </c>
      <c r="T66" s="341" t="str">
        <f t="array" ref="T66">IFERROR(IF($T$11="Yes",INDEX($L$13:$L$2813,SMALL(IF((County=$M$13:$M$2813),MATCH(ROW($M$13:$M$2813),ROW($M$13:$M$2813)),""),ROWS($A$13:A66))),""),"")</f>
        <v/>
      </c>
      <c r="V66" s="2283" t="str">
        <f t="array" ref="V66">IFERROR(IF($T$11="Yes",INDEX($O$14:$O$2811,SMALL(IF((County=$P$14:$P$2811),MATCH(ROW($P$14:$P$2811),ROW($P$14:$P$2811)),""),ROWS($A$13:A66))),""),"")</f>
        <v/>
      </c>
      <c r="X66" s="339">
        <v>32566</v>
      </c>
      <c r="Y66" s="338" t="s">
        <v>346</v>
      </c>
      <c r="AA66" s="338">
        <v>4.18</v>
      </c>
      <c r="AB66" s="338" t="s">
        <v>331</v>
      </c>
      <c r="AG66" s="2297">
        <v>2.21</v>
      </c>
      <c r="AH66" s="2297" t="s">
        <v>340</v>
      </c>
      <c r="AI66" s="1390"/>
      <c r="AJ66" s="2282"/>
      <c r="AK66" s="2282"/>
      <c r="AL66" s="1037"/>
      <c r="AM66" s="339">
        <v>32079</v>
      </c>
      <c r="AN66" s="338" t="s">
        <v>296</v>
      </c>
      <c r="AQ66" s="858"/>
      <c r="AR66" s="338">
        <v>414</v>
      </c>
      <c r="AS66" s="338" t="s">
        <v>289</v>
      </c>
      <c r="AX66" s="340">
        <v>27.07</v>
      </c>
      <c r="AY66" s="340" t="s">
        <v>285</v>
      </c>
      <c r="BA66" s="341" t="str">
        <f t="array" ref="BA66">IFERROR(IF($BA$11="Metro",INDEX($AR$13:$AR$814,SMALL(IF((County=$AS$13:$AS$814),MATCH(ROW($AS$13:$AS$814),ROW($AS$13:$AS$814)),""),ROWS($A$13:$A66))),INDEX($AU$13:$AU$48,SMALL(IF((County=$AV$13:$AV$48),MATCH(ROW($AV$13:$AV$48),ROW($AV$13:$AV$48)),""),ROWS($A$13:$A66)))),"")</f>
        <v/>
      </c>
      <c r="BC66" s="341" t="str">
        <f t="array" ref="BC66">IFERROR(IF($BC$11="Yes",INDEX($AX$13:$AX$2950,SMALL(IF((County=$AY$13:$AY$2950),MATCH(ROW($AY$13:$AY$2950),ROW($AY$13:$AY$2950)),""),ROWS($A$13:$A66))),""),"")</f>
        <v/>
      </c>
      <c r="BE66" s="339">
        <v>32789</v>
      </c>
      <c r="BF66" s="338" t="s">
        <v>338</v>
      </c>
      <c r="BH66" s="338">
        <v>4</v>
      </c>
      <c r="BI66" s="338" t="s">
        <v>324</v>
      </c>
      <c r="BN66" s="340">
        <v>2.13</v>
      </c>
      <c r="BO66" s="340" t="s">
        <v>340</v>
      </c>
      <c r="BP66" s="1385"/>
      <c r="BQ66" s="1386">
        <v>33441</v>
      </c>
      <c r="BR66" s="338" t="s">
        <v>289</v>
      </c>
      <c r="BU66" s="858"/>
      <c r="BV66" s="338">
        <v>22.19</v>
      </c>
      <c r="BW66" s="338" t="s">
        <v>276</v>
      </c>
      <c r="BY66" s="236">
        <v>9603.01</v>
      </c>
      <c r="BZ66" s="236" t="s">
        <v>310</v>
      </c>
      <c r="CB66" s="340">
        <v>26.09</v>
      </c>
      <c r="CC66" s="340" t="s">
        <v>285</v>
      </c>
      <c r="CE66" s="341" t="str">
        <f t="array" ref="CE66">IFERROR(IF($CE$11="Metro",INDEX($BV$13:$BV$4972,SMALL(IF((County=$BW$13:$BW$4972),MATCH(ROW($BW$13:$BW$4972),ROW($BW$13:$BW$4972)),""),ROWS($A$13:$A66))),INDEX($BY$13:$BY$212,SMALL(IF((County=$BZ$13:$BZ$212),MATCH(ROW($BZ$13:$BZ$212),ROW($BZ$13:$BZ$212)),""),ROWS($A$13:$A66)))),"")</f>
        <v/>
      </c>
      <c r="CG66" s="341" t="str">
        <f t="array" ref="CG66">IFERROR(IF($CG$11="Yes",INDEX($CB$13:$CB$2950,SMALL(IF((County=$CC$13:$CC$2950),MATCH(ROW($CC$13:$CC$2950),ROW($CC$13:$CC$2950)),""),ROWS($A$13:$A66))),""),"")</f>
        <v/>
      </c>
      <c r="CI66" s="1583">
        <v>32779</v>
      </c>
      <c r="CJ66" s="236" t="s">
        <v>348</v>
      </c>
      <c r="CL66" s="236">
        <v>2.0099999999999998</v>
      </c>
      <c r="CM66" s="236" t="s">
        <v>328</v>
      </c>
      <c r="CO66" s="236">
        <v>2103.02</v>
      </c>
      <c r="CP66" s="236" t="s">
        <v>319</v>
      </c>
      <c r="CR66" s="340">
        <v>2.17</v>
      </c>
      <c r="CS66" s="340" t="s">
        <v>340</v>
      </c>
      <c r="CT66" s="1384"/>
      <c r="CU66" s="341">
        <v>33955</v>
      </c>
      <c r="CV66" s="338" t="s">
        <v>294</v>
      </c>
      <c r="CZ66" s="1795">
        <v>306.01</v>
      </c>
      <c r="DA66" s="338" t="s">
        <v>289</v>
      </c>
      <c r="DF66" s="340">
        <v>27.03</v>
      </c>
      <c r="DG66" s="340" t="s">
        <v>285</v>
      </c>
      <c r="DI66" s="341" t="str">
        <f t="array" ref="DI66">IFERROR(IF($DI$11="Metro",INDEX($CZ$13:$CZ$929,SMALL(IF((County=$DA$13:$DA$929),MATCH(ROW($DA$13:$DA$929),ROW($DA$13:$DA$929)),""),ROWS($A$13:$A66))),INDEX($DC$13:$DC$212,SMALL(IF((County=$DD$13:$DD$212),MATCH(ROW($DD$13:$DD$212),ROW($DD$13:$DD$212)),""),ROWS($A$13:$A66)))),"")</f>
        <v/>
      </c>
      <c r="DK66" s="341" t="str">
        <f t="array" ref="DK66">IFERROR(IF($DK$11="Yes",INDEX($DF$13:$DF$2838,SMALL(IF((County=$DG$13:$DG$2838),MATCH(ROW($DG$13:$DG$2838),ROW($DG$13:$DG$2838)),""),ROWS($A$13:$A66))),""),"")</f>
        <v/>
      </c>
      <c r="DM66" s="1387">
        <v>32751</v>
      </c>
      <c r="DN66" s="338" t="s">
        <v>338</v>
      </c>
      <c r="DP66" s="236">
        <v>4.13</v>
      </c>
      <c r="DQ66" s="236" t="s">
        <v>331</v>
      </c>
      <c r="DV66" s="340">
        <v>2.17</v>
      </c>
      <c r="DW66" s="340" t="s">
        <v>340</v>
      </c>
      <c r="DX66" s="1671"/>
      <c r="EB66" s="549" t="s">
        <v>1913</v>
      </c>
      <c r="EC66" s="553" t="str">
        <f>VLOOKUP(EB66,Data1!$A$405:$H$471,8)</f>
        <v>Medium</v>
      </c>
      <c r="ED66" s="549" t="s">
        <v>3129</v>
      </c>
      <c r="EE66" s="549" t="s">
        <v>3148</v>
      </c>
      <c r="EF66" s="556">
        <v>27.354939999999999</v>
      </c>
      <c r="EG66" s="557">
        <v>-82.535566000000003</v>
      </c>
      <c r="EH66" s="553" t="s">
        <v>635</v>
      </c>
      <c r="EI66" s="552" t="s">
        <v>634</v>
      </c>
      <c r="EJ66" s="550" t="str">
        <f t="shared" si="20"/>
        <v>Sarasota  - Amaryllis Park Place 4 - Site 1</v>
      </c>
      <c r="EK66" s="561" t="str">
        <f t="shared" si="11"/>
        <v>Family</v>
      </c>
      <c r="EL66" s="550" t="str">
        <f t="shared" si="21"/>
        <v>(27.35494, -82.535566)</v>
      </c>
      <c r="EM66" s="552" t="str">
        <f t="shared" si="22"/>
        <v>&gt;30</v>
      </c>
      <c r="EN66" s="1941">
        <f t="shared" si="14"/>
        <v>1</v>
      </c>
      <c r="EO66" t="str">
        <f t="shared" si="15"/>
        <v>Sarasota  - Amaryllis Park Place 4 - Site 1</v>
      </c>
      <c r="EP66" s="1941">
        <f t="shared" si="16"/>
        <v>4145.6464830310642</v>
      </c>
      <c r="EQ66" s="1941" t="str">
        <f t="shared" si="17"/>
        <v>No</v>
      </c>
      <c r="ER66" s="1941" t="str">
        <f>VLOOKUP(EB66,Data1!$G$405:$H$471,2)</f>
        <v>Medium</v>
      </c>
      <c r="ET66" s="1941" t="str">
        <f>IF(EU66&gt;0,SUM(EU$13:EU66),"")</f>
        <v/>
      </c>
      <c r="EU66" s="1941">
        <f t="shared" si="18"/>
        <v>0</v>
      </c>
      <c r="EV66" s="1148" t="str">
        <f t="shared" si="19"/>
        <v xml:space="preserve">Sarasota  - Amaryllis Park Place 4 </v>
      </c>
    </row>
    <row r="67" spans="1:152" ht="14.65" customHeight="1">
      <c r="A67" s="339">
        <v>33327</v>
      </c>
      <c r="B67" s="338" t="s">
        <v>289</v>
      </c>
      <c r="E67" s="858"/>
      <c r="F67" s="338">
        <v>414</v>
      </c>
      <c r="G67" s="338" t="s">
        <v>289</v>
      </c>
      <c r="L67" s="2481">
        <v>27.03</v>
      </c>
      <c r="M67" s="340" t="s">
        <v>285</v>
      </c>
      <c r="N67" s="1390"/>
      <c r="O67" s="2479"/>
      <c r="P67" s="2282"/>
      <c r="R67" s="341" t="str">
        <f t="array" ref="R67">IFERROR(IF($R$11="Metro",INDEX($F$13:$F$829,SMALL(IF((County=$G$13:$G$829),MATCH(ROW($G$13:$G$829),ROW($G$13:$G$829)),""),ROWS($A$13:A67))),INDEX($I$13:$I$44,SMALL(IF((County=$J$13:$J$44),MATCH(ROW($J$13:$J$44),ROW($J$13:$J$44)),""),ROWS($A$13:A67)))),"")</f>
        <v/>
      </c>
      <c r="T67" s="341" t="str">
        <f t="array" ref="T67">IFERROR(IF($T$11="Yes",INDEX($L$13:$L$2813,SMALL(IF((County=$M$13:$M$2813),MATCH(ROW($M$13:$M$2813),ROW($M$13:$M$2813)),""),ROWS($A$13:A67))),""),"")</f>
        <v/>
      </c>
      <c r="V67" s="2283" t="str">
        <f t="array" ref="V67">IFERROR(IF($T$11="Yes",INDEX($O$14:$O$2811,SMALL(IF((County=$P$14:$P$2811),MATCH(ROW($P$14:$P$2811),ROW($P$14:$P$2811)),""),ROWS($A$13:A67))),""),"")</f>
        <v/>
      </c>
      <c r="X67" s="339">
        <v>32578</v>
      </c>
      <c r="Y67" s="338" t="s">
        <v>357</v>
      </c>
      <c r="AA67" s="338">
        <v>5.0199999999999996</v>
      </c>
      <c r="AB67" s="338" t="s">
        <v>323</v>
      </c>
      <c r="AG67" s="2297">
        <v>2.23</v>
      </c>
      <c r="AH67" s="2297" t="s">
        <v>340</v>
      </c>
      <c r="AI67" s="1390"/>
      <c r="AJ67" s="2282"/>
      <c r="AK67" s="2282"/>
      <c r="AL67" s="1037"/>
      <c r="AM67" s="339">
        <v>34103</v>
      </c>
      <c r="AN67" s="338" t="s">
        <v>297</v>
      </c>
      <c r="AQ67" s="858"/>
      <c r="AR67" s="338">
        <v>415</v>
      </c>
      <c r="AS67" s="338" t="s">
        <v>289</v>
      </c>
      <c r="AX67" s="340">
        <v>27.08</v>
      </c>
      <c r="AY67" s="340" t="s">
        <v>285</v>
      </c>
      <c r="BA67" s="341" t="str">
        <f t="array" ref="BA67">IFERROR(IF($BA$11="Metro",INDEX($AR$13:$AR$814,SMALL(IF((County=$AS$13:$AS$814),MATCH(ROW($AS$13:$AS$814),ROW($AS$13:$AS$814)),""),ROWS($A$13:$A67))),INDEX($AU$13:$AU$48,SMALL(IF((County=$AV$13:$AV$48),MATCH(ROW($AV$13:$AV$48),ROW($AV$13:$AV$48)),""),ROWS($A$13:$A67)))),"")</f>
        <v/>
      </c>
      <c r="BC67" s="341" t="str">
        <f t="array" ref="BC67">IFERROR(IF($BC$11="Yes",INDEX($AX$13:$AX$2950,SMALL(IF((County=$AY$13:$AY$2950),MATCH(ROW($AY$13:$AY$2950),ROW($AY$13:$AY$2950)),""),ROWS($A$13:$A67))),""),"")</f>
        <v/>
      </c>
      <c r="BE67" s="339">
        <v>32792</v>
      </c>
      <c r="BF67" s="338" t="s">
        <v>338</v>
      </c>
      <c r="BH67" s="338">
        <v>4.01</v>
      </c>
      <c r="BI67" s="338" t="s">
        <v>329</v>
      </c>
      <c r="BN67" s="340">
        <v>2.14</v>
      </c>
      <c r="BO67" s="340" t="s">
        <v>340</v>
      </c>
      <c r="BP67" s="1385"/>
      <c r="BQ67" s="1386">
        <v>33442</v>
      </c>
      <c r="BR67" s="338" t="s">
        <v>289</v>
      </c>
      <c r="BU67" s="858"/>
      <c r="BV67" s="338">
        <v>22.2</v>
      </c>
      <c r="BW67" s="338" t="s">
        <v>276</v>
      </c>
      <c r="BY67" s="236">
        <v>9603.02</v>
      </c>
      <c r="BZ67" s="236" t="s">
        <v>310</v>
      </c>
      <c r="CB67" s="340">
        <v>27.03</v>
      </c>
      <c r="CC67" s="340" t="s">
        <v>285</v>
      </c>
      <c r="CE67" s="341" t="str">
        <f t="array" ref="CE67">IFERROR(IF($CE$11="Metro",INDEX($BV$13:$BV$4972,SMALL(IF((County=$BW$13:$BW$4972),MATCH(ROW($BW$13:$BW$4972),ROW($BW$13:$BW$4972)),""),ROWS($A$13:$A67))),INDEX($BY$13:$BY$212,SMALL(IF((County=$BZ$13:$BZ$212),MATCH(ROW($BZ$13:$BZ$212),ROW($BZ$13:$BZ$212)),""),ROWS($A$13:$A67)))),"")</f>
        <v/>
      </c>
      <c r="CG67" s="341" t="str">
        <f t="array" ref="CG67">IFERROR(IF($CG$11="Yes",INDEX($CB$13:$CB$2950,SMALL(IF((County=$CC$13:$CC$2950),MATCH(ROW($CC$13:$CC$2950),ROW($CC$13:$CC$2950)),""),ROWS($A$13:$A67))),""),"")</f>
        <v/>
      </c>
      <c r="CI67" s="1583">
        <v>32789</v>
      </c>
      <c r="CJ67" s="338" t="s">
        <v>338</v>
      </c>
      <c r="CL67" s="236">
        <v>2.0099999999999998</v>
      </c>
      <c r="CM67" s="236" t="s">
        <v>329</v>
      </c>
      <c r="CO67" s="236">
        <v>2104</v>
      </c>
      <c r="CP67" s="236" t="s">
        <v>319</v>
      </c>
      <c r="CR67" s="340">
        <v>2.1800000000000002</v>
      </c>
      <c r="CS67" s="340" t="s">
        <v>340</v>
      </c>
      <c r="CT67" s="1384"/>
      <c r="CU67" s="341">
        <v>33981</v>
      </c>
      <c r="CV67" s="338" t="s">
        <v>294</v>
      </c>
      <c r="CZ67" s="1795">
        <v>308.02999999999997</v>
      </c>
      <c r="DA67" s="338" t="s">
        <v>289</v>
      </c>
      <c r="DF67" s="340">
        <v>27.06</v>
      </c>
      <c r="DG67" s="340" t="s">
        <v>285</v>
      </c>
      <c r="DI67" s="341" t="str">
        <f t="array" ref="DI67">IFERROR(IF($DI$11="Metro",INDEX($CZ$13:$CZ$929,SMALL(IF((County=$DA$13:$DA$929),MATCH(ROW($DA$13:$DA$929),ROW($DA$13:$DA$929)),""),ROWS($A$13:$A67))),INDEX($DC$13:$DC$212,SMALL(IF((County=$DD$13:$DD$212),MATCH(ROW($DD$13:$DD$212),ROW($DD$13:$DD$212)),""),ROWS($A$13:$A67)))),"")</f>
        <v/>
      </c>
      <c r="DK67" s="341" t="str">
        <f t="array" ref="DK67">IFERROR(IF($DK$11="Yes",INDEX($DF$13:$DF$2838,SMALL(IF((County=$DG$13:$DG$2838),MATCH(ROW($DG$13:$DG$2838),ROW($DG$13:$DG$2838)),""),ROWS($A$13:$A67))),""),"")</f>
        <v/>
      </c>
      <c r="DM67" s="1387">
        <v>32765</v>
      </c>
      <c r="DN67" s="338" t="s">
        <v>348</v>
      </c>
      <c r="DP67" s="236">
        <v>4.1399999999999997</v>
      </c>
      <c r="DQ67" s="236" t="s">
        <v>331</v>
      </c>
      <c r="DV67" s="340">
        <v>2.1800000000000002</v>
      </c>
      <c r="DW67" s="340" t="s">
        <v>340</v>
      </c>
      <c r="DX67" s="1671"/>
      <c r="EB67" s="549" t="s">
        <v>1913</v>
      </c>
      <c r="EC67" s="553" t="str">
        <f>VLOOKUP(EB67,Data1!$A$405:$H$471,8)</f>
        <v>Medium</v>
      </c>
      <c r="ED67" s="549" t="s">
        <v>3129</v>
      </c>
      <c r="EE67" s="549" t="s">
        <v>3149</v>
      </c>
      <c r="EF67" s="556">
        <v>27.356297000000001</v>
      </c>
      <c r="EG67" s="557">
        <v>-82.542398000000006</v>
      </c>
      <c r="EH67" s="551" t="s">
        <v>635</v>
      </c>
      <c r="EI67" s="552" t="s">
        <v>634</v>
      </c>
      <c r="EJ67" s="550" t="str">
        <f t="shared" si="20"/>
        <v>Sarasota  - Amaryllis Park Place 4 - Site 2</v>
      </c>
      <c r="EK67" s="561" t="str">
        <f t="shared" si="11"/>
        <v>Family</v>
      </c>
      <c r="EL67" s="550" t="str">
        <f t="shared" si="21"/>
        <v>(27.356297, -82.542398)</v>
      </c>
      <c r="EM67" s="552" t="str">
        <f t="shared" si="22"/>
        <v>&gt;30</v>
      </c>
      <c r="EN67" s="1941">
        <f t="shared" si="14"/>
        <v>1</v>
      </c>
      <c r="EO67" t="str">
        <f t="shared" si="15"/>
        <v>Sarasota  - Amaryllis Park Place 4 - Site 2</v>
      </c>
      <c r="EP67" s="1941">
        <f t="shared" si="16"/>
        <v>4145.798229835329</v>
      </c>
      <c r="EQ67" s="1941" t="str">
        <f t="shared" si="17"/>
        <v>No</v>
      </c>
      <c r="ER67" s="1941" t="str">
        <f>VLOOKUP(EB67,Data1!$G$405:$H$471,2)</f>
        <v>Medium</v>
      </c>
      <c r="ET67" s="1941" t="str">
        <f>IF(EU67&gt;0,SUM(EU$13:EU67),"")</f>
        <v/>
      </c>
      <c r="EU67" s="1941">
        <f t="shared" si="18"/>
        <v>0</v>
      </c>
      <c r="EV67" s="1148" t="str">
        <f t="shared" si="19"/>
        <v xml:space="preserve">Sarasota  - Amaryllis Park Place 4 </v>
      </c>
    </row>
    <row r="68" spans="1:152" ht="14.65" customHeight="1">
      <c r="A68" s="339">
        <v>33328</v>
      </c>
      <c r="B68" s="338" t="s">
        <v>289</v>
      </c>
      <c r="E68" s="858"/>
      <c r="F68" s="338">
        <v>415</v>
      </c>
      <c r="G68" s="338" t="s">
        <v>289</v>
      </c>
      <c r="L68" s="2481">
        <v>27.06</v>
      </c>
      <c r="M68" s="340" t="s">
        <v>285</v>
      </c>
      <c r="N68" s="1390"/>
      <c r="O68" s="2479"/>
      <c r="P68" s="2282"/>
      <c r="R68" s="341" t="str">
        <f t="array" ref="R68">IFERROR(IF($R$11="Metro",INDEX($F$13:$F$829,SMALL(IF((County=$G$13:$G$829),MATCH(ROW($G$13:$G$829),ROW($G$13:$G$829)),""),ROWS($A$13:A68))),INDEX($I$13:$I$44,SMALL(IF((County=$J$13:$J$44),MATCH(ROW($J$13:$J$44),ROW($J$13:$J$44)),""),ROWS($A$13:A68)))),"")</f>
        <v/>
      </c>
      <c r="T68" s="341" t="str">
        <f t="array" ref="T68">IFERROR(IF($T$11="Yes",INDEX($L$13:$L$2813,SMALL(IF((County=$M$13:$M$2813),MATCH(ROW($M$13:$M$2813),ROW($M$13:$M$2813)),""),ROWS($A$13:A68))),""),"")</f>
        <v/>
      </c>
      <c r="V68" s="2283" t="str">
        <f t="array" ref="V68">IFERROR(IF($T$11="Yes",INDEX($O$14:$O$2811,SMALL(IF((County=$P$14:$P$2811),MATCH(ROW($P$14:$P$2811),ROW($P$14:$P$2811)),""),ROWS($A$13:A68))),""),"")</f>
        <v/>
      </c>
      <c r="X68" s="339">
        <v>32606</v>
      </c>
      <c r="Y68" s="338" t="s">
        <v>276</v>
      </c>
      <c r="AA68" s="338">
        <v>5.0199999999999996</v>
      </c>
      <c r="AB68" s="338" t="s">
        <v>324</v>
      </c>
      <c r="AG68" s="2297">
        <v>2.2400000000000002</v>
      </c>
      <c r="AH68" s="2297" t="s">
        <v>331</v>
      </c>
      <c r="AI68" s="1390"/>
      <c r="AJ68" s="2282"/>
      <c r="AK68" s="2282"/>
      <c r="AL68" s="1037"/>
      <c r="AM68" s="339">
        <v>34105</v>
      </c>
      <c r="AN68" s="338" t="s">
        <v>297</v>
      </c>
      <c r="AQ68" s="858"/>
      <c r="AR68" s="338">
        <v>416.01</v>
      </c>
      <c r="AS68" s="338" t="s">
        <v>289</v>
      </c>
      <c r="AX68" s="340">
        <v>27.09</v>
      </c>
      <c r="AY68" s="340" t="s">
        <v>285</v>
      </c>
      <c r="BA68" s="341" t="str">
        <f t="array" ref="BA68">IFERROR(IF($BA$11="Metro",INDEX($AR$13:$AR$814,SMALL(IF((County=$AS$13:$AS$814),MATCH(ROW($AS$13:$AS$814),ROW($AS$13:$AS$814)),""),ROWS($A$13:$A68))),INDEX($AU$13:$AU$48,SMALL(IF((County=$AV$13:$AV$48),MATCH(ROW($AV$13:$AV$48),ROW($AV$13:$AV$48)),""),ROWS($A$13:$A68)))),"")</f>
        <v/>
      </c>
      <c r="BC68" s="341" t="str">
        <f t="array" ref="BC68">IFERROR(IF($BC$11="Yes",INDEX($AX$13:$AX$2950,SMALL(IF((County=$AY$13:$AY$2950),MATCH(ROW($AY$13:$AY$2950),ROW($AY$13:$AY$2950)),""),ROWS($A$13:$A68))),""),"")</f>
        <v/>
      </c>
      <c r="BE68" s="339">
        <v>32801</v>
      </c>
      <c r="BF68" s="338" t="s">
        <v>338</v>
      </c>
      <c r="BH68" s="338">
        <v>4.0199999999999996</v>
      </c>
      <c r="BI68" s="338" t="s">
        <v>316</v>
      </c>
      <c r="BN68" s="340">
        <v>2.16</v>
      </c>
      <c r="BO68" s="340" t="s">
        <v>331</v>
      </c>
      <c r="BP68" s="1385"/>
      <c r="BQ68" s="341">
        <v>33946</v>
      </c>
      <c r="BR68" s="338" t="s">
        <v>294</v>
      </c>
      <c r="BU68" s="858"/>
      <c r="BV68" s="338">
        <v>22.21</v>
      </c>
      <c r="BW68" s="338" t="s">
        <v>276</v>
      </c>
      <c r="BY68" s="236">
        <v>9900</v>
      </c>
      <c r="BZ68" s="236" t="s">
        <v>310</v>
      </c>
      <c r="CB68" s="340">
        <v>27.06</v>
      </c>
      <c r="CC68" s="340" t="s">
        <v>285</v>
      </c>
      <c r="CE68" s="341" t="str">
        <f t="array" ref="CE68">IFERROR(IF($CE$11="Metro",INDEX($BV$13:$BV$4972,SMALL(IF((County=$BW$13:$BW$4972),MATCH(ROW($BW$13:$BW$4972),ROW($BW$13:$BW$4972)),""),ROWS($A$13:$A68))),INDEX($BY$13:$BY$212,SMALL(IF((County=$BZ$13:$BZ$212),MATCH(ROW($BZ$13:$BZ$212),ROW($BZ$13:$BZ$212)),""),ROWS($A$13:$A68)))),"")</f>
        <v/>
      </c>
      <c r="CG68" s="341" t="str">
        <f t="array" ref="CG68">IFERROR(IF($CG$11="Yes",INDEX($CB$13:$CB$2950,SMALL(IF((County=$CC$13:$CC$2950),MATCH(ROW($CC$13:$CC$2950),ROW($CC$13:$CC$2950)),""),ROWS($A$13:$A68))),""),"")</f>
        <v/>
      </c>
      <c r="CI68" s="1583">
        <v>32792</v>
      </c>
      <c r="CJ68" s="338" t="s">
        <v>338</v>
      </c>
      <c r="CL68" s="338">
        <v>2.02</v>
      </c>
      <c r="CM68" s="338" t="s">
        <v>276</v>
      </c>
      <c r="CO68" s="236">
        <v>2105</v>
      </c>
      <c r="CP68" s="236" t="s">
        <v>319</v>
      </c>
      <c r="CR68" s="340">
        <v>2.19</v>
      </c>
      <c r="CS68" s="340" t="s">
        <v>340</v>
      </c>
      <c r="CT68" s="1384"/>
      <c r="CU68" s="341">
        <v>33990</v>
      </c>
      <c r="CV68" s="338" t="s">
        <v>294</v>
      </c>
      <c r="CZ68" s="1795">
        <v>308.04000000000002</v>
      </c>
      <c r="DA68" s="338" t="s">
        <v>289</v>
      </c>
      <c r="DF68" s="340">
        <v>27.07</v>
      </c>
      <c r="DG68" s="340" t="s">
        <v>285</v>
      </c>
      <c r="DI68" s="341" t="str">
        <f t="array" ref="DI68">IFERROR(IF($DI$11="Metro",INDEX($CZ$13:$CZ$929,SMALL(IF((County=$DA$13:$DA$929),MATCH(ROW($DA$13:$DA$929),ROW($DA$13:$DA$929)),""),ROWS($A$13:$A68))),INDEX($DC$13:$DC$212,SMALL(IF((County=$DD$13:$DD$212),MATCH(ROW($DD$13:$DD$212),ROW($DD$13:$DD$212)),""),ROWS($A$13:$A68)))),"")</f>
        <v/>
      </c>
      <c r="DK68" s="341" t="str">
        <f t="array" ref="DK68">IFERROR(IF($DK$11="Yes",INDEX($DF$13:$DF$2838,SMALL(IF((County=$DG$13:$DG$2838),MATCH(ROW($DG$13:$DG$2838),ROW($DG$13:$DG$2838)),""),ROWS($A$13:$A68))),""),"")</f>
        <v/>
      </c>
      <c r="DM68" s="1387">
        <v>32766</v>
      </c>
      <c r="DN68" s="338" t="s">
        <v>348</v>
      </c>
      <c r="DP68" s="236">
        <v>4.16</v>
      </c>
      <c r="DQ68" s="236" t="s">
        <v>331</v>
      </c>
      <c r="DV68" s="340">
        <v>2.19</v>
      </c>
      <c r="DW68" s="340" t="s">
        <v>340</v>
      </c>
      <c r="DX68" s="1671"/>
      <c r="EB68" s="549" t="s">
        <v>1913</v>
      </c>
      <c r="EC68" s="553" t="str">
        <f>VLOOKUP(EB68,Data1!$A$405:$H$471,8)</f>
        <v>Medium</v>
      </c>
      <c r="ED68" s="549" t="s">
        <v>3130</v>
      </c>
      <c r="EE68" s="549" t="s">
        <v>3131</v>
      </c>
      <c r="EF68" s="550">
        <v>27.042728</v>
      </c>
      <c r="EG68" s="550">
        <v>-82.217031000000006</v>
      </c>
      <c r="EH68" s="553" t="s">
        <v>635</v>
      </c>
      <c r="EI68" s="552" t="s">
        <v>634</v>
      </c>
      <c r="EJ68" s="550" t="str">
        <f t="shared" si="20"/>
        <v>Sarasota  - Spring Meadows</v>
      </c>
      <c r="EK68" s="561" t="str">
        <f t="shared" si="11"/>
        <v>Family</v>
      </c>
      <c r="EL68" s="550" t="str">
        <f t="shared" si="21"/>
        <v>(27.042728, -82.217031)</v>
      </c>
      <c r="EM68" s="552" t="str">
        <f t="shared" si="22"/>
        <v>&gt;30</v>
      </c>
      <c r="EN68" s="1941" t="str">
        <f t="shared" si="14"/>
        <v/>
      </c>
      <c r="EO68" t="str">
        <f t="shared" si="15"/>
        <v>Sarasota  - Spring Meadows</v>
      </c>
      <c r="EP68" s="1941">
        <f t="shared" si="16"/>
        <v>4135.6429405729905</v>
      </c>
      <c r="EQ68" s="1941" t="str">
        <f t="shared" si="17"/>
        <v>No</v>
      </c>
      <c r="ER68" s="1941" t="str">
        <f>VLOOKUP(EB68,Data1!$G$405:$H$471,2)</f>
        <v>Medium</v>
      </c>
      <c r="ET68" s="1941" t="str">
        <f>IF(EU68&gt;0,SUM(EU$13:EU68),"")</f>
        <v/>
      </c>
      <c r="EU68" s="1941">
        <f t="shared" si="18"/>
        <v>0</v>
      </c>
      <c r="EV68" s="1148" t="str">
        <f t="shared" si="19"/>
        <v>Sarasota  - Spring Meadows</v>
      </c>
    </row>
    <row r="69" spans="1:152" ht="14.65" customHeight="1">
      <c r="A69" s="339">
        <v>33330</v>
      </c>
      <c r="B69" s="338" t="s">
        <v>289</v>
      </c>
      <c r="E69" s="858"/>
      <c r="F69" s="338">
        <v>416.01</v>
      </c>
      <c r="G69" s="338" t="s">
        <v>289</v>
      </c>
      <c r="L69" s="2481">
        <v>27.07</v>
      </c>
      <c r="M69" s="340" t="s">
        <v>285</v>
      </c>
      <c r="N69" s="1390"/>
      <c r="O69" s="2479"/>
      <c r="P69" s="2282"/>
      <c r="R69" s="341" t="str">
        <f t="array" ref="R69">IFERROR(IF($R$11="Metro",INDEX($F$13:$F$829,SMALL(IF((County=$G$13:$G$829),MATCH(ROW($G$13:$G$829),ROW($G$13:$G$829)),""),ROWS($A$13:A69))),INDEX($I$13:$I$44,SMALL(IF((County=$J$13:$J$44),MATCH(ROW($J$13:$J$44),ROW($J$13:$J$44)),""),ROWS($A$13:A69)))),"")</f>
        <v/>
      </c>
      <c r="T69" s="341" t="str">
        <f t="array" ref="T69">IFERROR(IF($T$11="Yes",INDEX($L$13:$L$2813,SMALL(IF((County=$M$13:$M$2813),MATCH(ROW($M$13:$M$2813),ROW($M$13:$M$2813)),""),ROWS($A$13:A69))),""),"")</f>
        <v/>
      </c>
      <c r="V69" s="2283" t="str">
        <f t="array" ref="V69">IFERROR(IF($T$11="Yes",INDEX($O$14:$O$2811,SMALL(IF((County=$P$14:$P$2811),MATCH(ROW($P$14:$P$2811),ROW($P$14:$P$2811)),""),ROWS($A$13:A69))),""),"")</f>
        <v/>
      </c>
      <c r="X69" s="339">
        <v>32669</v>
      </c>
      <c r="Y69" s="338" t="s">
        <v>325</v>
      </c>
      <c r="AA69" s="338">
        <v>5.03</v>
      </c>
      <c r="AB69" s="338" t="s">
        <v>347</v>
      </c>
      <c r="AG69" s="2297">
        <v>2.25</v>
      </c>
      <c r="AH69" s="2297" t="s">
        <v>331</v>
      </c>
      <c r="AI69" s="1390"/>
      <c r="AJ69" s="2282"/>
      <c r="AK69" s="2282"/>
      <c r="AL69" s="1037"/>
      <c r="AM69" s="339">
        <v>34108</v>
      </c>
      <c r="AN69" s="338" t="s">
        <v>297</v>
      </c>
      <c r="AQ69" s="858"/>
      <c r="AR69" s="338">
        <v>416.02</v>
      </c>
      <c r="AS69" s="338" t="s">
        <v>289</v>
      </c>
      <c r="AX69" s="340">
        <v>27.1</v>
      </c>
      <c r="AY69" s="340" t="s">
        <v>285</v>
      </c>
      <c r="BA69" s="341" t="str">
        <f t="array" ref="BA69">IFERROR(IF($BA$11="Metro",INDEX($AR$13:$AR$814,SMALL(IF((County=$AS$13:$AS$814),MATCH(ROW($AS$13:$AS$814),ROW($AS$13:$AS$814)),""),ROWS($A$13:$A69))),INDEX($AU$13:$AU$48,SMALL(IF((County=$AV$13:$AV$48),MATCH(ROW($AV$13:$AV$48),ROW($AV$13:$AV$48)),""),ROWS($A$13:$A69)))),"")</f>
        <v/>
      </c>
      <c r="BC69" s="341" t="str">
        <f t="array" ref="BC69">IFERROR(IF($BC$11="Yes",INDEX($AX$13:$AX$2950,SMALL(IF((County=$AY$13:$AY$2950),MATCH(ROW($AY$13:$AY$2950),ROW($AY$13:$AY$2950)),""),ROWS($A$13:$A69))),""),"")</f>
        <v/>
      </c>
      <c r="BE69" s="339">
        <v>32803</v>
      </c>
      <c r="BF69" s="338" t="s">
        <v>338</v>
      </c>
      <c r="BH69" s="338">
        <v>4.0199999999999996</v>
      </c>
      <c r="BI69" s="338" t="s">
        <v>329</v>
      </c>
      <c r="BN69" s="340">
        <v>2.16</v>
      </c>
      <c r="BO69" s="340" t="s">
        <v>340</v>
      </c>
      <c r="BP69" s="1385"/>
      <c r="BQ69" s="341">
        <v>33947</v>
      </c>
      <c r="BR69" s="338" t="s">
        <v>294</v>
      </c>
      <c r="BU69" s="858"/>
      <c r="BV69" s="338">
        <v>22.22</v>
      </c>
      <c r="BW69" s="338" t="s">
        <v>276</v>
      </c>
      <c r="BY69" s="236">
        <v>9601.01</v>
      </c>
      <c r="BZ69" s="236" t="s">
        <v>311</v>
      </c>
      <c r="CB69" s="340">
        <v>27.07</v>
      </c>
      <c r="CC69" s="340" t="s">
        <v>285</v>
      </c>
      <c r="CE69" s="341" t="str">
        <f t="array" ref="CE69">IFERROR(IF($CE$11="Metro",INDEX($BV$13:$BV$4972,SMALL(IF((County=$BW$13:$BW$4972),MATCH(ROW($BW$13:$BW$4972),ROW($BW$13:$BW$4972)),""),ROWS($A$13:$A69))),INDEX($BY$13:$BY$212,SMALL(IF((County=$BZ$13:$BZ$212),MATCH(ROW($BZ$13:$BZ$212),ROW($BZ$13:$BZ$212)),""),ROWS($A$13:$A69)))),"")</f>
        <v/>
      </c>
      <c r="CG69" s="341" t="str">
        <f t="array" ref="CG69">IFERROR(IF($CG$11="Yes",INDEX($CB$13:$CB$2950,SMALL(IF((County=$CC$13:$CC$2950),MATCH(ROW($CC$13:$CC$2950),ROW($CC$13:$CC$2950)),""),ROWS($A$13:$A69))),""),"")</f>
        <v/>
      </c>
      <c r="CI69" s="1583">
        <v>32801</v>
      </c>
      <c r="CJ69" s="338" t="s">
        <v>338</v>
      </c>
      <c r="CL69" s="236">
        <v>2.02</v>
      </c>
      <c r="CM69" s="236" t="s">
        <v>316</v>
      </c>
      <c r="CO69" s="236">
        <v>2106</v>
      </c>
      <c r="CP69" s="236" t="s">
        <v>319</v>
      </c>
      <c r="CR69" s="340">
        <v>2.2000000000000002</v>
      </c>
      <c r="CS69" s="340" t="s">
        <v>340</v>
      </c>
      <c r="CT69" s="1384"/>
      <c r="CU69" s="341">
        <v>34434</v>
      </c>
      <c r="CV69" s="338" t="s">
        <v>295</v>
      </c>
      <c r="CZ69" s="1795">
        <v>310.01</v>
      </c>
      <c r="DA69" s="338" t="s">
        <v>289</v>
      </c>
      <c r="DF69" s="340">
        <v>27.09</v>
      </c>
      <c r="DG69" s="340" t="s">
        <v>285</v>
      </c>
      <c r="DI69" s="341" t="str">
        <f t="array" ref="DI69">IFERROR(IF($DI$11="Metro",INDEX($CZ$13:$CZ$929,SMALL(IF((County=$DA$13:$DA$929),MATCH(ROW($DA$13:$DA$929),ROW($DA$13:$DA$929)),""),ROWS($A$13:$A69))),INDEX($DC$13:$DC$212,SMALL(IF((County=$DD$13:$DD$212),MATCH(ROW($DD$13:$DD$212),ROW($DD$13:$DD$212)),""),ROWS($A$13:$A69)))),"")</f>
        <v/>
      </c>
      <c r="DK69" s="341" t="str">
        <f t="array" ref="DK69">IFERROR(IF($DK$11="Yes",INDEX($DF$13:$DF$2838,SMALL(IF((County=$DG$13:$DG$2838),MATCH(ROW($DG$13:$DG$2838),ROW($DG$13:$DG$2838)),""),ROWS($A$13:$A69))),""),"")</f>
        <v/>
      </c>
      <c r="DM69" s="1387">
        <v>32779</v>
      </c>
      <c r="DN69" s="338" t="s">
        <v>348</v>
      </c>
      <c r="DP69" s="236">
        <v>4.17</v>
      </c>
      <c r="DQ69" s="236" t="s">
        <v>331</v>
      </c>
      <c r="DV69" s="340">
        <v>2.2000000000000002</v>
      </c>
      <c r="DW69" s="340" t="s">
        <v>340</v>
      </c>
      <c r="DX69" s="1671"/>
      <c r="EB69" s="549" t="s">
        <v>348</v>
      </c>
      <c r="EC69" s="553" t="str">
        <f>VLOOKUP(EB69,Data1!$A$405:$H$471,8)</f>
        <v>Medium</v>
      </c>
      <c r="ED69" s="549" t="s">
        <v>2355</v>
      </c>
      <c r="EE69" s="549" t="s">
        <v>2356</v>
      </c>
      <c r="EF69" s="549">
        <v>28.787856000000001</v>
      </c>
      <c r="EG69" s="549">
        <v>-81.220033000000001</v>
      </c>
      <c r="EH69" s="553" t="s">
        <v>635</v>
      </c>
      <c r="EI69" s="553" t="s">
        <v>634</v>
      </c>
      <c r="EJ69" s="550" t="str">
        <f t="shared" si="20"/>
        <v>Seminole - Riverbend Landings</v>
      </c>
      <c r="EK69" s="561" t="str">
        <f t="shared" si="11"/>
        <v>Family</v>
      </c>
      <c r="EL69" s="550" t="str">
        <f t="shared" si="21"/>
        <v>(28.787856, -81.220033)</v>
      </c>
      <c r="EM69" s="552" t="str">
        <f t="shared" si="22"/>
        <v>&gt;30</v>
      </c>
      <c r="EN69" s="1941" t="str">
        <f t="shared" si="14"/>
        <v/>
      </c>
      <c r="EO69" t="str">
        <f t="shared" si="15"/>
        <v>Seminole - Riverbend Landings</v>
      </c>
      <c r="EP69" s="1941">
        <f t="shared" si="16"/>
        <v>4136.8587350077696</v>
      </c>
      <c r="EQ69" s="1941" t="str">
        <f t="shared" si="17"/>
        <v>No</v>
      </c>
      <c r="ER69" s="1941" t="str">
        <f>VLOOKUP(EB69,Data1!$G$405:$H$471,2)</f>
        <v>Medium</v>
      </c>
      <c r="ET69" s="1941" t="str">
        <f>IF(EU69&gt;0,SUM(EU$13:EU69),"")</f>
        <v/>
      </c>
      <c r="EU69" s="1941">
        <f t="shared" si="18"/>
        <v>0</v>
      </c>
      <c r="EV69" s="1148" t="str">
        <f t="shared" si="19"/>
        <v>Seminole - Riverbend Landings</v>
      </c>
    </row>
    <row r="70" spans="1:152" ht="14.65" customHeight="1">
      <c r="A70" s="339">
        <v>33331</v>
      </c>
      <c r="B70" s="338" t="s">
        <v>289</v>
      </c>
      <c r="E70" s="858"/>
      <c r="F70" s="338">
        <v>417</v>
      </c>
      <c r="G70" s="338" t="s">
        <v>289</v>
      </c>
      <c r="L70" s="2481">
        <v>27.1</v>
      </c>
      <c r="M70" s="340" t="s">
        <v>285</v>
      </c>
      <c r="N70" s="1390"/>
      <c r="O70" s="2479"/>
      <c r="P70" s="2282"/>
      <c r="R70" s="341" t="str">
        <f t="array" ref="R70">IFERROR(IF($R$11="Metro",INDEX($F$13:$F$829,SMALL(IF((County=$G$13:$G$829),MATCH(ROW($G$13:$G$829),ROW($G$13:$G$829)),""),ROWS($A$13:A70))),INDEX($I$13:$I$44,SMALL(IF((County=$J$13:$J$44),MATCH(ROW($J$13:$J$44),ROW($J$13:$J$44)),""),ROWS($A$13:A70)))),"")</f>
        <v/>
      </c>
      <c r="T70" s="341" t="str">
        <f t="array" ref="T70">IFERROR(IF($T$11="Yes",INDEX($L$13:$L$2813,SMALL(IF((County=$M$13:$M$2813),MATCH(ROW($M$13:$M$2813),ROW($M$13:$M$2813)),""),ROWS($A$13:A70))),""),"")</f>
        <v/>
      </c>
      <c r="V70" s="2283" t="str">
        <f t="array" ref="V70">IFERROR(IF($T$11="Yes",INDEX($O$14:$O$2811,SMALL(IF((County=$P$14:$P$2811),MATCH(ROW($P$14:$P$2811),ROW($P$14:$P$2811)),""),ROWS($A$13:A70))),""),"")</f>
        <v/>
      </c>
      <c r="X70" s="339">
        <v>32708</v>
      </c>
      <c r="Y70" s="338" t="s">
        <v>348</v>
      </c>
      <c r="AA70" s="338">
        <v>5.04</v>
      </c>
      <c r="AB70" s="338" t="s">
        <v>323</v>
      </c>
      <c r="AG70" s="2297">
        <v>3</v>
      </c>
      <c r="AH70" s="2297" t="s">
        <v>304</v>
      </c>
      <c r="AI70" s="1390"/>
      <c r="AJ70" s="2282"/>
      <c r="AK70" s="2282"/>
      <c r="AL70" s="1037"/>
      <c r="AM70" s="339">
        <v>34109</v>
      </c>
      <c r="AN70" s="338" t="s">
        <v>297</v>
      </c>
      <c r="AQ70" s="858"/>
      <c r="AR70" s="338">
        <v>417</v>
      </c>
      <c r="AS70" s="338" t="s">
        <v>289</v>
      </c>
      <c r="AX70" s="340">
        <v>27.11</v>
      </c>
      <c r="AY70" s="340" t="s">
        <v>285</v>
      </c>
      <c r="BA70" s="341" t="str">
        <f t="array" ref="BA70">IFERROR(IF($BA$11="Metro",INDEX($AR$13:$AR$814,SMALL(IF((County=$AS$13:$AS$814),MATCH(ROW($AS$13:$AS$814),ROW($AS$13:$AS$814)),""),ROWS($A$13:$A70))),INDEX($AU$13:$AU$48,SMALL(IF((County=$AV$13:$AV$48),MATCH(ROW($AV$13:$AV$48),ROW($AV$13:$AV$48)),""),ROWS($A$13:$A70)))),"")</f>
        <v/>
      </c>
      <c r="BC70" s="341" t="str">
        <f t="array" ref="BC70">IFERROR(IF($BC$11="Yes",INDEX($AX$13:$AX$2950,SMALL(IF((County=$AY$13:$AY$2950),MATCH(ROW($AY$13:$AY$2950),ROW($AY$13:$AY$2950)),""),ROWS($A$13:$A70))),""),"")</f>
        <v/>
      </c>
      <c r="BE70" s="339">
        <v>32804</v>
      </c>
      <c r="BF70" s="338" t="s">
        <v>338</v>
      </c>
      <c r="BH70" s="338">
        <v>4.0199999999999996</v>
      </c>
      <c r="BI70" s="338" t="s">
        <v>331</v>
      </c>
      <c r="BN70" s="340">
        <v>2.17</v>
      </c>
      <c r="BO70" s="340" t="s">
        <v>340</v>
      </c>
      <c r="BP70" s="1385"/>
      <c r="BQ70" s="341">
        <v>33953</v>
      </c>
      <c r="BR70" s="338" t="s">
        <v>294</v>
      </c>
      <c r="BU70" s="858"/>
      <c r="BV70" s="338">
        <v>1108</v>
      </c>
      <c r="BW70" s="338" t="s">
        <v>276</v>
      </c>
      <c r="BY70" s="236">
        <v>9601.02</v>
      </c>
      <c r="BZ70" s="236" t="s">
        <v>311</v>
      </c>
      <c r="CB70" s="340">
        <v>27.08</v>
      </c>
      <c r="CC70" s="340" t="s">
        <v>285</v>
      </c>
      <c r="CE70" s="341" t="str">
        <f t="array" ref="CE70">IFERROR(IF($CE$11="Metro",INDEX($BV$13:$BV$4972,SMALL(IF((County=$BW$13:$BW$4972),MATCH(ROW($BW$13:$BW$4972),ROW($BW$13:$BW$4972)),""),ROWS($A$13:$A70))),INDEX($BY$13:$BY$212,SMALL(IF((County=$BZ$13:$BZ$212),MATCH(ROW($BZ$13:$BZ$212),ROW($BZ$13:$BZ$212)),""),ROWS($A$13:$A70)))),"")</f>
        <v/>
      </c>
      <c r="CG70" s="341" t="str">
        <f t="array" ref="CG70">IFERROR(IF($CG$11="Yes",INDEX($CB$13:$CB$2950,SMALL(IF((County=$CC$13:$CC$2950),MATCH(ROW($CC$13:$CC$2950),ROW($CC$13:$CC$2950)),""),ROWS($A$13:$A70))),""),"")</f>
        <v/>
      </c>
      <c r="CI70" s="1583">
        <v>32803</v>
      </c>
      <c r="CJ70" s="338" t="s">
        <v>338</v>
      </c>
      <c r="CL70" s="236">
        <v>2.02</v>
      </c>
      <c r="CM70" s="236" t="s">
        <v>329</v>
      </c>
      <c r="CO70" s="236">
        <v>2107</v>
      </c>
      <c r="CP70" s="236" t="s">
        <v>319</v>
      </c>
      <c r="CR70" s="340">
        <v>2.21</v>
      </c>
      <c r="CS70" s="340" t="s">
        <v>331</v>
      </c>
      <c r="CT70" s="1384"/>
      <c r="CU70" s="341">
        <v>32003</v>
      </c>
      <c r="CV70" s="338" t="s">
        <v>296</v>
      </c>
      <c r="CZ70" s="1795">
        <v>410</v>
      </c>
      <c r="DA70" s="338" t="s">
        <v>289</v>
      </c>
      <c r="DF70" s="340">
        <v>27.1</v>
      </c>
      <c r="DG70" s="340" t="s">
        <v>285</v>
      </c>
      <c r="DI70" s="341" t="str">
        <f t="array" ref="DI70">IFERROR(IF($DI$11="Metro",INDEX($CZ$13:$CZ$929,SMALL(IF((County=$DA$13:$DA$929),MATCH(ROW($DA$13:$DA$929),ROW($DA$13:$DA$929)),""),ROWS($A$13:$A70))),INDEX($DC$13:$DC$212,SMALL(IF((County=$DD$13:$DD$212),MATCH(ROW($DD$13:$DD$212),ROW($DD$13:$DD$212)),""),ROWS($A$13:$A70)))),"")</f>
        <v/>
      </c>
      <c r="DK70" s="341" t="str">
        <f t="array" ref="DK70">IFERROR(IF($DK$11="Yes",INDEX($DF$13:$DF$2838,SMALL(IF((County=$DG$13:$DG$2838),MATCH(ROW($DG$13:$DG$2838),ROW($DG$13:$DG$2838)),""),ROWS($A$13:$A70))),""),"")</f>
        <v/>
      </c>
      <c r="DM70" s="1387">
        <v>32789</v>
      </c>
      <c r="DN70" s="338" t="s">
        <v>338</v>
      </c>
      <c r="DP70" s="236">
        <v>4.18</v>
      </c>
      <c r="DQ70" s="236" t="s">
        <v>331</v>
      </c>
      <c r="DV70" s="340">
        <v>2.21</v>
      </c>
      <c r="DW70" s="340" t="s">
        <v>340</v>
      </c>
      <c r="DX70" s="1671"/>
      <c r="EB70" s="549" t="s">
        <v>348</v>
      </c>
      <c r="EC70" s="553" t="str">
        <f>VLOOKUP(EB70,Data1!$A$405:$H$471,8)</f>
        <v>Medium</v>
      </c>
      <c r="ED70" s="549" t="s">
        <v>2357</v>
      </c>
      <c r="EE70" s="549" t="s">
        <v>2358</v>
      </c>
      <c r="EF70" s="550">
        <v>28.787465999999998</v>
      </c>
      <c r="EG70" s="550">
        <v>-81.221860000000007</v>
      </c>
      <c r="EH70" s="551" t="s">
        <v>635</v>
      </c>
      <c r="EI70" s="552" t="s">
        <v>634</v>
      </c>
      <c r="EJ70" s="550" t="str">
        <f t="shared" si="20"/>
        <v>Seminole - Riverbend Landings - Phase II</v>
      </c>
      <c r="EK70" s="561" t="str">
        <f t="shared" si="11"/>
        <v>Family</v>
      </c>
      <c r="EL70" s="550" t="str">
        <f t="shared" si="21"/>
        <v>(28.787466, -81.22186)</v>
      </c>
      <c r="EM70" s="552" t="str">
        <f t="shared" si="22"/>
        <v>&gt;30</v>
      </c>
      <c r="EN70" s="1941" t="str">
        <f t="shared" si="14"/>
        <v/>
      </c>
      <c r="EO70" t="str">
        <f t="shared" si="15"/>
        <v>Seminole - Riverbend Landings - Phase II</v>
      </c>
      <c r="EP70" s="1941">
        <f t="shared" si="16"/>
        <v>4136.8903331590627</v>
      </c>
      <c r="EQ70" s="1941" t="str">
        <f t="shared" si="17"/>
        <v>No</v>
      </c>
      <c r="ER70" s="1941" t="str">
        <f>VLOOKUP(EB70,Data1!$G$405:$H$471,2)</f>
        <v>Medium</v>
      </c>
      <c r="ET70" s="1941" t="str">
        <f>IF(EU70&gt;0,SUM(EU$13:EU70),"")</f>
        <v/>
      </c>
      <c r="EU70" s="1941">
        <f t="shared" si="18"/>
        <v>0</v>
      </c>
      <c r="EV70" s="1148" t="str">
        <f t="shared" si="19"/>
        <v>Seminole - Riverbend Landings - Phase II</v>
      </c>
    </row>
    <row r="71" spans="1:152" ht="14.65" customHeight="1">
      <c r="A71" s="339">
        <v>33332</v>
      </c>
      <c r="B71" s="338" t="s">
        <v>289</v>
      </c>
      <c r="E71" s="858"/>
      <c r="F71" s="338">
        <v>427</v>
      </c>
      <c r="G71" s="338" t="s">
        <v>289</v>
      </c>
      <c r="L71" s="2481">
        <v>27.11</v>
      </c>
      <c r="M71" s="340" t="s">
        <v>285</v>
      </c>
      <c r="N71" s="1390"/>
      <c r="O71" s="2479"/>
      <c r="P71" s="2282"/>
      <c r="R71" s="341" t="str">
        <f t="array" ref="R71">IFERROR(IF($R$11="Metro",INDEX($F$13:$F$829,SMALL(IF((County=$G$13:$G$829),MATCH(ROW($G$13:$G$829),ROW($G$13:$G$829)),""),ROWS($A$13:A71))),INDEX($I$13:$I$44,SMALL(IF((County=$J$13:$J$44),MATCH(ROW($J$13:$J$44),ROW($J$13:$J$44)),""),ROWS($A$13:A71)))),"")</f>
        <v/>
      </c>
      <c r="T71" s="341" t="str">
        <f t="array" ref="T71">IFERROR(IF($T$11="Yes",INDEX($L$13:$L$2813,SMALL(IF((County=$M$13:$M$2813),MATCH(ROW($M$13:$M$2813),ROW($M$13:$M$2813)),""),ROWS($A$13:A71))),""),"")</f>
        <v/>
      </c>
      <c r="V71" s="2283" t="str">
        <f t="array" ref="V71">IFERROR(IF($T$11="Yes",INDEX($O$14:$O$2811,SMALL(IF((County=$P$14:$P$2811),MATCH(ROW($P$14:$P$2811),ROW($P$14:$P$2811)),""),ROWS($A$13:A71))),""),"")</f>
        <v/>
      </c>
      <c r="X71" s="339">
        <v>32712</v>
      </c>
      <c r="Y71" s="338" t="s">
        <v>338</v>
      </c>
      <c r="AA71" s="338">
        <v>5.04</v>
      </c>
      <c r="AB71" s="338" t="s">
        <v>331</v>
      </c>
      <c r="AG71" s="2297">
        <v>3</v>
      </c>
      <c r="AH71" s="2297" t="s">
        <v>313</v>
      </c>
      <c r="AI71" s="1390"/>
      <c r="AJ71" s="2282"/>
      <c r="AK71" s="2282"/>
      <c r="AL71" s="1037"/>
      <c r="AM71" s="339">
        <v>34110</v>
      </c>
      <c r="AN71" s="338" t="s">
        <v>297</v>
      </c>
      <c r="AQ71" s="858"/>
      <c r="AR71" s="338">
        <v>427</v>
      </c>
      <c r="AS71" s="338" t="s">
        <v>289</v>
      </c>
      <c r="AX71" s="340">
        <v>27.12</v>
      </c>
      <c r="AY71" s="340" t="s">
        <v>285</v>
      </c>
      <c r="BA71" s="341" t="str">
        <f t="array" ref="BA71">IFERROR(IF($BA$11="Metro",INDEX($AR$13:$AR$814,SMALL(IF((County=$AS$13:$AS$814),MATCH(ROW($AS$13:$AS$814),ROW($AS$13:$AS$814)),""),ROWS($A$13:$A71))),INDEX($AU$13:$AU$48,SMALL(IF((County=$AV$13:$AV$48),MATCH(ROW($AV$13:$AV$48),ROW($AV$13:$AV$48)),""),ROWS($A$13:$A71)))),"")</f>
        <v/>
      </c>
      <c r="BC71" s="341" t="str">
        <f t="array" ref="BC71">IFERROR(IF($BC$11="Yes",INDEX($AX$13:$AX$2950,SMALL(IF((County=$AY$13:$AY$2950),MATCH(ROW($AY$13:$AY$2950),ROW($AY$13:$AY$2950)),""),ROWS($A$13:$A71))),""),"")</f>
        <v/>
      </c>
      <c r="BE71" s="339">
        <v>32806</v>
      </c>
      <c r="BF71" s="338" t="s">
        <v>338</v>
      </c>
      <c r="BH71" s="338">
        <v>4.08</v>
      </c>
      <c r="BI71" s="338" t="s">
        <v>331</v>
      </c>
      <c r="BN71" s="340">
        <v>2.1800000000000002</v>
      </c>
      <c r="BO71" s="340" t="s">
        <v>340</v>
      </c>
      <c r="BP71" s="1385"/>
      <c r="BQ71" s="341">
        <v>33954</v>
      </c>
      <c r="BR71" s="338" t="s">
        <v>294</v>
      </c>
      <c r="BU71" s="858"/>
      <c r="BV71" s="338">
        <v>401.01</v>
      </c>
      <c r="BW71" s="338" t="s">
        <v>281</v>
      </c>
      <c r="BY71" s="236">
        <v>9601.0300000000007</v>
      </c>
      <c r="BZ71" s="236" t="s">
        <v>311</v>
      </c>
      <c r="CB71" s="340">
        <v>27.09</v>
      </c>
      <c r="CC71" s="340" t="s">
        <v>285</v>
      </c>
      <c r="CE71" s="341" t="str">
        <f t="array" ref="CE71">IFERROR(IF($CE$11="Metro",INDEX($BV$13:$BV$4972,SMALL(IF((County=$BW$13:$BW$4972),MATCH(ROW($BW$13:$BW$4972),ROW($BW$13:$BW$4972)),""),ROWS($A$13:$A71))),INDEX($BY$13:$BY$212,SMALL(IF((County=$BZ$13:$BZ$212),MATCH(ROW($BZ$13:$BZ$212),ROW($BZ$13:$BZ$212)),""),ROWS($A$13:$A71)))),"")</f>
        <v/>
      </c>
      <c r="CG71" s="341" t="str">
        <f t="array" ref="CG71">IFERROR(IF($CG$11="Yes",INDEX($CB$13:$CB$2950,SMALL(IF((County=$CC$13:$CC$2950),MATCH(ROW($CC$13:$CC$2950),ROW($CC$13:$CC$2950)),""),ROWS($A$13:$A71))),""),"")</f>
        <v/>
      </c>
      <c r="CI71" s="1583">
        <v>32805</v>
      </c>
      <c r="CJ71" s="338" t="s">
        <v>338</v>
      </c>
      <c r="CL71" s="236">
        <v>2.02</v>
      </c>
      <c r="CM71" s="236" t="s">
        <v>340</v>
      </c>
      <c r="CO71" s="236">
        <v>2108</v>
      </c>
      <c r="CP71" s="236" t="s">
        <v>319</v>
      </c>
      <c r="CR71" s="340">
        <v>2.21</v>
      </c>
      <c r="CS71" s="340" t="s">
        <v>340</v>
      </c>
      <c r="CT71" s="1384"/>
      <c r="CU71" s="341">
        <v>32079</v>
      </c>
      <c r="CV71" s="338" t="s">
        <v>296</v>
      </c>
      <c r="CZ71" s="1795">
        <v>411</v>
      </c>
      <c r="DA71" s="338" t="s">
        <v>289</v>
      </c>
      <c r="DF71" s="340">
        <v>27.11</v>
      </c>
      <c r="DG71" s="340" t="s">
        <v>285</v>
      </c>
      <c r="DI71" s="341" t="str">
        <f t="array" ref="DI71">IFERROR(IF($DI$11="Metro",INDEX($CZ$13:$CZ$929,SMALL(IF((County=$DA$13:$DA$929),MATCH(ROW($DA$13:$DA$929),ROW($DA$13:$DA$929)),""),ROWS($A$13:$A71))),INDEX($DC$13:$DC$212,SMALL(IF((County=$DD$13:$DD$212),MATCH(ROW($DD$13:$DD$212),ROW($DD$13:$DD$212)),""),ROWS($A$13:$A71)))),"")</f>
        <v/>
      </c>
      <c r="DK71" s="341" t="str">
        <f t="array" ref="DK71">IFERROR(IF($DK$11="Yes",INDEX($DF$13:$DF$2838,SMALL(IF((County=$DG$13:$DG$2838),MATCH(ROW($DG$13:$DG$2838),ROW($DG$13:$DG$2838)),""),ROWS($A$13:$A71))),""),"")</f>
        <v/>
      </c>
      <c r="DM71" s="1387">
        <v>32792</v>
      </c>
      <c r="DN71" s="338" t="s">
        <v>338</v>
      </c>
      <c r="DP71" s="236">
        <v>5.0199999999999996</v>
      </c>
      <c r="DQ71" s="236" t="s">
        <v>323</v>
      </c>
      <c r="DV71" s="340">
        <v>2.23</v>
      </c>
      <c r="DW71" s="340" t="s">
        <v>340</v>
      </c>
      <c r="DX71" s="1671"/>
      <c r="EB71" s="549" t="s">
        <v>350</v>
      </c>
      <c r="EC71" s="553" t="str">
        <f>VLOOKUP(EB71,Data1!$A$405:$H$471,8)</f>
        <v>Medium</v>
      </c>
      <c r="ED71" s="566" t="s">
        <v>3132</v>
      </c>
      <c r="EE71" s="566" t="s">
        <v>3133</v>
      </c>
      <c r="EF71" s="559">
        <v>27.434687</v>
      </c>
      <c r="EG71" s="557">
        <v>-80.355975999999998</v>
      </c>
      <c r="EH71" s="551" t="s">
        <v>635</v>
      </c>
      <c r="EI71" s="552" t="s">
        <v>634</v>
      </c>
      <c r="EJ71" s="550" t="str">
        <f t="shared" si="20"/>
        <v xml:space="preserve">St. Lucie - Sunrise Village </v>
      </c>
      <c r="EK71" s="561" t="str">
        <f t="shared" si="11"/>
        <v>Family</v>
      </c>
      <c r="EL71" s="550" t="str">
        <f t="shared" si="21"/>
        <v>(27.434687, -80.355976)</v>
      </c>
      <c r="EM71" s="552" t="str">
        <f t="shared" si="22"/>
        <v>&gt;30</v>
      </c>
      <c r="EN71" s="1941" t="str">
        <f t="shared" si="14"/>
        <v/>
      </c>
      <c r="EO71" t="str">
        <f t="shared" si="15"/>
        <v xml:space="preserve">St. Lucie - Sunrise Village </v>
      </c>
      <c r="EP71" s="1941">
        <f t="shared" si="16"/>
        <v>4102.4112102541403</v>
      </c>
      <c r="EQ71" s="1941" t="str">
        <f t="shared" si="17"/>
        <v>No</v>
      </c>
      <c r="ER71" s="1941" t="str">
        <f>VLOOKUP(EB71,Data1!$G$405:$H$471,2)</f>
        <v>Medium</v>
      </c>
      <c r="ET71" s="1941" t="str">
        <f>IF(EU71&gt;0,SUM(EU$13:EU71),"")</f>
        <v/>
      </c>
      <c r="EU71" s="1941">
        <f t="shared" si="18"/>
        <v>0</v>
      </c>
      <c r="EV71" s="1148" t="str">
        <f t="shared" si="19"/>
        <v xml:space="preserve">St. Lucie - Sunrise Village </v>
      </c>
    </row>
    <row r="72" spans="1:152" ht="14.65" customHeight="1">
      <c r="A72" s="339">
        <v>33334</v>
      </c>
      <c r="B72" s="338" t="s">
        <v>289</v>
      </c>
      <c r="E72" s="858"/>
      <c r="F72" s="338">
        <v>428.02</v>
      </c>
      <c r="G72" s="338" t="s">
        <v>289</v>
      </c>
      <c r="L72" s="2481">
        <v>27.12</v>
      </c>
      <c r="M72" s="340" t="s">
        <v>285</v>
      </c>
      <c r="N72" s="1390"/>
      <c r="O72" s="2479"/>
      <c r="P72" s="2282"/>
      <c r="R72" s="341" t="str">
        <f t="array" ref="R72">IFERROR(IF($R$11="Metro",INDEX($F$13:$F$829,SMALL(IF((County=$G$13:$G$829),MATCH(ROW($G$13:$G$829),ROW($G$13:$G$829)),""),ROWS($A$13:A72))),INDEX($I$13:$I$44,SMALL(IF((County=$J$13:$J$44),MATCH(ROW($J$13:$J$44),ROW($J$13:$J$44)),""),ROWS($A$13:A72)))),"")</f>
        <v/>
      </c>
      <c r="T72" s="341" t="str">
        <f t="array" ref="T72">IFERROR(IF($T$11="Yes",INDEX($L$13:$L$2813,SMALL(IF((County=$M$13:$M$2813),MATCH(ROW($M$13:$M$2813),ROW($M$13:$M$2813)),""),ROWS($A$13:A72))),""),"")</f>
        <v/>
      </c>
      <c r="V72" s="2283" t="str">
        <f t="array" ref="V72">IFERROR(IF($T$11="Yes",INDEX($O$14:$O$2811,SMALL(IF((County=$P$14:$P$2811),MATCH(ROW($P$14:$P$2811),ROW($P$14:$P$2811)),""),ROWS($A$13:A72))),""),"")</f>
        <v/>
      </c>
      <c r="X72" s="339">
        <v>32713</v>
      </c>
      <c r="Y72" s="338" t="s">
        <v>355</v>
      </c>
      <c r="AA72" s="338">
        <v>5.05</v>
      </c>
      <c r="AB72" s="338" t="s">
        <v>331</v>
      </c>
      <c r="AG72" s="2297">
        <v>3</v>
      </c>
      <c r="AH72" s="2297" t="s">
        <v>330</v>
      </c>
      <c r="AI72" s="1390"/>
      <c r="AJ72" s="2282"/>
      <c r="AK72" s="2282"/>
      <c r="AL72" s="1037"/>
      <c r="AM72" s="339">
        <v>34117</v>
      </c>
      <c r="AN72" s="338" t="s">
        <v>297</v>
      </c>
      <c r="AQ72" s="858"/>
      <c r="AR72" s="338">
        <v>428.01</v>
      </c>
      <c r="AS72" s="338" t="s">
        <v>289</v>
      </c>
      <c r="AX72" s="340">
        <v>2.02</v>
      </c>
      <c r="AY72" s="340" t="s">
        <v>287</v>
      </c>
      <c r="BA72" s="341" t="str">
        <f t="array" ref="BA72">IFERROR(IF($BA$11="Metro",INDEX($AR$13:$AR$814,SMALL(IF((County=$AS$13:$AS$814),MATCH(ROW($AS$13:$AS$814),ROW($AS$13:$AS$814)),""),ROWS($A$13:$A72))),INDEX($AU$13:$AU$48,SMALL(IF((County=$AV$13:$AV$48),MATCH(ROW($AV$13:$AV$48),ROW($AV$13:$AV$48)),""),ROWS($A$13:$A72)))),"")</f>
        <v/>
      </c>
      <c r="BC72" s="341" t="str">
        <f t="array" ref="BC72">IFERROR(IF($BC$11="Yes",INDEX($AX$13:$AX$2950,SMALL(IF((County=$AY$13:$AY$2950),MATCH(ROW($AY$13:$AY$2950),ROW($AY$13:$AY$2950)),""),ROWS($A$13:$A72))),""),"")</f>
        <v/>
      </c>
      <c r="BE72" s="339">
        <v>32811</v>
      </c>
      <c r="BF72" s="338" t="s">
        <v>338</v>
      </c>
      <c r="BH72" s="338">
        <v>4.1100000000000003</v>
      </c>
      <c r="BI72" s="338" t="s">
        <v>331</v>
      </c>
      <c r="BN72" s="340">
        <v>2.19</v>
      </c>
      <c r="BO72" s="340" t="s">
        <v>340</v>
      </c>
      <c r="BP72" s="1385"/>
      <c r="BQ72" s="341">
        <v>33955</v>
      </c>
      <c r="BR72" s="338" t="s">
        <v>294</v>
      </c>
      <c r="BU72" s="858"/>
      <c r="BV72" s="338">
        <v>401.02</v>
      </c>
      <c r="BW72" s="338" t="s">
        <v>281</v>
      </c>
      <c r="BY72" s="236">
        <v>9602.01</v>
      </c>
      <c r="BZ72" s="236" t="s">
        <v>311</v>
      </c>
      <c r="CB72" s="340">
        <v>27.1</v>
      </c>
      <c r="CC72" s="340" t="s">
        <v>285</v>
      </c>
      <c r="CE72" s="341" t="str">
        <f t="array" ref="CE72">IFERROR(IF($CE$11="Metro",INDEX($BV$13:$BV$4972,SMALL(IF((County=$BW$13:$BW$4972),MATCH(ROW($BW$13:$BW$4972),ROW($BW$13:$BW$4972)),""),ROWS($A$13:$A72))),INDEX($BY$13:$BY$212,SMALL(IF((County=$BZ$13:$BZ$212),MATCH(ROW($BZ$13:$BZ$212),ROW($BZ$13:$BZ$212)),""),ROWS($A$13:$A72)))),"")</f>
        <v/>
      </c>
      <c r="CG72" s="341" t="str">
        <f t="array" ref="CG72">IFERROR(IF($CG$11="Yes",INDEX($CB$13:$CB$2950,SMALL(IF((County=$CC$13:$CC$2950),MATCH(ROW($CC$13:$CC$2950),ROW($CC$13:$CC$2950)),""),ROWS($A$13:$A72))),""),"")</f>
        <v/>
      </c>
      <c r="CI72" s="1583">
        <v>32806</v>
      </c>
      <c r="CJ72" s="338" t="s">
        <v>338</v>
      </c>
      <c r="CL72" s="338">
        <v>2.0299999999999998</v>
      </c>
      <c r="CM72" s="338" t="s">
        <v>285</v>
      </c>
      <c r="CO72" s="236">
        <v>2109.0100000000002</v>
      </c>
      <c r="CP72" s="236" t="s">
        <v>319</v>
      </c>
      <c r="CR72" s="340">
        <v>2.23</v>
      </c>
      <c r="CS72" s="340" t="s">
        <v>340</v>
      </c>
      <c r="CT72" s="1384"/>
      <c r="CU72" s="341">
        <v>34105</v>
      </c>
      <c r="CV72" s="338" t="s">
        <v>297</v>
      </c>
      <c r="CZ72" s="1795">
        <v>412</v>
      </c>
      <c r="DA72" s="338" t="s">
        <v>289</v>
      </c>
      <c r="DF72" s="340">
        <v>27.12</v>
      </c>
      <c r="DG72" s="340" t="s">
        <v>285</v>
      </c>
      <c r="DI72" s="341" t="str">
        <f t="array" ref="DI72">IFERROR(IF($DI$11="Metro",INDEX($CZ$13:$CZ$929,SMALL(IF((County=$DA$13:$DA$929),MATCH(ROW($DA$13:$DA$929),ROW($DA$13:$DA$929)),""),ROWS($A$13:$A72))),INDEX($DC$13:$DC$212,SMALL(IF((County=$DD$13:$DD$212),MATCH(ROW($DD$13:$DD$212),ROW($DD$13:$DD$212)),""),ROWS($A$13:$A72)))),"")</f>
        <v/>
      </c>
      <c r="DK72" s="341" t="str">
        <f t="array" ref="DK72">IFERROR(IF($DK$11="Yes",INDEX($DF$13:$DF$2838,SMALL(IF((County=$DG$13:$DG$2838),MATCH(ROW($DG$13:$DG$2838),ROW($DG$13:$DG$2838)),""),ROWS($A$13:$A72))),""),"")</f>
        <v/>
      </c>
      <c r="DM72" s="1387">
        <v>32801</v>
      </c>
      <c r="DN72" s="338" t="s">
        <v>338</v>
      </c>
      <c r="DP72" s="236">
        <v>5.0199999999999996</v>
      </c>
      <c r="DQ72" s="236" t="s">
        <v>324</v>
      </c>
      <c r="DV72" s="340">
        <v>2.2400000000000002</v>
      </c>
      <c r="DW72" s="340" t="s">
        <v>331</v>
      </c>
      <c r="DX72" s="1671"/>
      <c r="EB72" s="549" t="s">
        <v>351</v>
      </c>
      <c r="EC72" s="553" t="str">
        <f>VLOOKUP(EB72,Data1!$A$405:$H$471,8)</f>
        <v>Medium</v>
      </c>
      <c r="ED72" s="549" t="s">
        <v>2359</v>
      </c>
      <c r="EE72" s="549" t="s">
        <v>2360</v>
      </c>
      <c r="EF72" s="550">
        <v>28.914664999999999</v>
      </c>
      <c r="EG72" s="550">
        <v>-81.954106999999993</v>
      </c>
      <c r="EH72" s="551" t="s">
        <v>635</v>
      </c>
      <c r="EI72" s="552" t="s">
        <v>634</v>
      </c>
      <c r="EJ72" s="550" t="str">
        <f t="shared" si="20"/>
        <v>Sumter - Lake Sumter Reserve - Phase II</v>
      </c>
      <c r="EK72" s="561" t="str">
        <f t="shared" si="11"/>
        <v>Family</v>
      </c>
      <c r="EL72" s="550" t="str">
        <f t="shared" si="21"/>
        <v>(28.914665, -81.954107)</v>
      </c>
      <c r="EM72" s="552" t="str">
        <f t="shared" si="22"/>
        <v>&gt;30</v>
      </c>
      <c r="EN72" s="1941" t="str">
        <f t="shared" si="14"/>
        <v/>
      </c>
      <c r="EO72" t="str">
        <f t="shared" si="15"/>
        <v>Sumter - Lake Sumter Reserve - Phase II</v>
      </c>
      <c r="EP72" s="1941">
        <f t="shared" si="16"/>
        <v>4153.0382653160395</v>
      </c>
      <c r="EQ72" s="1941" t="str">
        <f t="shared" si="17"/>
        <v>No</v>
      </c>
      <c r="ER72" s="1941" t="str">
        <f>VLOOKUP(EB72,Data1!$G$405:$H$471,2)</f>
        <v>Medium</v>
      </c>
      <c r="ET72" s="1941" t="str">
        <f>IF(EU72&gt;0,SUM(EU$13:EU72),"")</f>
        <v/>
      </c>
      <c r="EU72" s="1941">
        <f t="shared" si="18"/>
        <v>0</v>
      </c>
      <c r="EV72" s="1148" t="str">
        <f t="shared" si="19"/>
        <v>Sumter - Lake Sumter Reserve - Phase II</v>
      </c>
    </row>
    <row r="73" spans="1:152" ht="14.65" customHeight="1">
      <c r="A73" s="339">
        <v>33351</v>
      </c>
      <c r="B73" s="338" t="s">
        <v>289</v>
      </c>
      <c r="E73" s="858"/>
      <c r="F73" s="338">
        <v>501</v>
      </c>
      <c r="G73" s="338" t="s">
        <v>289</v>
      </c>
      <c r="L73" s="2481">
        <v>1</v>
      </c>
      <c r="M73" s="340" t="s">
        <v>287</v>
      </c>
      <c r="N73" s="1390"/>
      <c r="O73" s="2479"/>
      <c r="P73" s="2282"/>
      <c r="R73" s="341" t="str">
        <f t="array" ref="R73">IFERROR(IF($R$11="Metro",INDEX($F$13:$F$829,SMALL(IF((County=$G$13:$G$829),MATCH(ROW($G$13:$G$829),ROW($G$13:$G$829)),""),ROWS($A$13:A73))),INDEX($I$13:$I$44,SMALL(IF((County=$J$13:$J$44),MATCH(ROW($J$13:$J$44),ROW($J$13:$J$44)),""),ROWS($A$13:A73)))),"")</f>
        <v/>
      </c>
      <c r="T73" s="341" t="str">
        <f t="array" ref="T73">IFERROR(IF($T$11="Yes",INDEX($L$13:$L$2813,SMALL(IF((County=$M$13:$M$2813),MATCH(ROW($M$13:$M$2813),ROW($M$13:$M$2813)),""),ROWS($A$13:A73))),""),"")</f>
        <v/>
      </c>
      <c r="V73" s="2283" t="str">
        <f t="array" ref="V73">IFERROR(IF($T$11="Yes",INDEX($O$14:$O$2811,SMALL(IF((County=$P$14:$P$2811),MATCH(ROW($P$14:$P$2811),ROW($P$14:$P$2811)),""),ROWS($A$13:A73))),""),"")</f>
        <v/>
      </c>
      <c r="X73" s="339">
        <v>32714</v>
      </c>
      <c r="Y73" s="338" t="s">
        <v>348</v>
      </c>
      <c r="AA73" s="338">
        <v>5.08</v>
      </c>
      <c r="AB73" s="338" t="s">
        <v>331</v>
      </c>
      <c r="AG73" s="2297">
        <v>3.01</v>
      </c>
      <c r="AH73" s="2297" t="s">
        <v>287</v>
      </c>
      <c r="AI73" s="1390"/>
      <c r="AJ73" s="2282"/>
      <c r="AK73" s="2282"/>
      <c r="AL73" s="1037"/>
      <c r="AM73" s="339">
        <v>34119</v>
      </c>
      <c r="AN73" s="338" t="s">
        <v>297</v>
      </c>
      <c r="AQ73" s="858"/>
      <c r="AR73" s="338">
        <v>428.02</v>
      </c>
      <c r="AS73" s="338" t="s">
        <v>289</v>
      </c>
      <c r="AX73" s="340">
        <v>3.01</v>
      </c>
      <c r="AY73" s="340" t="s">
        <v>287</v>
      </c>
      <c r="BA73" s="341" t="str">
        <f t="array" ref="BA73">IFERROR(IF($BA$11="Metro",INDEX($AR$13:$AR$814,SMALL(IF((County=$AS$13:$AS$814),MATCH(ROW($AS$13:$AS$814),ROW($AS$13:$AS$814)),""),ROWS($A$13:$A73))),INDEX($AU$13:$AU$48,SMALL(IF((County=$AV$13:$AV$48),MATCH(ROW($AV$13:$AV$48),ROW($AV$13:$AV$48)),""),ROWS($A$13:$A73)))),"")</f>
        <v/>
      </c>
      <c r="BC73" s="341" t="str">
        <f t="array" ref="BC73">IFERROR(IF($BC$11="Yes",INDEX($AX$13:$AX$2950,SMALL(IF((County=$AY$13:$AY$2950),MATCH(ROW($AY$13:$AY$2950),ROW($AY$13:$AY$2950)),""),ROWS($A$13:$A73))),""),"")</f>
        <v/>
      </c>
      <c r="BE73" s="339">
        <v>32812</v>
      </c>
      <c r="BF73" s="338" t="s">
        <v>338</v>
      </c>
      <c r="BH73" s="338">
        <v>4.1399999999999997</v>
      </c>
      <c r="BI73" s="338" t="s">
        <v>331</v>
      </c>
      <c r="BN73" s="340">
        <v>2.2000000000000002</v>
      </c>
      <c r="BO73" s="340" t="s">
        <v>340</v>
      </c>
      <c r="BP73" s="1385"/>
      <c r="BQ73" s="341">
        <v>33981</v>
      </c>
      <c r="BR73" s="338" t="s">
        <v>294</v>
      </c>
      <c r="BU73" s="858"/>
      <c r="BV73" s="338">
        <v>402.01</v>
      </c>
      <c r="BW73" s="338" t="s">
        <v>281</v>
      </c>
      <c r="BY73" s="236">
        <v>9602.02</v>
      </c>
      <c r="BZ73" s="236" t="s">
        <v>311</v>
      </c>
      <c r="CB73" s="340">
        <v>27.11</v>
      </c>
      <c r="CC73" s="340" t="s">
        <v>285</v>
      </c>
      <c r="CE73" s="341" t="str">
        <f t="array" ref="CE73">IFERROR(IF($CE$11="Metro",INDEX($BV$13:$BV$4972,SMALL(IF((County=$BW$13:$BW$4972),MATCH(ROW($BW$13:$BW$4972),ROW($BW$13:$BW$4972)),""),ROWS($A$13:$A73))),INDEX($BY$13:$BY$212,SMALL(IF((County=$BZ$13:$BZ$212),MATCH(ROW($BZ$13:$BZ$212),ROW($BZ$13:$BZ$212)),""),ROWS($A$13:$A73)))),"")</f>
        <v/>
      </c>
      <c r="CG73" s="341" t="str">
        <f t="array" ref="CG73">IFERROR(IF($CG$11="Yes",INDEX($CB$13:$CB$2950,SMALL(IF((County=$CC$13:$CC$2950),MATCH(ROW($CC$13:$CC$2950),ROW($CC$13:$CC$2950)),""),ROWS($A$13:$A73))),""),"")</f>
        <v/>
      </c>
      <c r="CI73" s="1583">
        <v>32811</v>
      </c>
      <c r="CJ73" s="338" t="s">
        <v>338</v>
      </c>
      <c r="CL73" s="236">
        <v>2.0299999999999998</v>
      </c>
      <c r="CM73" s="236" t="s">
        <v>328</v>
      </c>
      <c r="CO73" s="236">
        <v>2109.02</v>
      </c>
      <c r="CP73" s="236" t="s">
        <v>319</v>
      </c>
      <c r="CR73" s="340">
        <v>2.2400000000000002</v>
      </c>
      <c r="CS73" s="340" t="s">
        <v>331</v>
      </c>
      <c r="CT73" s="1384"/>
      <c r="CU73" s="341">
        <v>34108</v>
      </c>
      <c r="CV73" s="338" t="s">
        <v>297</v>
      </c>
      <c r="CZ73" s="1795">
        <v>413</v>
      </c>
      <c r="DA73" s="338" t="s">
        <v>289</v>
      </c>
      <c r="DF73" s="340">
        <v>27.13</v>
      </c>
      <c r="DG73" s="340" t="s">
        <v>285</v>
      </c>
      <c r="DI73" s="341" t="str">
        <f t="array" ref="DI73">IFERROR(IF($DI$11="Metro",INDEX($CZ$13:$CZ$929,SMALL(IF((County=$DA$13:$DA$929),MATCH(ROW($DA$13:$DA$929),ROW($DA$13:$DA$929)),""),ROWS($A$13:$A73))),INDEX($DC$13:$DC$212,SMALL(IF((County=$DD$13:$DD$212),MATCH(ROW($DD$13:$DD$212),ROW($DD$13:$DD$212)),""),ROWS($A$13:$A73)))),"")</f>
        <v/>
      </c>
      <c r="DK73" s="341" t="str">
        <f t="array" ref="DK73">IFERROR(IF($DK$11="Yes",INDEX($DF$13:$DF$2838,SMALL(IF((County=$DG$13:$DG$2838),MATCH(ROW($DG$13:$DG$2838),ROW($DG$13:$DG$2838)),""),ROWS($A$13:$A73))),""),"")</f>
        <v/>
      </c>
      <c r="DM73" s="1387">
        <v>32803</v>
      </c>
      <c r="DN73" s="338" t="s">
        <v>338</v>
      </c>
      <c r="DP73" s="236">
        <v>5.0199999999999996</v>
      </c>
      <c r="DQ73" s="236" t="s">
        <v>329</v>
      </c>
      <c r="DV73" s="340">
        <v>2.25</v>
      </c>
      <c r="DW73" s="340" t="s">
        <v>331</v>
      </c>
      <c r="DX73" s="1671"/>
      <c r="EB73" s="549" t="s">
        <v>355</v>
      </c>
      <c r="EC73" s="553" t="str">
        <f>VLOOKUP(EB73,Data1!$A$405:$H$471,8)</f>
        <v>Medium</v>
      </c>
      <c r="ED73" s="549" t="s">
        <v>3134</v>
      </c>
      <c r="EE73" s="549" t="s">
        <v>3135</v>
      </c>
      <c r="EF73" s="550">
        <v>29.017358000000002</v>
      </c>
      <c r="EG73" s="550">
        <v>-81.354630999999998</v>
      </c>
      <c r="EH73" s="551" t="s">
        <v>635</v>
      </c>
      <c r="EI73" s="552" t="s">
        <v>634</v>
      </c>
      <c r="EJ73" s="550" t="str">
        <f t="shared" si="20"/>
        <v>Volusia - Sunray Station</v>
      </c>
      <c r="EK73" s="561" t="str">
        <f t="shared" si="11"/>
        <v>Family</v>
      </c>
      <c r="EL73" s="550" t="str">
        <f t="shared" si="21"/>
        <v>(29.017358, -81.354631)</v>
      </c>
      <c r="EM73" s="552" t="str">
        <f t="shared" si="22"/>
        <v>&gt;30</v>
      </c>
      <c r="EN73" s="1941" t="str">
        <f t="shared" si="14"/>
        <v/>
      </c>
      <c r="EO73" t="str">
        <f t="shared" si="15"/>
        <v>Volusia - Sunray Station</v>
      </c>
      <c r="EP73" s="1941">
        <f t="shared" si="16"/>
        <v>4142.4654145628938</v>
      </c>
      <c r="EQ73" s="1941" t="str">
        <f t="shared" si="17"/>
        <v>No</v>
      </c>
      <c r="ER73" s="1941" t="str">
        <f>VLOOKUP(EB73,Data1!$G$405:$H$471,2)</f>
        <v>Medium</v>
      </c>
      <c r="ET73" s="1941" t="str">
        <f>IF(EU73&gt;0,SUM(EU$13:EU73),"")</f>
        <v/>
      </c>
      <c r="EU73" s="1941">
        <f t="shared" si="18"/>
        <v>0</v>
      </c>
      <c r="EV73" s="1148" t="str">
        <f t="shared" si="19"/>
        <v>Volusia - Sunray Station</v>
      </c>
    </row>
    <row r="74" spans="1:152" ht="14.65" customHeight="1">
      <c r="A74" s="339">
        <v>33441</v>
      </c>
      <c r="B74" s="338" t="s">
        <v>289</v>
      </c>
      <c r="E74" s="858"/>
      <c r="F74" s="338">
        <v>503.08</v>
      </c>
      <c r="G74" s="338" t="s">
        <v>289</v>
      </c>
      <c r="L74" s="2481">
        <v>2.0099999999999998</v>
      </c>
      <c r="M74" s="340" t="s">
        <v>287</v>
      </c>
      <c r="N74" s="1390"/>
      <c r="O74" s="2479"/>
      <c r="P74" s="2282"/>
      <c r="R74" s="341" t="str">
        <f t="array" ref="R74">IFERROR(IF($R$11="Metro",INDEX($F$13:$F$829,SMALL(IF((County=$G$13:$G$829),MATCH(ROW($G$13:$G$829),ROW($G$13:$G$829)),""),ROWS($A$13:A74))),INDEX($I$13:$I$44,SMALL(IF((County=$J$13:$J$44),MATCH(ROW($J$13:$J$44),ROW($J$13:$J$44)),""),ROWS($A$13:A74)))),"")</f>
        <v/>
      </c>
      <c r="T74" s="341" t="str">
        <f t="array" ref="T74">IFERROR(IF($T$11="Yes",INDEX($L$13:$L$2813,SMALL(IF((County=$M$13:$M$2813),MATCH(ROW($M$13:$M$2813),ROW($M$13:$M$2813)),""),ROWS($A$13:A74))),""),"")</f>
        <v/>
      </c>
      <c r="V74" s="2283" t="str">
        <f t="array" ref="V74">IFERROR(IF($T$11="Yes",INDEX($O$14:$O$2811,SMALL(IF((County=$P$14:$P$2811),MATCH(ROW($P$14:$P$2811),ROW($P$14:$P$2811)),""),ROWS($A$13:A74))),""),"")</f>
        <v/>
      </c>
      <c r="X74" s="339">
        <v>32725</v>
      </c>
      <c r="Y74" s="338" t="s">
        <v>355</v>
      </c>
      <c r="AA74" s="338">
        <v>6</v>
      </c>
      <c r="AB74" s="338" t="s">
        <v>276</v>
      </c>
      <c r="AG74" s="2297">
        <v>3.01</v>
      </c>
      <c r="AH74" s="2297" t="s">
        <v>297</v>
      </c>
      <c r="AI74" s="1390"/>
      <c r="AJ74" s="2282"/>
      <c r="AK74" s="2282"/>
      <c r="AL74" s="1037"/>
      <c r="AM74" s="339">
        <v>34120</v>
      </c>
      <c r="AN74" s="338" t="s">
        <v>297</v>
      </c>
      <c r="AQ74" s="858"/>
      <c r="AR74" s="338">
        <v>502.08</v>
      </c>
      <c r="AS74" s="338" t="s">
        <v>289</v>
      </c>
      <c r="AX74" s="340">
        <v>3.02</v>
      </c>
      <c r="AY74" s="340" t="s">
        <v>287</v>
      </c>
      <c r="BA74" s="341" t="str">
        <f t="array" ref="BA74">IFERROR(IF($BA$11="Metro",INDEX($AR$13:$AR$814,SMALL(IF((County=$AS$13:$AS$814),MATCH(ROW($AS$13:$AS$814),ROW($AS$13:$AS$814)),""),ROWS($A$13:$A74))),INDEX($AU$13:$AU$48,SMALL(IF((County=$AV$13:$AV$48),MATCH(ROW($AV$13:$AV$48),ROW($AV$13:$AV$48)),""),ROWS($A$13:$A74)))),"")</f>
        <v/>
      </c>
      <c r="BC74" s="341" t="str">
        <f t="array" ref="BC74">IFERROR(IF($BC$11="Yes",INDEX($AX$13:$AX$2950,SMALL(IF((County=$AY$13:$AY$2950),MATCH(ROW($AY$13:$AY$2950),ROW($AY$13:$AY$2950)),""),ROWS($A$13:$A74))),""),"")</f>
        <v/>
      </c>
      <c r="BE74" s="339">
        <v>32814</v>
      </c>
      <c r="BF74" s="338" t="s">
        <v>338</v>
      </c>
      <c r="BH74" s="338">
        <v>4.1500000000000004</v>
      </c>
      <c r="BI74" s="338" t="s">
        <v>331</v>
      </c>
      <c r="BN74" s="340">
        <v>2.21</v>
      </c>
      <c r="BO74" s="340" t="s">
        <v>331</v>
      </c>
      <c r="BP74" s="1385"/>
      <c r="BQ74" s="341">
        <v>34434</v>
      </c>
      <c r="BR74" s="338" t="s">
        <v>295</v>
      </c>
      <c r="BU74" s="858"/>
      <c r="BV74" s="338">
        <v>402.02</v>
      </c>
      <c r="BW74" s="338" t="s">
        <v>281</v>
      </c>
      <c r="BY74" s="236">
        <v>9603</v>
      </c>
      <c r="BZ74" s="236" t="s">
        <v>311</v>
      </c>
      <c r="CB74" s="340">
        <v>27.12</v>
      </c>
      <c r="CC74" s="340" t="s">
        <v>285</v>
      </c>
      <c r="CE74" s="341" t="str">
        <f t="array" ref="CE74">IFERROR(IF($CE$11="Metro",INDEX($BV$13:$BV$4972,SMALL(IF((County=$BW$13:$BW$4972),MATCH(ROW($BW$13:$BW$4972),ROW($BW$13:$BW$4972)),""),ROWS($A$13:$A74))),INDEX($BY$13:$BY$212,SMALL(IF((County=$BZ$13:$BZ$212),MATCH(ROW($BZ$13:$BZ$212),ROW($BZ$13:$BZ$212)),""),ROWS($A$13:$A74)))),"")</f>
        <v/>
      </c>
      <c r="CG74" s="341" t="str">
        <f t="array" ref="CG74">IFERROR(IF($CG$11="Yes",INDEX($CB$13:$CB$2950,SMALL(IF((County=$CC$13:$CC$2950),MATCH(ROW($CC$13:$CC$2950),ROW($CC$13:$CC$2950)),""),ROWS($A$13:$A74))),""),"")</f>
        <v/>
      </c>
      <c r="CI74" s="1583">
        <v>32812</v>
      </c>
      <c r="CJ74" s="338" t="s">
        <v>338</v>
      </c>
      <c r="CL74" s="236">
        <v>2.0299999999999998</v>
      </c>
      <c r="CM74" s="236" t="s">
        <v>329</v>
      </c>
      <c r="CO74" s="236">
        <v>2110</v>
      </c>
      <c r="CP74" s="236" t="s">
        <v>319</v>
      </c>
      <c r="CR74" s="340">
        <v>2.25</v>
      </c>
      <c r="CS74" s="340" t="s">
        <v>331</v>
      </c>
      <c r="CT74" s="1384"/>
      <c r="CU74" s="341">
        <v>34110</v>
      </c>
      <c r="CV74" s="338" t="s">
        <v>297</v>
      </c>
      <c r="CZ74" s="1795">
        <v>414</v>
      </c>
      <c r="DA74" s="338" t="s">
        <v>289</v>
      </c>
      <c r="DF74" s="340">
        <v>2.0099999999999998</v>
      </c>
      <c r="DG74" s="340" t="s">
        <v>287</v>
      </c>
      <c r="DI74" s="341" t="str">
        <f t="array" ref="DI74">IFERROR(IF($DI$11="Metro",INDEX($CZ$13:$CZ$929,SMALL(IF((County=$DA$13:$DA$929),MATCH(ROW($DA$13:$DA$929),ROW($DA$13:$DA$929)),""),ROWS($A$13:$A74))),INDEX($DC$13:$DC$212,SMALL(IF((County=$DD$13:$DD$212),MATCH(ROW($DD$13:$DD$212),ROW($DD$13:$DD$212)),""),ROWS($A$13:$A74)))),"")</f>
        <v/>
      </c>
      <c r="DK74" s="341" t="str">
        <f t="array" ref="DK74">IFERROR(IF($DK$11="Yes",INDEX($DF$13:$DF$2838,SMALL(IF((County=$DG$13:$DG$2838),MATCH(ROW($DG$13:$DG$2838),ROW($DG$13:$DG$2838)),""),ROWS($A$13:$A74))),""),"")</f>
        <v/>
      </c>
      <c r="DM74" s="1387">
        <v>32804</v>
      </c>
      <c r="DN74" s="338" t="s">
        <v>338</v>
      </c>
      <c r="DP74" s="236">
        <v>5.03</v>
      </c>
      <c r="DQ74" s="236" t="s">
        <v>347</v>
      </c>
      <c r="DV74" s="340">
        <v>3</v>
      </c>
      <c r="DW74" s="340" t="s">
        <v>304</v>
      </c>
      <c r="DX74" s="1671"/>
      <c r="EB74" s="549" t="s">
        <v>357</v>
      </c>
      <c r="EC74" s="553" t="str">
        <f>VLOOKUP(EB74,Data1!$A$405:$H$471,8)</f>
        <v>Small</v>
      </c>
      <c r="ED74" s="549" t="s">
        <v>2361</v>
      </c>
      <c r="EE74" s="549" t="s">
        <v>2362</v>
      </c>
      <c r="EF74" s="560">
        <v>30.7303</v>
      </c>
      <c r="EG74" s="560">
        <v>-86.123400000000004</v>
      </c>
      <c r="EH74" s="553" t="s">
        <v>635</v>
      </c>
      <c r="EI74" s="552" t="s">
        <v>634</v>
      </c>
      <c r="EJ74" s="550" t="str">
        <f t="shared" ref="EJ74:EJ76" si="23">EB74&amp;" - "&amp;EE74</f>
        <v>Walton - Arbours at Emerald Springs</v>
      </c>
      <c r="EK74" s="561" t="str">
        <f t="shared" si="11"/>
        <v>Family</v>
      </c>
      <c r="EL74" s="550" t="str">
        <f t="shared" ref="EL74:EL76" si="24">"("&amp;EF74&amp;", "&amp;EG74&amp;")"</f>
        <v>(30.7303, -86.1234)</v>
      </c>
      <c r="EM74" s="552" t="str">
        <f t="shared" ref="EM74:EM76" si="25">IF(EI74="N","&gt;30",IF(EI74="Y","&lt;31",""))</f>
        <v>&gt;30</v>
      </c>
      <c r="EN74" s="1941" t="str">
        <f t="shared" si="14"/>
        <v/>
      </c>
      <c r="EO74" t="str">
        <f t="shared" si="15"/>
        <v>Walton - Arbours at Emerald Springs</v>
      </c>
      <c r="EP74" s="1941">
        <f t="shared" si="16"/>
        <v>4254.0098361413984</v>
      </c>
      <c r="EQ74" s="1941" t="str">
        <f t="shared" si="17"/>
        <v>No</v>
      </c>
      <c r="ER74" s="1941" t="str">
        <f>VLOOKUP(EB74,Data1!$G$405:$H$471,2)</f>
        <v>Small</v>
      </c>
      <c r="ET74" s="1941" t="str">
        <f>IF(EU74&gt;0,SUM(EU$13:EU74),"")</f>
        <v/>
      </c>
      <c r="EU74" s="1941">
        <f t="shared" si="18"/>
        <v>0</v>
      </c>
      <c r="EV74" s="1148" t="str">
        <f t="shared" si="19"/>
        <v>Walton - Arbours at Emerald Springs</v>
      </c>
    </row>
    <row r="75" spans="1:152" ht="14.65" customHeight="1">
      <c r="A75" s="339">
        <v>33442</v>
      </c>
      <c r="B75" s="338" t="s">
        <v>289</v>
      </c>
      <c r="E75" s="858"/>
      <c r="F75" s="338">
        <v>503.09</v>
      </c>
      <c r="G75" s="338" t="s">
        <v>289</v>
      </c>
      <c r="L75" s="2481">
        <v>3.01</v>
      </c>
      <c r="M75" s="340" t="s">
        <v>287</v>
      </c>
      <c r="N75" s="1390"/>
      <c r="O75" s="2479"/>
      <c r="P75" s="2282"/>
      <c r="R75" s="341" t="str">
        <f t="array" ref="R75">IFERROR(IF($R$11="Metro",INDEX($F$13:$F$829,SMALL(IF((County=$G$13:$G$829),MATCH(ROW($G$13:$G$829),ROW($G$13:$G$829)),""),ROWS($A$13:A75))),INDEX($I$13:$I$44,SMALL(IF((County=$J$13:$J$44),MATCH(ROW($J$13:$J$44),ROW($J$13:$J$44)),""),ROWS($A$13:A75)))),"")</f>
        <v/>
      </c>
      <c r="T75" s="341" t="str">
        <f t="array" ref="T75">IFERROR(IF($T$11="Yes",INDEX($L$13:$L$2813,SMALL(IF((County=$M$13:$M$2813),MATCH(ROW($M$13:$M$2813),ROW($M$13:$M$2813)),""),ROWS($A$13:A75))),""),"")</f>
        <v/>
      </c>
      <c r="V75" s="2283" t="str">
        <f t="array" ref="V75">IFERROR(IF($T$11="Yes",INDEX($O$14:$O$2811,SMALL(IF((County=$P$14:$P$2811),MATCH(ROW($P$14:$P$2811),ROW($P$14:$P$2811)),""),ROWS($A$13:A75))),""),"")</f>
        <v/>
      </c>
      <c r="X75" s="339">
        <v>32732</v>
      </c>
      <c r="Y75" s="338" t="s">
        <v>348</v>
      </c>
      <c r="AA75" s="338">
        <v>6</v>
      </c>
      <c r="AB75" s="338" t="s">
        <v>323</v>
      </c>
      <c r="AG75" s="2297">
        <v>3.01</v>
      </c>
      <c r="AH75" s="2297" t="s">
        <v>324</v>
      </c>
      <c r="AI75" s="1390"/>
      <c r="AJ75" s="2282"/>
      <c r="AK75" s="2282"/>
      <c r="AL75" s="1037"/>
      <c r="AM75" s="339">
        <v>34140</v>
      </c>
      <c r="AN75" s="338" t="s">
        <v>297</v>
      </c>
      <c r="AQ75" s="858"/>
      <c r="AR75" s="338">
        <v>503.08</v>
      </c>
      <c r="AS75" s="338" t="s">
        <v>289</v>
      </c>
      <c r="AX75" s="340">
        <v>601.05999999999995</v>
      </c>
      <c r="AY75" s="340" t="s">
        <v>288</v>
      </c>
      <c r="BA75" s="341" t="str">
        <f t="array" ref="BA75">IFERROR(IF($BA$11="Metro",INDEX($AR$13:$AR$814,SMALL(IF((County=$AS$13:$AS$814),MATCH(ROW($AS$13:$AS$814),ROW($AS$13:$AS$814)),""),ROWS($A$13:$A75))),INDEX($AU$13:$AU$48,SMALL(IF((County=$AV$13:$AV$48),MATCH(ROW($AV$13:$AV$48),ROW($AV$13:$AV$48)),""),ROWS($A$13:$A75)))),"")</f>
        <v/>
      </c>
      <c r="BC75" s="341" t="str">
        <f t="array" ref="BC75">IFERROR(IF($BC$11="Yes",INDEX($AX$13:$AX$2950,SMALL(IF((County=$AY$13:$AY$2950),MATCH(ROW($AY$13:$AY$2950),ROW($AY$13:$AY$2950)),""),ROWS($A$13:$A75))),""),"")</f>
        <v/>
      </c>
      <c r="BE75" s="339">
        <v>32817</v>
      </c>
      <c r="BF75" s="338" t="s">
        <v>338</v>
      </c>
      <c r="BH75" s="338">
        <v>4.16</v>
      </c>
      <c r="BI75" s="338" t="s">
        <v>331</v>
      </c>
      <c r="BN75" s="340">
        <v>2.21</v>
      </c>
      <c r="BO75" s="340" t="s">
        <v>340</v>
      </c>
      <c r="BP75" s="1385"/>
      <c r="BQ75" s="1386">
        <v>32003</v>
      </c>
      <c r="BR75" s="338" t="s">
        <v>296</v>
      </c>
      <c r="BU75" s="858"/>
      <c r="BV75" s="338">
        <v>2.0099999999999998</v>
      </c>
      <c r="BW75" s="338" t="s">
        <v>285</v>
      </c>
      <c r="BY75" s="236">
        <v>9701.01</v>
      </c>
      <c r="BZ75" s="236" t="s">
        <v>312</v>
      </c>
      <c r="CB75" s="340">
        <v>27.13</v>
      </c>
      <c r="CC75" s="340" t="s">
        <v>285</v>
      </c>
      <c r="CE75" s="341" t="str">
        <f t="array" ref="CE75">IFERROR(IF($CE$11="Metro",INDEX($BV$13:$BV$4972,SMALL(IF((County=$BW$13:$BW$4972),MATCH(ROW($BW$13:$BW$4972),ROW($BW$13:$BW$4972)),""),ROWS($A$13:$A75))),INDEX($BY$13:$BY$212,SMALL(IF((County=$BZ$13:$BZ$212),MATCH(ROW($BZ$13:$BZ$212),ROW($BZ$13:$BZ$212)),""),ROWS($A$13:$A75)))),"")</f>
        <v/>
      </c>
      <c r="CG75" s="341" t="str">
        <f t="array" ref="CG75">IFERROR(IF($CG$11="Yes",INDEX($CB$13:$CB$2950,SMALL(IF((County=$CC$13:$CC$2950),MATCH(ROW($CC$13:$CC$2950),ROW($CC$13:$CC$2950)),""),ROWS($A$13:$A75))),""),"")</f>
        <v/>
      </c>
      <c r="CI75" s="1583">
        <v>32814</v>
      </c>
      <c r="CJ75" s="338" t="s">
        <v>338</v>
      </c>
      <c r="CL75" s="338">
        <v>2.04</v>
      </c>
      <c r="CM75" s="338" t="s">
        <v>285</v>
      </c>
      <c r="CO75" s="236">
        <v>2111</v>
      </c>
      <c r="CP75" s="236" t="s">
        <v>319</v>
      </c>
      <c r="CR75" s="340">
        <v>2.2599999999999998</v>
      </c>
      <c r="CS75" s="340" t="s">
        <v>331</v>
      </c>
      <c r="CT75" s="1384"/>
      <c r="CU75" s="341">
        <v>34117</v>
      </c>
      <c r="CV75" s="338" t="s">
        <v>297</v>
      </c>
      <c r="CZ75" s="1795">
        <v>415</v>
      </c>
      <c r="DA75" s="338" t="s">
        <v>289</v>
      </c>
      <c r="DF75" s="340">
        <v>3.01</v>
      </c>
      <c r="DG75" s="340" t="s">
        <v>287</v>
      </c>
      <c r="DI75" s="341" t="str">
        <f t="array" ref="DI75">IFERROR(IF($DI$11="Metro",INDEX($CZ$13:$CZ$929,SMALL(IF((County=$DA$13:$DA$929),MATCH(ROW($DA$13:$DA$929),ROW($DA$13:$DA$929)),""),ROWS($A$13:$A75))),INDEX($DC$13:$DC$212,SMALL(IF((County=$DD$13:$DD$212),MATCH(ROW($DD$13:$DD$212),ROW($DD$13:$DD$212)),""),ROWS($A$13:$A75)))),"")</f>
        <v/>
      </c>
      <c r="DK75" s="341" t="str">
        <f t="array" ref="DK75">IFERROR(IF($DK$11="Yes",INDEX($DF$13:$DF$2838,SMALL(IF((County=$DG$13:$DG$2838),MATCH(ROW($DG$13:$DG$2838),ROW($DG$13:$DG$2838)),""),ROWS($A$13:$A75))),""),"")</f>
        <v/>
      </c>
      <c r="DM75" s="1387">
        <v>32812</v>
      </c>
      <c r="DN75" s="338" t="s">
        <v>338</v>
      </c>
      <c r="DP75" s="236">
        <v>5.04</v>
      </c>
      <c r="DQ75" s="236" t="s">
        <v>323</v>
      </c>
      <c r="DV75" s="340">
        <v>3</v>
      </c>
      <c r="DW75" s="340" t="s">
        <v>313</v>
      </c>
      <c r="DX75" s="1671"/>
      <c r="EB75" s="549" t="s">
        <v>357</v>
      </c>
      <c r="EC75" s="553" t="str">
        <f>VLOOKUP(EB75,Data1!$A$405:$H$471,8)</f>
        <v>Small</v>
      </c>
      <c r="ED75" s="549" t="s">
        <v>3136</v>
      </c>
      <c r="EE75" s="549" t="s">
        <v>3137</v>
      </c>
      <c r="EF75" s="558">
        <v>30.705601999999999</v>
      </c>
      <c r="EG75" s="557">
        <v>-86.119298000000001</v>
      </c>
      <c r="EH75" s="553" t="s">
        <v>635</v>
      </c>
      <c r="EI75" s="552" t="s">
        <v>636</v>
      </c>
      <c r="EJ75" s="550" t="str">
        <f t="shared" si="23"/>
        <v>Walton - Tranquility at DeFuniak Springs</v>
      </c>
      <c r="EK75" s="561" t="str">
        <f t="shared" si="11"/>
        <v>Family</v>
      </c>
      <c r="EL75" s="550" t="str">
        <f t="shared" si="24"/>
        <v>(30.705602, -86.119298)</v>
      </c>
      <c r="EM75" s="552" t="str">
        <f t="shared" si="25"/>
        <v>&lt;31</v>
      </c>
      <c r="EN75" s="1941" t="str">
        <f t="shared" si="14"/>
        <v/>
      </c>
      <c r="EO75" t="str">
        <f t="shared" si="15"/>
        <v>Walton - Tranquility at DeFuniak Springs</v>
      </c>
      <c r="EP75" s="1941">
        <f t="shared" si="16"/>
        <v>4253.6305168308008</v>
      </c>
      <c r="EQ75" s="1941" t="str">
        <f t="shared" si="17"/>
        <v>No</v>
      </c>
      <c r="ER75" s="1941" t="str">
        <f>VLOOKUP(EB75,Data1!$G$405:$H$471,2)</f>
        <v>Small</v>
      </c>
      <c r="ET75" s="1941" t="str">
        <f>IF(EU75&gt;0,SUM(EU$13:EU75),"")</f>
        <v/>
      </c>
      <c r="EU75" s="1941">
        <f t="shared" si="18"/>
        <v>0</v>
      </c>
      <c r="EV75" s="1148" t="str">
        <f t="shared" si="19"/>
        <v>Walton - Tranquility at DeFuniak Springs</v>
      </c>
    </row>
    <row r="76" spans="1:152" ht="14.65" customHeight="1">
      <c r="A76" s="339">
        <v>33921</v>
      </c>
      <c r="B76" s="338" t="s">
        <v>294</v>
      </c>
      <c r="E76" s="858"/>
      <c r="F76" s="338">
        <v>503.11</v>
      </c>
      <c r="G76" s="338" t="s">
        <v>289</v>
      </c>
      <c r="L76" s="2481">
        <v>4</v>
      </c>
      <c r="M76" s="340" t="s">
        <v>287</v>
      </c>
      <c r="N76" s="1390"/>
      <c r="O76" s="2479"/>
      <c r="P76" s="2282"/>
      <c r="R76" s="341" t="str">
        <f t="array" ref="R76">IFERROR(IF($R$11="Metro",INDEX($F$13:$F$829,SMALL(IF((County=$G$13:$G$829),MATCH(ROW($G$13:$G$829),ROW($G$13:$G$829)),""),ROWS($A$13:A76))),INDEX($I$13:$I$44,SMALL(IF((County=$J$13:$J$44),MATCH(ROW($J$13:$J$44),ROW($J$13:$J$44)),""),ROWS($A$13:A76)))),"")</f>
        <v/>
      </c>
      <c r="T76" s="341" t="str">
        <f t="array" ref="T76">IFERROR(IF($T$11="Yes",INDEX($L$13:$L$2813,SMALL(IF((County=$M$13:$M$2813),MATCH(ROW($M$13:$M$2813),ROW($M$13:$M$2813)),""),ROWS($A$13:A76))),""),"")</f>
        <v/>
      </c>
      <c r="V76" s="2283" t="str">
        <f t="array" ref="V76">IFERROR(IF($T$11="Yes",INDEX($O$14:$O$2811,SMALL(IF((County=$P$14:$P$2811),MATCH(ROW($P$14:$P$2811),ROW($P$14:$P$2811)),""),ROWS($A$13:A76))),""),"")</f>
        <v/>
      </c>
      <c r="X76" s="339">
        <v>32735</v>
      </c>
      <c r="Y76" s="338" t="s">
        <v>322</v>
      </c>
      <c r="AA76" s="338">
        <v>6</v>
      </c>
      <c r="AB76" s="338" t="s">
        <v>324</v>
      </c>
      <c r="AG76" s="2297">
        <v>3.01</v>
      </c>
      <c r="AH76" s="2297" t="s">
        <v>340</v>
      </c>
      <c r="AI76" s="1390"/>
      <c r="AJ76" s="2282"/>
      <c r="AK76" s="2282"/>
      <c r="AL76" s="1037"/>
      <c r="AM76" s="339">
        <v>34145</v>
      </c>
      <c r="AN76" s="338" t="s">
        <v>297</v>
      </c>
      <c r="AQ76" s="858"/>
      <c r="AR76" s="338">
        <v>503.09</v>
      </c>
      <c r="AS76" s="338" t="s">
        <v>289</v>
      </c>
      <c r="AX76" s="340">
        <v>602.01</v>
      </c>
      <c r="AY76" s="340" t="s">
        <v>288</v>
      </c>
      <c r="BA76" s="341" t="str">
        <f t="array" ref="BA76">IFERROR(IF($BA$11="Metro",INDEX($AR$13:$AR$814,SMALL(IF((County=$AS$13:$AS$814),MATCH(ROW($AS$13:$AS$814),ROW($AS$13:$AS$814)),""),ROWS($A$13:$A76))),INDEX($AU$13:$AU$48,SMALL(IF((County=$AV$13:$AV$48),MATCH(ROW($AV$13:$AV$48),ROW($AV$13:$AV$48)),""),ROWS($A$13:$A76)))),"")</f>
        <v/>
      </c>
      <c r="BC76" s="341" t="str">
        <f t="array" ref="BC76">IFERROR(IF($BC$11="Yes",INDEX($AX$13:$AX$2950,SMALL(IF((County=$AY$13:$AY$2950),MATCH(ROW($AY$13:$AY$2950),ROW($AY$13:$AY$2950)),""),ROWS($A$13:$A76))),""),"")</f>
        <v/>
      </c>
      <c r="BE76" s="339">
        <v>32819</v>
      </c>
      <c r="BF76" s="338" t="s">
        <v>338</v>
      </c>
      <c r="BH76" s="338">
        <v>4.17</v>
      </c>
      <c r="BI76" s="338" t="s">
        <v>331</v>
      </c>
      <c r="BN76" s="340">
        <v>2.23</v>
      </c>
      <c r="BO76" s="340" t="s">
        <v>340</v>
      </c>
      <c r="BP76" s="1385"/>
      <c r="BQ76" s="1386">
        <v>32079</v>
      </c>
      <c r="BR76" s="338" t="s">
        <v>296</v>
      </c>
      <c r="BU76" s="858"/>
      <c r="BV76" s="338">
        <v>2.0299999999999998</v>
      </c>
      <c r="BW76" s="338" t="s">
        <v>285</v>
      </c>
      <c r="BY76" s="236">
        <v>9701.02</v>
      </c>
      <c r="BZ76" s="236" t="s">
        <v>312</v>
      </c>
      <c r="CB76" s="340">
        <v>2.02</v>
      </c>
      <c r="CC76" s="340" t="s">
        <v>287</v>
      </c>
      <c r="CE76" s="341" t="str">
        <f t="array" ref="CE76">IFERROR(IF($CE$11="Metro",INDEX($BV$13:$BV$4972,SMALL(IF((County=$BW$13:$BW$4972),MATCH(ROW($BW$13:$BW$4972),ROW($BW$13:$BW$4972)),""),ROWS($A$13:$A76))),INDEX($BY$13:$BY$212,SMALL(IF((County=$BZ$13:$BZ$212),MATCH(ROW($BZ$13:$BZ$212),ROW($BZ$13:$BZ$212)),""),ROWS($A$13:$A76)))),"")</f>
        <v/>
      </c>
      <c r="CG76" s="341" t="str">
        <f t="array" ref="CG76">IFERROR(IF($CG$11="Yes",INDEX($CB$13:$CB$2950,SMALL(IF((County=$CC$13:$CC$2950),MATCH(ROW($CC$13:$CC$2950),ROW($CC$13:$CC$2950)),""),ROWS($A$13:$A76))),""),"")</f>
        <v/>
      </c>
      <c r="CI76" s="1583">
        <v>32817</v>
      </c>
      <c r="CJ76" s="338" t="s">
        <v>338</v>
      </c>
      <c r="CL76" s="236">
        <v>2.04</v>
      </c>
      <c r="CM76" s="236" t="s">
        <v>328</v>
      </c>
      <c r="CO76" s="236">
        <v>9101.01</v>
      </c>
      <c r="CP76" s="236" t="s">
        <v>337</v>
      </c>
      <c r="CR76" s="340">
        <v>3</v>
      </c>
      <c r="CS76" s="340" t="s">
        <v>304</v>
      </c>
      <c r="CT76" s="1384"/>
      <c r="CU76" s="341">
        <v>34119</v>
      </c>
      <c r="CV76" s="338" t="s">
        <v>297</v>
      </c>
      <c r="CZ76" s="1795">
        <v>416.01</v>
      </c>
      <c r="DA76" s="338" t="s">
        <v>289</v>
      </c>
      <c r="DF76" s="340">
        <v>601.05999999999995</v>
      </c>
      <c r="DG76" s="340" t="s">
        <v>288</v>
      </c>
      <c r="DI76" s="341" t="str">
        <f t="array" ref="DI76">IFERROR(IF($DI$11="Metro",INDEX($CZ$13:$CZ$929,SMALL(IF((County=$DA$13:$DA$929),MATCH(ROW($DA$13:$DA$929),ROW($DA$13:$DA$929)),""),ROWS($A$13:$A76))),INDEX($DC$13:$DC$212,SMALL(IF((County=$DD$13:$DD$212),MATCH(ROW($DD$13:$DD$212),ROW($DD$13:$DD$212)),""),ROWS($A$13:$A76)))),"")</f>
        <v/>
      </c>
      <c r="DK76" s="341" t="str">
        <f t="array" ref="DK76">IFERROR(IF($DK$11="Yes",INDEX($DF$13:$DF$2838,SMALL(IF((County=$DG$13:$DG$2838),MATCH(ROW($DG$13:$DG$2838),ROW($DG$13:$DG$2838)),""),ROWS($A$13:$A76))),""),"")</f>
        <v/>
      </c>
      <c r="DM76" s="1387">
        <v>32814</v>
      </c>
      <c r="DN76" s="338" t="s">
        <v>338</v>
      </c>
      <c r="DP76" s="236">
        <v>5.04</v>
      </c>
      <c r="DQ76" s="236" t="s">
        <v>331</v>
      </c>
      <c r="DV76" s="340">
        <v>3</v>
      </c>
      <c r="DW76" s="340" t="s">
        <v>330</v>
      </c>
      <c r="DX76" s="1671"/>
      <c r="EB76" s="549" t="s">
        <v>358</v>
      </c>
      <c r="EC76" s="553" t="str">
        <f>VLOOKUP(EB76,Data1!$A$405:$H$471,8)</f>
        <v>Small</v>
      </c>
      <c r="ED76" s="549" t="s">
        <v>3138</v>
      </c>
      <c r="EE76" s="549" t="s">
        <v>3139</v>
      </c>
      <c r="EF76" s="1234">
        <v>30.761424999999999</v>
      </c>
      <c r="EG76" s="1234">
        <v>-85.542275000000004</v>
      </c>
      <c r="EH76" s="551" t="s">
        <v>635</v>
      </c>
      <c r="EI76" s="1235" t="s">
        <v>636</v>
      </c>
      <c r="EJ76" s="1234" t="str">
        <f t="shared" si="23"/>
        <v>Washington - Tranquility at Chipley</v>
      </c>
      <c r="EK76" s="561" t="str">
        <f t="shared" si="11"/>
        <v>Family</v>
      </c>
      <c r="EL76" s="1234" t="str">
        <f t="shared" si="24"/>
        <v>(30.761425, -85.542275)</v>
      </c>
      <c r="EM76" s="1235" t="str">
        <f t="shared" si="25"/>
        <v>&lt;31</v>
      </c>
      <c r="EN76" s="1255" t="str">
        <f t="shared" si="14"/>
        <v/>
      </c>
      <c r="EO76" s="1952" t="str">
        <f t="shared" si="15"/>
        <v>Washington - Tranquility at Chipley</v>
      </c>
      <c r="EP76" s="1951">
        <f t="shared" si="16"/>
        <v>4243.9558990601572</v>
      </c>
      <c r="EQ76" s="1255" t="str">
        <f t="shared" si="17"/>
        <v>No</v>
      </c>
      <c r="ER76" s="1255" t="str">
        <f>VLOOKUP(EB76,Data1!$G$405:$H$471,2)</f>
        <v>Small</v>
      </c>
      <c r="ET76" s="644" t="str">
        <f>IF(EU76&gt;0,SUM(EU$13:EU76),"")</f>
        <v/>
      </c>
      <c r="EU76" s="1255">
        <f t="shared" si="18"/>
        <v>0</v>
      </c>
      <c r="EV76" s="1149" t="str">
        <f t="shared" si="19"/>
        <v>Washington - Tranquility at Chipley</v>
      </c>
    </row>
    <row r="77" spans="1:152" ht="14.65" customHeight="1">
      <c r="A77" s="339">
        <v>33953</v>
      </c>
      <c r="B77" s="338" t="s">
        <v>294</v>
      </c>
      <c r="E77" s="858"/>
      <c r="F77" s="338">
        <v>503.12</v>
      </c>
      <c r="G77" s="338" t="s">
        <v>289</v>
      </c>
      <c r="L77" s="2481">
        <v>602.01</v>
      </c>
      <c r="M77" s="340" t="s">
        <v>288</v>
      </c>
      <c r="N77" s="1390"/>
      <c r="O77" s="2479"/>
      <c r="P77" s="2282"/>
      <c r="R77" s="341" t="str">
        <f t="array" ref="R77">IFERROR(IF($R$11="Metro",INDEX($F$13:$F$829,SMALL(IF((County=$G$13:$G$829),MATCH(ROW($G$13:$G$829),ROW($G$13:$G$829)),""),ROWS($A$13:A77))),INDEX($I$13:$I$44,SMALL(IF((County=$J$13:$J$44),MATCH(ROW($J$13:$J$44),ROW($J$13:$J$44)),""),ROWS($A$13:A77)))),"")</f>
        <v/>
      </c>
      <c r="T77" s="341" t="str">
        <f t="array" ref="T77">IFERROR(IF($T$11="Yes",INDEX($L$13:$L$2813,SMALL(IF((County=$M$13:$M$2813),MATCH(ROW($M$13:$M$2813),ROW($M$13:$M$2813)),""),ROWS($A$13:A77))),""),"")</f>
        <v/>
      </c>
      <c r="V77" s="2283" t="str">
        <f t="array" ref="V77">IFERROR(IF($T$11="Yes",INDEX($O$14:$O$2811,SMALL(IF((County=$P$14:$P$2811),MATCH(ROW($P$14:$P$2811),ROW($P$14:$P$2811)),""),ROWS($A$13:A77))),""),"")</f>
        <v/>
      </c>
      <c r="X77" s="339">
        <v>32738</v>
      </c>
      <c r="Y77" s="338" t="s">
        <v>355</v>
      </c>
      <c r="AA77" s="338">
        <v>6.03</v>
      </c>
      <c r="AB77" s="338" t="s">
        <v>328</v>
      </c>
      <c r="AG77" s="2297">
        <v>3.02</v>
      </c>
      <c r="AH77" s="2297" t="s">
        <v>297</v>
      </c>
      <c r="AI77" s="1390"/>
      <c r="AJ77" s="2282"/>
      <c r="AK77" s="2282"/>
      <c r="AL77" s="1037"/>
      <c r="AM77" s="339">
        <v>32212</v>
      </c>
      <c r="AN77" s="338" t="s">
        <v>302</v>
      </c>
      <c r="AQ77" s="858"/>
      <c r="AR77" s="338">
        <v>503.11</v>
      </c>
      <c r="AS77" s="338" t="s">
        <v>289</v>
      </c>
      <c r="AX77" s="340">
        <v>611</v>
      </c>
      <c r="AY77" s="340" t="s">
        <v>288</v>
      </c>
      <c r="BA77" s="341" t="str">
        <f t="array" ref="BA77">IFERROR(IF($BA$11="Metro",INDEX($AR$13:$AR$814,SMALL(IF((County=$AS$13:$AS$814),MATCH(ROW($AS$13:$AS$814),ROW($AS$13:$AS$814)),""),ROWS($A$13:$A77))),INDEX($AU$13:$AU$48,SMALL(IF((County=$AV$13:$AV$48),MATCH(ROW($AV$13:$AV$48),ROW($AV$13:$AV$48)),""),ROWS($A$13:$A77)))),"")</f>
        <v/>
      </c>
      <c r="BC77" s="341" t="str">
        <f t="array" ref="BC77">IFERROR(IF($BC$11="Yes",INDEX($AX$13:$AX$2950,SMALL(IF((County=$AY$13:$AY$2950),MATCH(ROW($AY$13:$AY$2950),ROW($AY$13:$AY$2950)),""),ROWS($A$13:$A77))),""),"")</f>
        <v/>
      </c>
      <c r="BE77" s="339">
        <v>32820</v>
      </c>
      <c r="BF77" s="338" t="s">
        <v>338</v>
      </c>
      <c r="BH77" s="338">
        <v>4.18</v>
      </c>
      <c r="BI77" s="338" t="s">
        <v>331</v>
      </c>
      <c r="BN77" s="340">
        <v>2.25</v>
      </c>
      <c r="BO77" s="340" t="s">
        <v>331</v>
      </c>
      <c r="BP77" s="1385"/>
      <c r="BQ77" s="341">
        <v>34102</v>
      </c>
      <c r="BR77" s="338" t="s">
        <v>297</v>
      </c>
      <c r="BU77" s="858"/>
      <c r="BV77" s="338">
        <v>2.04</v>
      </c>
      <c r="BW77" s="338" t="s">
        <v>285</v>
      </c>
      <c r="BY77" s="236">
        <v>9702.01</v>
      </c>
      <c r="BZ77" s="236" t="s">
        <v>312</v>
      </c>
      <c r="CB77" s="340">
        <v>3.01</v>
      </c>
      <c r="CC77" s="340" t="s">
        <v>287</v>
      </c>
      <c r="CE77" s="341" t="str">
        <f t="array" ref="CE77">IFERROR(IF($CE$11="Metro",INDEX($BV$13:$BV$4972,SMALL(IF((County=$BW$13:$BW$4972),MATCH(ROW($BW$13:$BW$4972),ROW($BW$13:$BW$4972)),""),ROWS($A$13:$A77))),INDEX($BY$13:$BY$212,SMALL(IF((County=$BZ$13:$BZ$212),MATCH(ROW($BZ$13:$BZ$212),ROW($BZ$13:$BZ$212)),""),ROWS($A$13:$A77)))),"")</f>
        <v/>
      </c>
      <c r="CG77" s="341" t="str">
        <f t="array" ref="CG77">IFERROR(IF($CG$11="Yes",INDEX($CB$13:$CB$2950,SMALL(IF((County=$CC$13:$CC$2950),MATCH(ROW($CC$13:$CC$2950),ROW($CC$13:$CC$2950)),""),ROWS($A$13:$A77))),""),"")</f>
        <v/>
      </c>
      <c r="CI77" s="1583">
        <v>32819</v>
      </c>
      <c r="CJ77" s="338" t="s">
        <v>338</v>
      </c>
      <c r="CL77" s="236">
        <v>2.04</v>
      </c>
      <c r="CM77" s="236" t="s">
        <v>331</v>
      </c>
      <c r="CO77" s="236">
        <v>9101.02</v>
      </c>
      <c r="CP77" s="236" t="s">
        <v>337</v>
      </c>
      <c r="CR77" s="340">
        <v>3</v>
      </c>
      <c r="CS77" s="340" t="s">
        <v>309</v>
      </c>
      <c r="CT77" s="1384"/>
      <c r="CU77" s="341">
        <v>34120</v>
      </c>
      <c r="CV77" s="338" t="s">
        <v>297</v>
      </c>
      <c r="CZ77" s="1795">
        <v>417</v>
      </c>
      <c r="DA77" s="338" t="s">
        <v>289</v>
      </c>
      <c r="DF77" s="340">
        <v>602.01</v>
      </c>
      <c r="DG77" s="340" t="s">
        <v>288</v>
      </c>
      <c r="DI77" s="341" t="str">
        <f t="array" ref="DI77">IFERROR(IF($DI$11="Metro",INDEX($CZ$13:$CZ$929,SMALL(IF((County=$DA$13:$DA$929),MATCH(ROW($DA$13:$DA$929),ROW($DA$13:$DA$929)),""),ROWS($A$13:$A77))),INDEX($DC$13:$DC$212,SMALL(IF((County=$DD$13:$DD$212),MATCH(ROW($DD$13:$DD$212),ROW($DD$13:$DD$212)),""),ROWS($A$13:$A77)))),"")</f>
        <v/>
      </c>
      <c r="DK77" s="341" t="str">
        <f t="array" ref="DK77">IFERROR(IF($DK$11="Yes",INDEX($DF$13:$DF$2838,SMALL(IF((County=$DG$13:$DG$2838),MATCH(ROW($DG$13:$DG$2838),ROW($DG$13:$DG$2838)),""),ROWS($A$13:$A77))),""),"")</f>
        <v/>
      </c>
      <c r="DM77" s="1387">
        <v>32816</v>
      </c>
      <c r="DN77" s="338" t="s">
        <v>338</v>
      </c>
      <c r="DP77" s="236">
        <v>5.05</v>
      </c>
      <c r="DQ77" s="236" t="s">
        <v>331</v>
      </c>
      <c r="DV77" s="340">
        <v>3.01</v>
      </c>
      <c r="DW77" s="340" t="s">
        <v>287</v>
      </c>
      <c r="DX77" s="1671"/>
    </row>
    <row r="78" spans="1:152" ht="14.65" customHeight="1">
      <c r="A78" s="339">
        <v>33954</v>
      </c>
      <c r="B78" s="338" t="s">
        <v>294</v>
      </c>
      <c r="E78" s="858"/>
      <c r="F78" s="338">
        <v>503.14</v>
      </c>
      <c r="G78" s="338" t="s">
        <v>289</v>
      </c>
      <c r="L78" s="2481">
        <v>602.02</v>
      </c>
      <c r="M78" s="340" t="s">
        <v>288</v>
      </c>
      <c r="N78" s="1390"/>
      <c r="O78" s="2479"/>
      <c r="P78" s="2282"/>
      <c r="R78" s="341" t="str">
        <f t="array" ref="R78">IFERROR(IF($R$11="Metro",INDEX($F$13:$F$829,SMALL(IF((County=$G$13:$G$829),MATCH(ROW($G$13:$G$829),ROW($G$13:$G$829)),""),ROWS($A$13:A78))),INDEX($I$13:$I$44,SMALL(IF((County=$J$13:$J$44),MATCH(ROW($J$13:$J$44),ROW($J$13:$J$44)),""),ROWS($A$13:A78)))),"")</f>
        <v/>
      </c>
      <c r="T78" s="341" t="str">
        <f t="array" ref="T78">IFERROR(IF($T$11="Yes",INDEX($L$13:$L$2813,SMALL(IF((County=$M$13:$M$2813),MATCH(ROW($M$13:$M$2813),ROW($M$13:$M$2813)),""),ROWS($A$13:A78))),""),"")</f>
        <v/>
      </c>
      <c r="V78" s="2283" t="str">
        <f t="array" ref="V78">IFERROR(IF($T$11="Yes",INDEX($O$14:$O$2811,SMALL(IF((County=$P$14:$P$2811),MATCH(ROW($P$14:$P$2811),ROW($P$14:$P$2811)),""),ROWS($A$13:A78))),""),"")</f>
        <v/>
      </c>
      <c r="X78" s="339">
        <v>32746</v>
      </c>
      <c r="Y78" s="338" t="s">
        <v>348</v>
      </c>
      <c r="AA78" s="338">
        <v>6.04</v>
      </c>
      <c r="AB78" s="338" t="s">
        <v>328</v>
      </c>
      <c r="AG78" s="2297">
        <v>3.02</v>
      </c>
      <c r="AH78" s="2297" t="s">
        <v>324</v>
      </c>
      <c r="AI78" s="1390"/>
      <c r="AJ78" s="2282"/>
      <c r="AK78" s="2282"/>
      <c r="AL78" s="1037"/>
      <c r="AM78" s="339">
        <v>32224</v>
      </c>
      <c r="AN78" s="338" t="s">
        <v>302</v>
      </c>
      <c r="AQ78" s="858"/>
      <c r="AR78" s="338">
        <v>503.12</v>
      </c>
      <c r="AS78" s="338" t="s">
        <v>289</v>
      </c>
      <c r="AX78" s="340">
        <v>612.01</v>
      </c>
      <c r="AY78" s="340" t="s">
        <v>288</v>
      </c>
      <c r="BA78" s="341" t="str">
        <f t="array" ref="BA78">IFERROR(IF($BA$11="Metro",INDEX($AR$13:$AR$814,SMALL(IF((County=$AS$13:$AS$814),MATCH(ROW($AS$13:$AS$814),ROW($AS$13:$AS$814)),""),ROWS($A$13:$A78))),INDEX($AU$13:$AU$48,SMALL(IF((County=$AV$13:$AV$48),MATCH(ROW($AV$13:$AV$48),ROW($AV$13:$AV$48)),""),ROWS($A$13:$A78)))),"")</f>
        <v/>
      </c>
      <c r="BC78" s="341" t="str">
        <f t="array" ref="BC78">IFERROR(IF($BC$11="Yes",INDEX($AX$13:$AX$2950,SMALL(IF((County=$AY$13:$AY$2950),MATCH(ROW($AY$13:$AY$2950),ROW($AY$13:$AY$2950)),""),ROWS($A$13:$A78))),""),"")</f>
        <v/>
      </c>
      <c r="BE78" s="339">
        <v>32821</v>
      </c>
      <c r="BF78" s="338" t="s">
        <v>338</v>
      </c>
      <c r="BH78" s="338">
        <v>5.01</v>
      </c>
      <c r="BI78" s="338" t="s">
        <v>324</v>
      </c>
      <c r="BN78" s="340">
        <v>2.2599999999999998</v>
      </c>
      <c r="BO78" s="340" t="s">
        <v>331</v>
      </c>
      <c r="BP78" s="1385"/>
      <c r="BQ78" s="341">
        <v>34103</v>
      </c>
      <c r="BR78" s="338" t="s">
        <v>297</v>
      </c>
      <c r="BU78" s="858"/>
      <c r="BV78" s="338">
        <v>3.01</v>
      </c>
      <c r="BW78" s="338" t="s">
        <v>285</v>
      </c>
      <c r="BY78" s="236">
        <v>9702.02</v>
      </c>
      <c r="BZ78" s="236" t="s">
        <v>312</v>
      </c>
      <c r="CB78" s="340">
        <v>3.02</v>
      </c>
      <c r="CC78" s="340" t="s">
        <v>287</v>
      </c>
      <c r="CE78" s="341" t="str">
        <f t="array" ref="CE78">IFERROR(IF($CE$11="Metro",INDEX($BV$13:$BV$4972,SMALL(IF((County=$BW$13:$BW$4972),MATCH(ROW($BW$13:$BW$4972),ROW($BW$13:$BW$4972)),""),ROWS($A$13:$A78))),INDEX($BY$13:$BY$212,SMALL(IF((County=$BZ$13:$BZ$212),MATCH(ROW($BZ$13:$BZ$212),ROW($BZ$13:$BZ$212)),""),ROWS($A$13:$A78)))),"")</f>
        <v/>
      </c>
      <c r="CG78" s="341" t="str">
        <f t="array" ref="CG78">IFERROR(IF($CG$11="Yes",INDEX($CB$13:$CB$2950,SMALL(IF((County=$CC$13:$CC$2950),MATCH(ROW($CC$13:$CC$2950),ROW($CC$13:$CC$2950)),""),ROWS($A$13:$A78))),""),"")</f>
        <v/>
      </c>
      <c r="CI78" s="1583">
        <v>32820</v>
      </c>
      <c r="CJ78" s="338" t="s">
        <v>338</v>
      </c>
      <c r="CL78" s="236">
        <v>2.04</v>
      </c>
      <c r="CM78" s="236" t="s">
        <v>340</v>
      </c>
      <c r="CO78" s="236">
        <v>9102.01</v>
      </c>
      <c r="CP78" s="236" t="s">
        <v>337</v>
      </c>
      <c r="CR78" s="340">
        <v>3</v>
      </c>
      <c r="CS78" s="340" t="s">
        <v>330</v>
      </c>
      <c r="CT78" s="1384"/>
      <c r="CU78" s="341">
        <v>34145</v>
      </c>
      <c r="CV78" s="338" t="s">
        <v>297</v>
      </c>
      <c r="CZ78" s="1795">
        <v>427</v>
      </c>
      <c r="DA78" s="338" t="s">
        <v>289</v>
      </c>
      <c r="DF78" s="340">
        <v>602.02</v>
      </c>
      <c r="DG78" s="340" t="s">
        <v>288</v>
      </c>
      <c r="DI78" s="341" t="str">
        <f t="array" ref="DI78">IFERROR(IF($DI$11="Metro",INDEX($CZ$13:$CZ$929,SMALL(IF((County=$DA$13:$DA$929),MATCH(ROW($DA$13:$DA$929),ROW($DA$13:$DA$929)),""),ROWS($A$13:$A78))),INDEX($DC$13:$DC$212,SMALL(IF((County=$DD$13:$DD$212),MATCH(ROW($DD$13:$DD$212),ROW($DD$13:$DD$212)),""),ROWS($A$13:$A78)))),"")</f>
        <v/>
      </c>
      <c r="DK78" s="341" t="str">
        <f t="array" ref="DK78">IFERROR(IF($DK$11="Yes",INDEX($DF$13:$DF$2838,SMALL(IF((County=$DG$13:$DG$2838),MATCH(ROW($DG$13:$DG$2838),ROW($DG$13:$DG$2838)),""),ROWS($A$13:$A78))),""),"")</f>
        <v/>
      </c>
      <c r="DM78" s="1387">
        <v>32817</v>
      </c>
      <c r="DN78" s="338" t="s">
        <v>338</v>
      </c>
      <c r="DP78" s="236">
        <v>5.08</v>
      </c>
      <c r="DQ78" s="236" t="s">
        <v>331</v>
      </c>
      <c r="DV78" s="340">
        <v>3.01</v>
      </c>
      <c r="DW78" s="340" t="s">
        <v>297</v>
      </c>
      <c r="DX78" s="1671"/>
      <c r="EB78" s="1584"/>
      <c r="EC78" s="1584"/>
      <c r="ED78" s="1584"/>
      <c r="EE78" s="1584"/>
      <c r="EF78" s="1585"/>
      <c r="EG78" s="1585"/>
      <c r="EH78" s="1586"/>
      <c r="EI78" s="1587"/>
      <c r="EJ78" s="1585"/>
      <c r="EK78" s="1585"/>
      <c r="EL78" s="1585"/>
      <c r="EM78" s="1587"/>
    </row>
    <row r="79" spans="1:152" ht="14.65" customHeight="1">
      <c r="A79" s="339">
        <v>33955</v>
      </c>
      <c r="B79" s="338" t="s">
        <v>294</v>
      </c>
      <c r="E79" s="858"/>
      <c r="F79" s="338">
        <v>508</v>
      </c>
      <c r="G79" s="338" t="s">
        <v>289</v>
      </c>
      <c r="L79" s="2481">
        <v>611</v>
      </c>
      <c r="M79" s="340" t="s">
        <v>288</v>
      </c>
      <c r="N79" s="1390"/>
      <c r="O79" s="2479"/>
      <c r="P79" s="2282"/>
      <c r="R79" s="341" t="str">
        <f t="array" ref="R79">IFERROR(IF($R$11="Metro",INDEX($F$13:$F$829,SMALL(IF((County=$G$13:$G$829),MATCH(ROW($G$13:$G$829),ROW($G$13:$G$829)),""),ROWS($A$13:A79))),INDEX($I$13:$I$44,SMALL(IF((County=$J$13:$J$44),MATCH(ROW($J$13:$J$44),ROW($J$13:$J$44)),""),ROWS($A$13:A79)))),"")</f>
        <v/>
      </c>
      <c r="T79" s="341" t="str">
        <f t="array" ref="T79">IFERROR(IF($T$11="Yes",INDEX($L$13:$L$2813,SMALL(IF((County=$M$13:$M$2813),MATCH(ROW($M$13:$M$2813),ROW($M$13:$M$2813)),""),ROWS($A$13:A79))),""),"")</f>
        <v/>
      </c>
      <c r="V79" s="2283" t="str">
        <f t="array" ref="V79">IFERROR(IF($T$11="Yes",INDEX($O$14:$O$2811,SMALL(IF((County=$P$14:$P$2811),MATCH(ROW($P$14:$P$2811),ROW($P$14:$P$2811)),""),ROWS($A$13:A79))),""),"")</f>
        <v/>
      </c>
      <c r="X79" s="339">
        <v>32751</v>
      </c>
      <c r="Y79" s="338" t="s">
        <v>338</v>
      </c>
      <c r="AA79" s="338">
        <v>6.07</v>
      </c>
      <c r="AB79" s="338" t="s">
        <v>331</v>
      </c>
      <c r="AG79" s="2297">
        <v>3.02</v>
      </c>
      <c r="AH79" s="2297" t="s">
        <v>331</v>
      </c>
      <c r="AI79" s="1390"/>
      <c r="AJ79" s="2282"/>
      <c r="AK79" s="2282"/>
      <c r="AL79" s="1037"/>
      <c r="AM79" s="339">
        <v>32225</v>
      </c>
      <c r="AN79" s="338" t="s">
        <v>302</v>
      </c>
      <c r="AQ79" s="858"/>
      <c r="AR79" s="338">
        <v>503.13</v>
      </c>
      <c r="AS79" s="338" t="s">
        <v>289</v>
      </c>
      <c r="AX79" s="340">
        <v>612.02</v>
      </c>
      <c r="AY79" s="340" t="s">
        <v>288</v>
      </c>
      <c r="BA79" s="341" t="str">
        <f t="array" ref="BA79">IFERROR(IF($BA$11="Metro",INDEX($AR$13:$AR$814,SMALL(IF((County=$AS$13:$AS$814),MATCH(ROW($AS$13:$AS$814),ROW($AS$13:$AS$814)),""),ROWS($A$13:$A79))),INDEX($AU$13:$AU$48,SMALL(IF((County=$AV$13:$AV$48),MATCH(ROW($AV$13:$AV$48),ROW($AV$13:$AV$48)),""),ROWS($A$13:$A79)))),"")</f>
        <v/>
      </c>
      <c r="BC79" s="341" t="str">
        <f t="array" ref="BC79">IFERROR(IF($BC$11="Yes",INDEX($AX$13:$AX$2950,SMALL(IF((County=$AY$13:$AY$2950),MATCH(ROW($AY$13:$AY$2950),ROW($AY$13:$AY$2950)),""),ROWS($A$13:$A79))),""),"")</f>
        <v/>
      </c>
      <c r="BE79" s="339">
        <v>32822</v>
      </c>
      <c r="BF79" s="338" t="s">
        <v>338</v>
      </c>
      <c r="BH79" s="338">
        <v>5.0199999999999996</v>
      </c>
      <c r="BI79" s="338" t="s">
        <v>323</v>
      </c>
      <c r="BN79" s="340">
        <v>3</v>
      </c>
      <c r="BO79" s="340" t="s">
        <v>309</v>
      </c>
      <c r="BP79" s="1385"/>
      <c r="BQ79" s="341">
        <v>34105</v>
      </c>
      <c r="BR79" s="338" t="s">
        <v>297</v>
      </c>
      <c r="BU79" s="858"/>
      <c r="BV79" s="338">
        <v>3.02</v>
      </c>
      <c r="BW79" s="338" t="s">
        <v>285</v>
      </c>
      <c r="BY79" s="236">
        <v>9703.01</v>
      </c>
      <c r="BZ79" s="236" t="s">
        <v>312</v>
      </c>
      <c r="CB79" s="340">
        <v>601.05999999999995</v>
      </c>
      <c r="CC79" s="340" t="s">
        <v>288</v>
      </c>
      <c r="CE79" s="341" t="str">
        <f t="array" ref="CE79">IFERROR(IF($CE$11="Metro",INDEX($BV$13:$BV$4972,SMALL(IF((County=$BW$13:$BW$4972),MATCH(ROW($BW$13:$BW$4972),ROW($BW$13:$BW$4972)),""),ROWS($A$13:$A79))),INDEX($BY$13:$BY$212,SMALL(IF((County=$BZ$13:$BZ$212),MATCH(ROW($BZ$13:$BZ$212),ROW($BZ$13:$BZ$212)),""),ROWS($A$13:$A79)))),"")</f>
        <v/>
      </c>
      <c r="CG79" s="341" t="str">
        <f t="array" ref="CG79">IFERROR(IF($CG$11="Yes",INDEX($CB$13:$CB$2950,SMALL(IF((County=$CC$13:$CC$2950),MATCH(ROW($CC$13:$CC$2950),ROW($CC$13:$CC$2950)),""),ROWS($A$13:$A79))),""),"")</f>
        <v/>
      </c>
      <c r="CI79" s="1583">
        <v>32821</v>
      </c>
      <c r="CJ79" s="338" t="s">
        <v>338</v>
      </c>
      <c r="CL79" s="236">
        <v>2.06</v>
      </c>
      <c r="CM79" s="236" t="s">
        <v>331</v>
      </c>
      <c r="CO79" s="236">
        <v>9102.02</v>
      </c>
      <c r="CP79" s="236" t="s">
        <v>337</v>
      </c>
      <c r="CR79" s="340">
        <v>3.01</v>
      </c>
      <c r="CS79" s="340" t="s">
        <v>287</v>
      </c>
      <c r="CT79" s="1384"/>
      <c r="CU79" s="341">
        <v>32212</v>
      </c>
      <c r="CV79" s="338" t="s">
        <v>302</v>
      </c>
      <c r="CZ79" s="1795">
        <v>428.02</v>
      </c>
      <c r="DA79" s="338" t="s">
        <v>289</v>
      </c>
      <c r="DF79" s="340">
        <v>605</v>
      </c>
      <c r="DG79" s="340" t="s">
        <v>288</v>
      </c>
      <c r="DI79" s="341" t="str">
        <f t="array" ref="DI79">IFERROR(IF($DI$11="Metro",INDEX($CZ$13:$CZ$929,SMALL(IF((County=$DA$13:$DA$929),MATCH(ROW($DA$13:$DA$929),ROW($DA$13:$DA$929)),""),ROWS($A$13:$A79))),INDEX($DC$13:$DC$212,SMALL(IF((County=$DD$13:$DD$212),MATCH(ROW($DD$13:$DD$212),ROW($DD$13:$DD$212)),""),ROWS($A$13:$A79)))),"")</f>
        <v/>
      </c>
      <c r="DK79" s="341" t="str">
        <f t="array" ref="DK79">IFERROR(IF($DK$11="Yes",INDEX($DF$13:$DF$2838,SMALL(IF((County=$DG$13:$DG$2838),MATCH(ROW($DG$13:$DG$2838),ROW($DG$13:$DG$2838)),""),ROWS($A$13:$A79))),""),"")</f>
        <v/>
      </c>
      <c r="DM79" s="1387">
        <v>32819</v>
      </c>
      <c r="DN79" s="338" t="s">
        <v>338</v>
      </c>
      <c r="DP79" s="236">
        <v>5.09</v>
      </c>
      <c r="DQ79" s="236" t="s">
        <v>331</v>
      </c>
      <c r="DV79" s="340">
        <v>3.01</v>
      </c>
      <c r="DW79" s="340" t="s">
        <v>324</v>
      </c>
      <c r="DX79" s="1671"/>
      <c r="EB79" s="1584"/>
      <c r="EC79" s="1584"/>
      <c r="ED79" s="1584"/>
      <c r="EE79" s="1584"/>
      <c r="EF79" s="1585"/>
      <c r="EG79" s="1585"/>
      <c r="EH79" s="1586"/>
      <c r="EI79" s="1587"/>
      <c r="EJ79" s="1585"/>
      <c r="EK79" s="1585"/>
      <c r="EL79" s="1585"/>
      <c r="EM79" s="1587"/>
    </row>
    <row r="80" spans="1:152" ht="14.65" customHeight="1">
      <c r="A80" s="339">
        <v>33981</v>
      </c>
      <c r="B80" s="338" t="s">
        <v>294</v>
      </c>
      <c r="E80" s="858"/>
      <c r="F80" s="338">
        <v>601.24</v>
      </c>
      <c r="G80" s="338" t="s">
        <v>289</v>
      </c>
      <c r="L80" s="2481">
        <v>612.01</v>
      </c>
      <c r="M80" s="340" t="s">
        <v>288</v>
      </c>
      <c r="N80" s="1390"/>
      <c r="O80" s="2479"/>
      <c r="P80" s="2282"/>
      <c r="R80" s="341" t="str">
        <f t="array" ref="R80">IFERROR(IF($R$11="Metro",INDEX($F$13:$F$829,SMALL(IF((County=$G$13:$G$829),MATCH(ROW($G$13:$G$829),ROW($G$13:$G$829)),""),ROWS($A$13:A80))),INDEX($I$13:$I$44,SMALL(IF((County=$J$13:$J$44),MATCH(ROW($J$13:$J$44),ROW($J$13:$J$44)),""),ROWS($A$13:A80)))),"")</f>
        <v/>
      </c>
      <c r="T80" s="341" t="str">
        <f t="array" ref="T80">IFERROR(IF($T$11="Yes",INDEX($L$13:$L$2813,SMALL(IF((County=$M$13:$M$2813),MATCH(ROW($M$13:$M$2813),ROW($M$13:$M$2813)),""),ROWS($A$13:A80))),""),"")</f>
        <v/>
      </c>
      <c r="V80" s="2283" t="str">
        <f t="array" ref="V80">IFERROR(IF($T$11="Yes",INDEX($O$14:$O$2811,SMALL(IF((County=$P$14:$P$2811),MATCH(ROW($P$14:$P$2811),ROW($P$14:$P$2811)),""),ROWS($A$13:A80))),""),"")</f>
        <v/>
      </c>
      <c r="X80" s="339">
        <v>32763</v>
      </c>
      <c r="Y80" s="338" t="s">
        <v>355</v>
      </c>
      <c r="AA80" s="338">
        <v>6.09</v>
      </c>
      <c r="AB80" s="338" t="s">
        <v>331</v>
      </c>
      <c r="AG80" s="2297">
        <v>3.03</v>
      </c>
      <c r="AH80" s="2297" t="s">
        <v>324</v>
      </c>
      <c r="AI80" s="1390"/>
      <c r="AJ80" s="2282"/>
      <c r="AK80" s="2282"/>
      <c r="AL80" s="1037"/>
      <c r="AM80" s="339">
        <v>32226</v>
      </c>
      <c r="AN80" s="338" t="s">
        <v>302</v>
      </c>
      <c r="AQ80" s="858"/>
      <c r="AR80" s="338">
        <v>503.14</v>
      </c>
      <c r="AS80" s="338" t="s">
        <v>289</v>
      </c>
      <c r="AX80" s="340">
        <v>621.08000000000004</v>
      </c>
      <c r="AY80" s="340" t="s">
        <v>288</v>
      </c>
      <c r="BA80" s="341" t="str">
        <f t="array" ref="BA80">IFERROR(IF($BA$11="Metro",INDEX($AR$13:$AR$814,SMALL(IF((County=$AS$13:$AS$814),MATCH(ROW($AS$13:$AS$814),ROW($AS$13:$AS$814)),""),ROWS($A$13:$A80))),INDEX($AU$13:$AU$48,SMALL(IF((County=$AV$13:$AV$48),MATCH(ROW($AV$13:$AV$48),ROW($AV$13:$AV$48)),""),ROWS($A$13:$A80)))),"")</f>
        <v/>
      </c>
      <c r="BC80" s="341" t="str">
        <f t="array" ref="BC80">IFERROR(IF($BC$11="Yes",INDEX($AX$13:$AX$2950,SMALL(IF((County=$AY$13:$AY$2950),MATCH(ROW($AY$13:$AY$2950),ROW($AY$13:$AY$2950)),""),ROWS($A$13:$A80))),""),"")</f>
        <v/>
      </c>
      <c r="BE80" s="339">
        <v>32824</v>
      </c>
      <c r="BF80" s="338" t="s">
        <v>338</v>
      </c>
      <c r="BH80" s="338">
        <v>5.0199999999999996</v>
      </c>
      <c r="BI80" s="338" t="s">
        <v>324</v>
      </c>
      <c r="BN80" s="340">
        <v>3</v>
      </c>
      <c r="BO80" s="340" t="s">
        <v>330</v>
      </c>
      <c r="BP80" s="1385"/>
      <c r="BQ80" s="341">
        <v>34108</v>
      </c>
      <c r="BR80" s="338" t="s">
        <v>297</v>
      </c>
      <c r="BU80" s="858"/>
      <c r="BV80" s="338">
        <v>4.01</v>
      </c>
      <c r="BW80" s="338" t="s">
        <v>285</v>
      </c>
      <c r="BY80" s="236">
        <v>9703.02</v>
      </c>
      <c r="BZ80" s="236" t="s">
        <v>312</v>
      </c>
      <c r="CB80" s="340">
        <v>602.01</v>
      </c>
      <c r="CC80" s="340" t="s">
        <v>288</v>
      </c>
      <c r="CE80" s="341" t="str">
        <f t="array" ref="CE80">IFERROR(IF($CE$11="Metro",INDEX($BV$13:$BV$4972,SMALL(IF((County=$BW$13:$BW$4972),MATCH(ROW($BW$13:$BW$4972),ROW($BW$13:$BW$4972)),""),ROWS($A$13:$A80))),INDEX($BY$13:$BY$212,SMALL(IF((County=$BZ$13:$BZ$212),MATCH(ROW($BZ$13:$BZ$212),ROW($BZ$13:$BZ$212)),""),ROWS($A$13:$A80)))),"")</f>
        <v/>
      </c>
      <c r="CG80" s="341" t="str">
        <f t="array" ref="CG80">IFERROR(IF($CG$11="Yes",INDEX($CB$13:$CB$2950,SMALL(IF((County=$CC$13:$CC$2950),MATCH(ROW($CC$13:$CC$2950),ROW($CC$13:$CC$2950)),""),ROWS($A$13:$A80))),""),"")</f>
        <v/>
      </c>
      <c r="CI80" s="1583">
        <v>32822</v>
      </c>
      <c r="CJ80" s="338" t="s">
        <v>338</v>
      </c>
      <c r="CL80" s="236">
        <v>2.08</v>
      </c>
      <c r="CM80" s="236" t="s">
        <v>340</v>
      </c>
      <c r="CO80" s="236">
        <v>9103</v>
      </c>
      <c r="CP80" s="236" t="s">
        <v>337</v>
      </c>
      <c r="CR80" s="340">
        <v>3.01</v>
      </c>
      <c r="CS80" s="340" t="s">
        <v>297</v>
      </c>
      <c r="CT80" s="1384"/>
      <c r="CU80" s="341">
        <v>32221</v>
      </c>
      <c r="CV80" s="338" t="s">
        <v>302</v>
      </c>
      <c r="CZ80" s="1795">
        <v>503.08</v>
      </c>
      <c r="DA80" s="338" t="s">
        <v>289</v>
      </c>
      <c r="DF80" s="340">
        <v>611</v>
      </c>
      <c r="DG80" s="340" t="s">
        <v>288</v>
      </c>
      <c r="DI80" s="341" t="str">
        <f t="array" ref="DI80">IFERROR(IF($DI$11="Metro",INDEX($CZ$13:$CZ$929,SMALL(IF((County=$DA$13:$DA$929),MATCH(ROW($DA$13:$DA$929),ROW($DA$13:$DA$929)),""),ROWS($A$13:$A80))),INDEX($DC$13:$DC$212,SMALL(IF((County=$DD$13:$DD$212),MATCH(ROW($DD$13:$DD$212),ROW($DD$13:$DD$212)),""),ROWS($A$13:$A80)))),"")</f>
        <v/>
      </c>
      <c r="DK80" s="341" t="str">
        <f t="array" ref="DK80">IFERROR(IF($DK$11="Yes",INDEX($DF$13:$DF$2838,SMALL(IF((County=$DG$13:$DG$2838),MATCH(ROW($DG$13:$DG$2838),ROW($DG$13:$DG$2838)),""),ROWS($A$13:$A80))),""),"")</f>
        <v/>
      </c>
      <c r="DM80" s="1387">
        <v>32820</v>
      </c>
      <c r="DN80" s="338" t="s">
        <v>338</v>
      </c>
      <c r="DP80" s="236">
        <v>6</v>
      </c>
      <c r="DQ80" s="236" t="s">
        <v>276</v>
      </c>
      <c r="DV80" s="340">
        <v>3.01</v>
      </c>
      <c r="DW80" s="340" t="s">
        <v>340</v>
      </c>
      <c r="DX80" s="1671"/>
      <c r="EB80" s="1584"/>
      <c r="EC80" s="1584"/>
      <c r="ED80" s="1584"/>
      <c r="EE80" s="1584"/>
      <c r="EF80" s="1585"/>
      <c r="EG80" s="1585"/>
      <c r="EH80" s="1586"/>
      <c r="EI80" s="1587"/>
      <c r="EJ80" s="1585"/>
      <c r="EK80" s="1585"/>
      <c r="EL80" s="1585"/>
      <c r="EM80" s="1587"/>
    </row>
    <row r="81" spans="1:143" ht="14.65" customHeight="1">
      <c r="A81" s="339">
        <v>33990</v>
      </c>
      <c r="B81" s="338" t="s">
        <v>294</v>
      </c>
      <c r="E81" s="858"/>
      <c r="F81" s="338">
        <v>601.28</v>
      </c>
      <c r="G81" s="338" t="s">
        <v>289</v>
      </c>
      <c r="L81" s="2481">
        <v>612.02</v>
      </c>
      <c r="M81" s="340" t="s">
        <v>288</v>
      </c>
      <c r="N81" s="1390"/>
      <c r="O81" s="2479"/>
      <c r="P81" s="2282"/>
      <c r="R81" s="341" t="str">
        <f t="array" ref="R81">IFERROR(IF($R$11="Metro",INDEX($F$13:$F$829,SMALL(IF((County=$G$13:$G$829),MATCH(ROW($G$13:$G$829),ROW($G$13:$G$829)),""),ROWS($A$13:A81))),INDEX($I$13:$I$44,SMALL(IF((County=$J$13:$J$44),MATCH(ROW($J$13:$J$44),ROW($J$13:$J$44)),""),ROWS($A$13:A81)))),"")</f>
        <v/>
      </c>
      <c r="T81" s="341" t="str">
        <f t="array" ref="T81">IFERROR(IF($T$11="Yes",INDEX($L$13:$L$2813,SMALL(IF((County=$M$13:$M$2813),MATCH(ROW($M$13:$M$2813),ROW($M$13:$M$2813)),""),ROWS($A$13:A81))),""),"")</f>
        <v/>
      </c>
      <c r="V81" s="2283" t="str">
        <f t="array" ref="V81">IFERROR(IF($T$11="Yes",INDEX($O$14:$O$2811,SMALL(IF((County=$P$14:$P$2811),MATCH(ROW($P$14:$P$2811),ROW($P$14:$P$2811)),""),ROWS($A$13:A81))),""),"")</f>
        <v/>
      </c>
      <c r="X81" s="339">
        <v>32764</v>
      </c>
      <c r="Y81" s="338" t="s">
        <v>355</v>
      </c>
      <c r="AA81" s="338">
        <v>6.1</v>
      </c>
      <c r="AB81" s="338" t="s">
        <v>331</v>
      </c>
      <c r="AG81" s="2297">
        <v>3.03</v>
      </c>
      <c r="AH81" s="2297" t="s">
        <v>340</v>
      </c>
      <c r="AI81" s="1390"/>
      <c r="AJ81" s="2282"/>
      <c r="AK81" s="2282"/>
      <c r="AL81" s="1037"/>
      <c r="AM81" s="339">
        <v>32227</v>
      </c>
      <c r="AN81" s="338" t="s">
        <v>302</v>
      </c>
      <c r="AQ81" s="858"/>
      <c r="AR81" s="338">
        <v>507.02</v>
      </c>
      <c r="AS81" s="338" t="s">
        <v>289</v>
      </c>
      <c r="AX81" s="340">
        <v>621.1</v>
      </c>
      <c r="AY81" s="340" t="s">
        <v>288</v>
      </c>
      <c r="BA81" s="341" t="str">
        <f t="array" ref="BA81">IFERROR(IF($BA$11="Metro",INDEX($AR$13:$AR$814,SMALL(IF((County=$AS$13:$AS$814),MATCH(ROW($AS$13:$AS$814),ROW($AS$13:$AS$814)),""),ROWS($A$13:$A81))),INDEX($AU$13:$AU$48,SMALL(IF((County=$AV$13:$AV$48),MATCH(ROW($AV$13:$AV$48),ROW($AV$13:$AV$48)),""),ROWS($A$13:$A81)))),"")</f>
        <v/>
      </c>
      <c r="BC81" s="341" t="str">
        <f t="array" ref="BC81">IFERROR(IF($BC$11="Yes",INDEX($AX$13:$AX$2950,SMALL(IF((County=$AY$13:$AY$2950),MATCH(ROW($AY$13:$AY$2950),ROW($AY$13:$AY$2950)),""),ROWS($A$13:$A81))),""),"")</f>
        <v/>
      </c>
      <c r="BE81" s="339">
        <v>32827</v>
      </c>
      <c r="BF81" s="338" t="s">
        <v>338</v>
      </c>
      <c r="BH81" s="338">
        <v>5.03</v>
      </c>
      <c r="BI81" s="338" t="s">
        <v>347</v>
      </c>
      <c r="BN81" s="340">
        <v>3.01</v>
      </c>
      <c r="BO81" s="340" t="s">
        <v>287</v>
      </c>
      <c r="BP81" s="1385"/>
      <c r="BQ81" s="341">
        <v>34109</v>
      </c>
      <c r="BR81" s="338" t="s">
        <v>297</v>
      </c>
      <c r="BU81" s="858"/>
      <c r="BV81" s="338">
        <v>4.0199999999999996</v>
      </c>
      <c r="BW81" s="338" t="s">
        <v>285</v>
      </c>
      <c r="BY81" s="236">
        <v>9704.01</v>
      </c>
      <c r="BZ81" s="236" t="s">
        <v>312</v>
      </c>
      <c r="CB81" s="340">
        <v>611</v>
      </c>
      <c r="CC81" s="340" t="s">
        <v>288</v>
      </c>
      <c r="CE81" s="341" t="str">
        <f t="array" ref="CE81">IFERROR(IF($CE$11="Metro",INDEX($BV$13:$BV$4972,SMALL(IF((County=$BW$13:$BW$4972),MATCH(ROW($BW$13:$BW$4972),ROW($BW$13:$BW$4972)),""),ROWS($A$13:$A81))),INDEX($BY$13:$BY$212,SMALL(IF((County=$BZ$13:$BZ$212),MATCH(ROW($BZ$13:$BZ$212),ROW($BZ$13:$BZ$212)),""),ROWS($A$13:$A81)))),"")</f>
        <v/>
      </c>
      <c r="CG81" s="341" t="str">
        <f t="array" ref="CG81">IFERROR(IF($CG$11="Yes",INDEX($CB$13:$CB$2950,SMALL(IF((County=$CC$13:$CC$2950),MATCH(ROW($CC$13:$CC$2950),ROW($CC$13:$CC$2950)),""),ROWS($A$13:$A81))),""),"")</f>
        <v/>
      </c>
      <c r="CI81" s="1583">
        <v>32824</v>
      </c>
      <c r="CJ81" s="338" t="s">
        <v>338</v>
      </c>
      <c r="CL81" s="236">
        <v>2.1</v>
      </c>
      <c r="CM81" s="236" t="s">
        <v>340</v>
      </c>
      <c r="CO81" s="236">
        <v>9104.01</v>
      </c>
      <c r="CP81" s="236" t="s">
        <v>337</v>
      </c>
      <c r="CR81" s="340">
        <v>3.01</v>
      </c>
      <c r="CS81" s="340" t="s">
        <v>324</v>
      </c>
      <c r="CT81" s="1384"/>
      <c r="CU81" s="341">
        <v>32224</v>
      </c>
      <c r="CV81" s="338" t="s">
        <v>302</v>
      </c>
      <c r="CZ81" s="1795">
        <v>503.09</v>
      </c>
      <c r="DA81" s="338" t="s">
        <v>289</v>
      </c>
      <c r="DF81" s="340">
        <v>612.01</v>
      </c>
      <c r="DG81" s="340" t="s">
        <v>288</v>
      </c>
      <c r="DI81" s="341" t="str">
        <f t="array" ref="DI81">IFERROR(IF($DI$11="Metro",INDEX($CZ$13:$CZ$929,SMALL(IF((County=$DA$13:$DA$929),MATCH(ROW($DA$13:$DA$929),ROW($DA$13:$DA$929)),""),ROWS($A$13:$A81))),INDEX($DC$13:$DC$212,SMALL(IF((County=$DD$13:$DD$212),MATCH(ROW($DD$13:$DD$212),ROW($DD$13:$DD$212)),""),ROWS($A$13:$A81)))),"")</f>
        <v/>
      </c>
      <c r="DK81" s="341" t="str">
        <f t="array" ref="DK81">IFERROR(IF($DK$11="Yes",INDEX($DF$13:$DF$2838,SMALL(IF((County=$DG$13:$DG$2838),MATCH(ROW($DG$13:$DG$2838),ROW($DG$13:$DG$2838)),""),ROWS($A$13:$A81))),""),"")</f>
        <v/>
      </c>
      <c r="DM81" s="1387">
        <v>32821</v>
      </c>
      <c r="DN81" s="338" t="s">
        <v>338</v>
      </c>
      <c r="DP81" s="236">
        <v>6</v>
      </c>
      <c r="DQ81" s="236" t="s">
        <v>302</v>
      </c>
      <c r="DV81" s="340">
        <v>3.02</v>
      </c>
      <c r="DW81" s="340" t="s">
        <v>297</v>
      </c>
      <c r="DX81" s="1671"/>
      <c r="EB81" s="1584"/>
      <c r="EC81" s="1584"/>
      <c r="ED81" s="1584"/>
      <c r="EE81" s="1584"/>
      <c r="EF81" s="1585"/>
      <c r="EG81" s="1585"/>
      <c r="EH81" s="1586"/>
      <c r="EI81" s="1587"/>
      <c r="EJ81" s="1585"/>
      <c r="EK81" s="1585"/>
      <c r="EL81" s="1585"/>
      <c r="EM81" s="1587"/>
    </row>
    <row r="82" spans="1:143" ht="14.65" customHeight="1">
      <c r="A82" s="339">
        <v>33991</v>
      </c>
      <c r="B82" s="338" t="s">
        <v>294</v>
      </c>
      <c r="E82" s="858"/>
      <c r="F82" s="338">
        <v>602.03</v>
      </c>
      <c r="G82" s="338" t="s">
        <v>289</v>
      </c>
      <c r="L82" s="2481">
        <v>621.08000000000004</v>
      </c>
      <c r="M82" s="340" t="s">
        <v>288</v>
      </c>
      <c r="N82" s="1390"/>
      <c r="O82" s="2479"/>
      <c r="P82" s="2282"/>
      <c r="R82" s="341" t="str">
        <f t="array" ref="R82">IFERROR(IF($R$11="Metro",INDEX($F$13:$F$829,SMALL(IF((County=$G$13:$G$829),MATCH(ROW($G$13:$G$829),ROW($G$13:$G$829)),""),ROWS($A$13:A82))),INDEX($I$13:$I$44,SMALL(IF((County=$J$13:$J$44),MATCH(ROW($J$13:$J$44),ROW($J$13:$J$44)),""),ROWS($A$13:A82)))),"")</f>
        <v/>
      </c>
      <c r="T82" s="341" t="str">
        <f t="array" ref="T82">IFERROR(IF($T$11="Yes",INDEX($L$13:$L$2813,SMALL(IF((County=$M$13:$M$2813),MATCH(ROW($M$13:$M$2813),ROW($M$13:$M$2813)),""),ROWS($A$13:A82))),""),"")</f>
        <v/>
      </c>
      <c r="V82" s="2283" t="str">
        <f t="array" ref="V82">IFERROR(IF($T$11="Yes",INDEX($O$14:$O$2811,SMALL(IF((County=$P$14:$P$2811),MATCH(ROW($P$14:$P$2811),ROW($P$14:$P$2811)),""),ROWS($A$13:A82))),""),"")</f>
        <v/>
      </c>
      <c r="X82" s="339">
        <v>32765</v>
      </c>
      <c r="Y82" s="338" t="s">
        <v>348</v>
      </c>
      <c r="AA82" s="338">
        <v>6.11</v>
      </c>
      <c r="AB82" s="338" t="s">
        <v>331</v>
      </c>
      <c r="AG82" s="2297">
        <v>3.04</v>
      </c>
      <c r="AH82" s="2297" t="s">
        <v>340</v>
      </c>
      <c r="AI82" s="1390"/>
      <c r="AJ82" s="2282"/>
      <c r="AK82" s="2282"/>
      <c r="AL82" s="1037"/>
      <c r="AM82" s="339">
        <v>32228</v>
      </c>
      <c r="AN82" s="338" t="s">
        <v>302</v>
      </c>
      <c r="AQ82" s="858"/>
      <c r="AR82" s="338">
        <v>508</v>
      </c>
      <c r="AS82" s="338" t="s">
        <v>289</v>
      </c>
      <c r="AX82" s="340">
        <v>628</v>
      </c>
      <c r="AY82" s="340" t="s">
        <v>288</v>
      </c>
      <c r="BA82" s="341" t="str">
        <f t="array" ref="BA82">IFERROR(IF($BA$11="Metro",INDEX($AR$13:$AR$814,SMALL(IF((County=$AS$13:$AS$814),MATCH(ROW($AS$13:$AS$814),ROW($AS$13:$AS$814)),""),ROWS($A$13:$A82))),INDEX($AU$13:$AU$48,SMALL(IF((County=$AV$13:$AV$48),MATCH(ROW($AV$13:$AV$48),ROW($AV$13:$AV$48)),""),ROWS($A$13:$A82)))),"")</f>
        <v/>
      </c>
      <c r="BC82" s="341" t="str">
        <f t="array" ref="BC82">IFERROR(IF($BC$11="Yes",INDEX($AX$13:$AX$2950,SMALL(IF((County=$AY$13:$AY$2950),MATCH(ROW($AY$13:$AY$2950),ROW($AY$13:$AY$2950)),""),ROWS($A$13:$A82))),""),"")</f>
        <v/>
      </c>
      <c r="BE82" s="339">
        <v>32828</v>
      </c>
      <c r="BF82" s="338" t="s">
        <v>338</v>
      </c>
      <c r="BH82" s="338">
        <v>5.04</v>
      </c>
      <c r="BI82" s="338" t="s">
        <v>323</v>
      </c>
      <c r="BN82" s="340">
        <v>3.01</v>
      </c>
      <c r="BO82" s="340" t="s">
        <v>297</v>
      </c>
      <c r="BP82" s="1385"/>
      <c r="BQ82" s="341">
        <v>34110</v>
      </c>
      <c r="BR82" s="338" t="s">
        <v>297</v>
      </c>
      <c r="BU82" s="858"/>
      <c r="BV82" s="338">
        <v>5</v>
      </c>
      <c r="BW82" s="338" t="s">
        <v>285</v>
      </c>
      <c r="BY82" s="236">
        <v>9704.02</v>
      </c>
      <c r="BZ82" s="236" t="s">
        <v>312</v>
      </c>
      <c r="CB82" s="340">
        <v>612.01</v>
      </c>
      <c r="CC82" s="340" t="s">
        <v>288</v>
      </c>
      <c r="CE82" s="341" t="str">
        <f t="array" ref="CE82">IFERROR(IF($CE$11="Metro",INDEX($BV$13:$BV$4972,SMALL(IF((County=$BW$13:$BW$4972),MATCH(ROW($BW$13:$BW$4972),ROW($BW$13:$BW$4972)),""),ROWS($A$13:$A82))),INDEX($BY$13:$BY$212,SMALL(IF((County=$BZ$13:$BZ$212),MATCH(ROW($BZ$13:$BZ$212),ROW($BZ$13:$BZ$212)),""),ROWS($A$13:$A82)))),"")</f>
        <v/>
      </c>
      <c r="CG82" s="341" t="str">
        <f t="array" ref="CG82">IFERROR(IF($CG$11="Yes",INDEX($CB$13:$CB$2950,SMALL(IF((County=$CC$13:$CC$2950),MATCH(ROW($CC$13:$CC$2950),ROW($CC$13:$CC$2950)),""),ROWS($A$13:$A82))),""),"")</f>
        <v/>
      </c>
      <c r="CI82" s="1583">
        <v>32825</v>
      </c>
      <c r="CJ82" s="338" t="s">
        <v>338</v>
      </c>
      <c r="CL82" s="236">
        <v>2.11</v>
      </c>
      <c r="CM82" s="236" t="s">
        <v>331</v>
      </c>
      <c r="CO82" s="236">
        <v>9104.02</v>
      </c>
      <c r="CP82" s="236" t="s">
        <v>337</v>
      </c>
      <c r="CR82" s="340">
        <v>3.01</v>
      </c>
      <c r="CS82" s="340" t="s">
        <v>340</v>
      </c>
      <c r="CT82" s="1384"/>
      <c r="CU82" s="341">
        <v>32225</v>
      </c>
      <c r="CV82" s="338" t="s">
        <v>302</v>
      </c>
      <c r="CZ82" s="1795">
        <v>503.11</v>
      </c>
      <c r="DA82" s="338" t="s">
        <v>289</v>
      </c>
      <c r="DF82" s="340">
        <v>612.02</v>
      </c>
      <c r="DG82" s="340" t="s">
        <v>288</v>
      </c>
      <c r="DI82" s="341" t="str">
        <f t="array" ref="DI82">IFERROR(IF($DI$11="Metro",INDEX($CZ$13:$CZ$929,SMALL(IF((County=$DA$13:$DA$929),MATCH(ROW($DA$13:$DA$929),ROW($DA$13:$DA$929)),""),ROWS($A$13:$A82))),INDEX($DC$13:$DC$212,SMALL(IF((County=$DD$13:$DD$212),MATCH(ROW($DD$13:$DD$212),ROW($DD$13:$DD$212)),""),ROWS($A$13:$A82)))),"")</f>
        <v/>
      </c>
      <c r="DK82" s="341" t="str">
        <f t="array" ref="DK82">IFERROR(IF($DK$11="Yes",INDEX($DF$13:$DF$2838,SMALL(IF((County=$DG$13:$DG$2838),MATCH(ROW($DG$13:$DG$2838),ROW($DG$13:$DG$2838)),""),ROWS($A$13:$A82))),""),"")</f>
        <v/>
      </c>
      <c r="DM82" s="1387">
        <v>32822</v>
      </c>
      <c r="DN82" s="338" t="s">
        <v>338</v>
      </c>
      <c r="DP82" s="236">
        <v>6</v>
      </c>
      <c r="DQ82" s="236" t="s">
        <v>323</v>
      </c>
      <c r="DV82" s="340">
        <v>3.02</v>
      </c>
      <c r="DW82" s="340" t="s">
        <v>324</v>
      </c>
      <c r="DX82" s="1671"/>
      <c r="EB82" s="1584"/>
      <c r="EC82" s="1584"/>
      <c r="ED82" s="1584"/>
      <c r="EE82" s="1584"/>
      <c r="EF82" s="1585"/>
      <c r="EG82" s="1585"/>
      <c r="EH82" s="1586"/>
      <c r="EI82" s="1587"/>
      <c r="EJ82" s="1585"/>
      <c r="EK82" s="1585"/>
      <c r="EL82" s="1585"/>
      <c r="EM82" s="1587"/>
    </row>
    <row r="83" spans="1:143" ht="14.65" customHeight="1">
      <c r="A83" s="339">
        <v>34433</v>
      </c>
      <c r="B83" s="338" t="s">
        <v>295</v>
      </c>
      <c r="E83" s="858"/>
      <c r="F83" s="338">
        <v>602.05999999999995</v>
      </c>
      <c r="G83" s="338" t="s">
        <v>289</v>
      </c>
      <c r="L83" s="2481">
        <v>621.1</v>
      </c>
      <c r="M83" s="340" t="s">
        <v>288</v>
      </c>
      <c r="N83" s="1390"/>
      <c r="O83" s="2479"/>
      <c r="P83" s="2282"/>
      <c r="R83" s="341" t="str">
        <f t="array" ref="R83">IFERROR(IF($R$11="Metro",INDEX($F$13:$F$829,SMALL(IF((County=$G$13:$G$829),MATCH(ROW($G$13:$G$829),ROW($G$13:$G$829)),""),ROWS($A$13:A83))),INDEX($I$13:$I$44,SMALL(IF((County=$J$13:$J$44),MATCH(ROW($J$13:$J$44),ROW($J$13:$J$44)),""),ROWS($A$13:A83)))),"")</f>
        <v/>
      </c>
      <c r="T83" s="341" t="str">
        <f t="array" ref="T83">IFERROR(IF($T$11="Yes",INDEX($L$13:$L$2813,SMALL(IF((County=$M$13:$M$2813),MATCH(ROW($M$13:$M$2813),ROW($M$13:$M$2813)),""),ROWS($A$13:A83))),""),"")</f>
        <v/>
      </c>
      <c r="V83" s="2283" t="str">
        <f t="array" ref="V83">IFERROR(IF($T$11="Yes",INDEX($O$14:$O$2811,SMALL(IF((County=$P$14:$P$2811),MATCH(ROW($P$14:$P$2811),ROW($P$14:$P$2811)),""),ROWS($A$13:A83))),""),"")</f>
        <v/>
      </c>
      <c r="X83" s="339">
        <v>32766</v>
      </c>
      <c r="Y83" s="338" t="s">
        <v>348</v>
      </c>
      <c r="AA83" s="338">
        <v>7</v>
      </c>
      <c r="AB83" s="338" t="s">
        <v>323</v>
      </c>
      <c r="AG83" s="2297">
        <v>3.08</v>
      </c>
      <c r="AH83" s="2297" t="s">
        <v>331</v>
      </c>
      <c r="AI83" s="1390"/>
      <c r="AJ83" s="2282"/>
      <c r="AK83" s="2282"/>
      <c r="AL83" s="1037"/>
      <c r="AM83" s="339">
        <v>32250</v>
      </c>
      <c r="AN83" s="338" t="s">
        <v>302</v>
      </c>
      <c r="AQ83" s="858"/>
      <c r="AR83" s="338">
        <v>602.03</v>
      </c>
      <c r="AS83" s="338" t="s">
        <v>289</v>
      </c>
      <c r="AX83" s="340">
        <v>630</v>
      </c>
      <c r="AY83" s="340" t="s">
        <v>288</v>
      </c>
      <c r="BA83" s="341" t="str">
        <f t="array" ref="BA83">IFERROR(IF($BA$11="Metro",INDEX($AR$13:$AR$814,SMALL(IF((County=$AS$13:$AS$814),MATCH(ROW($AS$13:$AS$814),ROW($AS$13:$AS$814)),""),ROWS($A$13:$A83))),INDEX($AU$13:$AU$48,SMALL(IF((County=$AV$13:$AV$48),MATCH(ROW($AV$13:$AV$48),ROW($AV$13:$AV$48)),""),ROWS($A$13:$A83)))),"")</f>
        <v/>
      </c>
      <c r="BC83" s="341" t="str">
        <f t="array" ref="BC83">IFERROR(IF($BC$11="Yes",INDEX($AX$13:$AX$2950,SMALL(IF((County=$AY$13:$AY$2950),MATCH(ROW($AY$13:$AY$2950),ROW($AY$13:$AY$2950)),""),ROWS($A$13:$A83))),""),"")</f>
        <v/>
      </c>
      <c r="BE83" s="339">
        <v>32829</v>
      </c>
      <c r="BF83" s="338" t="s">
        <v>338</v>
      </c>
      <c r="BH83" s="338">
        <v>5.04</v>
      </c>
      <c r="BI83" s="338" t="s">
        <v>331</v>
      </c>
      <c r="BN83" s="340">
        <v>3.01</v>
      </c>
      <c r="BO83" s="340" t="s">
        <v>324</v>
      </c>
      <c r="BP83" s="1385"/>
      <c r="BQ83" s="341">
        <v>34113</v>
      </c>
      <c r="BR83" s="338" t="s">
        <v>297</v>
      </c>
      <c r="BU83" s="858"/>
      <c r="BV83" s="338">
        <v>6</v>
      </c>
      <c r="BW83" s="338" t="s">
        <v>285</v>
      </c>
      <c r="BY83" s="236">
        <v>1.01</v>
      </c>
      <c r="BZ83" s="236" t="s">
        <v>313</v>
      </c>
      <c r="CB83" s="340">
        <v>612.02</v>
      </c>
      <c r="CC83" s="340" t="s">
        <v>288</v>
      </c>
      <c r="CE83" s="341" t="str">
        <f t="array" ref="CE83">IFERROR(IF($CE$11="Metro",INDEX($BV$13:$BV$4972,SMALL(IF((County=$BW$13:$BW$4972),MATCH(ROW($BW$13:$BW$4972),ROW($BW$13:$BW$4972)),""),ROWS($A$13:$A83))),INDEX($BY$13:$BY$212,SMALL(IF((County=$BZ$13:$BZ$212),MATCH(ROW($BZ$13:$BZ$212),ROW($BZ$13:$BZ$212)),""),ROWS($A$13:$A83)))),"")</f>
        <v/>
      </c>
      <c r="CG83" s="341" t="str">
        <f t="array" ref="CG83">IFERROR(IF($CG$11="Yes",INDEX($CB$13:$CB$2950,SMALL(IF((County=$CC$13:$CC$2950),MATCH(ROW($CC$13:$CC$2950),ROW($CC$13:$CC$2950)),""),ROWS($A$13:$A83))),""),"")</f>
        <v/>
      </c>
      <c r="CI83" s="1583">
        <v>32827</v>
      </c>
      <c r="CJ83" s="338" t="s">
        <v>338</v>
      </c>
      <c r="CL83" s="236">
        <v>2.11</v>
      </c>
      <c r="CM83" s="236" t="s">
        <v>340</v>
      </c>
      <c r="CO83" s="236">
        <v>9104.0300000000007</v>
      </c>
      <c r="CP83" s="236" t="s">
        <v>337</v>
      </c>
      <c r="CR83" s="340">
        <v>3.02</v>
      </c>
      <c r="CS83" s="340" t="s">
        <v>285</v>
      </c>
      <c r="CT83" s="1384"/>
      <c r="CU83" s="341">
        <v>32226</v>
      </c>
      <c r="CV83" s="338" t="s">
        <v>302</v>
      </c>
      <c r="CZ83" s="1795">
        <v>503.12</v>
      </c>
      <c r="DA83" s="338" t="s">
        <v>289</v>
      </c>
      <c r="DF83" s="340">
        <v>621.08000000000004</v>
      </c>
      <c r="DG83" s="340" t="s">
        <v>288</v>
      </c>
      <c r="DI83" s="341" t="str">
        <f t="array" ref="DI83">IFERROR(IF($DI$11="Metro",INDEX($CZ$13:$CZ$929,SMALL(IF((County=$DA$13:$DA$929),MATCH(ROW($DA$13:$DA$929),ROW($DA$13:$DA$929)),""),ROWS($A$13:$A83))),INDEX($DC$13:$DC$212,SMALL(IF((County=$DD$13:$DD$212),MATCH(ROW($DD$13:$DD$212),ROW($DD$13:$DD$212)),""),ROWS($A$13:$A83)))),"")</f>
        <v/>
      </c>
      <c r="DK83" s="341" t="str">
        <f t="array" ref="DK83">IFERROR(IF($DK$11="Yes",INDEX($DF$13:$DF$2838,SMALL(IF((County=$DG$13:$DG$2838),MATCH(ROW($DG$13:$DG$2838),ROW($DG$13:$DG$2838)),""),ROWS($A$13:$A83))),""),"")</f>
        <v/>
      </c>
      <c r="DM83" s="1387">
        <v>32824</v>
      </c>
      <c r="DN83" s="338" t="s">
        <v>338</v>
      </c>
      <c r="DP83" s="236">
        <v>6</v>
      </c>
      <c r="DQ83" s="236" t="s">
        <v>324</v>
      </c>
      <c r="DV83" s="340">
        <v>3.02</v>
      </c>
      <c r="DW83" s="340" t="s">
        <v>331</v>
      </c>
      <c r="DX83" s="1671"/>
      <c r="EB83" s="1584"/>
      <c r="EC83" s="1584"/>
      <c r="ED83" s="1584"/>
      <c r="EE83" s="1584"/>
      <c r="EF83" s="1585"/>
      <c r="EG83" s="1585"/>
      <c r="EH83" s="1586"/>
      <c r="EI83" s="1587"/>
      <c r="EJ83" s="1585"/>
      <c r="EK83" s="1585"/>
      <c r="EL83" s="1585"/>
      <c r="EM83" s="1587"/>
    </row>
    <row r="84" spans="1:143" ht="14.65" customHeight="1">
      <c r="A84" s="339">
        <v>34434</v>
      </c>
      <c r="B84" s="338" t="s">
        <v>295</v>
      </c>
      <c r="E84" s="858"/>
      <c r="F84" s="338">
        <v>602.08000000000004</v>
      </c>
      <c r="G84" s="338" t="s">
        <v>289</v>
      </c>
      <c r="L84" s="2481">
        <v>621.12</v>
      </c>
      <c r="M84" s="340" t="s">
        <v>288</v>
      </c>
      <c r="N84" s="1390"/>
      <c r="O84" s="2479"/>
      <c r="P84" s="2282"/>
      <c r="R84" s="341" t="str">
        <f t="array" ref="R84">IFERROR(IF($R$11="Metro",INDEX($F$13:$F$829,SMALL(IF((County=$G$13:$G$829),MATCH(ROW($G$13:$G$829),ROW($G$13:$G$829)),""),ROWS($A$13:A84))),INDEX($I$13:$I$44,SMALL(IF((County=$J$13:$J$44),MATCH(ROW($J$13:$J$44),ROW($J$13:$J$44)),""),ROWS($A$13:A84)))),"")</f>
        <v/>
      </c>
      <c r="T84" s="341" t="str">
        <f t="array" ref="T84">IFERROR(IF($T$11="Yes",INDEX($L$13:$L$2813,SMALL(IF((County=$M$13:$M$2813),MATCH(ROW($M$13:$M$2813),ROW($M$13:$M$2813)),""),ROWS($A$13:A84))),""),"")</f>
        <v/>
      </c>
      <c r="V84" s="2283" t="str">
        <f t="array" ref="V84">IFERROR(IF($T$11="Yes",INDEX($O$14:$O$2811,SMALL(IF((County=$P$14:$P$2811),MATCH(ROW($P$14:$P$2811),ROW($P$14:$P$2811)),""),ROWS($A$13:A84))),""),"")</f>
        <v/>
      </c>
      <c r="X84" s="339">
        <v>32779</v>
      </c>
      <c r="Y84" s="338" t="s">
        <v>348</v>
      </c>
      <c r="AA84" s="338">
        <v>7.01</v>
      </c>
      <c r="AB84" s="338" t="s">
        <v>316</v>
      </c>
      <c r="AG84" s="2297">
        <v>3.09</v>
      </c>
      <c r="AH84" s="2297" t="s">
        <v>328</v>
      </c>
      <c r="AI84" s="1390"/>
      <c r="AJ84" s="2282"/>
      <c r="AK84" s="2282"/>
      <c r="AL84" s="1037"/>
      <c r="AM84" s="339">
        <v>32256</v>
      </c>
      <c r="AN84" s="338" t="s">
        <v>302</v>
      </c>
      <c r="AQ84" s="858"/>
      <c r="AR84" s="338">
        <v>603.02</v>
      </c>
      <c r="AS84" s="338" t="s">
        <v>289</v>
      </c>
      <c r="AX84" s="340">
        <v>631.02</v>
      </c>
      <c r="AY84" s="340" t="s">
        <v>288</v>
      </c>
      <c r="BA84" s="341" t="str">
        <f t="array" ref="BA84">IFERROR(IF($BA$11="Metro",INDEX($AR$13:$AR$814,SMALL(IF((County=$AS$13:$AS$814),MATCH(ROW($AS$13:$AS$814),ROW($AS$13:$AS$814)),""),ROWS($A$13:$A84))),INDEX($AU$13:$AU$48,SMALL(IF((County=$AV$13:$AV$48),MATCH(ROW($AV$13:$AV$48),ROW($AV$13:$AV$48)),""),ROWS($A$13:$A84)))),"")</f>
        <v/>
      </c>
      <c r="BC84" s="341" t="str">
        <f t="array" ref="BC84">IFERROR(IF($BC$11="Yes",INDEX($AX$13:$AX$2950,SMALL(IF((County=$AY$13:$AY$2950),MATCH(ROW($AY$13:$AY$2950),ROW($AY$13:$AY$2950)),""),ROWS($A$13:$A84))),""),"")</f>
        <v/>
      </c>
      <c r="BE84" s="339">
        <v>32831</v>
      </c>
      <c r="BF84" s="338" t="s">
        <v>338</v>
      </c>
      <c r="BH84" s="338">
        <v>5.05</v>
      </c>
      <c r="BI84" s="338" t="s">
        <v>331</v>
      </c>
      <c r="BN84" s="340">
        <v>3.01</v>
      </c>
      <c r="BO84" s="340" t="s">
        <v>340</v>
      </c>
      <c r="BP84" s="1385"/>
      <c r="BQ84" s="341">
        <v>34117</v>
      </c>
      <c r="BR84" s="338" t="s">
        <v>297</v>
      </c>
      <c r="BU84" s="858"/>
      <c r="BV84" s="338">
        <v>7</v>
      </c>
      <c r="BW84" s="338" t="s">
        <v>285</v>
      </c>
      <c r="BY84" s="236">
        <v>1.02</v>
      </c>
      <c r="BZ84" s="236" t="s">
        <v>313</v>
      </c>
      <c r="CB84" s="340">
        <v>621.08000000000004</v>
      </c>
      <c r="CC84" s="340" t="s">
        <v>288</v>
      </c>
      <c r="CE84" s="341" t="str">
        <f t="array" ref="CE84">IFERROR(IF($CE$11="Metro",INDEX($BV$13:$BV$4972,SMALL(IF((County=$BW$13:$BW$4972),MATCH(ROW($BW$13:$BW$4972),ROW($BW$13:$BW$4972)),""),ROWS($A$13:$A84))),INDEX($BY$13:$BY$212,SMALL(IF((County=$BZ$13:$BZ$212),MATCH(ROW($BZ$13:$BZ$212),ROW($BZ$13:$BZ$212)),""),ROWS($A$13:$A84)))),"")</f>
        <v/>
      </c>
      <c r="CG84" s="341" t="str">
        <f t="array" ref="CG84">IFERROR(IF($CG$11="Yes",INDEX($CB$13:$CB$2950,SMALL(IF((County=$CC$13:$CC$2950),MATCH(ROW($CC$13:$CC$2950),ROW($CC$13:$CC$2950)),""),ROWS($A$13:$A84))),""),"")</f>
        <v/>
      </c>
      <c r="CI84" s="1583">
        <v>32828</v>
      </c>
      <c r="CJ84" s="338" t="s">
        <v>338</v>
      </c>
      <c r="CL84" s="236">
        <v>2.12</v>
      </c>
      <c r="CM84" s="236" t="s">
        <v>331</v>
      </c>
      <c r="CO84" s="236">
        <v>9105</v>
      </c>
      <c r="CP84" s="236" t="s">
        <v>337</v>
      </c>
      <c r="CR84" s="340">
        <v>3.02</v>
      </c>
      <c r="CS84" s="340" t="s">
        <v>287</v>
      </c>
      <c r="CT84" s="1384"/>
      <c r="CU84" s="341">
        <v>32227</v>
      </c>
      <c r="CV84" s="338" t="s">
        <v>302</v>
      </c>
      <c r="CZ84" s="1795">
        <v>503.14</v>
      </c>
      <c r="DA84" s="338" t="s">
        <v>289</v>
      </c>
      <c r="DF84" s="340">
        <v>621.1</v>
      </c>
      <c r="DG84" s="340" t="s">
        <v>288</v>
      </c>
      <c r="DI84" s="341" t="str">
        <f t="array" ref="DI84">IFERROR(IF($DI$11="Metro",INDEX($CZ$13:$CZ$929,SMALL(IF((County=$DA$13:$DA$929),MATCH(ROW($DA$13:$DA$929),ROW($DA$13:$DA$929)),""),ROWS($A$13:$A84))),INDEX($DC$13:$DC$212,SMALL(IF((County=$DD$13:$DD$212),MATCH(ROW($DD$13:$DD$212),ROW($DD$13:$DD$212)),""),ROWS($A$13:$A84)))),"")</f>
        <v/>
      </c>
      <c r="DK84" s="341" t="str">
        <f t="array" ref="DK84">IFERROR(IF($DK$11="Yes",INDEX($DF$13:$DF$2838,SMALL(IF((County=$DG$13:$DG$2838),MATCH(ROW($DG$13:$DG$2838),ROW($DG$13:$DG$2838)),""),ROWS($A$13:$A84))),""),"")</f>
        <v/>
      </c>
      <c r="DM84" s="1387">
        <v>32825</v>
      </c>
      <c r="DN84" s="338" t="s">
        <v>338</v>
      </c>
      <c r="DP84" s="236">
        <v>6.02</v>
      </c>
      <c r="DQ84" s="236" t="s">
        <v>316</v>
      </c>
      <c r="DV84" s="340">
        <v>3.03</v>
      </c>
      <c r="DW84" s="340" t="s">
        <v>324</v>
      </c>
      <c r="DX84" s="1671"/>
      <c r="EB84" s="1584"/>
      <c r="EC84" s="1584"/>
      <c r="ED84" s="1584"/>
      <c r="EE84" s="1584"/>
      <c r="EF84" s="1585"/>
      <c r="EG84" s="1585"/>
      <c r="EH84" s="1586"/>
      <c r="EI84" s="1587"/>
      <c r="EJ84" s="1585"/>
      <c r="EK84" s="1585"/>
      <c r="EL84" s="1585"/>
      <c r="EM84" s="1587"/>
    </row>
    <row r="85" spans="1:143" ht="14.65" customHeight="1">
      <c r="A85" s="339">
        <v>32003</v>
      </c>
      <c r="B85" s="338" t="s">
        <v>296</v>
      </c>
      <c r="E85" s="858"/>
      <c r="F85" s="338">
        <v>603.02</v>
      </c>
      <c r="G85" s="338" t="s">
        <v>289</v>
      </c>
      <c r="L85" s="2481">
        <v>621.13</v>
      </c>
      <c r="M85" s="340" t="s">
        <v>288</v>
      </c>
      <c r="N85" s="1390"/>
      <c r="O85" s="2479"/>
      <c r="P85" s="2282"/>
      <c r="R85" s="341" t="str">
        <f t="array" ref="R85">IFERROR(IF($R$11="Metro",INDEX($F$13:$F$829,SMALL(IF((County=$G$13:$G$829),MATCH(ROW($G$13:$G$829),ROW($G$13:$G$829)),""),ROWS($A$13:A85))),INDEX($I$13:$I$44,SMALL(IF((County=$J$13:$J$44),MATCH(ROW($J$13:$J$44),ROW($J$13:$J$44)),""),ROWS($A$13:A85)))),"")</f>
        <v/>
      </c>
      <c r="T85" s="341" t="str">
        <f t="array" ref="T85">IFERROR(IF($T$11="Yes",INDEX($L$13:$L$2813,SMALL(IF((County=$M$13:$M$2813),MATCH(ROW($M$13:$M$2813),ROW($M$13:$M$2813)),""),ROWS($A$13:A85))),""),"")</f>
        <v/>
      </c>
      <c r="V85" s="2283" t="str">
        <f t="array" ref="V85">IFERROR(IF($T$11="Yes",INDEX($O$14:$O$2811,SMALL(IF((County=$P$14:$P$2811),MATCH(ROW($P$14:$P$2811),ROW($P$14:$P$2811)),""),ROWS($A$13:A85))),""),"")</f>
        <v/>
      </c>
      <c r="X85" s="339">
        <v>32789</v>
      </c>
      <c r="Y85" s="338" t="s">
        <v>338</v>
      </c>
      <c r="AA85" s="338">
        <v>7.02</v>
      </c>
      <c r="AB85" s="338" t="s">
        <v>316</v>
      </c>
      <c r="AG85" s="2297">
        <v>3.12</v>
      </c>
      <c r="AH85" s="2297" t="s">
        <v>328</v>
      </c>
      <c r="AI85" s="1390"/>
      <c r="AJ85" s="2282"/>
      <c r="AK85" s="2282"/>
      <c r="AL85" s="1037"/>
      <c r="AM85" s="339">
        <v>32258</v>
      </c>
      <c r="AN85" s="338" t="s">
        <v>302</v>
      </c>
      <c r="AQ85" s="858"/>
      <c r="AR85" s="338">
        <v>603.03</v>
      </c>
      <c r="AS85" s="338" t="s">
        <v>289</v>
      </c>
      <c r="AX85" s="340">
        <v>631.04</v>
      </c>
      <c r="AY85" s="340" t="s">
        <v>288</v>
      </c>
      <c r="BA85" s="341" t="str">
        <f t="array" ref="BA85">IFERROR(IF($BA$11="Metro",INDEX($AR$13:$AR$814,SMALL(IF((County=$AS$13:$AS$814),MATCH(ROW($AS$13:$AS$814),ROW($AS$13:$AS$814)),""),ROWS($A$13:$A85))),INDEX($AU$13:$AU$48,SMALL(IF((County=$AV$13:$AV$48),MATCH(ROW($AV$13:$AV$48),ROW($AV$13:$AV$48)),""),ROWS($A$13:$A85)))),"")</f>
        <v/>
      </c>
      <c r="BC85" s="341" t="str">
        <f t="array" ref="BC85">IFERROR(IF($BC$11="Yes",INDEX($AX$13:$AX$2950,SMALL(IF((County=$AY$13:$AY$2950),MATCH(ROW($AY$13:$AY$2950),ROW($AY$13:$AY$2950)),""),ROWS($A$13:$A85))),""),"")</f>
        <v/>
      </c>
      <c r="BE85" s="339">
        <v>32832</v>
      </c>
      <c r="BF85" s="338" t="s">
        <v>338</v>
      </c>
      <c r="BH85" s="338">
        <v>5.0599999999999996</v>
      </c>
      <c r="BI85" s="338" t="s">
        <v>331</v>
      </c>
      <c r="BN85" s="340">
        <v>3.02</v>
      </c>
      <c r="BO85" s="340" t="s">
        <v>287</v>
      </c>
      <c r="BP85" s="1385"/>
      <c r="BQ85" s="341">
        <v>34119</v>
      </c>
      <c r="BR85" s="338" t="s">
        <v>297</v>
      </c>
      <c r="BU85" s="858"/>
      <c r="BV85" s="338">
        <v>8.0299999999999994</v>
      </c>
      <c r="BW85" s="338" t="s">
        <v>285</v>
      </c>
      <c r="BY85" s="236">
        <v>2</v>
      </c>
      <c r="BZ85" s="236" t="s">
        <v>313</v>
      </c>
      <c r="CB85" s="340">
        <v>621.1</v>
      </c>
      <c r="CC85" s="340" t="s">
        <v>288</v>
      </c>
      <c r="CE85" s="341" t="str">
        <f t="array" ref="CE85">IFERROR(IF($CE$11="Metro",INDEX($BV$13:$BV$4972,SMALL(IF((County=$BW$13:$BW$4972),MATCH(ROW($BW$13:$BW$4972),ROW($BW$13:$BW$4972)),""),ROWS($A$13:$A85))),INDEX($BY$13:$BY$212,SMALL(IF((County=$BZ$13:$BZ$212),MATCH(ROW($BZ$13:$BZ$212),ROW($BZ$13:$BZ$212)),""),ROWS($A$13:$A85)))),"")</f>
        <v/>
      </c>
      <c r="CG85" s="341" t="str">
        <f t="array" ref="CG85">IFERROR(IF($CG$11="Yes",INDEX($CB$13:$CB$2950,SMALL(IF((County=$CC$13:$CC$2950),MATCH(ROW($CC$13:$CC$2950),ROW($CC$13:$CC$2950)),""),ROWS($A$13:$A85))),""),"")</f>
        <v/>
      </c>
      <c r="CI85" s="1583">
        <v>32829</v>
      </c>
      <c r="CJ85" s="338" t="s">
        <v>338</v>
      </c>
      <c r="CL85" s="236">
        <v>2.13</v>
      </c>
      <c r="CM85" s="236" t="s">
        <v>331</v>
      </c>
      <c r="CO85" s="236">
        <v>9106.01</v>
      </c>
      <c r="CP85" s="236" t="s">
        <v>337</v>
      </c>
      <c r="CR85" s="340">
        <v>3.02</v>
      </c>
      <c r="CS85" s="340" t="s">
        <v>297</v>
      </c>
      <c r="CT85" s="1384"/>
      <c r="CU85" s="341">
        <v>32228</v>
      </c>
      <c r="CV85" s="338" t="s">
        <v>302</v>
      </c>
      <c r="CZ85" s="1795">
        <v>507.02</v>
      </c>
      <c r="DA85" s="338" t="s">
        <v>289</v>
      </c>
      <c r="DF85" s="340">
        <v>621.12</v>
      </c>
      <c r="DG85" s="340" t="s">
        <v>288</v>
      </c>
      <c r="DI85" s="341" t="str">
        <f t="array" ref="DI85">IFERROR(IF($DI$11="Metro",INDEX($CZ$13:$CZ$929,SMALL(IF((County=$DA$13:$DA$929),MATCH(ROW($DA$13:$DA$929),ROW($DA$13:$DA$929)),""),ROWS($A$13:$A85))),INDEX($DC$13:$DC$212,SMALL(IF((County=$DD$13:$DD$212),MATCH(ROW($DD$13:$DD$212),ROW($DD$13:$DD$212)),""),ROWS($A$13:$A85)))),"")</f>
        <v/>
      </c>
      <c r="DK85" s="341" t="str">
        <f t="array" ref="DK85">IFERROR(IF($DK$11="Yes",INDEX($DF$13:$DF$2838,SMALL(IF((County=$DG$13:$DG$2838),MATCH(ROW($DG$13:$DG$2838),ROW($DG$13:$DG$2838)),""),ROWS($A$13:$A85))),""),"")</f>
        <v/>
      </c>
      <c r="DM85" s="1387">
        <v>32827</v>
      </c>
      <c r="DN85" s="338" t="s">
        <v>338</v>
      </c>
      <c r="DP85" s="236">
        <v>6.03</v>
      </c>
      <c r="DQ85" s="236" t="s">
        <v>328</v>
      </c>
      <c r="DV85" s="340">
        <v>3.03</v>
      </c>
      <c r="DW85" s="340" t="s">
        <v>340</v>
      </c>
      <c r="DX85" s="1671"/>
      <c r="EB85" s="1584"/>
      <c r="EC85" s="1584"/>
      <c r="ED85" s="1584"/>
      <c r="EE85" s="1584"/>
      <c r="EF85" s="1585"/>
      <c r="EG85" s="1585"/>
      <c r="EH85" s="1586"/>
      <c r="EI85" s="1587"/>
      <c r="EJ85" s="1585"/>
      <c r="EK85" s="1585"/>
      <c r="EL85" s="1585"/>
      <c r="EM85" s="1587"/>
    </row>
    <row r="86" spans="1:143" ht="14.65" customHeight="1">
      <c r="A86" s="339">
        <v>32065</v>
      </c>
      <c r="B86" s="338" t="s">
        <v>296</v>
      </c>
      <c r="E86" s="858"/>
      <c r="F86" s="338">
        <v>603.03</v>
      </c>
      <c r="G86" s="338" t="s">
        <v>289</v>
      </c>
      <c r="L86" s="2481">
        <v>624.01</v>
      </c>
      <c r="M86" s="340" t="s">
        <v>288</v>
      </c>
      <c r="N86" s="1390"/>
      <c r="O86" s="2479"/>
      <c r="P86" s="2282"/>
      <c r="R86" s="341" t="str">
        <f t="array" ref="R86">IFERROR(IF($R$11="Metro",INDEX($F$13:$F$829,SMALL(IF((County=$G$13:$G$829),MATCH(ROW($G$13:$G$829),ROW($G$13:$G$829)),""),ROWS($A$13:A86))),INDEX($I$13:$I$44,SMALL(IF((County=$J$13:$J$44),MATCH(ROW($J$13:$J$44),ROW($J$13:$J$44)),""),ROWS($A$13:A86)))),"")</f>
        <v/>
      </c>
      <c r="T86" s="341" t="str">
        <f t="array" ref="T86">IFERROR(IF($T$11="Yes",INDEX($L$13:$L$2813,SMALL(IF((County=$M$13:$M$2813),MATCH(ROW($M$13:$M$2813),ROW($M$13:$M$2813)),""),ROWS($A$13:A86))),""),"")</f>
        <v/>
      </c>
      <c r="V86" s="2283" t="str">
        <f t="array" ref="V86">IFERROR(IF($T$11="Yes",INDEX($O$14:$O$2811,SMALL(IF((County=$P$14:$P$2811),MATCH(ROW($P$14:$P$2811),ROW($P$14:$P$2811)),""),ROWS($A$13:A86))),""),"")</f>
        <v/>
      </c>
      <c r="X86" s="339">
        <v>32792</v>
      </c>
      <c r="Y86" s="338" t="s">
        <v>338</v>
      </c>
      <c r="AA86" s="338">
        <v>7.03</v>
      </c>
      <c r="AB86" s="338" t="s">
        <v>329</v>
      </c>
      <c r="AG86" s="2297">
        <v>4</v>
      </c>
      <c r="AH86" s="2297" t="s">
        <v>287</v>
      </c>
      <c r="AI86" s="1390"/>
      <c r="AJ86" s="2282"/>
      <c r="AK86" s="2282"/>
      <c r="AL86" s="1037"/>
      <c r="AM86" s="339">
        <v>32266</v>
      </c>
      <c r="AN86" s="338" t="s">
        <v>302</v>
      </c>
      <c r="AQ86" s="858"/>
      <c r="AR86" s="338">
        <v>603.04</v>
      </c>
      <c r="AS86" s="338" t="s">
        <v>289</v>
      </c>
      <c r="AX86" s="340">
        <v>631.04999999999995</v>
      </c>
      <c r="AY86" s="340" t="s">
        <v>288</v>
      </c>
      <c r="BA86" s="341" t="str">
        <f t="array" ref="BA86">IFERROR(IF($BA$11="Metro",INDEX($AR$13:$AR$814,SMALL(IF((County=$AS$13:$AS$814),MATCH(ROW($AS$13:$AS$814),ROW($AS$13:$AS$814)),""),ROWS($A$13:$A86))),INDEX($AU$13:$AU$48,SMALL(IF((County=$AV$13:$AV$48),MATCH(ROW($AV$13:$AV$48),ROW($AV$13:$AV$48)),""),ROWS($A$13:$A86)))),"")</f>
        <v/>
      </c>
      <c r="BC86" s="341" t="str">
        <f t="array" ref="BC86">IFERROR(IF($BC$11="Yes",INDEX($AX$13:$AX$2950,SMALL(IF((County=$AY$13:$AY$2950),MATCH(ROW($AY$13:$AY$2950),ROW($AY$13:$AY$2950)),""),ROWS($A$13:$A86))),""),"")</f>
        <v/>
      </c>
      <c r="BE86" s="339">
        <v>32833</v>
      </c>
      <c r="BF86" s="338" t="s">
        <v>338</v>
      </c>
      <c r="BH86" s="338">
        <v>5.07</v>
      </c>
      <c r="BI86" s="338" t="s">
        <v>331</v>
      </c>
      <c r="BN86" s="340">
        <v>3.02</v>
      </c>
      <c r="BO86" s="340" t="s">
        <v>297</v>
      </c>
      <c r="BP86" s="1385"/>
      <c r="BQ86" s="341">
        <v>34120</v>
      </c>
      <c r="BR86" s="338" t="s">
        <v>297</v>
      </c>
      <c r="BU86" s="858"/>
      <c r="BV86" s="338">
        <v>8.0399999999999991</v>
      </c>
      <c r="BW86" s="338" t="s">
        <v>285</v>
      </c>
      <c r="BY86" s="236">
        <v>3</v>
      </c>
      <c r="BZ86" s="236" t="s">
        <v>313</v>
      </c>
      <c r="CB86" s="340">
        <v>621.12</v>
      </c>
      <c r="CC86" s="340" t="s">
        <v>288</v>
      </c>
      <c r="CE86" s="341" t="str">
        <f t="array" ref="CE86">IFERROR(IF($CE$11="Metro",INDEX($BV$13:$BV$4972,SMALL(IF((County=$BW$13:$BW$4972),MATCH(ROW($BW$13:$BW$4972),ROW($BW$13:$BW$4972)),""),ROWS($A$13:$A86))),INDEX($BY$13:$BY$212,SMALL(IF((County=$BZ$13:$BZ$212),MATCH(ROW($BZ$13:$BZ$212),ROW($BZ$13:$BZ$212)),""),ROWS($A$13:$A86)))),"")</f>
        <v/>
      </c>
      <c r="CG86" s="341" t="str">
        <f t="array" ref="CG86">IFERROR(IF($CG$11="Yes",INDEX($CB$13:$CB$2950,SMALL(IF((County=$CC$13:$CC$2950),MATCH(ROW($CC$13:$CC$2950),ROW($CC$13:$CC$2950)),""),ROWS($A$13:$A86))),""),"")</f>
        <v/>
      </c>
      <c r="CI86" s="1583">
        <v>32831</v>
      </c>
      <c r="CJ86" s="338" t="s">
        <v>338</v>
      </c>
      <c r="CL86" s="236">
        <v>2.13</v>
      </c>
      <c r="CM86" s="236" t="s">
        <v>340</v>
      </c>
      <c r="CO86" s="236">
        <v>9106.02</v>
      </c>
      <c r="CP86" s="236" t="s">
        <v>337</v>
      </c>
      <c r="CR86" s="340">
        <v>3.02</v>
      </c>
      <c r="CS86" s="340" t="s">
        <v>324</v>
      </c>
      <c r="CT86" s="1384"/>
      <c r="CU86" s="341">
        <v>32246</v>
      </c>
      <c r="CV86" s="338" t="s">
        <v>302</v>
      </c>
      <c r="CZ86" s="1795">
        <v>508</v>
      </c>
      <c r="DA86" s="338" t="s">
        <v>289</v>
      </c>
      <c r="DF86" s="340">
        <v>621.13</v>
      </c>
      <c r="DG86" s="340" t="s">
        <v>288</v>
      </c>
      <c r="DI86" s="341" t="str">
        <f t="array" ref="DI86">IFERROR(IF($DI$11="Metro",INDEX($CZ$13:$CZ$929,SMALL(IF((County=$DA$13:$DA$929),MATCH(ROW($DA$13:$DA$929),ROW($DA$13:$DA$929)),""),ROWS($A$13:$A86))),INDEX($DC$13:$DC$212,SMALL(IF((County=$DD$13:$DD$212),MATCH(ROW($DD$13:$DD$212),ROW($DD$13:$DD$212)),""),ROWS($A$13:$A86)))),"")</f>
        <v/>
      </c>
      <c r="DK86" s="341" t="str">
        <f t="array" ref="DK86">IFERROR(IF($DK$11="Yes",INDEX($DF$13:$DF$2838,SMALL(IF((County=$DG$13:$DG$2838),MATCH(ROW($DG$13:$DG$2838),ROW($DG$13:$DG$2838)),""),ROWS($A$13:$A86))),""),"")</f>
        <v/>
      </c>
      <c r="DM86" s="1387">
        <v>32828</v>
      </c>
      <c r="DN86" s="338" t="s">
        <v>338</v>
      </c>
      <c r="DP86" s="236">
        <v>6.04</v>
      </c>
      <c r="DQ86" s="236" t="s">
        <v>328</v>
      </c>
      <c r="DV86" s="340">
        <v>3.04</v>
      </c>
      <c r="DW86" s="340" t="s">
        <v>340</v>
      </c>
      <c r="DX86" s="1671"/>
    </row>
    <row r="87" spans="1:143" ht="14.65" customHeight="1">
      <c r="A87" s="339">
        <v>32079</v>
      </c>
      <c r="B87" s="338" t="s">
        <v>296</v>
      </c>
      <c r="E87" s="858"/>
      <c r="F87" s="338">
        <v>603.04</v>
      </c>
      <c r="G87" s="338" t="s">
        <v>289</v>
      </c>
      <c r="L87" s="2481">
        <v>626</v>
      </c>
      <c r="M87" s="340" t="s">
        <v>288</v>
      </c>
      <c r="N87" s="1390"/>
      <c r="O87" s="2479"/>
      <c r="P87" s="2282"/>
      <c r="R87" s="341" t="str">
        <f t="array" ref="R87">IFERROR(IF($R$11="Metro",INDEX($F$13:$F$829,SMALL(IF((County=$G$13:$G$829),MATCH(ROW($G$13:$G$829),ROW($G$13:$G$829)),""),ROWS($A$13:A87))),INDEX($I$13:$I$44,SMALL(IF((County=$J$13:$J$44),MATCH(ROW($J$13:$J$44),ROW($J$13:$J$44)),""),ROWS($A$13:A87)))),"")</f>
        <v/>
      </c>
      <c r="T87" s="341" t="str">
        <f t="array" ref="T87">IFERROR(IF($T$11="Yes",INDEX($L$13:$L$2813,SMALL(IF((County=$M$13:$M$2813),MATCH(ROW($M$13:$M$2813),ROW($M$13:$M$2813)),""),ROWS($A$13:A87))),""),"")</f>
        <v/>
      </c>
      <c r="V87" s="2283" t="str">
        <f t="array" ref="V87">IFERROR(IF($T$11="Yes",INDEX($O$14:$O$2811,SMALL(IF((County=$P$14:$P$2811),MATCH(ROW($P$14:$P$2811),ROW($P$14:$P$2811)),""),ROWS($A$13:A87))),""),"")</f>
        <v/>
      </c>
      <c r="X87" s="339">
        <v>32801</v>
      </c>
      <c r="Y87" s="338" t="s">
        <v>338</v>
      </c>
      <c r="AA87" s="338">
        <v>7.04</v>
      </c>
      <c r="AB87" s="338" t="s">
        <v>328</v>
      </c>
      <c r="AG87" s="2297">
        <v>4.01</v>
      </c>
      <c r="AH87" s="2297" t="s">
        <v>297</v>
      </c>
      <c r="AI87" s="1390"/>
      <c r="AJ87" s="2282"/>
      <c r="AK87" s="2282"/>
      <c r="AL87" s="1037"/>
      <c r="AM87" s="339">
        <v>32456</v>
      </c>
      <c r="AN87" s="338" t="s">
        <v>310</v>
      </c>
      <c r="AQ87" s="858"/>
      <c r="AR87" s="338">
        <v>604.01</v>
      </c>
      <c r="AS87" s="338" t="s">
        <v>289</v>
      </c>
      <c r="AX87" s="340">
        <v>631.05999999999995</v>
      </c>
      <c r="AY87" s="340" t="s">
        <v>288</v>
      </c>
      <c r="BA87" s="341" t="str">
        <f t="array" ref="BA87">IFERROR(IF($BA$11="Metro",INDEX($AR$13:$AR$814,SMALL(IF((County=$AS$13:$AS$814),MATCH(ROW($AS$13:$AS$814),ROW($AS$13:$AS$814)),""),ROWS($A$13:$A87))),INDEX($AU$13:$AU$48,SMALL(IF((County=$AV$13:$AV$48),MATCH(ROW($AV$13:$AV$48),ROW($AV$13:$AV$48)),""),ROWS($A$13:$A87)))),"")</f>
        <v/>
      </c>
      <c r="BC87" s="341" t="str">
        <f t="array" ref="BC87">IFERROR(IF($BC$11="Yes",INDEX($AX$13:$AX$2950,SMALL(IF((County=$AY$13:$AY$2950),MATCH(ROW($AY$13:$AY$2950),ROW($AY$13:$AY$2950)),""),ROWS($A$13:$A87))),""),"")</f>
        <v/>
      </c>
      <c r="BE87" s="339">
        <v>32835</v>
      </c>
      <c r="BF87" s="338" t="s">
        <v>338</v>
      </c>
      <c r="BH87" s="338">
        <v>5.08</v>
      </c>
      <c r="BI87" s="338" t="s">
        <v>331</v>
      </c>
      <c r="BN87" s="340">
        <v>3.02</v>
      </c>
      <c r="BO87" s="340" t="s">
        <v>324</v>
      </c>
      <c r="BP87" s="1385"/>
      <c r="BQ87" s="341">
        <v>34140</v>
      </c>
      <c r="BR87" s="338" t="s">
        <v>297</v>
      </c>
      <c r="BU87" s="858"/>
      <c r="BV87" s="338">
        <v>8.0500000000000007</v>
      </c>
      <c r="BW87" s="338" t="s">
        <v>285</v>
      </c>
      <c r="BY87" s="236">
        <v>4.01</v>
      </c>
      <c r="BZ87" s="236" t="s">
        <v>313</v>
      </c>
      <c r="CB87" s="340">
        <v>628</v>
      </c>
      <c r="CC87" s="340" t="s">
        <v>288</v>
      </c>
      <c r="CE87" s="341" t="str">
        <f t="array" ref="CE87">IFERROR(IF($CE$11="Metro",INDEX($BV$13:$BV$4972,SMALL(IF((County=$BW$13:$BW$4972),MATCH(ROW($BW$13:$BW$4972),ROW($BW$13:$BW$4972)),""),ROWS($A$13:$A87))),INDEX($BY$13:$BY$212,SMALL(IF((County=$BZ$13:$BZ$212),MATCH(ROW($BZ$13:$BZ$212),ROW($BZ$13:$BZ$212)),""),ROWS($A$13:$A87)))),"")</f>
        <v/>
      </c>
      <c r="CG87" s="341" t="str">
        <f t="array" ref="CG87">IFERROR(IF($CG$11="Yes",INDEX($CB$13:$CB$2950,SMALL(IF((County=$CC$13:$CC$2950),MATCH(ROW($CC$13:$CC$2950),ROW($CC$13:$CC$2950)),""),ROWS($A$13:$A87))),""),"")</f>
        <v/>
      </c>
      <c r="CI87" s="1583">
        <v>32832</v>
      </c>
      <c r="CJ87" s="338" t="s">
        <v>338</v>
      </c>
      <c r="CL87" s="236">
        <v>2.14</v>
      </c>
      <c r="CM87" s="236" t="s">
        <v>340</v>
      </c>
      <c r="CO87" s="236">
        <v>9501</v>
      </c>
      <c r="CP87" s="236" t="s">
        <v>326</v>
      </c>
      <c r="CR87" s="340">
        <v>3.02</v>
      </c>
      <c r="CS87" s="340" t="s">
        <v>331</v>
      </c>
      <c r="CT87" s="1384"/>
      <c r="CU87" s="341">
        <v>32250</v>
      </c>
      <c r="CV87" s="338" t="s">
        <v>302</v>
      </c>
      <c r="CZ87" s="1795">
        <v>601.24</v>
      </c>
      <c r="DA87" s="338" t="s">
        <v>289</v>
      </c>
      <c r="DF87" s="340">
        <v>621.15</v>
      </c>
      <c r="DG87" s="340" t="s">
        <v>288</v>
      </c>
      <c r="DI87" s="341" t="str">
        <f t="array" ref="DI87">IFERROR(IF($DI$11="Metro",INDEX($CZ$13:$CZ$929,SMALL(IF((County=$DA$13:$DA$929),MATCH(ROW($DA$13:$DA$929),ROW($DA$13:$DA$929)),""),ROWS($A$13:$A87))),INDEX($DC$13:$DC$212,SMALL(IF((County=$DD$13:$DD$212),MATCH(ROW($DD$13:$DD$212),ROW($DD$13:$DD$212)),""),ROWS($A$13:$A87)))),"")</f>
        <v/>
      </c>
      <c r="DK87" s="341" t="str">
        <f t="array" ref="DK87">IFERROR(IF($DK$11="Yes",INDEX($DF$13:$DF$2838,SMALL(IF((County=$DG$13:$DG$2838),MATCH(ROW($DG$13:$DG$2838),ROW($DG$13:$DG$2838)),""),ROWS($A$13:$A87))),""),"")</f>
        <v/>
      </c>
      <c r="DM87" s="1387">
        <v>32829</v>
      </c>
      <c r="DN87" s="338" t="s">
        <v>338</v>
      </c>
      <c r="DP87" s="236">
        <v>6.04</v>
      </c>
      <c r="DQ87" s="236" t="s">
        <v>329</v>
      </c>
      <c r="DV87" s="340">
        <v>3.11</v>
      </c>
      <c r="DW87" s="340" t="s">
        <v>328</v>
      </c>
      <c r="DX87" s="1671"/>
    </row>
    <row r="88" spans="1:143" ht="14.65" customHeight="1">
      <c r="A88" s="339">
        <v>34105</v>
      </c>
      <c r="B88" s="338" t="s">
        <v>297</v>
      </c>
      <c r="E88" s="858"/>
      <c r="F88" s="338">
        <v>604.01</v>
      </c>
      <c r="G88" s="338" t="s">
        <v>289</v>
      </c>
      <c r="L88" s="2481">
        <v>628</v>
      </c>
      <c r="M88" s="340" t="s">
        <v>288</v>
      </c>
      <c r="N88" s="1390"/>
      <c r="O88" s="2479"/>
      <c r="P88" s="2282"/>
      <c r="R88" s="341" t="str">
        <f t="array" ref="R88">IFERROR(IF($R$11="Metro",INDEX($F$13:$F$829,SMALL(IF((County=$G$13:$G$829),MATCH(ROW($G$13:$G$829),ROW($G$13:$G$829)),""),ROWS($A$13:A88))),INDEX($I$13:$I$44,SMALL(IF((County=$J$13:$J$44),MATCH(ROW($J$13:$J$44),ROW($J$13:$J$44)),""),ROWS($A$13:A88)))),"")</f>
        <v/>
      </c>
      <c r="T88" s="341" t="str">
        <f t="array" ref="T88">IFERROR(IF($T$11="Yes",INDEX($L$13:$L$2813,SMALL(IF((County=$M$13:$M$2813),MATCH(ROW($M$13:$M$2813),ROW($M$13:$M$2813)),""),ROWS($A$13:A88))),""),"")</f>
        <v/>
      </c>
      <c r="V88" s="2283" t="str">
        <f t="array" ref="V88">IFERROR(IF($T$11="Yes",INDEX($O$14:$O$2811,SMALL(IF((County=$P$14:$P$2811),MATCH(ROW($P$14:$P$2811),ROW($P$14:$P$2811)),""),ROWS($A$13:A88))),""),"")</f>
        <v/>
      </c>
      <c r="X88" s="339">
        <v>32803</v>
      </c>
      <c r="Y88" s="338" t="s">
        <v>338</v>
      </c>
      <c r="AA88" s="338">
        <v>7.05</v>
      </c>
      <c r="AB88" s="338" t="s">
        <v>328</v>
      </c>
      <c r="AG88" s="2297">
        <v>4.01</v>
      </c>
      <c r="AH88" s="2297" t="s">
        <v>313</v>
      </c>
      <c r="AI88" s="1390"/>
      <c r="AJ88" s="2282"/>
      <c r="AK88" s="2282"/>
      <c r="AL88" s="1037"/>
      <c r="AM88" s="339">
        <v>33875</v>
      </c>
      <c r="AN88" s="338" t="s">
        <v>315</v>
      </c>
      <c r="AQ88" s="858"/>
      <c r="AR88" s="338">
        <v>611</v>
      </c>
      <c r="AS88" s="338" t="s">
        <v>289</v>
      </c>
      <c r="AX88" s="340">
        <v>631.08000000000004</v>
      </c>
      <c r="AY88" s="340" t="s">
        <v>288</v>
      </c>
      <c r="BA88" s="341" t="str">
        <f t="array" ref="BA88">IFERROR(IF($BA$11="Metro",INDEX($AR$13:$AR$814,SMALL(IF((County=$AS$13:$AS$814),MATCH(ROW($AS$13:$AS$814),ROW($AS$13:$AS$814)),""),ROWS($A$13:$A88))),INDEX($AU$13:$AU$48,SMALL(IF((County=$AV$13:$AV$48),MATCH(ROW($AV$13:$AV$48),ROW($AV$13:$AV$48)),""),ROWS($A$13:$A88)))),"")</f>
        <v/>
      </c>
      <c r="BC88" s="341" t="str">
        <f t="array" ref="BC88">IFERROR(IF($BC$11="Yes",INDEX($AX$13:$AX$2950,SMALL(IF((County=$AY$13:$AY$2950),MATCH(ROW($AY$13:$AY$2950),ROW($AY$13:$AY$2950)),""),ROWS($A$13:$A88))),""),"")</f>
        <v/>
      </c>
      <c r="BE88" s="339">
        <v>32836</v>
      </c>
      <c r="BF88" s="338" t="s">
        <v>338</v>
      </c>
      <c r="BH88" s="338">
        <v>5.09</v>
      </c>
      <c r="BI88" s="338" t="s">
        <v>331</v>
      </c>
      <c r="BN88" s="340">
        <v>3.03</v>
      </c>
      <c r="BO88" s="340" t="s">
        <v>324</v>
      </c>
      <c r="BP88" s="1385"/>
      <c r="BQ88" s="341">
        <v>34145</v>
      </c>
      <c r="BR88" s="338" t="s">
        <v>297</v>
      </c>
      <c r="BU88" s="858"/>
      <c r="BV88" s="338">
        <v>8.06</v>
      </c>
      <c r="BW88" s="338" t="s">
        <v>285</v>
      </c>
      <c r="BY88" s="236">
        <v>4.03</v>
      </c>
      <c r="BZ88" s="236" t="s">
        <v>313</v>
      </c>
      <c r="CB88" s="340">
        <v>630</v>
      </c>
      <c r="CC88" s="340" t="s">
        <v>288</v>
      </c>
      <c r="CE88" s="341" t="str">
        <f t="array" ref="CE88">IFERROR(IF($CE$11="Metro",INDEX($BV$13:$BV$4972,SMALL(IF((County=$BW$13:$BW$4972),MATCH(ROW($BW$13:$BW$4972),ROW($BW$13:$BW$4972)),""),ROWS($A$13:$A88))),INDEX($BY$13:$BY$212,SMALL(IF((County=$BZ$13:$BZ$212),MATCH(ROW($BZ$13:$BZ$212),ROW($BZ$13:$BZ$212)),""),ROWS($A$13:$A88)))),"")</f>
        <v/>
      </c>
      <c r="CG88" s="341" t="str">
        <f t="array" ref="CG88">IFERROR(IF($CG$11="Yes",INDEX($CB$13:$CB$2950,SMALL(IF((County=$CC$13:$CC$2950),MATCH(ROW($CC$13:$CC$2950),ROW($CC$13:$CC$2950)),""),ROWS($A$13:$A88))),""),"")</f>
        <v/>
      </c>
      <c r="CI88" s="1583">
        <v>32835</v>
      </c>
      <c r="CJ88" s="338" t="s">
        <v>338</v>
      </c>
      <c r="CL88" s="236">
        <v>2.15</v>
      </c>
      <c r="CM88" s="236" t="s">
        <v>331</v>
      </c>
      <c r="CO88" s="236">
        <v>9501</v>
      </c>
      <c r="CP88" s="236" t="s">
        <v>345</v>
      </c>
      <c r="CR88" s="340">
        <v>3.03</v>
      </c>
      <c r="CS88" s="340" t="s">
        <v>324</v>
      </c>
      <c r="CT88" s="1384"/>
      <c r="CU88" s="341">
        <v>32256</v>
      </c>
      <c r="CV88" s="338" t="s">
        <v>302</v>
      </c>
      <c r="CZ88" s="1795">
        <v>601.28</v>
      </c>
      <c r="DA88" s="338" t="s">
        <v>289</v>
      </c>
      <c r="DF88" s="340">
        <v>624.01</v>
      </c>
      <c r="DG88" s="340" t="s">
        <v>288</v>
      </c>
      <c r="DI88" s="341" t="str">
        <f t="array" ref="DI88">IFERROR(IF($DI$11="Metro",INDEX($CZ$13:$CZ$929,SMALL(IF((County=$DA$13:$DA$929),MATCH(ROW($DA$13:$DA$929),ROW($DA$13:$DA$929)),""),ROWS($A$13:$A88))),INDEX($DC$13:$DC$212,SMALL(IF((County=$DD$13:$DD$212),MATCH(ROW($DD$13:$DD$212),ROW($DD$13:$DD$212)),""),ROWS($A$13:$A88)))),"")</f>
        <v/>
      </c>
      <c r="DK88" s="341" t="str">
        <f t="array" ref="DK88">IFERROR(IF($DK$11="Yes",INDEX($DF$13:$DF$2838,SMALL(IF((County=$DG$13:$DG$2838),MATCH(ROW($DG$13:$DG$2838),ROW($DG$13:$DG$2838)),""),ROWS($A$13:$A88))),""),"")</f>
        <v/>
      </c>
      <c r="DM88" s="1387">
        <v>32831</v>
      </c>
      <c r="DN88" s="338" t="s">
        <v>338</v>
      </c>
      <c r="DP88" s="236">
        <v>6.07</v>
      </c>
      <c r="DQ88" s="236" t="s">
        <v>331</v>
      </c>
      <c r="DV88" s="340">
        <v>3.12</v>
      </c>
      <c r="DW88" s="340" t="s">
        <v>328</v>
      </c>
      <c r="DX88" s="1671"/>
    </row>
    <row r="89" spans="1:143" ht="14.65" customHeight="1">
      <c r="A89" s="339">
        <v>34108</v>
      </c>
      <c r="B89" s="338" t="s">
        <v>297</v>
      </c>
      <c r="E89" s="858"/>
      <c r="F89" s="338">
        <v>604.02</v>
      </c>
      <c r="G89" s="338" t="s">
        <v>289</v>
      </c>
      <c r="L89" s="2481">
        <v>630</v>
      </c>
      <c r="M89" s="340" t="s">
        <v>288</v>
      </c>
      <c r="N89" s="1390"/>
      <c r="O89" s="2479"/>
      <c r="P89" s="2282"/>
      <c r="R89" s="341" t="str">
        <f t="array" ref="R89">IFERROR(IF($R$11="Metro",INDEX($F$13:$F$829,SMALL(IF((County=$G$13:$G$829),MATCH(ROW($G$13:$G$829),ROW($G$13:$G$829)),""),ROWS($A$13:A89))),INDEX($I$13:$I$44,SMALL(IF((County=$J$13:$J$44),MATCH(ROW($J$13:$J$44),ROW($J$13:$J$44)),""),ROWS($A$13:A89)))),"")</f>
        <v/>
      </c>
      <c r="T89" s="341" t="str">
        <f t="array" ref="T89">IFERROR(IF($T$11="Yes",INDEX($L$13:$L$2813,SMALL(IF((County=$M$13:$M$2813),MATCH(ROW($M$13:$M$2813),ROW($M$13:$M$2813)),""),ROWS($A$13:A89))),""),"")</f>
        <v/>
      </c>
      <c r="V89" s="2283" t="str">
        <f t="array" ref="V89">IFERROR(IF($T$11="Yes",INDEX($O$14:$O$2811,SMALL(IF((County=$P$14:$P$2811),MATCH(ROW($P$14:$P$2811),ROW($P$14:$P$2811)),""),ROWS($A$13:A89))),""),"")</f>
        <v/>
      </c>
      <c r="X89" s="339">
        <v>32804</v>
      </c>
      <c r="Y89" s="338" t="s">
        <v>338</v>
      </c>
      <c r="AA89" s="338">
        <v>7.05</v>
      </c>
      <c r="AB89" s="338" t="s">
        <v>331</v>
      </c>
      <c r="AG89" s="2297">
        <v>4.01</v>
      </c>
      <c r="AH89" s="2297" t="s">
        <v>323</v>
      </c>
      <c r="AI89" s="1390"/>
      <c r="AJ89" s="2282"/>
      <c r="AK89" s="2282"/>
      <c r="AL89" s="1037"/>
      <c r="AM89" s="339">
        <v>33876</v>
      </c>
      <c r="AN89" s="338" t="s">
        <v>315</v>
      </c>
      <c r="AQ89" s="858"/>
      <c r="AR89" s="338">
        <v>805</v>
      </c>
      <c r="AS89" s="338" t="s">
        <v>289</v>
      </c>
      <c r="AX89" s="340">
        <v>631.09</v>
      </c>
      <c r="AY89" s="340" t="s">
        <v>288</v>
      </c>
      <c r="BA89" s="341" t="str">
        <f t="array" ref="BA89">IFERROR(IF($BA$11="Metro",INDEX($AR$13:$AR$814,SMALL(IF((County=$AS$13:$AS$814),MATCH(ROW($AS$13:$AS$814),ROW($AS$13:$AS$814)),""),ROWS($A$13:$A89))),INDEX($AU$13:$AU$48,SMALL(IF((County=$AV$13:$AV$48),MATCH(ROW($AV$13:$AV$48),ROW($AV$13:$AV$48)),""),ROWS($A$13:$A89)))),"")</f>
        <v/>
      </c>
      <c r="BC89" s="341" t="str">
        <f t="array" ref="BC89">IFERROR(IF($BC$11="Yes",INDEX($AX$13:$AX$2950,SMALL(IF((County=$AY$13:$AY$2950),MATCH(ROW($AY$13:$AY$2950),ROW($AY$13:$AY$2950)),""),ROWS($A$13:$A89))),""),"")</f>
        <v/>
      </c>
      <c r="BE89" s="339">
        <v>32837</v>
      </c>
      <c r="BF89" s="338" t="s">
        <v>338</v>
      </c>
      <c r="BH89" s="338">
        <v>6</v>
      </c>
      <c r="BI89" s="338" t="s">
        <v>276</v>
      </c>
      <c r="BN89" s="340">
        <v>3.03</v>
      </c>
      <c r="BO89" s="340" t="s">
        <v>340</v>
      </c>
      <c r="BP89" s="1385"/>
      <c r="BQ89" s="1386">
        <v>32212</v>
      </c>
      <c r="BR89" s="338" t="s">
        <v>302</v>
      </c>
      <c r="BU89" s="858"/>
      <c r="BV89" s="338">
        <v>9</v>
      </c>
      <c r="BW89" s="338" t="s">
        <v>285</v>
      </c>
      <c r="BY89" s="236">
        <v>4.04</v>
      </c>
      <c r="BZ89" s="236" t="s">
        <v>313</v>
      </c>
      <c r="CB89" s="340">
        <v>631.02</v>
      </c>
      <c r="CC89" s="340" t="s">
        <v>288</v>
      </c>
      <c r="CE89" s="341" t="str">
        <f t="array" ref="CE89">IFERROR(IF($CE$11="Metro",INDEX($BV$13:$BV$4972,SMALL(IF((County=$BW$13:$BW$4972),MATCH(ROW($BW$13:$BW$4972),ROW($BW$13:$BW$4972)),""),ROWS($A$13:$A89))),INDEX($BY$13:$BY$212,SMALL(IF((County=$BZ$13:$BZ$212),MATCH(ROW($BZ$13:$BZ$212),ROW($BZ$13:$BZ$212)),""),ROWS($A$13:$A89)))),"")</f>
        <v/>
      </c>
      <c r="CG89" s="341" t="str">
        <f t="array" ref="CG89">IFERROR(IF($CG$11="Yes",INDEX($CB$13:$CB$2950,SMALL(IF((County=$CC$13:$CC$2950),MATCH(ROW($CC$13:$CC$2950),ROW($CC$13:$CC$2950)),""),ROWS($A$13:$A89))),""),"")</f>
        <v/>
      </c>
      <c r="CI89" s="1583">
        <v>32836</v>
      </c>
      <c r="CJ89" s="338" t="s">
        <v>338</v>
      </c>
      <c r="CL89" s="236">
        <v>2.16</v>
      </c>
      <c r="CM89" s="236" t="s">
        <v>331</v>
      </c>
      <c r="CO89" s="236">
        <v>9501</v>
      </c>
      <c r="CP89" s="236" t="s">
        <v>353</v>
      </c>
      <c r="CR89" s="340">
        <v>3.03</v>
      </c>
      <c r="CS89" s="340" t="s">
        <v>340</v>
      </c>
      <c r="CT89" s="1384"/>
      <c r="CU89" s="341">
        <v>32258</v>
      </c>
      <c r="CV89" s="338" t="s">
        <v>302</v>
      </c>
      <c r="CZ89" s="1795">
        <v>602.03</v>
      </c>
      <c r="DA89" s="338" t="s">
        <v>289</v>
      </c>
      <c r="DF89" s="340">
        <v>628</v>
      </c>
      <c r="DG89" s="340" t="s">
        <v>288</v>
      </c>
      <c r="DI89" s="341" t="str">
        <f t="array" ref="DI89">IFERROR(IF($DI$11="Metro",INDEX($CZ$13:$CZ$929,SMALL(IF((County=$DA$13:$DA$929),MATCH(ROW($DA$13:$DA$929),ROW($DA$13:$DA$929)),""),ROWS($A$13:$A89))),INDEX($DC$13:$DC$212,SMALL(IF((County=$DD$13:$DD$212),MATCH(ROW($DD$13:$DD$212),ROW($DD$13:$DD$212)),""),ROWS($A$13:$A89)))),"")</f>
        <v/>
      </c>
      <c r="DK89" s="341" t="str">
        <f t="array" ref="DK89">IFERROR(IF($DK$11="Yes",INDEX($DF$13:$DF$2838,SMALL(IF((County=$DG$13:$DG$2838),MATCH(ROW($DG$13:$DG$2838),ROW($DG$13:$DG$2838)),""),ROWS($A$13:$A89))),""),"")</f>
        <v/>
      </c>
      <c r="DM89" s="1387">
        <v>32832</v>
      </c>
      <c r="DN89" s="338" t="s">
        <v>338</v>
      </c>
      <c r="DP89" s="236">
        <v>6.09</v>
      </c>
      <c r="DQ89" s="236" t="s">
        <v>331</v>
      </c>
      <c r="DV89" s="340">
        <v>4</v>
      </c>
      <c r="DW89" s="340" t="s">
        <v>330</v>
      </c>
      <c r="DX89" s="1671"/>
    </row>
    <row r="90" spans="1:143" ht="14.65" customHeight="1">
      <c r="A90" s="339">
        <v>34110</v>
      </c>
      <c r="B90" s="338" t="s">
        <v>297</v>
      </c>
      <c r="E90" s="858"/>
      <c r="F90" s="338">
        <v>604.04</v>
      </c>
      <c r="G90" s="338" t="s">
        <v>289</v>
      </c>
      <c r="L90" s="2481">
        <v>631.02</v>
      </c>
      <c r="M90" s="340" t="s">
        <v>288</v>
      </c>
      <c r="N90" s="1390"/>
      <c r="O90" s="2479"/>
      <c r="P90" s="2282"/>
      <c r="R90" s="341" t="str">
        <f t="array" ref="R90">IFERROR(IF($R$11="Metro",INDEX($F$13:$F$829,SMALL(IF((County=$G$13:$G$829),MATCH(ROW($G$13:$G$829),ROW($G$13:$G$829)),""),ROWS($A$13:A90))),INDEX($I$13:$I$44,SMALL(IF((County=$J$13:$J$44),MATCH(ROW($J$13:$J$44),ROW($J$13:$J$44)),""),ROWS($A$13:A90)))),"")</f>
        <v/>
      </c>
      <c r="T90" s="341" t="str">
        <f t="array" ref="T90">IFERROR(IF($T$11="Yes",INDEX($L$13:$L$2813,SMALL(IF((County=$M$13:$M$2813),MATCH(ROW($M$13:$M$2813),ROW($M$13:$M$2813)),""),ROWS($A$13:A90))),""),"")</f>
        <v/>
      </c>
      <c r="V90" s="2283" t="str">
        <f t="array" ref="V90">IFERROR(IF($T$11="Yes",INDEX($O$14:$O$2811,SMALL(IF((County=$P$14:$P$2811),MATCH(ROW($P$14:$P$2811),ROW($P$14:$P$2811)),""),ROWS($A$13:A90))),""),"")</f>
        <v/>
      </c>
      <c r="X90" s="339">
        <v>32814</v>
      </c>
      <c r="Y90" s="338" t="s">
        <v>338</v>
      </c>
      <c r="AA90" s="338">
        <v>7.1</v>
      </c>
      <c r="AB90" s="338" t="s">
        <v>331</v>
      </c>
      <c r="AG90" s="2297">
        <v>4.01</v>
      </c>
      <c r="AH90" s="2297" t="s">
        <v>329</v>
      </c>
      <c r="AI90" s="1390"/>
      <c r="AJ90" s="2282"/>
      <c r="AK90" s="2282"/>
      <c r="AL90" s="1037"/>
      <c r="AM90" s="339">
        <v>33503</v>
      </c>
      <c r="AN90" s="338" t="s">
        <v>316</v>
      </c>
      <c r="AQ90" s="858"/>
      <c r="AR90" s="338">
        <v>903.01</v>
      </c>
      <c r="AS90" s="338" t="s">
        <v>289</v>
      </c>
      <c r="AX90" s="340">
        <v>641.02</v>
      </c>
      <c r="AY90" s="340" t="s">
        <v>288</v>
      </c>
      <c r="BA90" s="341" t="str">
        <f t="array" ref="BA90">IFERROR(IF($BA$11="Metro",INDEX($AR$13:$AR$814,SMALL(IF((County=$AS$13:$AS$814),MATCH(ROW($AS$13:$AS$814),ROW($AS$13:$AS$814)),""),ROWS($A$13:$A90))),INDEX($AU$13:$AU$48,SMALL(IF((County=$AV$13:$AV$48),MATCH(ROW($AV$13:$AV$48),ROW($AV$13:$AV$48)),""),ROWS($A$13:$A90)))),"")</f>
        <v/>
      </c>
      <c r="BC90" s="341" t="str">
        <f t="array" ref="BC90">IFERROR(IF($BC$11="Yes",INDEX($AX$13:$AX$2950,SMALL(IF((County=$AY$13:$AY$2950),MATCH(ROW($AY$13:$AY$2950),ROW($AY$13:$AY$2950)),""),ROWS($A$13:$A90))),""),"")</f>
        <v/>
      </c>
      <c r="BE90" s="339">
        <v>32903</v>
      </c>
      <c r="BF90" s="338" t="s">
        <v>288</v>
      </c>
      <c r="BH90" s="338">
        <v>6</v>
      </c>
      <c r="BI90" s="338" t="s">
        <v>302</v>
      </c>
      <c r="BN90" s="340">
        <v>3.04</v>
      </c>
      <c r="BO90" s="340" t="s">
        <v>323</v>
      </c>
      <c r="BP90" s="1385"/>
      <c r="BQ90" s="1386">
        <v>32225</v>
      </c>
      <c r="BR90" s="338" t="s">
        <v>302</v>
      </c>
      <c r="BU90" s="858"/>
      <c r="BV90" s="338">
        <v>10</v>
      </c>
      <c r="BW90" s="338" t="s">
        <v>285</v>
      </c>
      <c r="BY90" s="236">
        <v>6.01</v>
      </c>
      <c r="BZ90" s="236" t="s">
        <v>313</v>
      </c>
      <c r="CB90" s="340">
        <v>631.04</v>
      </c>
      <c r="CC90" s="340" t="s">
        <v>288</v>
      </c>
      <c r="CE90" s="341" t="str">
        <f t="array" ref="CE90">IFERROR(IF($CE$11="Metro",INDEX($BV$13:$BV$4972,SMALL(IF((County=$BW$13:$BW$4972),MATCH(ROW($BW$13:$BW$4972),ROW($BW$13:$BW$4972)),""),ROWS($A$13:$A90))),INDEX($BY$13:$BY$212,SMALL(IF((County=$BZ$13:$BZ$212),MATCH(ROW($BZ$13:$BZ$212),ROW($BZ$13:$BZ$212)),""),ROWS($A$13:$A90)))),"")</f>
        <v/>
      </c>
      <c r="CG90" s="341" t="str">
        <f t="array" ref="CG90">IFERROR(IF($CG$11="Yes",INDEX($CB$13:$CB$2950,SMALL(IF((County=$CC$13:$CC$2950),MATCH(ROW($CC$13:$CC$2950),ROW($CC$13:$CC$2950)),""),ROWS($A$13:$A90))),""),"")</f>
        <v/>
      </c>
      <c r="CI90" s="1583">
        <v>32837</v>
      </c>
      <c r="CJ90" s="338" t="s">
        <v>338</v>
      </c>
      <c r="CL90" s="236">
        <v>2.16</v>
      </c>
      <c r="CM90" s="236" t="s">
        <v>340</v>
      </c>
      <c r="CO90" s="236">
        <v>9502.01</v>
      </c>
      <c r="CP90" s="236" t="s">
        <v>326</v>
      </c>
      <c r="CR90" s="340">
        <v>3.04</v>
      </c>
      <c r="CS90" s="340" t="s">
        <v>323</v>
      </c>
      <c r="CT90" s="1384"/>
      <c r="CU90" s="341">
        <v>32266</v>
      </c>
      <c r="CV90" s="338" t="s">
        <v>302</v>
      </c>
      <c r="CZ90" s="1795">
        <v>602.05999999999995</v>
      </c>
      <c r="DA90" s="338" t="s">
        <v>289</v>
      </c>
      <c r="DF90" s="340">
        <v>630</v>
      </c>
      <c r="DG90" s="340" t="s">
        <v>288</v>
      </c>
      <c r="DI90" s="341" t="str">
        <f t="array" ref="DI90">IFERROR(IF($DI$11="Metro",INDEX($CZ$13:$CZ$929,SMALL(IF((County=$DA$13:$DA$929),MATCH(ROW($DA$13:$DA$929),ROW($DA$13:$DA$929)),""),ROWS($A$13:$A90))),INDEX($DC$13:$DC$212,SMALL(IF((County=$DD$13:$DD$212),MATCH(ROW($DD$13:$DD$212),ROW($DD$13:$DD$212)),""),ROWS($A$13:$A90)))),"")</f>
        <v/>
      </c>
      <c r="DK90" s="341" t="str">
        <f t="array" ref="DK90">IFERROR(IF($DK$11="Yes",INDEX($DF$13:$DF$2838,SMALL(IF((County=$DG$13:$DG$2838),MATCH(ROW($DG$13:$DG$2838),ROW($DG$13:$DG$2838)),""),ROWS($A$13:$A90))),""),"")</f>
        <v/>
      </c>
      <c r="DM90" s="1387">
        <v>32835</v>
      </c>
      <c r="DN90" s="338" t="s">
        <v>338</v>
      </c>
      <c r="DP90" s="236">
        <v>6.1</v>
      </c>
      <c r="DQ90" s="236" t="s">
        <v>331</v>
      </c>
      <c r="DV90" s="340">
        <v>4.01</v>
      </c>
      <c r="DW90" s="340" t="s">
        <v>297</v>
      </c>
      <c r="DX90" s="1671"/>
      <c r="EE90" s="2761" t="s">
        <v>3185</v>
      </c>
      <c r="EF90" s="2762"/>
      <c r="EG90" s="2769"/>
      <c r="EH90" s="2769"/>
      <c r="EI90" s="2770"/>
      <c r="EJ90" s="2761" t="s">
        <v>3186</v>
      </c>
      <c r="EK90" s="2762"/>
      <c r="EL90" s="2763"/>
    </row>
    <row r="91" spans="1:143" ht="14.65" customHeight="1">
      <c r="A91" s="339">
        <v>34120</v>
      </c>
      <c r="B91" s="338" t="s">
        <v>297</v>
      </c>
      <c r="E91" s="858"/>
      <c r="F91" s="338">
        <v>701.04</v>
      </c>
      <c r="G91" s="338" t="s">
        <v>289</v>
      </c>
      <c r="L91" s="2481">
        <v>631.04</v>
      </c>
      <c r="M91" s="340" t="s">
        <v>288</v>
      </c>
      <c r="N91" s="1390"/>
      <c r="O91" s="2479"/>
      <c r="P91" s="2282"/>
      <c r="R91" s="341" t="str">
        <f t="array" ref="R91">IFERROR(IF($R$11="Metro",INDEX($F$13:$F$829,SMALL(IF((County=$G$13:$G$829),MATCH(ROW($G$13:$G$829),ROW($G$13:$G$829)),""),ROWS($A$13:A91))),INDEX($I$13:$I$44,SMALL(IF((County=$J$13:$J$44),MATCH(ROW($J$13:$J$44),ROW($J$13:$J$44)),""),ROWS($A$13:A91)))),"")</f>
        <v/>
      </c>
      <c r="T91" s="341" t="str">
        <f t="array" ref="T91">IFERROR(IF($T$11="Yes",INDEX($L$13:$L$2813,SMALL(IF((County=$M$13:$M$2813),MATCH(ROW($M$13:$M$2813),ROW($M$13:$M$2813)),""),ROWS($A$13:A91))),""),"")</f>
        <v/>
      </c>
      <c r="V91" s="2283" t="str">
        <f t="array" ref="V91">IFERROR(IF($T$11="Yes",INDEX($O$14:$O$2811,SMALL(IF((County=$P$14:$P$2811),MATCH(ROW($P$14:$P$2811),ROW($P$14:$P$2811)),""),ROWS($A$13:A91))),""),"")</f>
        <v/>
      </c>
      <c r="X91" s="339">
        <v>32817</v>
      </c>
      <c r="Y91" s="338" t="s">
        <v>338</v>
      </c>
      <c r="AA91" s="338">
        <v>7.11</v>
      </c>
      <c r="AB91" s="338" t="s">
        <v>331</v>
      </c>
      <c r="AG91" s="2297">
        <v>4.0199999999999996</v>
      </c>
      <c r="AH91" s="2297" t="s">
        <v>297</v>
      </c>
      <c r="AI91" s="1390"/>
      <c r="AJ91" s="2282"/>
      <c r="AK91" s="2282"/>
      <c r="AL91" s="1037"/>
      <c r="AM91" s="339">
        <v>33511</v>
      </c>
      <c r="AN91" s="338" t="s">
        <v>316</v>
      </c>
      <c r="AQ91" s="858"/>
      <c r="AR91" s="338">
        <v>904.03</v>
      </c>
      <c r="AS91" s="338" t="s">
        <v>289</v>
      </c>
      <c r="AX91" s="340">
        <v>641.23</v>
      </c>
      <c r="AY91" s="340" t="s">
        <v>288</v>
      </c>
      <c r="BA91" s="341" t="str">
        <f t="array" ref="BA91">IFERROR(IF($BA$11="Metro",INDEX($AR$13:$AR$814,SMALL(IF((County=$AS$13:$AS$814),MATCH(ROW($AS$13:$AS$814),ROW($AS$13:$AS$814)),""),ROWS($A$13:$A91))),INDEX($AU$13:$AU$48,SMALL(IF((County=$AV$13:$AV$48),MATCH(ROW($AV$13:$AV$48),ROW($AV$13:$AV$48)),""),ROWS($A$13:$A91)))),"")</f>
        <v/>
      </c>
      <c r="BC91" s="341" t="str">
        <f t="array" ref="BC91">IFERROR(IF($BC$11="Yes",INDEX($AX$13:$AX$2950,SMALL(IF((County=$AY$13:$AY$2950),MATCH(ROW($AY$13:$AY$2950),ROW($AY$13:$AY$2950)),""),ROWS($A$13:$A91))),""),"")</f>
        <v/>
      </c>
      <c r="BE91" s="339">
        <v>32904</v>
      </c>
      <c r="BF91" s="338" t="s">
        <v>288</v>
      </c>
      <c r="BH91" s="338">
        <v>6</v>
      </c>
      <c r="BI91" s="338" t="s">
        <v>323</v>
      </c>
      <c r="BN91" s="340">
        <v>3.04</v>
      </c>
      <c r="BO91" s="340" t="s">
        <v>340</v>
      </c>
      <c r="BP91" s="1385"/>
      <c r="BQ91" s="1386">
        <v>32226</v>
      </c>
      <c r="BR91" s="338" t="s">
        <v>302</v>
      </c>
      <c r="BU91" s="858"/>
      <c r="BV91" s="338">
        <v>11</v>
      </c>
      <c r="BW91" s="338" t="s">
        <v>285</v>
      </c>
      <c r="BY91" s="236">
        <v>6.02</v>
      </c>
      <c r="BZ91" s="236" t="s">
        <v>313</v>
      </c>
      <c r="CB91" s="340">
        <v>631.04999999999995</v>
      </c>
      <c r="CC91" s="340" t="s">
        <v>288</v>
      </c>
      <c r="CE91" s="341" t="str">
        <f t="array" ref="CE91">IFERROR(IF($CE$11="Metro",INDEX($BV$13:$BV$4972,SMALL(IF((County=$BW$13:$BW$4972),MATCH(ROW($BW$13:$BW$4972),ROW($BW$13:$BW$4972)),""),ROWS($A$13:$A91))),INDEX($BY$13:$BY$212,SMALL(IF((County=$BZ$13:$BZ$212),MATCH(ROW($BZ$13:$BZ$212),ROW($BZ$13:$BZ$212)),""),ROWS($A$13:$A91)))),"")</f>
        <v/>
      </c>
      <c r="CG91" s="341" t="str">
        <f t="array" ref="CG91">IFERROR(IF($CG$11="Yes",INDEX($CB$13:$CB$2950,SMALL(IF((County=$CC$13:$CC$2950),MATCH(ROW($CC$13:$CC$2950),ROW($CC$13:$CC$2950)),""),ROWS($A$13:$A91))),""),"")</f>
        <v/>
      </c>
      <c r="CI91" s="1583">
        <v>32903</v>
      </c>
      <c r="CJ91" s="338" t="s">
        <v>288</v>
      </c>
      <c r="CL91" s="236">
        <v>2.17</v>
      </c>
      <c r="CM91" s="236" t="s">
        <v>340</v>
      </c>
      <c r="CO91" s="236">
        <v>9502.01</v>
      </c>
      <c r="CP91" s="236" t="s">
        <v>345</v>
      </c>
      <c r="CR91" s="340">
        <v>3.04</v>
      </c>
      <c r="CS91" s="340" t="s">
        <v>329</v>
      </c>
      <c r="CT91" s="1384"/>
      <c r="CU91" s="341">
        <v>32456</v>
      </c>
      <c r="CV91" s="338" t="s">
        <v>310</v>
      </c>
      <c r="CZ91" s="1795">
        <v>602.11</v>
      </c>
      <c r="DA91" s="338" t="s">
        <v>289</v>
      </c>
      <c r="DF91" s="340">
        <v>631.02</v>
      </c>
      <c r="DG91" s="340" t="s">
        <v>288</v>
      </c>
      <c r="DI91" s="341" t="str">
        <f t="array" ref="DI91">IFERROR(IF($DI$11="Metro",INDEX($CZ$13:$CZ$929,SMALL(IF((County=$DA$13:$DA$929),MATCH(ROW($DA$13:$DA$929),ROW($DA$13:$DA$929)),""),ROWS($A$13:$A91))),INDEX($DC$13:$DC$212,SMALL(IF((County=$DD$13:$DD$212),MATCH(ROW($DD$13:$DD$212),ROW($DD$13:$DD$212)),""),ROWS($A$13:$A91)))),"")</f>
        <v/>
      </c>
      <c r="DK91" s="341" t="str">
        <f t="array" ref="DK91">IFERROR(IF($DK$11="Yes",INDEX($DF$13:$DF$2838,SMALL(IF((County=$DG$13:$DG$2838),MATCH(ROW($DG$13:$DG$2838),ROW($DG$13:$DG$2838)),""),ROWS($A$13:$A91))),""),"")</f>
        <v/>
      </c>
      <c r="DM91" s="1387">
        <v>32836</v>
      </c>
      <c r="DN91" s="338" t="s">
        <v>338</v>
      </c>
      <c r="DP91" s="236">
        <v>6.11</v>
      </c>
      <c r="DQ91" s="236" t="s">
        <v>331</v>
      </c>
      <c r="DV91" s="340">
        <v>4.01</v>
      </c>
      <c r="DW91" s="340" t="s">
        <v>313</v>
      </c>
      <c r="DX91" s="1671"/>
      <c r="EE91" s="1247" t="s">
        <v>41</v>
      </c>
      <c r="EF91" s="1252" t="s">
        <v>3184</v>
      </c>
      <c r="EG91" s="2789" t="s">
        <v>41</v>
      </c>
      <c r="EH91" s="2790"/>
      <c r="EI91" s="2791"/>
      <c r="EJ91" s="1253" t="s">
        <v>41</v>
      </c>
      <c r="EK91" s="1245" t="s">
        <v>3184</v>
      </c>
      <c r="EL91" s="1244" t="s">
        <v>41</v>
      </c>
    </row>
    <row r="92" spans="1:143" ht="14.65" customHeight="1">
      <c r="A92" s="339">
        <v>34145</v>
      </c>
      <c r="B92" s="338" t="s">
        <v>297</v>
      </c>
      <c r="E92" s="858"/>
      <c r="F92" s="338">
        <v>705.04</v>
      </c>
      <c r="G92" s="338" t="s">
        <v>289</v>
      </c>
      <c r="L92" s="2481">
        <v>631.04999999999995</v>
      </c>
      <c r="M92" s="340" t="s">
        <v>288</v>
      </c>
      <c r="N92" s="1390"/>
      <c r="O92" s="2479"/>
      <c r="P92" s="2282"/>
      <c r="R92" s="341" t="str">
        <f t="array" ref="R92">IFERROR(IF($R$11="Metro",INDEX($F$13:$F$829,SMALL(IF((County=$G$13:$G$829),MATCH(ROW($G$13:$G$829),ROW($G$13:$G$829)),""),ROWS($A$13:A92))),INDEX($I$13:$I$44,SMALL(IF((County=$J$13:$J$44),MATCH(ROW($J$13:$J$44),ROW($J$13:$J$44)),""),ROWS($A$13:A92)))),"")</f>
        <v/>
      </c>
      <c r="T92" s="341" t="str">
        <f t="array" ref="T92">IFERROR(IF($T$11="Yes",INDEX($L$13:$L$2813,SMALL(IF((County=$M$13:$M$2813),MATCH(ROW($M$13:$M$2813),ROW($M$13:$M$2813)),""),ROWS($A$13:A92))),""),"")</f>
        <v/>
      </c>
      <c r="V92" s="2283" t="str">
        <f t="array" ref="V92">IFERROR(IF($T$11="Yes",INDEX($O$14:$O$2811,SMALL(IF((County=$P$14:$P$2811),MATCH(ROW($P$14:$P$2811),ROW($P$14:$P$2811)),""),ROWS($A$13:A92))),""),"")</f>
        <v/>
      </c>
      <c r="X92" s="339">
        <v>32819</v>
      </c>
      <c r="Y92" s="338" t="s">
        <v>338</v>
      </c>
      <c r="AA92" s="338">
        <v>7.12</v>
      </c>
      <c r="AB92" s="338" t="s">
        <v>331</v>
      </c>
      <c r="AG92" s="2297">
        <v>4.03</v>
      </c>
      <c r="AH92" s="2297" t="s">
        <v>328</v>
      </c>
      <c r="AI92" s="1390"/>
      <c r="AJ92" s="2282"/>
      <c r="AK92" s="2282"/>
      <c r="AL92" s="1037"/>
      <c r="AM92" s="339">
        <v>33547</v>
      </c>
      <c r="AN92" s="338" t="s">
        <v>316</v>
      </c>
      <c r="AQ92" s="858"/>
      <c r="AR92" s="338">
        <v>1003.02</v>
      </c>
      <c r="AS92" s="338" t="s">
        <v>289</v>
      </c>
      <c r="AX92" s="340">
        <v>641.26</v>
      </c>
      <c r="AY92" s="340" t="s">
        <v>288</v>
      </c>
      <c r="BA92" s="341" t="str">
        <f t="array" ref="BA92">IFERROR(IF($BA$11="Metro",INDEX($AR$13:$AR$814,SMALL(IF((County=$AS$13:$AS$814),MATCH(ROW($AS$13:$AS$814),ROW($AS$13:$AS$814)),""),ROWS($A$13:$A92))),INDEX($AU$13:$AU$48,SMALL(IF((County=$AV$13:$AV$48),MATCH(ROW($AV$13:$AV$48),ROW($AV$13:$AV$48)),""),ROWS($A$13:$A92)))),"")</f>
        <v/>
      </c>
      <c r="BC92" s="341" t="str">
        <f t="array" ref="BC92">IFERROR(IF($BC$11="Yes",INDEX($AX$13:$AX$2950,SMALL(IF((County=$AY$13:$AY$2950),MATCH(ROW($AY$13:$AY$2950),ROW($AY$13:$AY$2950)),""),ROWS($A$13:$A92))),""),"")</f>
        <v/>
      </c>
      <c r="BE92" s="339">
        <v>32908</v>
      </c>
      <c r="BF92" s="338" t="s">
        <v>288</v>
      </c>
      <c r="BH92" s="338">
        <v>6</v>
      </c>
      <c r="BI92" s="338" t="s">
        <v>324</v>
      </c>
      <c r="BN92" s="340">
        <v>3.09</v>
      </c>
      <c r="BO92" s="340" t="s">
        <v>331</v>
      </c>
      <c r="BP92" s="1385"/>
      <c r="BQ92" s="1386">
        <v>32227</v>
      </c>
      <c r="BR92" s="338" t="s">
        <v>302</v>
      </c>
      <c r="BU92" s="858"/>
      <c r="BV92" s="338">
        <v>12</v>
      </c>
      <c r="BW92" s="338" t="s">
        <v>285</v>
      </c>
      <c r="BY92" s="236">
        <v>9900</v>
      </c>
      <c r="BZ92" s="236" t="s">
        <v>313</v>
      </c>
      <c r="CB92" s="340">
        <v>631.05999999999995</v>
      </c>
      <c r="CC92" s="340" t="s">
        <v>288</v>
      </c>
      <c r="CE92" s="341" t="str">
        <f t="array" ref="CE92">IFERROR(IF($CE$11="Metro",INDEX($BV$13:$BV$4972,SMALL(IF((County=$BW$13:$BW$4972),MATCH(ROW($BW$13:$BW$4972),ROW($BW$13:$BW$4972)),""),ROWS($A$13:$A92))),INDEX($BY$13:$BY$212,SMALL(IF((County=$BZ$13:$BZ$212),MATCH(ROW($BZ$13:$BZ$212),ROW($BZ$13:$BZ$212)),""),ROWS($A$13:$A92)))),"")</f>
        <v/>
      </c>
      <c r="CG92" s="341" t="str">
        <f t="array" ref="CG92">IFERROR(IF($CG$11="Yes",INDEX($CB$13:$CB$2950,SMALL(IF((County=$CC$13:$CC$2950),MATCH(ROW($CC$13:$CC$2950),ROW($CC$13:$CC$2950)),""),ROWS($A$13:$A92))),""),"")</f>
        <v/>
      </c>
      <c r="CI92" s="1583">
        <v>32904</v>
      </c>
      <c r="CJ92" s="338" t="s">
        <v>288</v>
      </c>
      <c r="CL92" s="236">
        <v>2.1800000000000002</v>
      </c>
      <c r="CM92" s="236" t="s">
        <v>331</v>
      </c>
      <c r="CO92" s="236">
        <v>9502.01</v>
      </c>
      <c r="CP92" s="236" t="s">
        <v>353</v>
      </c>
      <c r="CR92" s="340">
        <v>3.04</v>
      </c>
      <c r="CS92" s="340" t="s">
        <v>340</v>
      </c>
      <c r="CT92" s="1384"/>
      <c r="CU92" s="341">
        <v>34609</v>
      </c>
      <c r="CV92" s="338" t="s">
        <v>314</v>
      </c>
      <c r="CZ92" s="1795">
        <v>603.02</v>
      </c>
      <c r="DA92" s="338" t="s">
        <v>289</v>
      </c>
      <c r="DF92" s="340">
        <v>631.04</v>
      </c>
      <c r="DG92" s="340" t="s">
        <v>288</v>
      </c>
      <c r="DI92" s="341" t="str">
        <f t="array" ref="DI92">IFERROR(IF($DI$11="Metro",INDEX($CZ$13:$CZ$929,SMALL(IF((County=$DA$13:$DA$929),MATCH(ROW($DA$13:$DA$929),ROW($DA$13:$DA$929)),""),ROWS($A$13:$A92))),INDEX($DC$13:$DC$212,SMALL(IF((County=$DD$13:$DD$212),MATCH(ROW($DD$13:$DD$212),ROW($DD$13:$DD$212)),""),ROWS($A$13:$A92)))),"")</f>
        <v/>
      </c>
      <c r="DK92" s="341" t="str">
        <f t="array" ref="DK92">IFERROR(IF($DK$11="Yes",INDEX($DF$13:$DF$2838,SMALL(IF((County=$DG$13:$DG$2838),MATCH(ROW($DG$13:$DG$2838),ROW($DG$13:$DG$2838)),""),ROWS($A$13:$A92))),""),"")</f>
        <v/>
      </c>
      <c r="DM92" s="1387">
        <v>32837</v>
      </c>
      <c r="DN92" s="338" t="s">
        <v>338</v>
      </c>
      <c r="DP92" s="236">
        <v>7</v>
      </c>
      <c r="DQ92" s="236" t="s">
        <v>276</v>
      </c>
      <c r="DV92" s="340">
        <v>4.01</v>
      </c>
      <c r="DW92" s="340" t="s">
        <v>323</v>
      </c>
      <c r="DX92" s="1671"/>
      <c r="EE92" s="1246" t="s">
        <v>1814</v>
      </c>
      <c r="EF92" s="1248" t="s">
        <v>2625</v>
      </c>
      <c r="EG92" s="2749" t="str">
        <f t="shared" ref="EG92:EG114" si="26">EE92&amp;" - "&amp;EF92</f>
        <v>Allapattah - Level 1</v>
      </c>
      <c r="EH92" s="2750"/>
      <c r="EI92" s="2750"/>
      <c r="EJ92" s="777" t="s">
        <v>649</v>
      </c>
      <c r="EK92" s="777" t="s">
        <v>2625</v>
      </c>
      <c r="EL92" s="550" t="str">
        <f t="shared" ref="EL92:EL101" si="27">EJ92&amp;" - "&amp;EK92</f>
        <v>Cutler Ridge - Level 1</v>
      </c>
    </row>
    <row r="93" spans="1:143" ht="14.65" customHeight="1">
      <c r="A93" s="339">
        <v>32212</v>
      </c>
      <c r="B93" s="338" t="s">
        <v>302</v>
      </c>
      <c r="E93" s="858"/>
      <c r="F93" s="338">
        <v>801.02</v>
      </c>
      <c r="G93" s="338" t="s">
        <v>289</v>
      </c>
      <c r="L93" s="2481">
        <v>631.05999999999995</v>
      </c>
      <c r="M93" s="340" t="s">
        <v>288</v>
      </c>
      <c r="N93" s="1390"/>
      <c r="O93" s="2479"/>
      <c r="P93" s="2282"/>
      <c r="R93" s="341" t="str">
        <f t="array" ref="R93">IFERROR(IF($R$11="Metro",INDEX($F$13:$F$829,SMALL(IF((County=$G$13:$G$829),MATCH(ROW($G$13:$G$829),ROW($G$13:$G$829)),""),ROWS($A$13:A93))),INDEX($I$13:$I$44,SMALL(IF((County=$J$13:$J$44),MATCH(ROW($J$13:$J$44),ROW($J$13:$J$44)),""),ROWS($A$13:A93)))),"")</f>
        <v/>
      </c>
      <c r="T93" s="341" t="str">
        <f t="array" ref="T93">IFERROR(IF($T$11="Yes",INDEX($L$13:$L$2813,SMALL(IF((County=$M$13:$M$2813),MATCH(ROW($M$13:$M$2813),ROW($M$13:$M$2813)),""),ROWS($A$13:A93))),""),"")</f>
        <v/>
      </c>
      <c r="V93" s="2283" t="str">
        <f t="array" ref="V93">IFERROR(IF($T$11="Yes",INDEX($O$14:$O$2811,SMALL(IF((County=$P$14:$P$2811),MATCH(ROW($P$14:$P$2811),ROW($P$14:$P$2811)),""),ROWS($A$13:A93))),""),"")</f>
        <v/>
      </c>
      <c r="X93" s="339">
        <v>32820</v>
      </c>
      <c r="Y93" s="338" t="s">
        <v>338</v>
      </c>
      <c r="AA93" s="338">
        <v>7.14</v>
      </c>
      <c r="AB93" s="338" t="s">
        <v>331</v>
      </c>
      <c r="AG93" s="2297">
        <v>4.04</v>
      </c>
      <c r="AH93" s="2297" t="s">
        <v>313</v>
      </c>
      <c r="AI93" s="1390"/>
      <c r="AJ93" s="2282"/>
      <c r="AK93" s="2282"/>
      <c r="AL93" s="1037"/>
      <c r="AM93" s="339">
        <v>33548</v>
      </c>
      <c r="AN93" s="338" t="s">
        <v>316</v>
      </c>
      <c r="AQ93" s="858"/>
      <c r="AR93" s="338">
        <v>1004</v>
      </c>
      <c r="AS93" s="338" t="s">
        <v>289</v>
      </c>
      <c r="AX93" s="340">
        <v>641.27</v>
      </c>
      <c r="AY93" s="340" t="s">
        <v>288</v>
      </c>
      <c r="BA93" s="341" t="str">
        <f t="array" ref="BA93">IFERROR(IF($BA$11="Metro",INDEX($AR$13:$AR$814,SMALL(IF((County=$AS$13:$AS$814),MATCH(ROW($AS$13:$AS$814),ROW($AS$13:$AS$814)),""),ROWS($A$13:$A93))),INDEX($AU$13:$AU$48,SMALL(IF((County=$AV$13:$AV$48),MATCH(ROW($AV$13:$AV$48),ROW($AV$13:$AV$48)),""),ROWS($A$13:$A93)))),"")</f>
        <v/>
      </c>
      <c r="BC93" s="341" t="str">
        <f t="array" ref="BC93">IFERROR(IF($BC$11="Yes",INDEX($AX$13:$AX$2950,SMALL(IF((County=$AY$13:$AY$2950),MATCH(ROW($AY$13:$AY$2950),ROW($AY$13:$AY$2950)),""),ROWS($A$13:$A93))),""),"")</f>
        <v/>
      </c>
      <c r="BE93" s="339">
        <v>32925</v>
      </c>
      <c r="BF93" s="338" t="s">
        <v>288</v>
      </c>
      <c r="BH93" s="338">
        <v>6.01</v>
      </c>
      <c r="BI93" s="338" t="s">
        <v>331</v>
      </c>
      <c r="BN93" s="340">
        <v>4</v>
      </c>
      <c r="BO93" s="340" t="s">
        <v>330</v>
      </c>
      <c r="BP93" s="1385"/>
      <c r="BQ93" s="1386">
        <v>32250</v>
      </c>
      <c r="BR93" s="338" t="s">
        <v>302</v>
      </c>
      <c r="BU93" s="858"/>
      <c r="BV93" s="338">
        <v>13.01</v>
      </c>
      <c r="BW93" s="338" t="s">
        <v>285</v>
      </c>
      <c r="BY93" s="236">
        <v>9601</v>
      </c>
      <c r="BZ93" s="236" t="s">
        <v>317</v>
      </c>
      <c r="CB93" s="340">
        <v>631.08000000000004</v>
      </c>
      <c r="CC93" s="340" t="s">
        <v>288</v>
      </c>
      <c r="CE93" s="341" t="str">
        <f t="array" ref="CE93">IFERROR(IF($CE$11="Metro",INDEX($BV$13:$BV$4972,SMALL(IF((County=$BW$13:$BW$4972),MATCH(ROW($BW$13:$BW$4972),ROW($BW$13:$BW$4972)),""),ROWS($A$13:$A93))),INDEX($BY$13:$BY$212,SMALL(IF((County=$BZ$13:$BZ$212),MATCH(ROW($BZ$13:$BZ$212),ROW($BZ$13:$BZ$212)),""),ROWS($A$13:$A93)))),"")</f>
        <v/>
      </c>
      <c r="CG93" s="341" t="str">
        <f t="array" ref="CG93">IFERROR(IF($CG$11="Yes",INDEX($CB$13:$CB$2950,SMALL(IF((County=$CC$13:$CC$2950),MATCH(ROW($CC$13:$CC$2950),ROW($CC$13:$CC$2950)),""),ROWS($A$13:$A93))),""),"")</f>
        <v/>
      </c>
      <c r="CI93" s="1583">
        <v>32908</v>
      </c>
      <c r="CJ93" s="338" t="s">
        <v>288</v>
      </c>
      <c r="CL93" s="236">
        <v>2.1800000000000002</v>
      </c>
      <c r="CM93" s="236" t="s">
        <v>340</v>
      </c>
      <c r="CO93" s="236">
        <v>9502.02</v>
      </c>
      <c r="CP93" s="236" t="s">
        <v>326</v>
      </c>
      <c r="CR93" s="340">
        <v>4.01</v>
      </c>
      <c r="CS93" s="340" t="s">
        <v>297</v>
      </c>
      <c r="CT93" s="1384"/>
      <c r="CU93" s="341">
        <v>33510</v>
      </c>
      <c r="CV93" s="338" t="s">
        <v>316</v>
      </c>
      <c r="CZ93" s="1795">
        <v>603.03</v>
      </c>
      <c r="DA93" s="338" t="s">
        <v>289</v>
      </c>
      <c r="DF93" s="340">
        <v>631.04999999999995</v>
      </c>
      <c r="DG93" s="340" t="s">
        <v>288</v>
      </c>
      <c r="DI93" s="341" t="str">
        <f t="array" ref="DI93">IFERROR(IF($DI$11="Metro",INDEX($CZ$13:$CZ$929,SMALL(IF((County=$DA$13:$DA$929),MATCH(ROW($DA$13:$DA$929),ROW($DA$13:$DA$929)),""),ROWS($A$13:$A93))),INDEX($DC$13:$DC$212,SMALL(IF((County=$DD$13:$DD$212),MATCH(ROW($DD$13:$DD$212),ROW($DD$13:$DD$212)),""),ROWS($A$13:$A93)))),"")</f>
        <v/>
      </c>
      <c r="DK93" s="341" t="str">
        <f t="array" ref="DK93">IFERROR(IF($DK$11="Yes",INDEX($DF$13:$DF$2838,SMALL(IF((County=$DG$13:$DG$2838),MATCH(ROW($DG$13:$DG$2838),ROW($DG$13:$DG$2838)),""),ROWS($A$13:$A93))),""),"")</f>
        <v/>
      </c>
      <c r="DM93" s="1387">
        <v>32903</v>
      </c>
      <c r="DN93" s="338" t="s">
        <v>288</v>
      </c>
      <c r="DP93" s="236">
        <v>7</v>
      </c>
      <c r="DQ93" s="236" t="s">
        <v>323</v>
      </c>
      <c r="DV93" s="340">
        <v>4.01</v>
      </c>
      <c r="DW93" s="340" t="s">
        <v>329</v>
      </c>
      <c r="DX93" s="1671"/>
      <c r="EE93" s="1175" t="s">
        <v>1915</v>
      </c>
      <c r="EF93" s="1248" t="s">
        <v>2625</v>
      </c>
      <c r="EG93" s="2749" t="str">
        <f t="shared" si="26"/>
        <v>Brickell - Level 1</v>
      </c>
      <c r="EH93" s="2750"/>
      <c r="EI93" s="2750"/>
      <c r="EJ93" s="777" t="s">
        <v>651</v>
      </c>
      <c r="EK93" s="777" t="s">
        <v>2625</v>
      </c>
      <c r="EL93" s="550" t="str">
        <f t="shared" si="27"/>
        <v>Downtown Kendall - Level 1</v>
      </c>
    </row>
    <row r="94" spans="1:143" ht="14.65" customHeight="1">
      <c r="A94" s="339">
        <v>32221</v>
      </c>
      <c r="B94" s="338" t="s">
        <v>302</v>
      </c>
      <c r="E94" s="858"/>
      <c r="F94" s="338">
        <v>804.03</v>
      </c>
      <c r="G94" s="338" t="s">
        <v>289</v>
      </c>
      <c r="L94" s="2481">
        <v>631.08000000000004</v>
      </c>
      <c r="M94" s="340" t="s">
        <v>288</v>
      </c>
      <c r="N94" s="1390"/>
      <c r="O94" s="2479"/>
      <c r="P94" s="2282"/>
      <c r="R94" s="341" t="str">
        <f t="array" ref="R94">IFERROR(IF($R$11="Metro",INDEX($F$13:$F$829,SMALL(IF((County=$G$13:$G$829),MATCH(ROW($G$13:$G$829),ROW($G$13:$G$829)),""),ROWS($A$13:A94))),INDEX($I$13:$I$44,SMALL(IF((County=$J$13:$J$44),MATCH(ROW($J$13:$J$44),ROW($J$13:$J$44)),""),ROWS($A$13:A94)))),"")</f>
        <v/>
      </c>
      <c r="T94" s="341" t="str">
        <f t="array" ref="T94">IFERROR(IF($T$11="Yes",INDEX($L$13:$L$2813,SMALL(IF((County=$M$13:$M$2813),MATCH(ROW($M$13:$M$2813),ROW($M$13:$M$2813)),""),ROWS($A$13:A94))),""),"")</f>
        <v/>
      </c>
      <c r="V94" s="2283" t="str">
        <f t="array" ref="V94">IFERROR(IF($T$11="Yes",INDEX($O$14:$O$2811,SMALL(IF((County=$P$14:$P$2811),MATCH(ROW($P$14:$P$2811),ROW($P$14:$P$2811)),""),ROWS($A$13:A94))),""),"")</f>
        <v/>
      </c>
      <c r="X94" s="339">
        <v>32821</v>
      </c>
      <c r="Y94" s="338" t="s">
        <v>338</v>
      </c>
      <c r="AA94" s="338">
        <v>7.19</v>
      </c>
      <c r="AB94" s="338" t="s">
        <v>331</v>
      </c>
      <c r="AG94" s="2297">
        <v>4.04</v>
      </c>
      <c r="AH94" s="2297" t="s">
        <v>347</v>
      </c>
      <c r="AI94" s="1390"/>
      <c r="AJ94" s="2282"/>
      <c r="AK94" s="2282"/>
      <c r="AL94" s="1037"/>
      <c r="AM94" s="339">
        <v>33556</v>
      </c>
      <c r="AN94" s="338" t="s">
        <v>316</v>
      </c>
      <c r="AQ94" s="858"/>
      <c r="AR94" s="338">
        <v>1005.01</v>
      </c>
      <c r="AS94" s="338" t="s">
        <v>289</v>
      </c>
      <c r="AX94" s="340">
        <v>641.28</v>
      </c>
      <c r="AY94" s="340" t="s">
        <v>288</v>
      </c>
      <c r="BA94" s="341" t="str">
        <f t="array" ref="BA94">IFERROR(IF($BA$11="Metro",INDEX($AR$13:$AR$814,SMALL(IF((County=$AS$13:$AS$814),MATCH(ROW($AS$13:$AS$814),ROW($AS$13:$AS$814)),""),ROWS($A$13:$A94))),INDEX($AU$13:$AU$48,SMALL(IF((County=$AV$13:$AV$48),MATCH(ROW($AV$13:$AV$48),ROW($AV$13:$AV$48)),""),ROWS($A$13:$A94)))),"")</f>
        <v/>
      </c>
      <c r="BC94" s="341" t="str">
        <f t="array" ref="BC94">IFERROR(IF($BC$11="Yes",INDEX($AX$13:$AX$2950,SMALL(IF((County=$AY$13:$AY$2950),MATCH(ROW($AY$13:$AY$2950),ROW($AY$13:$AY$2950)),""),ROWS($A$13:$A94))),""),"")</f>
        <v/>
      </c>
      <c r="BE94" s="339">
        <v>32934</v>
      </c>
      <c r="BF94" s="338" t="s">
        <v>288</v>
      </c>
      <c r="BH94" s="338">
        <v>6.02</v>
      </c>
      <c r="BI94" s="338" t="s">
        <v>316</v>
      </c>
      <c r="BN94" s="340">
        <v>4.01</v>
      </c>
      <c r="BO94" s="340" t="s">
        <v>285</v>
      </c>
      <c r="BP94" s="1385"/>
      <c r="BQ94" s="1386">
        <v>32258</v>
      </c>
      <c r="BR94" s="338" t="s">
        <v>302</v>
      </c>
      <c r="BU94" s="858"/>
      <c r="BV94" s="338">
        <v>13.02</v>
      </c>
      <c r="BW94" s="338" t="s">
        <v>285</v>
      </c>
      <c r="BY94" s="236">
        <v>9602.01</v>
      </c>
      <c r="BZ94" s="236" t="s">
        <v>317</v>
      </c>
      <c r="CB94" s="340">
        <v>631.09</v>
      </c>
      <c r="CC94" s="340" t="s">
        <v>288</v>
      </c>
      <c r="CE94" s="341" t="str">
        <f t="array" ref="CE94">IFERROR(IF($CE$11="Metro",INDEX($BV$13:$BV$4972,SMALL(IF((County=$BW$13:$BW$4972),MATCH(ROW($BW$13:$BW$4972),ROW($BW$13:$BW$4972)),""),ROWS($A$13:$A94))),INDEX($BY$13:$BY$212,SMALL(IF((County=$BZ$13:$BZ$212),MATCH(ROW($BZ$13:$BZ$212),ROW($BZ$13:$BZ$212)),""),ROWS($A$13:$A94)))),"")</f>
        <v/>
      </c>
      <c r="CG94" s="341" t="str">
        <f t="array" ref="CG94">IFERROR(IF($CG$11="Yes",INDEX($CB$13:$CB$2950,SMALL(IF((County=$CC$13:$CC$2950),MATCH(ROW($CC$13:$CC$2950),ROW($CC$13:$CC$2950)),""),ROWS($A$13:$A94))),""),"")</f>
        <v/>
      </c>
      <c r="CI94" s="1583">
        <v>32925</v>
      </c>
      <c r="CJ94" s="338" t="s">
        <v>288</v>
      </c>
      <c r="CL94" s="236">
        <v>2.19</v>
      </c>
      <c r="CM94" s="236" t="s">
        <v>331</v>
      </c>
      <c r="CO94" s="236">
        <v>9502.02</v>
      </c>
      <c r="CP94" s="236" t="s">
        <v>345</v>
      </c>
      <c r="CR94" s="340">
        <v>4.01</v>
      </c>
      <c r="CS94" s="340" t="s">
        <v>313</v>
      </c>
      <c r="CT94" s="1384"/>
      <c r="CU94" s="341">
        <v>33511</v>
      </c>
      <c r="CV94" s="338" t="s">
        <v>316</v>
      </c>
      <c r="CZ94" s="1795">
        <v>604.01</v>
      </c>
      <c r="DA94" s="338" t="s">
        <v>289</v>
      </c>
      <c r="DF94" s="340">
        <v>631.05999999999995</v>
      </c>
      <c r="DG94" s="340" t="s">
        <v>288</v>
      </c>
      <c r="DI94" s="341" t="str">
        <f t="array" ref="DI94">IFERROR(IF($DI$11="Metro",INDEX($CZ$13:$CZ$929,SMALL(IF((County=$DA$13:$DA$929),MATCH(ROW($DA$13:$DA$929),ROW($DA$13:$DA$929)),""),ROWS($A$13:$A94))),INDEX($DC$13:$DC$212,SMALL(IF((County=$DD$13:$DD$212),MATCH(ROW($DD$13:$DD$212),ROW($DD$13:$DD$212)),""),ROWS($A$13:$A94)))),"")</f>
        <v/>
      </c>
      <c r="DK94" s="341" t="str">
        <f t="array" ref="DK94">IFERROR(IF($DK$11="Yes",INDEX($DF$13:$DF$2838,SMALL(IF((County=$DG$13:$DG$2838),MATCH(ROW($DG$13:$DG$2838),ROW($DG$13:$DG$2838)),""),ROWS($A$13:$A94))),""),"")</f>
        <v/>
      </c>
      <c r="DM94" s="1387">
        <v>32925</v>
      </c>
      <c r="DN94" s="338" t="s">
        <v>288</v>
      </c>
      <c r="DP94" s="236">
        <v>7.01</v>
      </c>
      <c r="DQ94" s="236" t="s">
        <v>316</v>
      </c>
      <c r="DV94" s="340">
        <v>4.0199999999999996</v>
      </c>
      <c r="DW94" s="340" t="s">
        <v>285</v>
      </c>
      <c r="DX94" s="1671"/>
      <c r="EE94" s="1175" t="s">
        <v>1930</v>
      </c>
      <c r="EF94" s="1248" t="s">
        <v>2625</v>
      </c>
      <c r="EG94" s="2749" t="str">
        <f t="shared" si="26"/>
        <v>Brownsville - Level 1</v>
      </c>
      <c r="EH94" s="2750"/>
      <c r="EI94" s="2750"/>
      <c r="EJ94" s="777" t="s">
        <v>652</v>
      </c>
      <c r="EK94" s="777" t="s">
        <v>2625</v>
      </c>
      <c r="EL94" s="550" t="str">
        <f t="shared" si="27"/>
        <v>Goulds - Level 1</v>
      </c>
    </row>
    <row r="95" spans="1:143" ht="14.65" customHeight="1">
      <c r="A95" s="339">
        <v>32222</v>
      </c>
      <c r="B95" s="338" t="s">
        <v>302</v>
      </c>
      <c r="E95" s="858"/>
      <c r="F95" s="338">
        <v>805</v>
      </c>
      <c r="G95" s="338" t="s">
        <v>289</v>
      </c>
      <c r="L95" s="2481">
        <v>631.09</v>
      </c>
      <c r="M95" s="340" t="s">
        <v>288</v>
      </c>
      <c r="N95" s="1390"/>
      <c r="O95" s="2479"/>
      <c r="P95" s="2282"/>
      <c r="R95" s="341" t="str">
        <f t="array" ref="R95">IFERROR(IF($R$11="Metro",INDEX($F$13:$F$829,SMALL(IF((County=$G$13:$G$829),MATCH(ROW($G$13:$G$829),ROW($G$13:$G$829)),""),ROWS($A$13:A95))),INDEX($I$13:$I$44,SMALL(IF((County=$J$13:$J$44),MATCH(ROW($J$13:$J$44),ROW($J$13:$J$44)),""),ROWS($A$13:A95)))),"")</f>
        <v/>
      </c>
      <c r="T95" s="341" t="str">
        <f t="array" ref="T95">IFERROR(IF($T$11="Yes",INDEX($L$13:$L$2813,SMALL(IF((County=$M$13:$M$2813),MATCH(ROW($M$13:$M$2813),ROW($M$13:$M$2813)),""),ROWS($A$13:A95))),""),"")</f>
        <v/>
      </c>
      <c r="V95" s="2283" t="str">
        <f t="array" ref="V95">IFERROR(IF($T$11="Yes",INDEX($O$14:$O$2811,SMALL(IF((County=$P$14:$P$2811),MATCH(ROW($P$14:$P$2811),ROW($P$14:$P$2811)),""),ROWS($A$13:A95))),""),"")</f>
        <v/>
      </c>
      <c r="X95" s="339">
        <v>32824</v>
      </c>
      <c r="Y95" s="338" t="s">
        <v>338</v>
      </c>
      <c r="AA95" s="338">
        <v>8.0399999999999991</v>
      </c>
      <c r="AB95" s="338" t="s">
        <v>331</v>
      </c>
      <c r="AG95" s="2297">
        <v>4.05</v>
      </c>
      <c r="AH95" s="2297" t="s">
        <v>340</v>
      </c>
      <c r="AI95" s="1390"/>
      <c r="AJ95" s="2282"/>
      <c r="AK95" s="2282"/>
      <c r="AL95" s="1037"/>
      <c r="AM95" s="339">
        <v>33559</v>
      </c>
      <c r="AN95" s="338" t="s">
        <v>316</v>
      </c>
      <c r="AQ95" s="858"/>
      <c r="AR95" s="338">
        <v>1005.02</v>
      </c>
      <c r="AS95" s="338" t="s">
        <v>289</v>
      </c>
      <c r="AX95" s="340">
        <v>641.29999999999995</v>
      </c>
      <c r="AY95" s="340" t="s">
        <v>288</v>
      </c>
      <c r="BA95" s="341" t="str">
        <f t="array" ref="BA95">IFERROR(IF($BA$11="Metro",INDEX($AR$13:$AR$814,SMALL(IF((County=$AS$13:$AS$814),MATCH(ROW($AS$13:$AS$814),ROW($AS$13:$AS$814)),""),ROWS($A$13:$A95))),INDEX($AU$13:$AU$48,SMALL(IF((County=$AV$13:$AV$48),MATCH(ROW($AV$13:$AV$48),ROW($AV$13:$AV$48)),""),ROWS($A$13:$A95)))),"")</f>
        <v/>
      </c>
      <c r="BC95" s="341" t="str">
        <f t="array" ref="BC95">IFERROR(IF($BC$11="Yes",INDEX($AX$13:$AX$2950,SMALL(IF((County=$AY$13:$AY$2950),MATCH(ROW($AY$13:$AY$2950),ROW($AY$13:$AY$2950)),""),ROWS($A$13:$A95))),""),"")</f>
        <v/>
      </c>
      <c r="BE95" s="339">
        <v>32937</v>
      </c>
      <c r="BF95" s="338" t="s">
        <v>288</v>
      </c>
      <c r="BH95" s="338">
        <v>6.03</v>
      </c>
      <c r="BI95" s="338" t="s">
        <v>328</v>
      </c>
      <c r="BN95" s="340">
        <v>4.01</v>
      </c>
      <c r="BO95" s="340" t="s">
        <v>297</v>
      </c>
      <c r="BP95" s="1385"/>
      <c r="BQ95" s="341">
        <v>32508</v>
      </c>
      <c r="BR95" s="338" t="s">
        <v>304</v>
      </c>
      <c r="BU95" s="858"/>
      <c r="BV95" s="338">
        <v>14.02</v>
      </c>
      <c r="BW95" s="338" t="s">
        <v>285</v>
      </c>
      <c r="BY95" s="236">
        <v>9602.02</v>
      </c>
      <c r="BZ95" s="236" t="s">
        <v>317</v>
      </c>
      <c r="CB95" s="340">
        <v>641.02</v>
      </c>
      <c r="CC95" s="340" t="s">
        <v>288</v>
      </c>
      <c r="CE95" s="341" t="str">
        <f t="array" ref="CE95">IFERROR(IF($CE$11="Metro",INDEX($BV$13:$BV$4972,SMALL(IF((County=$BW$13:$BW$4972),MATCH(ROW($BW$13:$BW$4972),ROW($BW$13:$BW$4972)),""),ROWS($A$13:$A95))),INDEX($BY$13:$BY$212,SMALL(IF((County=$BZ$13:$BZ$212),MATCH(ROW($BZ$13:$BZ$212),ROW($BZ$13:$BZ$212)),""),ROWS($A$13:$A95)))),"")</f>
        <v/>
      </c>
      <c r="CG95" s="341" t="str">
        <f t="array" ref="CG95">IFERROR(IF($CG$11="Yes",INDEX($CB$13:$CB$2950,SMALL(IF((County=$CC$13:$CC$2950),MATCH(ROW($CC$13:$CC$2950),ROW($CC$13:$CC$2950)),""),ROWS($A$13:$A95))),""),"")</f>
        <v/>
      </c>
      <c r="CI95" s="1583">
        <v>32934</v>
      </c>
      <c r="CJ95" s="338" t="s">
        <v>288</v>
      </c>
      <c r="CL95" s="236">
        <v>2.19</v>
      </c>
      <c r="CM95" s="236" t="s">
        <v>340</v>
      </c>
      <c r="CO95" s="236">
        <v>9502.02</v>
      </c>
      <c r="CP95" s="236" t="s">
        <v>353</v>
      </c>
      <c r="CR95" s="340">
        <v>4.01</v>
      </c>
      <c r="CS95" s="340" t="s">
        <v>323</v>
      </c>
      <c r="CT95" s="1384"/>
      <c r="CU95" s="341">
        <v>33547</v>
      </c>
      <c r="CV95" s="338" t="s">
        <v>316</v>
      </c>
      <c r="CZ95" s="1795">
        <v>604.02</v>
      </c>
      <c r="DA95" s="338" t="s">
        <v>289</v>
      </c>
      <c r="DF95" s="340">
        <v>631.08000000000004</v>
      </c>
      <c r="DG95" s="340" t="s">
        <v>288</v>
      </c>
      <c r="DI95" s="341" t="str">
        <f t="array" ref="DI95">IFERROR(IF($DI$11="Metro",INDEX($CZ$13:$CZ$929,SMALL(IF((County=$DA$13:$DA$929),MATCH(ROW($DA$13:$DA$929),ROW($DA$13:$DA$929)),""),ROWS($A$13:$A95))),INDEX($DC$13:$DC$212,SMALL(IF((County=$DD$13:$DD$212),MATCH(ROW($DD$13:$DD$212),ROW($DD$13:$DD$212)),""),ROWS($A$13:$A95)))),"")</f>
        <v/>
      </c>
      <c r="DK95" s="341" t="str">
        <f t="array" ref="DK95">IFERROR(IF($DK$11="Yes",INDEX($DF$13:$DF$2838,SMALL(IF((County=$DG$13:$DG$2838),MATCH(ROW($DG$13:$DG$2838),ROW($DG$13:$DG$2838)),""),ROWS($A$13:$A95))),""),"")</f>
        <v/>
      </c>
      <c r="DM95" s="1387">
        <v>32934</v>
      </c>
      <c r="DN95" s="338" t="s">
        <v>288</v>
      </c>
      <c r="DP95" s="236">
        <v>7.02</v>
      </c>
      <c r="DQ95" s="236" t="s">
        <v>316</v>
      </c>
      <c r="DV95" s="340">
        <v>4.0199999999999996</v>
      </c>
      <c r="DW95" s="340" t="s">
        <v>297</v>
      </c>
      <c r="DX95" s="1671"/>
      <c r="EE95" s="1246" t="s">
        <v>1815</v>
      </c>
      <c r="EF95" s="1248" t="s">
        <v>2625</v>
      </c>
      <c r="EG95" s="2749" t="str">
        <f t="shared" si="26"/>
        <v>Civic Center - Level 1</v>
      </c>
      <c r="EH95" s="2750"/>
      <c r="EI95" s="2750"/>
      <c r="EJ95" s="777" t="s">
        <v>654</v>
      </c>
      <c r="EK95" s="777" t="str">
        <f>"Level "&amp;IF(OR(Demographic="Elderly Non-ALF",Demographic="Elderly ALF"),1,2)</f>
        <v>Level 2</v>
      </c>
      <c r="EL95" s="550" t="str">
        <f t="shared" si="27"/>
        <v>Leisure City - Level 2</v>
      </c>
    </row>
    <row r="96" spans="1:143" ht="14.65" customHeight="1">
      <c r="A96" s="339">
        <v>32223</v>
      </c>
      <c r="B96" s="338" t="s">
        <v>302</v>
      </c>
      <c r="E96" s="858"/>
      <c r="F96" s="338">
        <v>903.01</v>
      </c>
      <c r="G96" s="338" t="s">
        <v>289</v>
      </c>
      <c r="L96" s="2481">
        <v>641.02</v>
      </c>
      <c r="M96" s="340" t="s">
        <v>288</v>
      </c>
      <c r="N96" s="1390"/>
      <c r="O96" s="2479"/>
      <c r="P96" s="2282"/>
      <c r="R96" s="341" t="str">
        <f t="array" ref="R96">IFERROR(IF($R$11="Metro",INDEX($F$13:$F$829,SMALL(IF((County=$G$13:$G$829),MATCH(ROW($G$13:$G$829),ROW($G$13:$G$829)),""),ROWS($A$13:A96))),INDEX($I$13:$I$44,SMALL(IF((County=$J$13:$J$44),MATCH(ROW($J$13:$J$44),ROW($J$13:$J$44)),""),ROWS($A$13:A96)))),"")</f>
        <v/>
      </c>
      <c r="T96" s="341" t="str">
        <f t="array" ref="T96">IFERROR(IF($T$11="Yes",INDEX($L$13:$L$2813,SMALL(IF((County=$M$13:$M$2813),MATCH(ROW($M$13:$M$2813),ROW($M$13:$M$2813)),""),ROWS($A$13:A96))),""),"")</f>
        <v/>
      </c>
      <c r="V96" s="2283" t="str">
        <f t="array" ref="V96">IFERROR(IF($T$11="Yes",INDEX($O$14:$O$2811,SMALL(IF((County=$P$14:$P$2811),MATCH(ROW($P$14:$P$2811),ROW($P$14:$P$2811)),""),ROWS($A$13:A96))),""),"")</f>
        <v/>
      </c>
      <c r="X96" s="339">
        <v>32825</v>
      </c>
      <c r="Y96" s="338" t="s">
        <v>338</v>
      </c>
      <c r="AA96" s="338">
        <v>8.0500000000000007</v>
      </c>
      <c r="AB96" s="338" t="s">
        <v>331</v>
      </c>
      <c r="AG96" s="2297">
        <v>4.0599999999999996</v>
      </c>
      <c r="AH96" s="2297" t="s">
        <v>328</v>
      </c>
      <c r="AI96" s="1390"/>
      <c r="AJ96" s="2282"/>
      <c r="AK96" s="2282"/>
      <c r="AL96" s="1037"/>
      <c r="AM96" s="339">
        <v>33569</v>
      </c>
      <c r="AN96" s="338" t="s">
        <v>316</v>
      </c>
      <c r="AQ96" s="858"/>
      <c r="AR96" s="338">
        <v>1007</v>
      </c>
      <c r="AS96" s="338" t="s">
        <v>289</v>
      </c>
      <c r="AX96" s="340">
        <v>643.02</v>
      </c>
      <c r="AY96" s="340" t="s">
        <v>288</v>
      </c>
      <c r="BA96" s="341" t="str">
        <f t="array" ref="BA96">IFERROR(IF($BA$11="Metro",INDEX($AR$13:$AR$814,SMALL(IF((County=$AS$13:$AS$814),MATCH(ROW($AS$13:$AS$814),ROW($AS$13:$AS$814)),""),ROWS($A$13:$A96))),INDEX($AU$13:$AU$48,SMALL(IF((County=$AV$13:$AV$48),MATCH(ROW($AV$13:$AV$48),ROW($AV$13:$AV$48)),""),ROWS($A$13:$A96)))),"")</f>
        <v/>
      </c>
      <c r="BC96" s="341" t="str">
        <f t="array" ref="BC96">IFERROR(IF($BC$11="Yes",INDEX($AX$13:$AX$2950,SMALL(IF((County=$AY$13:$AY$2950),MATCH(ROW($AY$13:$AY$2950),ROW($AY$13:$AY$2950)),""),ROWS($A$13:$A96))),""),"")</f>
        <v/>
      </c>
      <c r="BE96" s="339">
        <v>32940</v>
      </c>
      <c r="BF96" s="338" t="s">
        <v>288</v>
      </c>
      <c r="BH96" s="338">
        <v>6.03</v>
      </c>
      <c r="BI96" s="338" t="s">
        <v>331</v>
      </c>
      <c r="BN96" s="340">
        <v>4.01</v>
      </c>
      <c r="BO96" s="340" t="s">
        <v>313</v>
      </c>
      <c r="BP96" s="1385"/>
      <c r="BQ96" s="1386">
        <v>32137</v>
      </c>
      <c r="BR96" s="338" t="s">
        <v>305</v>
      </c>
      <c r="BU96" s="858"/>
      <c r="BV96" s="338">
        <v>14.03</v>
      </c>
      <c r="BW96" s="338" t="s">
        <v>285</v>
      </c>
      <c r="BY96" s="236">
        <v>9603</v>
      </c>
      <c r="BZ96" s="236" t="s">
        <v>317</v>
      </c>
      <c r="CB96" s="340">
        <v>641.23</v>
      </c>
      <c r="CC96" s="340" t="s">
        <v>288</v>
      </c>
      <c r="CE96" s="341" t="str">
        <f t="array" ref="CE96">IFERROR(IF($CE$11="Metro",INDEX($BV$13:$BV$4972,SMALL(IF((County=$BW$13:$BW$4972),MATCH(ROW($BW$13:$BW$4972),ROW($BW$13:$BW$4972)),""),ROWS($A$13:$A96))),INDEX($BY$13:$BY$212,SMALL(IF((County=$BZ$13:$BZ$212),MATCH(ROW($BZ$13:$BZ$212),ROW($BZ$13:$BZ$212)),""),ROWS($A$13:$A96)))),"")</f>
        <v/>
      </c>
      <c r="CG96" s="341" t="str">
        <f t="array" ref="CG96">IFERROR(IF($CG$11="Yes",INDEX($CB$13:$CB$2950,SMALL(IF((County=$CC$13:$CC$2950),MATCH(ROW($CC$13:$CC$2950),ROW($CC$13:$CC$2950)),""),ROWS($A$13:$A96))),""),"")</f>
        <v/>
      </c>
      <c r="CI96" s="1583">
        <v>32937</v>
      </c>
      <c r="CJ96" s="338" t="s">
        <v>288</v>
      </c>
      <c r="CL96" s="236">
        <v>2.2000000000000002</v>
      </c>
      <c r="CM96" s="236" t="s">
        <v>331</v>
      </c>
      <c r="CO96" s="236">
        <v>9503</v>
      </c>
      <c r="CP96" s="236" t="s">
        <v>345</v>
      </c>
      <c r="CR96" s="340">
        <v>4.01</v>
      </c>
      <c r="CS96" s="340" t="s">
        <v>329</v>
      </c>
      <c r="CT96" s="1384"/>
      <c r="CU96" s="341">
        <v>33548</v>
      </c>
      <c r="CV96" s="338" t="s">
        <v>316</v>
      </c>
      <c r="CZ96" s="1795">
        <v>611</v>
      </c>
      <c r="DA96" s="338" t="s">
        <v>289</v>
      </c>
      <c r="DF96" s="340">
        <v>631.09</v>
      </c>
      <c r="DG96" s="340" t="s">
        <v>288</v>
      </c>
      <c r="DI96" s="341" t="str">
        <f t="array" ref="DI96">IFERROR(IF($DI$11="Metro",INDEX($CZ$13:$CZ$929,SMALL(IF((County=$DA$13:$DA$929),MATCH(ROW($DA$13:$DA$929),ROW($DA$13:$DA$929)),""),ROWS($A$13:$A96))),INDEX($DC$13:$DC$212,SMALL(IF((County=$DD$13:$DD$212),MATCH(ROW($DD$13:$DD$212),ROW($DD$13:$DD$212)),""),ROWS($A$13:$A96)))),"")</f>
        <v/>
      </c>
      <c r="DK96" s="341" t="str">
        <f t="array" ref="DK96">IFERROR(IF($DK$11="Yes",INDEX($DF$13:$DF$2838,SMALL(IF((County=$DG$13:$DG$2838),MATCH(ROW($DG$13:$DG$2838),ROW($DG$13:$DG$2838)),""),ROWS($A$13:$A96))),""),"")</f>
        <v/>
      </c>
      <c r="DM96" s="1387">
        <v>32940</v>
      </c>
      <c r="DN96" s="338" t="s">
        <v>288</v>
      </c>
      <c r="DP96" s="236">
        <v>7.03</v>
      </c>
      <c r="DQ96" s="236" t="s">
        <v>329</v>
      </c>
      <c r="DV96" s="340">
        <v>4.03</v>
      </c>
      <c r="DW96" s="340" t="s">
        <v>328</v>
      </c>
      <c r="DX96" s="1671"/>
      <c r="EE96" s="1246" t="s">
        <v>1816</v>
      </c>
      <c r="EF96" s="1248" t="s">
        <v>2625</v>
      </c>
      <c r="EG96" s="2749" t="str">
        <f t="shared" si="26"/>
        <v>Coconut Grove - Level 1</v>
      </c>
      <c r="EH96" s="2750"/>
      <c r="EI96" s="2750"/>
      <c r="EJ96" s="777" t="s">
        <v>655</v>
      </c>
      <c r="EK96" s="777" t="s">
        <v>2625</v>
      </c>
      <c r="EL96" s="550" t="str">
        <f t="shared" si="27"/>
        <v>Model City - Level 1</v>
      </c>
    </row>
    <row r="97" spans="1:143" ht="14.65" customHeight="1">
      <c r="A97" s="339">
        <v>32224</v>
      </c>
      <c r="B97" s="338" t="s">
        <v>302</v>
      </c>
      <c r="E97" s="858"/>
      <c r="F97" s="338">
        <v>903.03</v>
      </c>
      <c r="G97" s="338" t="s">
        <v>289</v>
      </c>
      <c r="L97" s="2481">
        <v>641.24</v>
      </c>
      <c r="M97" s="340" t="s">
        <v>288</v>
      </c>
      <c r="N97" s="1390"/>
      <c r="O97" s="2479"/>
      <c r="P97" s="2282"/>
      <c r="R97" s="341" t="str">
        <f t="array" ref="R97">IFERROR(IF($R$11="Metro",INDEX($F$13:$F$829,SMALL(IF((County=$G$13:$G$829),MATCH(ROW($G$13:$G$829),ROW($G$13:$G$829)),""),ROWS($A$13:A97))),INDEX($I$13:$I$44,SMALL(IF((County=$J$13:$J$44),MATCH(ROW($J$13:$J$44),ROW($J$13:$J$44)),""),ROWS($A$13:A97)))),"")</f>
        <v/>
      </c>
      <c r="T97" s="341" t="str">
        <f t="array" ref="T97">IFERROR(IF($T$11="Yes",INDEX($L$13:$L$2813,SMALL(IF((County=$M$13:$M$2813),MATCH(ROW($M$13:$M$2813),ROW($M$13:$M$2813)),""),ROWS($A$13:A97))),""),"")</f>
        <v/>
      </c>
      <c r="V97" s="2283" t="str">
        <f t="array" ref="V97">IFERROR(IF($T$11="Yes",INDEX($O$14:$O$2811,SMALL(IF((County=$P$14:$P$2811),MATCH(ROW($P$14:$P$2811),ROW($P$14:$P$2811)),""),ROWS($A$13:A97))),""),"")</f>
        <v/>
      </c>
      <c r="X97" s="339">
        <v>32827</v>
      </c>
      <c r="Y97" s="338" t="s">
        <v>338</v>
      </c>
      <c r="AA97" s="338">
        <v>8.06</v>
      </c>
      <c r="AB97" s="338" t="s">
        <v>276</v>
      </c>
      <c r="AG97" s="2297">
        <v>4.0599999999999996</v>
      </c>
      <c r="AH97" s="2297" t="s">
        <v>340</v>
      </c>
      <c r="AI97" s="1390"/>
      <c r="AJ97" s="2282"/>
      <c r="AK97" s="2282"/>
      <c r="AL97" s="1037"/>
      <c r="AM97" s="339">
        <v>33572</v>
      </c>
      <c r="AN97" s="338" t="s">
        <v>316</v>
      </c>
      <c r="AQ97" s="858"/>
      <c r="AR97" s="338">
        <v>1008.01</v>
      </c>
      <c r="AS97" s="338" t="s">
        <v>289</v>
      </c>
      <c r="AX97" s="340">
        <v>644</v>
      </c>
      <c r="AY97" s="340" t="s">
        <v>288</v>
      </c>
      <c r="BA97" s="341" t="str">
        <f t="array" ref="BA97">IFERROR(IF($BA$11="Metro",INDEX($AR$13:$AR$814,SMALL(IF((County=$AS$13:$AS$814),MATCH(ROW($AS$13:$AS$814),ROW($AS$13:$AS$814)),""),ROWS($A$13:$A97))),INDEX($AU$13:$AU$48,SMALL(IF((County=$AV$13:$AV$48),MATCH(ROW($AV$13:$AV$48),ROW($AV$13:$AV$48)),""),ROWS($A$13:$A97)))),"")</f>
        <v/>
      </c>
      <c r="BC97" s="341" t="str">
        <f t="array" ref="BC97">IFERROR(IF($BC$11="Yes",INDEX($AX$13:$AX$2950,SMALL(IF((County=$AY$13:$AY$2950),MATCH(ROW($AY$13:$AY$2950),ROW($AY$13:$AY$2950)),""),ROWS($A$13:$A97))),""),"")</f>
        <v/>
      </c>
      <c r="BE97" s="339">
        <v>32951</v>
      </c>
      <c r="BF97" s="338" t="s">
        <v>288</v>
      </c>
      <c r="BH97" s="338">
        <v>6.04</v>
      </c>
      <c r="BI97" s="338" t="s">
        <v>328</v>
      </c>
      <c r="BN97" s="340">
        <v>4.01</v>
      </c>
      <c r="BO97" s="340" t="s">
        <v>323</v>
      </c>
      <c r="BP97" s="1385"/>
      <c r="BQ97" s="341">
        <v>32456</v>
      </c>
      <c r="BR97" s="338" t="s">
        <v>310</v>
      </c>
      <c r="BU97" s="858"/>
      <c r="BV97" s="338">
        <v>14.04</v>
      </c>
      <c r="BW97" s="338" t="s">
        <v>285</v>
      </c>
      <c r="BY97" s="236">
        <v>9604.01</v>
      </c>
      <c r="BZ97" s="236" t="s">
        <v>317</v>
      </c>
      <c r="CB97" s="340">
        <v>641.26</v>
      </c>
      <c r="CC97" s="340" t="s">
        <v>288</v>
      </c>
      <c r="CE97" s="341" t="str">
        <f t="array" ref="CE97">IFERROR(IF($CE$11="Metro",INDEX($BV$13:$BV$4972,SMALL(IF((County=$BW$13:$BW$4972),MATCH(ROW($BW$13:$BW$4972),ROW($BW$13:$BW$4972)),""),ROWS($A$13:$A97))),INDEX($BY$13:$BY$212,SMALL(IF((County=$BZ$13:$BZ$212),MATCH(ROW($BZ$13:$BZ$212),ROW($BZ$13:$BZ$212)),""),ROWS($A$13:$A97)))),"")</f>
        <v/>
      </c>
      <c r="CG97" s="341" t="str">
        <f t="array" ref="CG97">IFERROR(IF($CG$11="Yes",INDEX($CB$13:$CB$2950,SMALL(IF((County=$CC$13:$CC$2950),MATCH(ROW($CC$13:$CC$2950),ROW($CC$13:$CC$2950)),""),ROWS($A$13:$A97))),""),"")</f>
        <v/>
      </c>
      <c r="CI97" s="1583">
        <v>32940</v>
      </c>
      <c r="CJ97" s="338" t="s">
        <v>288</v>
      </c>
      <c r="CL97" s="236">
        <v>2.2000000000000002</v>
      </c>
      <c r="CM97" s="236" t="s">
        <v>340</v>
      </c>
      <c r="CO97" s="236">
        <v>9503.01</v>
      </c>
      <c r="CP97" s="236" t="s">
        <v>353</v>
      </c>
      <c r="CR97" s="340">
        <v>4.0199999999999996</v>
      </c>
      <c r="CS97" s="340" t="s">
        <v>297</v>
      </c>
      <c r="CT97" s="1384"/>
      <c r="CU97" s="341">
        <v>33549</v>
      </c>
      <c r="CV97" s="338" t="s">
        <v>316</v>
      </c>
      <c r="CZ97" s="1795">
        <v>701.04</v>
      </c>
      <c r="DA97" s="338" t="s">
        <v>289</v>
      </c>
      <c r="DF97" s="340">
        <v>641.02</v>
      </c>
      <c r="DG97" s="340" t="s">
        <v>288</v>
      </c>
      <c r="DI97" s="341" t="str">
        <f t="array" ref="DI97">IFERROR(IF($DI$11="Metro",INDEX($CZ$13:$CZ$929,SMALL(IF((County=$DA$13:$DA$929),MATCH(ROW($DA$13:$DA$929),ROW($DA$13:$DA$929)),""),ROWS($A$13:$A97))),INDEX($DC$13:$DC$212,SMALL(IF((County=$DD$13:$DD$212),MATCH(ROW($DD$13:$DD$212),ROW($DD$13:$DD$212)),""),ROWS($A$13:$A97)))),"")</f>
        <v/>
      </c>
      <c r="DK97" s="341" t="str">
        <f t="array" ref="DK97">IFERROR(IF($DK$11="Yes",INDEX($DF$13:$DF$2838,SMALL(IF((County=$DG$13:$DG$2838),MATCH(ROW($DG$13:$DG$2838),ROW($DG$13:$DG$2838)),""),ROWS($A$13:$A97))),""),"")</f>
        <v/>
      </c>
      <c r="DM97" s="1387">
        <v>32951</v>
      </c>
      <c r="DN97" s="338" t="s">
        <v>288</v>
      </c>
      <c r="DP97" s="236">
        <v>7.04</v>
      </c>
      <c r="DQ97" s="236" t="s">
        <v>328</v>
      </c>
      <c r="DV97" s="340">
        <v>4.04</v>
      </c>
      <c r="DW97" s="340" t="s">
        <v>313</v>
      </c>
      <c r="DX97" s="1671"/>
      <c r="EE97" s="1175" t="s">
        <v>1916</v>
      </c>
      <c r="EF97" s="1248" t="s">
        <v>2625</v>
      </c>
      <c r="EG97" s="2749" t="str">
        <f t="shared" si="26"/>
        <v>Culmer - Level 1</v>
      </c>
      <c r="EH97" s="2750"/>
      <c r="EI97" s="2750"/>
      <c r="EJ97" s="777" t="s">
        <v>656</v>
      </c>
      <c r="EK97" s="777" t="str">
        <f>"Level "&amp;IF(OR(Demographic="Elderly Non-ALF",Demographic="Elderly ALF"),1,2)</f>
        <v>Level 2</v>
      </c>
      <c r="EL97" s="550" t="str">
        <f t="shared" si="27"/>
        <v>Naranja - Level 2</v>
      </c>
    </row>
    <row r="98" spans="1:143" ht="14.65" customHeight="1">
      <c r="A98" s="339">
        <v>32225</v>
      </c>
      <c r="B98" s="338" t="s">
        <v>302</v>
      </c>
      <c r="E98" s="858"/>
      <c r="F98" s="338">
        <v>904.03</v>
      </c>
      <c r="G98" s="338" t="s">
        <v>289</v>
      </c>
      <c r="L98" s="2481">
        <v>641.26</v>
      </c>
      <c r="M98" s="340" t="s">
        <v>288</v>
      </c>
      <c r="N98" s="1390"/>
      <c r="O98" s="2479"/>
      <c r="P98" s="2282"/>
      <c r="R98" s="341" t="str">
        <f t="array" ref="R98">IFERROR(IF($R$11="Metro",INDEX($F$13:$F$829,SMALL(IF((County=$G$13:$G$829),MATCH(ROW($G$13:$G$829),ROW($G$13:$G$829)),""),ROWS($A$13:A98))),INDEX($I$13:$I$44,SMALL(IF((County=$J$13:$J$44),MATCH(ROW($J$13:$J$44),ROW($J$13:$J$44)),""),ROWS($A$13:A98)))),"")</f>
        <v/>
      </c>
      <c r="T98" s="341" t="str">
        <f t="array" ref="T98">IFERROR(IF($T$11="Yes",INDEX($L$13:$L$2813,SMALL(IF((County=$M$13:$M$2813),MATCH(ROW($M$13:$M$2813),ROW($M$13:$M$2813)),""),ROWS($A$13:A98))),""),"")</f>
        <v/>
      </c>
      <c r="V98" s="2283" t="str">
        <f t="array" ref="V98">IFERROR(IF($T$11="Yes",INDEX($O$14:$O$2811,SMALL(IF((County=$P$14:$P$2811),MATCH(ROW($P$14:$P$2811),ROW($P$14:$P$2811)),""),ROWS($A$13:A98))),""),"")</f>
        <v/>
      </c>
      <c r="X98" s="339">
        <v>32828</v>
      </c>
      <c r="Y98" s="338" t="s">
        <v>338</v>
      </c>
      <c r="AA98" s="338">
        <v>8.06</v>
      </c>
      <c r="AB98" s="338" t="s">
        <v>331</v>
      </c>
      <c r="AG98" s="2297">
        <v>4.07</v>
      </c>
      <c r="AH98" s="2297" t="s">
        <v>328</v>
      </c>
      <c r="AI98" s="1390"/>
      <c r="AJ98" s="2282"/>
      <c r="AK98" s="2282"/>
      <c r="AL98" s="1037"/>
      <c r="AM98" s="339">
        <v>33573</v>
      </c>
      <c r="AN98" s="338" t="s">
        <v>316</v>
      </c>
      <c r="AQ98" s="858"/>
      <c r="AR98" s="338">
        <v>1103.3399999999999</v>
      </c>
      <c r="AS98" s="338" t="s">
        <v>289</v>
      </c>
      <c r="AX98" s="340">
        <v>646.01</v>
      </c>
      <c r="AY98" s="340" t="s">
        <v>288</v>
      </c>
      <c r="BA98" s="341" t="str">
        <f t="array" ref="BA98">IFERROR(IF($BA$11="Metro",INDEX($AR$13:$AR$814,SMALL(IF((County=$AS$13:$AS$814),MATCH(ROW($AS$13:$AS$814),ROW($AS$13:$AS$814)),""),ROWS($A$13:$A98))),INDEX($AU$13:$AU$48,SMALL(IF((County=$AV$13:$AV$48),MATCH(ROW($AV$13:$AV$48),ROW($AV$13:$AV$48)),""),ROWS($A$13:$A98)))),"")</f>
        <v/>
      </c>
      <c r="BC98" s="341" t="str">
        <f t="array" ref="BC98">IFERROR(IF($BC$11="Yes",INDEX($AX$13:$AX$2950,SMALL(IF((County=$AY$13:$AY$2950),MATCH(ROW($AY$13:$AY$2950),ROW($AY$13:$AY$2950)),""),ROWS($A$13:$A98))),""),"")</f>
        <v/>
      </c>
      <c r="BE98" s="339">
        <v>32955</v>
      </c>
      <c r="BF98" s="338" t="s">
        <v>288</v>
      </c>
      <c r="BH98" s="338">
        <v>6.04</v>
      </c>
      <c r="BI98" s="338" t="s">
        <v>329</v>
      </c>
      <c r="BN98" s="340">
        <v>4.01</v>
      </c>
      <c r="BO98" s="340" t="s">
        <v>329</v>
      </c>
      <c r="BP98" s="1385"/>
      <c r="BQ98" s="341">
        <v>34609</v>
      </c>
      <c r="BR98" s="338" t="s">
        <v>314</v>
      </c>
      <c r="BU98" s="858"/>
      <c r="BV98" s="338">
        <v>15.01</v>
      </c>
      <c r="BW98" s="338" t="s">
        <v>285</v>
      </c>
      <c r="BY98" s="236">
        <v>9604.02</v>
      </c>
      <c r="BZ98" s="236" t="s">
        <v>317</v>
      </c>
      <c r="CB98" s="340">
        <v>641.27</v>
      </c>
      <c r="CC98" s="340" t="s">
        <v>288</v>
      </c>
      <c r="CE98" s="341" t="str">
        <f t="array" ref="CE98">IFERROR(IF($CE$11="Metro",INDEX($BV$13:$BV$4972,SMALL(IF((County=$BW$13:$BW$4972),MATCH(ROW($BW$13:$BW$4972),ROW($BW$13:$BW$4972)),""),ROWS($A$13:$A98))),INDEX($BY$13:$BY$212,SMALL(IF((County=$BZ$13:$BZ$212),MATCH(ROW($BZ$13:$BZ$212),ROW($BZ$13:$BZ$212)),""),ROWS($A$13:$A98)))),"")</f>
        <v/>
      </c>
      <c r="CG98" s="341" t="str">
        <f t="array" ref="CG98">IFERROR(IF($CG$11="Yes",INDEX($CB$13:$CB$2950,SMALL(IF((County=$CC$13:$CC$2950),MATCH(ROW($CC$13:$CC$2950),ROW($CC$13:$CC$2950)),""),ROWS($A$13:$A98))),""),"")</f>
        <v/>
      </c>
      <c r="CI98" s="1583">
        <v>32950</v>
      </c>
      <c r="CJ98" s="338" t="s">
        <v>288</v>
      </c>
      <c r="CL98" s="236">
        <v>2.21</v>
      </c>
      <c r="CM98" s="236" t="s">
        <v>331</v>
      </c>
      <c r="CO98" s="236">
        <v>9503.02</v>
      </c>
      <c r="CP98" s="236" t="s">
        <v>353</v>
      </c>
      <c r="CR98" s="340">
        <v>4.0199999999999996</v>
      </c>
      <c r="CS98" s="340" t="s">
        <v>323</v>
      </c>
      <c r="CT98" s="1384"/>
      <c r="CU98" s="341">
        <v>33556</v>
      </c>
      <c r="CV98" s="338" t="s">
        <v>316</v>
      </c>
      <c r="CZ98" s="1795">
        <v>702.04</v>
      </c>
      <c r="DA98" s="338" t="s">
        <v>289</v>
      </c>
      <c r="DF98" s="340">
        <v>641.23</v>
      </c>
      <c r="DG98" s="340" t="s">
        <v>288</v>
      </c>
      <c r="DI98" s="341" t="str">
        <f t="array" ref="DI98">IFERROR(IF($DI$11="Metro",INDEX($CZ$13:$CZ$929,SMALL(IF((County=$DA$13:$DA$929),MATCH(ROW($DA$13:$DA$929),ROW($DA$13:$DA$929)),""),ROWS($A$13:$A98))),INDEX($DC$13:$DC$212,SMALL(IF((County=$DD$13:$DD$212),MATCH(ROW($DD$13:$DD$212),ROW($DD$13:$DD$212)),""),ROWS($A$13:$A98)))),"")</f>
        <v/>
      </c>
      <c r="DK98" s="341" t="str">
        <f t="array" ref="DK98">IFERROR(IF($DK$11="Yes",INDEX($DF$13:$DF$2838,SMALL(IF((County=$DG$13:$DG$2838),MATCH(ROW($DG$13:$DG$2838),ROW($DG$13:$DG$2838)),""),ROWS($A$13:$A98))),""),"")</f>
        <v/>
      </c>
      <c r="DM98" s="1387">
        <v>32958</v>
      </c>
      <c r="DN98" s="338" t="s">
        <v>318</v>
      </c>
      <c r="DP98" s="236">
        <v>7.05</v>
      </c>
      <c r="DQ98" s="236" t="s">
        <v>328</v>
      </c>
      <c r="DV98" s="340">
        <v>4.04</v>
      </c>
      <c r="DW98" s="340" t="s">
        <v>347</v>
      </c>
      <c r="DX98" s="1671"/>
      <c r="EE98" s="1175" t="s">
        <v>1917</v>
      </c>
      <c r="EF98" s="1248" t="s">
        <v>2625</v>
      </c>
      <c r="EG98" s="2749" t="str">
        <f t="shared" si="26"/>
        <v>Dadeland North - Level 1</v>
      </c>
      <c r="EH98" s="2750"/>
      <c r="EI98" s="2750"/>
      <c r="EJ98" s="777" t="s">
        <v>657</v>
      </c>
      <c r="EK98" s="777" t="str">
        <f>"Level "&amp;IF(OR(Demographic="Elderly Non-ALF",Demographic="Elderly ALF"),1,2)</f>
        <v>Level 2</v>
      </c>
      <c r="EL98" s="550" t="str">
        <f t="shared" si="27"/>
        <v>North Central - Level 2</v>
      </c>
    </row>
    <row r="99" spans="1:143" ht="14.65" customHeight="1">
      <c r="A99" s="339">
        <v>32226</v>
      </c>
      <c r="B99" s="338" t="s">
        <v>302</v>
      </c>
      <c r="E99" s="858"/>
      <c r="F99" s="338">
        <v>904.04</v>
      </c>
      <c r="G99" s="338" t="s">
        <v>289</v>
      </c>
      <c r="L99" s="2481">
        <v>641.27</v>
      </c>
      <c r="M99" s="340" t="s">
        <v>288</v>
      </c>
      <c r="N99" s="1390"/>
      <c r="O99" s="2479"/>
      <c r="P99" s="2282"/>
      <c r="R99" s="341" t="str">
        <f t="array" ref="R99">IFERROR(IF($R$11="Metro",INDEX($F$13:$F$829,SMALL(IF((County=$G$13:$G$829),MATCH(ROW($G$13:$G$829),ROW($G$13:$G$829)),""),ROWS($A$13:A99))),INDEX($I$13:$I$44,SMALL(IF((County=$J$13:$J$44),MATCH(ROW($J$13:$J$44),ROW($J$13:$J$44)),""),ROWS($A$13:A99)))),"")</f>
        <v/>
      </c>
      <c r="T99" s="341" t="str">
        <f t="array" ref="T99">IFERROR(IF($T$11="Yes",INDEX($L$13:$L$2813,SMALL(IF((County=$M$13:$M$2813),MATCH(ROW($M$13:$M$2813),ROW($M$13:$M$2813)),""),ROWS($A$13:A99))),""),"")</f>
        <v/>
      </c>
      <c r="V99" s="2283" t="str">
        <f t="array" ref="V99">IFERROR(IF($T$11="Yes",INDEX($O$14:$O$2811,SMALL(IF((County=$P$14:$P$2811),MATCH(ROW($P$14:$P$2811),ROW($P$14:$P$2811)),""),ROWS($A$13:A99))),""),"")</f>
        <v/>
      </c>
      <c r="X99" s="339">
        <v>32829</v>
      </c>
      <c r="Y99" s="338" t="s">
        <v>338</v>
      </c>
      <c r="AA99" s="338">
        <v>8.07</v>
      </c>
      <c r="AB99" s="338" t="s">
        <v>331</v>
      </c>
      <c r="AG99" s="2297">
        <v>4.07</v>
      </c>
      <c r="AH99" s="2297" t="s">
        <v>340</v>
      </c>
      <c r="AI99" s="1390"/>
      <c r="AJ99" s="2282"/>
      <c r="AK99" s="2282"/>
      <c r="AL99" s="1037"/>
      <c r="AM99" s="339">
        <v>33578</v>
      </c>
      <c r="AN99" s="338" t="s">
        <v>316</v>
      </c>
      <c r="AQ99" s="858"/>
      <c r="AR99" s="338">
        <v>1103.54</v>
      </c>
      <c r="AS99" s="338" t="s">
        <v>289</v>
      </c>
      <c r="AX99" s="340">
        <v>647.02</v>
      </c>
      <c r="AY99" s="340" t="s">
        <v>288</v>
      </c>
      <c r="BA99" s="341" t="str">
        <f t="array" ref="BA99">IFERROR(IF($BA$11="Metro",INDEX($AR$13:$AR$814,SMALL(IF((County=$AS$13:$AS$814),MATCH(ROW($AS$13:$AS$814),ROW($AS$13:$AS$814)),""),ROWS($A$13:$A99))),INDEX($AU$13:$AU$48,SMALL(IF((County=$AV$13:$AV$48),MATCH(ROW($AV$13:$AV$48),ROW($AV$13:$AV$48)),""),ROWS($A$13:$A99)))),"")</f>
        <v/>
      </c>
      <c r="BC99" s="341" t="str">
        <f t="array" ref="BC99">IFERROR(IF($BC$11="Yes",INDEX($AX$13:$AX$2950,SMALL(IF((County=$AY$13:$AY$2950),MATCH(ROW($AY$13:$AY$2950),ROW($AY$13:$AY$2950)),""),ROWS($A$13:$A99))),""),"")</f>
        <v/>
      </c>
      <c r="BE99" s="339">
        <v>32963</v>
      </c>
      <c r="BF99" s="338" t="s">
        <v>318</v>
      </c>
      <c r="BH99" s="338">
        <v>6.07</v>
      </c>
      <c r="BI99" s="338" t="s">
        <v>331</v>
      </c>
      <c r="BN99" s="340">
        <v>4.0199999999999996</v>
      </c>
      <c r="BO99" s="340" t="s">
        <v>285</v>
      </c>
      <c r="BP99" s="1385"/>
      <c r="BQ99" s="341">
        <v>33876</v>
      </c>
      <c r="BR99" s="338" t="s">
        <v>315</v>
      </c>
      <c r="BU99" s="858"/>
      <c r="BV99" s="338">
        <v>15.02</v>
      </c>
      <c r="BW99" s="338" t="s">
        <v>285</v>
      </c>
      <c r="BY99" s="236">
        <v>9604.0300000000007</v>
      </c>
      <c r="BZ99" s="236" t="s">
        <v>317</v>
      </c>
      <c r="CB99" s="340">
        <v>641.28</v>
      </c>
      <c r="CC99" s="340" t="s">
        <v>288</v>
      </c>
      <c r="CE99" s="341" t="str">
        <f t="array" ref="CE99">IFERROR(IF($CE$11="Metro",INDEX($BV$13:$BV$4972,SMALL(IF((County=$BW$13:$BW$4972),MATCH(ROW($BW$13:$BW$4972),ROW($BW$13:$BW$4972)),""),ROWS($A$13:$A99))),INDEX($BY$13:$BY$212,SMALL(IF((County=$BZ$13:$BZ$212),MATCH(ROW($BZ$13:$BZ$212),ROW($BZ$13:$BZ$212)),""),ROWS($A$13:$A99)))),"")</f>
        <v/>
      </c>
      <c r="CG99" s="341" t="str">
        <f t="array" ref="CG99">IFERROR(IF($CG$11="Yes",INDEX($CB$13:$CB$2950,SMALL(IF((County=$CC$13:$CC$2950),MATCH(ROW($CC$13:$CC$2950),ROW($CC$13:$CC$2950)),""),ROWS($A$13:$A99))),""),"")</f>
        <v/>
      </c>
      <c r="CI99" s="1583">
        <v>32951</v>
      </c>
      <c r="CJ99" s="338" t="s">
        <v>288</v>
      </c>
      <c r="CL99" s="236">
        <v>2.21</v>
      </c>
      <c r="CM99" s="236" t="s">
        <v>340</v>
      </c>
      <c r="CO99" s="236">
        <v>9504</v>
      </c>
      <c r="CP99" s="236" t="s">
        <v>345</v>
      </c>
      <c r="CR99" s="340">
        <v>4.03</v>
      </c>
      <c r="CS99" s="340" t="s">
        <v>313</v>
      </c>
      <c r="CT99" s="1384"/>
      <c r="CU99" s="341">
        <v>33558</v>
      </c>
      <c r="CV99" s="338" t="s">
        <v>316</v>
      </c>
      <c r="CZ99" s="1795">
        <v>705.04</v>
      </c>
      <c r="DA99" s="338" t="s">
        <v>289</v>
      </c>
      <c r="DF99" s="340">
        <v>641.26</v>
      </c>
      <c r="DG99" s="340" t="s">
        <v>288</v>
      </c>
      <c r="DI99" s="341" t="str">
        <f t="array" ref="DI99">IFERROR(IF($DI$11="Metro",INDEX($CZ$13:$CZ$929,SMALL(IF((County=$DA$13:$DA$929),MATCH(ROW($DA$13:$DA$929),ROW($DA$13:$DA$929)),""),ROWS($A$13:$A99))),INDEX($DC$13:$DC$212,SMALL(IF((County=$DD$13:$DD$212),MATCH(ROW($DD$13:$DD$212),ROW($DD$13:$DD$212)),""),ROWS($A$13:$A99)))),"")</f>
        <v/>
      </c>
      <c r="DK99" s="341" t="str">
        <f t="array" ref="DK99">IFERROR(IF($DK$11="Yes",INDEX($DF$13:$DF$2838,SMALL(IF((County=$DG$13:$DG$2838),MATCH(ROW($DG$13:$DG$2838),ROW($DG$13:$DG$2838)),""),ROWS($A$13:$A99))),""),"")</f>
        <v/>
      </c>
      <c r="DM99" s="1387">
        <v>32963</v>
      </c>
      <c r="DN99" s="338" t="s">
        <v>318</v>
      </c>
      <c r="DP99" s="236">
        <v>7.05</v>
      </c>
      <c r="DQ99" s="236" t="s">
        <v>331</v>
      </c>
      <c r="DV99" s="340">
        <v>4.05</v>
      </c>
      <c r="DW99" s="340" t="s">
        <v>340</v>
      </c>
      <c r="DX99" s="1671"/>
      <c r="EE99" s="1175" t="s">
        <v>1918</v>
      </c>
      <c r="EF99" s="1248" t="s">
        <v>2625</v>
      </c>
      <c r="EG99" s="2749" t="str">
        <f t="shared" si="26"/>
        <v>Dadeland South - Level 1</v>
      </c>
      <c r="EH99" s="2750"/>
      <c r="EI99" s="2750"/>
      <c r="EJ99" s="777" t="s">
        <v>658</v>
      </c>
      <c r="EK99" s="777" t="s">
        <v>2625</v>
      </c>
      <c r="EL99" s="550" t="str">
        <f t="shared" si="27"/>
        <v>Ojus - Level 1</v>
      </c>
    </row>
    <row r="100" spans="1:143" ht="14.65" customHeight="1">
      <c r="A100" s="339">
        <v>32227</v>
      </c>
      <c r="B100" s="338" t="s">
        <v>302</v>
      </c>
      <c r="E100" s="858"/>
      <c r="F100" s="338">
        <v>905.04</v>
      </c>
      <c r="G100" s="338" t="s">
        <v>289</v>
      </c>
      <c r="L100" s="2481">
        <v>641.28</v>
      </c>
      <c r="M100" s="340" t="s">
        <v>288</v>
      </c>
      <c r="N100" s="1390"/>
      <c r="O100" s="2479"/>
      <c r="P100" s="2282"/>
      <c r="R100" s="341" t="str">
        <f t="array" ref="R100">IFERROR(IF($R$11="Metro",INDEX($F$13:$F$829,SMALL(IF((County=$G$13:$G$829),MATCH(ROW($G$13:$G$829),ROW($G$13:$G$829)),""),ROWS($A$13:A100))),INDEX($I$13:$I$44,SMALL(IF((County=$J$13:$J$44),MATCH(ROW($J$13:$J$44),ROW($J$13:$J$44)),""),ROWS($A$13:A100)))),"")</f>
        <v/>
      </c>
      <c r="T100" s="341" t="str">
        <f t="array" ref="T100">IFERROR(IF($T$11="Yes",INDEX($L$13:$L$2813,SMALL(IF((County=$M$13:$M$2813),MATCH(ROW($M$13:$M$2813),ROW($M$13:$M$2813)),""),ROWS($A$13:A100))),""),"")</f>
        <v/>
      </c>
      <c r="V100" s="2283" t="str">
        <f t="array" ref="V100">IFERROR(IF($T$11="Yes",INDEX($O$14:$O$2811,SMALL(IF((County=$P$14:$P$2811),MATCH(ROW($P$14:$P$2811),ROW($P$14:$P$2811)),""),ROWS($A$13:A100))),""),"")</f>
        <v/>
      </c>
      <c r="X100" s="339">
        <v>32831</v>
      </c>
      <c r="Y100" s="338" t="s">
        <v>338</v>
      </c>
      <c r="AA100" s="338">
        <v>8.08</v>
      </c>
      <c r="AB100" s="338" t="s">
        <v>331</v>
      </c>
      <c r="AG100" s="2297">
        <v>4.08</v>
      </c>
      <c r="AH100" s="2297" t="s">
        <v>340</v>
      </c>
      <c r="AI100" s="1390"/>
      <c r="AJ100" s="2282"/>
      <c r="AK100" s="2282"/>
      <c r="AL100" s="1037"/>
      <c r="AM100" s="339">
        <v>33579</v>
      </c>
      <c r="AN100" s="338" t="s">
        <v>316</v>
      </c>
      <c r="AQ100" s="858"/>
      <c r="AR100" s="338">
        <v>1103.55</v>
      </c>
      <c r="AS100" s="338" t="s">
        <v>289</v>
      </c>
      <c r="AX100" s="340">
        <v>648</v>
      </c>
      <c r="AY100" s="340" t="s">
        <v>288</v>
      </c>
      <c r="BA100" s="341" t="str">
        <f t="array" ref="BA100">IFERROR(IF($BA$11="Metro",INDEX($AR$13:$AR$814,SMALL(IF((County=$AS$13:$AS$814),MATCH(ROW($AS$13:$AS$814),ROW($AS$13:$AS$814)),""),ROWS($A$13:$A100))),INDEX($AU$13:$AU$48,SMALL(IF((County=$AV$13:$AV$48),MATCH(ROW($AV$13:$AV$48),ROW($AV$13:$AV$48)),""),ROWS($A$13:$A100)))),"")</f>
        <v/>
      </c>
      <c r="BC100" s="341" t="str">
        <f t="array" ref="BC100">IFERROR(IF($BC$11="Yes",INDEX($AX$13:$AX$2950,SMALL(IF((County=$AY$13:$AY$2950),MATCH(ROW($AY$13:$AY$2950),ROW($AY$13:$AY$2950)),""),ROWS($A$13:$A100))),""),"")</f>
        <v/>
      </c>
      <c r="BE100" s="339">
        <v>32968</v>
      </c>
      <c r="BF100" s="338" t="s">
        <v>318</v>
      </c>
      <c r="BH100" s="338">
        <v>6.09</v>
      </c>
      <c r="BI100" s="338" t="s">
        <v>331</v>
      </c>
      <c r="BN100" s="340">
        <v>4.0199999999999996</v>
      </c>
      <c r="BO100" s="340" t="s">
        <v>297</v>
      </c>
      <c r="BP100" s="1385"/>
      <c r="BQ100" s="341">
        <v>33503</v>
      </c>
      <c r="BR100" s="338" t="s">
        <v>316</v>
      </c>
      <c r="BU100" s="858"/>
      <c r="BV100" s="338">
        <v>16</v>
      </c>
      <c r="BW100" s="338" t="s">
        <v>285</v>
      </c>
      <c r="BY100" s="236">
        <v>2101</v>
      </c>
      <c r="BZ100" s="236" t="s">
        <v>319</v>
      </c>
      <c r="CB100" s="340">
        <v>641.29999999999995</v>
      </c>
      <c r="CC100" s="340" t="s">
        <v>288</v>
      </c>
      <c r="CE100" s="341" t="str">
        <f t="array" ref="CE100">IFERROR(IF($CE$11="Metro",INDEX($BV$13:$BV$4972,SMALL(IF((County=$BW$13:$BW$4972),MATCH(ROW($BW$13:$BW$4972),ROW($BW$13:$BW$4972)),""),ROWS($A$13:$A100))),INDEX($BY$13:$BY$212,SMALL(IF((County=$BZ$13:$BZ$212),MATCH(ROW($BZ$13:$BZ$212),ROW($BZ$13:$BZ$212)),""),ROWS($A$13:$A100)))),"")</f>
        <v/>
      </c>
      <c r="CG100" s="341" t="str">
        <f t="array" ref="CG100">IFERROR(IF($CG$11="Yes",INDEX($CB$13:$CB$2950,SMALL(IF((County=$CC$13:$CC$2950),MATCH(ROW($CC$13:$CC$2950),ROW($CC$13:$CC$2950)),""),ROWS($A$13:$A100))),""),"")</f>
        <v/>
      </c>
      <c r="CI100" s="1583">
        <v>32955</v>
      </c>
      <c r="CJ100" s="338" t="s">
        <v>288</v>
      </c>
      <c r="CL100" s="236">
        <v>2.2200000000000002</v>
      </c>
      <c r="CM100" s="236" t="s">
        <v>331</v>
      </c>
      <c r="CO100" s="236">
        <v>9504.01</v>
      </c>
      <c r="CP100" s="236" t="s">
        <v>353</v>
      </c>
      <c r="CR100" s="340">
        <v>4.03</v>
      </c>
      <c r="CS100" s="340" t="s">
        <v>328</v>
      </c>
      <c r="CT100" s="1384"/>
      <c r="CU100" s="341">
        <v>33559</v>
      </c>
      <c r="CV100" s="338" t="s">
        <v>316</v>
      </c>
      <c r="CZ100" s="1795">
        <v>801.02</v>
      </c>
      <c r="DA100" s="338" t="s">
        <v>289</v>
      </c>
      <c r="DF100" s="340">
        <v>641.27</v>
      </c>
      <c r="DG100" s="340" t="s">
        <v>288</v>
      </c>
      <c r="DI100" s="341" t="str">
        <f t="array" ref="DI100">IFERROR(IF($DI$11="Metro",INDEX($CZ$13:$CZ$929,SMALL(IF((County=$DA$13:$DA$929),MATCH(ROW($DA$13:$DA$929),ROW($DA$13:$DA$929)),""),ROWS($A$13:$A100))),INDEX($DC$13:$DC$212,SMALL(IF((County=$DD$13:$DD$212),MATCH(ROW($DD$13:$DD$212),ROW($DD$13:$DD$212)),""),ROWS($A$13:$A100)))),"")</f>
        <v/>
      </c>
      <c r="DK100" s="341" t="str">
        <f t="array" ref="DK100">IFERROR(IF($DK$11="Yes",INDEX($DF$13:$DF$2838,SMALL(IF((County=$DG$13:$DG$2838),MATCH(ROW($DG$13:$DG$2838),ROW($DG$13:$DG$2838)),""),ROWS($A$13:$A100))),""),"")</f>
        <v/>
      </c>
      <c r="DM100" s="1387">
        <v>32968</v>
      </c>
      <c r="DN100" s="338" t="s">
        <v>318</v>
      </c>
      <c r="DP100" s="236">
        <v>7.1</v>
      </c>
      <c r="DQ100" s="236" t="s">
        <v>331</v>
      </c>
      <c r="DV100" s="340">
        <v>4.05</v>
      </c>
      <c r="DW100" s="340" t="s">
        <v>347</v>
      </c>
      <c r="DX100" s="1671"/>
      <c r="EE100" s="1246" t="s">
        <v>1817</v>
      </c>
      <c r="EF100" s="1248" t="s">
        <v>2625</v>
      </c>
      <c r="EG100" s="2749" t="str">
        <f t="shared" si="26"/>
        <v>Douglas Road - Level 1</v>
      </c>
      <c r="EH100" s="2750"/>
      <c r="EI100" s="2750"/>
      <c r="EJ100" s="777" t="s">
        <v>659</v>
      </c>
      <c r="EK100" s="777" t="s">
        <v>2625</v>
      </c>
      <c r="EL100" s="550" t="str">
        <f t="shared" si="27"/>
        <v>Perrine - Level 1</v>
      </c>
    </row>
    <row r="101" spans="1:143" ht="14.65" customHeight="1">
      <c r="A101" s="339">
        <v>32228</v>
      </c>
      <c r="B101" s="338" t="s">
        <v>302</v>
      </c>
      <c r="E101" s="858"/>
      <c r="F101" s="338">
        <v>911</v>
      </c>
      <c r="G101" s="338" t="s">
        <v>289</v>
      </c>
      <c r="L101" s="2481">
        <v>641.29</v>
      </c>
      <c r="M101" s="340" t="s">
        <v>288</v>
      </c>
      <c r="N101" s="1390"/>
      <c r="O101" s="2479"/>
      <c r="P101" s="2282"/>
      <c r="R101" s="341" t="str">
        <f t="array" ref="R101">IFERROR(IF($R$11="Metro",INDEX($F$13:$F$829,SMALL(IF((County=$G$13:$G$829),MATCH(ROW($G$13:$G$829),ROW($G$13:$G$829)),""),ROWS($A$13:A101))),INDEX($I$13:$I$44,SMALL(IF((County=$J$13:$J$44),MATCH(ROW($J$13:$J$44),ROW($J$13:$J$44)),""),ROWS($A$13:A101)))),"")</f>
        <v/>
      </c>
      <c r="T101" s="341" t="str">
        <f t="array" ref="T101">IFERROR(IF($T$11="Yes",INDEX($L$13:$L$2813,SMALL(IF((County=$M$13:$M$2813),MATCH(ROW($M$13:$M$2813),ROW($M$13:$M$2813)),""),ROWS($A$13:A101))),""),"")</f>
        <v/>
      </c>
      <c r="V101" s="2283" t="str">
        <f t="array" ref="V101">IFERROR(IF($T$11="Yes",INDEX($O$14:$O$2811,SMALL(IF((County=$P$14:$P$2811),MATCH(ROW($P$14:$P$2811),ROW($P$14:$P$2811)),""),ROWS($A$13:A101))),""),"")</f>
        <v/>
      </c>
      <c r="X101" s="339">
        <v>32832</v>
      </c>
      <c r="Y101" s="338" t="s">
        <v>338</v>
      </c>
      <c r="AA101" s="338">
        <v>8.09</v>
      </c>
      <c r="AB101" s="338" t="s">
        <v>276</v>
      </c>
      <c r="AG101" s="2297">
        <v>4.09</v>
      </c>
      <c r="AH101" s="2297" t="s">
        <v>328</v>
      </c>
      <c r="AI101" s="1390"/>
      <c r="AJ101" s="2282"/>
      <c r="AK101" s="2282"/>
      <c r="AL101" s="1037"/>
      <c r="AM101" s="339">
        <v>33584</v>
      </c>
      <c r="AN101" s="338" t="s">
        <v>316</v>
      </c>
      <c r="AQ101" s="858"/>
      <c r="AR101" s="338">
        <v>207</v>
      </c>
      <c r="AS101" s="338" t="s">
        <v>294</v>
      </c>
      <c r="AX101" s="340">
        <v>649.01</v>
      </c>
      <c r="AY101" s="340" t="s">
        <v>288</v>
      </c>
      <c r="BA101" s="341" t="str">
        <f t="array" ref="BA101">IFERROR(IF($BA$11="Metro",INDEX($AR$13:$AR$814,SMALL(IF((County=$AS$13:$AS$814),MATCH(ROW($AS$13:$AS$814),ROW($AS$13:$AS$814)),""),ROWS($A$13:$A101))),INDEX($AU$13:$AU$48,SMALL(IF((County=$AV$13:$AV$48),MATCH(ROW($AV$13:$AV$48),ROW($AV$13:$AV$48)),""),ROWS($A$13:$A101)))),"")</f>
        <v/>
      </c>
      <c r="BC101" s="341" t="str">
        <f t="array" ref="BC101">IFERROR(IF($BC$11="Yes",INDEX($AX$13:$AX$2950,SMALL(IF((County=$AY$13:$AY$2950),MATCH(ROW($AY$13:$AY$2950),ROW($AY$13:$AY$2950)),""),ROWS($A$13:$A101))),""),"")</f>
        <v/>
      </c>
      <c r="BE101" s="339">
        <v>33014</v>
      </c>
      <c r="BF101" s="338" t="s">
        <v>331</v>
      </c>
      <c r="BH101" s="338">
        <v>6.1</v>
      </c>
      <c r="BI101" s="338" t="s">
        <v>331</v>
      </c>
      <c r="BN101" s="340">
        <v>4.03</v>
      </c>
      <c r="BO101" s="340" t="s">
        <v>313</v>
      </c>
      <c r="BP101" s="1385"/>
      <c r="BQ101" s="1583">
        <v>33510</v>
      </c>
      <c r="BR101" s="236" t="s">
        <v>316</v>
      </c>
      <c r="BU101" s="858"/>
      <c r="BV101" s="338">
        <v>17</v>
      </c>
      <c r="BW101" s="338" t="s">
        <v>285</v>
      </c>
      <c r="BY101" s="236">
        <v>2102</v>
      </c>
      <c r="BZ101" s="236" t="s">
        <v>319</v>
      </c>
      <c r="CB101" s="340">
        <v>644</v>
      </c>
      <c r="CC101" s="340" t="s">
        <v>288</v>
      </c>
      <c r="CE101" s="341" t="str">
        <f t="array" ref="CE101">IFERROR(IF($CE$11="Metro",INDEX($BV$13:$BV$4972,SMALL(IF((County=$BW$13:$BW$4972),MATCH(ROW($BW$13:$BW$4972),ROW($BW$13:$BW$4972)),""),ROWS($A$13:$A101))),INDEX($BY$13:$BY$212,SMALL(IF((County=$BZ$13:$BZ$212),MATCH(ROW($BZ$13:$BZ$212),ROW($BZ$13:$BZ$212)),""),ROWS($A$13:$A101)))),"")</f>
        <v/>
      </c>
      <c r="CG101" s="341" t="str">
        <f t="array" ref="CG101">IFERROR(IF($CG$11="Yes",INDEX($CB$13:$CB$2950,SMALL(IF((County=$CC$13:$CC$2950),MATCH(ROW($CC$13:$CC$2950),ROW($CC$13:$CC$2950)),""),ROWS($A$13:$A101))),""),"")</f>
        <v/>
      </c>
      <c r="CI101" s="1583">
        <v>32963</v>
      </c>
      <c r="CJ101" s="338" t="s">
        <v>318</v>
      </c>
      <c r="CL101" s="236">
        <v>2.2200000000000002</v>
      </c>
      <c r="CM101" s="236" t="s">
        <v>340</v>
      </c>
      <c r="CO101" s="236">
        <v>9504.02</v>
      </c>
      <c r="CP101" s="236" t="s">
        <v>353</v>
      </c>
      <c r="CR101" s="340">
        <v>4.04</v>
      </c>
      <c r="CS101" s="340" t="s">
        <v>313</v>
      </c>
      <c r="CT101" s="1384"/>
      <c r="CU101" s="341">
        <v>33569</v>
      </c>
      <c r="CV101" s="338" t="s">
        <v>316</v>
      </c>
      <c r="CZ101" s="1795">
        <v>804.03</v>
      </c>
      <c r="DA101" s="338" t="s">
        <v>289</v>
      </c>
      <c r="DF101" s="340">
        <v>641.28</v>
      </c>
      <c r="DG101" s="340" t="s">
        <v>288</v>
      </c>
      <c r="DI101" s="341" t="str">
        <f t="array" ref="DI101">IFERROR(IF($DI$11="Metro",INDEX($CZ$13:$CZ$929,SMALL(IF((County=$DA$13:$DA$929),MATCH(ROW($DA$13:$DA$929),ROW($DA$13:$DA$929)),""),ROWS($A$13:$A101))),INDEX($DC$13:$DC$212,SMALL(IF((County=$DD$13:$DD$212),MATCH(ROW($DD$13:$DD$212),ROW($DD$13:$DD$212)),""),ROWS($A$13:$A101)))),"")</f>
        <v/>
      </c>
      <c r="DK101" s="341" t="str">
        <f t="array" ref="DK101">IFERROR(IF($DK$11="Yes",INDEX($DF$13:$DF$2838,SMALL(IF((County=$DG$13:$DG$2838),MATCH(ROW($DG$13:$DG$2838),ROW($DG$13:$DG$2838)),""),ROWS($A$13:$A101))),""),"")</f>
        <v/>
      </c>
      <c r="DM101" s="1387">
        <v>33009</v>
      </c>
      <c r="DN101" s="338" t="s">
        <v>289</v>
      </c>
      <c r="DP101" s="236">
        <v>7.11</v>
      </c>
      <c r="DQ101" s="236" t="s">
        <v>331</v>
      </c>
      <c r="DV101" s="340">
        <v>4.0599999999999996</v>
      </c>
      <c r="DW101" s="340" t="s">
        <v>328</v>
      </c>
      <c r="DX101" s="1671"/>
      <c r="EE101" s="1175" t="s">
        <v>1919</v>
      </c>
      <c r="EF101" s="1248" t="s">
        <v>2625</v>
      </c>
      <c r="EG101" s="2749" t="str">
        <f t="shared" si="26"/>
        <v>Dr. Martin Luther King, Jr. Plaza - Level 1</v>
      </c>
      <c r="EH101" s="2750"/>
      <c r="EI101" s="2750"/>
      <c r="EJ101" s="777" t="s">
        <v>660</v>
      </c>
      <c r="EK101" s="777" t="s">
        <v>2625</v>
      </c>
      <c r="EL101" s="550" t="str">
        <f t="shared" si="27"/>
        <v>Princeton - Level 1</v>
      </c>
    </row>
    <row r="102" spans="1:143" ht="14.65" customHeight="1">
      <c r="A102" s="339">
        <v>32246</v>
      </c>
      <c r="B102" s="338" t="s">
        <v>302</v>
      </c>
      <c r="E102" s="858"/>
      <c r="F102" s="338">
        <v>914</v>
      </c>
      <c r="G102" s="338" t="s">
        <v>289</v>
      </c>
      <c r="L102" s="2481">
        <v>641.29999999999995</v>
      </c>
      <c r="M102" s="340" t="s">
        <v>288</v>
      </c>
      <c r="N102" s="1390"/>
      <c r="O102" s="2479"/>
      <c r="P102" s="2282"/>
      <c r="R102" s="341" t="str">
        <f t="array" ref="R102">IFERROR(IF($R$11="Metro",INDEX($F$13:$F$829,SMALL(IF((County=$G$13:$G$829),MATCH(ROW($G$13:$G$829),ROW($G$13:$G$829)),""),ROWS($A$13:A102))),INDEX($I$13:$I$44,SMALL(IF((County=$J$13:$J$44),MATCH(ROW($J$13:$J$44),ROW($J$13:$J$44)),""),ROWS($A$13:A102)))),"")</f>
        <v/>
      </c>
      <c r="T102" s="341" t="str">
        <f t="array" ref="T102">IFERROR(IF($T$11="Yes",INDEX($L$13:$L$2813,SMALL(IF((County=$M$13:$M$2813),MATCH(ROW($M$13:$M$2813),ROW($M$13:$M$2813)),""),ROWS($A$13:A102))),""),"")</f>
        <v/>
      </c>
      <c r="V102" s="2283" t="str">
        <f t="array" ref="V102">IFERROR(IF($T$11="Yes",INDEX($O$14:$O$2811,SMALL(IF((County=$P$14:$P$2811),MATCH(ROW($P$14:$P$2811),ROW($P$14:$P$2811)),""),ROWS($A$13:A102))),""),"")</f>
        <v/>
      </c>
      <c r="X102" s="339">
        <v>32835</v>
      </c>
      <c r="Y102" s="338" t="s">
        <v>338</v>
      </c>
      <c r="AA102" s="338">
        <v>8.11</v>
      </c>
      <c r="AB102" s="338" t="s">
        <v>328</v>
      </c>
      <c r="AG102" s="2297">
        <v>4.0999999999999996</v>
      </c>
      <c r="AH102" s="2297" t="s">
        <v>331</v>
      </c>
      <c r="AI102" s="1390"/>
      <c r="AJ102" s="2282"/>
      <c r="AK102" s="2282"/>
      <c r="AL102" s="1037"/>
      <c r="AM102" s="339">
        <v>33594</v>
      </c>
      <c r="AN102" s="338" t="s">
        <v>316</v>
      </c>
      <c r="AQ102" s="858"/>
      <c r="AR102" s="338">
        <v>4502.0200000000004</v>
      </c>
      <c r="AS102" s="338" t="s">
        <v>295</v>
      </c>
      <c r="AX102" s="340">
        <v>650.01</v>
      </c>
      <c r="AY102" s="340" t="s">
        <v>288</v>
      </c>
      <c r="BA102" s="341" t="str">
        <f t="array" ref="BA102">IFERROR(IF($BA$11="Metro",INDEX($AR$13:$AR$814,SMALL(IF((County=$AS$13:$AS$814),MATCH(ROW($AS$13:$AS$814),ROW($AS$13:$AS$814)),""),ROWS($A$13:$A102))),INDEX($AU$13:$AU$48,SMALL(IF((County=$AV$13:$AV$48),MATCH(ROW($AV$13:$AV$48),ROW($AV$13:$AV$48)),""),ROWS($A$13:$A102)))),"")</f>
        <v/>
      </c>
      <c r="BC102" s="341" t="str">
        <f t="array" ref="BC102">IFERROR(IF($BC$11="Yes",INDEX($AX$13:$AX$2950,SMALL(IF((County=$AY$13:$AY$2950),MATCH(ROW($AY$13:$AY$2950),ROW($AY$13:$AY$2950)),""),ROWS($A$13:$A102))),""),"")</f>
        <v/>
      </c>
      <c r="BE102" s="339">
        <v>33015</v>
      </c>
      <c r="BF102" s="338" t="s">
        <v>331</v>
      </c>
      <c r="BH102" s="338">
        <v>6.11</v>
      </c>
      <c r="BI102" s="338" t="s">
        <v>331</v>
      </c>
      <c r="BN102" s="340">
        <v>4.03</v>
      </c>
      <c r="BO102" s="340" t="s">
        <v>328</v>
      </c>
      <c r="BP102" s="1385"/>
      <c r="BQ102" s="341">
        <v>33511</v>
      </c>
      <c r="BR102" s="338" t="s">
        <v>316</v>
      </c>
      <c r="BU102" s="858"/>
      <c r="BV102" s="338">
        <v>18</v>
      </c>
      <c r="BW102" s="338" t="s">
        <v>285</v>
      </c>
      <c r="BY102" s="236">
        <v>2103.0100000000002</v>
      </c>
      <c r="BZ102" s="236" t="s">
        <v>319</v>
      </c>
      <c r="CB102" s="340">
        <v>646.01</v>
      </c>
      <c r="CC102" s="340" t="s">
        <v>288</v>
      </c>
      <c r="CE102" s="341" t="str">
        <f t="array" ref="CE102">IFERROR(IF($CE$11="Metro",INDEX($BV$13:$BV$4972,SMALL(IF((County=$BW$13:$BW$4972),MATCH(ROW($BW$13:$BW$4972),ROW($BW$13:$BW$4972)),""),ROWS($A$13:$A102))),INDEX($BY$13:$BY$212,SMALL(IF((County=$BZ$13:$BZ$212),MATCH(ROW($BZ$13:$BZ$212),ROW($BZ$13:$BZ$212)),""),ROWS($A$13:$A102)))),"")</f>
        <v/>
      </c>
      <c r="CG102" s="341" t="str">
        <f t="array" ref="CG102">IFERROR(IF($CG$11="Yes",INDEX($CB$13:$CB$2950,SMALL(IF((County=$CC$13:$CC$2950),MATCH(ROW($CC$13:$CC$2950),ROW($CC$13:$CC$2950)),""),ROWS($A$13:$A102))),""),"")</f>
        <v/>
      </c>
      <c r="CI102" s="1583">
        <v>32968</v>
      </c>
      <c r="CJ102" s="338" t="s">
        <v>318</v>
      </c>
      <c r="CL102" s="236">
        <v>2.23</v>
      </c>
      <c r="CM102" s="236" t="s">
        <v>331</v>
      </c>
      <c r="CO102" s="236">
        <v>9505</v>
      </c>
      <c r="CP102" s="236" t="s">
        <v>345</v>
      </c>
      <c r="CR102" s="340">
        <v>4.05</v>
      </c>
      <c r="CS102" s="340" t="s">
        <v>328</v>
      </c>
      <c r="CT102" s="1384"/>
      <c r="CU102" s="341">
        <v>33572</v>
      </c>
      <c r="CV102" s="338" t="s">
        <v>316</v>
      </c>
      <c r="CZ102" s="1795">
        <v>805</v>
      </c>
      <c r="DA102" s="338" t="s">
        <v>289</v>
      </c>
      <c r="DF102" s="340">
        <v>641.29</v>
      </c>
      <c r="DG102" s="340" t="s">
        <v>288</v>
      </c>
      <c r="DI102" s="341" t="str">
        <f t="array" ref="DI102">IFERROR(IF($DI$11="Metro",INDEX($CZ$13:$CZ$929,SMALL(IF((County=$DA$13:$DA$929),MATCH(ROW($DA$13:$DA$929),ROW($DA$13:$DA$929)),""),ROWS($A$13:$A102))),INDEX($DC$13:$DC$212,SMALL(IF((County=$DD$13:$DD$212),MATCH(ROW($DD$13:$DD$212),ROW($DD$13:$DD$212)),""),ROWS($A$13:$A102)))),"")</f>
        <v/>
      </c>
      <c r="DK102" s="341" t="str">
        <f t="array" ref="DK102">IFERROR(IF($DK$11="Yes",INDEX($DF$13:$DF$2838,SMALL(IF((County=$DG$13:$DG$2838),MATCH(ROW($DG$13:$DG$2838),ROW($DG$13:$DG$2838)),""),ROWS($A$13:$A102))),""),"")</f>
        <v/>
      </c>
      <c r="DM102" s="1387">
        <v>33014</v>
      </c>
      <c r="DN102" s="338" t="s">
        <v>2579</v>
      </c>
      <c r="DP102" s="236">
        <v>7.12</v>
      </c>
      <c r="DQ102" s="236" t="s">
        <v>331</v>
      </c>
      <c r="DV102" s="340">
        <v>4.0599999999999996</v>
      </c>
      <c r="DW102" s="340" t="s">
        <v>340</v>
      </c>
      <c r="DX102" s="1671"/>
      <c r="EE102" s="1175" t="s">
        <v>1920</v>
      </c>
      <c r="EF102" s="1248" t="s">
        <v>2625</v>
      </c>
      <c r="EG102" s="2749" t="str">
        <f t="shared" si="26"/>
        <v>Earlington Heights - Level 1</v>
      </c>
      <c r="EH102" s="2750"/>
      <c r="EI102" s="2750"/>
    </row>
    <row r="103" spans="1:143" ht="14.65" customHeight="1">
      <c r="A103" s="339">
        <v>32250</v>
      </c>
      <c r="B103" s="338" t="s">
        <v>302</v>
      </c>
      <c r="E103" s="858"/>
      <c r="F103" s="338">
        <v>916.01</v>
      </c>
      <c r="G103" s="338" t="s">
        <v>289</v>
      </c>
      <c r="L103" s="2481">
        <v>644</v>
      </c>
      <c r="M103" s="340" t="s">
        <v>288</v>
      </c>
      <c r="N103" s="1390"/>
      <c r="O103" s="2479"/>
      <c r="P103" s="2282"/>
      <c r="R103" s="341" t="str">
        <f t="array" ref="R103">IFERROR(IF($R$11="Metro",INDEX($F$13:$F$829,SMALL(IF((County=$G$13:$G$829),MATCH(ROW($G$13:$G$829),ROW($G$13:$G$829)),""),ROWS($A$13:A103))),INDEX($I$13:$I$44,SMALL(IF((County=$J$13:$J$44),MATCH(ROW($J$13:$J$44),ROW($J$13:$J$44)),""),ROWS($A$13:A103)))),"")</f>
        <v/>
      </c>
      <c r="T103" s="341" t="str">
        <f t="array" ref="T103">IFERROR(IF($T$11="Yes",INDEX($L$13:$L$2813,SMALL(IF((County=$M$13:$M$2813),MATCH(ROW($M$13:$M$2813),ROW($M$13:$M$2813)),""),ROWS($A$13:A103))),""),"")</f>
        <v/>
      </c>
      <c r="V103" s="2283" t="str">
        <f t="array" ref="V103">IFERROR(IF($T$11="Yes",INDEX($O$14:$O$2811,SMALL(IF((County=$P$14:$P$2811),MATCH(ROW($P$14:$P$2811),ROW($P$14:$P$2811)),""),ROWS($A$13:A103))),""),"")</f>
        <v/>
      </c>
      <c r="X103" s="339">
        <v>32836</v>
      </c>
      <c r="Y103" s="338" t="s">
        <v>338</v>
      </c>
      <c r="AA103" s="338">
        <v>9.01</v>
      </c>
      <c r="AB103" s="338" t="s">
        <v>316</v>
      </c>
      <c r="AG103" s="2297">
        <v>4.1900000000000004</v>
      </c>
      <c r="AH103" s="2297" t="s">
        <v>331</v>
      </c>
      <c r="AI103" s="1390"/>
      <c r="AJ103" s="2282"/>
      <c r="AK103" s="2282"/>
      <c r="AL103" s="1037"/>
      <c r="AM103" s="339">
        <v>33596</v>
      </c>
      <c r="AN103" s="338" t="s">
        <v>316</v>
      </c>
      <c r="AQ103" s="858"/>
      <c r="AR103" s="338">
        <v>4503.05</v>
      </c>
      <c r="AS103" s="338" t="s">
        <v>295</v>
      </c>
      <c r="AX103" s="340">
        <v>650.22</v>
      </c>
      <c r="AY103" s="340" t="s">
        <v>288</v>
      </c>
      <c r="BA103" s="341" t="str">
        <f t="array" ref="BA103">IFERROR(IF($BA$11="Metro",INDEX($AR$13:$AR$814,SMALL(IF((County=$AS$13:$AS$814),MATCH(ROW($AS$13:$AS$814),ROW($AS$13:$AS$814)),""),ROWS($A$13:$A103))),INDEX($AU$13:$AU$48,SMALL(IF((County=$AV$13:$AV$48),MATCH(ROW($AV$13:$AV$48),ROW($AV$13:$AV$48)),""),ROWS($A$13:$A103)))),"")</f>
        <v/>
      </c>
      <c r="BC103" s="341" t="str">
        <f t="array" ref="BC103">IFERROR(IF($BC$11="Yes",INDEX($AX$13:$AX$2950,SMALL(IF((County=$AY$13:$AY$2950),MATCH(ROW($AY$13:$AY$2950),ROW($AY$13:$AY$2950)),""),ROWS($A$13:$A103))),""),"")</f>
        <v/>
      </c>
      <c r="BE103" s="339">
        <v>33016</v>
      </c>
      <c r="BF103" s="338" t="s">
        <v>331</v>
      </c>
      <c r="BH103" s="338">
        <v>7</v>
      </c>
      <c r="BI103" s="338" t="s">
        <v>323</v>
      </c>
      <c r="BN103" s="340">
        <v>4.04</v>
      </c>
      <c r="BO103" s="340" t="s">
        <v>347</v>
      </c>
      <c r="BP103" s="1385"/>
      <c r="BQ103" s="341">
        <v>33547</v>
      </c>
      <c r="BR103" s="338" t="s">
        <v>316</v>
      </c>
      <c r="BU103" s="858"/>
      <c r="BV103" s="338">
        <v>19</v>
      </c>
      <c r="BW103" s="338" t="s">
        <v>285</v>
      </c>
      <c r="BY103" s="236">
        <v>2103.02</v>
      </c>
      <c r="BZ103" s="236" t="s">
        <v>319</v>
      </c>
      <c r="CB103" s="340">
        <v>649.01</v>
      </c>
      <c r="CC103" s="340" t="s">
        <v>288</v>
      </c>
      <c r="CE103" s="341" t="str">
        <f t="array" ref="CE103">IFERROR(IF($CE$11="Metro",INDEX($BV$13:$BV$4972,SMALL(IF((County=$BW$13:$BW$4972),MATCH(ROW($BW$13:$BW$4972),ROW($BW$13:$BW$4972)),""),ROWS($A$13:$A103))),INDEX($BY$13:$BY$212,SMALL(IF((County=$BZ$13:$BZ$212),MATCH(ROW($BZ$13:$BZ$212),ROW($BZ$13:$BZ$212)),""),ROWS($A$13:$A103)))),"")</f>
        <v/>
      </c>
      <c r="CG103" s="341" t="str">
        <f t="array" ref="CG103">IFERROR(IF($CG$11="Yes",INDEX($CB$13:$CB$2950,SMALL(IF((County=$CC$13:$CC$2950),MATCH(ROW($CC$13:$CC$2950),ROW($CC$13:$CC$2950)),""),ROWS($A$13:$A103))),""),"")</f>
        <v/>
      </c>
      <c r="CI103" s="1387">
        <v>33009</v>
      </c>
      <c r="CJ103" s="338" t="s">
        <v>289</v>
      </c>
      <c r="CL103" s="236">
        <v>2.23</v>
      </c>
      <c r="CM103" s="236" t="s">
        <v>340</v>
      </c>
      <c r="CO103" s="236">
        <v>9506</v>
      </c>
      <c r="CP103" s="236" t="s">
        <v>345</v>
      </c>
      <c r="CR103" s="340">
        <v>4.05</v>
      </c>
      <c r="CS103" s="340" t="s">
        <v>340</v>
      </c>
      <c r="CT103" s="1384"/>
      <c r="CU103" s="341">
        <v>33573</v>
      </c>
      <c r="CV103" s="338" t="s">
        <v>316</v>
      </c>
      <c r="CZ103" s="1795">
        <v>903.01</v>
      </c>
      <c r="DA103" s="338" t="s">
        <v>289</v>
      </c>
      <c r="DF103" s="340">
        <v>641.29999999999995</v>
      </c>
      <c r="DG103" s="340" t="s">
        <v>288</v>
      </c>
      <c r="DI103" s="341" t="str">
        <f t="array" ref="DI103">IFERROR(IF($DI$11="Metro",INDEX($CZ$13:$CZ$929,SMALL(IF((County=$DA$13:$DA$929),MATCH(ROW($DA$13:$DA$929),ROW($DA$13:$DA$929)),""),ROWS($A$13:$A103))),INDEX($DC$13:$DC$212,SMALL(IF((County=$DD$13:$DD$212),MATCH(ROW($DD$13:$DD$212),ROW($DD$13:$DD$212)),""),ROWS($A$13:$A103)))),"")</f>
        <v/>
      </c>
      <c r="DK103" s="341" t="str">
        <f t="array" ref="DK103">IFERROR(IF($DK$11="Yes",INDEX($DF$13:$DF$2838,SMALL(IF((County=$DG$13:$DG$2838),MATCH(ROW($DG$13:$DG$2838),ROW($DG$13:$DG$2838)),""),ROWS($A$13:$A103))),""),"")</f>
        <v/>
      </c>
      <c r="DM103" s="1387">
        <v>33015</v>
      </c>
      <c r="DN103" s="338" t="s">
        <v>2579</v>
      </c>
      <c r="DP103" s="236">
        <v>7.14</v>
      </c>
      <c r="DQ103" s="236" t="s">
        <v>331</v>
      </c>
      <c r="DV103" s="340">
        <v>4.07</v>
      </c>
      <c r="DW103" s="340" t="s">
        <v>340</v>
      </c>
      <c r="DX103" s="1671"/>
      <c r="EE103" s="1175" t="s">
        <v>1921</v>
      </c>
      <c r="EF103" s="1248" t="s">
        <v>2625</v>
      </c>
      <c r="EG103" s="2749" t="str">
        <f t="shared" si="26"/>
        <v>Government Center - Level 1</v>
      </c>
      <c r="EH103" s="2750"/>
      <c r="EI103" s="2750"/>
    </row>
    <row r="104" spans="1:143" ht="14.65" customHeight="1">
      <c r="A104" s="339">
        <v>32256</v>
      </c>
      <c r="B104" s="338" t="s">
        <v>302</v>
      </c>
      <c r="E104" s="858"/>
      <c r="F104" s="338">
        <v>919.03</v>
      </c>
      <c r="G104" s="338" t="s">
        <v>289</v>
      </c>
      <c r="L104" s="2481">
        <v>646.01</v>
      </c>
      <c r="M104" s="340" t="s">
        <v>288</v>
      </c>
      <c r="N104" s="1390"/>
      <c r="O104" s="2479"/>
      <c r="P104" s="2282"/>
      <c r="R104" s="341" t="str">
        <f t="array" ref="R104">IFERROR(IF($R$11="Metro",INDEX($F$13:$F$829,SMALL(IF((County=$G$13:$G$829),MATCH(ROW($G$13:$G$829),ROW($G$13:$G$829)),""),ROWS($A$13:A104))),INDEX($I$13:$I$44,SMALL(IF((County=$J$13:$J$44),MATCH(ROW($J$13:$J$44),ROW($J$13:$J$44)),""),ROWS($A$13:A104)))),"")</f>
        <v/>
      </c>
      <c r="T104" s="341" t="str">
        <f t="array" ref="T104">IFERROR(IF($T$11="Yes",INDEX($L$13:$L$2813,SMALL(IF((County=$M$13:$M$2813),MATCH(ROW($M$13:$M$2813),ROW($M$13:$M$2813)),""),ROWS($A$13:A104))),""),"")</f>
        <v/>
      </c>
      <c r="V104" s="2283" t="str">
        <f t="array" ref="V104">IFERROR(IF($T$11="Yes",INDEX($O$14:$O$2811,SMALL(IF((County=$P$14:$P$2811),MATCH(ROW($P$14:$P$2811),ROW($P$14:$P$2811)),""),ROWS($A$13:A104))),""),"")</f>
        <v/>
      </c>
      <c r="X104" s="339">
        <v>32837</v>
      </c>
      <c r="Y104" s="338" t="s">
        <v>338</v>
      </c>
      <c r="AA104" s="338">
        <v>9.02</v>
      </c>
      <c r="AB104" s="338" t="s">
        <v>316</v>
      </c>
      <c r="AG104" s="2297">
        <v>5</v>
      </c>
      <c r="AH104" s="2297" t="s">
        <v>276</v>
      </c>
      <c r="AI104" s="1390"/>
      <c r="AJ104" s="2282"/>
      <c r="AK104" s="2282"/>
      <c r="AL104" s="1037"/>
      <c r="AM104" s="339">
        <v>33602</v>
      </c>
      <c r="AN104" s="338" t="s">
        <v>316</v>
      </c>
      <c r="AQ104" s="858"/>
      <c r="AR104" s="338">
        <v>4503.0600000000004</v>
      </c>
      <c r="AS104" s="338" t="s">
        <v>295</v>
      </c>
      <c r="AX104" s="340">
        <v>650.23</v>
      </c>
      <c r="AY104" s="340" t="s">
        <v>288</v>
      </c>
      <c r="BA104" s="341" t="str">
        <f t="array" ref="BA104">IFERROR(IF($BA$11="Metro",INDEX($AR$13:$AR$814,SMALL(IF((County=$AS$13:$AS$814),MATCH(ROW($AS$13:$AS$814),ROW($AS$13:$AS$814)),""),ROWS($A$13:$A104))),INDEX($AU$13:$AU$48,SMALL(IF((County=$AV$13:$AV$48),MATCH(ROW($AV$13:$AV$48),ROW($AV$13:$AV$48)),""),ROWS($A$13:$A104)))),"")</f>
        <v/>
      </c>
      <c r="BC104" s="341" t="str">
        <f t="array" ref="BC104">IFERROR(IF($BC$11="Yes",INDEX($AX$13:$AX$2950,SMALL(IF((County=$AY$13:$AY$2950),MATCH(ROW($AY$13:$AY$2950),ROW($AY$13:$AY$2950)),""),ROWS($A$13:$A104))),""),"")</f>
        <v/>
      </c>
      <c r="BE104" s="339">
        <v>33018</v>
      </c>
      <c r="BF104" s="338" t="s">
        <v>331</v>
      </c>
      <c r="BH104" s="338">
        <v>7.01</v>
      </c>
      <c r="BI104" s="338" t="s">
        <v>316</v>
      </c>
      <c r="BN104" s="340">
        <v>4.05</v>
      </c>
      <c r="BO104" s="340" t="s">
        <v>328</v>
      </c>
      <c r="BP104" s="1385"/>
      <c r="BQ104" s="341">
        <v>33548</v>
      </c>
      <c r="BR104" s="338" t="s">
        <v>316</v>
      </c>
      <c r="BU104" s="858"/>
      <c r="BV104" s="338">
        <v>20</v>
      </c>
      <c r="BW104" s="338" t="s">
        <v>285</v>
      </c>
      <c r="BY104" s="236">
        <v>2104</v>
      </c>
      <c r="BZ104" s="236" t="s">
        <v>319</v>
      </c>
      <c r="CB104" s="340">
        <v>650.01</v>
      </c>
      <c r="CC104" s="340" t="s">
        <v>288</v>
      </c>
      <c r="CE104" s="341" t="str">
        <f t="array" ref="CE104">IFERROR(IF($CE$11="Metro",INDEX($BV$13:$BV$4972,SMALL(IF((County=$BW$13:$BW$4972),MATCH(ROW($BW$13:$BW$4972),ROW($BW$13:$BW$4972)),""),ROWS($A$13:$A104))),INDEX($BY$13:$BY$212,SMALL(IF((County=$BZ$13:$BZ$212),MATCH(ROW($BZ$13:$BZ$212),ROW($BZ$13:$BZ$212)),""),ROWS($A$13:$A104)))),"")</f>
        <v/>
      </c>
      <c r="CG104" s="341" t="str">
        <f t="array" ref="CG104">IFERROR(IF($CG$11="Yes",INDEX($CB$13:$CB$2950,SMALL(IF((County=$CC$13:$CC$2950),MATCH(ROW($CC$13:$CC$2950),ROW($CC$13:$CC$2950)),""),ROWS($A$13:$A104))),""),"")</f>
        <v/>
      </c>
      <c r="CI104" s="1387">
        <v>33014</v>
      </c>
      <c r="CJ104" s="338" t="s">
        <v>331</v>
      </c>
      <c r="CL104" s="236">
        <v>2.2400000000000002</v>
      </c>
      <c r="CM104" s="236" t="s">
        <v>331</v>
      </c>
      <c r="CO104" s="236">
        <v>9507</v>
      </c>
      <c r="CP104" s="236" t="s">
        <v>345</v>
      </c>
      <c r="CR104" s="340">
        <v>4.05</v>
      </c>
      <c r="CS104" s="340" t="s">
        <v>347</v>
      </c>
      <c r="CT104" s="1384"/>
      <c r="CU104" s="341">
        <v>33578</v>
      </c>
      <c r="CV104" s="338" t="s">
        <v>316</v>
      </c>
      <c r="CZ104" s="1795">
        <v>903.03</v>
      </c>
      <c r="DA104" s="338" t="s">
        <v>289</v>
      </c>
      <c r="DF104" s="340">
        <v>644</v>
      </c>
      <c r="DG104" s="340" t="s">
        <v>288</v>
      </c>
      <c r="DI104" s="341" t="str">
        <f t="array" ref="DI104">IFERROR(IF($DI$11="Metro",INDEX($CZ$13:$CZ$929,SMALL(IF((County=$DA$13:$DA$929),MATCH(ROW($DA$13:$DA$929),ROW($DA$13:$DA$929)),""),ROWS($A$13:$A104))),INDEX($DC$13:$DC$212,SMALL(IF((County=$DD$13:$DD$212),MATCH(ROW($DD$13:$DD$212),ROW($DD$13:$DD$212)),""),ROWS($A$13:$A104)))),"")</f>
        <v/>
      </c>
      <c r="DK104" s="341" t="str">
        <f t="array" ref="DK104">IFERROR(IF($DK$11="Yes",INDEX($DF$13:$DF$2838,SMALL(IF((County=$DG$13:$DG$2838),MATCH(ROW($DG$13:$DG$2838),ROW($DG$13:$DG$2838)),""),ROWS($A$13:$A104))),""),"")</f>
        <v/>
      </c>
      <c r="DM104" s="1387">
        <v>33016</v>
      </c>
      <c r="DN104" s="338" t="s">
        <v>2579</v>
      </c>
      <c r="DP104" s="236">
        <v>7.15</v>
      </c>
      <c r="DQ104" s="236" t="s">
        <v>331</v>
      </c>
      <c r="DV104" s="340">
        <v>4.08</v>
      </c>
      <c r="DW104" s="340" t="s">
        <v>340</v>
      </c>
      <c r="DX104" s="1671"/>
      <c r="EE104" s="1175" t="s">
        <v>1922</v>
      </c>
      <c r="EF104" s="1248" t="s">
        <v>2625</v>
      </c>
      <c r="EG104" s="2749" t="str">
        <f t="shared" si="26"/>
        <v>Hialeah - Level 1</v>
      </c>
      <c r="EH104" s="2750"/>
      <c r="EI104" s="2750"/>
      <c r="EJ104" s="774" t="s">
        <v>645</v>
      </c>
      <c r="EK104" s="772" t="s">
        <v>637</v>
      </c>
    </row>
    <row r="105" spans="1:143" ht="14.65" customHeight="1">
      <c r="A105" s="339">
        <v>32258</v>
      </c>
      <c r="B105" s="338" t="s">
        <v>302</v>
      </c>
      <c r="E105" s="858"/>
      <c r="F105" s="338">
        <v>1001.03</v>
      </c>
      <c r="G105" s="338" t="s">
        <v>289</v>
      </c>
      <c r="L105" s="2481">
        <v>646.02</v>
      </c>
      <c r="M105" s="340" t="s">
        <v>288</v>
      </c>
      <c r="N105" s="1390"/>
      <c r="O105" s="2479"/>
      <c r="P105" s="2282"/>
      <c r="R105" s="341" t="str">
        <f t="array" ref="R105">IFERROR(IF($R$11="Metro",INDEX($F$13:$F$829,SMALL(IF((County=$G$13:$G$829),MATCH(ROW($G$13:$G$829),ROW($G$13:$G$829)),""),ROWS($A$13:A105))),INDEX($I$13:$I$44,SMALL(IF((County=$J$13:$J$44),MATCH(ROW($J$13:$J$44),ROW($J$13:$J$44)),""),ROWS($A$13:A105)))),"")</f>
        <v/>
      </c>
      <c r="T105" s="341" t="str">
        <f t="array" ref="T105">IFERROR(IF($T$11="Yes",INDEX($L$13:$L$2813,SMALL(IF((County=$M$13:$M$2813),MATCH(ROW($M$13:$M$2813),ROW($M$13:$M$2813)),""),ROWS($A$13:A105))),""),"")</f>
        <v/>
      </c>
      <c r="V105" s="2283" t="str">
        <f t="array" ref="V105">IFERROR(IF($T$11="Yes",INDEX($O$14:$O$2811,SMALL(IF((County=$P$14:$P$2811),MATCH(ROW($P$14:$P$2811),ROW($P$14:$P$2811)),""),ROWS($A$13:A105))),""),"")</f>
        <v/>
      </c>
      <c r="X105" s="339">
        <v>32903</v>
      </c>
      <c r="Y105" s="338" t="s">
        <v>288</v>
      </c>
      <c r="AA105" s="338">
        <v>9.0299999999999994</v>
      </c>
      <c r="AB105" s="338" t="s">
        <v>331</v>
      </c>
      <c r="AG105" s="2297">
        <v>5</v>
      </c>
      <c r="AH105" s="2297" t="s">
        <v>285</v>
      </c>
      <c r="AI105" s="1390"/>
      <c r="AJ105" s="2282"/>
      <c r="AK105" s="2282"/>
      <c r="AL105" s="1037"/>
      <c r="AM105" s="339">
        <v>33606</v>
      </c>
      <c r="AN105" s="338" t="s">
        <v>316</v>
      </c>
      <c r="AQ105" s="858"/>
      <c r="AR105" s="338">
        <v>4508</v>
      </c>
      <c r="AS105" s="338" t="s">
        <v>295</v>
      </c>
      <c r="AX105" s="340">
        <v>650.24</v>
      </c>
      <c r="AY105" s="340" t="s">
        <v>288</v>
      </c>
      <c r="BA105" s="341" t="str">
        <f t="array" ref="BA105">IFERROR(IF($BA$11="Metro",INDEX($AR$13:$AR$814,SMALL(IF((County=$AS$13:$AS$814),MATCH(ROW($AS$13:$AS$814),ROW($AS$13:$AS$814)),""),ROWS($A$13:$A105))),INDEX($AU$13:$AU$48,SMALL(IF((County=$AV$13:$AV$48),MATCH(ROW($AV$13:$AV$48),ROW($AV$13:$AV$48)),""),ROWS($A$13:$A105)))),"")</f>
        <v/>
      </c>
      <c r="BC105" s="341" t="str">
        <f t="array" ref="BC105">IFERROR(IF($BC$11="Yes",INDEX($AX$13:$AX$2950,SMALL(IF((County=$AY$13:$AY$2950),MATCH(ROW($AY$13:$AY$2950),ROW($AY$13:$AY$2950)),""),ROWS($A$13:$A105))),""),"")</f>
        <v/>
      </c>
      <c r="BE105" s="339">
        <v>33019</v>
      </c>
      <c r="BF105" s="338" t="s">
        <v>289</v>
      </c>
      <c r="BH105" s="338">
        <v>7.02</v>
      </c>
      <c r="BI105" s="338" t="s">
        <v>316</v>
      </c>
      <c r="BN105" s="340">
        <v>4.05</v>
      </c>
      <c r="BO105" s="340" t="s">
        <v>331</v>
      </c>
      <c r="BP105" s="1385"/>
      <c r="BQ105" s="1583">
        <v>33549</v>
      </c>
      <c r="BR105" s="236" t="s">
        <v>316</v>
      </c>
      <c r="BU105" s="858"/>
      <c r="BV105" s="338">
        <v>22</v>
      </c>
      <c r="BW105" s="338" t="s">
        <v>285</v>
      </c>
      <c r="BY105" s="236">
        <v>2105</v>
      </c>
      <c r="BZ105" s="236" t="s">
        <v>319</v>
      </c>
      <c r="CB105" s="340">
        <v>650.22</v>
      </c>
      <c r="CC105" s="340" t="s">
        <v>288</v>
      </c>
      <c r="CE105" s="341" t="str">
        <f t="array" ref="CE105">IFERROR(IF($CE$11="Metro",INDEX($BV$13:$BV$4972,SMALL(IF((County=$BW$13:$BW$4972),MATCH(ROW($BW$13:$BW$4972),ROW($BW$13:$BW$4972)),""),ROWS($A$13:$A105))),INDEX($BY$13:$BY$212,SMALL(IF((County=$BZ$13:$BZ$212),MATCH(ROW($BZ$13:$BZ$212),ROW($BZ$13:$BZ$212)),""),ROWS($A$13:$A105)))),"")</f>
        <v/>
      </c>
      <c r="CG105" s="341" t="str">
        <f t="array" ref="CG105">IFERROR(IF($CG$11="Yes",INDEX($CB$13:$CB$2950,SMALL(IF((County=$CC$13:$CC$2950),MATCH(ROW($CC$13:$CC$2950),ROW($CC$13:$CC$2950)),""),ROWS($A$13:$A105))),""),"")</f>
        <v/>
      </c>
      <c r="CI105" s="1387">
        <v>33015</v>
      </c>
      <c r="CJ105" s="338" t="s">
        <v>331</v>
      </c>
      <c r="CL105" s="236">
        <v>2.25</v>
      </c>
      <c r="CM105" s="236" t="s">
        <v>331</v>
      </c>
      <c r="CO105" s="236">
        <v>9508</v>
      </c>
      <c r="CP105" s="236" t="s">
        <v>345</v>
      </c>
      <c r="CR105" s="340">
        <v>4.0599999999999996</v>
      </c>
      <c r="CS105" s="340" t="s">
        <v>328</v>
      </c>
      <c r="CT105" s="1384"/>
      <c r="CU105" s="341">
        <v>33579</v>
      </c>
      <c r="CV105" s="338" t="s">
        <v>316</v>
      </c>
      <c r="CZ105" s="1795">
        <v>904.03</v>
      </c>
      <c r="DA105" s="338" t="s">
        <v>289</v>
      </c>
      <c r="DF105" s="340">
        <v>646.01</v>
      </c>
      <c r="DG105" s="340" t="s">
        <v>288</v>
      </c>
      <c r="DI105" s="341" t="str">
        <f t="array" ref="DI105">IFERROR(IF($DI$11="Metro",INDEX($CZ$13:$CZ$929,SMALL(IF((County=$DA$13:$DA$929),MATCH(ROW($DA$13:$DA$929),ROW($DA$13:$DA$929)),""),ROWS($A$13:$A105))),INDEX($DC$13:$DC$212,SMALL(IF((County=$DD$13:$DD$212),MATCH(ROW($DD$13:$DD$212),ROW($DD$13:$DD$212)),""),ROWS($A$13:$A105)))),"")</f>
        <v/>
      </c>
      <c r="DK105" s="341" t="str">
        <f t="array" ref="DK105">IFERROR(IF($DK$11="Yes",INDEX($DF$13:$DF$2838,SMALL(IF((County=$DG$13:$DG$2838),MATCH(ROW($DG$13:$DG$2838),ROW($DG$13:$DG$2838)),""),ROWS($A$13:$A105))),""),"")</f>
        <v/>
      </c>
      <c r="DM105" s="1387">
        <v>33018</v>
      </c>
      <c r="DN105" s="338" t="s">
        <v>2579</v>
      </c>
      <c r="DP105" s="236">
        <v>7.19</v>
      </c>
      <c r="DQ105" s="236" t="s">
        <v>331</v>
      </c>
      <c r="DV105" s="340">
        <v>4.09</v>
      </c>
      <c r="DW105" s="340" t="s">
        <v>328</v>
      </c>
      <c r="DX105" s="1671"/>
      <c r="EE105" s="1175" t="s">
        <v>1931</v>
      </c>
      <c r="EF105" s="1248" t="s">
        <v>2625</v>
      </c>
      <c r="EG105" s="2749" t="str">
        <f t="shared" si="26"/>
        <v>Historic Overtown/Lyric Theatre - Level 1</v>
      </c>
      <c r="EH105" s="2750"/>
      <c r="EI105" s="2750"/>
      <c r="EJ105" s="775" t="s">
        <v>638</v>
      </c>
      <c r="EK105" s="775" t="s">
        <v>638</v>
      </c>
    </row>
    <row r="106" spans="1:143" ht="14.65" customHeight="1">
      <c r="A106" s="339">
        <v>32266</v>
      </c>
      <c r="B106" s="338" t="s">
        <v>302</v>
      </c>
      <c r="E106" s="858"/>
      <c r="F106" s="338">
        <v>1002.01</v>
      </c>
      <c r="G106" s="338" t="s">
        <v>289</v>
      </c>
      <c r="L106" s="2481">
        <v>649.01</v>
      </c>
      <c r="M106" s="340" t="s">
        <v>288</v>
      </c>
      <c r="N106" s="1390"/>
      <c r="O106" s="2479"/>
      <c r="P106" s="2282"/>
      <c r="R106" s="341" t="str">
        <f t="array" ref="R106">IFERROR(IF($R$11="Metro",INDEX($F$13:$F$829,SMALL(IF((County=$G$13:$G$829),MATCH(ROW($G$13:$G$829),ROW($G$13:$G$829)),""),ROWS($A$13:A106))),INDEX($I$13:$I$44,SMALL(IF((County=$J$13:$J$44),MATCH(ROW($J$13:$J$44),ROW($J$13:$J$44)),""),ROWS($A$13:A106)))),"")</f>
        <v/>
      </c>
      <c r="T106" s="341" t="str">
        <f t="array" ref="T106">IFERROR(IF($T$11="Yes",INDEX($L$13:$L$2813,SMALL(IF((County=$M$13:$M$2813),MATCH(ROW($M$13:$M$2813),ROW($M$13:$M$2813)),""),ROWS($A$13:A106))),""),"")</f>
        <v/>
      </c>
      <c r="V106" s="2283" t="str">
        <f t="array" ref="V106">IFERROR(IF($T$11="Yes",INDEX($O$14:$O$2811,SMALL(IF((County=$P$14:$P$2811),MATCH(ROW($P$14:$P$2811),ROW($P$14:$P$2811)),""),ROWS($A$13:A106))),""),"")</f>
        <v/>
      </c>
      <c r="X106" s="339">
        <v>32904</v>
      </c>
      <c r="Y106" s="338" t="s">
        <v>288</v>
      </c>
      <c r="AA106" s="338">
        <v>10</v>
      </c>
      <c r="AB106" s="338" t="s">
        <v>276</v>
      </c>
      <c r="AG106" s="2297">
        <v>5</v>
      </c>
      <c r="AH106" s="2297" t="s">
        <v>297</v>
      </c>
      <c r="AI106" s="1390"/>
      <c r="AJ106" s="2282"/>
      <c r="AK106" s="2282"/>
      <c r="AL106" s="1037"/>
      <c r="AM106" s="339">
        <v>33607</v>
      </c>
      <c r="AN106" s="338" t="s">
        <v>316</v>
      </c>
      <c r="AQ106" s="858"/>
      <c r="AR106" s="338">
        <v>4514</v>
      </c>
      <c r="AS106" s="338" t="s">
        <v>295</v>
      </c>
      <c r="AX106" s="340">
        <v>651.29</v>
      </c>
      <c r="AY106" s="340" t="s">
        <v>288</v>
      </c>
      <c r="BA106" s="341" t="str">
        <f t="array" ref="BA106">IFERROR(IF($BA$11="Metro",INDEX($AR$13:$AR$814,SMALL(IF((County=$AS$13:$AS$814),MATCH(ROW($AS$13:$AS$814),ROW($AS$13:$AS$814)),""),ROWS($A$13:$A106))),INDEX($AU$13:$AU$48,SMALL(IF((County=$AV$13:$AV$48),MATCH(ROW($AV$13:$AV$48),ROW($AV$13:$AV$48)),""),ROWS($A$13:$A106)))),"")</f>
        <v/>
      </c>
      <c r="BC106" s="341" t="str">
        <f t="array" ref="BC106">IFERROR(IF($BC$11="Yes",INDEX($AX$13:$AX$2950,SMALL(IF((County=$AY$13:$AY$2950),MATCH(ROW($AY$13:$AY$2950),ROW($AY$13:$AY$2950)),""),ROWS($A$13:$A106))),""),"")</f>
        <v/>
      </c>
      <c r="BE106" s="339">
        <v>33021</v>
      </c>
      <c r="BF106" s="338" t="s">
        <v>289</v>
      </c>
      <c r="BH106" s="338">
        <v>7.04</v>
      </c>
      <c r="BI106" s="338" t="s">
        <v>328</v>
      </c>
      <c r="BN106" s="340">
        <v>4.05</v>
      </c>
      <c r="BO106" s="340" t="s">
        <v>340</v>
      </c>
      <c r="BP106" s="1385"/>
      <c r="BQ106" s="341">
        <v>33556</v>
      </c>
      <c r="BR106" s="338" t="s">
        <v>316</v>
      </c>
      <c r="BU106" s="858"/>
      <c r="BV106" s="338">
        <v>23</v>
      </c>
      <c r="BW106" s="338" t="s">
        <v>285</v>
      </c>
      <c r="BY106" s="236">
        <v>2106</v>
      </c>
      <c r="BZ106" s="236" t="s">
        <v>319</v>
      </c>
      <c r="CB106" s="340">
        <v>650.23</v>
      </c>
      <c r="CC106" s="340" t="s">
        <v>288</v>
      </c>
      <c r="CE106" s="341" t="str">
        <f t="array" ref="CE106">IFERROR(IF($CE$11="Metro",INDEX($BV$13:$BV$4972,SMALL(IF((County=$BW$13:$BW$4972),MATCH(ROW($BW$13:$BW$4972),ROW($BW$13:$BW$4972)),""),ROWS($A$13:$A106))),INDEX($BY$13:$BY$212,SMALL(IF((County=$BZ$13:$BZ$212),MATCH(ROW($BZ$13:$BZ$212),ROW($BZ$13:$BZ$212)),""),ROWS($A$13:$A106)))),"")</f>
        <v/>
      </c>
      <c r="CG106" s="341" t="str">
        <f t="array" ref="CG106">IFERROR(IF($CG$11="Yes",INDEX($CB$13:$CB$2950,SMALL(IF((County=$CC$13:$CC$2950),MATCH(ROW($CC$13:$CC$2950),ROW($CC$13:$CC$2950)),""),ROWS($A$13:$A106))),""),"")</f>
        <v/>
      </c>
      <c r="CI106" s="1387">
        <v>33016</v>
      </c>
      <c r="CJ106" s="338" t="s">
        <v>331</v>
      </c>
      <c r="CL106" s="236">
        <v>2.2599999999999998</v>
      </c>
      <c r="CM106" s="236" t="s">
        <v>331</v>
      </c>
      <c r="CO106" s="236">
        <v>9509</v>
      </c>
      <c r="CP106" s="236" t="s">
        <v>345</v>
      </c>
      <c r="CR106" s="340">
        <v>4.0599999999999996</v>
      </c>
      <c r="CS106" s="340" t="s">
        <v>340</v>
      </c>
      <c r="CT106" s="1384"/>
      <c r="CU106" s="341">
        <v>33584</v>
      </c>
      <c r="CV106" s="338" t="s">
        <v>316</v>
      </c>
      <c r="CZ106" s="1795">
        <v>905.04</v>
      </c>
      <c r="DA106" s="338" t="s">
        <v>289</v>
      </c>
      <c r="DF106" s="340">
        <v>649.01</v>
      </c>
      <c r="DG106" s="340" t="s">
        <v>288</v>
      </c>
      <c r="DI106" s="341" t="str">
        <f t="array" ref="DI106">IFERROR(IF($DI$11="Metro",INDEX($CZ$13:$CZ$929,SMALL(IF((County=$DA$13:$DA$929),MATCH(ROW($DA$13:$DA$929),ROW($DA$13:$DA$929)),""),ROWS($A$13:$A106))),INDEX($DC$13:$DC$212,SMALL(IF((County=$DD$13:$DD$212),MATCH(ROW($DD$13:$DD$212),ROW($DD$13:$DD$212)),""),ROWS($A$13:$A106)))),"")</f>
        <v/>
      </c>
      <c r="DK106" s="341" t="str">
        <f t="array" ref="DK106">IFERROR(IF($DK$11="Yes",INDEX($DF$13:$DF$2838,SMALL(IF((County=$DG$13:$DG$2838),MATCH(ROW($DG$13:$DG$2838),ROW($DG$13:$DG$2838)),""),ROWS($A$13:$A106))),""),"")</f>
        <v/>
      </c>
      <c r="DM106" s="1387">
        <v>33019</v>
      </c>
      <c r="DN106" s="338" t="s">
        <v>289</v>
      </c>
      <c r="DP106" s="236">
        <v>7.2</v>
      </c>
      <c r="DQ106" s="236" t="s">
        <v>331</v>
      </c>
      <c r="DV106" s="340">
        <v>4.0999999999999996</v>
      </c>
      <c r="DW106" s="340" t="s">
        <v>328</v>
      </c>
      <c r="DX106" s="1671"/>
      <c r="EE106" s="1175" t="s">
        <v>1923</v>
      </c>
      <c r="EF106" s="1248" t="s">
        <v>2625</v>
      </c>
      <c r="EG106" s="2749" t="str">
        <f t="shared" si="26"/>
        <v>Miami International Airport - Level 1</v>
      </c>
      <c r="EH106" s="2750"/>
      <c r="EI106" s="2750"/>
      <c r="EJ106" s="775" t="s">
        <v>646</v>
      </c>
      <c r="EK106" s="775" t="s">
        <v>280</v>
      </c>
    </row>
    <row r="107" spans="1:143" ht="14.65" customHeight="1">
      <c r="A107" s="339">
        <v>32508</v>
      </c>
      <c r="B107" s="338" t="s">
        <v>304</v>
      </c>
      <c r="E107" s="858"/>
      <c r="F107" s="338">
        <v>1002.03</v>
      </c>
      <c r="G107" s="338" t="s">
        <v>289</v>
      </c>
      <c r="L107" s="2481">
        <v>650.01</v>
      </c>
      <c r="M107" s="340" t="s">
        <v>288</v>
      </c>
      <c r="N107" s="1390"/>
      <c r="O107" s="2479"/>
      <c r="P107" s="2282"/>
      <c r="R107" s="341" t="str">
        <f t="array" ref="R107">IFERROR(IF($R$11="Metro",INDEX($F$13:$F$829,SMALL(IF((County=$G$13:$G$829),MATCH(ROW($G$13:$G$829),ROW($G$13:$G$829)),""),ROWS($A$13:A107))),INDEX($I$13:$I$44,SMALL(IF((County=$J$13:$J$44),MATCH(ROW($J$13:$J$44),ROW($J$13:$J$44)),""),ROWS($A$13:A107)))),"")</f>
        <v/>
      </c>
      <c r="T107" s="341" t="str">
        <f t="array" ref="T107">IFERROR(IF($T$11="Yes",INDEX($L$13:$L$2813,SMALL(IF((County=$M$13:$M$2813),MATCH(ROW($M$13:$M$2813),ROW($M$13:$M$2813)),""),ROWS($A$13:A107))),""),"")</f>
        <v/>
      </c>
      <c r="V107" s="2283" t="str">
        <f t="array" ref="V107">IFERROR(IF($T$11="Yes",INDEX($O$14:$O$2811,SMALL(IF((County=$P$14:$P$2811),MATCH(ROW($P$14:$P$2811),ROW($P$14:$P$2811)),""),ROWS($A$13:A107))),""),"")</f>
        <v/>
      </c>
      <c r="X107" s="339">
        <v>32925</v>
      </c>
      <c r="Y107" s="338" t="s">
        <v>288</v>
      </c>
      <c r="AA107" s="338">
        <v>10</v>
      </c>
      <c r="AB107" s="338" t="s">
        <v>302</v>
      </c>
      <c r="AG107" s="2297">
        <v>5</v>
      </c>
      <c r="AH107" s="2297" t="s">
        <v>304</v>
      </c>
      <c r="AI107" s="1390"/>
      <c r="AJ107" s="2282"/>
      <c r="AK107" s="2282"/>
      <c r="AL107" s="1037"/>
      <c r="AM107" s="339">
        <v>33609</v>
      </c>
      <c r="AN107" s="338" t="s">
        <v>316</v>
      </c>
      <c r="AQ107" s="858"/>
      <c r="AR107" s="338">
        <v>304</v>
      </c>
      <c r="AS107" s="338" t="s">
        <v>296</v>
      </c>
      <c r="AX107" s="340">
        <v>651.29999999999995</v>
      </c>
      <c r="AY107" s="340" t="s">
        <v>288</v>
      </c>
      <c r="BA107" s="341" t="str">
        <f t="array" ref="BA107">IFERROR(IF($BA$11="Metro",INDEX($AR$13:$AR$814,SMALL(IF((County=$AS$13:$AS$814),MATCH(ROW($AS$13:$AS$814),ROW($AS$13:$AS$814)),""),ROWS($A$13:$A107))),INDEX($AU$13:$AU$48,SMALL(IF((County=$AV$13:$AV$48),MATCH(ROW($AV$13:$AV$48),ROW($AV$13:$AV$48)),""),ROWS($A$13:$A107)))),"")</f>
        <v/>
      </c>
      <c r="BC107" s="341" t="str">
        <f t="array" ref="BC107">IFERROR(IF($BC$11="Yes",INDEX($AX$13:$AX$2950,SMALL(IF((County=$AY$13:$AY$2950),MATCH(ROW($AY$13:$AY$2950),ROW($AY$13:$AY$2950)),""),ROWS($A$13:$A107))),""),"")</f>
        <v/>
      </c>
      <c r="BE107" s="339">
        <v>33025</v>
      </c>
      <c r="BF107" s="338" t="s">
        <v>289</v>
      </c>
      <c r="BH107" s="338">
        <v>7.05</v>
      </c>
      <c r="BI107" s="338" t="s">
        <v>328</v>
      </c>
      <c r="BN107" s="340">
        <v>4.05</v>
      </c>
      <c r="BO107" s="340" t="s">
        <v>347</v>
      </c>
      <c r="BP107" s="1385"/>
      <c r="BQ107" s="1583">
        <v>33558</v>
      </c>
      <c r="BR107" s="236" t="s">
        <v>316</v>
      </c>
      <c r="BU107" s="858"/>
      <c r="BV107" s="338">
        <v>24</v>
      </c>
      <c r="BW107" s="338" t="s">
        <v>285</v>
      </c>
      <c r="BY107" s="236">
        <v>2107</v>
      </c>
      <c r="BZ107" s="236" t="s">
        <v>319</v>
      </c>
      <c r="CB107" s="340">
        <v>650.24</v>
      </c>
      <c r="CC107" s="340" t="s">
        <v>288</v>
      </c>
      <c r="CE107" s="341" t="str">
        <f t="array" ref="CE107">IFERROR(IF($CE$11="Metro",INDEX($BV$13:$BV$4972,SMALL(IF((County=$BW$13:$BW$4972),MATCH(ROW($BW$13:$BW$4972),ROW($BW$13:$BW$4972)),""),ROWS($A$13:$A107))),INDEX($BY$13:$BY$212,SMALL(IF((County=$BZ$13:$BZ$212),MATCH(ROW($BZ$13:$BZ$212),ROW($BZ$13:$BZ$212)),""),ROWS($A$13:$A107)))),"")</f>
        <v/>
      </c>
      <c r="CG107" s="341" t="str">
        <f t="array" ref="CG107">IFERROR(IF($CG$11="Yes",INDEX($CB$13:$CB$2950,SMALL(IF((County=$CC$13:$CC$2950),MATCH(ROW($CC$13:$CC$2950),ROW($CC$13:$CC$2950)),""),ROWS($A$13:$A107))),""),"")</f>
        <v/>
      </c>
      <c r="CI107" s="1387">
        <v>33018</v>
      </c>
      <c r="CJ107" s="338" t="s">
        <v>331</v>
      </c>
      <c r="CL107" s="236">
        <v>2.27</v>
      </c>
      <c r="CM107" s="236" t="s">
        <v>331</v>
      </c>
      <c r="CO107" s="236">
        <v>9510</v>
      </c>
      <c r="CP107" s="236" t="s">
        <v>345</v>
      </c>
      <c r="CR107" s="340">
        <v>4.07</v>
      </c>
      <c r="CS107" s="340" t="s">
        <v>340</v>
      </c>
      <c r="CT107" s="1384"/>
      <c r="CU107" s="341">
        <v>33594</v>
      </c>
      <c r="CV107" s="338" t="s">
        <v>316</v>
      </c>
      <c r="CZ107" s="1795">
        <v>911</v>
      </c>
      <c r="DA107" s="338" t="s">
        <v>289</v>
      </c>
      <c r="DF107" s="340">
        <v>650.01</v>
      </c>
      <c r="DG107" s="340" t="s">
        <v>288</v>
      </c>
      <c r="DI107" s="341" t="str">
        <f t="array" ref="DI107">IFERROR(IF($DI$11="Metro",INDEX($CZ$13:$CZ$929,SMALL(IF((County=$DA$13:$DA$929),MATCH(ROW($DA$13:$DA$929),ROW($DA$13:$DA$929)),""),ROWS($A$13:$A107))),INDEX($DC$13:$DC$212,SMALL(IF((County=$DD$13:$DD$212),MATCH(ROW($DD$13:$DD$212),ROW($DD$13:$DD$212)),""),ROWS($A$13:$A107)))),"")</f>
        <v/>
      </c>
      <c r="DK107" s="341" t="str">
        <f t="array" ref="DK107">IFERROR(IF($DK$11="Yes",INDEX($DF$13:$DF$2838,SMALL(IF((County=$DG$13:$DG$2838),MATCH(ROW($DG$13:$DG$2838),ROW($DG$13:$DG$2838)),""),ROWS($A$13:$A107))),""),"")</f>
        <v/>
      </c>
      <c r="DM107" s="1387">
        <v>33021</v>
      </c>
      <c r="DN107" s="338" t="s">
        <v>289</v>
      </c>
      <c r="DP107" s="236">
        <v>8</v>
      </c>
      <c r="DQ107" s="236" t="s">
        <v>323</v>
      </c>
      <c r="DV107" s="340">
        <v>4.1500000000000004</v>
      </c>
      <c r="DW107" s="340" t="s">
        <v>331</v>
      </c>
      <c r="DX107" s="1671"/>
      <c r="EE107" s="1175" t="s">
        <v>1924</v>
      </c>
      <c r="EF107" s="1248" t="s">
        <v>2625</v>
      </c>
      <c r="EG107" s="2749" t="str">
        <f t="shared" si="26"/>
        <v>Northside - Level 1</v>
      </c>
      <c r="EH107" s="2750"/>
      <c r="EI107" s="2750"/>
      <c r="EJ107" s="775" t="s">
        <v>647</v>
      </c>
      <c r="EK107" s="775" t="s">
        <v>436</v>
      </c>
    </row>
    <row r="108" spans="1:143" ht="14.65" customHeight="1">
      <c r="A108" s="339">
        <v>32137</v>
      </c>
      <c r="B108" s="338" t="s">
        <v>305</v>
      </c>
      <c r="E108" s="858"/>
      <c r="F108" s="338">
        <v>1004</v>
      </c>
      <c r="G108" s="338" t="s">
        <v>289</v>
      </c>
      <c r="L108" s="2481">
        <v>650.22</v>
      </c>
      <c r="M108" s="340" t="s">
        <v>288</v>
      </c>
      <c r="N108" s="1390"/>
      <c r="O108" s="2479"/>
      <c r="P108" s="2282"/>
      <c r="R108" s="341" t="str">
        <f t="array" ref="R108">IFERROR(IF($R$11="Metro",INDEX($F$13:$F$829,SMALL(IF((County=$G$13:$G$829),MATCH(ROW($G$13:$G$829),ROW($G$13:$G$829)),""),ROWS($A$13:A108))),INDEX($I$13:$I$44,SMALL(IF((County=$J$13:$J$44),MATCH(ROW($J$13:$J$44),ROW($J$13:$J$44)),""),ROWS($A$13:A108)))),"")</f>
        <v/>
      </c>
      <c r="T108" s="341" t="str">
        <f t="array" ref="T108">IFERROR(IF($T$11="Yes",INDEX($L$13:$L$2813,SMALL(IF((County=$M$13:$M$2813),MATCH(ROW($M$13:$M$2813),ROW($M$13:$M$2813)),""),ROWS($A$13:A108))),""),"")</f>
        <v/>
      </c>
      <c r="V108" s="2283" t="str">
        <f t="array" ref="V108">IFERROR(IF($T$11="Yes",INDEX($O$14:$O$2811,SMALL(IF((County=$P$14:$P$2811),MATCH(ROW($P$14:$P$2811),ROW($P$14:$P$2811)),""),ROWS($A$13:A108))),""),"")</f>
        <v/>
      </c>
      <c r="X108" s="339">
        <v>32934</v>
      </c>
      <c r="Y108" s="338" t="s">
        <v>288</v>
      </c>
      <c r="AA108" s="338">
        <v>10</v>
      </c>
      <c r="AB108" s="338" t="s">
        <v>347</v>
      </c>
      <c r="AG108" s="2297">
        <v>5</v>
      </c>
      <c r="AH108" s="2297" t="s">
        <v>316</v>
      </c>
      <c r="AI108" s="1390"/>
      <c r="AJ108" s="2282"/>
      <c r="AK108" s="2282"/>
      <c r="AL108" s="1037"/>
      <c r="AM108" s="339">
        <v>33611</v>
      </c>
      <c r="AN108" s="338" t="s">
        <v>316</v>
      </c>
      <c r="AQ108" s="858"/>
      <c r="AR108" s="338">
        <v>104.2</v>
      </c>
      <c r="AS108" s="338" t="s">
        <v>297</v>
      </c>
      <c r="AX108" s="340">
        <v>651.30999999999995</v>
      </c>
      <c r="AY108" s="340" t="s">
        <v>288</v>
      </c>
      <c r="BA108" s="341" t="str">
        <f t="array" ref="BA108">IFERROR(IF($BA$11="Metro",INDEX($AR$13:$AR$814,SMALL(IF((County=$AS$13:$AS$814),MATCH(ROW($AS$13:$AS$814),ROW($AS$13:$AS$814)),""),ROWS($A$13:$A108))),INDEX($AU$13:$AU$48,SMALL(IF((County=$AV$13:$AV$48),MATCH(ROW($AV$13:$AV$48),ROW($AV$13:$AV$48)),""),ROWS($A$13:$A108)))),"")</f>
        <v/>
      </c>
      <c r="BC108" s="341" t="str">
        <f t="array" ref="BC108">IFERROR(IF($BC$11="Yes",INDEX($AX$13:$AX$2950,SMALL(IF((County=$AY$13:$AY$2950),MATCH(ROW($AY$13:$AY$2950),ROW($AY$13:$AY$2950)),""),ROWS($A$13:$A108))),""),"")</f>
        <v/>
      </c>
      <c r="BE108" s="339">
        <v>33026</v>
      </c>
      <c r="BF108" s="338" t="s">
        <v>289</v>
      </c>
      <c r="BH108" s="338">
        <v>7.05</v>
      </c>
      <c r="BI108" s="338" t="s">
        <v>331</v>
      </c>
      <c r="BN108" s="340">
        <v>4.0599999999999996</v>
      </c>
      <c r="BO108" s="340" t="s">
        <v>328</v>
      </c>
      <c r="BP108" s="1385"/>
      <c r="BQ108" s="341">
        <v>33559</v>
      </c>
      <c r="BR108" s="338" t="s">
        <v>316</v>
      </c>
      <c r="BU108" s="858"/>
      <c r="BV108" s="338">
        <v>25</v>
      </c>
      <c r="BW108" s="338" t="s">
        <v>285</v>
      </c>
      <c r="BY108" s="236">
        <v>2108</v>
      </c>
      <c r="BZ108" s="236" t="s">
        <v>319</v>
      </c>
      <c r="CB108" s="340">
        <v>650.25</v>
      </c>
      <c r="CC108" s="340" t="s">
        <v>288</v>
      </c>
      <c r="CE108" s="341" t="str">
        <f t="array" ref="CE108">IFERROR(IF($CE$11="Metro",INDEX($BV$13:$BV$4972,SMALL(IF((County=$BW$13:$BW$4972),MATCH(ROW($BW$13:$BW$4972),ROW($BW$13:$BW$4972)),""),ROWS($A$13:$A108))),INDEX($BY$13:$BY$212,SMALL(IF((County=$BZ$13:$BZ$212),MATCH(ROW($BZ$13:$BZ$212),ROW($BZ$13:$BZ$212)),""),ROWS($A$13:$A108)))),"")</f>
        <v/>
      </c>
      <c r="CG108" s="341" t="str">
        <f t="array" ref="CG108">IFERROR(IF($CG$11="Yes",INDEX($CB$13:$CB$2950,SMALL(IF((County=$CC$13:$CC$2950),MATCH(ROW($CC$13:$CC$2950),ROW($CC$13:$CC$2950)),""),ROWS($A$13:$A108))),""),"")</f>
        <v/>
      </c>
      <c r="CI108" s="1387">
        <v>33019</v>
      </c>
      <c r="CJ108" s="338" t="s">
        <v>289</v>
      </c>
      <c r="CL108" s="236">
        <v>2.2799999999999998</v>
      </c>
      <c r="CM108" s="236" t="s">
        <v>331</v>
      </c>
      <c r="CO108" s="236">
        <v>9511</v>
      </c>
      <c r="CP108" s="236" t="s">
        <v>345</v>
      </c>
      <c r="CR108" s="340">
        <v>4.08</v>
      </c>
      <c r="CS108" s="340" t="s">
        <v>340</v>
      </c>
      <c r="CT108" s="1384"/>
      <c r="CU108" s="341">
        <v>33596</v>
      </c>
      <c r="CV108" s="338" t="s">
        <v>316</v>
      </c>
      <c r="CZ108" s="1795">
        <v>914</v>
      </c>
      <c r="DA108" s="338" t="s">
        <v>289</v>
      </c>
      <c r="DF108" s="340">
        <v>650.22</v>
      </c>
      <c r="DG108" s="340" t="s">
        <v>288</v>
      </c>
      <c r="DI108" s="341" t="str">
        <f t="array" ref="DI108">IFERROR(IF($DI$11="Metro",INDEX($CZ$13:$CZ$929,SMALL(IF((County=$DA$13:$DA$929),MATCH(ROW($DA$13:$DA$929),ROW($DA$13:$DA$929)),""),ROWS($A$13:$A108))),INDEX($DC$13:$DC$212,SMALL(IF((County=$DD$13:$DD$212),MATCH(ROW($DD$13:$DD$212),ROW($DD$13:$DD$212)),""),ROWS($A$13:$A108)))),"")</f>
        <v/>
      </c>
      <c r="DK108" s="341" t="str">
        <f t="array" ref="DK108">IFERROR(IF($DK$11="Yes",INDEX($DF$13:$DF$2838,SMALL(IF((County=$DG$13:$DG$2838),MATCH(ROW($DG$13:$DG$2838),ROW($DG$13:$DG$2838)),""),ROWS($A$13:$A108))),""),"")</f>
        <v/>
      </c>
      <c r="DM108" s="1387">
        <v>33025</v>
      </c>
      <c r="DN108" s="338" t="s">
        <v>289</v>
      </c>
      <c r="DP108" s="236">
        <v>8.0299999999999994</v>
      </c>
      <c r="DQ108" s="236" t="s">
        <v>285</v>
      </c>
      <c r="DV108" s="340">
        <v>5</v>
      </c>
      <c r="DW108" s="340" t="s">
        <v>276</v>
      </c>
      <c r="DX108" s="1671"/>
      <c r="EE108" s="1175" t="s">
        <v>337</v>
      </c>
      <c r="EF108" s="1248" t="s">
        <v>2625</v>
      </c>
      <c r="EG108" s="2749" t="str">
        <f t="shared" si="26"/>
        <v>Okeechobee - Level 1</v>
      </c>
      <c r="EH108" s="2750"/>
      <c r="EI108" s="2750"/>
    </row>
    <row r="109" spans="1:143" ht="14.65" customHeight="1">
      <c r="A109" s="339">
        <v>34609</v>
      </c>
      <c r="B109" s="338" t="s">
        <v>314</v>
      </c>
      <c r="E109" s="858"/>
      <c r="F109" s="338">
        <v>1005.01</v>
      </c>
      <c r="G109" s="338" t="s">
        <v>289</v>
      </c>
      <c r="L109" s="2481">
        <v>650.23</v>
      </c>
      <c r="M109" s="340" t="s">
        <v>288</v>
      </c>
      <c r="N109" s="1390"/>
      <c r="O109" s="2479"/>
      <c r="P109" s="2282"/>
      <c r="R109" s="341" t="str">
        <f t="array" ref="R109">IFERROR(IF($R$11="Metro",INDEX($F$13:$F$829,SMALL(IF((County=$G$13:$G$829),MATCH(ROW($G$13:$G$829),ROW($G$13:$G$829)),""),ROWS($A$13:A109))),INDEX($I$13:$I$44,SMALL(IF((County=$J$13:$J$44),MATCH(ROW($J$13:$J$44),ROW($J$13:$J$44)),""),ROWS($A$13:A109)))),"")</f>
        <v/>
      </c>
      <c r="T109" s="341" t="str">
        <f t="array" ref="T109">IFERROR(IF($T$11="Yes",INDEX($L$13:$L$2813,SMALL(IF((County=$M$13:$M$2813),MATCH(ROW($M$13:$M$2813),ROW($M$13:$M$2813)),""),ROWS($A$13:A109))),""),"")</f>
        <v/>
      </c>
      <c r="V109" s="2283" t="str">
        <f t="array" ref="V109">IFERROR(IF($T$11="Yes",INDEX($O$14:$O$2811,SMALL(IF((County=$P$14:$P$2811),MATCH(ROW($P$14:$P$2811),ROW($P$14:$P$2811)),""),ROWS($A$13:A109))),""),"")</f>
        <v/>
      </c>
      <c r="X109" s="339">
        <v>32937</v>
      </c>
      <c r="Y109" s="338" t="s">
        <v>288</v>
      </c>
      <c r="AA109" s="338">
        <v>10.01</v>
      </c>
      <c r="AB109" s="338" t="s">
        <v>316</v>
      </c>
      <c r="AG109" s="2297">
        <v>5.01</v>
      </c>
      <c r="AH109" s="2297" t="s">
        <v>347</v>
      </c>
      <c r="AI109" s="1390"/>
      <c r="AJ109" s="2282"/>
      <c r="AK109" s="2282"/>
      <c r="AL109" s="1037"/>
      <c r="AM109" s="339">
        <v>33615</v>
      </c>
      <c r="AN109" s="338" t="s">
        <v>316</v>
      </c>
      <c r="AQ109" s="858"/>
      <c r="AR109" s="338">
        <v>107.01</v>
      </c>
      <c r="AS109" s="338" t="s">
        <v>297</v>
      </c>
      <c r="AX109" s="340">
        <v>652.30999999999995</v>
      </c>
      <c r="AY109" s="340" t="s">
        <v>288</v>
      </c>
      <c r="BA109" s="341" t="str">
        <f t="array" ref="BA109">IFERROR(IF($BA$11="Metro",INDEX($AR$13:$AR$814,SMALL(IF((County=$AS$13:$AS$814),MATCH(ROW($AS$13:$AS$814),ROW($AS$13:$AS$814)),""),ROWS($A$13:$A109))),INDEX($AU$13:$AU$48,SMALL(IF((County=$AV$13:$AV$48),MATCH(ROW($AV$13:$AV$48),ROW($AV$13:$AV$48)),""),ROWS($A$13:$A109)))),"")</f>
        <v/>
      </c>
      <c r="BC109" s="341" t="str">
        <f t="array" ref="BC109">IFERROR(IF($BC$11="Yes",INDEX($AX$13:$AX$2950,SMALL(IF((County=$AY$13:$AY$2950),MATCH(ROW($AY$13:$AY$2950),ROW($AY$13:$AY$2950)),""),ROWS($A$13:$A109))),""),"")</f>
        <v/>
      </c>
      <c r="BE109" s="339">
        <v>33027</v>
      </c>
      <c r="BF109" s="338" t="s">
        <v>289</v>
      </c>
      <c r="BH109" s="338">
        <v>7.1</v>
      </c>
      <c r="BI109" s="338" t="s">
        <v>331</v>
      </c>
      <c r="BN109" s="340">
        <v>4.0599999999999996</v>
      </c>
      <c r="BO109" s="340" t="s">
        <v>340</v>
      </c>
      <c r="BP109" s="1385"/>
      <c r="BQ109" s="1583">
        <v>33569</v>
      </c>
      <c r="BR109" s="236" t="s">
        <v>316</v>
      </c>
      <c r="BU109" s="858"/>
      <c r="BV109" s="338">
        <v>26.04</v>
      </c>
      <c r="BW109" s="338" t="s">
        <v>285</v>
      </c>
      <c r="BY109" s="236">
        <v>2109.0100000000002</v>
      </c>
      <c r="BZ109" s="236" t="s">
        <v>319</v>
      </c>
      <c r="CB109" s="340">
        <v>651.27</v>
      </c>
      <c r="CC109" s="340" t="s">
        <v>288</v>
      </c>
      <c r="CE109" s="341" t="str">
        <f t="array" ref="CE109">IFERROR(IF($CE$11="Metro",INDEX($BV$13:$BV$4972,SMALL(IF((County=$BW$13:$BW$4972),MATCH(ROW($BW$13:$BW$4972),ROW($BW$13:$BW$4972)),""),ROWS($A$13:$A109))),INDEX($BY$13:$BY$212,SMALL(IF((County=$BZ$13:$BZ$212),MATCH(ROW($BZ$13:$BZ$212),ROW($BZ$13:$BZ$212)),""),ROWS($A$13:$A109)))),"")</f>
        <v/>
      </c>
      <c r="CG109" s="341" t="str">
        <f t="array" ref="CG109">IFERROR(IF($CG$11="Yes",INDEX($CB$13:$CB$2950,SMALL(IF((County=$CC$13:$CC$2950),MATCH(ROW($CC$13:$CC$2950),ROW($CC$13:$CC$2950)),""),ROWS($A$13:$A109))),""),"")</f>
        <v/>
      </c>
      <c r="CI109" s="1387">
        <v>33021</v>
      </c>
      <c r="CJ109" s="338" t="s">
        <v>289</v>
      </c>
      <c r="CL109" s="236">
        <v>3</v>
      </c>
      <c r="CM109" s="236" t="s">
        <v>302</v>
      </c>
      <c r="CO109" s="236">
        <v>9512</v>
      </c>
      <c r="CP109" s="236" t="s">
        <v>345</v>
      </c>
      <c r="CR109" s="340">
        <v>4.09</v>
      </c>
      <c r="CS109" s="340" t="s">
        <v>328</v>
      </c>
      <c r="CT109" s="1384"/>
      <c r="CU109" s="341">
        <v>33602</v>
      </c>
      <c r="CV109" s="338" t="s">
        <v>316</v>
      </c>
      <c r="CZ109" s="1795">
        <v>916.01</v>
      </c>
      <c r="DA109" s="338" t="s">
        <v>289</v>
      </c>
      <c r="DF109" s="340">
        <v>650.23</v>
      </c>
      <c r="DG109" s="340" t="s">
        <v>288</v>
      </c>
      <c r="DI109" s="341" t="str">
        <f t="array" ref="DI109">IFERROR(IF($DI$11="Metro",INDEX($CZ$13:$CZ$929,SMALL(IF((County=$DA$13:$DA$929),MATCH(ROW($DA$13:$DA$929),ROW($DA$13:$DA$929)),""),ROWS($A$13:$A109))),INDEX($DC$13:$DC$212,SMALL(IF((County=$DD$13:$DD$212),MATCH(ROW($DD$13:$DD$212),ROW($DD$13:$DD$212)),""),ROWS($A$13:$A109)))),"")</f>
        <v/>
      </c>
      <c r="DK109" s="341" t="str">
        <f t="array" ref="DK109">IFERROR(IF($DK$11="Yes",INDEX($DF$13:$DF$2838,SMALL(IF((County=$DG$13:$DG$2838),MATCH(ROW($DG$13:$DG$2838),ROW($DG$13:$DG$2838)),""),ROWS($A$13:$A109))),""),"")</f>
        <v/>
      </c>
      <c r="DM109" s="1387">
        <v>33026</v>
      </c>
      <c r="DN109" s="338" t="s">
        <v>289</v>
      </c>
      <c r="DP109" s="236">
        <v>8.0399999999999991</v>
      </c>
      <c r="DQ109" s="236" t="s">
        <v>331</v>
      </c>
      <c r="DV109" s="340">
        <v>5</v>
      </c>
      <c r="DW109" s="340" t="s">
        <v>285</v>
      </c>
      <c r="DX109" s="1671"/>
      <c r="EE109" s="1175" t="s">
        <v>1925</v>
      </c>
      <c r="EF109" s="1248" t="s">
        <v>2625</v>
      </c>
      <c r="EG109" s="2749" t="str">
        <f t="shared" si="26"/>
        <v>Palmetto - Level 1</v>
      </c>
      <c r="EH109" s="2750"/>
      <c r="EI109" s="2750"/>
      <c r="EJ109" s="773" t="s">
        <v>641</v>
      </c>
      <c r="EK109" s="772" t="s">
        <v>639</v>
      </c>
    </row>
    <row r="110" spans="1:143" ht="14.65" customHeight="1">
      <c r="A110" s="339">
        <v>33872</v>
      </c>
      <c r="B110" s="338" t="s">
        <v>315</v>
      </c>
      <c r="E110" s="858"/>
      <c r="F110" s="338">
        <v>1005.02</v>
      </c>
      <c r="G110" s="338" t="s">
        <v>289</v>
      </c>
      <c r="L110" s="2481">
        <v>650.24</v>
      </c>
      <c r="M110" s="340" t="s">
        <v>288</v>
      </c>
      <c r="N110" s="1390"/>
      <c r="O110" s="2479"/>
      <c r="P110" s="2282"/>
      <c r="R110" s="341" t="str">
        <f t="array" ref="R110">IFERROR(IF($R$11="Metro",INDEX($F$13:$F$829,SMALL(IF((County=$G$13:$G$829),MATCH(ROW($G$13:$G$829),ROW($G$13:$G$829)),""),ROWS($A$13:A110))),INDEX($I$13:$I$44,SMALL(IF((County=$J$13:$J$44),MATCH(ROW($J$13:$J$44),ROW($J$13:$J$44)),""),ROWS($A$13:A110)))),"")</f>
        <v/>
      </c>
      <c r="T110" s="341" t="str">
        <f t="array" ref="T110">IFERROR(IF($T$11="Yes",INDEX($L$13:$L$2813,SMALL(IF((County=$M$13:$M$2813),MATCH(ROW($M$13:$M$2813),ROW($M$13:$M$2813)),""),ROWS($A$13:A110))),""),"")</f>
        <v/>
      </c>
      <c r="V110" s="2283" t="str">
        <f t="array" ref="V110">IFERROR(IF($T$11="Yes",INDEX($O$14:$O$2811,SMALL(IF((County=$P$14:$P$2811),MATCH(ROW($P$14:$P$2811),ROW($P$14:$P$2811)),""),ROWS($A$13:A110))),""),"")</f>
        <v/>
      </c>
      <c r="X110" s="339">
        <v>32940</v>
      </c>
      <c r="Y110" s="338" t="s">
        <v>288</v>
      </c>
      <c r="AA110" s="338">
        <v>10.01</v>
      </c>
      <c r="AB110" s="338" t="s">
        <v>324</v>
      </c>
      <c r="AG110" s="2297">
        <v>5.0199999999999996</v>
      </c>
      <c r="AH110" s="2297" t="s">
        <v>330</v>
      </c>
      <c r="AI110" s="1390"/>
      <c r="AJ110" s="2282"/>
      <c r="AK110" s="2282"/>
      <c r="AL110" s="1037"/>
      <c r="AM110" s="339">
        <v>33616</v>
      </c>
      <c r="AN110" s="338" t="s">
        <v>316</v>
      </c>
      <c r="AQ110" s="858"/>
      <c r="AR110" s="338">
        <v>111.03</v>
      </c>
      <c r="AS110" s="338" t="s">
        <v>297</v>
      </c>
      <c r="AX110" s="340">
        <v>652.36</v>
      </c>
      <c r="AY110" s="340" t="s">
        <v>288</v>
      </c>
      <c r="BA110" s="341" t="str">
        <f t="array" ref="BA110">IFERROR(IF($BA$11="Metro",INDEX($AR$13:$AR$814,SMALL(IF((County=$AS$13:$AS$814),MATCH(ROW($AS$13:$AS$814),ROW($AS$13:$AS$814)),""),ROWS($A$13:$A110))),INDEX($AU$13:$AU$48,SMALL(IF((County=$AV$13:$AV$48),MATCH(ROW($AV$13:$AV$48),ROW($AV$13:$AV$48)),""),ROWS($A$13:$A110)))),"")</f>
        <v/>
      </c>
      <c r="BC110" s="341" t="str">
        <f t="array" ref="BC110">IFERROR(IF($BC$11="Yes",INDEX($AX$13:$AX$2950,SMALL(IF((County=$AY$13:$AY$2950),MATCH(ROW($AY$13:$AY$2950),ROW($AY$13:$AY$2950)),""),ROWS($A$13:$A110))),""),"")</f>
        <v/>
      </c>
      <c r="BE110" s="339">
        <v>33028</v>
      </c>
      <c r="BF110" s="338" t="s">
        <v>289</v>
      </c>
      <c r="BH110" s="338">
        <v>7.11</v>
      </c>
      <c r="BI110" s="338" t="s">
        <v>331</v>
      </c>
      <c r="BN110" s="340">
        <v>4.07</v>
      </c>
      <c r="BO110" s="340" t="s">
        <v>328</v>
      </c>
      <c r="BP110" s="1385"/>
      <c r="BQ110" s="341">
        <v>33572</v>
      </c>
      <c r="BR110" s="338" t="s">
        <v>316</v>
      </c>
      <c r="BU110" s="858"/>
      <c r="BV110" s="338">
        <v>26.05</v>
      </c>
      <c r="BW110" s="338" t="s">
        <v>285</v>
      </c>
      <c r="BY110" s="236">
        <v>2109.02</v>
      </c>
      <c r="BZ110" s="236" t="s">
        <v>319</v>
      </c>
      <c r="CB110" s="340">
        <v>651.29</v>
      </c>
      <c r="CC110" s="340" t="s">
        <v>288</v>
      </c>
      <c r="CE110" s="341" t="str">
        <f t="array" ref="CE110">IFERROR(IF($CE$11="Metro",INDEX($BV$13:$BV$4972,SMALL(IF((County=$BW$13:$BW$4972),MATCH(ROW($BW$13:$BW$4972),ROW($BW$13:$BW$4972)),""),ROWS($A$13:$A110))),INDEX($BY$13:$BY$212,SMALL(IF((County=$BZ$13:$BZ$212),MATCH(ROW($BZ$13:$BZ$212),ROW($BZ$13:$BZ$212)),""),ROWS($A$13:$A110)))),"")</f>
        <v/>
      </c>
      <c r="CG110" s="341" t="str">
        <f t="array" ref="CG110">IFERROR(IF($CG$11="Yes",INDEX($CB$13:$CB$2950,SMALL(IF((County=$CC$13:$CC$2950),MATCH(ROW($CC$13:$CC$2950),ROW($CC$13:$CC$2950)),""),ROWS($A$13:$A110))),""),"")</f>
        <v/>
      </c>
      <c r="CI110" s="1387">
        <v>33024</v>
      </c>
      <c r="CJ110" s="338" t="s">
        <v>289</v>
      </c>
      <c r="CL110" s="236">
        <v>3</v>
      </c>
      <c r="CM110" s="236" t="s">
        <v>304</v>
      </c>
      <c r="CO110" s="236">
        <v>9513</v>
      </c>
      <c r="CP110" s="236" t="s">
        <v>345</v>
      </c>
      <c r="CR110" s="340">
        <v>4.0999999999999996</v>
      </c>
      <c r="CS110" s="340" t="s">
        <v>340</v>
      </c>
      <c r="CT110" s="1384"/>
      <c r="CU110" s="341">
        <v>33606</v>
      </c>
      <c r="CV110" s="338" t="s">
        <v>316</v>
      </c>
      <c r="CZ110" s="1795">
        <v>1001.04</v>
      </c>
      <c r="DA110" s="338" t="s">
        <v>289</v>
      </c>
      <c r="DF110" s="340">
        <v>650.24</v>
      </c>
      <c r="DG110" s="340" t="s">
        <v>288</v>
      </c>
      <c r="DI110" s="341" t="str">
        <f t="array" ref="DI110">IFERROR(IF($DI$11="Metro",INDEX($CZ$13:$CZ$929,SMALL(IF((County=$DA$13:$DA$929),MATCH(ROW($DA$13:$DA$929),ROW($DA$13:$DA$929)),""),ROWS($A$13:$A110))),INDEX($DC$13:$DC$212,SMALL(IF((County=$DD$13:$DD$212),MATCH(ROW($DD$13:$DD$212),ROW($DD$13:$DD$212)),""),ROWS($A$13:$A110)))),"")</f>
        <v/>
      </c>
      <c r="DK110" s="341" t="str">
        <f t="array" ref="DK110">IFERROR(IF($DK$11="Yes",INDEX($DF$13:$DF$2838,SMALL(IF((County=$DG$13:$DG$2838),MATCH(ROW($DG$13:$DG$2838),ROW($DG$13:$DG$2838)),""),ROWS($A$13:$A110))),""),"")</f>
        <v/>
      </c>
      <c r="DM110" s="1387">
        <v>33027</v>
      </c>
      <c r="DN110" s="338" t="s">
        <v>289</v>
      </c>
      <c r="DP110" s="236">
        <v>8.0500000000000007</v>
      </c>
      <c r="DQ110" s="236" t="s">
        <v>331</v>
      </c>
      <c r="DV110" s="340">
        <v>5</v>
      </c>
      <c r="DW110" s="340" t="s">
        <v>297</v>
      </c>
      <c r="DX110" s="1671"/>
      <c r="EE110" s="1175" t="s">
        <v>1926</v>
      </c>
      <c r="EF110" s="1248" t="s">
        <v>2625</v>
      </c>
      <c r="EG110" s="2749" t="str">
        <f t="shared" si="26"/>
        <v>Santa Clara - Level 1</v>
      </c>
      <c r="EH110" s="2750"/>
      <c r="EI110" s="2750"/>
      <c r="EJ110" s="775" t="s">
        <v>638</v>
      </c>
      <c r="EK110" s="775" t="s">
        <v>638</v>
      </c>
    </row>
    <row r="111" spans="1:143" ht="14.65" customHeight="1">
      <c r="A111" s="339">
        <v>33511</v>
      </c>
      <c r="B111" s="338" t="s">
        <v>316</v>
      </c>
      <c r="E111" s="858"/>
      <c r="F111" s="338">
        <v>1007</v>
      </c>
      <c r="G111" s="338" t="s">
        <v>289</v>
      </c>
      <c r="L111" s="2481">
        <v>651.26</v>
      </c>
      <c r="M111" s="340" t="s">
        <v>288</v>
      </c>
      <c r="N111" s="1390"/>
      <c r="O111" s="2479"/>
      <c r="P111" s="2282"/>
      <c r="R111" s="341" t="str">
        <f t="array" ref="R111">IFERROR(IF($R$11="Metro",INDEX($F$13:$F$829,SMALL(IF((County=$G$13:$G$829),MATCH(ROW($G$13:$G$829),ROW($G$13:$G$829)),""),ROWS($A$13:A111))),INDEX($I$13:$I$44,SMALL(IF((County=$J$13:$J$44),MATCH(ROW($J$13:$J$44),ROW($J$13:$J$44)),""),ROWS($A$13:A111)))),"")</f>
        <v/>
      </c>
      <c r="T111" s="341" t="str">
        <f t="array" ref="T111">IFERROR(IF($T$11="Yes",INDEX($L$13:$L$2813,SMALL(IF((County=$M$13:$M$2813),MATCH(ROW($M$13:$M$2813),ROW($M$13:$M$2813)),""),ROWS($A$13:A111))),""),"")</f>
        <v/>
      </c>
      <c r="V111" s="2283" t="str">
        <f t="array" ref="V111">IFERROR(IF($T$11="Yes",INDEX($O$14:$O$2811,SMALL(IF((County=$P$14:$P$2811),MATCH(ROW($P$14:$P$2811),ROW($P$14:$P$2811)),""),ROWS($A$13:A111))),""),"")</f>
        <v/>
      </c>
      <c r="X111" s="339">
        <v>32950</v>
      </c>
      <c r="Y111" s="338" t="s">
        <v>288</v>
      </c>
      <c r="AA111" s="338">
        <v>10.02</v>
      </c>
      <c r="AB111" s="338" t="s">
        <v>316</v>
      </c>
      <c r="AG111" s="2297">
        <v>5.04</v>
      </c>
      <c r="AH111" s="2297" t="s">
        <v>328</v>
      </c>
      <c r="AI111" s="1390"/>
      <c r="AJ111" s="2282"/>
      <c r="AK111" s="2282"/>
      <c r="AL111" s="1037"/>
      <c r="AM111" s="339">
        <v>33621</v>
      </c>
      <c r="AN111" s="338" t="s">
        <v>316</v>
      </c>
      <c r="AQ111" s="858"/>
      <c r="AR111" s="338">
        <v>112.04</v>
      </c>
      <c r="AS111" s="338" t="s">
        <v>297</v>
      </c>
      <c r="AX111" s="340">
        <v>661.01</v>
      </c>
      <c r="AY111" s="340" t="s">
        <v>288</v>
      </c>
      <c r="BA111" s="341" t="str">
        <f t="array" ref="BA111">IFERROR(IF($BA$11="Metro",INDEX($AR$13:$AR$814,SMALL(IF((County=$AS$13:$AS$814),MATCH(ROW($AS$13:$AS$814),ROW($AS$13:$AS$814)),""),ROWS($A$13:$A111))),INDEX($AU$13:$AU$48,SMALL(IF((County=$AV$13:$AV$48),MATCH(ROW($AV$13:$AV$48),ROW($AV$13:$AV$48)),""),ROWS($A$13:$A111)))),"")</f>
        <v/>
      </c>
      <c r="BC111" s="341" t="str">
        <f t="array" ref="BC111">IFERROR(IF($BC$11="Yes",INDEX($AX$13:$AX$2950,SMALL(IF((County=$AY$13:$AY$2950),MATCH(ROW($AY$13:$AY$2950),ROW($AY$13:$AY$2950)),""),ROWS($A$13:$A111))),""),"")</f>
        <v/>
      </c>
      <c r="BE111" s="339">
        <v>33029</v>
      </c>
      <c r="BF111" s="338" t="s">
        <v>289</v>
      </c>
      <c r="BH111" s="338">
        <v>7.12</v>
      </c>
      <c r="BI111" s="338" t="s">
        <v>331</v>
      </c>
      <c r="BN111" s="340">
        <v>4.07</v>
      </c>
      <c r="BO111" s="340" t="s">
        <v>340</v>
      </c>
      <c r="BP111" s="1385"/>
      <c r="BQ111" s="341">
        <v>33573</v>
      </c>
      <c r="BR111" s="338" t="s">
        <v>316</v>
      </c>
      <c r="BU111" s="858"/>
      <c r="BV111" s="338">
        <v>26.06</v>
      </c>
      <c r="BW111" s="338" t="s">
        <v>285</v>
      </c>
      <c r="BY111" s="236">
        <v>2110</v>
      </c>
      <c r="BZ111" s="236" t="s">
        <v>319</v>
      </c>
      <c r="CB111" s="340">
        <v>651.30999999999995</v>
      </c>
      <c r="CC111" s="340" t="s">
        <v>288</v>
      </c>
      <c r="CE111" s="341" t="str">
        <f t="array" ref="CE111">IFERROR(IF($CE$11="Metro",INDEX($BV$13:$BV$4972,SMALL(IF((County=$BW$13:$BW$4972),MATCH(ROW($BW$13:$BW$4972),ROW($BW$13:$BW$4972)),""),ROWS($A$13:$A111))),INDEX($BY$13:$BY$212,SMALL(IF((County=$BZ$13:$BZ$212),MATCH(ROW($BZ$13:$BZ$212),ROW($BZ$13:$BZ$212)),""),ROWS($A$13:$A111)))),"")</f>
        <v/>
      </c>
      <c r="CG111" s="341" t="str">
        <f t="array" ref="CG111">IFERROR(IF($CG$11="Yes",INDEX($CB$13:$CB$2950,SMALL(IF((County=$CC$13:$CC$2950),MATCH(ROW($CC$13:$CC$2950),ROW($CC$13:$CC$2950)),""),ROWS($A$13:$A111))),""),"")</f>
        <v/>
      </c>
      <c r="CI111" s="1387">
        <v>33025</v>
      </c>
      <c r="CJ111" s="338" t="s">
        <v>289</v>
      </c>
      <c r="CL111" s="236">
        <v>3</v>
      </c>
      <c r="CM111" s="236" t="s">
        <v>330</v>
      </c>
      <c r="CO111" s="236">
        <v>9514.01</v>
      </c>
      <c r="CP111" s="236" t="s">
        <v>345</v>
      </c>
      <c r="CR111" s="340">
        <v>4.1500000000000004</v>
      </c>
      <c r="CS111" s="340" t="s">
        <v>331</v>
      </c>
      <c r="CT111" s="1384"/>
      <c r="CU111" s="341">
        <v>33607</v>
      </c>
      <c r="CV111" s="338" t="s">
        <v>316</v>
      </c>
      <c r="CZ111" s="1795">
        <v>1002.01</v>
      </c>
      <c r="DA111" s="338" t="s">
        <v>289</v>
      </c>
      <c r="DF111" s="340">
        <v>650.25</v>
      </c>
      <c r="DG111" s="340" t="s">
        <v>288</v>
      </c>
      <c r="DI111" s="341" t="str">
        <f t="array" ref="DI111">IFERROR(IF($DI$11="Metro",INDEX($CZ$13:$CZ$929,SMALL(IF((County=$DA$13:$DA$929),MATCH(ROW($DA$13:$DA$929),ROW($DA$13:$DA$929)),""),ROWS($A$13:$A111))),INDEX($DC$13:$DC$212,SMALL(IF((County=$DD$13:$DD$212),MATCH(ROW($DD$13:$DD$212),ROW($DD$13:$DD$212)),""),ROWS($A$13:$A111)))),"")</f>
        <v/>
      </c>
      <c r="DK111" s="341" t="str">
        <f t="array" ref="DK111">IFERROR(IF($DK$11="Yes",INDEX($DF$13:$DF$2838,SMALL(IF((County=$DG$13:$DG$2838),MATCH(ROW($DG$13:$DG$2838),ROW($DG$13:$DG$2838)),""),ROWS($A$13:$A111))),""),"")</f>
        <v/>
      </c>
      <c r="DM111" s="1387">
        <v>33028</v>
      </c>
      <c r="DN111" s="338" t="s">
        <v>289</v>
      </c>
      <c r="DP111" s="236">
        <v>8.06</v>
      </c>
      <c r="DQ111" s="236" t="s">
        <v>276</v>
      </c>
      <c r="DV111" s="340">
        <v>5</v>
      </c>
      <c r="DW111" s="340" t="s">
        <v>304</v>
      </c>
      <c r="DX111" s="1671"/>
      <c r="EE111" s="1175" t="s">
        <v>1927</v>
      </c>
      <c r="EF111" s="1248" t="s">
        <v>2625</v>
      </c>
      <c r="EG111" s="2749" t="str">
        <f t="shared" si="26"/>
        <v>South Miami - Level 1</v>
      </c>
      <c r="EH111" s="2750"/>
      <c r="EI111" s="2750"/>
      <c r="EJ111" s="775" t="s">
        <v>642</v>
      </c>
      <c r="EK111" s="775" t="s">
        <v>280</v>
      </c>
    </row>
    <row r="112" spans="1:143" ht="14.65" customHeight="1">
      <c r="A112" s="339">
        <v>33547</v>
      </c>
      <c r="B112" s="338" t="s">
        <v>316</v>
      </c>
      <c r="E112" s="858"/>
      <c r="F112" s="338">
        <v>1008.01</v>
      </c>
      <c r="G112" s="338" t="s">
        <v>289</v>
      </c>
      <c r="L112" s="2481">
        <v>651.27</v>
      </c>
      <c r="M112" s="340" t="s">
        <v>288</v>
      </c>
      <c r="N112" s="1390"/>
      <c r="O112" s="2479"/>
      <c r="P112" s="2282"/>
      <c r="R112" s="341" t="str">
        <f t="array" ref="R112">IFERROR(IF($R$11="Metro",INDEX($F$13:$F$829,SMALL(IF((County=$G$13:$G$829),MATCH(ROW($G$13:$G$829),ROW($G$13:$G$829)),""),ROWS($A$13:A112))),INDEX($I$13:$I$44,SMALL(IF((County=$J$13:$J$44),MATCH(ROW($J$13:$J$44),ROW($J$13:$J$44)),""),ROWS($A$13:A112)))),"")</f>
        <v/>
      </c>
      <c r="T112" s="341" t="str">
        <f t="array" ref="T112">IFERROR(IF($T$11="Yes",INDEX($L$13:$L$2813,SMALL(IF((County=$M$13:$M$2813),MATCH(ROW($M$13:$M$2813),ROW($M$13:$M$2813)),""),ROWS($A$13:A112))),""),"")</f>
        <v/>
      </c>
      <c r="V112" s="2283" t="str">
        <f t="array" ref="V112">IFERROR(IF($T$11="Yes",INDEX($O$14:$O$2811,SMALL(IF((County=$P$14:$P$2811),MATCH(ROW($P$14:$P$2811),ROW($P$14:$P$2811)),""),ROWS($A$13:A112))),""),"")</f>
        <v/>
      </c>
      <c r="X112" s="339">
        <v>32951</v>
      </c>
      <c r="Y112" s="338" t="s">
        <v>288</v>
      </c>
      <c r="AA112" s="338">
        <v>10.02</v>
      </c>
      <c r="AB112" s="338" t="s">
        <v>323</v>
      </c>
      <c r="AG112" s="2297">
        <v>5.05</v>
      </c>
      <c r="AH112" s="2297" t="s">
        <v>340</v>
      </c>
      <c r="AI112" s="1390"/>
      <c r="AJ112" s="2282"/>
      <c r="AK112" s="2282"/>
      <c r="AL112" s="1037"/>
      <c r="AM112" s="339">
        <v>33624</v>
      </c>
      <c r="AN112" s="338" t="s">
        <v>316</v>
      </c>
      <c r="AQ112" s="858"/>
      <c r="AR112" s="338">
        <v>112.05</v>
      </c>
      <c r="AS112" s="338" t="s">
        <v>297</v>
      </c>
      <c r="AX112" s="340">
        <v>661.03</v>
      </c>
      <c r="AY112" s="340" t="s">
        <v>288</v>
      </c>
      <c r="BA112" s="341" t="str">
        <f t="array" ref="BA112">IFERROR(IF($BA$11="Metro",INDEX($AR$13:$AR$814,SMALL(IF((County=$AS$13:$AS$814),MATCH(ROW($AS$13:$AS$814),ROW($AS$13:$AS$814)),""),ROWS($A$13:$A112))),INDEX($AU$13:$AU$48,SMALL(IF((County=$AV$13:$AV$48),MATCH(ROW($AV$13:$AV$48),ROW($AV$13:$AV$48)),""),ROWS($A$13:$A112)))),"")</f>
        <v/>
      </c>
      <c r="BC112" s="341" t="str">
        <f t="array" ref="BC112">IFERROR(IF($BC$11="Yes",INDEX($AX$13:$AX$2950,SMALL(IF((County=$AY$13:$AY$2950),MATCH(ROW($AY$13:$AY$2950),ROW($AY$13:$AY$2950)),""),ROWS($A$13:$A112))),""),"")</f>
        <v/>
      </c>
      <c r="BE112" s="339">
        <v>33035</v>
      </c>
      <c r="BF112" s="338" t="s">
        <v>331</v>
      </c>
      <c r="BH112" s="338">
        <v>7.13</v>
      </c>
      <c r="BI112" s="338" t="s">
        <v>331</v>
      </c>
      <c r="BN112" s="340">
        <v>4.08</v>
      </c>
      <c r="BO112" s="340" t="s">
        <v>340</v>
      </c>
      <c r="BP112" s="1385"/>
      <c r="BQ112" s="341">
        <v>33578</v>
      </c>
      <c r="BR112" s="338" t="s">
        <v>316</v>
      </c>
      <c r="BU112" s="858"/>
      <c r="BV112" s="338">
        <v>26.07</v>
      </c>
      <c r="BW112" s="338" t="s">
        <v>285</v>
      </c>
      <c r="BY112" s="236">
        <v>2111</v>
      </c>
      <c r="BZ112" s="236" t="s">
        <v>319</v>
      </c>
      <c r="CB112" s="340">
        <v>652.30999999999995</v>
      </c>
      <c r="CC112" s="340" t="s">
        <v>288</v>
      </c>
      <c r="CE112" s="341" t="str">
        <f t="array" ref="CE112">IFERROR(IF($CE$11="Metro",INDEX($BV$13:$BV$4972,SMALL(IF((County=$BW$13:$BW$4972),MATCH(ROW($BW$13:$BW$4972),ROW($BW$13:$BW$4972)),""),ROWS($A$13:$A112))),INDEX($BY$13:$BY$212,SMALL(IF((County=$BZ$13:$BZ$212),MATCH(ROW($BZ$13:$BZ$212),ROW($BZ$13:$BZ$212)),""),ROWS($A$13:$A112)))),"")</f>
        <v/>
      </c>
      <c r="CG112" s="341" t="str">
        <f t="array" ref="CG112">IFERROR(IF($CG$11="Yes",INDEX($CB$13:$CB$2950,SMALL(IF((County=$CC$13:$CC$2950),MATCH(ROW($CC$13:$CC$2950),ROW($CC$13:$CC$2950)),""),ROWS($A$13:$A112))),""),"")</f>
        <v/>
      </c>
      <c r="CI112" s="1387">
        <v>33026</v>
      </c>
      <c r="CJ112" s="338" t="s">
        <v>289</v>
      </c>
      <c r="CL112" s="236">
        <v>3</v>
      </c>
      <c r="CM112" s="236" t="s">
        <v>347</v>
      </c>
      <c r="CO112" s="236">
        <v>9514.02</v>
      </c>
      <c r="CP112" s="236" t="s">
        <v>345</v>
      </c>
      <c r="CR112" s="340">
        <v>4.1900000000000004</v>
      </c>
      <c r="CS112" s="340" t="s">
        <v>331</v>
      </c>
      <c r="CT112" s="1384"/>
      <c r="CU112" s="341">
        <v>33609</v>
      </c>
      <c r="CV112" s="338" t="s">
        <v>316</v>
      </c>
      <c r="CZ112" s="1795">
        <v>1002.03</v>
      </c>
      <c r="DA112" s="338" t="s">
        <v>289</v>
      </c>
      <c r="DF112" s="340">
        <v>651.27</v>
      </c>
      <c r="DG112" s="340" t="s">
        <v>288</v>
      </c>
      <c r="DI112" s="341" t="str">
        <f t="array" ref="DI112">IFERROR(IF($DI$11="Metro",INDEX($CZ$13:$CZ$929,SMALL(IF((County=$DA$13:$DA$929),MATCH(ROW($DA$13:$DA$929),ROW($DA$13:$DA$929)),""),ROWS($A$13:$A112))),INDEX($DC$13:$DC$212,SMALL(IF((County=$DD$13:$DD$212),MATCH(ROW($DD$13:$DD$212),ROW($DD$13:$DD$212)),""),ROWS($A$13:$A112)))),"")</f>
        <v/>
      </c>
      <c r="DK112" s="341" t="str">
        <f t="array" ref="DK112">IFERROR(IF($DK$11="Yes",INDEX($DF$13:$DF$2838,SMALL(IF((County=$DG$13:$DG$2838),MATCH(ROW($DG$13:$DG$2838),ROW($DG$13:$DG$2838)),""),ROWS($A$13:$A112))),""),"")</f>
        <v/>
      </c>
      <c r="DM112" s="1387">
        <v>33029</v>
      </c>
      <c r="DN112" s="338" t="s">
        <v>289</v>
      </c>
      <c r="DP112" s="236">
        <v>8.06</v>
      </c>
      <c r="DQ112" s="236" t="s">
        <v>331</v>
      </c>
      <c r="DV112" s="340">
        <v>5.01</v>
      </c>
      <c r="DW112" s="340" t="s">
        <v>347</v>
      </c>
      <c r="DX112" s="1671"/>
      <c r="EB112" s="614"/>
      <c r="EC112" s="614"/>
      <c r="ED112" s="614"/>
      <c r="EE112" s="1175" t="s">
        <v>1928</v>
      </c>
      <c r="EF112" s="1248" t="s">
        <v>2625</v>
      </c>
      <c r="EG112" s="2749" t="str">
        <f t="shared" si="26"/>
        <v>Tri-Rail - Level 1</v>
      </c>
      <c r="EH112" s="2750"/>
      <c r="EI112" s="2750"/>
      <c r="EJ112" s="775" t="s">
        <v>643</v>
      </c>
      <c r="EK112" s="775" t="s">
        <v>436</v>
      </c>
      <c r="EL112" s="615"/>
      <c r="EM112" s="616"/>
    </row>
    <row r="113" spans="1:143" ht="14.65" customHeight="1">
      <c r="A113" s="339">
        <v>33548</v>
      </c>
      <c r="B113" s="338" t="s">
        <v>316</v>
      </c>
      <c r="E113" s="858"/>
      <c r="F113" s="338">
        <v>1103.3399999999999</v>
      </c>
      <c r="G113" s="338" t="s">
        <v>289</v>
      </c>
      <c r="L113" s="2481">
        <v>652.30999999999995</v>
      </c>
      <c r="M113" s="340" t="s">
        <v>288</v>
      </c>
      <c r="N113" s="1390"/>
      <c r="O113" s="2479"/>
      <c r="P113" s="2282"/>
      <c r="R113" s="341" t="str">
        <f t="array" ref="R113">IFERROR(IF($R$11="Metro",INDEX($F$13:$F$829,SMALL(IF((County=$G$13:$G$829),MATCH(ROW($G$13:$G$829),ROW($G$13:$G$829)),""),ROWS($A$13:A113))),INDEX($I$13:$I$44,SMALL(IF((County=$J$13:$J$44),MATCH(ROW($J$13:$J$44),ROW($J$13:$J$44)),""),ROWS($A$13:A113)))),"")</f>
        <v/>
      </c>
      <c r="T113" s="341" t="str">
        <f t="array" ref="T113">IFERROR(IF($T$11="Yes",INDEX($L$13:$L$2813,SMALL(IF((County=$M$13:$M$2813),MATCH(ROW($M$13:$M$2813),ROW($M$13:$M$2813)),""),ROWS($A$13:A113))),""),"")</f>
        <v/>
      </c>
      <c r="V113" s="2283" t="str">
        <f t="array" ref="V113">IFERROR(IF($T$11="Yes",INDEX($O$14:$O$2811,SMALL(IF((County=$P$14:$P$2811),MATCH(ROW($P$14:$P$2811),ROW($P$14:$P$2811)),""),ROWS($A$13:A113))),""),"")</f>
        <v/>
      </c>
      <c r="X113" s="339">
        <v>32955</v>
      </c>
      <c r="Y113" s="338" t="s">
        <v>288</v>
      </c>
      <c r="AA113" s="338">
        <v>10.02</v>
      </c>
      <c r="AB113" s="338" t="s">
        <v>324</v>
      </c>
      <c r="AG113" s="2297">
        <v>5.07</v>
      </c>
      <c r="AH113" s="2297" t="s">
        <v>340</v>
      </c>
      <c r="AI113" s="1390"/>
      <c r="AJ113" s="2282"/>
      <c r="AK113" s="2282"/>
      <c r="AL113" s="1037"/>
      <c r="AM113" s="339">
        <v>33625</v>
      </c>
      <c r="AN113" s="338" t="s">
        <v>316</v>
      </c>
      <c r="AQ113" s="858"/>
      <c r="AR113" s="338">
        <v>113.03</v>
      </c>
      <c r="AS113" s="338" t="s">
        <v>297</v>
      </c>
      <c r="AX113" s="340">
        <v>661.04</v>
      </c>
      <c r="AY113" s="340" t="s">
        <v>288</v>
      </c>
      <c r="BA113" s="341" t="str">
        <f t="array" ref="BA113">IFERROR(IF($BA$11="Metro",INDEX($AR$13:$AR$814,SMALL(IF((County=$AS$13:$AS$814),MATCH(ROW($AS$13:$AS$814),ROW($AS$13:$AS$814)),""),ROWS($A$13:$A113))),INDEX($AU$13:$AU$48,SMALL(IF((County=$AV$13:$AV$48),MATCH(ROW($AV$13:$AV$48),ROW($AV$13:$AV$48)),""),ROWS($A$13:$A113)))),"")</f>
        <v/>
      </c>
      <c r="BC113" s="341" t="str">
        <f t="array" ref="BC113">IFERROR(IF($BC$11="Yes",INDEX($AX$13:$AX$2950,SMALL(IF((County=$AY$13:$AY$2950),MATCH(ROW($AY$13:$AY$2950),ROW($AY$13:$AY$2950)),""),ROWS($A$13:$A113))),""),"")</f>
        <v/>
      </c>
      <c r="BE113" s="339">
        <v>33055</v>
      </c>
      <c r="BF113" s="338" t="s">
        <v>331</v>
      </c>
      <c r="BH113" s="338">
        <v>7.14</v>
      </c>
      <c r="BI113" s="338" t="s">
        <v>331</v>
      </c>
      <c r="BN113" s="340">
        <v>4.0999999999999996</v>
      </c>
      <c r="BO113" s="340" t="s">
        <v>331</v>
      </c>
      <c r="BP113" s="1385"/>
      <c r="BQ113" s="341">
        <v>33579</v>
      </c>
      <c r="BR113" s="338" t="s">
        <v>316</v>
      </c>
      <c r="BU113" s="858"/>
      <c r="BV113" s="338">
        <v>26.08</v>
      </c>
      <c r="BW113" s="338" t="s">
        <v>285</v>
      </c>
      <c r="BY113" s="236">
        <v>9601</v>
      </c>
      <c r="BZ113" s="236" t="s">
        <v>321</v>
      </c>
      <c r="CB113" s="340">
        <v>652.36</v>
      </c>
      <c r="CC113" s="340" t="s">
        <v>288</v>
      </c>
      <c r="CE113" s="341" t="str">
        <f t="array" ref="CE113">IFERROR(IF($CE$11="Metro",INDEX($BV$13:$BV$4972,SMALL(IF((County=$BW$13:$BW$4972),MATCH(ROW($BW$13:$BW$4972),ROW($BW$13:$BW$4972)),""),ROWS($A$13:$A113))),INDEX($BY$13:$BY$212,SMALL(IF((County=$BZ$13:$BZ$212),MATCH(ROW($BZ$13:$BZ$212),ROW($BZ$13:$BZ$212)),""),ROWS($A$13:$A113)))),"")</f>
        <v/>
      </c>
      <c r="CG113" s="341" t="str">
        <f t="array" ref="CG113">IFERROR(IF($CG$11="Yes",INDEX($CB$13:$CB$2950,SMALL(IF((County=$CC$13:$CC$2950),MATCH(ROW($CC$13:$CC$2950),ROW($CC$13:$CC$2950)),""),ROWS($A$13:$A113))),""),"")</f>
        <v/>
      </c>
      <c r="CI113" s="1387">
        <v>33027</v>
      </c>
      <c r="CJ113" s="338" t="s">
        <v>289</v>
      </c>
      <c r="CL113" s="338">
        <v>3.01</v>
      </c>
      <c r="CM113" s="338" t="s">
        <v>276</v>
      </c>
      <c r="CO113" s="236">
        <v>9601</v>
      </c>
      <c r="CP113" s="236" t="s">
        <v>317</v>
      </c>
      <c r="CR113" s="340">
        <v>5</v>
      </c>
      <c r="CS113" s="340" t="s">
        <v>276</v>
      </c>
      <c r="CT113" s="1384"/>
      <c r="CU113" s="341">
        <v>33611</v>
      </c>
      <c r="CV113" s="338" t="s">
        <v>316</v>
      </c>
      <c r="CZ113" s="1795">
        <v>1004</v>
      </c>
      <c r="DA113" s="338" t="s">
        <v>289</v>
      </c>
      <c r="DF113" s="340">
        <v>652.30999999999995</v>
      </c>
      <c r="DG113" s="340" t="s">
        <v>288</v>
      </c>
      <c r="DI113" s="341" t="str">
        <f t="array" ref="DI113">IFERROR(IF($DI$11="Metro",INDEX($CZ$13:$CZ$929,SMALL(IF((County=$DA$13:$DA$929),MATCH(ROW($DA$13:$DA$929),ROW($DA$13:$DA$929)),""),ROWS($A$13:$A113))),INDEX($DC$13:$DC$212,SMALL(IF((County=$DD$13:$DD$212),MATCH(ROW($DD$13:$DD$212),ROW($DD$13:$DD$212)),""),ROWS($A$13:$A113)))),"")</f>
        <v/>
      </c>
      <c r="DK113" s="341" t="str">
        <f t="array" ref="DK113">IFERROR(IF($DK$11="Yes",INDEX($DF$13:$DF$2838,SMALL(IF((County=$DG$13:$DG$2838),MATCH(ROW($DG$13:$DG$2838),ROW($DG$13:$DG$2838)),""),ROWS($A$13:$A113))),""),"")</f>
        <v/>
      </c>
      <c r="DM113" s="1387">
        <v>33032</v>
      </c>
      <c r="DN113" s="338" t="s">
        <v>2579</v>
      </c>
      <c r="DP113" s="236">
        <v>8.07</v>
      </c>
      <c r="DQ113" s="236" t="s">
        <v>331</v>
      </c>
      <c r="DV113" s="340">
        <v>5.0199999999999996</v>
      </c>
      <c r="DW113" s="340" t="s">
        <v>330</v>
      </c>
      <c r="DX113" s="1671"/>
      <c r="EB113" s="613"/>
      <c r="EC113" s="613"/>
      <c r="ED113" s="614"/>
      <c r="EE113" s="1251" t="s">
        <v>1929</v>
      </c>
      <c r="EF113" s="1248" t="s">
        <v>2625</v>
      </c>
      <c r="EG113" s="2749" t="str">
        <f t="shared" si="26"/>
        <v>University - Level 1</v>
      </c>
      <c r="EH113" s="2750"/>
      <c r="EI113" s="2750"/>
      <c r="EJ113" s="775" t="s">
        <v>2513</v>
      </c>
      <c r="EK113" s="775" t="s">
        <v>640</v>
      </c>
      <c r="EL113" s="615"/>
      <c r="EM113" s="616"/>
    </row>
    <row r="114" spans="1:143" ht="14.65" customHeight="1">
      <c r="A114" s="339">
        <v>33549</v>
      </c>
      <c r="B114" s="338" t="s">
        <v>316</v>
      </c>
      <c r="E114" s="858"/>
      <c r="F114" s="338">
        <v>1103.4100000000001</v>
      </c>
      <c r="G114" s="338" t="s">
        <v>289</v>
      </c>
      <c r="L114" s="2481">
        <v>652.36</v>
      </c>
      <c r="M114" s="340" t="s">
        <v>288</v>
      </c>
      <c r="N114" s="1390"/>
      <c r="O114" s="2479"/>
      <c r="P114" s="2282"/>
      <c r="R114" s="341" t="str">
        <f t="array" ref="R114">IFERROR(IF($R$11="Metro",INDEX($F$13:$F$829,SMALL(IF((County=$G$13:$G$829),MATCH(ROW($G$13:$G$829),ROW($G$13:$G$829)),""),ROWS($A$13:A114))),INDEX($I$13:$I$44,SMALL(IF((County=$J$13:$J$44),MATCH(ROW($J$13:$J$44),ROW($J$13:$J$44)),""),ROWS($A$13:A114)))),"")</f>
        <v/>
      </c>
      <c r="T114" s="341" t="str">
        <f t="array" ref="T114">IFERROR(IF($T$11="Yes",INDEX($L$13:$L$2813,SMALL(IF((County=$M$13:$M$2813),MATCH(ROW($M$13:$M$2813),ROW($M$13:$M$2813)),""),ROWS($A$13:A114))),""),"")</f>
        <v/>
      </c>
      <c r="V114" s="2283" t="str">
        <f t="array" ref="V114">IFERROR(IF($T$11="Yes",INDEX($O$14:$O$2811,SMALL(IF((County=$P$14:$P$2811),MATCH(ROW($P$14:$P$2811),ROW($P$14:$P$2811)),""),ROWS($A$13:A114))),""),"")</f>
        <v/>
      </c>
      <c r="X114" s="339">
        <v>32958</v>
      </c>
      <c r="Y114" s="338" t="s">
        <v>318</v>
      </c>
      <c r="AA114" s="338">
        <v>10.02</v>
      </c>
      <c r="AB114" s="338" t="s">
        <v>340</v>
      </c>
      <c r="AG114" s="2297">
        <v>5.09</v>
      </c>
      <c r="AH114" s="2297" t="s">
        <v>340</v>
      </c>
      <c r="AI114" s="1390"/>
      <c r="AJ114" s="2282"/>
      <c r="AK114" s="2282"/>
      <c r="AL114" s="1037"/>
      <c r="AM114" s="339">
        <v>33626</v>
      </c>
      <c r="AN114" s="338" t="s">
        <v>316</v>
      </c>
      <c r="AQ114" s="858"/>
      <c r="AR114" s="338">
        <v>113.04</v>
      </c>
      <c r="AS114" s="338" t="s">
        <v>297</v>
      </c>
      <c r="AX114" s="340">
        <v>662</v>
      </c>
      <c r="AY114" s="340" t="s">
        <v>288</v>
      </c>
      <c r="BA114" s="341" t="str">
        <f t="array" ref="BA114">IFERROR(IF($BA$11="Metro",INDEX($AR$13:$AR$814,SMALL(IF((County=$AS$13:$AS$814),MATCH(ROW($AS$13:$AS$814),ROW($AS$13:$AS$814)),""),ROWS($A$13:$A114))),INDEX($AU$13:$AU$48,SMALL(IF((County=$AV$13:$AV$48),MATCH(ROW($AV$13:$AV$48),ROW($AV$13:$AV$48)),""),ROWS($A$13:$A114)))),"")</f>
        <v/>
      </c>
      <c r="BC114" s="341" t="str">
        <f t="array" ref="BC114">IFERROR(IF($BC$11="Yes",INDEX($AX$13:$AX$2950,SMALL(IF((County=$AY$13:$AY$2950),MATCH(ROW($AY$13:$AY$2950),ROW($AY$13:$AY$2950)),""),ROWS($A$13:$A114))),""),"")</f>
        <v/>
      </c>
      <c r="BE114" s="339">
        <v>33062</v>
      </c>
      <c r="BF114" s="338" t="s">
        <v>289</v>
      </c>
      <c r="BH114" s="338">
        <v>7.15</v>
      </c>
      <c r="BI114" s="338" t="s">
        <v>331</v>
      </c>
      <c r="BN114" s="340">
        <v>4.1900000000000004</v>
      </c>
      <c r="BO114" s="340" t="s">
        <v>331</v>
      </c>
      <c r="BP114" s="1385"/>
      <c r="BQ114" s="341">
        <v>33584</v>
      </c>
      <c r="BR114" s="338" t="s">
        <v>316</v>
      </c>
      <c r="BU114" s="858"/>
      <c r="BV114" s="338">
        <v>26.09</v>
      </c>
      <c r="BW114" s="338" t="s">
        <v>285</v>
      </c>
      <c r="BY114" s="236">
        <v>9602.01</v>
      </c>
      <c r="BZ114" s="236" t="s">
        <v>321</v>
      </c>
      <c r="CB114" s="340">
        <v>652.38</v>
      </c>
      <c r="CC114" s="340" t="s">
        <v>288</v>
      </c>
      <c r="CE114" s="341" t="str">
        <f t="array" ref="CE114">IFERROR(IF($CE$11="Metro",INDEX($BV$13:$BV$4972,SMALL(IF((County=$BW$13:$BW$4972),MATCH(ROW($BW$13:$BW$4972),ROW($BW$13:$BW$4972)),""),ROWS($A$13:$A114))),INDEX($BY$13:$BY$212,SMALL(IF((County=$BZ$13:$BZ$212),MATCH(ROW($BZ$13:$BZ$212),ROW($BZ$13:$BZ$212)),""),ROWS($A$13:$A114)))),"")</f>
        <v/>
      </c>
      <c r="CG114" s="341" t="str">
        <f t="array" ref="CG114">IFERROR(IF($CG$11="Yes",INDEX($CB$13:$CB$2950,SMALL(IF((County=$CC$13:$CC$2950),MATCH(ROW($CC$13:$CC$2950),ROW($CC$13:$CC$2950)),""),ROWS($A$13:$A114))),""),"")</f>
        <v/>
      </c>
      <c r="CI114" s="1387">
        <v>33028</v>
      </c>
      <c r="CJ114" s="338" t="s">
        <v>289</v>
      </c>
      <c r="CL114" s="338">
        <v>3.01</v>
      </c>
      <c r="CM114" s="338" t="s">
        <v>285</v>
      </c>
      <c r="CO114" s="236">
        <v>9601</v>
      </c>
      <c r="CP114" s="236" t="s">
        <v>321</v>
      </c>
      <c r="CR114" s="340">
        <v>5</v>
      </c>
      <c r="CS114" s="340" t="s">
        <v>285</v>
      </c>
      <c r="CT114" s="1384"/>
      <c r="CU114" s="341">
        <v>33614</v>
      </c>
      <c r="CV114" s="338" t="s">
        <v>316</v>
      </c>
      <c r="CZ114" s="1795">
        <v>1005.01</v>
      </c>
      <c r="DA114" s="338" t="s">
        <v>289</v>
      </c>
      <c r="DF114" s="340">
        <v>652.36</v>
      </c>
      <c r="DG114" s="340" t="s">
        <v>288</v>
      </c>
      <c r="DI114" s="341" t="str">
        <f t="array" ref="DI114">IFERROR(IF($DI$11="Metro",INDEX($CZ$13:$CZ$929,SMALL(IF((County=$DA$13:$DA$929),MATCH(ROW($DA$13:$DA$929),ROW($DA$13:$DA$929)),""),ROWS($A$13:$A114))),INDEX($DC$13:$DC$212,SMALL(IF((County=$DD$13:$DD$212),MATCH(ROW($DD$13:$DD$212),ROW($DD$13:$DD$212)),""),ROWS($A$13:$A114)))),"")</f>
        <v/>
      </c>
      <c r="DK114" s="341" t="str">
        <f t="array" ref="DK114">IFERROR(IF($DK$11="Yes",INDEX($DF$13:$DF$2838,SMALL(IF((County=$DG$13:$DG$2838),MATCH(ROW($DG$13:$DG$2838),ROW($DG$13:$DG$2838)),""),ROWS($A$13:$A114))),""),"")</f>
        <v/>
      </c>
      <c r="DM114" s="1387">
        <v>33035</v>
      </c>
      <c r="DN114" s="338" t="s">
        <v>2579</v>
      </c>
      <c r="DP114" s="236">
        <v>8.08</v>
      </c>
      <c r="DQ114" s="236" t="s">
        <v>331</v>
      </c>
      <c r="DV114" s="340">
        <v>5.0199999999999996</v>
      </c>
      <c r="DW114" s="340" t="s">
        <v>347</v>
      </c>
      <c r="DX114" s="1671"/>
      <c r="ED114" s="1250"/>
      <c r="EE114" s="1246" t="s">
        <v>1818</v>
      </c>
      <c r="EF114" s="1248" t="s">
        <v>2625</v>
      </c>
      <c r="EG114" s="2749" t="str">
        <f t="shared" si="26"/>
        <v>Vizcaya - Level 1</v>
      </c>
      <c r="EH114" s="2750"/>
      <c r="EI114" s="2750"/>
      <c r="EJ114" s="1250"/>
      <c r="EK114" s="615"/>
      <c r="EL114" s="615"/>
      <c r="EM114" s="616"/>
    </row>
    <row r="115" spans="1:143" ht="14.65" customHeight="1">
      <c r="A115" s="339">
        <v>33556</v>
      </c>
      <c r="B115" s="338" t="s">
        <v>316</v>
      </c>
      <c r="E115" s="858"/>
      <c r="F115" s="338">
        <v>1103.51</v>
      </c>
      <c r="G115" s="338" t="s">
        <v>289</v>
      </c>
      <c r="L115" s="2481">
        <v>661.01</v>
      </c>
      <c r="M115" s="340" t="s">
        <v>288</v>
      </c>
      <c r="N115" s="1390"/>
      <c r="O115" s="2479"/>
      <c r="P115" s="2282"/>
      <c r="R115" s="341" t="str">
        <f t="array" ref="R115">IFERROR(IF($R$11="Metro",INDEX($F$13:$F$829,SMALL(IF((County=$G$13:$G$829),MATCH(ROW($G$13:$G$829),ROW($G$13:$G$829)),""),ROWS($A$13:A115))),INDEX($I$13:$I$44,SMALL(IF((County=$J$13:$J$44),MATCH(ROW($J$13:$J$44),ROW($J$13:$J$44)),""),ROWS($A$13:A115)))),"")</f>
        <v/>
      </c>
      <c r="T115" s="341" t="str">
        <f t="array" ref="T115">IFERROR(IF($T$11="Yes",INDEX($L$13:$L$2813,SMALL(IF((County=$M$13:$M$2813),MATCH(ROW($M$13:$M$2813),ROW($M$13:$M$2813)),""),ROWS($A$13:A115))),""),"")</f>
        <v/>
      </c>
      <c r="V115" s="2283" t="str">
        <f t="array" ref="V115">IFERROR(IF($T$11="Yes",INDEX($O$14:$O$2811,SMALL(IF((County=$P$14:$P$2811),MATCH(ROW($P$14:$P$2811),ROW($P$14:$P$2811)),""),ROWS($A$13:A115))),""),"")</f>
        <v/>
      </c>
      <c r="X115" s="339">
        <v>32963</v>
      </c>
      <c r="Y115" s="338" t="s">
        <v>318</v>
      </c>
      <c r="AA115" s="338">
        <v>10.029999999999999</v>
      </c>
      <c r="AB115" s="338" t="s">
        <v>329</v>
      </c>
      <c r="AG115" s="2297">
        <v>5.12</v>
      </c>
      <c r="AH115" s="2297" t="s">
        <v>340</v>
      </c>
      <c r="AI115" s="1390"/>
      <c r="AJ115" s="2282"/>
      <c r="AK115" s="2282"/>
      <c r="AL115" s="1037"/>
      <c r="AM115" s="339">
        <v>33629</v>
      </c>
      <c r="AN115" s="338" t="s">
        <v>316</v>
      </c>
      <c r="AQ115" s="858"/>
      <c r="AR115" s="338">
        <v>113.05</v>
      </c>
      <c r="AS115" s="338" t="s">
        <v>297</v>
      </c>
      <c r="AX115" s="340">
        <v>663.01</v>
      </c>
      <c r="AY115" s="340" t="s">
        <v>288</v>
      </c>
      <c r="BA115" s="341" t="str">
        <f t="array" ref="BA115">IFERROR(IF($BA$11="Metro",INDEX($AR$13:$AR$814,SMALL(IF((County=$AS$13:$AS$814),MATCH(ROW($AS$13:$AS$814),ROW($AS$13:$AS$814)),""),ROWS($A$13:$A115))),INDEX($AU$13:$AU$48,SMALL(IF((County=$AV$13:$AV$48),MATCH(ROW($AV$13:$AV$48),ROW($AV$13:$AV$48)),""),ROWS($A$13:$A115)))),"")</f>
        <v/>
      </c>
      <c r="BC115" s="341" t="str">
        <f t="array" ref="BC115">IFERROR(IF($BC$11="Yes",INDEX($AX$13:$AX$2950,SMALL(IF((County=$AY$13:$AY$2950),MATCH(ROW($AY$13:$AY$2950),ROW($AY$13:$AY$2950)),""),ROWS($A$13:$A115))),""),"")</f>
        <v/>
      </c>
      <c r="BE115" s="339">
        <v>33063</v>
      </c>
      <c r="BF115" s="338" t="s">
        <v>289</v>
      </c>
      <c r="BH115" s="338">
        <v>7.17</v>
      </c>
      <c r="BI115" s="338" t="s">
        <v>331</v>
      </c>
      <c r="BN115" s="340">
        <v>5</v>
      </c>
      <c r="BO115" s="340" t="s">
        <v>276</v>
      </c>
      <c r="BP115" s="1385"/>
      <c r="BQ115" s="1583">
        <v>33594</v>
      </c>
      <c r="BR115" s="236" t="s">
        <v>316</v>
      </c>
      <c r="BU115" s="858"/>
      <c r="BV115" s="338">
        <v>27.03</v>
      </c>
      <c r="BW115" s="338" t="s">
        <v>285</v>
      </c>
      <c r="BY115" s="236">
        <v>9602.02</v>
      </c>
      <c r="BZ115" s="236" t="s">
        <v>321</v>
      </c>
      <c r="CB115" s="340">
        <v>661.01</v>
      </c>
      <c r="CC115" s="340" t="s">
        <v>288</v>
      </c>
      <c r="CE115" s="341" t="str">
        <f t="array" ref="CE115">IFERROR(IF($CE$11="Metro",INDEX($BV$13:$BV$4972,SMALL(IF((County=$BW$13:$BW$4972),MATCH(ROW($BW$13:$BW$4972),ROW($BW$13:$BW$4972)),""),ROWS($A$13:$A115))),INDEX($BY$13:$BY$212,SMALL(IF((County=$BZ$13:$BZ$212),MATCH(ROW($BZ$13:$BZ$212),ROW($BZ$13:$BZ$212)),""),ROWS($A$13:$A115)))),"")</f>
        <v/>
      </c>
      <c r="CG115" s="341" t="str">
        <f t="array" ref="CG115">IFERROR(IF($CG$11="Yes",INDEX($CB$13:$CB$2950,SMALL(IF((County=$CC$13:$CC$2950),MATCH(ROW($CC$13:$CC$2950),ROW($CC$13:$CC$2950)),""),ROWS($A$13:$A115))),""),"")</f>
        <v/>
      </c>
      <c r="CI115" s="1387">
        <v>33029</v>
      </c>
      <c r="CJ115" s="338" t="s">
        <v>289</v>
      </c>
      <c r="CL115" s="236">
        <v>3.01</v>
      </c>
      <c r="CM115" s="236" t="s">
        <v>297</v>
      </c>
      <c r="CO115" s="236">
        <v>9601</v>
      </c>
      <c r="CP115" s="236" t="s">
        <v>354</v>
      </c>
      <c r="CR115" s="340">
        <v>5</v>
      </c>
      <c r="CS115" s="340" t="s">
        <v>297</v>
      </c>
      <c r="CT115" s="1384"/>
      <c r="CU115" s="341">
        <v>33615</v>
      </c>
      <c r="CV115" s="338" t="s">
        <v>316</v>
      </c>
      <c r="CZ115" s="1795">
        <v>1005.02</v>
      </c>
      <c r="DA115" s="338" t="s">
        <v>289</v>
      </c>
      <c r="DF115" s="340">
        <v>661.01</v>
      </c>
      <c r="DG115" s="340" t="s">
        <v>288</v>
      </c>
      <c r="DI115" s="341" t="str">
        <f t="array" ref="DI115">IFERROR(IF($DI$11="Metro",INDEX($CZ$13:$CZ$929,SMALL(IF((County=$DA$13:$DA$929),MATCH(ROW($DA$13:$DA$929),ROW($DA$13:$DA$929)),""),ROWS($A$13:$A115))),INDEX($DC$13:$DC$212,SMALL(IF((County=$DD$13:$DD$212),MATCH(ROW($DD$13:$DD$212),ROW($DD$13:$DD$212)),""),ROWS($A$13:$A115)))),"")</f>
        <v/>
      </c>
      <c r="DK115" s="341" t="str">
        <f t="array" ref="DK115">IFERROR(IF($DK$11="Yes",INDEX($DF$13:$DF$2838,SMALL(IF((County=$DG$13:$DG$2838),MATCH(ROW($DG$13:$DG$2838),ROW($DG$13:$DG$2838)),""),ROWS($A$13:$A115))),""),"")</f>
        <v/>
      </c>
      <c r="DM115" s="1387">
        <v>33055</v>
      </c>
      <c r="DN115" s="338" t="s">
        <v>2579</v>
      </c>
      <c r="DP115" s="236">
        <v>8.09</v>
      </c>
      <c r="DQ115" s="236" t="s">
        <v>276</v>
      </c>
      <c r="DV115" s="340">
        <v>5.03</v>
      </c>
      <c r="DW115" s="340" t="s">
        <v>328</v>
      </c>
      <c r="DX115" s="1671"/>
      <c r="ED115" s="1250"/>
      <c r="EE115" s="1250"/>
      <c r="EF115" s="1250"/>
      <c r="EG115" s="1250"/>
      <c r="EH115" s="1250"/>
      <c r="EI115" s="616"/>
      <c r="EJ115" s="1250"/>
      <c r="EK115" s="615"/>
      <c r="EL115" s="615"/>
      <c r="EM115" s="616"/>
    </row>
    <row r="116" spans="1:143" ht="14.65" customHeight="1">
      <c r="A116" s="339">
        <v>33559</v>
      </c>
      <c r="B116" s="338" t="s">
        <v>316</v>
      </c>
      <c r="E116" s="858"/>
      <c r="F116" s="338">
        <v>1103.55</v>
      </c>
      <c r="G116" s="338" t="s">
        <v>289</v>
      </c>
      <c r="L116" s="2481">
        <v>661.04</v>
      </c>
      <c r="M116" s="340" t="s">
        <v>288</v>
      </c>
      <c r="N116" s="1390"/>
      <c r="O116" s="2479"/>
      <c r="P116" s="2282"/>
      <c r="R116" s="341" t="str">
        <f t="array" ref="R116">IFERROR(IF($R$11="Metro",INDEX($F$13:$F$829,SMALL(IF((County=$G$13:$G$829),MATCH(ROW($G$13:$G$829),ROW($G$13:$G$829)),""),ROWS($A$13:A116))),INDEX($I$13:$I$44,SMALL(IF((County=$J$13:$J$44),MATCH(ROW($J$13:$J$44),ROW($J$13:$J$44)),""),ROWS($A$13:A116)))),"")</f>
        <v/>
      </c>
      <c r="T116" s="341" t="str">
        <f t="array" ref="T116">IFERROR(IF($T$11="Yes",INDEX($L$13:$L$2813,SMALL(IF((County=$M$13:$M$2813),MATCH(ROW($M$13:$M$2813),ROW($M$13:$M$2813)),""),ROWS($A$13:A116))),""),"")</f>
        <v/>
      </c>
      <c r="V116" s="2283" t="str">
        <f t="array" ref="V116">IFERROR(IF($T$11="Yes",INDEX($O$14:$O$2811,SMALL(IF((County=$P$14:$P$2811),MATCH(ROW($P$14:$P$2811),ROW($P$14:$P$2811)),""),ROWS($A$13:A116))),""),"")</f>
        <v/>
      </c>
      <c r="X116" s="339">
        <v>32968</v>
      </c>
      <c r="Y116" s="338" t="s">
        <v>318</v>
      </c>
      <c r="AA116" s="338">
        <v>10.029999999999999</v>
      </c>
      <c r="AB116" s="338" t="s">
        <v>331</v>
      </c>
      <c r="AG116" s="2297">
        <v>5.13</v>
      </c>
      <c r="AH116" s="2297" t="s">
        <v>340</v>
      </c>
      <c r="AI116" s="1390"/>
      <c r="AJ116" s="2282"/>
      <c r="AK116" s="2282"/>
      <c r="AL116" s="1037"/>
      <c r="AM116" s="339">
        <v>33634</v>
      </c>
      <c r="AN116" s="338" t="s">
        <v>316</v>
      </c>
      <c r="AQ116" s="858"/>
      <c r="AR116" s="338">
        <v>113.06</v>
      </c>
      <c r="AS116" s="338" t="s">
        <v>297</v>
      </c>
      <c r="AX116" s="340">
        <v>663.02</v>
      </c>
      <c r="AY116" s="340" t="s">
        <v>288</v>
      </c>
      <c r="BA116" s="341" t="str">
        <f t="array" ref="BA116">IFERROR(IF($BA$11="Metro",INDEX($AR$13:$AR$814,SMALL(IF((County=$AS$13:$AS$814),MATCH(ROW($AS$13:$AS$814),ROW($AS$13:$AS$814)),""),ROWS($A$13:$A116))),INDEX($AU$13:$AU$48,SMALL(IF((County=$AV$13:$AV$48),MATCH(ROW($AV$13:$AV$48),ROW($AV$13:$AV$48)),""),ROWS($A$13:$A116)))),"")</f>
        <v/>
      </c>
      <c r="BC116" s="341" t="str">
        <f t="array" ref="BC116">IFERROR(IF($BC$11="Yes",INDEX($AX$13:$AX$2950,SMALL(IF((County=$AY$13:$AY$2950),MATCH(ROW($AY$13:$AY$2950),ROW($AY$13:$AY$2950)),""),ROWS($A$13:$A116))),""),"")</f>
        <v/>
      </c>
      <c r="BE116" s="339">
        <v>33067</v>
      </c>
      <c r="BF116" s="338" t="s">
        <v>289</v>
      </c>
      <c r="BH116" s="338">
        <v>7.18</v>
      </c>
      <c r="BI116" s="338" t="s">
        <v>331</v>
      </c>
      <c r="BN116" s="340">
        <v>5</v>
      </c>
      <c r="BO116" s="340" t="s">
        <v>297</v>
      </c>
      <c r="BP116" s="1385"/>
      <c r="BQ116" s="1583">
        <v>33596</v>
      </c>
      <c r="BR116" s="236" t="s">
        <v>316</v>
      </c>
      <c r="BU116" s="858"/>
      <c r="BV116" s="338">
        <v>27.06</v>
      </c>
      <c r="BW116" s="338" t="s">
        <v>285</v>
      </c>
      <c r="BY116" s="236">
        <v>9501</v>
      </c>
      <c r="BZ116" s="236" t="s">
        <v>326</v>
      </c>
      <c r="CB116" s="340">
        <v>661.03</v>
      </c>
      <c r="CC116" s="340" t="s">
        <v>288</v>
      </c>
      <c r="CE116" s="341" t="str">
        <f t="array" ref="CE116">IFERROR(IF($CE$11="Metro",INDEX($BV$13:$BV$4972,SMALL(IF((County=$BW$13:$BW$4972),MATCH(ROW($BW$13:$BW$4972),ROW($BW$13:$BW$4972)),""),ROWS($A$13:$A116))),INDEX($BY$13:$BY$212,SMALL(IF((County=$BZ$13:$BZ$212),MATCH(ROW($BZ$13:$BZ$212),ROW($BZ$13:$BZ$212)),""),ROWS($A$13:$A116)))),"")</f>
        <v/>
      </c>
      <c r="CG116" s="341" t="str">
        <f t="array" ref="CG116">IFERROR(IF($CG$11="Yes",INDEX($CB$13:$CB$2950,SMALL(IF((County=$CC$13:$CC$2950),MATCH(ROW($CC$13:$CC$2950),ROW($CC$13:$CC$2950)),""),ROWS($A$13:$A116))),""),"")</f>
        <v/>
      </c>
      <c r="CI116" s="1387">
        <v>33035</v>
      </c>
      <c r="CJ116" s="338" t="s">
        <v>331</v>
      </c>
      <c r="CL116" s="236">
        <v>3.01</v>
      </c>
      <c r="CM116" s="236" t="s">
        <v>316</v>
      </c>
      <c r="CO116" s="236">
        <v>9601.01</v>
      </c>
      <c r="CP116" s="236" t="s">
        <v>310</v>
      </c>
      <c r="CR116" s="340">
        <v>5</v>
      </c>
      <c r="CS116" s="340" t="s">
        <v>304</v>
      </c>
      <c r="CT116" s="1384"/>
      <c r="CU116" s="341">
        <v>33616</v>
      </c>
      <c r="CV116" s="338" t="s">
        <v>316</v>
      </c>
      <c r="CZ116" s="1795">
        <v>1007</v>
      </c>
      <c r="DA116" s="338" t="s">
        <v>289</v>
      </c>
      <c r="DF116" s="340">
        <v>661.03</v>
      </c>
      <c r="DG116" s="340" t="s">
        <v>288</v>
      </c>
      <c r="DI116" s="341" t="str">
        <f t="array" ref="DI116">IFERROR(IF($DI$11="Metro",INDEX($CZ$13:$CZ$929,SMALL(IF((County=$DA$13:$DA$929),MATCH(ROW($DA$13:$DA$929),ROW($DA$13:$DA$929)),""),ROWS($A$13:$A116))),INDEX($DC$13:$DC$212,SMALL(IF((County=$DD$13:$DD$212),MATCH(ROW($DD$13:$DD$212),ROW($DD$13:$DD$212)),""),ROWS($A$13:$A116)))),"")</f>
        <v/>
      </c>
      <c r="DK116" s="341" t="str">
        <f t="array" ref="DK116">IFERROR(IF($DK$11="Yes",INDEX($DF$13:$DF$2838,SMALL(IF((County=$DG$13:$DG$2838),MATCH(ROW($DG$13:$DG$2838),ROW($DG$13:$DG$2838)),""),ROWS($A$13:$A116))),""),"")</f>
        <v/>
      </c>
      <c r="DM116" s="1387">
        <v>33056</v>
      </c>
      <c r="DN116" s="338" t="s">
        <v>2579</v>
      </c>
      <c r="DP116" s="236">
        <v>8.11</v>
      </c>
      <c r="DQ116" s="236" t="s">
        <v>328</v>
      </c>
      <c r="DV116" s="340">
        <v>5.05</v>
      </c>
      <c r="DW116" s="340" t="s">
        <v>340</v>
      </c>
      <c r="DX116" s="1671"/>
      <c r="EB116" s="614"/>
      <c r="EC116" s="614"/>
      <c r="ED116" s="1250"/>
      <c r="EE116" s="1250"/>
      <c r="EF116" s="1250"/>
      <c r="EG116" s="1250"/>
      <c r="EH116" s="1250"/>
      <c r="EI116" s="616"/>
      <c r="EJ116" s="1250"/>
      <c r="EK116" s="615"/>
      <c r="EL116" s="615"/>
      <c r="EM116" s="616"/>
    </row>
    <row r="117" spans="1:143" ht="14.65" customHeight="1">
      <c r="A117" s="339">
        <v>33569</v>
      </c>
      <c r="B117" s="338" t="s">
        <v>316</v>
      </c>
      <c r="E117" s="858"/>
      <c r="F117" s="338">
        <v>103.02</v>
      </c>
      <c r="G117" s="338" t="s">
        <v>294</v>
      </c>
      <c r="L117" s="2481">
        <v>662</v>
      </c>
      <c r="M117" s="340" t="s">
        <v>288</v>
      </c>
      <c r="N117" s="1390"/>
      <c r="O117" s="2479"/>
      <c r="P117" s="2282"/>
      <c r="R117" s="341" t="str">
        <f t="array" ref="R117">IFERROR(IF($R$11="Metro",INDEX($F$13:$F$829,SMALL(IF((County=$G$13:$G$829),MATCH(ROW($G$13:$G$829),ROW($G$13:$G$829)),""),ROWS($A$13:A117))),INDEX($I$13:$I$44,SMALL(IF((County=$J$13:$J$44),MATCH(ROW($J$13:$J$44),ROW($J$13:$J$44)),""),ROWS($A$13:A117)))),"")</f>
        <v/>
      </c>
      <c r="T117" s="341" t="str">
        <f t="array" ref="T117">IFERROR(IF($T$11="Yes",INDEX($L$13:$L$2813,SMALL(IF((County=$M$13:$M$2813),MATCH(ROW($M$13:$M$2813),ROW($M$13:$M$2813)),""),ROWS($A$13:A117))),""),"")</f>
        <v/>
      </c>
      <c r="V117" s="2283" t="str">
        <f t="array" ref="V117">IFERROR(IF($T$11="Yes",INDEX($O$14:$O$2811,SMALL(IF((County=$P$14:$P$2811),MATCH(ROW($P$14:$P$2811),ROW($P$14:$P$2811)),""),ROWS($A$13:A117))),""),"")</f>
        <v/>
      </c>
      <c r="X117" s="339">
        <v>33004</v>
      </c>
      <c r="Y117" s="338" t="s">
        <v>289</v>
      </c>
      <c r="AA117" s="338">
        <v>10.039999999999999</v>
      </c>
      <c r="AB117" s="338" t="s">
        <v>331</v>
      </c>
      <c r="AG117" s="2297">
        <v>6</v>
      </c>
      <c r="AH117" s="2297" t="s">
        <v>297</v>
      </c>
      <c r="AI117" s="1390"/>
      <c r="AJ117" s="2282"/>
      <c r="AK117" s="2282"/>
      <c r="AL117" s="1037"/>
      <c r="AM117" s="339">
        <v>33635</v>
      </c>
      <c r="AN117" s="338" t="s">
        <v>316</v>
      </c>
      <c r="AQ117" s="858"/>
      <c r="AR117" s="338">
        <v>114</v>
      </c>
      <c r="AS117" s="338" t="s">
        <v>297</v>
      </c>
      <c r="AX117" s="340">
        <v>664</v>
      </c>
      <c r="AY117" s="340" t="s">
        <v>288</v>
      </c>
      <c r="BA117" s="341" t="str">
        <f t="array" ref="BA117">IFERROR(IF($BA$11="Metro",INDEX($AR$13:$AR$814,SMALL(IF((County=$AS$13:$AS$814),MATCH(ROW($AS$13:$AS$814),ROW($AS$13:$AS$814)),""),ROWS($A$13:$A117))),INDEX($AU$13:$AU$48,SMALL(IF((County=$AV$13:$AV$48),MATCH(ROW($AV$13:$AV$48),ROW($AV$13:$AV$48)),""),ROWS($A$13:$A117)))),"")</f>
        <v/>
      </c>
      <c r="BC117" s="341" t="str">
        <f t="array" ref="BC117">IFERROR(IF($BC$11="Yes",INDEX($AX$13:$AX$2950,SMALL(IF((County=$AY$13:$AY$2950),MATCH(ROW($AY$13:$AY$2950),ROW($AY$13:$AY$2950)),""),ROWS($A$13:$A117))),""),"")</f>
        <v/>
      </c>
      <c r="BE117" s="339">
        <v>33068</v>
      </c>
      <c r="BF117" s="338" t="s">
        <v>289</v>
      </c>
      <c r="BH117" s="338">
        <v>7.19</v>
      </c>
      <c r="BI117" s="338" t="s">
        <v>331</v>
      </c>
      <c r="BN117" s="340">
        <v>5</v>
      </c>
      <c r="BO117" s="340" t="s">
        <v>304</v>
      </c>
      <c r="BP117" s="1385"/>
      <c r="BQ117" s="1583">
        <v>33602</v>
      </c>
      <c r="BR117" s="236" t="s">
        <v>316</v>
      </c>
      <c r="BU117" s="858"/>
      <c r="BV117" s="338">
        <v>27.07</v>
      </c>
      <c r="BW117" s="338" t="s">
        <v>285</v>
      </c>
      <c r="BY117" s="236">
        <v>9502.01</v>
      </c>
      <c r="BZ117" s="236" t="s">
        <v>326</v>
      </c>
      <c r="CB117" s="340">
        <v>661.04</v>
      </c>
      <c r="CC117" s="340" t="s">
        <v>288</v>
      </c>
      <c r="CE117" s="341" t="str">
        <f t="array" ref="CE117">IFERROR(IF($CE$11="Metro",INDEX($BV$13:$BV$4972,SMALL(IF((County=$BW$13:$BW$4972),MATCH(ROW($BW$13:$BW$4972),ROW($BW$13:$BW$4972)),""),ROWS($A$13:$A117))),INDEX($BY$13:$BY$212,SMALL(IF((County=$BZ$13:$BZ$212),MATCH(ROW($BZ$13:$BZ$212),ROW($BZ$13:$BZ$212)),""),ROWS($A$13:$A117)))),"")</f>
        <v/>
      </c>
      <c r="CG117" s="341" t="str">
        <f t="array" ref="CG117">IFERROR(IF($CG$11="Yes",INDEX($CB$13:$CB$2950,SMALL(IF((County=$CC$13:$CC$2950),MATCH(ROW($CC$13:$CC$2950),ROW($CC$13:$CC$2950)),""),ROWS($A$13:$A117))),""),"")</f>
        <v/>
      </c>
      <c r="CI117" s="1387">
        <v>33055</v>
      </c>
      <c r="CJ117" s="338" t="s">
        <v>331</v>
      </c>
      <c r="CL117" s="236">
        <v>3.01</v>
      </c>
      <c r="CM117" s="236" t="s">
        <v>324</v>
      </c>
      <c r="CO117" s="236">
        <v>9601.01</v>
      </c>
      <c r="CP117" s="236" t="s">
        <v>311</v>
      </c>
      <c r="CR117" s="340">
        <v>5</v>
      </c>
      <c r="CS117" s="340" t="s">
        <v>316</v>
      </c>
      <c r="CT117" s="1384"/>
      <c r="CU117" s="341">
        <v>33617</v>
      </c>
      <c r="CV117" s="338" t="s">
        <v>316</v>
      </c>
      <c r="CZ117" s="1795">
        <v>1008.01</v>
      </c>
      <c r="DA117" s="338" t="s">
        <v>289</v>
      </c>
      <c r="DF117" s="340">
        <v>661.04</v>
      </c>
      <c r="DG117" s="340" t="s">
        <v>288</v>
      </c>
      <c r="DI117" s="341" t="str">
        <f t="array" ref="DI117">IFERROR(IF($DI$11="Metro",INDEX($CZ$13:$CZ$929,SMALL(IF((County=$DA$13:$DA$929),MATCH(ROW($DA$13:$DA$929),ROW($DA$13:$DA$929)),""),ROWS($A$13:$A117))),INDEX($DC$13:$DC$212,SMALL(IF((County=$DD$13:$DD$212),MATCH(ROW($DD$13:$DD$212),ROW($DD$13:$DD$212)),""),ROWS($A$13:$A117)))),"")</f>
        <v/>
      </c>
      <c r="DK117" s="341" t="str">
        <f t="array" ref="DK117">IFERROR(IF($DK$11="Yes",INDEX($DF$13:$DF$2838,SMALL(IF((County=$DG$13:$DG$2838),MATCH(ROW($DG$13:$DG$2838),ROW($DG$13:$DG$2838)),""),ROWS($A$13:$A117))),""),"")</f>
        <v/>
      </c>
      <c r="DM117" s="1387">
        <v>33062</v>
      </c>
      <c r="DN117" s="338" t="s">
        <v>289</v>
      </c>
      <c r="DP117" s="236">
        <v>9.01</v>
      </c>
      <c r="DQ117" s="236" t="s">
        <v>316</v>
      </c>
      <c r="DV117" s="340">
        <v>5.07</v>
      </c>
      <c r="DW117" s="340" t="s">
        <v>340</v>
      </c>
      <c r="DX117" s="1671"/>
      <c r="EB117" s="614"/>
      <c r="EC117" s="614"/>
      <c r="ED117" s="1250"/>
      <c r="EE117" s="1250"/>
      <c r="EF117" s="1250"/>
      <c r="EG117" s="1250"/>
      <c r="EH117" s="1250"/>
      <c r="EI117" s="616"/>
      <c r="EJ117" s="1250"/>
      <c r="EK117" s="615"/>
      <c r="EL117" s="615"/>
      <c r="EM117" s="616"/>
    </row>
    <row r="118" spans="1:143" ht="14.65" customHeight="1">
      <c r="A118" s="339">
        <v>33572</v>
      </c>
      <c r="B118" s="338" t="s">
        <v>316</v>
      </c>
      <c r="E118" s="858"/>
      <c r="F118" s="338">
        <v>105.04</v>
      </c>
      <c r="G118" s="338" t="s">
        <v>294</v>
      </c>
      <c r="L118" s="2481">
        <v>663.01</v>
      </c>
      <c r="M118" s="340" t="s">
        <v>288</v>
      </c>
      <c r="N118" s="1390"/>
      <c r="O118" s="2479"/>
      <c r="P118" s="2282"/>
      <c r="R118" s="341" t="str">
        <f t="array" ref="R118">IFERROR(IF($R$11="Metro",INDEX($F$13:$F$829,SMALL(IF((County=$G$13:$G$829),MATCH(ROW($G$13:$G$829),ROW($G$13:$G$829)),""),ROWS($A$13:A118))),INDEX($I$13:$I$44,SMALL(IF((County=$J$13:$J$44),MATCH(ROW($J$13:$J$44),ROW($J$13:$J$44)),""),ROWS($A$13:A118)))),"")</f>
        <v/>
      </c>
      <c r="T118" s="341" t="str">
        <f t="array" ref="T118">IFERROR(IF($T$11="Yes",INDEX($L$13:$L$2813,SMALL(IF((County=$M$13:$M$2813),MATCH(ROW($M$13:$M$2813),ROW($M$13:$M$2813)),""),ROWS($A$13:A118))),""),"")</f>
        <v/>
      </c>
      <c r="V118" s="2283" t="str">
        <f t="array" ref="V118">IFERROR(IF($T$11="Yes",INDEX($O$14:$O$2811,SMALL(IF((County=$P$14:$P$2811),MATCH(ROW($P$14:$P$2811),ROW($P$14:$P$2811)),""),ROWS($A$13:A118))),""),"")</f>
        <v/>
      </c>
      <c r="X118" s="339">
        <v>33009</v>
      </c>
      <c r="Y118" s="338" t="s">
        <v>289</v>
      </c>
      <c r="AA118" s="338">
        <v>10.050000000000001</v>
      </c>
      <c r="AB118" s="338" t="s">
        <v>331</v>
      </c>
      <c r="AG118" s="2297">
        <v>6</v>
      </c>
      <c r="AH118" s="2297" t="s">
        <v>340</v>
      </c>
      <c r="AI118" s="1390"/>
      <c r="AJ118" s="2282"/>
      <c r="AK118" s="2282"/>
      <c r="AL118" s="1037"/>
      <c r="AM118" s="339">
        <v>33647</v>
      </c>
      <c r="AN118" s="338" t="s">
        <v>316</v>
      </c>
      <c r="AQ118" s="858"/>
      <c r="AR118" s="338">
        <v>1.01</v>
      </c>
      <c r="AS118" s="338" t="s">
        <v>302</v>
      </c>
      <c r="AX118" s="340">
        <v>665</v>
      </c>
      <c r="AY118" s="340" t="s">
        <v>288</v>
      </c>
      <c r="BA118" s="341" t="str">
        <f t="array" ref="BA118">IFERROR(IF($BA$11="Metro",INDEX($AR$13:$AR$814,SMALL(IF((County=$AS$13:$AS$814),MATCH(ROW($AS$13:$AS$814),ROW($AS$13:$AS$814)),""),ROWS($A$13:$A118))),INDEX($AU$13:$AU$48,SMALL(IF((County=$AV$13:$AV$48),MATCH(ROW($AV$13:$AV$48),ROW($AV$13:$AV$48)),""),ROWS($A$13:$A118)))),"")</f>
        <v/>
      </c>
      <c r="BC118" s="341" t="str">
        <f t="array" ref="BC118">IFERROR(IF($BC$11="Yes",INDEX($AX$13:$AX$2950,SMALL(IF((County=$AY$13:$AY$2950),MATCH(ROW($AY$13:$AY$2950),ROW($AY$13:$AY$2950)),""),ROWS($A$13:$A118))),""),"")</f>
        <v/>
      </c>
      <c r="BE118" s="339">
        <v>33071</v>
      </c>
      <c r="BF118" s="338" t="s">
        <v>289</v>
      </c>
      <c r="BH118" s="338">
        <v>7.2</v>
      </c>
      <c r="BI118" s="338" t="s">
        <v>331</v>
      </c>
      <c r="BN118" s="340">
        <v>5</v>
      </c>
      <c r="BO118" s="340" t="s">
        <v>316</v>
      </c>
      <c r="BP118" s="1385"/>
      <c r="BQ118" s="341">
        <v>33606</v>
      </c>
      <c r="BR118" s="338" t="s">
        <v>316</v>
      </c>
      <c r="BU118" s="858"/>
      <c r="BV118" s="338">
        <v>27.08</v>
      </c>
      <c r="BW118" s="338" t="s">
        <v>285</v>
      </c>
      <c r="BY118" s="236">
        <v>9502.02</v>
      </c>
      <c r="BZ118" s="236" t="s">
        <v>326</v>
      </c>
      <c r="CB118" s="340">
        <v>662</v>
      </c>
      <c r="CC118" s="340" t="s">
        <v>288</v>
      </c>
      <c r="CE118" s="341" t="str">
        <f t="array" ref="CE118">IFERROR(IF($CE$11="Metro",INDEX($BV$13:$BV$4972,SMALL(IF((County=$BW$13:$BW$4972),MATCH(ROW($BW$13:$BW$4972),ROW($BW$13:$BW$4972)),""),ROWS($A$13:$A118))),INDEX($BY$13:$BY$212,SMALL(IF((County=$BZ$13:$BZ$212),MATCH(ROW($BZ$13:$BZ$212),ROW($BZ$13:$BZ$212)),""),ROWS($A$13:$A118)))),"")</f>
        <v/>
      </c>
      <c r="CG118" s="341" t="str">
        <f t="array" ref="CG118">IFERROR(IF($CG$11="Yes",INDEX($CB$13:$CB$2950,SMALL(IF((County=$CC$13:$CC$2950),MATCH(ROW($CC$13:$CC$2950),ROW($CC$13:$CC$2950)),""),ROWS($A$13:$A118))),""),"")</f>
        <v/>
      </c>
      <c r="CI118" s="1387">
        <v>33056</v>
      </c>
      <c r="CJ118" s="338" t="s">
        <v>331</v>
      </c>
      <c r="CL118" s="236">
        <v>3.01</v>
      </c>
      <c r="CM118" s="236" t="s">
        <v>340</v>
      </c>
      <c r="CO118" s="236">
        <v>9601.02</v>
      </c>
      <c r="CP118" s="236" t="s">
        <v>310</v>
      </c>
      <c r="CR118" s="340">
        <v>5.01</v>
      </c>
      <c r="CS118" s="340" t="s">
        <v>330</v>
      </c>
      <c r="CT118" s="1384"/>
      <c r="CU118" s="341">
        <v>33618</v>
      </c>
      <c r="CV118" s="338" t="s">
        <v>316</v>
      </c>
      <c r="CZ118" s="1795">
        <v>1103.3399999999999</v>
      </c>
      <c r="DA118" s="338" t="s">
        <v>289</v>
      </c>
      <c r="DF118" s="340">
        <v>662</v>
      </c>
      <c r="DG118" s="340" t="s">
        <v>288</v>
      </c>
      <c r="DI118" s="341" t="str">
        <f t="array" ref="DI118">IFERROR(IF($DI$11="Metro",INDEX($CZ$13:$CZ$929,SMALL(IF((County=$DA$13:$DA$929),MATCH(ROW($DA$13:$DA$929),ROW($DA$13:$DA$929)),""),ROWS($A$13:$A118))),INDEX($DC$13:$DC$212,SMALL(IF((County=$DD$13:$DD$212),MATCH(ROW($DD$13:$DD$212),ROW($DD$13:$DD$212)),""),ROWS($A$13:$A118)))),"")</f>
        <v/>
      </c>
      <c r="DK118" s="341" t="str">
        <f t="array" ref="DK118">IFERROR(IF($DK$11="Yes",INDEX($DF$13:$DF$2838,SMALL(IF((County=$DG$13:$DG$2838),MATCH(ROW($DG$13:$DG$2838),ROW($DG$13:$DG$2838)),""),ROWS($A$13:$A118))),""),"")</f>
        <v/>
      </c>
      <c r="DM118" s="1387">
        <v>33063</v>
      </c>
      <c r="DN118" s="338" t="s">
        <v>289</v>
      </c>
      <c r="DP118" s="236">
        <v>9.02</v>
      </c>
      <c r="DQ118" s="236" t="s">
        <v>316</v>
      </c>
      <c r="DV118" s="340">
        <v>5.09</v>
      </c>
      <c r="DW118" s="340" t="s">
        <v>340</v>
      </c>
      <c r="DX118" s="1671"/>
      <c r="EB118" s="613"/>
      <c r="EC118" s="613"/>
      <c r="ED118" s="1250"/>
      <c r="EE118" s="1250"/>
      <c r="EF118" s="1250"/>
      <c r="EG118" s="1250"/>
      <c r="EH118" s="1250"/>
      <c r="EI118" s="1250"/>
      <c r="EJ118" s="1250"/>
      <c r="EK118" s="615"/>
      <c r="EL118" s="615"/>
      <c r="EM118" s="616"/>
    </row>
    <row r="119" spans="1:143" ht="14.65" customHeight="1">
      <c r="A119" s="339">
        <v>33573</v>
      </c>
      <c r="B119" s="338" t="s">
        <v>316</v>
      </c>
      <c r="E119" s="858"/>
      <c r="F119" s="338">
        <v>207</v>
      </c>
      <c r="G119" s="338" t="s">
        <v>294</v>
      </c>
      <c r="L119" s="2481">
        <v>663.02</v>
      </c>
      <c r="M119" s="340" t="s">
        <v>288</v>
      </c>
      <c r="N119" s="1390"/>
      <c r="O119" s="2479"/>
      <c r="P119" s="2282"/>
      <c r="R119" s="341" t="str">
        <f t="array" ref="R119">IFERROR(IF($R$11="Metro",INDEX($F$13:$F$829,SMALL(IF((County=$G$13:$G$829),MATCH(ROW($G$13:$G$829),ROW($G$13:$G$829)),""),ROWS($A$13:A119))),INDEX($I$13:$I$44,SMALL(IF((County=$J$13:$J$44),MATCH(ROW($J$13:$J$44),ROW($J$13:$J$44)),""),ROWS($A$13:A119)))),"")</f>
        <v/>
      </c>
      <c r="T119" s="341" t="str">
        <f t="array" ref="T119">IFERROR(IF($T$11="Yes",INDEX($L$13:$L$2813,SMALL(IF((County=$M$13:$M$2813),MATCH(ROW($M$13:$M$2813),ROW($M$13:$M$2813)),""),ROWS($A$13:A119))),""),"")</f>
        <v/>
      </c>
      <c r="V119" s="2283" t="str">
        <f t="array" ref="V119">IFERROR(IF($T$11="Yes",INDEX($O$14:$O$2811,SMALL(IF((County=$P$14:$P$2811),MATCH(ROW($P$14:$P$2811),ROW($P$14:$P$2811)),""),ROWS($A$13:A119))),""),"")</f>
        <v/>
      </c>
      <c r="X119" s="339">
        <v>33014</v>
      </c>
      <c r="Y119" s="338" t="s">
        <v>2579</v>
      </c>
      <c r="AA119" s="338">
        <v>10.06</v>
      </c>
      <c r="AB119" s="338" t="s">
        <v>331</v>
      </c>
      <c r="AG119" s="2297">
        <v>6.01</v>
      </c>
      <c r="AH119" s="2297" t="s">
        <v>331</v>
      </c>
      <c r="AI119" s="1390"/>
      <c r="AJ119" s="2282"/>
      <c r="AK119" s="2282"/>
      <c r="AL119" s="1037"/>
      <c r="AM119" s="339">
        <v>32963</v>
      </c>
      <c r="AN119" s="338" t="s">
        <v>318</v>
      </c>
      <c r="AQ119" s="858"/>
      <c r="AR119" s="338">
        <v>1.02</v>
      </c>
      <c r="AS119" s="338" t="s">
        <v>302</v>
      </c>
      <c r="AX119" s="340">
        <v>666</v>
      </c>
      <c r="AY119" s="340" t="s">
        <v>288</v>
      </c>
      <c r="BA119" s="341" t="str">
        <f t="array" ref="BA119">IFERROR(IF($BA$11="Metro",INDEX($AR$13:$AR$814,SMALL(IF((County=$AS$13:$AS$814),MATCH(ROW($AS$13:$AS$814),ROW($AS$13:$AS$814)),""),ROWS($A$13:$A119))),INDEX($AU$13:$AU$48,SMALL(IF((County=$AV$13:$AV$48),MATCH(ROW($AV$13:$AV$48),ROW($AV$13:$AV$48)),""),ROWS($A$13:$A119)))),"")</f>
        <v/>
      </c>
      <c r="BC119" s="341" t="str">
        <f t="array" ref="BC119">IFERROR(IF($BC$11="Yes",INDEX($AX$13:$AX$2950,SMALL(IF((County=$AY$13:$AY$2950),MATCH(ROW($AY$13:$AY$2950),ROW($AY$13:$AY$2950)),""),ROWS($A$13:$A119))),""),"")</f>
        <v/>
      </c>
      <c r="BE119" s="339">
        <v>33073</v>
      </c>
      <c r="BF119" s="338" t="s">
        <v>289</v>
      </c>
      <c r="BH119" s="338">
        <v>8</v>
      </c>
      <c r="BI119" s="338" t="s">
        <v>316</v>
      </c>
      <c r="BN119" s="340">
        <v>5.01</v>
      </c>
      <c r="BO119" s="340" t="s">
        <v>347</v>
      </c>
      <c r="BP119" s="1385"/>
      <c r="BQ119" s="341">
        <v>33607</v>
      </c>
      <c r="BR119" s="338" t="s">
        <v>316</v>
      </c>
      <c r="BU119" s="858"/>
      <c r="BV119" s="338">
        <v>27.09</v>
      </c>
      <c r="BW119" s="338" t="s">
        <v>285</v>
      </c>
      <c r="BY119" s="236">
        <v>9800</v>
      </c>
      <c r="BZ119" s="236" t="s">
        <v>326</v>
      </c>
      <c r="CB119" s="340">
        <v>663.01</v>
      </c>
      <c r="CC119" s="340" t="s">
        <v>288</v>
      </c>
      <c r="CE119" s="341" t="str">
        <f t="array" ref="CE119">IFERROR(IF($CE$11="Metro",INDEX($BV$13:$BV$4972,SMALL(IF((County=$BW$13:$BW$4972),MATCH(ROW($BW$13:$BW$4972),ROW($BW$13:$BW$4972)),""),ROWS($A$13:$A119))),INDEX($BY$13:$BY$212,SMALL(IF((County=$BZ$13:$BZ$212),MATCH(ROW($BZ$13:$BZ$212),ROW($BZ$13:$BZ$212)),""),ROWS($A$13:$A119)))),"")</f>
        <v/>
      </c>
      <c r="CG119" s="341" t="str">
        <f t="array" ref="CG119">IFERROR(IF($CG$11="Yes",INDEX($CB$13:$CB$2950,SMALL(IF((County=$CC$13:$CC$2950),MATCH(ROW($CC$13:$CC$2950),ROW($CC$13:$CC$2950)),""),ROWS($A$13:$A119))),""),"")</f>
        <v/>
      </c>
      <c r="CI119" s="1387">
        <v>33062</v>
      </c>
      <c r="CJ119" s="338" t="s">
        <v>289</v>
      </c>
      <c r="CL119" s="338">
        <v>3.02</v>
      </c>
      <c r="CM119" s="338" t="s">
        <v>276</v>
      </c>
      <c r="CO119" s="236">
        <v>9601.02</v>
      </c>
      <c r="CP119" s="236" t="s">
        <v>311</v>
      </c>
      <c r="CR119" s="340">
        <v>5.01</v>
      </c>
      <c r="CS119" s="340" t="s">
        <v>347</v>
      </c>
      <c r="CT119" s="1384"/>
      <c r="CU119" s="341">
        <v>33619</v>
      </c>
      <c r="CV119" s="338" t="s">
        <v>316</v>
      </c>
      <c r="CZ119" s="1795">
        <v>1103.51</v>
      </c>
      <c r="DA119" s="338" t="s">
        <v>289</v>
      </c>
      <c r="DF119" s="340">
        <v>663.01</v>
      </c>
      <c r="DG119" s="340" t="s">
        <v>288</v>
      </c>
      <c r="DI119" s="341" t="str">
        <f t="array" ref="DI119">IFERROR(IF($DI$11="Metro",INDEX($CZ$13:$CZ$929,SMALL(IF((County=$DA$13:$DA$929),MATCH(ROW($DA$13:$DA$929),ROW($DA$13:$DA$929)),""),ROWS($A$13:$A119))),INDEX($DC$13:$DC$212,SMALL(IF((County=$DD$13:$DD$212),MATCH(ROW($DD$13:$DD$212),ROW($DD$13:$DD$212)),""),ROWS($A$13:$A119)))),"")</f>
        <v/>
      </c>
      <c r="DK119" s="341" t="str">
        <f t="array" ref="DK119">IFERROR(IF($DK$11="Yes",INDEX($DF$13:$DF$2838,SMALL(IF((County=$DG$13:$DG$2838),MATCH(ROW($DG$13:$DG$2838),ROW($DG$13:$DG$2838)),""),ROWS($A$13:$A119))),""),"")</f>
        <v/>
      </c>
      <c r="DM119" s="1387">
        <v>33064</v>
      </c>
      <c r="DN119" s="338" t="s">
        <v>289</v>
      </c>
      <c r="DP119" s="236">
        <v>10</v>
      </c>
      <c r="DQ119" s="236" t="s">
        <v>302</v>
      </c>
      <c r="DV119" s="340">
        <v>5.13</v>
      </c>
      <c r="DW119" s="340" t="s">
        <v>340</v>
      </c>
      <c r="DX119" s="1671"/>
      <c r="EB119" s="614"/>
      <c r="EC119" s="614"/>
      <c r="ED119" s="1250"/>
      <c r="EE119" s="1250"/>
      <c r="EF119" s="1250"/>
      <c r="EG119" s="1250"/>
      <c r="EH119" s="1250"/>
      <c r="EI119" s="1250"/>
      <c r="EJ119" s="1250"/>
      <c r="EK119" s="615"/>
      <c r="EL119" s="615"/>
      <c r="EM119" s="616"/>
    </row>
    <row r="120" spans="1:143" ht="14.65" customHeight="1">
      <c r="A120" s="339">
        <v>33578</v>
      </c>
      <c r="B120" s="338" t="s">
        <v>316</v>
      </c>
      <c r="E120" s="858"/>
      <c r="F120" s="338">
        <v>4503.05</v>
      </c>
      <c r="G120" s="338" t="s">
        <v>295</v>
      </c>
      <c r="L120" s="2481">
        <v>664</v>
      </c>
      <c r="M120" s="340" t="s">
        <v>288</v>
      </c>
      <c r="N120" s="1390"/>
      <c r="O120" s="2479"/>
      <c r="P120" s="2282"/>
      <c r="R120" s="341" t="str">
        <f t="array" ref="R120">IFERROR(IF($R$11="Metro",INDEX($F$13:$F$829,SMALL(IF((County=$G$13:$G$829),MATCH(ROW($G$13:$G$829),ROW($G$13:$G$829)),""),ROWS($A$13:A120))),INDEX($I$13:$I$44,SMALL(IF((County=$J$13:$J$44),MATCH(ROW($J$13:$J$44),ROW($J$13:$J$44)),""),ROWS($A$13:A120)))),"")</f>
        <v/>
      </c>
      <c r="T120" s="341" t="str">
        <f t="array" ref="T120">IFERROR(IF($T$11="Yes",INDEX($L$13:$L$2813,SMALL(IF((County=$M$13:$M$2813),MATCH(ROW($M$13:$M$2813),ROW($M$13:$M$2813)),""),ROWS($A$13:A120))),""),"")</f>
        <v/>
      </c>
      <c r="V120" s="2283" t="str">
        <f t="array" ref="V120">IFERROR(IF($T$11="Yes",INDEX($O$14:$O$2811,SMALL(IF((County=$P$14:$P$2811),MATCH(ROW($P$14:$P$2811),ROW($P$14:$P$2811)),""),ROWS($A$13:A120))),""),"")</f>
        <v/>
      </c>
      <c r="X120" s="339">
        <v>33015</v>
      </c>
      <c r="Y120" s="338" t="s">
        <v>2579</v>
      </c>
      <c r="AA120" s="338">
        <v>11.01</v>
      </c>
      <c r="AB120" s="338" t="s">
        <v>323</v>
      </c>
      <c r="AG120" s="2297">
        <v>6.01</v>
      </c>
      <c r="AH120" s="2297" t="s">
        <v>347</v>
      </c>
      <c r="AI120" s="1390"/>
      <c r="AJ120" s="2282"/>
      <c r="AK120" s="2282"/>
      <c r="AL120" s="1037"/>
      <c r="AM120" s="339">
        <v>32968</v>
      </c>
      <c r="AN120" s="338" t="s">
        <v>318</v>
      </c>
      <c r="AQ120" s="858"/>
      <c r="AR120" s="338">
        <v>2</v>
      </c>
      <c r="AS120" s="338" t="s">
        <v>302</v>
      </c>
      <c r="AX120" s="340">
        <v>667</v>
      </c>
      <c r="AY120" s="340" t="s">
        <v>288</v>
      </c>
      <c r="BA120" s="341" t="str">
        <f t="array" ref="BA120">IFERROR(IF($BA$11="Metro",INDEX($AR$13:$AR$814,SMALL(IF((County=$AS$13:$AS$814),MATCH(ROW($AS$13:$AS$814),ROW($AS$13:$AS$814)),""),ROWS($A$13:$A120))),INDEX($AU$13:$AU$48,SMALL(IF((County=$AV$13:$AV$48),MATCH(ROW($AV$13:$AV$48),ROW($AV$13:$AV$48)),""),ROWS($A$13:$A120)))),"")</f>
        <v/>
      </c>
      <c r="BC120" s="341" t="str">
        <f t="array" ref="BC120">IFERROR(IF($BC$11="Yes",INDEX($AX$13:$AX$2950,SMALL(IF((County=$AY$13:$AY$2950),MATCH(ROW($AY$13:$AY$2950),ROW($AY$13:$AY$2950)),""),ROWS($A$13:$A120))),""),"")</f>
        <v/>
      </c>
      <c r="BE120" s="339">
        <v>33076</v>
      </c>
      <c r="BF120" s="338" t="s">
        <v>289</v>
      </c>
      <c r="BH120" s="338">
        <v>8.0299999999999994</v>
      </c>
      <c r="BI120" s="338" t="s">
        <v>285</v>
      </c>
      <c r="BN120" s="340">
        <v>5.0199999999999996</v>
      </c>
      <c r="BO120" s="340" t="s">
        <v>330</v>
      </c>
      <c r="BP120" s="1385"/>
      <c r="BQ120" s="1583">
        <v>33609</v>
      </c>
      <c r="BR120" s="236" t="s">
        <v>316</v>
      </c>
      <c r="BU120" s="858"/>
      <c r="BV120" s="338">
        <v>27.1</v>
      </c>
      <c r="BW120" s="338" t="s">
        <v>285</v>
      </c>
      <c r="BY120" s="236">
        <v>1101</v>
      </c>
      <c r="BZ120" s="236" t="s">
        <v>327</v>
      </c>
      <c r="CB120" s="340">
        <v>663.02</v>
      </c>
      <c r="CC120" s="340" t="s">
        <v>288</v>
      </c>
      <c r="CE120" s="341" t="str">
        <f t="array" ref="CE120">IFERROR(IF($CE$11="Metro",INDEX($BV$13:$BV$4972,SMALL(IF((County=$BW$13:$BW$4972),MATCH(ROW($BW$13:$BW$4972),ROW($BW$13:$BW$4972)),""),ROWS($A$13:$A120))),INDEX($BY$13:$BY$212,SMALL(IF((County=$BZ$13:$BZ$212),MATCH(ROW($BZ$13:$BZ$212),ROW($BZ$13:$BZ$212)),""),ROWS($A$13:$A120)))),"")</f>
        <v/>
      </c>
      <c r="CG120" s="341" t="str">
        <f t="array" ref="CG120">IFERROR(IF($CG$11="Yes",INDEX($CB$13:$CB$2950,SMALL(IF((County=$CC$13:$CC$2950),MATCH(ROW($CC$13:$CC$2950),ROW($CC$13:$CC$2950)),""),ROWS($A$13:$A120))),""),"")</f>
        <v/>
      </c>
      <c r="CI120" s="1387">
        <v>33063</v>
      </c>
      <c r="CJ120" s="338" t="s">
        <v>289</v>
      </c>
      <c r="CL120" s="338">
        <v>3.02</v>
      </c>
      <c r="CM120" s="338" t="s">
        <v>285</v>
      </c>
      <c r="CO120" s="236">
        <v>9601.0300000000007</v>
      </c>
      <c r="CP120" s="236" t="s">
        <v>311</v>
      </c>
      <c r="CR120" s="340">
        <v>5.0199999999999996</v>
      </c>
      <c r="CS120" s="340" t="s">
        <v>330</v>
      </c>
      <c r="CT120" s="1384"/>
      <c r="CU120" s="341">
        <v>33621</v>
      </c>
      <c r="CV120" s="338" t="s">
        <v>316</v>
      </c>
      <c r="CZ120" s="1795">
        <v>1103.55</v>
      </c>
      <c r="DA120" s="338" t="s">
        <v>289</v>
      </c>
      <c r="DF120" s="340">
        <v>663.02</v>
      </c>
      <c r="DG120" s="340" t="s">
        <v>288</v>
      </c>
      <c r="DI120" s="341" t="str">
        <f t="array" ref="DI120">IFERROR(IF($DI$11="Metro",INDEX($CZ$13:$CZ$929,SMALL(IF((County=$DA$13:$DA$929),MATCH(ROW($DA$13:$DA$929),ROW($DA$13:$DA$929)),""),ROWS($A$13:$A120))),INDEX($DC$13:$DC$212,SMALL(IF((County=$DD$13:$DD$212),MATCH(ROW($DD$13:$DD$212),ROW($DD$13:$DD$212)),""),ROWS($A$13:$A120)))),"")</f>
        <v/>
      </c>
      <c r="DK120" s="341" t="str">
        <f t="array" ref="DK120">IFERROR(IF($DK$11="Yes",INDEX($DF$13:$DF$2838,SMALL(IF((County=$DG$13:$DG$2838),MATCH(ROW($DG$13:$DG$2838),ROW($DG$13:$DG$2838)),""),ROWS($A$13:$A120))),""),"")</f>
        <v/>
      </c>
      <c r="DM120" s="1387">
        <v>33065</v>
      </c>
      <c r="DN120" s="338" t="s">
        <v>289</v>
      </c>
      <c r="DP120" s="236">
        <v>10</v>
      </c>
      <c r="DQ120" s="236" t="s">
        <v>347</v>
      </c>
      <c r="DV120" s="340">
        <v>6</v>
      </c>
      <c r="DW120" s="340" t="s">
        <v>297</v>
      </c>
      <c r="DX120" s="1671"/>
      <c r="EB120" s="614"/>
      <c r="EC120" s="614"/>
      <c r="ED120" s="1250"/>
      <c r="EE120" s="1250"/>
      <c r="EF120" s="1250"/>
      <c r="EG120" s="1250"/>
      <c r="EH120" s="1250"/>
      <c r="EI120" s="1250"/>
      <c r="EJ120" s="1250"/>
      <c r="EK120" s="615"/>
      <c r="EL120" s="615"/>
      <c r="EM120" s="616"/>
    </row>
    <row r="121" spans="1:143" ht="14.65" customHeight="1">
      <c r="A121" s="339">
        <v>33579</v>
      </c>
      <c r="B121" s="338" t="s">
        <v>316</v>
      </c>
      <c r="E121" s="858"/>
      <c r="F121" s="338">
        <v>4512</v>
      </c>
      <c r="G121" s="338" t="s">
        <v>295</v>
      </c>
      <c r="L121" s="2481">
        <v>665</v>
      </c>
      <c r="M121" s="340" t="s">
        <v>288</v>
      </c>
      <c r="N121" s="1390"/>
      <c r="O121" s="2479"/>
      <c r="P121" s="2282"/>
      <c r="R121" s="341" t="str">
        <f t="array" ref="R121">IFERROR(IF($R$11="Metro",INDEX($F$13:$F$829,SMALL(IF((County=$G$13:$G$829),MATCH(ROW($G$13:$G$829),ROW($G$13:$G$829)),""),ROWS($A$13:A121))),INDEX($I$13:$I$44,SMALL(IF((County=$J$13:$J$44),MATCH(ROW($J$13:$J$44),ROW($J$13:$J$44)),""),ROWS($A$13:A121)))),"")</f>
        <v/>
      </c>
      <c r="T121" s="341" t="str">
        <f t="array" ref="T121">IFERROR(IF($T$11="Yes",INDEX($L$13:$L$2813,SMALL(IF((County=$M$13:$M$2813),MATCH(ROW($M$13:$M$2813),ROW($M$13:$M$2813)),""),ROWS($A$13:A121))),""),"")</f>
        <v/>
      </c>
      <c r="V121" s="2283" t="str">
        <f t="array" ref="V121">IFERROR(IF($T$11="Yes",INDEX($O$14:$O$2811,SMALL(IF((County=$P$14:$P$2811),MATCH(ROW($P$14:$P$2811),ROW($P$14:$P$2811)),""),ROWS($A$13:A121))),""),"")</f>
        <v/>
      </c>
      <c r="X121" s="339">
        <v>33016</v>
      </c>
      <c r="Y121" s="338" t="s">
        <v>2579</v>
      </c>
      <c r="AA121" s="338">
        <v>11.01</v>
      </c>
      <c r="AB121" s="338" t="s">
        <v>324</v>
      </c>
      <c r="AG121" s="2297">
        <v>6.02</v>
      </c>
      <c r="AH121" s="2297" t="s">
        <v>347</v>
      </c>
      <c r="AI121" s="1390"/>
      <c r="AJ121" s="2282"/>
      <c r="AK121" s="2282"/>
      <c r="AL121" s="1037"/>
      <c r="AM121" s="339">
        <v>32102</v>
      </c>
      <c r="AN121" s="338" t="s">
        <v>322</v>
      </c>
      <c r="AQ121" s="858"/>
      <c r="AR121" s="338">
        <v>3</v>
      </c>
      <c r="AS121" s="338" t="s">
        <v>302</v>
      </c>
      <c r="AX121" s="340">
        <v>668</v>
      </c>
      <c r="AY121" s="340" t="s">
        <v>288</v>
      </c>
      <c r="BA121" s="341" t="str">
        <f t="array" ref="BA121">IFERROR(IF($BA$11="Metro",INDEX($AR$13:$AR$814,SMALL(IF((County=$AS$13:$AS$814),MATCH(ROW($AS$13:$AS$814),ROW($AS$13:$AS$814)),""),ROWS($A$13:$A121))),INDEX($AU$13:$AU$48,SMALL(IF((County=$AV$13:$AV$48),MATCH(ROW($AV$13:$AV$48),ROW($AV$13:$AV$48)),""),ROWS($A$13:$A121)))),"")</f>
        <v/>
      </c>
      <c r="BC121" s="341" t="str">
        <f t="array" ref="BC121">IFERROR(IF($BC$11="Yes",INDEX($AX$13:$AX$2950,SMALL(IF((County=$AY$13:$AY$2950),MATCH(ROW($AY$13:$AY$2950),ROW($AY$13:$AY$2950)),""),ROWS($A$13:$A121))),""),"")</f>
        <v/>
      </c>
      <c r="BE121" s="339">
        <v>33109</v>
      </c>
      <c r="BF121" s="338" t="s">
        <v>331</v>
      </c>
      <c r="BH121" s="338">
        <v>8.0399999999999991</v>
      </c>
      <c r="BI121" s="338" t="s">
        <v>331</v>
      </c>
      <c r="BN121" s="340">
        <v>5.0199999999999996</v>
      </c>
      <c r="BO121" s="340" t="s">
        <v>347</v>
      </c>
      <c r="BP121" s="1385"/>
      <c r="BQ121" s="1583">
        <v>33611</v>
      </c>
      <c r="BR121" s="236" t="s">
        <v>316</v>
      </c>
      <c r="BU121" s="858"/>
      <c r="BV121" s="338">
        <v>27.11</v>
      </c>
      <c r="BW121" s="338" t="s">
        <v>285</v>
      </c>
      <c r="BY121" s="236">
        <v>1102</v>
      </c>
      <c r="BZ121" s="236" t="s">
        <v>327</v>
      </c>
      <c r="CB121" s="340">
        <v>664</v>
      </c>
      <c r="CC121" s="340" t="s">
        <v>288</v>
      </c>
      <c r="CE121" s="341" t="str">
        <f t="array" ref="CE121">IFERROR(IF($CE$11="Metro",INDEX($BV$13:$BV$4972,SMALL(IF((County=$BW$13:$BW$4972),MATCH(ROW($BW$13:$BW$4972),ROW($BW$13:$BW$4972)),""),ROWS($A$13:$A121))),INDEX($BY$13:$BY$212,SMALL(IF((County=$BZ$13:$BZ$212),MATCH(ROW($BZ$13:$BZ$212),ROW($BZ$13:$BZ$212)),""),ROWS($A$13:$A121)))),"")</f>
        <v/>
      </c>
      <c r="CG121" s="341" t="str">
        <f t="array" ref="CG121">IFERROR(IF($CG$11="Yes",INDEX($CB$13:$CB$2950,SMALL(IF((County=$CC$13:$CC$2950),MATCH(ROW($CC$13:$CC$2950),ROW($CC$13:$CC$2950)),""),ROWS($A$13:$A121))),""),"")</f>
        <v/>
      </c>
      <c r="CI121" s="1387">
        <v>33064</v>
      </c>
      <c r="CJ121" s="338" t="s">
        <v>289</v>
      </c>
      <c r="CL121" s="236">
        <v>3.02</v>
      </c>
      <c r="CM121" s="236" t="s">
        <v>297</v>
      </c>
      <c r="CO121" s="236">
        <v>9602</v>
      </c>
      <c r="CP121" s="236" t="s">
        <v>310</v>
      </c>
      <c r="CR121" s="340">
        <v>5.0199999999999996</v>
      </c>
      <c r="CS121" s="340" t="s">
        <v>347</v>
      </c>
      <c r="CT121" s="1384"/>
      <c r="CU121" s="341">
        <v>33624</v>
      </c>
      <c r="CV121" s="338" t="s">
        <v>316</v>
      </c>
      <c r="CZ121" s="1795">
        <v>103.02</v>
      </c>
      <c r="DA121" s="338" t="s">
        <v>294</v>
      </c>
      <c r="DF121" s="340">
        <v>664</v>
      </c>
      <c r="DG121" s="340" t="s">
        <v>288</v>
      </c>
      <c r="DI121" s="341" t="str">
        <f t="array" ref="DI121">IFERROR(IF($DI$11="Metro",INDEX($CZ$13:$CZ$929,SMALL(IF((County=$DA$13:$DA$929),MATCH(ROW($DA$13:$DA$929),ROW($DA$13:$DA$929)),""),ROWS($A$13:$A121))),INDEX($DC$13:$DC$212,SMALL(IF((County=$DD$13:$DD$212),MATCH(ROW($DD$13:$DD$212),ROW($DD$13:$DD$212)),""),ROWS($A$13:$A121)))),"")</f>
        <v/>
      </c>
      <c r="DK121" s="341" t="str">
        <f t="array" ref="DK121">IFERROR(IF($DK$11="Yes",INDEX($DF$13:$DF$2838,SMALL(IF((County=$DG$13:$DG$2838),MATCH(ROW($DG$13:$DG$2838),ROW($DG$13:$DG$2838)),""),ROWS($A$13:$A121))),""),"")</f>
        <v/>
      </c>
      <c r="DM121" s="1387">
        <v>33067</v>
      </c>
      <c r="DN121" s="338" t="s">
        <v>289</v>
      </c>
      <c r="DP121" s="236">
        <v>10.01</v>
      </c>
      <c r="DQ121" s="236" t="s">
        <v>316</v>
      </c>
      <c r="DV121" s="340">
        <v>6</v>
      </c>
      <c r="DW121" s="340" t="s">
        <v>340</v>
      </c>
      <c r="DX121" s="1671"/>
      <c r="EB121" s="614"/>
      <c r="EC121" s="614"/>
      <c r="ED121" s="1250"/>
      <c r="EE121" s="1250"/>
      <c r="EF121" s="1250"/>
      <c r="EG121" s="1250"/>
      <c r="EH121" s="1250"/>
      <c r="EI121" s="1250"/>
      <c r="EJ121" s="1250"/>
      <c r="EK121" s="615"/>
      <c r="EL121" s="615"/>
      <c r="EM121" s="616"/>
    </row>
    <row r="122" spans="1:143" ht="14.65" customHeight="1">
      <c r="A122" s="339">
        <v>33594</v>
      </c>
      <c r="B122" s="338" t="s">
        <v>316</v>
      </c>
      <c r="E122" s="858"/>
      <c r="F122" s="338">
        <v>4516.05</v>
      </c>
      <c r="G122" s="338" t="s">
        <v>295</v>
      </c>
      <c r="L122" s="2481">
        <v>666</v>
      </c>
      <c r="M122" s="340" t="s">
        <v>288</v>
      </c>
      <c r="N122" s="1390"/>
      <c r="O122" s="2479"/>
      <c r="P122" s="2282"/>
      <c r="R122" s="341" t="str">
        <f t="array" ref="R122">IFERROR(IF($R$11="Metro",INDEX($F$13:$F$829,SMALL(IF((County=$G$13:$G$829),MATCH(ROW($G$13:$G$829),ROW($G$13:$G$829)),""),ROWS($A$13:A122))),INDEX($I$13:$I$44,SMALL(IF((County=$J$13:$J$44),MATCH(ROW($J$13:$J$44),ROW($J$13:$J$44)),""),ROWS($A$13:A122)))),"")</f>
        <v/>
      </c>
      <c r="T122" s="341" t="str">
        <f t="array" ref="T122">IFERROR(IF($T$11="Yes",INDEX($L$13:$L$2813,SMALL(IF((County=$M$13:$M$2813),MATCH(ROW($M$13:$M$2813),ROW($M$13:$M$2813)),""),ROWS($A$13:A122))),""),"")</f>
        <v/>
      </c>
      <c r="V122" s="2283" t="str">
        <f t="array" ref="V122">IFERROR(IF($T$11="Yes",INDEX($O$14:$O$2811,SMALL(IF((County=$P$14:$P$2811),MATCH(ROW($P$14:$P$2811),ROW($P$14:$P$2811)),""),ROWS($A$13:A122))),""),"")</f>
        <v/>
      </c>
      <c r="X122" s="339">
        <v>33018</v>
      </c>
      <c r="Y122" s="338" t="s">
        <v>2579</v>
      </c>
      <c r="AA122" s="338">
        <v>11.03</v>
      </c>
      <c r="AB122" s="338" t="s">
        <v>323</v>
      </c>
      <c r="AG122" s="2297">
        <v>6.03</v>
      </c>
      <c r="AH122" s="2297" t="s">
        <v>330</v>
      </c>
      <c r="AI122" s="1390"/>
      <c r="AJ122" s="2282"/>
      <c r="AK122" s="2282"/>
      <c r="AL122" s="1037"/>
      <c r="AM122" s="339">
        <v>32735</v>
      </c>
      <c r="AN122" s="338" t="s">
        <v>322</v>
      </c>
      <c r="AQ122" s="858"/>
      <c r="AR122" s="338">
        <v>6</v>
      </c>
      <c r="AS122" s="338" t="s">
        <v>302</v>
      </c>
      <c r="AX122" s="340">
        <v>669</v>
      </c>
      <c r="AY122" s="340" t="s">
        <v>288</v>
      </c>
      <c r="BA122" s="341" t="str">
        <f t="array" ref="BA122">IFERROR(IF($BA$11="Metro",INDEX($AR$13:$AR$814,SMALL(IF((County=$AS$13:$AS$814),MATCH(ROW($AS$13:$AS$814),ROW($AS$13:$AS$814)),""),ROWS($A$13:$A122))),INDEX($AU$13:$AU$48,SMALL(IF((County=$AV$13:$AV$48),MATCH(ROW($AV$13:$AV$48),ROW($AV$13:$AV$48)),""),ROWS($A$13:$A122)))),"")</f>
        <v/>
      </c>
      <c r="BC122" s="341" t="str">
        <f t="array" ref="BC122">IFERROR(IF($BC$11="Yes",INDEX($AX$13:$AX$2950,SMALL(IF((County=$AY$13:$AY$2950),MATCH(ROW($AY$13:$AY$2950),ROW($AY$13:$AY$2950)),""),ROWS($A$13:$A122))),""),"")</f>
        <v/>
      </c>
      <c r="BE122" s="339">
        <v>33126</v>
      </c>
      <c r="BF122" s="338" t="s">
        <v>331</v>
      </c>
      <c r="BH122" s="338">
        <v>8.0500000000000007</v>
      </c>
      <c r="BI122" s="338" t="s">
        <v>331</v>
      </c>
      <c r="BN122" s="340">
        <v>5.03</v>
      </c>
      <c r="BO122" s="340" t="s">
        <v>328</v>
      </c>
      <c r="BP122" s="1385"/>
      <c r="BQ122" s="1583">
        <v>33614</v>
      </c>
      <c r="BR122" s="236" t="s">
        <v>316</v>
      </c>
      <c r="BU122" s="858"/>
      <c r="BV122" s="338">
        <v>27.12</v>
      </c>
      <c r="BW122" s="338" t="s">
        <v>285</v>
      </c>
      <c r="BY122" s="236">
        <v>1103.01</v>
      </c>
      <c r="BZ122" s="236" t="s">
        <v>327</v>
      </c>
      <c r="CB122" s="340">
        <v>665</v>
      </c>
      <c r="CC122" s="340" t="s">
        <v>288</v>
      </c>
      <c r="CE122" s="341" t="str">
        <f t="array" ref="CE122">IFERROR(IF($CE$11="Metro",INDEX($BV$13:$BV$4972,SMALL(IF((County=$BW$13:$BW$4972),MATCH(ROW($BW$13:$BW$4972),ROW($BW$13:$BW$4972)),""),ROWS($A$13:$A122))),INDEX($BY$13:$BY$212,SMALL(IF((County=$BZ$13:$BZ$212),MATCH(ROW($BZ$13:$BZ$212),ROW($BZ$13:$BZ$212)),""),ROWS($A$13:$A122)))),"")</f>
        <v/>
      </c>
      <c r="CG122" s="341" t="str">
        <f t="array" ref="CG122">IFERROR(IF($CG$11="Yes",INDEX($CB$13:$CB$2950,SMALL(IF((County=$CC$13:$CC$2950),MATCH(ROW($CC$13:$CC$2950),ROW($CC$13:$CC$2950)),""),ROWS($A$13:$A122))),""),"")</f>
        <v/>
      </c>
      <c r="CI122" s="1387">
        <v>33065</v>
      </c>
      <c r="CJ122" s="338" t="s">
        <v>289</v>
      </c>
      <c r="CL122" s="236">
        <v>3.02</v>
      </c>
      <c r="CM122" s="236" t="s">
        <v>316</v>
      </c>
      <c r="CO122" s="236">
        <v>9602.01</v>
      </c>
      <c r="CP122" s="236" t="s">
        <v>311</v>
      </c>
      <c r="CR122" s="340">
        <v>5.03</v>
      </c>
      <c r="CS122" s="340" t="s">
        <v>328</v>
      </c>
      <c r="CT122" s="1384"/>
      <c r="CU122" s="341">
        <v>33625</v>
      </c>
      <c r="CV122" s="338" t="s">
        <v>316</v>
      </c>
      <c r="CZ122" s="1795">
        <v>207</v>
      </c>
      <c r="DA122" s="338" t="s">
        <v>294</v>
      </c>
      <c r="DF122" s="340">
        <v>665</v>
      </c>
      <c r="DG122" s="340" t="s">
        <v>288</v>
      </c>
      <c r="DI122" s="341" t="str">
        <f t="array" ref="DI122">IFERROR(IF($DI$11="Metro",INDEX($CZ$13:$CZ$929,SMALL(IF((County=$DA$13:$DA$929),MATCH(ROW($DA$13:$DA$929),ROW($DA$13:$DA$929)),""),ROWS($A$13:$A122))),INDEX($DC$13:$DC$212,SMALL(IF((County=$DD$13:$DD$212),MATCH(ROW($DD$13:$DD$212),ROW($DD$13:$DD$212)),""),ROWS($A$13:$A122)))),"")</f>
        <v/>
      </c>
      <c r="DK122" s="341" t="str">
        <f t="array" ref="DK122">IFERROR(IF($DK$11="Yes",INDEX($DF$13:$DF$2838,SMALL(IF((County=$DG$13:$DG$2838),MATCH(ROW($DG$13:$DG$2838),ROW($DG$13:$DG$2838)),""),ROWS($A$13:$A122))),""),"")</f>
        <v/>
      </c>
      <c r="DM122" s="1387">
        <v>33068</v>
      </c>
      <c r="DN122" s="338" t="s">
        <v>289</v>
      </c>
      <c r="DP122" s="236">
        <v>10.01</v>
      </c>
      <c r="DQ122" s="236" t="s">
        <v>324</v>
      </c>
      <c r="DV122" s="340">
        <v>6.01</v>
      </c>
      <c r="DW122" s="340" t="s">
        <v>331</v>
      </c>
      <c r="DX122" s="1671"/>
      <c r="EB122" s="614"/>
      <c r="EC122" s="614"/>
      <c r="ED122" s="1250"/>
      <c r="EE122" s="1250"/>
      <c r="EF122" s="1250"/>
      <c r="EG122" s="1250"/>
      <c r="EH122" s="1250"/>
      <c r="EI122" s="616"/>
      <c r="EJ122" s="1250"/>
      <c r="EK122" s="615"/>
      <c r="EL122" s="615"/>
      <c r="EM122" s="616"/>
    </row>
    <row r="123" spans="1:143" ht="14.65" customHeight="1">
      <c r="A123" s="339">
        <v>33596</v>
      </c>
      <c r="B123" s="338" t="s">
        <v>316</v>
      </c>
      <c r="E123" s="858"/>
      <c r="F123" s="338">
        <v>304</v>
      </c>
      <c r="G123" s="338" t="s">
        <v>296</v>
      </c>
      <c r="L123" s="2481">
        <v>667</v>
      </c>
      <c r="M123" s="340" t="s">
        <v>288</v>
      </c>
      <c r="N123" s="1390"/>
      <c r="O123" s="2479"/>
      <c r="P123" s="2282"/>
      <c r="R123" s="341" t="str">
        <f t="array" ref="R123">IFERROR(IF($R$11="Metro",INDEX($F$13:$F$829,SMALL(IF((County=$G$13:$G$829),MATCH(ROW($G$13:$G$829),ROW($G$13:$G$829)),""),ROWS($A$13:A123))),INDEX($I$13:$I$44,SMALL(IF((County=$J$13:$J$44),MATCH(ROW($J$13:$J$44),ROW($J$13:$J$44)),""),ROWS($A$13:A123)))),"")</f>
        <v/>
      </c>
      <c r="T123" s="341" t="str">
        <f t="array" ref="T123">IFERROR(IF($T$11="Yes",INDEX($L$13:$L$2813,SMALL(IF((County=$M$13:$M$2813),MATCH(ROW($M$13:$M$2813),ROW($M$13:$M$2813)),""),ROWS($A$13:A123))),""),"")</f>
        <v/>
      </c>
      <c r="V123" s="2283" t="str">
        <f t="array" ref="V123">IFERROR(IF($T$11="Yes",INDEX($O$14:$O$2811,SMALL(IF((County=$P$14:$P$2811),MATCH(ROW($P$14:$P$2811),ROW($P$14:$P$2811)),""),ROWS($A$13:A123))),""),"")</f>
        <v/>
      </c>
      <c r="X123" s="339">
        <v>33019</v>
      </c>
      <c r="Y123" s="338" t="s">
        <v>289</v>
      </c>
      <c r="AA123" s="338">
        <v>11.04</v>
      </c>
      <c r="AB123" s="338" t="s">
        <v>323</v>
      </c>
      <c r="AG123" s="2297">
        <v>6.04</v>
      </c>
      <c r="AH123" s="2297" t="s">
        <v>330</v>
      </c>
      <c r="AI123" s="1390"/>
      <c r="AJ123" s="2282"/>
      <c r="AK123" s="2282"/>
      <c r="AL123" s="1037"/>
      <c r="AM123" s="339">
        <v>32776</v>
      </c>
      <c r="AN123" s="338" t="s">
        <v>322</v>
      </c>
      <c r="AQ123" s="858"/>
      <c r="AR123" s="338">
        <v>10</v>
      </c>
      <c r="AS123" s="338" t="s">
        <v>302</v>
      </c>
      <c r="AX123" s="340">
        <v>671</v>
      </c>
      <c r="AY123" s="340" t="s">
        <v>288</v>
      </c>
      <c r="BA123" s="341" t="str">
        <f t="array" ref="BA123">IFERROR(IF($BA$11="Metro",INDEX($AR$13:$AR$814,SMALL(IF((County=$AS$13:$AS$814),MATCH(ROW($AS$13:$AS$814),ROW($AS$13:$AS$814)),""),ROWS($A$13:$A123))),INDEX($AU$13:$AU$48,SMALL(IF((County=$AV$13:$AV$48),MATCH(ROW($AV$13:$AV$48),ROW($AV$13:$AV$48)),""),ROWS($A$13:$A123)))),"")</f>
        <v/>
      </c>
      <c r="BC123" s="341" t="str">
        <f t="array" ref="BC123">IFERROR(IF($BC$11="Yes",INDEX($AX$13:$AX$2950,SMALL(IF((County=$AY$13:$AY$2950),MATCH(ROW($AY$13:$AY$2950),ROW($AY$13:$AY$2950)),""),ROWS($A$13:$A123))),""),"")</f>
        <v/>
      </c>
      <c r="BE123" s="339">
        <v>33129</v>
      </c>
      <c r="BF123" s="338" t="s">
        <v>331</v>
      </c>
      <c r="BH123" s="338">
        <v>8.06</v>
      </c>
      <c r="BI123" s="338" t="s">
        <v>276</v>
      </c>
      <c r="BN123" s="340">
        <v>5.05</v>
      </c>
      <c r="BO123" s="340" t="s">
        <v>340</v>
      </c>
      <c r="BP123" s="1385"/>
      <c r="BQ123" s="1583">
        <v>33615</v>
      </c>
      <c r="BR123" s="236" t="s">
        <v>316</v>
      </c>
      <c r="BU123" s="858"/>
      <c r="BV123" s="338">
        <v>27.13</v>
      </c>
      <c r="BW123" s="338" t="s">
        <v>285</v>
      </c>
      <c r="BY123" s="236">
        <v>1103.02</v>
      </c>
      <c r="BZ123" s="236" t="s">
        <v>327</v>
      </c>
      <c r="CB123" s="340">
        <v>666</v>
      </c>
      <c r="CC123" s="340" t="s">
        <v>288</v>
      </c>
      <c r="CE123" s="341" t="str">
        <f t="array" ref="CE123">IFERROR(IF($CE$11="Metro",INDEX($BV$13:$BV$4972,SMALL(IF((County=$BW$13:$BW$4972),MATCH(ROW($BW$13:$BW$4972),ROW($BW$13:$BW$4972)),""),ROWS($A$13:$A123))),INDEX($BY$13:$BY$212,SMALL(IF((County=$BZ$13:$BZ$212),MATCH(ROW($BZ$13:$BZ$212),ROW($BZ$13:$BZ$212)),""),ROWS($A$13:$A123)))),"")</f>
        <v/>
      </c>
      <c r="CG123" s="341" t="str">
        <f t="array" ref="CG123">IFERROR(IF($CG$11="Yes",INDEX($CB$13:$CB$2950,SMALL(IF((County=$CC$13:$CC$2950),MATCH(ROW($CC$13:$CC$2950),ROW($CC$13:$CC$2950)),""),ROWS($A$13:$A123))),""),"")</f>
        <v/>
      </c>
      <c r="CI123" s="1387">
        <v>33067</v>
      </c>
      <c r="CJ123" s="338" t="s">
        <v>289</v>
      </c>
      <c r="CL123" s="236">
        <v>3.02</v>
      </c>
      <c r="CM123" s="236" t="s">
        <v>324</v>
      </c>
      <c r="CO123" s="236">
        <v>9602.01</v>
      </c>
      <c r="CP123" s="236" t="s">
        <v>317</v>
      </c>
      <c r="CR123" s="340">
        <v>5.05</v>
      </c>
      <c r="CS123" s="340" t="s">
        <v>340</v>
      </c>
      <c r="CT123" s="1384"/>
      <c r="CU123" s="341">
        <v>33626</v>
      </c>
      <c r="CV123" s="338" t="s">
        <v>316</v>
      </c>
      <c r="CZ123" s="1795">
        <v>4508</v>
      </c>
      <c r="DA123" s="338" t="s">
        <v>295</v>
      </c>
      <c r="DF123" s="340">
        <v>666</v>
      </c>
      <c r="DG123" s="340" t="s">
        <v>288</v>
      </c>
      <c r="DI123" s="341" t="str">
        <f t="array" ref="DI123">IFERROR(IF($DI$11="Metro",INDEX($CZ$13:$CZ$929,SMALL(IF((County=$DA$13:$DA$929),MATCH(ROW($DA$13:$DA$929),ROW($DA$13:$DA$929)),""),ROWS($A$13:$A123))),INDEX($DC$13:$DC$212,SMALL(IF((County=$DD$13:$DD$212),MATCH(ROW($DD$13:$DD$212),ROW($DD$13:$DD$212)),""),ROWS($A$13:$A123)))),"")</f>
        <v/>
      </c>
      <c r="DK123" s="341" t="str">
        <f t="array" ref="DK123">IFERROR(IF($DK$11="Yes",INDEX($DF$13:$DF$2838,SMALL(IF((County=$DG$13:$DG$2838),MATCH(ROW($DG$13:$DG$2838),ROW($DG$13:$DG$2838)),""),ROWS($A$13:$A123))),""),"")</f>
        <v/>
      </c>
      <c r="DM123" s="1387">
        <v>33069</v>
      </c>
      <c r="DN123" s="338" t="s">
        <v>289</v>
      </c>
      <c r="DP123" s="236">
        <v>10.02</v>
      </c>
      <c r="DQ123" s="236" t="s">
        <v>316</v>
      </c>
      <c r="DV123" s="340">
        <v>6.01</v>
      </c>
      <c r="DW123" s="340" t="s">
        <v>347</v>
      </c>
      <c r="DX123" s="1671"/>
      <c r="EB123" s="614"/>
      <c r="EC123" s="614"/>
      <c r="ED123" s="1250"/>
      <c r="EE123" s="1250"/>
      <c r="EF123" s="1250"/>
      <c r="EG123" s="1250"/>
      <c r="EH123" s="1250"/>
      <c r="EI123" s="1250"/>
      <c r="EJ123" s="1250"/>
      <c r="EK123" s="615"/>
      <c r="EL123" s="615"/>
      <c r="EM123" s="616"/>
    </row>
    <row r="124" spans="1:143" ht="14.65" customHeight="1">
      <c r="A124" s="339">
        <v>33602</v>
      </c>
      <c r="B124" s="338" t="s">
        <v>316</v>
      </c>
      <c r="E124" s="858"/>
      <c r="F124" s="338">
        <v>314</v>
      </c>
      <c r="G124" s="338" t="s">
        <v>296</v>
      </c>
      <c r="L124" s="2481">
        <v>668</v>
      </c>
      <c r="M124" s="340" t="s">
        <v>288</v>
      </c>
      <c r="N124" s="1390"/>
      <c r="O124" s="2479"/>
      <c r="P124" s="2282"/>
      <c r="R124" s="341" t="str">
        <f t="array" ref="R124">IFERROR(IF($R$11="Metro",INDEX($F$13:$F$829,SMALL(IF((County=$G$13:$G$829),MATCH(ROW($G$13:$G$829),ROW($G$13:$G$829)),""),ROWS($A$13:A124))),INDEX($I$13:$I$44,SMALL(IF((County=$J$13:$J$44),MATCH(ROW($J$13:$J$44),ROW($J$13:$J$44)),""),ROWS($A$13:A124)))),"")</f>
        <v/>
      </c>
      <c r="T124" s="341" t="str">
        <f t="array" ref="T124">IFERROR(IF($T$11="Yes",INDEX($L$13:$L$2813,SMALL(IF((County=$M$13:$M$2813),MATCH(ROW($M$13:$M$2813),ROW($M$13:$M$2813)),""),ROWS($A$13:A124))),""),"")</f>
        <v/>
      </c>
      <c r="V124" s="2283" t="str">
        <f t="array" ref="V124">IFERROR(IF($T$11="Yes",INDEX($O$14:$O$2811,SMALL(IF((County=$P$14:$P$2811),MATCH(ROW($P$14:$P$2811),ROW($P$14:$P$2811)),""),ROWS($A$13:A124))),""),"")</f>
        <v/>
      </c>
      <c r="X124" s="339">
        <v>33020</v>
      </c>
      <c r="Y124" s="338" t="s">
        <v>289</v>
      </c>
      <c r="AA124" s="338">
        <v>11.06</v>
      </c>
      <c r="AB124" s="338" t="s">
        <v>328</v>
      </c>
      <c r="AG124" s="2297">
        <v>6.06</v>
      </c>
      <c r="AH124" s="2297" t="s">
        <v>330</v>
      </c>
      <c r="AI124" s="1390"/>
      <c r="AJ124" s="2282"/>
      <c r="AK124" s="2282"/>
      <c r="AL124" s="1037"/>
      <c r="AM124" s="339">
        <v>34711</v>
      </c>
      <c r="AN124" s="338" t="s">
        <v>322</v>
      </c>
      <c r="AQ124" s="858"/>
      <c r="AR124" s="338">
        <v>12</v>
      </c>
      <c r="AS124" s="338" t="s">
        <v>302</v>
      </c>
      <c r="AX124" s="340">
        <v>681.01</v>
      </c>
      <c r="AY124" s="340" t="s">
        <v>288</v>
      </c>
      <c r="BA124" s="341" t="str">
        <f t="array" ref="BA124">IFERROR(IF($BA$11="Metro",INDEX($AR$13:$AR$814,SMALL(IF((County=$AS$13:$AS$814),MATCH(ROW($AS$13:$AS$814),ROW($AS$13:$AS$814)),""),ROWS($A$13:$A124))),INDEX($AU$13:$AU$48,SMALL(IF((County=$AV$13:$AV$48),MATCH(ROW($AV$13:$AV$48),ROW($AV$13:$AV$48)),""),ROWS($A$13:$A124)))),"")</f>
        <v/>
      </c>
      <c r="BC124" s="341" t="str">
        <f t="array" ref="BC124">IFERROR(IF($BC$11="Yes",INDEX($AX$13:$AX$2950,SMALL(IF((County=$AY$13:$AY$2950),MATCH(ROW($AY$13:$AY$2950),ROW($AY$13:$AY$2950)),""),ROWS($A$13:$A124))),""),"")</f>
        <v/>
      </c>
      <c r="BE124" s="339">
        <v>33131</v>
      </c>
      <c r="BF124" s="338" t="s">
        <v>331</v>
      </c>
      <c r="BH124" s="338">
        <v>8.06</v>
      </c>
      <c r="BI124" s="338" t="s">
        <v>331</v>
      </c>
      <c r="BN124" s="340">
        <v>5.07</v>
      </c>
      <c r="BO124" s="340" t="s">
        <v>340</v>
      </c>
      <c r="BP124" s="1385"/>
      <c r="BQ124" s="1583">
        <v>33616</v>
      </c>
      <c r="BR124" s="236" t="s">
        <v>316</v>
      </c>
      <c r="BU124" s="858"/>
      <c r="BV124" s="338">
        <v>9900</v>
      </c>
      <c r="BW124" s="338" t="s">
        <v>285</v>
      </c>
      <c r="BY124" s="236">
        <v>1104</v>
      </c>
      <c r="BZ124" s="236" t="s">
        <v>327</v>
      </c>
      <c r="CB124" s="340">
        <v>667</v>
      </c>
      <c r="CC124" s="340" t="s">
        <v>288</v>
      </c>
      <c r="CE124" s="341" t="str">
        <f t="array" ref="CE124">IFERROR(IF($CE$11="Metro",INDEX($BV$13:$BV$4972,SMALL(IF((County=$BW$13:$BW$4972),MATCH(ROW($BW$13:$BW$4972),ROW($BW$13:$BW$4972)),""),ROWS($A$13:$A124))),INDEX($BY$13:$BY$212,SMALL(IF((County=$BZ$13:$BZ$212),MATCH(ROW($BZ$13:$BZ$212),ROW($BZ$13:$BZ$212)),""),ROWS($A$13:$A124)))),"")</f>
        <v/>
      </c>
      <c r="CG124" s="341" t="str">
        <f t="array" ref="CG124">IFERROR(IF($CG$11="Yes",INDEX($CB$13:$CB$2950,SMALL(IF((County=$CC$13:$CC$2950),MATCH(ROW($CC$13:$CC$2950),ROW($CC$13:$CC$2950)),""),ROWS($A$13:$A124))),""),"")</f>
        <v/>
      </c>
      <c r="CI124" s="1387">
        <v>33068</v>
      </c>
      <c r="CJ124" s="338" t="s">
        <v>289</v>
      </c>
      <c r="CL124" s="236">
        <v>3.02</v>
      </c>
      <c r="CM124" s="236" t="s">
        <v>329</v>
      </c>
      <c r="CO124" s="236">
        <v>9602.01</v>
      </c>
      <c r="CP124" s="236" t="s">
        <v>321</v>
      </c>
      <c r="CR124" s="340">
        <v>5.07</v>
      </c>
      <c r="CS124" s="340" t="s">
        <v>340</v>
      </c>
      <c r="CT124" s="1384"/>
      <c r="CU124" s="341">
        <v>33629</v>
      </c>
      <c r="CV124" s="338" t="s">
        <v>316</v>
      </c>
      <c r="CZ124" s="1795">
        <v>4516.05</v>
      </c>
      <c r="DA124" s="338" t="s">
        <v>295</v>
      </c>
      <c r="DF124" s="340">
        <v>667</v>
      </c>
      <c r="DG124" s="340" t="s">
        <v>288</v>
      </c>
      <c r="DI124" s="341" t="str">
        <f t="array" ref="DI124">IFERROR(IF($DI$11="Metro",INDEX($CZ$13:$CZ$929,SMALL(IF((County=$DA$13:$DA$929),MATCH(ROW($DA$13:$DA$929),ROW($DA$13:$DA$929)),""),ROWS($A$13:$A124))),INDEX($DC$13:$DC$212,SMALL(IF((County=$DD$13:$DD$212),MATCH(ROW($DD$13:$DD$212),ROW($DD$13:$DD$212)),""),ROWS($A$13:$A124)))),"")</f>
        <v/>
      </c>
      <c r="DK124" s="341" t="str">
        <f t="array" ref="DK124">IFERROR(IF($DK$11="Yes",INDEX($DF$13:$DF$2838,SMALL(IF((County=$DG$13:$DG$2838),MATCH(ROW($DG$13:$DG$2838),ROW($DG$13:$DG$2838)),""),ROWS($A$13:$A124))),""),"")</f>
        <v/>
      </c>
      <c r="DM124" s="1387">
        <v>33071</v>
      </c>
      <c r="DN124" s="338" t="s">
        <v>289</v>
      </c>
      <c r="DP124" s="236">
        <v>10.02</v>
      </c>
      <c r="DQ124" s="236" t="s">
        <v>323</v>
      </c>
      <c r="DV124" s="340">
        <v>6.02</v>
      </c>
      <c r="DW124" s="340" t="s">
        <v>347</v>
      </c>
      <c r="DX124" s="1671"/>
      <c r="EB124" s="614"/>
      <c r="EC124" s="614"/>
      <c r="ED124" s="1250"/>
      <c r="EE124" s="1250"/>
      <c r="EF124" s="1250"/>
      <c r="EG124" s="1250"/>
      <c r="EH124" s="1250"/>
      <c r="EI124" s="616"/>
      <c r="EJ124" s="1250"/>
      <c r="EK124" s="615"/>
      <c r="EL124" s="615"/>
      <c r="EM124" s="616"/>
    </row>
    <row r="125" spans="1:143" ht="14.65" customHeight="1">
      <c r="A125" s="339">
        <v>33606</v>
      </c>
      <c r="B125" s="338" t="s">
        <v>316</v>
      </c>
      <c r="E125" s="858"/>
      <c r="F125" s="338">
        <v>104.22</v>
      </c>
      <c r="G125" s="338" t="s">
        <v>297</v>
      </c>
      <c r="L125" s="2481">
        <v>669</v>
      </c>
      <c r="M125" s="340" t="s">
        <v>288</v>
      </c>
      <c r="N125" s="1390"/>
      <c r="O125" s="2479"/>
      <c r="P125" s="2282"/>
      <c r="R125" s="341" t="str">
        <f t="array" ref="R125">IFERROR(IF($R$11="Metro",INDEX($F$13:$F$829,SMALL(IF((County=$G$13:$G$829),MATCH(ROW($G$13:$G$829),ROW($G$13:$G$829)),""),ROWS($A$13:A125))),INDEX($I$13:$I$44,SMALL(IF((County=$J$13:$J$44),MATCH(ROW($J$13:$J$44),ROW($J$13:$J$44)),""),ROWS($A$13:A125)))),"")</f>
        <v/>
      </c>
      <c r="T125" s="341" t="str">
        <f t="array" ref="T125">IFERROR(IF($T$11="Yes",INDEX($L$13:$L$2813,SMALL(IF((County=$M$13:$M$2813),MATCH(ROW($M$13:$M$2813),ROW($M$13:$M$2813)),""),ROWS($A$13:A125))),""),"")</f>
        <v/>
      </c>
      <c r="V125" s="2283" t="str">
        <f t="array" ref="V125">IFERROR(IF($T$11="Yes",INDEX($O$14:$O$2811,SMALL(IF((County=$P$14:$P$2811),MATCH(ROW($P$14:$P$2811),ROW($P$14:$P$2811)),""),ROWS($A$13:A125))),""),"")</f>
        <v/>
      </c>
      <c r="X125" s="339">
        <v>33021</v>
      </c>
      <c r="Y125" s="338" t="s">
        <v>289</v>
      </c>
      <c r="AA125" s="338">
        <v>12</v>
      </c>
      <c r="AB125" s="338" t="s">
        <v>285</v>
      </c>
      <c r="AG125" s="2297">
        <v>6.07</v>
      </c>
      <c r="AH125" s="2297" t="s">
        <v>329</v>
      </c>
      <c r="AI125" s="1390"/>
      <c r="AJ125" s="2282"/>
      <c r="AK125" s="2282"/>
      <c r="AL125" s="1037"/>
      <c r="AM125" s="339">
        <v>34714</v>
      </c>
      <c r="AN125" s="338" t="s">
        <v>322</v>
      </c>
      <c r="AQ125" s="858"/>
      <c r="AR125" s="338">
        <v>13</v>
      </c>
      <c r="AS125" s="338" t="s">
        <v>302</v>
      </c>
      <c r="AX125" s="340">
        <v>681.02</v>
      </c>
      <c r="AY125" s="340" t="s">
        <v>288</v>
      </c>
      <c r="BA125" s="341" t="str">
        <f t="array" ref="BA125">IFERROR(IF($BA$11="Metro",INDEX($AR$13:$AR$814,SMALL(IF((County=$AS$13:$AS$814),MATCH(ROW($AS$13:$AS$814),ROW($AS$13:$AS$814)),""),ROWS($A$13:$A125))),INDEX($AU$13:$AU$48,SMALL(IF((County=$AV$13:$AV$48),MATCH(ROW($AV$13:$AV$48),ROW($AV$13:$AV$48)),""),ROWS($A$13:$A125)))),"")</f>
        <v/>
      </c>
      <c r="BC125" s="341" t="str">
        <f t="array" ref="BC125">IFERROR(IF($BC$11="Yes",INDEX($AX$13:$AX$2950,SMALL(IF((County=$AY$13:$AY$2950),MATCH(ROW($AY$13:$AY$2950),ROW($AY$13:$AY$2950)),""),ROWS($A$13:$A125))),""),"")</f>
        <v/>
      </c>
      <c r="BE125" s="339">
        <v>33132</v>
      </c>
      <c r="BF125" s="338" t="s">
        <v>331</v>
      </c>
      <c r="BH125" s="338">
        <v>8.07</v>
      </c>
      <c r="BI125" s="338" t="s">
        <v>331</v>
      </c>
      <c r="BN125" s="340">
        <v>5.09</v>
      </c>
      <c r="BO125" s="340" t="s">
        <v>340</v>
      </c>
      <c r="BP125" s="1385"/>
      <c r="BQ125" s="1583">
        <v>33617</v>
      </c>
      <c r="BR125" s="236" t="s">
        <v>316</v>
      </c>
      <c r="BU125" s="858"/>
      <c r="BV125" s="338">
        <v>601.03</v>
      </c>
      <c r="BW125" s="338" t="s">
        <v>288</v>
      </c>
      <c r="BY125" s="236">
        <v>9704</v>
      </c>
      <c r="BZ125" s="236" t="s">
        <v>333</v>
      </c>
      <c r="CB125" s="340">
        <v>668</v>
      </c>
      <c r="CC125" s="340" t="s">
        <v>288</v>
      </c>
      <c r="CE125" s="341" t="str">
        <f t="array" ref="CE125">IFERROR(IF($CE$11="Metro",INDEX($BV$13:$BV$4972,SMALL(IF((County=$BW$13:$BW$4972),MATCH(ROW($BW$13:$BW$4972),ROW($BW$13:$BW$4972)),""),ROWS($A$13:$A125))),INDEX($BY$13:$BY$212,SMALL(IF((County=$BZ$13:$BZ$212),MATCH(ROW($BZ$13:$BZ$212),ROW($BZ$13:$BZ$212)),""),ROWS($A$13:$A125)))),"")</f>
        <v/>
      </c>
      <c r="CG125" s="341" t="str">
        <f t="array" ref="CG125">IFERROR(IF($CG$11="Yes",INDEX($CB$13:$CB$2950,SMALL(IF((County=$CC$13:$CC$2950),MATCH(ROW($CC$13:$CC$2950),ROW($CC$13:$CC$2950)),""),ROWS($A$13:$A125))),""),"")</f>
        <v/>
      </c>
      <c r="CI125" s="1387">
        <v>33069</v>
      </c>
      <c r="CJ125" s="338" t="s">
        <v>289</v>
      </c>
      <c r="CL125" s="236">
        <v>3.02</v>
      </c>
      <c r="CM125" s="236" t="s">
        <v>331</v>
      </c>
      <c r="CO125" s="236">
        <v>9602.01</v>
      </c>
      <c r="CP125" s="236" t="s">
        <v>354</v>
      </c>
      <c r="CR125" s="340">
        <v>5.09</v>
      </c>
      <c r="CS125" s="340" t="s">
        <v>340</v>
      </c>
      <c r="CT125" s="1384"/>
      <c r="CU125" s="341">
        <v>33634</v>
      </c>
      <c r="CV125" s="338" t="s">
        <v>316</v>
      </c>
      <c r="CZ125" s="1795">
        <v>304</v>
      </c>
      <c r="DA125" s="338" t="s">
        <v>296</v>
      </c>
      <c r="DF125" s="340">
        <v>668</v>
      </c>
      <c r="DG125" s="340" t="s">
        <v>288</v>
      </c>
      <c r="DI125" s="341" t="str">
        <f t="array" ref="DI125">IFERROR(IF($DI$11="Metro",INDEX($CZ$13:$CZ$929,SMALL(IF((County=$DA$13:$DA$929),MATCH(ROW($DA$13:$DA$929),ROW($DA$13:$DA$929)),""),ROWS($A$13:$A125))),INDEX($DC$13:$DC$212,SMALL(IF((County=$DD$13:$DD$212),MATCH(ROW($DD$13:$DD$212),ROW($DD$13:$DD$212)),""),ROWS($A$13:$A125)))),"")</f>
        <v/>
      </c>
      <c r="DK125" s="341" t="str">
        <f t="array" ref="DK125">IFERROR(IF($DK$11="Yes",INDEX($DF$13:$DF$2838,SMALL(IF((County=$DG$13:$DG$2838),MATCH(ROW($DG$13:$DG$2838),ROW($DG$13:$DG$2838)),""),ROWS($A$13:$A125))),""),"")</f>
        <v/>
      </c>
      <c r="DM125" s="1387">
        <v>33073</v>
      </c>
      <c r="DN125" s="338" t="s">
        <v>289</v>
      </c>
      <c r="DP125" s="236">
        <v>10.02</v>
      </c>
      <c r="DQ125" s="236" t="s">
        <v>340</v>
      </c>
      <c r="DV125" s="340">
        <v>6.03</v>
      </c>
      <c r="DW125" s="340" t="s">
        <v>330</v>
      </c>
      <c r="DX125" s="1671"/>
      <c r="EB125" s="614"/>
      <c r="EC125" s="614"/>
      <c r="ED125" s="1250"/>
      <c r="EE125" s="1250"/>
      <c r="EF125" s="1250"/>
      <c r="EG125" s="1250"/>
      <c r="EH125" s="1250"/>
      <c r="EI125" s="616"/>
      <c r="EJ125" s="1250"/>
      <c r="EK125" s="615"/>
      <c r="EL125" s="615"/>
      <c r="EM125" s="616"/>
    </row>
    <row r="126" spans="1:143" ht="14.65" customHeight="1">
      <c r="A126" s="339">
        <v>33607</v>
      </c>
      <c r="B126" s="338" t="s">
        <v>316</v>
      </c>
      <c r="E126" s="858"/>
      <c r="F126" s="338">
        <v>106.01</v>
      </c>
      <c r="G126" s="338" t="s">
        <v>297</v>
      </c>
      <c r="L126" s="2481">
        <v>671</v>
      </c>
      <c r="M126" s="340" t="s">
        <v>288</v>
      </c>
      <c r="N126" s="1390"/>
      <c r="O126" s="2479"/>
      <c r="P126" s="2282"/>
      <c r="R126" s="341" t="str">
        <f t="array" ref="R126">IFERROR(IF($R$11="Metro",INDEX($F$13:$F$829,SMALL(IF((County=$G$13:$G$829),MATCH(ROW($G$13:$G$829),ROW($G$13:$G$829)),""),ROWS($A$13:A126))),INDEX($I$13:$I$44,SMALL(IF((County=$J$13:$J$44),MATCH(ROW($J$13:$J$44),ROW($J$13:$J$44)),""),ROWS($A$13:A126)))),"")</f>
        <v/>
      </c>
      <c r="T126" s="341" t="str">
        <f t="array" ref="T126">IFERROR(IF($T$11="Yes",INDEX($L$13:$L$2813,SMALL(IF((County=$M$13:$M$2813),MATCH(ROW($M$13:$M$2813),ROW($M$13:$M$2813)),""),ROWS($A$13:A126))),""),"")</f>
        <v/>
      </c>
      <c r="V126" s="2283" t="str">
        <f t="array" ref="V126">IFERROR(IF($T$11="Yes",INDEX($O$14:$O$2811,SMALL(IF((County=$P$14:$P$2811),MATCH(ROW($P$14:$P$2811),ROW($P$14:$P$2811)),""),ROWS($A$13:A126))),""),"")</f>
        <v/>
      </c>
      <c r="X126" s="339">
        <v>33024</v>
      </c>
      <c r="Y126" s="338" t="s">
        <v>289</v>
      </c>
      <c r="AA126" s="338">
        <v>12</v>
      </c>
      <c r="AB126" s="338" t="s">
        <v>324</v>
      </c>
      <c r="AG126" s="2297">
        <v>6.07</v>
      </c>
      <c r="AH126" s="2297" t="s">
        <v>330</v>
      </c>
      <c r="AI126" s="1390"/>
      <c r="AJ126" s="2282"/>
      <c r="AK126" s="2282"/>
      <c r="AL126" s="1037"/>
      <c r="AM126" s="339">
        <v>34715</v>
      </c>
      <c r="AN126" s="338" t="s">
        <v>322</v>
      </c>
      <c r="AQ126" s="858"/>
      <c r="AR126" s="338">
        <v>14.01</v>
      </c>
      <c r="AS126" s="338" t="s">
        <v>302</v>
      </c>
      <c r="AX126" s="340">
        <v>684</v>
      </c>
      <c r="AY126" s="340" t="s">
        <v>288</v>
      </c>
      <c r="BA126" s="341" t="str">
        <f t="array" ref="BA126">IFERROR(IF($BA$11="Metro",INDEX($AR$13:$AR$814,SMALL(IF((County=$AS$13:$AS$814),MATCH(ROW($AS$13:$AS$814),ROW($AS$13:$AS$814)),""),ROWS($A$13:$A126))),INDEX($AU$13:$AU$48,SMALL(IF((County=$AV$13:$AV$48),MATCH(ROW($AV$13:$AV$48),ROW($AV$13:$AV$48)),""),ROWS($A$13:$A126)))),"")</f>
        <v/>
      </c>
      <c r="BC126" s="341" t="str">
        <f t="array" ref="BC126">IFERROR(IF($BC$11="Yes",INDEX($AX$13:$AX$2950,SMALL(IF((County=$AY$13:$AY$2950),MATCH(ROW($AY$13:$AY$2950),ROW($AY$13:$AY$2950)),""),ROWS($A$13:$A126))),""),"")</f>
        <v/>
      </c>
      <c r="BE126" s="339">
        <v>33133</v>
      </c>
      <c r="BF126" s="338" t="s">
        <v>331</v>
      </c>
      <c r="BH126" s="338">
        <v>8.08</v>
      </c>
      <c r="BI126" s="338" t="s">
        <v>276</v>
      </c>
      <c r="BN126" s="340">
        <v>5.13</v>
      </c>
      <c r="BO126" s="340" t="s">
        <v>340</v>
      </c>
      <c r="BP126" s="1385"/>
      <c r="BQ126" s="1583">
        <v>33618</v>
      </c>
      <c r="BR126" s="236" t="s">
        <v>316</v>
      </c>
      <c r="BU126" s="858"/>
      <c r="BV126" s="338">
        <v>601.04</v>
      </c>
      <c r="BW126" s="338" t="s">
        <v>288</v>
      </c>
      <c r="BY126" s="236">
        <v>9705</v>
      </c>
      <c r="BZ126" s="236" t="s">
        <v>333</v>
      </c>
      <c r="CB126" s="340">
        <v>669</v>
      </c>
      <c r="CC126" s="340" t="s">
        <v>288</v>
      </c>
      <c r="CE126" s="341" t="str">
        <f t="array" ref="CE126">IFERROR(IF($CE$11="Metro",INDEX($BV$13:$BV$4972,SMALL(IF((County=$BW$13:$BW$4972),MATCH(ROW($BW$13:$BW$4972),ROW($BW$13:$BW$4972)),""),ROWS($A$13:$A126))),INDEX($BY$13:$BY$212,SMALL(IF((County=$BZ$13:$BZ$212),MATCH(ROW($BZ$13:$BZ$212),ROW($BZ$13:$BZ$212)),""),ROWS($A$13:$A126)))),"")</f>
        <v/>
      </c>
      <c r="CG126" s="341" t="str">
        <f t="array" ref="CG126">IFERROR(IF($CG$11="Yes",INDEX($CB$13:$CB$2950,SMALL(IF((County=$CC$13:$CC$2950),MATCH(ROW($CC$13:$CC$2950),ROW($CC$13:$CC$2950)),""),ROWS($A$13:$A126))),""),"")</f>
        <v/>
      </c>
      <c r="CI126" s="1387">
        <v>33071</v>
      </c>
      <c r="CJ126" s="338" t="s">
        <v>289</v>
      </c>
      <c r="CL126" s="236">
        <v>3.03</v>
      </c>
      <c r="CM126" s="236" t="s">
        <v>323</v>
      </c>
      <c r="CO126" s="236">
        <v>9602.02</v>
      </c>
      <c r="CP126" s="236" t="s">
        <v>311</v>
      </c>
      <c r="CR126" s="340">
        <v>5.12</v>
      </c>
      <c r="CS126" s="340" t="s">
        <v>340</v>
      </c>
      <c r="CT126" s="1384"/>
      <c r="CU126" s="341">
        <v>33635</v>
      </c>
      <c r="CV126" s="338" t="s">
        <v>316</v>
      </c>
      <c r="CZ126" s="1795">
        <v>311.08</v>
      </c>
      <c r="DA126" s="338" t="s">
        <v>296</v>
      </c>
      <c r="DF126" s="340">
        <v>669</v>
      </c>
      <c r="DG126" s="340" t="s">
        <v>288</v>
      </c>
      <c r="DI126" s="341" t="str">
        <f t="array" ref="DI126">IFERROR(IF($DI$11="Metro",INDEX($CZ$13:$CZ$929,SMALL(IF((County=$DA$13:$DA$929),MATCH(ROW($DA$13:$DA$929),ROW($DA$13:$DA$929)),""),ROWS($A$13:$A126))),INDEX($DC$13:$DC$212,SMALL(IF((County=$DD$13:$DD$212),MATCH(ROW($DD$13:$DD$212),ROW($DD$13:$DD$212)),""),ROWS($A$13:$A126)))),"")</f>
        <v/>
      </c>
      <c r="DK126" s="341" t="str">
        <f t="array" ref="DK126">IFERROR(IF($DK$11="Yes",INDEX($DF$13:$DF$2838,SMALL(IF((County=$DG$13:$DG$2838),MATCH(ROW($DG$13:$DG$2838),ROW($DG$13:$DG$2838)),""),ROWS($A$13:$A126))),""),"")</f>
        <v/>
      </c>
      <c r="DM126" s="1387">
        <v>33076</v>
      </c>
      <c r="DN126" s="338" t="s">
        <v>289</v>
      </c>
      <c r="DP126" s="236">
        <v>10.029999999999999</v>
      </c>
      <c r="DQ126" s="236" t="s">
        <v>329</v>
      </c>
      <c r="DV126" s="340">
        <v>6.03</v>
      </c>
      <c r="DW126" s="340" t="s">
        <v>331</v>
      </c>
      <c r="DX126" s="1671"/>
      <c r="EB126" s="614"/>
      <c r="EC126" s="614"/>
      <c r="ED126" s="1250"/>
      <c r="EE126" s="1250"/>
      <c r="EF126" s="1250"/>
      <c r="EG126" s="1250"/>
      <c r="EH126" s="1250"/>
      <c r="EI126" s="616"/>
      <c r="EJ126" s="1250"/>
      <c r="EK126" s="615"/>
      <c r="EL126" s="615"/>
      <c r="EM126" s="616"/>
    </row>
    <row r="127" spans="1:143" ht="14.65" customHeight="1">
      <c r="A127" s="339">
        <v>33609</v>
      </c>
      <c r="B127" s="338" t="s">
        <v>316</v>
      </c>
      <c r="E127" s="858"/>
      <c r="F127" s="338">
        <v>107.01</v>
      </c>
      <c r="G127" s="338" t="s">
        <v>297</v>
      </c>
      <c r="L127" s="2481">
        <v>681.01</v>
      </c>
      <c r="M127" s="340" t="s">
        <v>288</v>
      </c>
      <c r="N127" s="1390"/>
      <c r="O127" s="2479"/>
      <c r="P127" s="2282"/>
      <c r="R127" s="341" t="str">
        <f t="array" ref="R127">IFERROR(IF($R$11="Metro",INDEX($F$13:$F$829,SMALL(IF((County=$G$13:$G$829),MATCH(ROW($G$13:$G$829),ROW($G$13:$G$829)),""),ROWS($A$13:A127))),INDEX($I$13:$I$44,SMALL(IF((County=$J$13:$J$44),MATCH(ROW($J$13:$J$44),ROW($J$13:$J$44)),""),ROWS($A$13:A127)))),"")</f>
        <v/>
      </c>
      <c r="T127" s="341" t="str">
        <f t="array" ref="T127">IFERROR(IF($T$11="Yes",INDEX($L$13:$L$2813,SMALL(IF((County=$M$13:$M$2813),MATCH(ROW($M$13:$M$2813),ROW($M$13:$M$2813)),""),ROWS($A$13:A127))),""),"")</f>
        <v/>
      </c>
      <c r="V127" s="2283" t="str">
        <f t="array" ref="V127">IFERROR(IF($T$11="Yes",INDEX($O$14:$O$2811,SMALL(IF((County=$P$14:$P$2811),MATCH(ROW($P$14:$P$2811),ROW($P$14:$P$2811)),""),ROWS($A$13:A127))),""),"")</f>
        <v/>
      </c>
      <c r="X127" s="339">
        <v>33025</v>
      </c>
      <c r="Y127" s="338" t="s">
        <v>289</v>
      </c>
      <c r="AA127" s="338">
        <v>12.02</v>
      </c>
      <c r="AB127" s="338" t="s">
        <v>304</v>
      </c>
      <c r="AG127" s="2297">
        <v>6.1</v>
      </c>
      <c r="AH127" s="2297" t="s">
        <v>330</v>
      </c>
      <c r="AI127" s="1390"/>
      <c r="AJ127" s="2282"/>
      <c r="AK127" s="2282"/>
      <c r="AL127" s="1037"/>
      <c r="AM127" s="339">
        <v>34736</v>
      </c>
      <c r="AN127" s="338" t="s">
        <v>322</v>
      </c>
      <c r="AQ127" s="858"/>
      <c r="AR127" s="338">
        <v>14.02</v>
      </c>
      <c r="AS127" s="338" t="s">
        <v>302</v>
      </c>
      <c r="AX127" s="340">
        <v>685.01</v>
      </c>
      <c r="AY127" s="340" t="s">
        <v>288</v>
      </c>
      <c r="BA127" s="341" t="str">
        <f t="array" ref="BA127">IFERROR(IF($BA$11="Metro",INDEX($AR$13:$AR$814,SMALL(IF((County=$AS$13:$AS$814),MATCH(ROW($AS$13:$AS$814),ROW($AS$13:$AS$814)),""),ROWS($A$13:$A127))),INDEX($AU$13:$AU$48,SMALL(IF((County=$AV$13:$AV$48),MATCH(ROW($AV$13:$AV$48),ROW($AV$13:$AV$48)),""),ROWS($A$13:$A127)))),"")</f>
        <v/>
      </c>
      <c r="BC127" s="341" t="str">
        <f t="array" ref="BC127">IFERROR(IF($BC$11="Yes",INDEX($AX$13:$AX$2950,SMALL(IF((County=$AY$13:$AY$2950),MATCH(ROW($AY$13:$AY$2950),ROW($AY$13:$AY$2950)),""),ROWS($A$13:$A127))),""),"")</f>
        <v/>
      </c>
      <c r="BE127" s="339">
        <v>33134</v>
      </c>
      <c r="BF127" s="338" t="s">
        <v>331</v>
      </c>
      <c r="BH127" s="338">
        <v>8.08</v>
      </c>
      <c r="BI127" s="338" t="s">
        <v>331</v>
      </c>
      <c r="BN127" s="340">
        <v>6</v>
      </c>
      <c r="BO127" s="340" t="s">
        <v>285</v>
      </c>
      <c r="BP127" s="1385"/>
      <c r="BQ127" s="1583">
        <v>33619</v>
      </c>
      <c r="BR127" s="236" t="s">
        <v>316</v>
      </c>
      <c r="BU127" s="858"/>
      <c r="BV127" s="338">
        <v>601.04999999999995</v>
      </c>
      <c r="BW127" s="338" t="s">
        <v>288</v>
      </c>
      <c r="BY127" s="236">
        <v>9706</v>
      </c>
      <c r="BZ127" s="236" t="s">
        <v>333</v>
      </c>
      <c r="CB127" s="340">
        <v>671</v>
      </c>
      <c r="CC127" s="340" t="s">
        <v>288</v>
      </c>
      <c r="CE127" s="341" t="str">
        <f t="array" ref="CE127">IFERROR(IF($CE$11="Metro",INDEX($BV$13:$BV$4972,SMALL(IF((County=$BW$13:$BW$4972),MATCH(ROW($BW$13:$BW$4972),ROW($BW$13:$BW$4972)),""),ROWS($A$13:$A127))),INDEX($BY$13:$BY$212,SMALL(IF((County=$BZ$13:$BZ$212),MATCH(ROW($BZ$13:$BZ$212),ROW($BZ$13:$BZ$212)),""),ROWS($A$13:$A127)))),"")</f>
        <v/>
      </c>
      <c r="CG127" s="341" t="str">
        <f t="array" ref="CG127">IFERROR(IF($CG$11="Yes",INDEX($CB$13:$CB$2950,SMALL(IF((County=$CC$13:$CC$2950),MATCH(ROW($CC$13:$CC$2950),ROW($CC$13:$CC$2950)),""),ROWS($A$13:$A127))),""),"")</f>
        <v/>
      </c>
      <c r="CI127" s="1387">
        <v>33073</v>
      </c>
      <c r="CJ127" s="338" t="s">
        <v>289</v>
      </c>
      <c r="CL127" s="236">
        <v>3.03</v>
      </c>
      <c r="CM127" s="236" t="s">
        <v>324</v>
      </c>
      <c r="CO127" s="236">
        <v>9602.02</v>
      </c>
      <c r="CP127" s="236" t="s">
        <v>317</v>
      </c>
      <c r="CR127" s="340">
        <v>5.13</v>
      </c>
      <c r="CS127" s="340" t="s">
        <v>340</v>
      </c>
      <c r="CT127" s="1384"/>
      <c r="CU127" s="341">
        <v>33637</v>
      </c>
      <c r="CV127" s="338" t="s">
        <v>316</v>
      </c>
      <c r="CZ127" s="1795">
        <v>311.08999999999997</v>
      </c>
      <c r="DA127" s="338" t="s">
        <v>296</v>
      </c>
      <c r="DF127" s="340">
        <v>671</v>
      </c>
      <c r="DG127" s="340" t="s">
        <v>288</v>
      </c>
      <c r="DI127" s="341" t="str">
        <f t="array" ref="DI127">IFERROR(IF($DI$11="Metro",INDEX($CZ$13:$CZ$929,SMALL(IF((County=$DA$13:$DA$929),MATCH(ROW($DA$13:$DA$929),ROW($DA$13:$DA$929)),""),ROWS($A$13:$A127))),INDEX($DC$13:$DC$212,SMALL(IF((County=$DD$13:$DD$212),MATCH(ROW($DD$13:$DD$212),ROW($DD$13:$DD$212)),""),ROWS($A$13:$A127)))),"")</f>
        <v/>
      </c>
      <c r="DK127" s="341" t="str">
        <f t="array" ref="DK127">IFERROR(IF($DK$11="Yes",INDEX($DF$13:$DF$2838,SMALL(IF((County=$DG$13:$DG$2838),MATCH(ROW($DG$13:$DG$2838),ROW($DG$13:$DG$2838)),""),ROWS($A$13:$A127))),""),"")</f>
        <v/>
      </c>
      <c r="DM127" s="1387">
        <v>33109</v>
      </c>
      <c r="DN127" s="338" t="s">
        <v>2579</v>
      </c>
      <c r="DP127" s="236">
        <v>10.029999999999999</v>
      </c>
      <c r="DQ127" s="236" t="s">
        <v>331</v>
      </c>
      <c r="DV127" s="340">
        <v>6.04</v>
      </c>
      <c r="DW127" s="340" t="s">
        <v>330</v>
      </c>
      <c r="DX127" s="1671"/>
      <c r="EB127" s="613"/>
      <c r="EC127" s="613"/>
      <c r="ED127" s="1250"/>
      <c r="EE127" s="1250"/>
      <c r="EF127" s="1250"/>
      <c r="EG127" s="1250"/>
      <c r="EH127" s="1250"/>
      <c r="EI127" s="1250"/>
      <c r="EJ127" s="1250"/>
      <c r="EK127" s="615"/>
      <c r="EL127" s="615"/>
      <c r="EM127" s="616"/>
    </row>
    <row r="128" spans="1:143" ht="14.65" customHeight="1">
      <c r="A128" s="339">
        <v>33611</v>
      </c>
      <c r="B128" s="338" t="s">
        <v>316</v>
      </c>
      <c r="E128" s="858"/>
      <c r="F128" s="338">
        <v>108.04</v>
      </c>
      <c r="G128" s="338" t="s">
        <v>297</v>
      </c>
      <c r="L128" s="2481">
        <v>681.02</v>
      </c>
      <c r="M128" s="340" t="s">
        <v>288</v>
      </c>
      <c r="N128" s="1390"/>
      <c r="O128" s="2479"/>
      <c r="P128" s="2282"/>
      <c r="R128" s="341" t="str">
        <f t="array" ref="R128">IFERROR(IF($R$11="Metro",INDEX($F$13:$F$829,SMALL(IF((County=$G$13:$G$829),MATCH(ROW($G$13:$G$829),ROW($G$13:$G$829)),""),ROWS($A$13:A128))),INDEX($I$13:$I$44,SMALL(IF((County=$J$13:$J$44),MATCH(ROW($J$13:$J$44),ROW($J$13:$J$44)),""),ROWS($A$13:A128)))),"")</f>
        <v/>
      </c>
      <c r="T128" s="341" t="str">
        <f t="array" ref="T128">IFERROR(IF($T$11="Yes",INDEX($L$13:$L$2813,SMALL(IF((County=$M$13:$M$2813),MATCH(ROW($M$13:$M$2813),ROW($M$13:$M$2813)),""),ROWS($A$13:A128))),""),"")</f>
        <v/>
      </c>
      <c r="V128" s="2283" t="str">
        <f t="array" ref="V128">IFERROR(IF($T$11="Yes",INDEX($O$14:$O$2811,SMALL(IF((County=$P$14:$P$2811),MATCH(ROW($P$14:$P$2811),ROW($P$14:$P$2811)),""),ROWS($A$13:A128))),""),"")</f>
        <v/>
      </c>
      <c r="X128" s="339">
        <v>33026</v>
      </c>
      <c r="Y128" s="338" t="s">
        <v>289</v>
      </c>
      <c r="AA128" s="338">
        <v>12.03</v>
      </c>
      <c r="AB128" s="338" t="s">
        <v>323</v>
      </c>
      <c r="AG128" s="2297">
        <v>6.12</v>
      </c>
      <c r="AH128" s="2297" t="s">
        <v>331</v>
      </c>
      <c r="AI128" s="1390"/>
      <c r="AJ128" s="2282"/>
      <c r="AK128" s="2282"/>
      <c r="AL128" s="1037"/>
      <c r="AM128" s="339">
        <v>34737</v>
      </c>
      <c r="AN128" s="338" t="s">
        <v>322</v>
      </c>
      <c r="AQ128" s="858"/>
      <c r="AR128" s="338">
        <v>15</v>
      </c>
      <c r="AS128" s="338" t="s">
        <v>302</v>
      </c>
      <c r="AX128" s="340">
        <v>685.02</v>
      </c>
      <c r="AY128" s="340" t="s">
        <v>288</v>
      </c>
      <c r="BA128" s="341" t="str">
        <f t="array" ref="BA128">IFERROR(IF($BA$11="Metro",INDEX($AR$13:$AR$814,SMALL(IF((County=$AS$13:$AS$814),MATCH(ROW($AS$13:$AS$814),ROW($AS$13:$AS$814)),""),ROWS($A$13:$A128))),INDEX($AU$13:$AU$48,SMALL(IF((County=$AV$13:$AV$48),MATCH(ROW($AV$13:$AV$48),ROW($AV$13:$AV$48)),""),ROWS($A$13:$A128)))),"")</f>
        <v/>
      </c>
      <c r="BC128" s="341" t="str">
        <f t="array" ref="BC128">IFERROR(IF($BC$11="Yes",INDEX($AX$13:$AX$2950,SMALL(IF((County=$AY$13:$AY$2950),MATCH(ROW($AY$13:$AY$2950),ROW($AY$13:$AY$2950)),""),ROWS($A$13:$A128))),""),"")</f>
        <v/>
      </c>
      <c r="BE128" s="339">
        <v>33137</v>
      </c>
      <c r="BF128" s="338" t="s">
        <v>331</v>
      </c>
      <c r="BH128" s="338">
        <v>9.01</v>
      </c>
      <c r="BI128" s="338" t="s">
        <v>276</v>
      </c>
      <c r="BN128" s="340">
        <v>6</v>
      </c>
      <c r="BO128" s="340" t="s">
        <v>297</v>
      </c>
      <c r="BP128" s="1385"/>
      <c r="BQ128" s="1583">
        <v>33621</v>
      </c>
      <c r="BR128" s="236" t="s">
        <v>316</v>
      </c>
      <c r="BU128" s="858"/>
      <c r="BV128" s="338">
        <v>601.05999999999995</v>
      </c>
      <c r="BW128" s="338" t="s">
        <v>288</v>
      </c>
      <c r="BY128" s="236">
        <v>9707</v>
      </c>
      <c r="BZ128" s="236" t="s">
        <v>333</v>
      </c>
      <c r="CB128" s="340">
        <v>681.01</v>
      </c>
      <c r="CC128" s="340" t="s">
        <v>288</v>
      </c>
      <c r="CE128" s="341" t="str">
        <f t="array" ref="CE128">IFERROR(IF($CE$11="Metro",INDEX($BV$13:$BV$4972,SMALL(IF((County=$BW$13:$BW$4972),MATCH(ROW($BW$13:$BW$4972),ROW($BW$13:$BW$4972)),""),ROWS($A$13:$A128))),INDEX($BY$13:$BY$212,SMALL(IF((County=$BZ$13:$BZ$212),MATCH(ROW($BZ$13:$BZ$212),ROW($BZ$13:$BZ$212)),""),ROWS($A$13:$A128)))),"")</f>
        <v/>
      </c>
      <c r="CG128" s="341" t="str">
        <f t="array" ref="CG128">IFERROR(IF($CG$11="Yes",INDEX($CB$13:$CB$2950,SMALL(IF((County=$CC$13:$CC$2950),MATCH(ROW($CC$13:$CC$2950),ROW($CC$13:$CC$2950)),""),ROWS($A$13:$A128))),""),"")</f>
        <v/>
      </c>
      <c r="CI128" s="1387">
        <v>33076</v>
      </c>
      <c r="CJ128" s="338" t="s">
        <v>289</v>
      </c>
      <c r="CL128" s="236">
        <v>3.03</v>
      </c>
      <c r="CM128" s="236" t="s">
        <v>329</v>
      </c>
      <c r="CO128" s="236">
        <v>9602.02</v>
      </c>
      <c r="CP128" s="236" t="s">
        <v>321</v>
      </c>
      <c r="CR128" s="340">
        <v>6</v>
      </c>
      <c r="CS128" s="340" t="s">
        <v>297</v>
      </c>
      <c r="CT128" s="1384"/>
      <c r="CU128" s="341">
        <v>33647</v>
      </c>
      <c r="CV128" s="338" t="s">
        <v>316</v>
      </c>
      <c r="CZ128" s="1795">
        <v>312.01</v>
      </c>
      <c r="DA128" s="338" t="s">
        <v>296</v>
      </c>
      <c r="DF128" s="340">
        <v>681.01</v>
      </c>
      <c r="DG128" s="340" t="s">
        <v>288</v>
      </c>
      <c r="DI128" s="341" t="str">
        <f t="array" ref="DI128">IFERROR(IF($DI$11="Metro",INDEX($CZ$13:$CZ$929,SMALL(IF((County=$DA$13:$DA$929),MATCH(ROW($DA$13:$DA$929),ROW($DA$13:$DA$929)),""),ROWS($A$13:$A128))),INDEX($DC$13:$DC$212,SMALL(IF((County=$DD$13:$DD$212),MATCH(ROW($DD$13:$DD$212),ROW($DD$13:$DD$212)),""),ROWS($A$13:$A128)))),"")</f>
        <v/>
      </c>
      <c r="DK128" s="341" t="str">
        <f t="array" ref="DK128">IFERROR(IF($DK$11="Yes",INDEX($DF$13:$DF$2838,SMALL(IF((County=$DG$13:$DG$2838),MATCH(ROW($DG$13:$DG$2838),ROW($DG$13:$DG$2838)),""),ROWS($A$13:$A128))),""),"")</f>
        <v/>
      </c>
      <c r="DM128" s="1387">
        <v>33122</v>
      </c>
      <c r="DN128" s="338" t="s">
        <v>2579</v>
      </c>
      <c r="DP128" s="236">
        <v>10.039999999999999</v>
      </c>
      <c r="DQ128" s="236" t="s">
        <v>331</v>
      </c>
      <c r="DV128" s="340">
        <v>6.06</v>
      </c>
      <c r="DW128" s="340" t="s">
        <v>330</v>
      </c>
      <c r="DX128" s="1671"/>
      <c r="EB128" s="613"/>
      <c r="EC128" s="613"/>
      <c r="ED128" s="1250"/>
      <c r="EE128" s="1250"/>
      <c r="EF128" s="1250"/>
      <c r="EG128" s="1250"/>
      <c r="EH128" s="1250"/>
      <c r="EI128" s="616"/>
      <c r="EJ128" s="1250"/>
      <c r="EK128" s="615"/>
      <c r="EL128" s="615"/>
      <c r="EM128" s="616"/>
    </row>
    <row r="129" spans="1:143" ht="14.65" customHeight="1">
      <c r="A129" s="339">
        <v>33614</v>
      </c>
      <c r="B129" s="338" t="s">
        <v>316</v>
      </c>
      <c r="E129" s="858"/>
      <c r="F129" s="338">
        <v>111.03</v>
      </c>
      <c r="G129" s="338" t="s">
        <v>297</v>
      </c>
      <c r="L129" s="2481">
        <v>691</v>
      </c>
      <c r="M129" s="340" t="s">
        <v>288</v>
      </c>
      <c r="N129" s="1390"/>
      <c r="O129" s="2479"/>
      <c r="P129" s="2282"/>
      <c r="R129" s="341" t="str">
        <f t="array" ref="R129">IFERROR(IF($R$11="Metro",INDEX($F$13:$F$829,SMALL(IF((County=$G$13:$G$829),MATCH(ROW($G$13:$G$829),ROW($G$13:$G$829)),""),ROWS($A$13:A129))),INDEX($I$13:$I$44,SMALL(IF((County=$J$13:$J$44),MATCH(ROW($J$13:$J$44),ROW($J$13:$J$44)),""),ROWS($A$13:A129)))),"")</f>
        <v/>
      </c>
      <c r="T129" s="341" t="str">
        <f t="array" ref="T129">IFERROR(IF($T$11="Yes",INDEX($L$13:$L$2813,SMALL(IF((County=$M$13:$M$2813),MATCH(ROW($M$13:$M$2813),ROW($M$13:$M$2813)),""),ROWS($A$13:A129))),""),"")</f>
        <v/>
      </c>
      <c r="V129" s="2283" t="str">
        <f t="array" ref="V129">IFERROR(IF($T$11="Yes",INDEX($O$14:$O$2811,SMALL(IF((County=$P$14:$P$2811),MATCH(ROW($P$14:$P$2811),ROW($P$14:$P$2811)),""),ROWS($A$13:A129))),""),"")</f>
        <v/>
      </c>
      <c r="X129" s="339">
        <v>33027</v>
      </c>
      <c r="Y129" s="338" t="s">
        <v>289</v>
      </c>
      <c r="AA129" s="338">
        <v>13</v>
      </c>
      <c r="AB129" s="338" t="s">
        <v>302</v>
      </c>
      <c r="AG129" s="2297">
        <v>7</v>
      </c>
      <c r="AH129" s="2297" t="s">
        <v>302</v>
      </c>
      <c r="AI129" s="1390"/>
      <c r="AJ129" s="2282"/>
      <c r="AK129" s="2282"/>
      <c r="AL129" s="1037"/>
      <c r="AM129" s="339">
        <v>33908</v>
      </c>
      <c r="AN129" s="338" t="s">
        <v>323</v>
      </c>
      <c r="AQ129" s="858"/>
      <c r="AR129" s="338">
        <v>16</v>
      </c>
      <c r="AS129" s="338" t="s">
        <v>302</v>
      </c>
      <c r="AX129" s="340">
        <v>686.01</v>
      </c>
      <c r="AY129" s="340" t="s">
        <v>288</v>
      </c>
      <c r="BA129" s="341" t="str">
        <f t="array" ref="BA129">IFERROR(IF($BA$11="Metro",INDEX($AR$13:$AR$814,SMALL(IF((County=$AS$13:$AS$814),MATCH(ROW($AS$13:$AS$814),ROW($AS$13:$AS$814)),""),ROWS($A$13:$A129))),INDEX($AU$13:$AU$48,SMALL(IF((County=$AV$13:$AV$48),MATCH(ROW($AV$13:$AV$48),ROW($AV$13:$AV$48)),""),ROWS($A$13:$A129)))),"")</f>
        <v/>
      </c>
      <c r="BC129" s="341" t="str">
        <f t="array" ref="BC129">IFERROR(IF($BC$11="Yes",INDEX($AX$13:$AX$2950,SMALL(IF((County=$AY$13:$AY$2950),MATCH(ROW($AY$13:$AY$2950),ROW($AY$13:$AY$2950)),""),ROWS($A$13:$A129))),""),"")</f>
        <v/>
      </c>
      <c r="BE129" s="339">
        <v>33139</v>
      </c>
      <c r="BF129" s="338" t="s">
        <v>331</v>
      </c>
      <c r="BH129" s="338">
        <v>9.01</v>
      </c>
      <c r="BI129" s="338" t="s">
        <v>316</v>
      </c>
      <c r="BN129" s="340">
        <v>6</v>
      </c>
      <c r="BO129" s="340" t="s">
        <v>340</v>
      </c>
      <c r="BP129" s="1385"/>
      <c r="BQ129" s="1583">
        <v>33624</v>
      </c>
      <c r="BR129" s="236" t="s">
        <v>316</v>
      </c>
      <c r="BU129" s="858"/>
      <c r="BV129" s="338">
        <v>602.01</v>
      </c>
      <c r="BW129" s="338" t="s">
        <v>288</v>
      </c>
      <c r="BY129" s="236">
        <v>9708</v>
      </c>
      <c r="BZ129" s="236" t="s">
        <v>333</v>
      </c>
      <c r="CB129" s="340">
        <v>681.02</v>
      </c>
      <c r="CC129" s="340" t="s">
        <v>288</v>
      </c>
      <c r="CE129" s="341" t="str">
        <f t="array" ref="CE129">IFERROR(IF($CE$11="Metro",INDEX($BV$13:$BV$4972,SMALL(IF((County=$BW$13:$BW$4972),MATCH(ROW($BW$13:$BW$4972),ROW($BW$13:$BW$4972)),""),ROWS($A$13:$A129))),INDEX($BY$13:$BY$212,SMALL(IF((County=$BZ$13:$BZ$212),MATCH(ROW($BZ$13:$BZ$212),ROW($BZ$13:$BZ$212)),""),ROWS($A$13:$A129)))),"")</f>
        <v/>
      </c>
      <c r="CG129" s="341" t="str">
        <f t="array" ref="CG129">IFERROR(IF($CG$11="Yes",INDEX($CB$13:$CB$2950,SMALL(IF((County=$CC$13:$CC$2950),MATCH(ROW($CC$13:$CC$2950),ROW($CC$13:$CC$2950)),""),ROWS($A$13:$A129))),""),"")</f>
        <v/>
      </c>
      <c r="CI129" s="1387">
        <v>33109</v>
      </c>
      <c r="CJ129" s="338" t="s">
        <v>331</v>
      </c>
      <c r="CL129" s="236">
        <v>3.03</v>
      </c>
      <c r="CM129" s="236" t="s">
        <v>340</v>
      </c>
      <c r="CO129" s="236">
        <v>9602.02</v>
      </c>
      <c r="CP129" s="236" t="s">
        <v>354</v>
      </c>
      <c r="CR129" s="340">
        <v>6</v>
      </c>
      <c r="CS129" s="340" t="s">
        <v>340</v>
      </c>
      <c r="CT129" s="1384"/>
      <c r="CU129" s="341">
        <v>32958</v>
      </c>
      <c r="CV129" s="338" t="s">
        <v>318</v>
      </c>
      <c r="CZ129" s="1795">
        <v>314</v>
      </c>
      <c r="DA129" s="338" t="s">
        <v>296</v>
      </c>
      <c r="DF129" s="340">
        <v>681.02</v>
      </c>
      <c r="DG129" s="340" t="s">
        <v>288</v>
      </c>
      <c r="DI129" s="341" t="str">
        <f t="array" ref="DI129">IFERROR(IF($DI$11="Metro",INDEX($CZ$13:$CZ$929,SMALL(IF((County=$DA$13:$DA$929),MATCH(ROW($DA$13:$DA$929),ROW($DA$13:$DA$929)),""),ROWS($A$13:$A129))),INDEX($DC$13:$DC$212,SMALL(IF((County=$DD$13:$DD$212),MATCH(ROW($DD$13:$DD$212),ROW($DD$13:$DD$212)),""),ROWS($A$13:$A129)))),"")</f>
        <v/>
      </c>
      <c r="DK129" s="341" t="str">
        <f t="array" ref="DK129">IFERROR(IF($DK$11="Yes",INDEX($DF$13:$DF$2838,SMALL(IF((County=$DG$13:$DG$2838),MATCH(ROW($DG$13:$DG$2838),ROW($DG$13:$DG$2838)),""),ROWS($A$13:$A129))),""),"")</f>
        <v/>
      </c>
      <c r="DM129" s="1387">
        <v>33126</v>
      </c>
      <c r="DN129" s="338" t="s">
        <v>2579</v>
      </c>
      <c r="DP129" s="236">
        <v>10.050000000000001</v>
      </c>
      <c r="DQ129" s="236" t="s">
        <v>331</v>
      </c>
      <c r="DV129" s="340">
        <v>6.07</v>
      </c>
      <c r="DW129" s="340" t="s">
        <v>329</v>
      </c>
      <c r="DX129" s="1671"/>
      <c r="EB129" s="617"/>
      <c r="EC129" s="617"/>
      <c r="ED129" s="1250"/>
      <c r="EE129" s="1250"/>
      <c r="EF129" s="1250"/>
      <c r="EG129" s="1250"/>
      <c r="EH129" s="1250"/>
      <c r="EI129" s="616"/>
      <c r="EJ129" s="1250"/>
      <c r="EK129" s="615"/>
      <c r="EL129" s="615"/>
      <c r="EM129" s="616"/>
    </row>
    <row r="130" spans="1:143" ht="14.65" customHeight="1">
      <c r="A130" s="339">
        <v>33615</v>
      </c>
      <c r="B130" s="338" t="s">
        <v>316</v>
      </c>
      <c r="E130" s="858"/>
      <c r="F130" s="338">
        <v>112.04</v>
      </c>
      <c r="G130" s="338" t="s">
        <v>297</v>
      </c>
      <c r="L130" s="2481">
        <v>692</v>
      </c>
      <c r="M130" s="340" t="s">
        <v>288</v>
      </c>
      <c r="N130" s="1390"/>
      <c r="O130" s="2479"/>
      <c r="P130" s="2282"/>
      <c r="R130" s="341" t="str">
        <f t="array" ref="R130">IFERROR(IF($R$11="Metro",INDEX($F$13:$F$829,SMALL(IF((County=$G$13:$G$829),MATCH(ROW($G$13:$G$829),ROW($G$13:$G$829)),""),ROWS($A$13:A130))),INDEX($I$13:$I$44,SMALL(IF((County=$J$13:$J$44),MATCH(ROW($J$13:$J$44),ROW($J$13:$J$44)),""),ROWS($A$13:A130)))),"")</f>
        <v/>
      </c>
      <c r="T130" s="341" t="str">
        <f t="array" ref="T130">IFERROR(IF($T$11="Yes",INDEX($L$13:$L$2813,SMALL(IF((County=$M$13:$M$2813),MATCH(ROW($M$13:$M$2813),ROW($M$13:$M$2813)),""),ROWS($A$13:A130))),""),"")</f>
        <v/>
      </c>
      <c r="V130" s="2283" t="str">
        <f t="array" ref="V130">IFERROR(IF($T$11="Yes",INDEX($O$14:$O$2811,SMALL(IF((County=$P$14:$P$2811),MATCH(ROW($P$14:$P$2811),ROW($P$14:$P$2811)),""),ROWS($A$13:A130))),""),"")</f>
        <v/>
      </c>
      <c r="X130" s="339">
        <v>33028</v>
      </c>
      <c r="Y130" s="338" t="s">
        <v>289</v>
      </c>
      <c r="AA130" s="338">
        <v>13</v>
      </c>
      <c r="AB130" s="338" t="s">
        <v>304</v>
      </c>
      <c r="AG130" s="2297">
        <v>7</v>
      </c>
      <c r="AH130" s="2297" t="s">
        <v>347</v>
      </c>
      <c r="AI130" s="1390"/>
      <c r="AJ130" s="2282"/>
      <c r="AK130" s="2282"/>
      <c r="AL130" s="1037"/>
      <c r="AM130" s="339">
        <v>33912</v>
      </c>
      <c r="AN130" s="338" t="s">
        <v>323</v>
      </c>
      <c r="AQ130" s="858"/>
      <c r="AR130" s="338">
        <v>25.01</v>
      </c>
      <c r="AS130" s="338" t="s">
        <v>302</v>
      </c>
      <c r="AX130" s="340">
        <v>686.04</v>
      </c>
      <c r="AY130" s="340" t="s">
        <v>288</v>
      </c>
      <c r="BA130" s="341" t="str">
        <f t="array" ref="BA130">IFERROR(IF($BA$11="Metro",INDEX($AR$13:$AR$814,SMALL(IF((County=$AS$13:$AS$814),MATCH(ROW($AS$13:$AS$814),ROW($AS$13:$AS$814)),""),ROWS($A$13:$A130))),INDEX($AU$13:$AU$48,SMALL(IF((County=$AV$13:$AV$48),MATCH(ROW($AV$13:$AV$48),ROW($AV$13:$AV$48)),""),ROWS($A$13:$A130)))),"")</f>
        <v/>
      </c>
      <c r="BC130" s="341" t="str">
        <f t="array" ref="BC130">IFERROR(IF($BC$11="Yes",INDEX($AX$13:$AX$2950,SMALL(IF((County=$AY$13:$AY$2950),MATCH(ROW($AY$13:$AY$2950),ROW($AY$13:$AY$2950)),""),ROWS($A$13:$A130))),""),"")</f>
        <v/>
      </c>
      <c r="BE130" s="339">
        <v>33140</v>
      </c>
      <c r="BF130" s="338" t="s">
        <v>331</v>
      </c>
      <c r="BH130" s="338">
        <v>9.02</v>
      </c>
      <c r="BI130" s="338" t="s">
        <v>316</v>
      </c>
      <c r="BN130" s="340">
        <v>6.01</v>
      </c>
      <c r="BO130" s="340" t="s">
        <v>331</v>
      </c>
      <c r="BP130" s="1385"/>
      <c r="BQ130" s="1583">
        <v>33625</v>
      </c>
      <c r="BR130" s="236" t="s">
        <v>316</v>
      </c>
      <c r="BU130" s="858"/>
      <c r="BV130" s="338">
        <v>602.02</v>
      </c>
      <c r="BW130" s="338" t="s">
        <v>288</v>
      </c>
      <c r="BY130" s="236">
        <v>9709</v>
      </c>
      <c r="BZ130" s="236" t="s">
        <v>333</v>
      </c>
      <c r="CB130" s="340">
        <v>684</v>
      </c>
      <c r="CC130" s="340" t="s">
        <v>288</v>
      </c>
      <c r="CE130" s="341" t="str">
        <f t="array" ref="CE130">IFERROR(IF($CE$11="Metro",INDEX($BV$13:$BV$4972,SMALL(IF((County=$BW$13:$BW$4972),MATCH(ROW($BW$13:$BW$4972),ROW($BW$13:$BW$4972)),""),ROWS($A$13:$A130))),INDEX($BY$13:$BY$212,SMALL(IF((County=$BZ$13:$BZ$212),MATCH(ROW($BZ$13:$BZ$212),ROW($BZ$13:$BZ$212)),""),ROWS($A$13:$A130)))),"")</f>
        <v/>
      </c>
      <c r="CG130" s="341" t="str">
        <f t="array" ref="CG130">IFERROR(IF($CG$11="Yes",INDEX($CB$13:$CB$2950,SMALL(IF((County=$CC$13:$CC$2950),MATCH(ROW($CC$13:$CC$2950),ROW($CC$13:$CC$2950)),""),ROWS($A$13:$A130))),""),"")</f>
        <v/>
      </c>
      <c r="CI130" s="1387">
        <v>33126</v>
      </c>
      <c r="CJ130" s="338" t="s">
        <v>331</v>
      </c>
      <c r="CL130" s="236">
        <v>3.04</v>
      </c>
      <c r="CM130" s="236" t="s">
        <v>323</v>
      </c>
      <c r="CO130" s="236">
        <v>9603</v>
      </c>
      <c r="CP130" s="236" t="s">
        <v>311</v>
      </c>
      <c r="CR130" s="340">
        <v>6.01</v>
      </c>
      <c r="CS130" s="340" t="s">
        <v>331</v>
      </c>
      <c r="CT130" s="1384"/>
      <c r="CU130" s="341">
        <v>32963</v>
      </c>
      <c r="CV130" s="338" t="s">
        <v>318</v>
      </c>
      <c r="CZ130" s="1795">
        <v>104.2</v>
      </c>
      <c r="DA130" s="338" t="s">
        <v>297</v>
      </c>
      <c r="DF130" s="340">
        <v>684</v>
      </c>
      <c r="DG130" s="340" t="s">
        <v>288</v>
      </c>
      <c r="DI130" s="341" t="str">
        <f t="array" ref="DI130">IFERROR(IF($DI$11="Metro",INDEX($CZ$13:$CZ$929,SMALL(IF((County=$DA$13:$DA$929),MATCH(ROW($DA$13:$DA$929),ROW($DA$13:$DA$929)),""),ROWS($A$13:$A130))),INDEX($DC$13:$DC$212,SMALL(IF((County=$DD$13:$DD$212),MATCH(ROW($DD$13:$DD$212),ROW($DD$13:$DD$212)),""),ROWS($A$13:$A130)))),"")</f>
        <v/>
      </c>
      <c r="DK130" s="341" t="str">
        <f t="array" ref="DK130">IFERROR(IF($DK$11="Yes",INDEX($DF$13:$DF$2838,SMALL(IF((County=$DG$13:$DG$2838),MATCH(ROW($DG$13:$DG$2838),ROW($DG$13:$DG$2838)),""),ROWS($A$13:$A130))),""),"")</f>
        <v/>
      </c>
      <c r="DM130" s="1387">
        <v>33129</v>
      </c>
      <c r="DN130" s="338" t="s">
        <v>2579</v>
      </c>
      <c r="DP130" s="236">
        <v>10.06</v>
      </c>
      <c r="DQ130" s="236" t="s">
        <v>331</v>
      </c>
      <c r="DV130" s="340">
        <v>6.07</v>
      </c>
      <c r="DW130" s="340" t="s">
        <v>330</v>
      </c>
      <c r="DX130" s="1671"/>
      <c r="EB130" s="614"/>
      <c r="EC130" s="614"/>
      <c r="ED130" s="1250"/>
      <c r="EE130" s="1250"/>
      <c r="EF130" s="1250"/>
      <c r="EG130" s="1250"/>
      <c r="EH130" s="1250"/>
      <c r="EI130" s="616"/>
      <c r="EJ130" s="1250"/>
      <c r="EK130" s="615"/>
      <c r="EL130" s="615"/>
      <c r="EM130" s="616"/>
    </row>
    <row r="131" spans="1:143" ht="14.65" customHeight="1">
      <c r="A131" s="339">
        <v>33616</v>
      </c>
      <c r="B131" s="338" t="s">
        <v>316</v>
      </c>
      <c r="E131" s="858"/>
      <c r="F131" s="338">
        <v>112.05</v>
      </c>
      <c r="G131" s="338" t="s">
        <v>297</v>
      </c>
      <c r="L131" s="2481">
        <v>693</v>
      </c>
      <c r="M131" s="340" t="s">
        <v>288</v>
      </c>
      <c r="N131" s="1390"/>
      <c r="O131" s="2479"/>
      <c r="P131" s="2282"/>
      <c r="R131" s="341" t="str">
        <f t="array" ref="R131">IFERROR(IF($R$11="Metro",INDEX($F$13:$F$829,SMALL(IF((County=$G$13:$G$829),MATCH(ROW($G$13:$G$829),ROW($G$13:$G$829)),""),ROWS($A$13:A131))),INDEX($I$13:$I$44,SMALL(IF((County=$J$13:$J$44),MATCH(ROW($J$13:$J$44),ROW($J$13:$J$44)),""),ROWS($A$13:A131)))),"")</f>
        <v/>
      </c>
      <c r="T131" s="341" t="str">
        <f t="array" ref="T131">IFERROR(IF($T$11="Yes",INDEX($L$13:$L$2813,SMALL(IF((County=$M$13:$M$2813),MATCH(ROW($M$13:$M$2813),ROW($M$13:$M$2813)),""),ROWS($A$13:A131))),""),"")</f>
        <v/>
      </c>
      <c r="V131" s="2283" t="str">
        <f t="array" ref="V131">IFERROR(IF($T$11="Yes",INDEX($O$14:$O$2811,SMALL(IF((County=$P$14:$P$2811),MATCH(ROW($P$14:$P$2811),ROW($P$14:$P$2811)),""),ROWS($A$13:A131))),""),"")</f>
        <v/>
      </c>
      <c r="X131" s="339">
        <v>33029</v>
      </c>
      <c r="Y131" s="338" t="s">
        <v>289</v>
      </c>
      <c r="AA131" s="338">
        <v>13</v>
      </c>
      <c r="AB131" s="338" t="s">
        <v>316</v>
      </c>
      <c r="AG131" s="2297">
        <v>7.02</v>
      </c>
      <c r="AH131" s="2297" t="s">
        <v>340</v>
      </c>
      <c r="AI131" s="1390"/>
      <c r="AJ131" s="2282"/>
      <c r="AK131" s="2282"/>
      <c r="AL131" s="1037"/>
      <c r="AM131" s="339">
        <v>33913</v>
      </c>
      <c r="AN131" s="338" t="s">
        <v>323</v>
      </c>
      <c r="AQ131" s="858"/>
      <c r="AR131" s="338">
        <v>26</v>
      </c>
      <c r="AS131" s="338" t="s">
        <v>302</v>
      </c>
      <c r="AX131" s="340">
        <v>691</v>
      </c>
      <c r="AY131" s="340" t="s">
        <v>288</v>
      </c>
      <c r="BA131" s="341" t="str">
        <f t="array" ref="BA131">IFERROR(IF($BA$11="Metro",INDEX($AR$13:$AR$814,SMALL(IF((County=$AS$13:$AS$814),MATCH(ROW($AS$13:$AS$814),ROW($AS$13:$AS$814)),""),ROWS($A$13:$A131))),INDEX($AU$13:$AU$48,SMALL(IF((County=$AV$13:$AV$48),MATCH(ROW($AV$13:$AV$48),ROW($AV$13:$AV$48)),""),ROWS($A$13:$A131)))),"")</f>
        <v/>
      </c>
      <c r="BC131" s="341" t="str">
        <f t="array" ref="BC131">IFERROR(IF($BC$11="Yes",INDEX($AX$13:$AX$2950,SMALL(IF((County=$AY$13:$AY$2950),MATCH(ROW($AY$13:$AY$2950),ROW($AY$13:$AY$2950)),""),ROWS($A$13:$A131))),""),"")</f>
        <v/>
      </c>
      <c r="BE131" s="339">
        <v>33141</v>
      </c>
      <c r="BF131" s="338" t="s">
        <v>331</v>
      </c>
      <c r="BH131" s="338">
        <v>9.0299999999999994</v>
      </c>
      <c r="BI131" s="338" t="s">
        <v>331</v>
      </c>
      <c r="BN131" s="340">
        <v>6.01</v>
      </c>
      <c r="BO131" s="340" t="s">
        <v>347</v>
      </c>
      <c r="BP131" s="1385"/>
      <c r="BQ131" s="1583">
        <v>33626</v>
      </c>
      <c r="BR131" s="236" t="s">
        <v>316</v>
      </c>
      <c r="BU131" s="858"/>
      <c r="BV131" s="338">
        <v>603.01</v>
      </c>
      <c r="BW131" s="338" t="s">
        <v>288</v>
      </c>
      <c r="BY131" s="236">
        <v>9710.01</v>
      </c>
      <c r="BZ131" s="236" t="s">
        <v>333</v>
      </c>
      <c r="CB131" s="340">
        <v>685.01</v>
      </c>
      <c r="CC131" s="340" t="s">
        <v>288</v>
      </c>
      <c r="CE131" s="341" t="str">
        <f t="array" ref="CE131">IFERROR(IF($CE$11="Metro",INDEX($BV$13:$BV$4972,SMALL(IF((County=$BW$13:$BW$4972),MATCH(ROW($BW$13:$BW$4972),ROW($BW$13:$BW$4972)),""),ROWS($A$13:$A131))),INDEX($BY$13:$BY$212,SMALL(IF((County=$BZ$13:$BZ$212),MATCH(ROW($BZ$13:$BZ$212),ROW($BZ$13:$BZ$212)),""),ROWS($A$13:$A131)))),"")</f>
        <v/>
      </c>
      <c r="CG131" s="341" t="str">
        <f t="array" ref="CG131">IFERROR(IF($CG$11="Yes",INDEX($CB$13:$CB$2950,SMALL(IF((County=$CC$13:$CC$2950),MATCH(ROW($CC$13:$CC$2950),ROW($CC$13:$CC$2950)),""),ROWS($A$13:$A131))),""),"")</f>
        <v/>
      </c>
      <c r="CI131" s="1387">
        <v>33129</v>
      </c>
      <c r="CJ131" s="338" t="s">
        <v>331</v>
      </c>
      <c r="CL131" s="236">
        <v>3.04</v>
      </c>
      <c r="CM131" s="236" t="s">
        <v>328</v>
      </c>
      <c r="CO131" s="236">
        <v>9603</v>
      </c>
      <c r="CP131" s="236" t="s">
        <v>317</v>
      </c>
      <c r="CR131" s="340">
        <v>6.01</v>
      </c>
      <c r="CS131" s="340" t="s">
        <v>347</v>
      </c>
      <c r="CT131" s="1384"/>
      <c r="CU131" s="341">
        <v>32968</v>
      </c>
      <c r="CV131" s="338" t="s">
        <v>318</v>
      </c>
      <c r="CZ131" s="1795">
        <v>104.22</v>
      </c>
      <c r="DA131" s="338" t="s">
        <v>297</v>
      </c>
      <c r="DF131" s="340">
        <v>685.01</v>
      </c>
      <c r="DG131" s="340" t="s">
        <v>288</v>
      </c>
      <c r="DI131" s="341" t="str">
        <f t="array" ref="DI131">IFERROR(IF($DI$11="Metro",INDEX($CZ$13:$CZ$929,SMALL(IF((County=$DA$13:$DA$929),MATCH(ROW($DA$13:$DA$929),ROW($DA$13:$DA$929)),""),ROWS($A$13:$A131))),INDEX($DC$13:$DC$212,SMALL(IF((County=$DD$13:$DD$212),MATCH(ROW($DD$13:$DD$212),ROW($DD$13:$DD$212)),""),ROWS($A$13:$A131)))),"")</f>
        <v/>
      </c>
      <c r="DK131" s="341" t="str">
        <f t="array" ref="DK131">IFERROR(IF($DK$11="Yes",INDEX($DF$13:$DF$2838,SMALL(IF((County=$DG$13:$DG$2838),MATCH(ROW($DG$13:$DG$2838),ROW($DG$13:$DG$2838)),""),ROWS($A$13:$A131))),""),"")</f>
        <v/>
      </c>
      <c r="DM131" s="1387">
        <v>33130</v>
      </c>
      <c r="DN131" s="338" t="s">
        <v>2579</v>
      </c>
      <c r="DP131" s="236">
        <v>11</v>
      </c>
      <c r="DQ131" s="236" t="s">
        <v>285</v>
      </c>
      <c r="DV131" s="340">
        <v>6.1</v>
      </c>
      <c r="DW131" s="340" t="s">
        <v>330</v>
      </c>
      <c r="DX131" s="1671"/>
      <c r="EB131" s="614"/>
      <c r="EC131" s="614"/>
      <c r="ED131" s="1250"/>
      <c r="EE131" s="1250"/>
      <c r="EF131" s="1250"/>
      <c r="EG131" s="1250"/>
      <c r="EH131" s="1250"/>
      <c r="EI131" s="1250"/>
      <c r="EJ131" s="1250"/>
      <c r="EK131" s="615"/>
      <c r="EL131" s="615"/>
      <c r="EM131" s="616"/>
    </row>
    <row r="132" spans="1:143" ht="14.65" customHeight="1">
      <c r="A132" s="339">
        <v>33617</v>
      </c>
      <c r="B132" s="338" t="s">
        <v>316</v>
      </c>
      <c r="E132" s="858"/>
      <c r="F132" s="338">
        <v>113.03</v>
      </c>
      <c r="G132" s="338" t="s">
        <v>297</v>
      </c>
      <c r="L132" s="2481">
        <v>694</v>
      </c>
      <c r="M132" s="340" t="s">
        <v>288</v>
      </c>
      <c r="N132" s="1390"/>
      <c r="O132" s="2479"/>
      <c r="P132" s="2282"/>
      <c r="R132" s="341" t="str">
        <f t="array" ref="R132">IFERROR(IF($R$11="Metro",INDEX($F$13:$F$829,SMALL(IF((County=$G$13:$G$829),MATCH(ROW($G$13:$G$829),ROW($G$13:$G$829)),""),ROWS($A$13:A132))),INDEX($I$13:$I$44,SMALL(IF((County=$J$13:$J$44),MATCH(ROW($J$13:$J$44),ROW($J$13:$J$44)),""),ROWS($A$13:A132)))),"")</f>
        <v/>
      </c>
      <c r="T132" s="341" t="str">
        <f t="array" ref="T132">IFERROR(IF($T$11="Yes",INDEX($L$13:$L$2813,SMALL(IF((County=$M$13:$M$2813),MATCH(ROW($M$13:$M$2813),ROW($M$13:$M$2813)),""),ROWS($A$13:A132))),""),"")</f>
        <v/>
      </c>
      <c r="V132" s="2283" t="str">
        <f t="array" ref="V132">IFERROR(IF($T$11="Yes",INDEX($O$14:$O$2811,SMALL(IF((County=$P$14:$P$2811),MATCH(ROW($P$14:$P$2811),ROW($P$14:$P$2811)),""),ROWS($A$13:A132))),""),"")</f>
        <v/>
      </c>
      <c r="X132" s="339">
        <v>33035</v>
      </c>
      <c r="Y132" s="338" t="s">
        <v>2579</v>
      </c>
      <c r="AA132" s="338">
        <v>13.02</v>
      </c>
      <c r="AB132" s="338" t="s">
        <v>340</v>
      </c>
      <c r="AG132" s="2297">
        <v>7.03</v>
      </c>
      <c r="AH132" s="2297" t="s">
        <v>340</v>
      </c>
      <c r="AI132" s="1390"/>
      <c r="AJ132" s="2282"/>
      <c r="AK132" s="2282"/>
      <c r="AL132" s="1037"/>
      <c r="AM132" s="339">
        <v>33921</v>
      </c>
      <c r="AN132" s="338" t="s">
        <v>323</v>
      </c>
      <c r="AQ132" s="858"/>
      <c r="AR132" s="338">
        <v>27.01</v>
      </c>
      <c r="AS132" s="338" t="s">
        <v>302</v>
      </c>
      <c r="AX132" s="340">
        <v>692</v>
      </c>
      <c r="AY132" s="340" t="s">
        <v>288</v>
      </c>
      <c r="BA132" s="341" t="str">
        <f t="array" ref="BA132">IFERROR(IF($BA$11="Metro",INDEX($AR$13:$AR$814,SMALL(IF((County=$AS$13:$AS$814),MATCH(ROW($AS$13:$AS$814),ROW($AS$13:$AS$814)),""),ROWS($A$13:$A132))),INDEX($AU$13:$AU$48,SMALL(IF((County=$AV$13:$AV$48),MATCH(ROW($AV$13:$AV$48),ROW($AV$13:$AV$48)),""),ROWS($A$13:$A132)))),"")</f>
        <v/>
      </c>
      <c r="BC132" s="341" t="str">
        <f t="array" ref="BC132">IFERROR(IF($BC$11="Yes",INDEX($AX$13:$AX$2950,SMALL(IF((County=$AY$13:$AY$2950),MATCH(ROW($AY$13:$AY$2950),ROW($AY$13:$AY$2950)),""),ROWS($A$13:$A132))),""),"")</f>
        <v/>
      </c>
      <c r="BE132" s="339">
        <v>33143</v>
      </c>
      <c r="BF132" s="338" t="s">
        <v>331</v>
      </c>
      <c r="BH132" s="338">
        <v>9.0399999999999991</v>
      </c>
      <c r="BI132" s="338" t="s">
        <v>331</v>
      </c>
      <c r="BN132" s="340">
        <v>6.02</v>
      </c>
      <c r="BO132" s="340" t="s">
        <v>331</v>
      </c>
      <c r="BP132" s="1385"/>
      <c r="BQ132" s="1583">
        <v>33629</v>
      </c>
      <c r="BR132" s="236" t="s">
        <v>316</v>
      </c>
      <c r="BU132" s="858"/>
      <c r="BV132" s="338">
        <v>603.02</v>
      </c>
      <c r="BW132" s="338" t="s">
        <v>288</v>
      </c>
      <c r="BY132" s="236">
        <v>9710.02</v>
      </c>
      <c r="BZ132" s="236" t="s">
        <v>333</v>
      </c>
      <c r="CB132" s="340">
        <v>685.02</v>
      </c>
      <c r="CC132" s="340" t="s">
        <v>288</v>
      </c>
      <c r="CE132" s="341" t="str">
        <f t="array" ref="CE132">IFERROR(IF($CE$11="Metro",INDEX($BV$13:$BV$4972,SMALL(IF((County=$BW$13:$BW$4972),MATCH(ROW($BW$13:$BW$4972),ROW($BW$13:$BW$4972)),""),ROWS($A$13:$A132))),INDEX($BY$13:$BY$212,SMALL(IF((County=$BZ$13:$BZ$212),MATCH(ROW($BZ$13:$BZ$212),ROW($BZ$13:$BZ$212)),""),ROWS($A$13:$A132)))),"")</f>
        <v/>
      </c>
      <c r="CG132" s="341" t="str">
        <f t="array" ref="CG132">IFERROR(IF($CG$11="Yes",INDEX($CB$13:$CB$2950,SMALL(IF((County=$CC$13:$CC$2950),MATCH(ROW($CC$13:$CC$2950),ROW($CC$13:$CC$2950)),""),ROWS($A$13:$A132))),""),"")</f>
        <v/>
      </c>
      <c r="CI132" s="1387">
        <v>33131</v>
      </c>
      <c r="CJ132" s="338" t="s">
        <v>331</v>
      </c>
      <c r="CL132" s="236">
        <v>3.04</v>
      </c>
      <c r="CM132" s="236" t="s">
        <v>329</v>
      </c>
      <c r="CO132" s="236">
        <v>9603</v>
      </c>
      <c r="CP132" s="236" t="s">
        <v>354</v>
      </c>
      <c r="CR132" s="340">
        <v>6.02</v>
      </c>
      <c r="CS132" s="340" t="s">
        <v>331</v>
      </c>
      <c r="CT132" s="1384"/>
      <c r="CU132" s="341">
        <v>32102</v>
      </c>
      <c r="CV132" s="338" t="s">
        <v>322</v>
      </c>
      <c r="CZ132" s="1795">
        <v>106.01</v>
      </c>
      <c r="DA132" s="338" t="s">
        <v>297</v>
      </c>
      <c r="DF132" s="340">
        <v>685.02</v>
      </c>
      <c r="DG132" s="340" t="s">
        <v>288</v>
      </c>
      <c r="DI132" s="341" t="str">
        <f t="array" ref="DI132">IFERROR(IF($DI$11="Metro",INDEX($CZ$13:$CZ$929,SMALL(IF((County=$DA$13:$DA$929),MATCH(ROW($DA$13:$DA$929),ROW($DA$13:$DA$929)),""),ROWS($A$13:$A132))),INDEX($DC$13:$DC$212,SMALL(IF((County=$DD$13:$DD$212),MATCH(ROW($DD$13:$DD$212),ROW($DD$13:$DD$212)),""),ROWS($A$13:$A132)))),"")</f>
        <v/>
      </c>
      <c r="DK132" s="341" t="str">
        <f t="array" ref="DK132">IFERROR(IF($DK$11="Yes",INDEX($DF$13:$DF$2838,SMALL(IF((County=$DG$13:$DG$2838),MATCH(ROW($DG$13:$DG$2838),ROW($DG$13:$DG$2838)),""),ROWS($A$13:$A132))),""),"")</f>
        <v/>
      </c>
      <c r="DM132" s="1387">
        <v>33131</v>
      </c>
      <c r="DN132" s="338" t="s">
        <v>2579</v>
      </c>
      <c r="DP132" s="236">
        <v>11.01</v>
      </c>
      <c r="DQ132" s="236" t="s">
        <v>323</v>
      </c>
      <c r="DV132" s="340">
        <v>6.12</v>
      </c>
      <c r="DW132" s="340" t="s">
        <v>331</v>
      </c>
      <c r="DX132" s="1671"/>
      <c r="EB132" s="618"/>
      <c r="EC132" s="618"/>
      <c r="ED132" s="1250"/>
      <c r="EE132" s="1250"/>
      <c r="EF132" s="1250"/>
      <c r="EG132" s="1250"/>
      <c r="EH132" s="1250"/>
      <c r="EI132" s="1250"/>
      <c r="EJ132" s="1250"/>
      <c r="EK132" s="615"/>
      <c r="EL132" s="615"/>
      <c r="EM132" s="616"/>
    </row>
    <row r="133" spans="1:143" ht="14.65" customHeight="1">
      <c r="A133" s="339">
        <v>33619</v>
      </c>
      <c r="B133" s="338" t="s">
        <v>316</v>
      </c>
      <c r="E133" s="858"/>
      <c r="F133" s="338">
        <v>113.05</v>
      </c>
      <c r="G133" s="338" t="s">
        <v>297</v>
      </c>
      <c r="L133" s="2481">
        <v>697</v>
      </c>
      <c r="M133" s="340" t="s">
        <v>288</v>
      </c>
      <c r="N133" s="1390"/>
      <c r="O133" s="2479"/>
      <c r="P133" s="2282"/>
      <c r="R133" s="341" t="str">
        <f t="array" ref="R133">IFERROR(IF($R$11="Metro",INDEX($F$13:$F$829,SMALL(IF((County=$G$13:$G$829),MATCH(ROW($G$13:$G$829),ROW($G$13:$G$829)),""),ROWS($A$13:A133))),INDEX($I$13:$I$44,SMALL(IF((County=$J$13:$J$44),MATCH(ROW($J$13:$J$44),ROW($J$13:$J$44)),""),ROWS($A$13:A133)))),"")</f>
        <v/>
      </c>
      <c r="T133" s="341" t="str">
        <f t="array" ref="T133">IFERROR(IF($T$11="Yes",INDEX($L$13:$L$2813,SMALL(IF((County=$M$13:$M$2813),MATCH(ROW($M$13:$M$2813),ROW($M$13:$M$2813)),""),ROWS($A$13:A133))),""),"")</f>
        <v/>
      </c>
      <c r="V133" s="2283" t="str">
        <f t="array" ref="V133">IFERROR(IF($T$11="Yes",INDEX($O$14:$O$2811,SMALL(IF((County=$P$14:$P$2811),MATCH(ROW($P$14:$P$2811),ROW($P$14:$P$2811)),""),ROWS($A$13:A133))),""),"")</f>
        <v/>
      </c>
      <c r="X133" s="339">
        <v>33062</v>
      </c>
      <c r="Y133" s="338" t="s">
        <v>289</v>
      </c>
      <c r="AA133" s="338">
        <v>14</v>
      </c>
      <c r="AB133" s="338" t="s">
        <v>276</v>
      </c>
      <c r="AG133" s="2297">
        <v>7.06</v>
      </c>
      <c r="AH133" s="2297" t="s">
        <v>329</v>
      </c>
      <c r="AI133" s="1390"/>
      <c r="AJ133" s="2282"/>
      <c r="AK133" s="2282"/>
      <c r="AL133" s="1037"/>
      <c r="AM133" s="339">
        <v>33924</v>
      </c>
      <c r="AN133" s="338" t="s">
        <v>323</v>
      </c>
      <c r="AQ133" s="858"/>
      <c r="AR133" s="338">
        <v>27.02</v>
      </c>
      <c r="AS133" s="338" t="s">
        <v>302</v>
      </c>
      <c r="AX133" s="340">
        <v>693</v>
      </c>
      <c r="AY133" s="340" t="s">
        <v>288</v>
      </c>
      <c r="BA133" s="341" t="str">
        <f t="array" ref="BA133">IFERROR(IF($BA$11="Metro",INDEX($AR$13:$AR$814,SMALL(IF((County=$AS$13:$AS$814),MATCH(ROW($AS$13:$AS$814),ROW($AS$13:$AS$814)),""),ROWS($A$13:$A133))),INDEX($AU$13:$AU$48,SMALL(IF((County=$AV$13:$AV$48),MATCH(ROW($AV$13:$AV$48),ROW($AV$13:$AV$48)),""),ROWS($A$13:$A133)))),"")</f>
        <v/>
      </c>
      <c r="BC133" s="341" t="str">
        <f t="array" ref="BC133">IFERROR(IF($BC$11="Yes",INDEX($AX$13:$AX$2950,SMALL(IF((County=$AY$13:$AY$2950),MATCH(ROW($AY$13:$AY$2950),ROW($AY$13:$AY$2950)),""),ROWS($A$13:$A133))),""),"")</f>
        <v/>
      </c>
      <c r="BE133" s="339">
        <v>33144</v>
      </c>
      <c r="BF133" s="338" t="s">
        <v>331</v>
      </c>
      <c r="BH133" s="338">
        <v>9.06</v>
      </c>
      <c r="BI133" s="338" t="s">
        <v>331</v>
      </c>
      <c r="BN133" s="340">
        <v>6.02</v>
      </c>
      <c r="BO133" s="340" t="s">
        <v>347</v>
      </c>
      <c r="BP133" s="1385"/>
      <c r="BQ133" s="1583">
        <v>33634</v>
      </c>
      <c r="BR133" s="236" t="s">
        <v>316</v>
      </c>
      <c r="BU133" s="858"/>
      <c r="BV133" s="338">
        <v>604</v>
      </c>
      <c r="BW133" s="338" t="s">
        <v>288</v>
      </c>
      <c r="BY133" s="236">
        <v>9711</v>
      </c>
      <c r="BZ133" s="236" t="s">
        <v>333</v>
      </c>
      <c r="CB133" s="340">
        <v>686.01</v>
      </c>
      <c r="CC133" s="340" t="s">
        <v>288</v>
      </c>
      <c r="CE133" s="341" t="str">
        <f t="array" ref="CE133">IFERROR(IF($CE$11="Metro",INDEX($BV$13:$BV$4972,SMALL(IF((County=$BW$13:$BW$4972),MATCH(ROW($BW$13:$BW$4972),ROW($BW$13:$BW$4972)),""),ROWS($A$13:$A133))),INDEX($BY$13:$BY$212,SMALL(IF((County=$BZ$13:$BZ$212),MATCH(ROW($BZ$13:$BZ$212),ROW($BZ$13:$BZ$212)),""),ROWS($A$13:$A133)))),"")</f>
        <v/>
      </c>
      <c r="CG133" s="341" t="str">
        <f t="array" ref="CG133">IFERROR(IF($CG$11="Yes",INDEX($CB$13:$CB$2950,SMALL(IF((County=$CC$13:$CC$2950),MATCH(ROW($CC$13:$CC$2950),ROW($CC$13:$CC$2950)),""),ROWS($A$13:$A133))),""),"")</f>
        <v/>
      </c>
      <c r="CI133" s="1387">
        <v>33132</v>
      </c>
      <c r="CJ133" s="338" t="s">
        <v>331</v>
      </c>
      <c r="CL133" s="236">
        <v>3.04</v>
      </c>
      <c r="CM133" s="236" t="s">
        <v>340</v>
      </c>
      <c r="CO133" s="236">
        <v>9603.01</v>
      </c>
      <c r="CP133" s="236" t="s">
        <v>310</v>
      </c>
      <c r="CR133" s="340">
        <v>6.02</v>
      </c>
      <c r="CS133" s="340" t="s">
        <v>347</v>
      </c>
      <c r="CT133" s="1384"/>
      <c r="CU133" s="341">
        <v>32702</v>
      </c>
      <c r="CV133" s="338" t="s">
        <v>322</v>
      </c>
      <c r="CZ133" s="1795">
        <v>107.01</v>
      </c>
      <c r="DA133" s="338" t="s">
        <v>297</v>
      </c>
      <c r="DF133" s="340">
        <v>686.04</v>
      </c>
      <c r="DG133" s="340" t="s">
        <v>288</v>
      </c>
      <c r="DI133" s="341" t="str">
        <f t="array" ref="DI133">IFERROR(IF($DI$11="Metro",INDEX($CZ$13:$CZ$929,SMALL(IF((County=$DA$13:$DA$929),MATCH(ROW($DA$13:$DA$929),ROW($DA$13:$DA$929)),""),ROWS($A$13:$A133))),INDEX($DC$13:$DC$212,SMALL(IF((County=$DD$13:$DD$212),MATCH(ROW($DD$13:$DD$212),ROW($DD$13:$DD$212)),""),ROWS($A$13:$A133)))),"")</f>
        <v/>
      </c>
      <c r="DK133" s="341" t="str">
        <f t="array" ref="DK133">IFERROR(IF($DK$11="Yes",INDEX($DF$13:$DF$2838,SMALL(IF((County=$DG$13:$DG$2838),MATCH(ROW($DG$13:$DG$2838),ROW($DG$13:$DG$2838)),""),ROWS($A$13:$A133))),""),"")</f>
        <v/>
      </c>
      <c r="DM133" s="1387">
        <v>33132</v>
      </c>
      <c r="DN133" s="338" t="s">
        <v>2579</v>
      </c>
      <c r="DP133" s="236">
        <v>11.01</v>
      </c>
      <c r="DQ133" s="236" t="s">
        <v>324</v>
      </c>
      <c r="DV133" s="340">
        <v>7</v>
      </c>
      <c r="DW133" s="340" t="s">
        <v>302</v>
      </c>
      <c r="DX133" s="1671"/>
      <c r="EB133" s="618"/>
      <c r="EC133" s="618"/>
      <c r="ED133" s="1250"/>
      <c r="EE133" s="1250"/>
      <c r="EF133" s="1250"/>
      <c r="EG133" s="1250"/>
      <c r="EH133" s="1250"/>
      <c r="EI133" s="1250"/>
      <c r="EJ133" s="1250"/>
      <c r="EK133" s="615"/>
      <c r="EL133" s="615"/>
      <c r="EM133" s="616"/>
    </row>
    <row r="134" spans="1:143" ht="14.65" customHeight="1">
      <c r="A134" s="339">
        <v>33621</v>
      </c>
      <c r="B134" s="338" t="s">
        <v>316</v>
      </c>
      <c r="E134" s="858"/>
      <c r="F134" s="338">
        <v>113.06</v>
      </c>
      <c r="G134" s="338" t="s">
        <v>297</v>
      </c>
      <c r="L134" s="2481">
        <v>698.01</v>
      </c>
      <c r="M134" s="340" t="s">
        <v>288</v>
      </c>
      <c r="N134" s="1390"/>
      <c r="O134" s="2479"/>
      <c r="P134" s="2282"/>
      <c r="R134" s="341" t="str">
        <f t="array" ref="R134">IFERROR(IF($R$11="Metro",INDEX($F$13:$F$829,SMALL(IF((County=$G$13:$G$829),MATCH(ROW($G$13:$G$829),ROW($G$13:$G$829)),""),ROWS($A$13:A134))),INDEX($I$13:$I$44,SMALL(IF((County=$J$13:$J$44),MATCH(ROW($J$13:$J$44),ROW($J$13:$J$44)),""),ROWS($A$13:A134)))),"")</f>
        <v/>
      </c>
      <c r="T134" s="341" t="str">
        <f t="array" ref="T134">IFERROR(IF($T$11="Yes",INDEX($L$13:$L$2813,SMALL(IF((County=$M$13:$M$2813),MATCH(ROW($M$13:$M$2813),ROW($M$13:$M$2813)),""),ROWS($A$13:A134))),""),"")</f>
        <v/>
      </c>
      <c r="V134" s="2283" t="str">
        <f t="array" ref="V134">IFERROR(IF($T$11="Yes",INDEX($O$14:$O$2811,SMALL(IF((County=$P$14:$P$2811),MATCH(ROW($P$14:$P$2811),ROW($P$14:$P$2811)),""),ROWS($A$13:A134))),""),"")</f>
        <v/>
      </c>
      <c r="X134" s="339">
        <v>33063</v>
      </c>
      <c r="Y134" s="338" t="s">
        <v>289</v>
      </c>
      <c r="AA134" s="338">
        <v>14</v>
      </c>
      <c r="AB134" s="338" t="s">
        <v>316</v>
      </c>
      <c r="AG134" s="2297">
        <v>7.07</v>
      </c>
      <c r="AH134" s="2297" t="s">
        <v>329</v>
      </c>
      <c r="AI134" s="1390"/>
      <c r="AJ134" s="2282"/>
      <c r="AK134" s="2282"/>
      <c r="AL134" s="1037"/>
      <c r="AM134" s="339">
        <v>33928</v>
      </c>
      <c r="AN134" s="338" t="s">
        <v>323</v>
      </c>
      <c r="AQ134" s="858"/>
      <c r="AR134" s="338">
        <v>28.01</v>
      </c>
      <c r="AS134" s="338" t="s">
        <v>302</v>
      </c>
      <c r="AX134" s="340">
        <v>694</v>
      </c>
      <c r="AY134" s="340" t="s">
        <v>288</v>
      </c>
      <c r="BA134" s="341" t="str">
        <f t="array" ref="BA134">IFERROR(IF($BA$11="Metro",INDEX($AR$13:$AR$814,SMALL(IF((County=$AS$13:$AS$814),MATCH(ROW($AS$13:$AS$814),ROW($AS$13:$AS$814)),""),ROWS($A$13:$A134))),INDEX($AU$13:$AU$48,SMALL(IF((County=$AV$13:$AV$48),MATCH(ROW($AV$13:$AV$48),ROW($AV$13:$AV$48)),""),ROWS($A$13:$A134)))),"")</f>
        <v/>
      </c>
      <c r="BC134" s="341" t="str">
        <f t="array" ref="BC134">IFERROR(IF($BC$11="Yes",INDEX($AX$13:$AX$2950,SMALL(IF((County=$AY$13:$AY$2950),MATCH(ROW($AY$13:$AY$2950),ROW($AY$13:$AY$2950)),""),ROWS($A$13:$A134))),""),"")</f>
        <v/>
      </c>
      <c r="BE134" s="339">
        <v>33145</v>
      </c>
      <c r="BF134" s="338" t="s">
        <v>331</v>
      </c>
      <c r="BH134" s="338">
        <v>9.07</v>
      </c>
      <c r="BI134" s="338" t="s">
        <v>331</v>
      </c>
      <c r="BN134" s="340">
        <v>6.03</v>
      </c>
      <c r="BO134" s="340" t="s">
        <v>330</v>
      </c>
      <c r="BP134" s="1385"/>
      <c r="BQ134" s="1583">
        <v>33635</v>
      </c>
      <c r="BR134" s="236" t="s">
        <v>316</v>
      </c>
      <c r="BU134" s="858"/>
      <c r="BV134" s="338">
        <v>605</v>
      </c>
      <c r="BW134" s="338" t="s">
        <v>288</v>
      </c>
      <c r="BY134" s="236">
        <v>9712</v>
      </c>
      <c r="BZ134" s="236" t="s">
        <v>333</v>
      </c>
      <c r="CB134" s="340">
        <v>686.04</v>
      </c>
      <c r="CC134" s="340" t="s">
        <v>288</v>
      </c>
      <c r="CE134" s="341" t="str">
        <f t="array" ref="CE134">IFERROR(IF($CE$11="Metro",INDEX($BV$13:$BV$4972,SMALL(IF((County=$BW$13:$BW$4972),MATCH(ROW($BW$13:$BW$4972),ROW($BW$13:$BW$4972)),""),ROWS($A$13:$A134))),INDEX($BY$13:$BY$212,SMALL(IF((County=$BZ$13:$BZ$212),MATCH(ROW($BZ$13:$BZ$212),ROW($BZ$13:$BZ$212)),""),ROWS($A$13:$A134)))),"")</f>
        <v/>
      </c>
      <c r="CG134" s="341" t="str">
        <f t="array" ref="CG134">IFERROR(IF($CG$11="Yes",INDEX($CB$13:$CB$2950,SMALL(IF((County=$CC$13:$CC$2950),MATCH(ROW($CC$13:$CC$2950),ROW($CC$13:$CC$2950)),""),ROWS($A$13:$A134))),""),"")</f>
        <v/>
      </c>
      <c r="CI134" s="1387">
        <v>33133</v>
      </c>
      <c r="CJ134" s="338" t="s">
        <v>331</v>
      </c>
      <c r="CL134" s="236">
        <v>3.05</v>
      </c>
      <c r="CM134" s="236" t="s">
        <v>323</v>
      </c>
      <c r="CO134" s="236">
        <v>9603.02</v>
      </c>
      <c r="CP134" s="236" t="s">
        <v>310</v>
      </c>
      <c r="CR134" s="340">
        <v>6.03</v>
      </c>
      <c r="CS134" s="340" t="s">
        <v>330</v>
      </c>
      <c r="CT134" s="1384"/>
      <c r="CU134" s="341">
        <v>32735</v>
      </c>
      <c r="CV134" s="338" t="s">
        <v>322</v>
      </c>
      <c r="CZ134" s="1795">
        <v>108.04</v>
      </c>
      <c r="DA134" s="338" t="s">
        <v>297</v>
      </c>
      <c r="DF134" s="340">
        <v>691</v>
      </c>
      <c r="DG134" s="340" t="s">
        <v>288</v>
      </c>
      <c r="DI134" s="341" t="str">
        <f t="array" ref="DI134">IFERROR(IF($DI$11="Metro",INDEX($CZ$13:$CZ$929,SMALL(IF((County=$DA$13:$DA$929),MATCH(ROW($DA$13:$DA$929),ROW($DA$13:$DA$929)),""),ROWS($A$13:$A134))),INDEX($DC$13:$DC$212,SMALL(IF((County=$DD$13:$DD$212),MATCH(ROW($DD$13:$DD$212),ROW($DD$13:$DD$212)),""),ROWS($A$13:$A134)))),"")</f>
        <v/>
      </c>
      <c r="DK134" s="341" t="str">
        <f t="array" ref="DK134">IFERROR(IF($DK$11="Yes",INDEX($DF$13:$DF$2838,SMALL(IF((County=$DG$13:$DG$2838),MATCH(ROW($DG$13:$DG$2838),ROW($DG$13:$DG$2838)),""),ROWS($A$13:$A134))),""),"")</f>
        <v/>
      </c>
      <c r="DM134" s="1387">
        <v>33133</v>
      </c>
      <c r="DN134" s="338" t="s">
        <v>2579</v>
      </c>
      <c r="DP134" s="236">
        <v>11.02</v>
      </c>
      <c r="DQ134" s="236" t="s">
        <v>347</v>
      </c>
      <c r="DV134" s="340">
        <v>7</v>
      </c>
      <c r="DW134" s="340" t="s">
        <v>324</v>
      </c>
      <c r="DX134" s="1671"/>
      <c r="EB134" s="618"/>
      <c r="EC134" s="618"/>
      <c r="ED134" s="1250"/>
      <c r="EE134" s="1250"/>
      <c r="EF134" s="1250"/>
      <c r="EG134" s="1250"/>
      <c r="EH134" s="1250"/>
      <c r="EI134" s="1250"/>
      <c r="EJ134" s="1250"/>
      <c r="EK134" s="615"/>
      <c r="EL134" s="615"/>
      <c r="EM134" s="616"/>
    </row>
    <row r="135" spans="1:143" ht="14.65" customHeight="1">
      <c r="A135" s="339">
        <v>33624</v>
      </c>
      <c r="B135" s="338" t="s">
        <v>316</v>
      </c>
      <c r="E135" s="858"/>
      <c r="F135" s="338">
        <v>114</v>
      </c>
      <c r="G135" s="338" t="s">
        <v>297</v>
      </c>
      <c r="L135" s="2481">
        <v>698.02</v>
      </c>
      <c r="M135" s="340" t="s">
        <v>288</v>
      </c>
      <c r="N135" s="1390"/>
      <c r="O135" s="2479"/>
      <c r="P135" s="2282"/>
      <c r="R135" s="341" t="str">
        <f t="array" ref="R135">IFERROR(IF($R$11="Metro",INDEX($F$13:$F$829,SMALL(IF((County=$G$13:$G$829),MATCH(ROW($G$13:$G$829),ROW($G$13:$G$829)),""),ROWS($A$13:A135))),INDEX($I$13:$I$44,SMALL(IF((County=$J$13:$J$44),MATCH(ROW($J$13:$J$44),ROW($J$13:$J$44)),""),ROWS($A$13:A135)))),"")</f>
        <v/>
      </c>
      <c r="T135" s="341" t="str">
        <f t="array" ref="T135">IFERROR(IF($T$11="Yes",INDEX($L$13:$L$2813,SMALL(IF((County=$M$13:$M$2813),MATCH(ROW($M$13:$M$2813),ROW($M$13:$M$2813)),""),ROWS($A$13:A135))),""),"")</f>
        <v/>
      </c>
      <c r="V135" s="2283" t="str">
        <f t="array" ref="V135">IFERROR(IF($T$11="Yes",INDEX($O$14:$O$2811,SMALL(IF((County=$P$14:$P$2811),MATCH(ROW($P$14:$P$2811),ROW($P$14:$P$2811)),""),ROWS($A$13:A135))),""),"")</f>
        <v/>
      </c>
      <c r="X135" s="339">
        <v>33064</v>
      </c>
      <c r="Y135" s="338" t="s">
        <v>289</v>
      </c>
      <c r="AA135" s="338">
        <v>14.01</v>
      </c>
      <c r="AB135" s="338" t="s">
        <v>302</v>
      </c>
      <c r="AG135" s="2297">
        <v>7.15</v>
      </c>
      <c r="AH135" s="2297" t="s">
        <v>331</v>
      </c>
      <c r="AI135" s="1390"/>
      <c r="AJ135" s="2282"/>
      <c r="AK135" s="2282"/>
      <c r="AL135" s="1037"/>
      <c r="AM135" s="339">
        <v>33957</v>
      </c>
      <c r="AN135" s="338" t="s">
        <v>323</v>
      </c>
      <c r="AQ135" s="858"/>
      <c r="AR135" s="338">
        <v>28.02</v>
      </c>
      <c r="AS135" s="338" t="s">
        <v>302</v>
      </c>
      <c r="AX135" s="340">
        <v>698.01</v>
      </c>
      <c r="AY135" s="340" t="s">
        <v>288</v>
      </c>
      <c r="BA135" s="341" t="str">
        <f t="array" ref="BA135">IFERROR(IF($BA$11="Metro",INDEX($AR$13:$AR$814,SMALL(IF((County=$AS$13:$AS$814),MATCH(ROW($AS$13:$AS$814),ROW($AS$13:$AS$814)),""),ROWS($A$13:$A135))),INDEX($AU$13:$AU$48,SMALL(IF((County=$AV$13:$AV$48),MATCH(ROW($AV$13:$AV$48),ROW($AV$13:$AV$48)),""),ROWS($A$13:$A135)))),"")</f>
        <v/>
      </c>
      <c r="BC135" s="341" t="str">
        <f t="array" ref="BC135">IFERROR(IF($BC$11="Yes",INDEX($AX$13:$AX$2950,SMALL(IF((County=$AY$13:$AY$2950),MATCH(ROW($AY$13:$AY$2950),ROW($AY$13:$AY$2950)),""),ROWS($A$13:$A135))),""),"")</f>
        <v/>
      </c>
      <c r="BE135" s="339">
        <v>33146</v>
      </c>
      <c r="BF135" s="338" t="s">
        <v>331</v>
      </c>
      <c r="BH135" s="338">
        <v>9.08</v>
      </c>
      <c r="BI135" s="338" t="s">
        <v>331</v>
      </c>
      <c r="BN135" s="340">
        <v>6.03</v>
      </c>
      <c r="BO135" s="340" t="s">
        <v>331</v>
      </c>
      <c r="BP135" s="1385"/>
      <c r="BQ135" s="1583">
        <v>33637</v>
      </c>
      <c r="BR135" s="236" t="s">
        <v>316</v>
      </c>
      <c r="BU135" s="858"/>
      <c r="BV135" s="338">
        <v>606</v>
      </c>
      <c r="BW135" s="338" t="s">
        <v>288</v>
      </c>
      <c r="BY135" s="236">
        <v>9713</v>
      </c>
      <c r="BZ135" s="236" t="s">
        <v>333</v>
      </c>
      <c r="CB135" s="340">
        <v>691</v>
      </c>
      <c r="CC135" s="340" t="s">
        <v>288</v>
      </c>
      <c r="CE135" s="341" t="str">
        <f t="array" ref="CE135">IFERROR(IF($CE$11="Metro",INDEX($BV$13:$BV$4972,SMALL(IF((County=$BW$13:$BW$4972),MATCH(ROW($BW$13:$BW$4972),ROW($BW$13:$BW$4972)),""),ROWS($A$13:$A135))),INDEX($BY$13:$BY$212,SMALL(IF((County=$BZ$13:$BZ$212),MATCH(ROW($BZ$13:$BZ$212),ROW($BZ$13:$BZ$212)),""),ROWS($A$13:$A135)))),"")</f>
        <v/>
      </c>
      <c r="CG135" s="341" t="str">
        <f t="array" ref="CG135">IFERROR(IF($CG$11="Yes",INDEX($CB$13:$CB$2950,SMALL(IF((County=$CC$13:$CC$2950),MATCH(ROW($CC$13:$CC$2950),ROW($CC$13:$CC$2950)),""),ROWS($A$13:$A135))),""),"")</f>
        <v/>
      </c>
      <c r="CI135" s="1387">
        <v>33134</v>
      </c>
      <c r="CJ135" s="338" t="s">
        <v>331</v>
      </c>
      <c r="CL135" s="236">
        <v>3.05</v>
      </c>
      <c r="CM135" s="236" t="s">
        <v>328</v>
      </c>
      <c r="CO135" s="236">
        <v>9604.01</v>
      </c>
      <c r="CP135" s="236" t="s">
        <v>317</v>
      </c>
      <c r="CR135" s="340">
        <v>6.03</v>
      </c>
      <c r="CS135" s="340" t="s">
        <v>331</v>
      </c>
      <c r="CT135" s="1384"/>
      <c r="CU135" s="341">
        <v>34711</v>
      </c>
      <c r="CV135" s="338" t="s">
        <v>322</v>
      </c>
      <c r="CZ135" s="1795">
        <v>111.03</v>
      </c>
      <c r="DA135" s="338" t="s">
        <v>297</v>
      </c>
      <c r="DF135" s="340">
        <v>693</v>
      </c>
      <c r="DG135" s="340" t="s">
        <v>288</v>
      </c>
      <c r="DI135" s="341" t="str">
        <f t="array" ref="DI135">IFERROR(IF($DI$11="Metro",INDEX($CZ$13:$CZ$929,SMALL(IF((County=$DA$13:$DA$929),MATCH(ROW($DA$13:$DA$929),ROW($DA$13:$DA$929)),""),ROWS($A$13:$A135))),INDEX($DC$13:$DC$212,SMALL(IF((County=$DD$13:$DD$212),MATCH(ROW($DD$13:$DD$212),ROW($DD$13:$DD$212)),""),ROWS($A$13:$A135)))),"")</f>
        <v/>
      </c>
      <c r="DK135" s="341" t="str">
        <f t="array" ref="DK135">IFERROR(IF($DK$11="Yes",INDEX($DF$13:$DF$2838,SMALL(IF((County=$DG$13:$DG$2838),MATCH(ROW($DG$13:$DG$2838),ROW($DG$13:$DG$2838)),""),ROWS($A$13:$A135))),""),"")</f>
        <v/>
      </c>
      <c r="DM135" s="1387">
        <v>33134</v>
      </c>
      <c r="DN135" s="338" t="s">
        <v>2579</v>
      </c>
      <c r="DP135" s="236">
        <v>11.03</v>
      </c>
      <c r="DQ135" s="236" t="s">
        <v>323</v>
      </c>
      <c r="DV135" s="340">
        <v>7</v>
      </c>
      <c r="DW135" s="340" t="s">
        <v>347</v>
      </c>
      <c r="DX135" s="1671"/>
      <c r="EB135" s="618"/>
      <c r="EC135" s="618"/>
      <c r="ED135" s="1250"/>
      <c r="EE135" s="1250"/>
      <c r="EF135" s="1250"/>
      <c r="EG135" s="1250"/>
      <c r="EH135" s="1250"/>
      <c r="EI135" s="1250"/>
      <c r="EJ135" s="1250"/>
      <c r="EK135" s="618"/>
      <c r="EL135" s="618"/>
      <c r="EM135" s="618"/>
    </row>
    <row r="136" spans="1:143" ht="14.65" customHeight="1">
      <c r="A136" s="339">
        <v>33625</v>
      </c>
      <c r="B136" s="338" t="s">
        <v>316</v>
      </c>
      <c r="E136" s="858"/>
      <c r="F136" s="338">
        <v>1.01</v>
      </c>
      <c r="G136" s="338" t="s">
        <v>302</v>
      </c>
      <c r="L136" s="2481">
        <v>699.03</v>
      </c>
      <c r="M136" s="340" t="s">
        <v>288</v>
      </c>
      <c r="N136" s="1390"/>
      <c r="O136" s="2479"/>
      <c r="P136" s="2282"/>
      <c r="R136" s="341" t="str">
        <f t="array" ref="R136">IFERROR(IF($R$11="Metro",INDEX($F$13:$F$829,SMALL(IF((County=$G$13:$G$829),MATCH(ROW($G$13:$G$829),ROW($G$13:$G$829)),""),ROWS($A$13:A136))),INDEX($I$13:$I$44,SMALL(IF((County=$J$13:$J$44),MATCH(ROW($J$13:$J$44),ROW($J$13:$J$44)),""),ROWS($A$13:A136)))),"")</f>
        <v/>
      </c>
      <c r="T136" s="341" t="str">
        <f t="array" ref="T136">IFERROR(IF($T$11="Yes",INDEX($L$13:$L$2813,SMALL(IF((County=$M$13:$M$2813),MATCH(ROW($M$13:$M$2813),ROW($M$13:$M$2813)),""),ROWS($A$13:A136))),""),"")</f>
        <v/>
      </c>
      <c r="V136" s="2283" t="str">
        <f t="array" ref="V136">IFERROR(IF($T$11="Yes",INDEX($O$14:$O$2811,SMALL(IF((County=$P$14:$P$2811),MATCH(ROW($P$14:$P$2811),ROW($P$14:$P$2811)),""),ROWS($A$13:A136))),""),"")</f>
        <v/>
      </c>
      <c r="X136" s="339">
        <v>33065</v>
      </c>
      <c r="Y136" s="338" t="s">
        <v>289</v>
      </c>
      <c r="AA136" s="338">
        <v>14.01</v>
      </c>
      <c r="AB136" s="338" t="s">
        <v>323</v>
      </c>
      <c r="AG136" s="2297">
        <v>8</v>
      </c>
      <c r="AH136" s="2297" t="s">
        <v>302</v>
      </c>
      <c r="AI136" s="1390"/>
      <c r="AJ136" s="2282"/>
      <c r="AK136" s="2282"/>
      <c r="AL136" s="1037"/>
      <c r="AM136" s="339">
        <v>33965</v>
      </c>
      <c r="AN136" s="338" t="s">
        <v>323</v>
      </c>
      <c r="AQ136" s="858"/>
      <c r="AR136" s="338">
        <v>29.01</v>
      </c>
      <c r="AS136" s="338" t="s">
        <v>302</v>
      </c>
      <c r="AX136" s="340">
        <v>698.02</v>
      </c>
      <c r="AY136" s="340" t="s">
        <v>288</v>
      </c>
      <c r="BA136" s="341" t="str">
        <f t="array" ref="BA136">IFERROR(IF($BA$11="Metro",INDEX($AR$13:$AR$814,SMALL(IF((County=$AS$13:$AS$814),MATCH(ROW($AS$13:$AS$814),ROW($AS$13:$AS$814)),""),ROWS($A$13:$A136))),INDEX($AU$13:$AU$48,SMALL(IF((County=$AV$13:$AV$48),MATCH(ROW($AV$13:$AV$48),ROW($AV$13:$AV$48)),""),ROWS($A$13:$A136)))),"")</f>
        <v/>
      </c>
      <c r="BC136" s="341" t="str">
        <f t="array" ref="BC136">IFERROR(IF($BC$11="Yes",INDEX($AX$13:$AX$2950,SMALL(IF((County=$AY$13:$AY$2950),MATCH(ROW($AY$13:$AY$2950),ROW($AY$13:$AY$2950)),""),ROWS($A$13:$A136))),""),"")</f>
        <v/>
      </c>
      <c r="BE136" s="339">
        <v>33149</v>
      </c>
      <c r="BF136" s="338" t="s">
        <v>331</v>
      </c>
      <c r="BH136" s="338">
        <v>10</v>
      </c>
      <c r="BI136" s="338" t="s">
        <v>285</v>
      </c>
      <c r="BN136" s="340">
        <v>6.04</v>
      </c>
      <c r="BO136" s="340" t="s">
        <v>330</v>
      </c>
      <c r="BP136" s="1385"/>
      <c r="BQ136" s="1583">
        <v>33647</v>
      </c>
      <c r="BR136" s="236" t="s">
        <v>316</v>
      </c>
      <c r="BU136" s="858"/>
      <c r="BV136" s="338">
        <v>607</v>
      </c>
      <c r="BW136" s="338" t="s">
        <v>288</v>
      </c>
      <c r="BY136" s="236">
        <v>9714.01</v>
      </c>
      <c r="BZ136" s="236" t="s">
        <v>333</v>
      </c>
      <c r="CB136" s="340">
        <v>694</v>
      </c>
      <c r="CC136" s="340" t="s">
        <v>288</v>
      </c>
      <c r="CE136" s="341" t="str">
        <f t="array" ref="CE136">IFERROR(IF($CE$11="Metro",INDEX($BV$13:$BV$4972,SMALL(IF((County=$BW$13:$BW$4972),MATCH(ROW($BW$13:$BW$4972),ROW($BW$13:$BW$4972)),""),ROWS($A$13:$A136))),INDEX($BY$13:$BY$212,SMALL(IF((County=$BZ$13:$BZ$212),MATCH(ROW($BZ$13:$BZ$212),ROW($BZ$13:$BZ$212)),""),ROWS($A$13:$A136)))),"")</f>
        <v/>
      </c>
      <c r="CG136" s="341" t="str">
        <f t="array" ref="CG136">IFERROR(IF($CG$11="Yes",INDEX($CB$13:$CB$2950,SMALL(IF((County=$CC$13:$CC$2950),MATCH(ROW($CC$13:$CC$2950),ROW($CC$13:$CC$2950)),""),ROWS($A$13:$A136))),""),"")</f>
        <v/>
      </c>
      <c r="CI136" s="1387">
        <v>33137</v>
      </c>
      <c r="CJ136" s="338" t="s">
        <v>331</v>
      </c>
      <c r="CL136" s="236">
        <v>3.06</v>
      </c>
      <c r="CM136" s="236" t="s">
        <v>323</v>
      </c>
      <c r="CO136" s="236">
        <v>9604.02</v>
      </c>
      <c r="CP136" s="236" t="s">
        <v>317</v>
      </c>
      <c r="CR136" s="340">
        <v>6.04</v>
      </c>
      <c r="CS136" s="340" t="s">
        <v>330</v>
      </c>
      <c r="CT136" s="1384"/>
      <c r="CU136" s="341">
        <v>34715</v>
      </c>
      <c r="CV136" s="338" t="s">
        <v>322</v>
      </c>
      <c r="CZ136" s="1795">
        <v>112.04</v>
      </c>
      <c r="DA136" s="338" t="s">
        <v>297</v>
      </c>
      <c r="DF136" s="340">
        <v>694</v>
      </c>
      <c r="DG136" s="340" t="s">
        <v>288</v>
      </c>
      <c r="DI136" s="341" t="str">
        <f t="array" ref="DI136">IFERROR(IF($DI$11="Metro",INDEX($CZ$13:$CZ$929,SMALL(IF((County=$DA$13:$DA$929),MATCH(ROW($DA$13:$DA$929),ROW($DA$13:$DA$929)),""),ROWS($A$13:$A136))),INDEX($DC$13:$DC$212,SMALL(IF((County=$DD$13:$DD$212),MATCH(ROW($DD$13:$DD$212),ROW($DD$13:$DD$212)),""),ROWS($A$13:$A136)))),"")</f>
        <v/>
      </c>
      <c r="DK136" s="341" t="str">
        <f t="array" ref="DK136">IFERROR(IF($DK$11="Yes",INDEX($DF$13:$DF$2838,SMALL(IF((County=$DG$13:$DG$2838),MATCH(ROW($DG$13:$DG$2838),ROW($DG$13:$DG$2838)),""),ROWS($A$13:$A136))),""),"")</f>
        <v/>
      </c>
      <c r="DM136" s="1387">
        <v>33137</v>
      </c>
      <c r="DN136" s="338" t="s">
        <v>2579</v>
      </c>
      <c r="DP136" s="236">
        <v>11.06</v>
      </c>
      <c r="DQ136" s="236" t="s">
        <v>328</v>
      </c>
      <c r="DV136" s="340">
        <v>7.01</v>
      </c>
      <c r="DW136" s="340" t="s">
        <v>330</v>
      </c>
      <c r="DX136" s="1671"/>
      <c r="EB136" s="618"/>
      <c r="EC136" s="618"/>
      <c r="ED136" s="1250"/>
      <c r="EE136" s="1250"/>
      <c r="EF136" s="1250"/>
      <c r="EG136" s="1250"/>
      <c r="EH136" s="1250"/>
      <c r="EI136" s="1250"/>
      <c r="EJ136" s="1250"/>
      <c r="EK136" s="618"/>
      <c r="EL136" s="618"/>
      <c r="EM136" s="618"/>
    </row>
    <row r="137" spans="1:143" ht="14.65" customHeight="1">
      <c r="A137" s="339">
        <v>33626</v>
      </c>
      <c r="B137" s="338" t="s">
        <v>316</v>
      </c>
      <c r="E137" s="858"/>
      <c r="F137" s="338">
        <v>1.02</v>
      </c>
      <c r="G137" s="338" t="s">
        <v>302</v>
      </c>
      <c r="L137" s="2481">
        <v>699.04</v>
      </c>
      <c r="M137" s="340" t="s">
        <v>288</v>
      </c>
      <c r="N137" s="1390"/>
      <c r="O137" s="2479"/>
      <c r="P137" s="2282"/>
      <c r="R137" s="341" t="str">
        <f t="array" ref="R137">IFERROR(IF($R$11="Metro",INDEX($F$13:$F$829,SMALL(IF((County=$G$13:$G$829),MATCH(ROW($G$13:$G$829),ROW($G$13:$G$829)),""),ROWS($A$13:A137))),INDEX($I$13:$I$44,SMALL(IF((County=$J$13:$J$44),MATCH(ROW($J$13:$J$44),ROW($J$13:$J$44)),""),ROWS($A$13:A137)))),"")</f>
        <v/>
      </c>
      <c r="T137" s="341" t="str">
        <f t="array" ref="T137">IFERROR(IF($T$11="Yes",INDEX($L$13:$L$2813,SMALL(IF((County=$M$13:$M$2813),MATCH(ROW($M$13:$M$2813),ROW($M$13:$M$2813)),""),ROWS($A$13:A137))),""),"")</f>
        <v/>
      </c>
      <c r="V137" s="2283" t="str">
        <f t="array" ref="V137">IFERROR(IF($T$11="Yes",INDEX($O$14:$O$2811,SMALL(IF((County=$P$14:$P$2811),MATCH(ROW($P$14:$P$2811),ROW($P$14:$P$2811)),""),ROWS($A$13:A137))),""),"")</f>
        <v/>
      </c>
      <c r="X137" s="339">
        <v>33066</v>
      </c>
      <c r="Y137" s="338" t="s">
        <v>289</v>
      </c>
      <c r="AA137" s="338">
        <v>14.01</v>
      </c>
      <c r="AB137" s="338" t="s">
        <v>324</v>
      </c>
      <c r="AG137" s="2297">
        <v>8</v>
      </c>
      <c r="AH137" s="2297" t="s">
        <v>324</v>
      </c>
      <c r="AI137" s="1390"/>
      <c r="AJ137" s="2282"/>
      <c r="AK137" s="2282"/>
      <c r="AL137" s="1037"/>
      <c r="AM137" s="339">
        <v>33967</v>
      </c>
      <c r="AN137" s="338" t="s">
        <v>323</v>
      </c>
      <c r="AQ137" s="858"/>
      <c r="AR137" s="338">
        <v>29.02</v>
      </c>
      <c r="AS137" s="338" t="s">
        <v>302</v>
      </c>
      <c r="AX137" s="340">
        <v>699.04</v>
      </c>
      <c r="AY137" s="340" t="s">
        <v>288</v>
      </c>
      <c r="BA137" s="341" t="str">
        <f t="array" ref="BA137">IFERROR(IF($BA$11="Metro",INDEX($AR$13:$AR$814,SMALL(IF((County=$AS$13:$AS$814),MATCH(ROW($AS$13:$AS$814),ROW($AS$13:$AS$814)),""),ROWS($A$13:$A137))),INDEX($AU$13:$AU$48,SMALL(IF((County=$AV$13:$AV$48),MATCH(ROW($AV$13:$AV$48),ROW($AV$13:$AV$48)),""),ROWS($A$13:$A137)))),"")</f>
        <v/>
      </c>
      <c r="BC137" s="341" t="str">
        <f t="array" ref="BC137">IFERROR(IF($BC$11="Yes",INDEX($AX$13:$AX$2950,SMALL(IF((County=$AY$13:$AY$2950),MATCH(ROW($AY$13:$AY$2950),ROW($AY$13:$AY$2950)),""),ROWS($A$13:$A137))),""),"")</f>
        <v/>
      </c>
      <c r="BE137" s="339">
        <v>33154</v>
      </c>
      <c r="BF137" s="338" t="s">
        <v>331</v>
      </c>
      <c r="BH137" s="338">
        <v>10</v>
      </c>
      <c r="BI137" s="338" t="s">
        <v>302</v>
      </c>
      <c r="BN137" s="340">
        <v>6.05</v>
      </c>
      <c r="BO137" s="340" t="s">
        <v>329</v>
      </c>
      <c r="BP137" s="1385"/>
      <c r="BQ137" s="1583">
        <v>32963</v>
      </c>
      <c r="BR137" s="236" t="s">
        <v>318</v>
      </c>
      <c r="BU137" s="858"/>
      <c r="BV137" s="338">
        <v>610.01</v>
      </c>
      <c r="BW137" s="338" t="s">
        <v>288</v>
      </c>
      <c r="BY137" s="236">
        <v>9714.02</v>
      </c>
      <c r="BZ137" s="236" t="s">
        <v>333</v>
      </c>
      <c r="CB137" s="340">
        <v>697</v>
      </c>
      <c r="CC137" s="340" t="s">
        <v>288</v>
      </c>
      <c r="CE137" s="341" t="str">
        <f t="array" ref="CE137">IFERROR(IF($CE$11="Metro",INDEX($BV$13:$BV$4972,SMALL(IF((County=$BW$13:$BW$4972),MATCH(ROW($BW$13:$BW$4972),ROW($BW$13:$BW$4972)),""),ROWS($A$13:$A137))),INDEX($BY$13:$BY$212,SMALL(IF((County=$BZ$13:$BZ$212),MATCH(ROW($BZ$13:$BZ$212),ROW($BZ$13:$BZ$212)),""),ROWS($A$13:$A137)))),"")</f>
        <v/>
      </c>
      <c r="CG137" s="341" t="str">
        <f t="array" ref="CG137">IFERROR(IF($CG$11="Yes",INDEX($CB$13:$CB$2950,SMALL(IF((County=$CC$13:$CC$2950),MATCH(ROW($CC$13:$CC$2950),ROW($CC$13:$CC$2950)),""),ROWS($A$13:$A137))),""),"")</f>
        <v/>
      </c>
      <c r="CI137" s="1387">
        <v>33139</v>
      </c>
      <c r="CJ137" s="338" t="s">
        <v>331</v>
      </c>
      <c r="CL137" s="236">
        <v>3.06</v>
      </c>
      <c r="CM137" s="236" t="s">
        <v>331</v>
      </c>
      <c r="CO137" s="236">
        <v>9604.0300000000007</v>
      </c>
      <c r="CP137" s="236" t="s">
        <v>317</v>
      </c>
      <c r="CR137" s="340">
        <v>6.05</v>
      </c>
      <c r="CS137" s="340" t="s">
        <v>329</v>
      </c>
      <c r="CT137" s="1384"/>
      <c r="CU137" s="341">
        <v>34736</v>
      </c>
      <c r="CV137" s="338" t="s">
        <v>322</v>
      </c>
      <c r="CZ137" s="1795">
        <v>112.05</v>
      </c>
      <c r="DA137" s="338" t="s">
        <v>297</v>
      </c>
      <c r="DF137" s="340">
        <v>698.01</v>
      </c>
      <c r="DG137" s="340" t="s">
        <v>288</v>
      </c>
      <c r="DI137" s="341" t="str">
        <f t="array" ref="DI137">IFERROR(IF($DI$11="Metro",INDEX($CZ$13:$CZ$929,SMALL(IF((County=$DA$13:$DA$929),MATCH(ROW($DA$13:$DA$929),ROW($DA$13:$DA$929)),""),ROWS($A$13:$A137))),INDEX($DC$13:$DC$212,SMALL(IF((County=$DD$13:$DD$212),MATCH(ROW($DD$13:$DD$212),ROW($DD$13:$DD$212)),""),ROWS($A$13:$A137)))),"")</f>
        <v/>
      </c>
      <c r="DK137" s="341" t="str">
        <f t="array" ref="DK137">IFERROR(IF($DK$11="Yes",INDEX($DF$13:$DF$2838,SMALL(IF((County=$DG$13:$DG$2838),MATCH(ROW($DG$13:$DG$2838),ROW($DG$13:$DG$2838)),""),ROWS($A$13:$A137))),""),"")</f>
        <v/>
      </c>
      <c r="DM137" s="1387">
        <v>33139</v>
      </c>
      <c r="DN137" s="338" t="s">
        <v>2579</v>
      </c>
      <c r="DP137" s="236">
        <v>12</v>
      </c>
      <c r="DQ137" s="236" t="s">
        <v>285</v>
      </c>
      <c r="DV137" s="340">
        <v>7.02</v>
      </c>
      <c r="DW137" s="340" t="s">
        <v>340</v>
      </c>
      <c r="DX137" s="1671"/>
      <c r="EB137" s="618"/>
      <c r="EC137" s="618"/>
      <c r="ED137" s="1250"/>
      <c r="EE137" s="1250"/>
      <c r="EF137" s="1250"/>
      <c r="EG137" s="1250"/>
      <c r="EH137" s="1250"/>
      <c r="EI137" s="1250"/>
      <c r="EJ137" s="1250"/>
      <c r="EK137" s="618"/>
      <c r="EL137" s="618"/>
      <c r="EM137" s="618"/>
    </row>
    <row r="138" spans="1:143" ht="14.65" customHeight="1">
      <c r="A138" s="339">
        <v>33629</v>
      </c>
      <c r="B138" s="338" t="s">
        <v>316</v>
      </c>
      <c r="E138" s="858"/>
      <c r="F138" s="338">
        <v>2</v>
      </c>
      <c r="G138" s="338" t="s">
        <v>302</v>
      </c>
      <c r="L138" s="2481">
        <v>699.07</v>
      </c>
      <c r="M138" s="340" t="s">
        <v>288</v>
      </c>
      <c r="N138" s="1390"/>
      <c r="O138" s="2479"/>
      <c r="P138" s="2282"/>
      <c r="R138" s="341" t="str">
        <f t="array" ref="R138">IFERROR(IF($R$11="Metro",INDEX($F$13:$F$829,SMALL(IF((County=$G$13:$G$829),MATCH(ROW($G$13:$G$829),ROW($G$13:$G$829)),""),ROWS($A$13:A138))),INDEX($I$13:$I$44,SMALL(IF((County=$J$13:$J$44),MATCH(ROW($J$13:$J$44),ROW($J$13:$J$44)),""),ROWS($A$13:A138)))),"")</f>
        <v/>
      </c>
      <c r="T138" s="341" t="str">
        <f t="array" ref="T138">IFERROR(IF($T$11="Yes",INDEX($L$13:$L$2813,SMALL(IF((County=$M$13:$M$2813),MATCH(ROW($M$13:$M$2813),ROW($M$13:$M$2813)),""),ROWS($A$13:A138))),""),"")</f>
        <v/>
      </c>
      <c r="V138" s="2283" t="str">
        <f t="array" ref="V138">IFERROR(IF($T$11="Yes",INDEX($O$14:$O$2811,SMALL(IF((County=$P$14:$P$2811),MATCH(ROW($P$14:$P$2811),ROW($P$14:$P$2811)),""),ROWS($A$13:A138))),""),"")</f>
        <v/>
      </c>
      <c r="X138" s="339">
        <v>33067</v>
      </c>
      <c r="Y138" s="338" t="s">
        <v>289</v>
      </c>
      <c r="AA138" s="338">
        <v>14.01</v>
      </c>
      <c r="AB138" s="338" t="s">
        <v>329</v>
      </c>
      <c r="AG138" s="2297">
        <v>8.01</v>
      </c>
      <c r="AH138" s="2297" t="s">
        <v>304</v>
      </c>
      <c r="AI138" s="1390"/>
      <c r="AJ138" s="2282"/>
      <c r="AK138" s="2282"/>
      <c r="AL138" s="1037"/>
      <c r="AM138" s="339">
        <v>33991</v>
      </c>
      <c r="AN138" s="338" t="s">
        <v>323</v>
      </c>
      <c r="AQ138" s="858"/>
      <c r="AR138" s="338">
        <v>104.02</v>
      </c>
      <c r="AS138" s="338" t="s">
        <v>302</v>
      </c>
      <c r="AX138" s="340">
        <v>699.07</v>
      </c>
      <c r="AY138" s="340" t="s">
        <v>288</v>
      </c>
      <c r="BA138" s="341" t="str">
        <f t="array" ref="BA138">IFERROR(IF($BA$11="Metro",INDEX($AR$13:$AR$814,SMALL(IF((County=$AS$13:$AS$814),MATCH(ROW($AS$13:$AS$814),ROW($AS$13:$AS$814)),""),ROWS($A$13:$A138))),INDEX($AU$13:$AU$48,SMALL(IF((County=$AV$13:$AV$48),MATCH(ROW($AV$13:$AV$48),ROW($AV$13:$AV$48)),""),ROWS($A$13:$A138)))),"")</f>
        <v/>
      </c>
      <c r="BC138" s="341" t="str">
        <f t="array" ref="BC138">IFERROR(IF($BC$11="Yes",INDEX($AX$13:$AX$2950,SMALL(IF((County=$AY$13:$AY$2950),MATCH(ROW($AY$13:$AY$2950),ROW($AY$13:$AY$2950)),""),ROWS($A$13:$A138))),""),"")</f>
        <v/>
      </c>
      <c r="BE138" s="339">
        <v>33155</v>
      </c>
      <c r="BF138" s="338" t="s">
        <v>331</v>
      </c>
      <c r="BH138" s="338">
        <v>10</v>
      </c>
      <c r="BI138" s="338" t="s">
        <v>347</v>
      </c>
      <c r="BN138" s="340">
        <v>6.05</v>
      </c>
      <c r="BO138" s="340" t="s">
        <v>331</v>
      </c>
      <c r="BP138" s="1385"/>
      <c r="BQ138" s="1583">
        <v>32968</v>
      </c>
      <c r="BR138" s="236" t="s">
        <v>318</v>
      </c>
      <c r="BU138" s="858"/>
      <c r="BV138" s="338">
        <v>610.02</v>
      </c>
      <c r="BW138" s="338" t="s">
        <v>288</v>
      </c>
      <c r="BY138" s="236">
        <v>9715.01</v>
      </c>
      <c r="BZ138" s="236" t="s">
        <v>333</v>
      </c>
      <c r="CB138" s="340">
        <v>698.01</v>
      </c>
      <c r="CC138" s="340" t="s">
        <v>288</v>
      </c>
      <c r="CE138" s="341" t="str">
        <f t="array" ref="CE138">IFERROR(IF($CE$11="Metro",INDEX($BV$13:$BV$4972,SMALL(IF((County=$BW$13:$BW$4972),MATCH(ROW($BW$13:$BW$4972),ROW($BW$13:$BW$4972)),""),ROWS($A$13:$A138))),INDEX($BY$13:$BY$212,SMALL(IF((County=$BZ$13:$BZ$212),MATCH(ROW($BZ$13:$BZ$212),ROW($BZ$13:$BZ$212)),""),ROWS($A$13:$A138)))),"")</f>
        <v/>
      </c>
      <c r="CG138" s="341" t="str">
        <f t="array" ref="CG138">IFERROR(IF($CG$11="Yes",INDEX($CB$13:$CB$2950,SMALL(IF((County=$CC$13:$CC$2950),MATCH(ROW($CC$13:$CC$2950),ROW($CC$13:$CC$2950)),""),ROWS($A$13:$A138))),""),"")</f>
        <v/>
      </c>
      <c r="CI138" s="1387">
        <v>33140</v>
      </c>
      <c r="CJ138" s="338" t="s">
        <v>331</v>
      </c>
      <c r="CL138" s="236">
        <v>3.07</v>
      </c>
      <c r="CM138" s="236" t="s">
        <v>328</v>
      </c>
      <c r="CO138" s="236">
        <v>9701</v>
      </c>
      <c r="CP138" s="236" t="s">
        <v>352</v>
      </c>
      <c r="CR138" s="340">
        <v>6.05</v>
      </c>
      <c r="CS138" s="340" t="s">
        <v>331</v>
      </c>
      <c r="CT138" s="1384"/>
      <c r="CU138" s="341">
        <v>34737</v>
      </c>
      <c r="CV138" s="338" t="s">
        <v>322</v>
      </c>
      <c r="CZ138" s="1795">
        <v>112.11</v>
      </c>
      <c r="DA138" s="338" t="s">
        <v>297</v>
      </c>
      <c r="DF138" s="340">
        <v>698.02</v>
      </c>
      <c r="DG138" s="340" t="s">
        <v>288</v>
      </c>
      <c r="DI138" s="341" t="str">
        <f t="array" ref="DI138">IFERROR(IF($DI$11="Metro",INDEX($CZ$13:$CZ$929,SMALL(IF((County=$DA$13:$DA$929),MATCH(ROW($DA$13:$DA$929),ROW($DA$13:$DA$929)),""),ROWS($A$13:$A138))),INDEX($DC$13:$DC$212,SMALL(IF((County=$DD$13:$DD$212),MATCH(ROW($DD$13:$DD$212),ROW($DD$13:$DD$212)),""),ROWS($A$13:$A138)))),"")</f>
        <v/>
      </c>
      <c r="DK138" s="341" t="str">
        <f t="array" ref="DK138">IFERROR(IF($DK$11="Yes",INDEX($DF$13:$DF$2838,SMALL(IF((County=$DG$13:$DG$2838),MATCH(ROW($DG$13:$DG$2838),ROW($DG$13:$DG$2838)),""),ROWS($A$13:$A138))),""),"")</f>
        <v/>
      </c>
      <c r="DM138" s="1387">
        <v>33140</v>
      </c>
      <c r="DN138" s="338" t="s">
        <v>2579</v>
      </c>
      <c r="DP138" s="236">
        <v>12</v>
      </c>
      <c r="DQ138" s="236" t="s">
        <v>324</v>
      </c>
      <c r="DV138" s="340">
        <v>7.03</v>
      </c>
      <c r="DW138" s="340" t="s">
        <v>340</v>
      </c>
      <c r="DX138" s="1671"/>
      <c r="EB138" s="618"/>
      <c r="EC138" s="618"/>
      <c r="ED138" s="1250"/>
      <c r="EE138" s="1250"/>
      <c r="EF138" s="1250"/>
      <c r="EG138" s="1250"/>
      <c r="EH138" s="1250"/>
      <c r="EI138" s="1250"/>
      <c r="EJ138" s="1250"/>
      <c r="EK138" s="618"/>
      <c r="EL138" s="618"/>
      <c r="EM138" s="618"/>
    </row>
    <row r="139" spans="1:143" ht="14.65" customHeight="1">
      <c r="A139" s="339">
        <v>33634</v>
      </c>
      <c r="B139" s="338" t="s">
        <v>316</v>
      </c>
      <c r="E139" s="858"/>
      <c r="F139" s="338">
        <v>3</v>
      </c>
      <c r="G139" s="338" t="s">
        <v>302</v>
      </c>
      <c r="L139" s="2481">
        <v>711</v>
      </c>
      <c r="M139" s="340" t="s">
        <v>288</v>
      </c>
      <c r="N139" s="1390"/>
      <c r="O139" s="2479"/>
      <c r="P139" s="2282"/>
      <c r="R139" s="341" t="str">
        <f t="array" ref="R139">IFERROR(IF($R$11="Metro",INDEX($F$13:$F$829,SMALL(IF((County=$G$13:$G$829),MATCH(ROW($G$13:$G$829),ROW($G$13:$G$829)),""),ROWS($A$13:A139))),INDEX($I$13:$I$44,SMALL(IF((County=$J$13:$J$44),MATCH(ROW($J$13:$J$44),ROW($J$13:$J$44)),""),ROWS($A$13:A139)))),"")</f>
        <v/>
      </c>
      <c r="T139" s="341" t="str">
        <f t="array" ref="T139">IFERROR(IF($T$11="Yes",INDEX($L$13:$L$2813,SMALL(IF((County=$M$13:$M$2813),MATCH(ROW($M$13:$M$2813),ROW($M$13:$M$2813)),""),ROWS($A$13:A139))),""),"")</f>
        <v/>
      </c>
      <c r="V139" s="2283" t="str">
        <f t="array" ref="V139">IFERROR(IF($T$11="Yes",INDEX($O$14:$O$2811,SMALL(IF((County=$P$14:$P$2811),MATCH(ROW($P$14:$P$2811),ROW($P$14:$P$2811)),""),ROWS($A$13:A139))),""),"")</f>
        <v/>
      </c>
      <c r="X139" s="339">
        <v>33068</v>
      </c>
      <c r="Y139" s="338" t="s">
        <v>289</v>
      </c>
      <c r="AA139" s="338">
        <v>14.01</v>
      </c>
      <c r="AB139" s="338" t="s">
        <v>331</v>
      </c>
      <c r="AG139" s="2297">
        <v>8.01</v>
      </c>
      <c r="AH139" s="2297" t="s">
        <v>347</v>
      </c>
      <c r="AI139" s="1390"/>
      <c r="AJ139" s="2282"/>
      <c r="AK139" s="2282"/>
      <c r="AL139" s="1037"/>
      <c r="AM139" s="339">
        <v>33993</v>
      </c>
      <c r="AN139" s="338" t="s">
        <v>323</v>
      </c>
      <c r="AQ139" s="858"/>
      <c r="AR139" s="338">
        <v>107</v>
      </c>
      <c r="AS139" s="338" t="s">
        <v>302</v>
      </c>
      <c r="AX139" s="340">
        <v>711</v>
      </c>
      <c r="AY139" s="340" t="s">
        <v>288</v>
      </c>
      <c r="BA139" s="341" t="str">
        <f t="array" ref="BA139">IFERROR(IF($BA$11="Metro",INDEX($AR$13:$AR$814,SMALL(IF((County=$AS$13:$AS$814),MATCH(ROW($AS$13:$AS$814),ROW($AS$13:$AS$814)),""),ROWS($A$13:$A139))),INDEX($AU$13:$AU$48,SMALL(IF((County=$AV$13:$AV$48),MATCH(ROW($AV$13:$AV$48),ROW($AV$13:$AV$48)),""),ROWS($A$13:$A139)))),"")</f>
        <v/>
      </c>
      <c r="BC139" s="341" t="str">
        <f t="array" ref="BC139">IFERROR(IF($BC$11="Yes",INDEX($AX$13:$AX$2950,SMALL(IF((County=$AY$13:$AY$2950),MATCH(ROW($AY$13:$AY$2950),ROW($AY$13:$AY$2950)),""),ROWS($A$13:$A139))),""),"")</f>
        <v/>
      </c>
      <c r="BE139" s="339">
        <v>33156</v>
      </c>
      <c r="BF139" s="338" t="s">
        <v>331</v>
      </c>
      <c r="BH139" s="338">
        <v>10.01</v>
      </c>
      <c r="BI139" s="338" t="s">
        <v>316</v>
      </c>
      <c r="BN139" s="340">
        <v>6.06</v>
      </c>
      <c r="BO139" s="340" t="s">
        <v>330</v>
      </c>
      <c r="BP139" s="1385"/>
      <c r="BQ139" s="1387">
        <v>32102</v>
      </c>
      <c r="BR139" s="236" t="s">
        <v>322</v>
      </c>
      <c r="BU139" s="858"/>
      <c r="BV139" s="338">
        <v>611</v>
      </c>
      <c r="BW139" s="338" t="s">
        <v>288</v>
      </c>
      <c r="BY139" s="236">
        <v>9715.02</v>
      </c>
      <c r="BZ139" s="236" t="s">
        <v>333</v>
      </c>
      <c r="CB139" s="340">
        <v>698.02</v>
      </c>
      <c r="CC139" s="340" t="s">
        <v>288</v>
      </c>
      <c r="CE139" s="341" t="str">
        <f t="array" ref="CE139">IFERROR(IF($CE$11="Metro",INDEX($BV$13:$BV$4972,SMALL(IF((County=$BW$13:$BW$4972),MATCH(ROW($BW$13:$BW$4972),ROW($BW$13:$BW$4972)),""),ROWS($A$13:$A139))),INDEX($BY$13:$BY$212,SMALL(IF((County=$BZ$13:$BZ$212),MATCH(ROW($BZ$13:$BZ$212),ROW($BZ$13:$BZ$212)),""),ROWS($A$13:$A139)))),"")</f>
        <v/>
      </c>
      <c r="CG139" s="341" t="str">
        <f t="array" ref="CG139">IFERROR(IF($CG$11="Yes",INDEX($CB$13:$CB$2950,SMALL(IF((County=$CC$13:$CC$2950),MATCH(ROW($CC$13:$CC$2950),ROW($CC$13:$CC$2950)),""),ROWS($A$13:$A139))),""),"")</f>
        <v/>
      </c>
      <c r="CI139" s="1387">
        <v>33141</v>
      </c>
      <c r="CJ139" s="338" t="s">
        <v>331</v>
      </c>
      <c r="CL139" s="236">
        <v>3.07</v>
      </c>
      <c r="CM139" s="236" t="s">
        <v>331</v>
      </c>
      <c r="CO139" s="338">
        <v>9701.01</v>
      </c>
      <c r="CP139" s="338" t="s">
        <v>301</v>
      </c>
      <c r="CR139" s="340">
        <v>6.06</v>
      </c>
      <c r="CS139" s="340" t="s">
        <v>330</v>
      </c>
      <c r="CT139" s="1384"/>
      <c r="CU139" s="341">
        <v>33908</v>
      </c>
      <c r="CV139" s="338" t="s">
        <v>323</v>
      </c>
      <c r="CZ139" s="1795">
        <v>113.03</v>
      </c>
      <c r="DA139" s="338" t="s">
        <v>297</v>
      </c>
      <c r="DF139" s="340">
        <v>699.03</v>
      </c>
      <c r="DG139" s="340" t="s">
        <v>288</v>
      </c>
      <c r="DI139" s="341" t="str">
        <f t="array" ref="DI139">IFERROR(IF($DI$11="Metro",INDEX($CZ$13:$CZ$929,SMALL(IF((County=$DA$13:$DA$929),MATCH(ROW($DA$13:$DA$929),ROW($DA$13:$DA$929)),""),ROWS($A$13:$A139))),INDEX($DC$13:$DC$212,SMALL(IF((County=$DD$13:$DD$212),MATCH(ROW($DD$13:$DD$212),ROW($DD$13:$DD$212)),""),ROWS($A$13:$A139)))),"")</f>
        <v/>
      </c>
      <c r="DK139" s="341" t="str">
        <f t="array" ref="DK139">IFERROR(IF($DK$11="Yes",INDEX($DF$13:$DF$2838,SMALL(IF((County=$DG$13:$DG$2838),MATCH(ROW($DG$13:$DG$2838),ROW($DG$13:$DG$2838)),""),ROWS($A$13:$A139))),""),"")</f>
        <v/>
      </c>
      <c r="DM139" s="1387">
        <v>33141</v>
      </c>
      <c r="DN139" s="338" t="s">
        <v>2579</v>
      </c>
      <c r="DP139" s="236">
        <v>12</v>
      </c>
      <c r="DQ139" s="236" t="s">
        <v>330</v>
      </c>
      <c r="DV139" s="340">
        <v>7.04</v>
      </c>
      <c r="DW139" s="340" t="s">
        <v>329</v>
      </c>
      <c r="DX139" s="1671"/>
      <c r="EB139" s="618"/>
      <c r="EC139" s="618"/>
      <c r="ED139" s="1250"/>
      <c r="EE139" s="1250"/>
      <c r="EF139" s="1250"/>
      <c r="EG139" s="1250"/>
      <c r="EH139" s="1250"/>
      <c r="EI139" s="1250"/>
      <c r="EJ139" s="1250"/>
      <c r="EK139" s="618"/>
      <c r="EL139" s="618"/>
      <c r="EM139" s="618"/>
    </row>
    <row r="140" spans="1:143" ht="14.65" customHeight="1">
      <c r="A140" s="339">
        <v>33635</v>
      </c>
      <c r="B140" s="338" t="s">
        <v>316</v>
      </c>
      <c r="E140" s="858"/>
      <c r="F140" s="338">
        <v>10</v>
      </c>
      <c r="G140" s="338" t="s">
        <v>302</v>
      </c>
      <c r="L140" s="2481">
        <v>712.01</v>
      </c>
      <c r="M140" s="340" t="s">
        <v>288</v>
      </c>
      <c r="N140" s="1390"/>
      <c r="O140" s="2479"/>
      <c r="P140" s="2282"/>
      <c r="R140" s="341" t="str">
        <f t="array" ref="R140">IFERROR(IF($R$11="Metro",INDEX($F$13:$F$829,SMALL(IF((County=$G$13:$G$829),MATCH(ROW($G$13:$G$829),ROW($G$13:$G$829)),""),ROWS($A$13:A140))),INDEX($I$13:$I$44,SMALL(IF((County=$J$13:$J$44),MATCH(ROW($J$13:$J$44),ROW($J$13:$J$44)),""),ROWS($A$13:A140)))),"")</f>
        <v/>
      </c>
      <c r="T140" s="341" t="str">
        <f t="array" ref="T140">IFERROR(IF($T$11="Yes",INDEX($L$13:$L$2813,SMALL(IF((County=$M$13:$M$2813),MATCH(ROW($M$13:$M$2813),ROW($M$13:$M$2813)),""),ROWS($A$13:A140))),""),"")</f>
        <v/>
      </c>
      <c r="V140" s="2283" t="str">
        <f t="array" ref="V140">IFERROR(IF($T$11="Yes",INDEX($O$14:$O$2811,SMALL(IF((County=$P$14:$P$2811),MATCH(ROW($P$14:$P$2811),ROW($P$14:$P$2811)),""),ROWS($A$13:A140))),""),"")</f>
        <v/>
      </c>
      <c r="X140" s="339">
        <v>33069</v>
      </c>
      <c r="Y140" s="338" t="s">
        <v>289</v>
      </c>
      <c r="AA140" s="338">
        <v>14.02</v>
      </c>
      <c r="AB140" s="338" t="s">
        <v>324</v>
      </c>
      <c r="AG140" s="2297">
        <v>8.02</v>
      </c>
      <c r="AH140" s="2297" t="s">
        <v>304</v>
      </c>
      <c r="AI140" s="1390"/>
      <c r="AJ140" s="2282"/>
      <c r="AK140" s="2282"/>
      <c r="AL140" s="1037"/>
      <c r="AM140" s="339">
        <v>32312</v>
      </c>
      <c r="AN140" s="338" t="s">
        <v>324</v>
      </c>
      <c r="AQ140" s="858"/>
      <c r="AR140" s="338">
        <v>108</v>
      </c>
      <c r="AS140" s="338" t="s">
        <v>302</v>
      </c>
      <c r="AX140" s="340">
        <v>712.01</v>
      </c>
      <c r="AY140" s="340" t="s">
        <v>288</v>
      </c>
      <c r="BA140" s="341" t="str">
        <f t="array" ref="BA140">IFERROR(IF($BA$11="Metro",INDEX($AR$13:$AR$814,SMALL(IF((County=$AS$13:$AS$814),MATCH(ROW($AS$13:$AS$814),ROW($AS$13:$AS$814)),""),ROWS($A$13:$A140))),INDEX($AU$13:$AU$48,SMALL(IF((County=$AV$13:$AV$48),MATCH(ROW($AV$13:$AV$48),ROW($AV$13:$AV$48)),""),ROWS($A$13:$A140)))),"")</f>
        <v/>
      </c>
      <c r="BC140" s="341" t="str">
        <f t="array" ref="BC140">IFERROR(IF($BC$11="Yes",INDEX($AX$13:$AX$2950,SMALL(IF((County=$AY$13:$AY$2950),MATCH(ROW($AY$13:$AY$2950),ROW($AY$13:$AY$2950)),""),ROWS($A$13:$A140))),""),"")</f>
        <v/>
      </c>
      <c r="BE140" s="339">
        <v>33158</v>
      </c>
      <c r="BF140" s="338" t="s">
        <v>331</v>
      </c>
      <c r="BH140" s="338">
        <v>10.01</v>
      </c>
      <c r="BI140" s="338" t="s">
        <v>324</v>
      </c>
      <c r="BN140" s="340">
        <v>6.07</v>
      </c>
      <c r="BO140" s="340" t="s">
        <v>330</v>
      </c>
      <c r="BP140" s="1385"/>
      <c r="BQ140" s="1583">
        <v>32735</v>
      </c>
      <c r="BR140" s="236" t="s">
        <v>322</v>
      </c>
      <c r="BU140" s="858"/>
      <c r="BV140" s="338">
        <v>612.01</v>
      </c>
      <c r="BW140" s="338" t="s">
        <v>288</v>
      </c>
      <c r="BY140" s="236">
        <v>9716</v>
      </c>
      <c r="BZ140" s="236" t="s">
        <v>333</v>
      </c>
      <c r="CB140" s="340">
        <v>699.03</v>
      </c>
      <c r="CC140" s="340" t="s">
        <v>288</v>
      </c>
      <c r="CE140" s="341" t="str">
        <f t="array" ref="CE140">IFERROR(IF($CE$11="Metro",INDEX($BV$13:$BV$4972,SMALL(IF((County=$BW$13:$BW$4972),MATCH(ROW($BW$13:$BW$4972),ROW($BW$13:$BW$4972)),""),ROWS($A$13:$A140))),INDEX($BY$13:$BY$212,SMALL(IF((County=$BZ$13:$BZ$212),MATCH(ROW($BZ$13:$BZ$212),ROW($BZ$13:$BZ$212)),""),ROWS($A$13:$A140)))),"")</f>
        <v/>
      </c>
      <c r="CG140" s="341" t="str">
        <f t="array" ref="CG140">IFERROR(IF($CG$11="Yes",INDEX($CB$13:$CB$2950,SMALL(IF((County=$CC$13:$CC$2950),MATCH(ROW($CC$13:$CC$2950),ROW($CC$13:$CC$2950)),""),ROWS($A$13:$A140))),""),"")</f>
        <v/>
      </c>
      <c r="CI140" s="1387">
        <v>33143</v>
      </c>
      <c r="CJ140" s="338" t="s">
        <v>331</v>
      </c>
      <c r="CL140" s="236">
        <v>3.08</v>
      </c>
      <c r="CM140" s="236" t="s">
        <v>331</v>
      </c>
      <c r="CO140" s="236">
        <v>9701.01</v>
      </c>
      <c r="CP140" s="236" t="s">
        <v>306</v>
      </c>
      <c r="CR140" s="340">
        <v>6.07</v>
      </c>
      <c r="CS140" s="340" t="s">
        <v>330</v>
      </c>
      <c r="CT140" s="1384"/>
      <c r="CU140" s="341">
        <v>33909</v>
      </c>
      <c r="CV140" s="338" t="s">
        <v>323</v>
      </c>
      <c r="CZ140" s="1795">
        <v>113.05</v>
      </c>
      <c r="DA140" s="338" t="s">
        <v>297</v>
      </c>
      <c r="DF140" s="340">
        <v>699.04</v>
      </c>
      <c r="DG140" s="340" t="s">
        <v>288</v>
      </c>
      <c r="DI140" s="341" t="str">
        <f t="array" ref="DI140">IFERROR(IF($DI$11="Metro",INDEX($CZ$13:$CZ$929,SMALL(IF((County=$DA$13:$DA$929),MATCH(ROW($DA$13:$DA$929),ROW($DA$13:$DA$929)),""),ROWS($A$13:$A140))),INDEX($DC$13:$DC$212,SMALL(IF((County=$DD$13:$DD$212),MATCH(ROW($DD$13:$DD$212),ROW($DD$13:$DD$212)),""),ROWS($A$13:$A140)))),"")</f>
        <v/>
      </c>
      <c r="DK140" s="341" t="str">
        <f t="array" ref="DK140">IFERROR(IF($DK$11="Yes",INDEX($DF$13:$DF$2838,SMALL(IF((County=$DG$13:$DG$2838),MATCH(ROW($DG$13:$DG$2838),ROW($DG$13:$DG$2838)),""),ROWS($A$13:$A140))),""),"")</f>
        <v/>
      </c>
      <c r="DM140" s="1387">
        <v>33143</v>
      </c>
      <c r="DN140" s="338" t="s">
        <v>2579</v>
      </c>
      <c r="DP140" s="236">
        <v>12.02</v>
      </c>
      <c r="DQ140" s="236" t="s">
        <v>304</v>
      </c>
      <c r="DV140" s="340">
        <v>7.06</v>
      </c>
      <c r="DW140" s="340" t="s">
        <v>329</v>
      </c>
      <c r="DX140" s="1671"/>
      <c r="EB140" s="618"/>
      <c r="EC140" s="618"/>
      <c r="ED140" s="1250"/>
      <c r="EE140" s="1250"/>
      <c r="EF140" s="1250"/>
      <c r="EG140" s="1250"/>
      <c r="EH140" s="1250"/>
      <c r="EI140" s="1250"/>
      <c r="EJ140" s="1250"/>
      <c r="EK140" s="618"/>
      <c r="EL140" s="618"/>
      <c r="EM140" s="618"/>
    </row>
    <row r="141" spans="1:143" ht="14.65" customHeight="1">
      <c r="A141" s="339">
        <v>33637</v>
      </c>
      <c r="B141" s="338" t="s">
        <v>316</v>
      </c>
      <c r="E141" s="858"/>
      <c r="F141" s="338">
        <v>13</v>
      </c>
      <c r="G141" s="338" t="s">
        <v>302</v>
      </c>
      <c r="L141" s="2481">
        <v>712.05</v>
      </c>
      <c r="M141" s="340" t="s">
        <v>288</v>
      </c>
      <c r="N141" s="1390"/>
      <c r="O141" s="2479"/>
      <c r="P141" s="2282"/>
      <c r="R141" s="341" t="str">
        <f t="array" ref="R141">IFERROR(IF($R$11="Metro",INDEX($F$13:$F$829,SMALL(IF((County=$G$13:$G$829),MATCH(ROW($G$13:$G$829),ROW($G$13:$G$829)),""),ROWS($A$13:A141))),INDEX($I$13:$I$44,SMALL(IF((County=$J$13:$J$44),MATCH(ROW($J$13:$J$44),ROW($J$13:$J$44)),""),ROWS($A$13:A141)))),"")</f>
        <v/>
      </c>
      <c r="T141" s="341" t="str">
        <f t="array" ref="T141">IFERROR(IF($T$11="Yes",INDEX($L$13:$L$2813,SMALL(IF((County=$M$13:$M$2813),MATCH(ROW($M$13:$M$2813),ROW($M$13:$M$2813)),""),ROWS($A$13:A141))),""),"")</f>
        <v/>
      </c>
      <c r="V141" s="2283" t="str">
        <f t="array" ref="V141">IFERROR(IF($T$11="Yes",INDEX($O$14:$O$2811,SMALL(IF((County=$P$14:$P$2811),MATCH(ROW($P$14:$P$2811),ROW($P$14:$P$2811)),""),ROWS($A$13:A141))),""),"")</f>
        <v/>
      </c>
      <c r="X141" s="339">
        <v>33071</v>
      </c>
      <c r="Y141" s="338" t="s">
        <v>289</v>
      </c>
      <c r="AA141" s="338">
        <v>14.02</v>
      </c>
      <c r="AB141" s="338" t="s">
        <v>331</v>
      </c>
      <c r="AG141" s="2297">
        <v>8.02</v>
      </c>
      <c r="AH141" s="2297" t="s">
        <v>347</v>
      </c>
      <c r="AI141" s="1390"/>
      <c r="AJ141" s="2282"/>
      <c r="AK141" s="2282"/>
      <c r="AL141" s="1037"/>
      <c r="AM141" s="339">
        <v>32317</v>
      </c>
      <c r="AN141" s="338" t="s">
        <v>324</v>
      </c>
      <c r="AQ141" s="858"/>
      <c r="AR141" s="338">
        <v>110</v>
      </c>
      <c r="AS141" s="338" t="s">
        <v>302</v>
      </c>
      <c r="AX141" s="340">
        <v>712.03</v>
      </c>
      <c r="AY141" s="340" t="s">
        <v>288</v>
      </c>
      <c r="BA141" s="341" t="str">
        <f t="array" ref="BA141">IFERROR(IF($BA$11="Metro",INDEX($AR$13:$AR$814,SMALL(IF((County=$AS$13:$AS$814),MATCH(ROW($AS$13:$AS$814),ROW($AS$13:$AS$814)),""),ROWS($A$13:$A141))),INDEX($AU$13:$AU$48,SMALL(IF((County=$AV$13:$AV$48),MATCH(ROW($AV$13:$AV$48),ROW($AV$13:$AV$48)),""),ROWS($A$13:$A141)))),"")</f>
        <v/>
      </c>
      <c r="BC141" s="341" t="str">
        <f t="array" ref="BC141">IFERROR(IF($BC$11="Yes",INDEX($AX$13:$AX$2950,SMALL(IF((County=$AY$13:$AY$2950),MATCH(ROW($AY$13:$AY$2950),ROW($AY$13:$AY$2950)),""),ROWS($A$13:$A141))),""),"")</f>
        <v/>
      </c>
      <c r="BE141" s="339">
        <v>33160</v>
      </c>
      <c r="BF141" s="338" t="s">
        <v>331</v>
      </c>
      <c r="BH141" s="338">
        <v>10.02</v>
      </c>
      <c r="BI141" s="338" t="s">
        <v>316</v>
      </c>
      <c r="BN141" s="340">
        <v>6.1</v>
      </c>
      <c r="BO141" s="340" t="s">
        <v>330</v>
      </c>
      <c r="BP141" s="1385"/>
      <c r="BQ141" s="1583">
        <v>32776</v>
      </c>
      <c r="BR141" s="236" t="s">
        <v>322</v>
      </c>
      <c r="BU141" s="858"/>
      <c r="BV141" s="338">
        <v>612.02</v>
      </c>
      <c r="BW141" s="338" t="s">
        <v>288</v>
      </c>
      <c r="BY141" s="236">
        <v>9717</v>
      </c>
      <c r="BZ141" s="236" t="s">
        <v>333</v>
      </c>
      <c r="CB141" s="340">
        <v>699.04</v>
      </c>
      <c r="CC141" s="340" t="s">
        <v>288</v>
      </c>
      <c r="CE141" s="341" t="str">
        <f t="array" ref="CE141">IFERROR(IF($CE$11="Metro",INDEX($BV$13:$BV$4972,SMALL(IF((County=$BW$13:$BW$4972),MATCH(ROW($BW$13:$BW$4972),ROW($BW$13:$BW$4972)),""),ROWS($A$13:$A141))),INDEX($BY$13:$BY$212,SMALL(IF((County=$BZ$13:$BZ$212),MATCH(ROW($BZ$13:$BZ$212),ROW($BZ$13:$BZ$212)),""),ROWS($A$13:$A141)))),"")</f>
        <v/>
      </c>
      <c r="CG141" s="341" t="str">
        <f t="array" ref="CG141">IFERROR(IF($CG$11="Yes",INDEX($CB$13:$CB$2950,SMALL(IF((County=$CC$13:$CC$2950),MATCH(ROW($CC$13:$CC$2950),ROW($CC$13:$CC$2950)),""),ROWS($A$13:$A141))),""),"")</f>
        <v/>
      </c>
      <c r="CI141" s="1387">
        <v>33144</v>
      </c>
      <c r="CJ141" s="338" t="s">
        <v>331</v>
      </c>
      <c r="CL141" s="236">
        <v>3.09</v>
      </c>
      <c r="CM141" s="236" t="s">
        <v>328</v>
      </c>
      <c r="CO141" s="236">
        <v>9701.01</v>
      </c>
      <c r="CP141" s="236" t="s">
        <v>312</v>
      </c>
      <c r="CR141" s="340">
        <v>6.1</v>
      </c>
      <c r="CS141" s="340" t="s">
        <v>330</v>
      </c>
      <c r="CT141" s="1384"/>
      <c r="CU141" s="341">
        <v>33912</v>
      </c>
      <c r="CV141" s="338" t="s">
        <v>323</v>
      </c>
      <c r="CZ141" s="1795">
        <v>113.06</v>
      </c>
      <c r="DA141" s="338" t="s">
        <v>297</v>
      </c>
      <c r="DF141" s="340">
        <v>699.07</v>
      </c>
      <c r="DG141" s="340" t="s">
        <v>288</v>
      </c>
      <c r="DI141" s="341" t="str">
        <f t="array" ref="DI141">IFERROR(IF($DI$11="Metro",INDEX($CZ$13:$CZ$929,SMALL(IF((County=$DA$13:$DA$929),MATCH(ROW($DA$13:$DA$929),ROW($DA$13:$DA$929)),""),ROWS($A$13:$A141))),INDEX($DC$13:$DC$212,SMALL(IF((County=$DD$13:$DD$212),MATCH(ROW($DD$13:$DD$212),ROW($DD$13:$DD$212)),""),ROWS($A$13:$A141)))),"")</f>
        <v/>
      </c>
      <c r="DK141" s="341" t="str">
        <f t="array" ref="DK141">IFERROR(IF($DK$11="Yes",INDEX($DF$13:$DF$2838,SMALL(IF((County=$DG$13:$DG$2838),MATCH(ROW($DG$13:$DG$2838),ROW($DG$13:$DG$2838)),""),ROWS($A$13:$A141))),""),"")</f>
        <v/>
      </c>
      <c r="DM141" s="1387">
        <v>33144</v>
      </c>
      <c r="DN141" s="338" t="s">
        <v>2579</v>
      </c>
      <c r="DP141" s="236">
        <v>12.03</v>
      </c>
      <c r="DQ141" s="236" t="s">
        <v>323</v>
      </c>
      <c r="DV141" s="340">
        <v>7.07</v>
      </c>
      <c r="DW141" s="340" t="s">
        <v>329</v>
      </c>
      <c r="DX141" s="1671"/>
      <c r="EB141" s="618"/>
      <c r="EC141" s="618"/>
      <c r="ED141" s="1250"/>
      <c r="EE141" s="1250"/>
      <c r="EF141" s="1250"/>
      <c r="EG141" s="1250"/>
      <c r="EH141" s="1250"/>
      <c r="EI141" s="1250"/>
      <c r="EJ141" s="1250"/>
      <c r="EK141" s="618"/>
      <c r="EL141" s="618"/>
      <c r="EM141" s="618"/>
    </row>
    <row r="142" spans="1:143" ht="14.65" customHeight="1">
      <c r="A142" s="339">
        <v>33647</v>
      </c>
      <c r="B142" s="338" t="s">
        <v>316</v>
      </c>
      <c r="E142" s="858"/>
      <c r="F142" s="338">
        <v>14.01</v>
      </c>
      <c r="G142" s="338" t="s">
        <v>302</v>
      </c>
      <c r="L142" s="2481">
        <v>713.35</v>
      </c>
      <c r="M142" s="340" t="s">
        <v>288</v>
      </c>
      <c r="N142" s="1390"/>
      <c r="O142" s="2479"/>
      <c r="P142" s="2282"/>
      <c r="R142" s="341" t="str">
        <f t="array" ref="R142">IFERROR(IF($R$11="Metro",INDEX($F$13:$F$829,SMALL(IF((County=$G$13:$G$829),MATCH(ROW($G$13:$G$829),ROW($G$13:$G$829)),""),ROWS($A$13:A142))),INDEX($I$13:$I$44,SMALL(IF((County=$J$13:$J$44),MATCH(ROW($J$13:$J$44),ROW($J$13:$J$44)),""),ROWS($A$13:A142)))),"")</f>
        <v/>
      </c>
      <c r="T142" s="341" t="str">
        <f t="array" ref="T142">IFERROR(IF($T$11="Yes",INDEX($L$13:$L$2813,SMALL(IF((County=$M$13:$M$2813),MATCH(ROW($M$13:$M$2813),ROW($M$13:$M$2813)),""),ROWS($A$13:A142))),""),"")</f>
        <v/>
      </c>
      <c r="V142" s="2283" t="str">
        <f t="array" ref="V142">IFERROR(IF($T$11="Yes",INDEX($O$14:$O$2811,SMALL(IF((County=$P$14:$P$2811),MATCH(ROW($P$14:$P$2811),ROW($P$14:$P$2811)),""),ROWS($A$13:A142))),""),"")</f>
        <v/>
      </c>
      <c r="X142" s="339">
        <v>33073</v>
      </c>
      <c r="Y142" s="338" t="s">
        <v>289</v>
      </c>
      <c r="AA142" s="338">
        <v>14.02</v>
      </c>
      <c r="AB142" s="338" t="s">
        <v>340</v>
      </c>
      <c r="AG142" s="2297">
        <v>8.0299999999999994</v>
      </c>
      <c r="AH142" s="2297" t="s">
        <v>329</v>
      </c>
      <c r="AI142" s="1390"/>
      <c r="AJ142" s="2282"/>
      <c r="AK142" s="2282"/>
      <c r="AL142" s="1037"/>
      <c r="AM142" s="339">
        <v>34201</v>
      </c>
      <c r="AN142" s="338" t="s">
        <v>328</v>
      </c>
      <c r="AQ142" s="858"/>
      <c r="AR142" s="338">
        <v>111</v>
      </c>
      <c r="AS142" s="338" t="s">
        <v>302</v>
      </c>
      <c r="AX142" s="340">
        <v>712.05</v>
      </c>
      <c r="AY142" s="340" t="s">
        <v>288</v>
      </c>
      <c r="BA142" s="341" t="str">
        <f t="array" ref="BA142">IFERROR(IF($BA$11="Metro",INDEX($AR$13:$AR$814,SMALL(IF((County=$AS$13:$AS$814),MATCH(ROW($AS$13:$AS$814),ROW($AS$13:$AS$814)),""),ROWS($A$13:$A148))),INDEX($AU$13:$AU$48,SMALL(IF((County=$AV$13:$AV$48),MATCH(ROW($AV$13:$AV$48),ROW($AV$13:$AV$48)),""),ROWS($A$13:$A148)))),"")</f>
        <v/>
      </c>
      <c r="BC142" s="341" t="str">
        <f t="array" ref="BC142">IFERROR(IF($BC$11="Yes",INDEX($AX$13:$AX$2950,SMALL(IF((County=$AY$13:$AY$2950),MATCH(ROW($AY$13:$AY$2950),ROW($AY$13:$AY$2950)),""),ROWS($A$13:$A142))),""),"")</f>
        <v/>
      </c>
      <c r="BE142" s="339">
        <v>33165</v>
      </c>
      <c r="BF142" s="338" t="s">
        <v>331</v>
      </c>
      <c r="BH142" s="338">
        <v>10.029999999999999</v>
      </c>
      <c r="BI142" s="338" t="s">
        <v>331</v>
      </c>
      <c r="BN142" s="340">
        <v>6.12</v>
      </c>
      <c r="BO142" s="340" t="s">
        <v>331</v>
      </c>
      <c r="BP142" s="1385"/>
      <c r="BQ142" s="1583">
        <v>34711</v>
      </c>
      <c r="BR142" s="236" t="s">
        <v>322</v>
      </c>
      <c r="BU142" s="858"/>
      <c r="BV142" s="338">
        <v>621.05999999999995</v>
      </c>
      <c r="BW142" s="338" t="s">
        <v>288</v>
      </c>
      <c r="BY142" s="236">
        <v>9718</v>
      </c>
      <c r="BZ142" s="236" t="s">
        <v>333</v>
      </c>
      <c r="CB142" s="340">
        <v>699.07</v>
      </c>
      <c r="CC142" s="340" t="s">
        <v>288</v>
      </c>
      <c r="CE142" s="341" t="str">
        <f t="array" ref="CE142">IFERROR(IF($CE$11="Metro",INDEX($BV$13:$BV$4972,SMALL(IF((County=$BW$13:$BW$4972),MATCH(ROW($BW$13:$BW$4972),ROW($BW$13:$BW$4972)),""),ROWS($A$13:$A142))),INDEX($BY$13:$BY$212,SMALL(IF((County=$BZ$13:$BZ$212),MATCH(ROW($BZ$13:$BZ$212),ROW($BZ$13:$BZ$212)),""),ROWS($A$13:$A142)))),"")</f>
        <v/>
      </c>
      <c r="CG142" s="341" t="str">
        <f t="array" ref="CG142">IFERROR(IF($CG$11="Yes",INDEX($CB$13:$CB$2950,SMALL(IF((County=$CC$13:$CC$2950),MATCH(ROW($CC$13:$CC$2950),ROW($CC$13:$CC$2950)),""),ROWS($A$13:$A142))),""),"")</f>
        <v/>
      </c>
      <c r="CI142" s="1387">
        <v>33145</v>
      </c>
      <c r="CJ142" s="338" t="s">
        <v>331</v>
      </c>
      <c r="CL142" s="236">
        <v>3.09</v>
      </c>
      <c r="CM142" s="236" t="s">
        <v>331</v>
      </c>
      <c r="CO142" s="236">
        <v>9701.02</v>
      </c>
      <c r="CP142" s="236" t="s">
        <v>306</v>
      </c>
      <c r="CR142" s="340">
        <v>6.1</v>
      </c>
      <c r="CS142" s="340" t="s">
        <v>331</v>
      </c>
      <c r="CT142" s="1384"/>
      <c r="CU142" s="341">
        <v>33913</v>
      </c>
      <c r="CV142" s="338" t="s">
        <v>323</v>
      </c>
      <c r="CZ142" s="1795">
        <v>114</v>
      </c>
      <c r="DA142" s="338" t="s">
        <v>297</v>
      </c>
      <c r="DF142" s="340">
        <v>711</v>
      </c>
      <c r="DG142" s="340" t="s">
        <v>288</v>
      </c>
      <c r="DI142" s="341" t="str">
        <f t="array" ref="DI142">IFERROR(IF($DI$11="Metro",INDEX($CZ$13:$CZ$929,SMALL(IF((County=$DA$13:$DA$929),MATCH(ROW($DA$13:$DA$929),ROW($DA$13:$DA$929)),""),ROWS($A$13:$A142))),INDEX($DC$13:$DC$212,SMALL(IF((County=$DD$13:$DD$212),MATCH(ROW($DD$13:$DD$212),ROW($DD$13:$DD$212)),""),ROWS($A$13:$A142)))),"")</f>
        <v/>
      </c>
      <c r="DK142" s="341" t="str">
        <f t="array" ref="DK142">IFERROR(IF($DK$11="Yes",INDEX($DF$13:$DF$2838,SMALL(IF((County=$DG$13:$DG$2838),MATCH(ROW($DG$13:$DG$2838),ROW($DG$13:$DG$2838)),""),ROWS($A$13:$A142))),""),"")</f>
        <v/>
      </c>
      <c r="DM142" s="1387">
        <v>33145</v>
      </c>
      <c r="DN142" s="338" t="s">
        <v>2579</v>
      </c>
      <c r="DP142" s="236">
        <v>12.09</v>
      </c>
      <c r="DQ142" s="236" t="s">
        <v>331</v>
      </c>
      <c r="DV142" s="340">
        <v>8</v>
      </c>
      <c r="DW142" s="340" t="s">
        <v>302</v>
      </c>
      <c r="DX142" s="1671"/>
      <c r="EB142" s="618"/>
      <c r="EC142" s="618"/>
      <c r="ED142" s="1250"/>
      <c r="EE142" s="1250"/>
      <c r="EF142" s="1250"/>
      <c r="EG142" s="1250"/>
      <c r="EH142" s="1250"/>
      <c r="EI142" s="1250"/>
      <c r="EJ142" s="1250"/>
      <c r="EK142" s="618"/>
      <c r="EL142" s="618"/>
      <c r="EM142" s="618"/>
    </row>
    <row r="143" spans="1:143" ht="14.65" customHeight="1">
      <c r="A143" s="339">
        <v>32958</v>
      </c>
      <c r="B143" s="338" t="s">
        <v>318</v>
      </c>
      <c r="E143" s="858"/>
      <c r="F143" s="338">
        <v>15</v>
      </c>
      <c r="G143" s="338" t="s">
        <v>302</v>
      </c>
      <c r="L143" s="2481">
        <v>713.37</v>
      </c>
      <c r="M143" s="340" t="s">
        <v>288</v>
      </c>
      <c r="N143" s="1390"/>
      <c r="O143" s="2479"/>
      <c r="P143" s="2282"/>
      <c r="R143" s="341" t="str">
        <f t="array" ref="R143">IFERROR(IF($R$11="Metro",INDEX($F$13:$F$829,SMALL(IF((County=$G$13:$G$829),MATCH(ROW($G$13:$G$829),ROW($G$13:$G$829)),""),ROWS($A$13:A143))),INDEX($I$13:$I$44,SMALL(IF((County=$J$13:$J$44),MATCH(ROW($J$13:$J$44),ROW($J$13:$J$44)),""),ROWS($A$13:A143)))),"")</f>
        <v/>
      </c>
      <c r="T143" s="341" t="str">
        <f t="array" ref="T143">IFERROR(IF($T$11="Yes",INDEX($L$13:$L$2813,SMALL(IF((County=$M$13:$M$2813),MATCH(ROW($M$13:$M$2813),ROW($M$13:$M$2813)),""),ROWS($A$13:A143))),""),"")</f>
        <v/>
      </c>
      <c r="V143" s="2283" t="str">
        <f t="array" ref="V143">IFERROR(IF($T$11="Yes",INDEX($O$14:$O$2811,SMALL(IF((County=$P$14:$P$2811),MATCH(ROW($P$14:$P$2811),ROW($P$14:$P$2811)),""),ROWS($A$13:A143))),""),"")</f>
        <v/>
      </c>
      <c r="X143" s="339">
        <v>33076</v>
      </c>
      <c r="Y143" s="338" t="s">
        <v>289</v>
      </c>
      <c r="AA143" s="338">
        <v>14.03</v>
      </c>
      <c r="AB143" s="338" t="s">
        <v>340</v>
      </c>
      <c r="AG143" s="2297">
        <v>8.0399999999999991</v>
      </c>
      <c r="AH143" s="2297" t="s">
        <v>285</v>
      </c>
      <c r="AI143" s="1390"/>
      <c r="AJ143" s="2282"/>
      <c r="AK143" s="2282"/>
      <c r="AL143" s="1037"/>
      <c r="AM143" s="339">
        <v>34202</v>
      </c>
      <c r="AN143" s="338" t="s">
        <v>328</v>
      </c>
      <c r="AQ143" s="858"/>
      <c r="AR143" s="338">
        <v>112</v>
      </c>
      <c r="AS143" s="338" t="s">
        <v>302</v>
      </c>
      <c r="AX143" s="340">
        <v>713.35</v>
      </c>
      <c r="AY143" s="340" t="s">
        <v>288</v>
      </c>
      <c r="BA143" s="341" t="str">
        <f t="array" ref="BA143">IFERROR(IF($BA$11="Metro",INDEX($AR$13:$AR$814,SMALL(IF((County=$AS$13:$AS$814),MATCH(ROW($AS$13:$AS$814),ROW($AS$13:$AS$814)),""),ROWS($A$13:$A143))),INDEX($AU$13:$AU$48,SMALL(IF((County=$AV$13:$AV$48),MATCH(ROW($AV$13:$AV$48),ROW($AV$13:$AV$48)),""),ROWS($A$13:$A143)))),"")</f>
        <v/>
      </c>
      <c r="BC143" s="341" t="str">
        <f t="array" ref="BC143">IFERROR(IF($BC$11="Yes",INDEX($AX$13:$AX$2950,SMALL(IF((County=$AY$13:$AY$2950),MATCH(ROW($AY$13:$AY$2950),ROW($AY$13:$AY$2950)),""),ROWS($A$13:$A143))),""),"")</f>
        <v/>
      </c>
      <c r="BE143" s="339">
        <v>33168</v>
      </c>
      <c r="BF143" s="338" t="s">
        <v>331</v>
      </c>
      <c r="BH143" s="338">
        <v>10.039999999999999</v>
      </c>
      <c r="BI143" s="338" t="s">
        <v>331</v>
      </c>
      <c r="BN143" s="340">
        <v>7</v>
      </c>
      <c r="BO143" s="340" t="s">
        <v>285</v>
      </c>
      <c r="BP143" s="1385"/>
      <c r="BQ143" s="1583">
        <v>34714</v>
      </c>
      <c r="BR143" s="236" t="s">
        <v>322</v>
      </c>
      <c r="BU143" s="858"/>
      <c r="BV143" s="338">
        <v>621.08000000000004</v>
      </c>
      <c r="BW143" s="338" t="s">
        <v>288</v>
      </c>
      <c r="BY143" s="236">
        <v>9719</v>
      </c>
      <c r="BZ143" s="236" t="s">
        <v>333</v>
      </c>
      <c r="CB143" s="340">
        <v>711</v>
      </c>
      <c r="CC143" s="340" t="s">
        <v>288</v>
      </c>
      <c r="CE143" s="341" t="str">
        <f t="array" ref="CE143">IFERROR(IF($CE$11="Metro",INDEX($BV$13:$BV$4972,SMALL(IF((County=$BW$13:$BW$4972),MATCH(ROW($BW$13:$BW$4972),ROW($BW$13:$BW$4972)),""),ROWS($A$13:$A143))),INDEX($BY$13:$BY$212,SMALL(IF((County=$BZ$13:$BZ$212),MATCH(ROW($BZ$13:$BZ$212),ROW($BZ$13:$BZ$212)),""),ROWS($A$13:$A143)))),"")</f>
        <v/>
      </c>
      <c r="CG143" s="341" t="str">
        <f t="array" ref="CG143">IFERROR(IF($CG$11="Yes",INDEX($CB$13:$CB$2950,SMALL(IF((County=$CC$13:$CC$2950),MATCH(ROW($CC$13:$CC$2950),ROW($CC$13:$CC$2950)),""),ROWS($A$13:$A143))),""),"")</f>
        <v/>
      </c>
      <c r="CI143" s="1387">
        <v>33146</v>
      </c>
      <c r="CJ143" s="338" t="s">
        <v>331</v>
      </c>
      <c r="CL143" s="236">
        <v>3.1</v>
      </c>
      <c r="CM143" s="236" t="s">
        <v>328</v>
      </c>
      <c r="CO143" s="236">
        <v>9701.02</v>
      </c>
      <c r="CP143" s="236" t="s">
        <v>312</v>
      </c>
      <c r="CR143" s="340">
        <v>6.12</v>
      </c>
      <c r="CS143" s="340" t="s">
        <v>331</v>
      </c>
      <c r="CT143" s="1384"/>
      <c r="CU143" s="341">
        <v>33921</v>
      </c>
      <c r="CV143" s="338" t="s">
        <v>323</v>
      </c>
      <c r="CZ143" s="1795">
        <v>1103</v>
      </c>
      <c r="DA143" s="338" t="s">
        <v>298</v>
      </c>
      <c r="DF143" s="340">
        <v>712.01</v>
      </c>
      <c r="DG143" s="340" t="s">
        <v>288</v>
      </c>
      <c r="DI143" s="341" t="str">
        <f t="array" ref="DI143">IFERROR(IF($DI$11="Metro",INDEX($CZ$13:$CZ$929,SMALL(IF((County=$DA$13:$DA$929),MATCH(ROW($DA$13:$DA$929),ROW($DA$13:$DA$929)),""),ROWS($A$13:$A143))),INDEX($DC$13:$DC$212,SMALL(IF((County=$DD$13:$DD$212),MATCH(ROW($DD$13:$DD$212),ROW($DD$13:$DD$212)),""),ROWS($A$13:$A143)))),"")</f>
        <v/>
      </c>
      <c r="DK143" s="341" t="str">
        <f t="array" ref="DK143">IFERROR(IF($DK$11="Yes",INDEX($DF$13:$DF$2838,SMALL(IF((County=$DG$13:$DG$2838),MATCH(ROW($DG$13:$DG$2838),ROW($DG$13:$DG$2838)),""),ROWS($A$13:$A143))),""),"")</f>
        <v/>
      </c>
      <c r="DM143" s="1387">
        <v>33146</v>
      </c>
      <c r="DN143" s="338" t="s">
        <v>2579</v>
      </c>
      <c r="DP143" s="236">
        <v>13</v>
      </c>
      <c r="DQ143" s="236" t="s">
        <v>302</v>
      </c>
      <c r="DV143" s="340">
        <v>8</v>
      </c>
      <c r="DW143" s="340" t="s">
        <v>323</v>
      </c>
      <c r="DX143" s="1671"/>
      <c r="EB143" s="618"/>
      <c r="EC143" s="618"/>
      <c r="ED143" s="618"/>
      <c r="EE143" s="618"/>
      <c r="EF143" s="618"/>
      <c r="EG143" s="618"/>
      <c r="EH143" s="618"/>
      <c r="EI143" s="618"/>
      <c r="EJ143" s="618"/>
      <c r="EK143" s="618"/>
      <c r="EL143" s="618"/>
      <c r="EM143" s="618"/>
    </row>
    <row r="144" spans="1:143" ht="14.65" customHeight="1">
      <c r="A144" s="339">
        <v>32963</v>
      </c>
      <c r="B144" s="338" t="s">
        <v>318</v>
      </c>
      <c r="E144" s="858"/>
      <c r="F144" s="338">
        <v>16</v>
      </c>
      <c r="G144" s="338" t="s">
        <v>302</v>
      </c>
      <c r="L144" s="2481">
        <v>713.43</v>
      </c>
      <c r="M144" s="340" t="s">
        <v>288</v>
      </c>
      <c r="N144" s="1390"/>
      <c r="O144" s="2479"/>
      <c r="P144" s="2282"/>
      <c r="R144" s="341" t="str">
        <f t="array" ref="R144">IFERROR(IF($R$11="Metro",INDEX($F$13:$F$829,SMALL(IF((County=$G$13:$G$829),MATCH(ROW($G$13:$G$829),ROW($G$13:$G$829)),""),ROWS($A$13:A144))),INDEX($I$13:$I$44,SMALL(IF((County=$J$13:$J$44),MATCH(ROW($J$13:$J$44),ROW($J$13:$J$44)),""),ROWS($A$13:A144)))),"")</f>
        <v/>
      </c>
      <c r="T144" s="341" t="str">
        <f t="array" ref="T144">IFERROR(IF($T$11="Yes",INDEX($L$13:$L$2813,SMALL(IF((County=$M$13:$M$2813),MATCH(ROW($M$13:$M$2813),ROW($M$13:$M$2813)),""),ROWS($A$13:A144))),""),"")</f>
        <v/>
      </c>
      <c r="V144" s="2283" t="str">
        <f t="array" ref="V144">IFERROR(IF($T$11="Yes",INDEX($O$14:$O$2811,SMALL(IF((County=$P$14:$P$2811),MATCH(ROW($P$14:$P$2811),ROW($P$14:$P$2811)),""),ROWS($A$13:A144))),""),"")</f>
        <v/>
      </c>
      <c r="X144" s="339">
        <v>33109</v>
      </c>
      <c r="Y144" s="338" t="s">
        <v>2579</v>
      </c>
      <c r="AA144" s="338">
        <v>14.04</v>
      </c>
      <c r="AB144" s="338" t="s">
        <v>329</v>
      </c>
      <c r="AG144" s="2297">
        <v>8.0399999999999991</v>
      </c>
      <c r="AH144" s="2297" t="s">
        <v>328</v>
      </c>
      <c r="AI144" s="1390"/>
      <c r="AJ144" s="2282"/>
      <c r="AK144" s="2282"/>
      <c r="AL144" s="1037"/>
      <c r="AM144" s="339">
        <v>34211</v>
      </c>
      <c r="AN144" s="338" t="s">
        <v>328</v>
      </c>
      <c r="AQ144" s="858"/>
      <c r="AR144" s="338">
        <v>113</v>
      </c>
      <c r="AS144" s="338" t="s">
        <v>302</v>
      </c>
      <c r="AX144" s="340">
        <v>713.39</v>
      </c>
      <c r="AY144" s="340" t="s">
        <v>288</v>
      </c>
      <c r="BA144" s="341" t="str">
        <f t="array" ref="BA144">IFERROR(IF($BA$11="Metro",INDEX($AR$13:$AR$814,SMALL(IF((County=$AS$13:$AS$814),MATCH(ROW($AS$13:$AS$814),ROW($AS$13:$AS$814)),""),ROWS($A$13:$A144))),INDEX($AU$13:$AU$48,SMALL(IF((County=$AV$13:$AV$48),MATCH(ROW($AV$13:$AV$48),ROW($AV$13:$AV$48)),""),ROWS($A$13:$A144)))),"")</f>
        <v/>
      </c>
      <c r="BC144" s="341" t="str">
        <f t="array" ref="BC144">IFERROR(IF($BC$11="Yes",INDEX($AX$13:$AX$2950,SMALL(IF((County=$AY$13:$AY$2950),MATCH(ROW($AY$13:$AY$2950),ROW($AY$13:$AY$2950)),""),ROWS($A$13:$A144))),""),"")</f>
        <v/>
      </c>
      <c r="BE144" s="339">
        <v>33172</v>
      </c>
      <c r="BF144" s="338" t="s">
        <v>331</v>
      </c>
      <c r="BH144" s="338">
        <v>10.050000000000001</v>
      </c>
      <c r="BI144" s="338" t="s">
        <v>331</v>
      </c>
      <c r="BN144" s="340">
        <v>7</v>
      </c>
      <c r="BO144" s="340" t="s">
        <v>302</v>
      </c>
      <c r="BP144" s="1385"/>
      <c r="BQ144" s="1583">
        <v>34715</v>
      </c>
      <c r="BR144" s="236" t="s">
        <v>322</v>
      </c>
      <c r="BU144" s="858"/>
      <c r="BV144" s="338">
        <v>621.09</v>
      </c>
      <c r="BW144" s="338" t="s">
        <v>288</v>
      </c>
      <c r="BY144" s="236">
        <v>9720</v>
      </c>
      <c r="BZ144" s="236" t="s">
        <v>333</v>
      </c>
      <c r="CB144" s="340">
        <v>712.01</v>
      </c>
      <c r="CC144" s="340" t="s">
        <v>288</v>
      </c>
      <c r="CE144" s="341" t="str">
        <f t="array" ref="CE144">IFERROR(IF($CE$11="Metro",INDEX($BV$13:$BV$4972,SMALL(IF((County=$BW$13:$BW$4972),MATCH(ROW($BW$13:$BW$4972),ROW($BW$13:$BW$4972)),""),ROWS($A$13:$A144))),INDEX($BY$13:$BY$212,SMALL(IF((County=$BZ$13:$BZ$212),MATCH(ROW($BZ$13:$BZ$212),ROW($BZ$13:$BZ$212)),""),ROWS($A$13:$A144)))),"")</f>
        <v/>
      </c>
      <c r="CG144" s="341" t="str">
        <f t="array" ref="CG144">IFERROR(IF($CG$11="Yes",INDEX($CB$13:$CB$2950,SMALL(IF((County=$CC$13:$CC$2950),MATCH(ROW($CC$13:$CC$2950),ROW($CC$13:$CC$2950)),""),ROWS($A$13:$A144))),""),"")</f>
        <v/>
      </c>
      <c r="CI144" s="1387">
        <v>33149</v>
      </c>
      <c r="CJ144" s="338" t="s">
        <v>331</v>
      </c>
      <c r="CL144" s="236">
        <v>3.1</v>
      </c>
      <c r="CM144" s="236" t="s">
        <v>331</v>
      </c>
      <c r="CO144" s="236">
        <v>9701.02</v>
      </c>
      <c r="CP144" s="236" t="s">
        <v>358</v>
      </c>
      <c r="CR144" s="340">
        <v>7</v>
      </c>
      <c r="CS144" s="340" t="s">
        <v>285</v>
      </c>
      <c r="CT144" s="1384"/>
      <c r="CU144" s="341">
        <v>33928</v>
      </c>
      <c r="CV144" s="338" t="s">
        <v>323</v>
      </c>
      <c r="CZ144" s="1795">
        <v>1104</v>
      </c>
      <c r="DA144" s="338" t="s">
        <v>298</v>
      </c>
      <c r="DF144" s="340">
        <v>712.05</v>
      </c>
      <c r="DG144" s="340" t="s">
        <v>288</v>
      </c>
      <c r="DI144" s="341" t="str">
        <f t="array" ref="DI144">IFERROR(IF($DI$11="Metro",INDEX($CZ$13:$CZ$929,SMALL(IF((County=$DA$13:$DA$929),MATCH(ROW($DA$13:$DA$929),ROW($DA$13:$DA$929)),""),ROWS($A$13:$A144))),INDEX($DC$13:$DC$212,SMALL(IF((County=$DD$13:$DD$212),MATCH(ROW($DD$13:$DD$212),ROW($DD$13:$DD$212)),""),ROWS($A$13:$A144)))),"")</f>
        <v/>
      </c>
      <c r="DK144" s="341" t="str">
        <f t="array" ref="DK144">IFERROR(IF($DK$11="Yes",INDEX($DF$13:$DF$2838,SMALL(IF((County=$DG$13:$DG$2838),MATCH(ROW($DG$13:$DG$2838),ROW($DG$13:$DG$2838)),""),ROWS($A$13:$A144))),""),"")</f>
        <v/>
      </c>
      <c r="DM144" s="1387">
        <v>33149</v>
      </c>
      <c r="DN144" s="338" t="s">
        <v>2579</v>
      </c>
      <c r="DP144" s="236">
        <v>13</v>
      </c>
      <c r="DQ144" s="236" t="s">
        <v>304</v>
      </c>
      <c r="DV144" s="340">
        <v>8</v>
      </c>
      <c r="DW144" s="340" t="s">
        <v>324</v>
      </c>
      <c r="DX144" s="1671"/>
      <c r="EB144" s="618"/>
      <c r="EC144" s="618"/>
      <c r="ED144" s="618"/>
      <c r="EE144" s="618"/>
      <c r="EF144" s="618"/>
      <c r="EG144" s="618"/>
      <c r="EH144" s="618"/>
      <c r="EI144" s="618"/>
      <c r="EJ144" s="618"/>
      <c r="EK144" s="618"/>
      <c r="EL144" s="618"/>
      <c r="EM144" s="618"/>
    </row>
    <row r="145" spans="1:143" ht="14.65" customHeight="1">
      <c r="A145" s="339">
        <v>32968</v>
      </c>
      <c r="B145" s="338" t="s">
        <v>318</v>
      </c>
      <c r="E145" s="858"/>
      <c r="F145" s="338">
        <v>25.01</v>
      </c>
      <c r="G145" s="338" t="s">
        <v>302</v>
      </c>
      <c r="L145" s="2481">
        <v>713.46</v>
      </c>
      <c r="M145" s="340" t="s">
        <v>288</v>
      </c>
      <c r="N145" s="1390"/>
      <c r="O145" s="2479"/>
      <c r="P145" s="2282"/>
      <c r="R145" s="341" t="str">
        <f t="array" ref="R145">IFERROR(IF($R$11="Metro",INDEX($F$13:$F$829,SMALL(IF((County=$G$13:$G$829),MATCH(ROW($G$13:$G$829),ROW($G$13:$G$829)),""),ROWS($A$13:A145))),INDEX($I$13:$I$44,SMALL(IF((County=$J$13:$J$44),MATCH(ROW($J$13:$J$44),ROW($J$13:$J$44)),""),ROWS($A$13:A145)))),"")</f>
        <v/>
      </c>
      <c r="T145" s="341" t="str">
        <f t="array" ref="T145">IFERROR(IF($T$11="Yes",INDEX($L$13:$L$2813,SMALL(IF((County=$M$13:$M$2813),MATCH(ROW($M$13:$M$2813),ROW($M$13:$M$2813)),""),ROWS($A$13:A145))),""),"")</f>
        <v/>
      </c>
      <c r="V145" s="2283" t="str">
        <f t="array" ref="V145">IFERROR(IF($T$11="Yes",INDEX($O$14:$O$2811,SMALL(IF((County=$P$14:$P$2811),MATCH(ROW($P$14:$P$2811),ROW($P$14:$P$2811)),""),ROWS($A$13:A145))),""),"")</f>
        <v/>
      </c>
      <c r="X145" s="339">
        <v>33122</v>
      </c>
      <c r="Y145" s="338" t="s">
        <v>2579</v>
      </c>
      <c r="AA145" s="338">
        <v>14.04</v>
      </c>
      <c r="AB145" s="338" t="s">
        <v>340</v>
      </c>
      <c r="AG145" s="2297">
        <v>8.0500000000000007</v>
      </c>
      <c r="AH145" s="2297" t="s">
        <v>285</v>
      </c>
      <c r="AI145" s="1390"/>
      <c r="AJ145" s="2282"/>
      <c r="AK145" s="2282"/>
      <c r="AL145" s="1037"/>
      <c r="AM145" s="339">
        <v>34212</v>
      </c>
      <c r="AN145" s="338" t="s">
        <v>328</v>
      </c>
      <c r="AQ145" s="858"/>
      <c r="AR145" s="338">
        <v>114</v>
      </c>
      <c r="AS145" s="338" t="s">
        <v>302</v>
      </c>
      <c r="AX145" s="340">
        <v>713.43</v>
      </c>
      <c r="AY145" s="340" t="s">
        <v>288</v>
      </c>
      <c r="BA145" s="341" t="str">
        <f t="array" ref="BA145">IFERROR(IF($BA$11="Metro",INDEX($AR$13:$AR$814,SMALL(IF((County=$AS$13:$AS$814),MATCH(ROW($AS$13:$AS$814),ROW($AS$13:$AS$814)),""),ROWS($A$13:$A145))),INDEX($AU$13:$AU$48,SMALL(IF((County=$AV$13:$AV$48),MATCH(ROW($AV$13:$AV$48),ROW($AV$13:$AV$48)),""),ROWS($A$13:$A145)))),"")</f>
        <v/>
      </c>
      <c r="BC145" s="341" t="str">
        <f t="array" ref="BC145">IFERROR(IF($BC$11="Yes",INDEX($AX$13:$AX$2950,SMALL(IF((County=$AY$13:$AY$2950),MATCH(ROW($AY$13:$AY$2950),ROW($AY$13:$AY$2950)),""),ROWS($A$13:$A145))),""),"")</f>
        <v/>
      </c>
      <c r="BE145" s="339">
        <v>33173</v>
      </c>
      <c r="BF145" s="338" t="s">
        <v>331</v>
      </c>
      <c r="BH145" s="338">
        <v>10.06</v>
      </c>
      <c r="BI145" s="338" t="s">
        <v>331</v>
      </c>
      <c r="BN145" s="340">
        <v>7</v>
      </c>
      <c r="BO145" s="340" t="s">
        <v>324</v>
      </c>
      <c r="BP145" s="1385"/>
      <c r="BQ145" s="1583">
        <v>34736</v>
      </c>
      <c r="BR145" s="236" t="s">
        <v>322</v>
      </c>
      <c r="BU145" s="858"/>
      <c r="BV145" s="338">
        <v>621.1</v>
      </c>
      <c r="BW145" s="338" t="s">
        <v>288</v>
      </c>
      <c r="BY145" s="236">
        <v>9721</v>
      </c>
      <c r="BZ145" s="236" t="s">
        <v>333</v>
      </c>
      <c r="CB145" s="340">
        <v>712.02</v>
      </c>
      <c r="CC145" s="340" t="s">
        <v>288</v>
      </c>
      <c r="CE145" s="341" t="str">
        <f t="array" ref="CE145">IFERROR(IF($CE$11="Metro",INDEX($BV$13:$BV$4972,SMALL(IF((County=$BW$13:$BW$4972),MATCH(ROW($BW$13:$BW$4972),ROW($BW$13:$BW$4972)),""),ROWS($A$13:$A145))),INDEX($BY$13:$BY$212,SMALL(IF((County=$BZ$13:$BZ$212),MATCH(ROW($BZ$13:$BZ$212),ROW($BZ$13:$BZ$212)),""),ROWS($A$13:$A145)))),"")</f>
        <v/>
      </c>
      <c r="CG145" s="341" t="str">
        <f t="array" ref="CG145">IFERROR(IF($CG$11="Yes",INDEX($CB$13:$CB$2950,SMALL(IF((County=$CC$13:$CC$2950),MATCH(ROW($CC$13:$CC$2950),ROW($CC$13:$CC$2950)),""),ROWS($A$13:$A145))),""),"")</f>
        <v/>
      </c>
      <c r="CI145" s="1387">
        <v>33154</v>
      </c>
      <c r="CJ145" s="338" t="s">
        <v>331</v>
      </c>
      <c r="CL145" s="236">
        <v>3.11</v>
      </c>
      <c r="CM145" s="236" t="s">
        <v>328</v>
      </c>
      <c r="CO145" s="338">
        <v>9701.0300000000007</v>
      </c>
      <c r="CP145" s="338" t="s">
        <v>301</v>
      </c>
      <c r="CR145" s="340">
        <v>7</v>
      </c>
      <c r="CS145" s="340" t="s">
        <v>302</v>
      </c>
      <c r="CT145" s="1384"/>
      <c r="CU145" s="341">
        <v>33956</v>
      </c>
      <c r="CV145" s="338" t="s">
        <v>323</v>
      </c>
      <c r="CZ145" s="1795">
        <v>102</v>
      </c>
      <c r="DA145" s="338" t="s">
        <v>2580</v>
      </c>
      <c r="DF145" s="340">
        <v>713.37</v>
      </c>
      <c r="DG145" s="340" t="s">
        <v>288</v>
      </c>
      <c r="DI145" s="341" t="str">
        <f t="array" ref="DI145">IFERROR(IF($DI$11="Metro",INDEX($CZ$13:$CZ$929,SMALL(IF((County=$DA$13:$DA$929),MATCH(ROW($DA$13:$DA$929),ROW($DA$13:$DA$929)),""),ROWS($A$13:$A145))),INDEX($DC$13:$DC$212,SMALL(IF((County=$DD$13:$DD$212),MATCH(ROW($DD$13:$DD$212),ROW($DD$13:$DD$212)),""),ROWS($A$13:$A145)))),"")</f>
        <v/>
      </c>
      <c r="DK145" s="341" t="str">
        <f t="array" ref="DK145">IFERROR(IF($DK$11="Yes",INDEX($DF$13:$DF$2838,SMALL(IF((County=$DG$13:$DG$2838),MATCH(ROW($DG$13:$DG$2838),ROW($DG$13:$DG$2838)),""),ROWS($A$13:$A145))),""),"")</f>
        <v/>
      </c>
      <c r="DM145" s="1387">
        <v>33154</v>
      </c>
      <c r="DN145" s="338" t="s">
        <v>2579</v>
      </c>
      <c r="DP145" s="236">
        <v>13</v>
      </c>
      <c r="DQ145" s="236" t="s">
        <v>316</v>
      </c>
      <c r="DV145" s="340">
        <v>8.01</v>
      </c>
      <c r="DW145" s="340" t="s">
        <v>347</v>
      </c>
      <c r="DX145" s="1671"/>
      <c r="EB145" s="618"/>
      <c r="EC145" s="618"/>
      <c r="ED145" s="618"/>
      <c r="EE145" s="618"/>
      <c r="EF145" s="618"/>
      <c r="EG145" s="618"/>
      <c r="EH145" s="618"/>
      <c r="EI145" s="618"/>
      <c r="EJ145" s="618"/>
      <c r="EK145" s="618"/>
      <c r="EL145" s="618"/>
      <c r="EM145" s="618"/>
    </row>
    <row r="146" spans="1:143" ht="14.65" customHeight="1">
      <c r="A146" s="339">
        <v>32163</v>
      </c>
      <c r="B146" s="338" t="s">
        <v>322</v>
      </c>
      <c r="E146" s="858"/>
      <c r="F146" s="338">
        <v>26</v>
      </c>
      <c r="G146" s="338" t="s">
        <v>302</v>
      </c>
      <c r="L146" s="2481">
        <v>713.48</v>
      </c>
      <c r="M146" s="340" t="s">
        <v>288</v>
      </c>
      <c r="N146" s="1390"/>
      <c r="O146" s="2479"/>
      <c r="P146" s="2282"/>
      <c r="R146" s="341" t="str">
        <f t="array" ref="R146">IFERROR(IF($R$11="Metro",INDEX($F$13:$F$829,SMALL(IF((County=$G$13:$G$829),MATCH(ROW($G$13:$G$829),ROW($G$13:$G$829)),""),ROWS($A$13:A146))),INDEX($I$13:$I$44,SMALL(IF((County=$J$13:$J$44),MATCH(ROW($J$13:$J$44),ROW($J$13:$J$44)),""),ROWS($A$13:A146)))),"")</f>
        <v/>
      </c>
      <c r="T146" s="341" t="str">
        <f t="array" ref="T146">IFERROR(IF($T$11="Yes",INDEX($L$13:$L$2813,SMALL(IF((County=$M$13:$M$2813),MATCH(ROW($M$13:$M$2813),ROW($M$13:$M$2813)),""),ROWS($A$13:A146))),""),"")</f>
        <v/>
      </c>
      <c r="V146" s="2283" t="str">
        <f t="array" ref="V146">IFERROR(IF($T$11="Yes",INDEX($O$14:$O$2811,SMALL(IF((County=$P$14:$P$2811),MATCH(ROW($P$14:$P$2811),ROW($P$14:$P$2811)),""),ROWS($A$13:A146))),""),"")</f>
        <v/>
      </c>
      <c r="X146" s="339">
        <v>33126</v>
      </c>
      <c r="Y146" s="338" t="s">
        <v>2579</v>
      </c>
      <c r="AA146" s="338">
        <v>14.07</v>
      </c>
      <c r="AB146" s="338" t="s">
        <v>330</v>
      </c>
      <c r="AG146" s="2297">
        <v>8.0500000000000007</v>
      </c>
      <c r="AH146" s="2297" t="s">
        <v>328</v>
      </c>
      <c r="AI146" s="1390"/>
      <c r="AJ146" s="2282"/>
      <c r="AK146" s="2282"/>
      <c r="AL146" s="1037"/>
      <c r="AM146" s="339">
        <v>34216</v>
      </c>
      <c r="AN146" s="338" t="s">
        <v>328</v>
      </c>
      <c r="AQ146" s="858"/>
      <c r="AR146" s="338">
        <v>115</v>
      </c>
      <c r="AS146" s="338" t="s">
        <v>302</v>
      </c>
      <c r="AX146" s="340">
        <v>713.44</v>
      </c>
      <c r="AY146" s="340" t="s">
        <v>288</v>
      </c>
      <c r="BA146" s="341" t="str">
        <f t="array" ref="BA146">IFERROR(IF($BA$11="Metro",INDEX($AR$13:$AR$814,SMALL(IF((County=$AS$13:$AS$814),MATCH(ROW($AS$13:$AS$814),ROW($AS$13:$AS$814)),""),ROWS($A$13:$A146))),INDEX($AU$13:$AU$48,SMALL(IF((County=$AV$13:$AV$48),MATCH(ROW($AV$13:$AV$48),ROW($AV$13:$AV$48)),""),ROWS($A$13:$A146)))),"")</f>
        <v/>
      </c>
      <c r="BC146" s="341" t="str">
        <f t="array" ref="BC146">IFERROR(IF($BC$11="Yes",INDEX($AX$13:$AX$2950,SMALL(IF((County=$AY$13:$AY$2950),MATCH(ROW($AY$13:$AY$2950),ROW($AY$13:$AY$2950)),""),ROWS($A$13:$A146))),""),"")</f>
        <v/>
      </c>
      <c r="BE146" s="339">
        <v>33174</v>
      </c>
      <c r="BF146" s="338" t="s">
        <v>331</v>
      </c>
      <c r="BH146" s="338">
        <v>10.07</v>
      </c>
      <c r="BI146" s="338" t="s">
        <v>331</v>
      </c>
      <c r="BN146" s="340">
        <v>7</v>
      </c>
      <c r="BO146" s="340" t="s">
        <v>347</v>
      </c>
      <c r="BP146" s="1385"/>
      <c r="BQ146" s="1583">
        <v>34737</v>
      </c>
      <c r="BR146" s="236" t="s">
        <v>322</v>
      </c>
      <c r="BU146" s="858"/>
      <c r="BV146" s="338">
        <v>621.11</v>
      </c>
      <c r="BW146" s="338" t="s">
        <v>288</v>
      </c>
      <c r="BY146" s="236">
        <v>9722</v>
      </c>
      <c r="BZ146" s="236" t="s">
        <v>333</v>
      </c>
      <c r="CB146" s="340">
        <v>712.03</v>
      </c>
      <c r="CC146" s="340" t="s">
        <v>288</v>
      </c>
      <c r="CE146" s="341" t="str">
        <f t="array" ref="CE146">IFERROR(IF($CE$11="Metro",INDEX($BV$13:$BV$4972,SMALL(IF((County=$BW$13:$BW$4972),MATCH(ROW($BW$13:$BW$4972),ROW($BW$13:$BW$4972)),""),ROWS($A$13:$A146))),INDEX($BY$13:$BY$212,SMALL(IF((County=$BZ$13:$BZ$212),MATCH(ROW($BZ$13:$BZ$212),ROW($BZ$13:$BZ$212)),""),ROWS($A$13:$A146)))),"")</f>
        <v/>
      </c>
      <c r="CG146" s="341" t="str">
        <f t="array" ref="CG146">IFERROR(IF($CG$11="Yes",INDEX($CB$13:$CB$2950,SMALL(IF((County=$CC$13:$CC$2950),MATCH(ROW($CC$13:$CC$2950),ROW($CC$13:$CC$2950)),""),ROWS($A$13:$A146))),""),"")</f>
        <v/>
      </c>
      <c r="CI146" s="1387">
        <v>33155</v>
      </c>
      <c r="CJ146" s="338" t="s">
        <v>331</v>
      </c>
      <c r="CL146" s="236">
        <v>3.11</v>
      </c>
      <c r="CM146" s="236" t="s">
        <v>331</v>
      </c>
      <c r="CO146" s="236">
        <v>9701.0300000000007</v>
      </c>
      <c r="CP146" s="236" t="s">
        <v>358</v>
      </c>
      <c r="CR146" s="340">
        <v>7</v>
      </c>
      <c r="CS146" s="340" t="s">
        <v>324</v>
      </c>
      <c r="CT146" s="1384"/>
      <c r="CU146" s="341">
        <v>33965</v>
      </c>
      <c r="CV146" s="338" t="s">
        <v>323</v>
      </c>
      <c r="CZ146" s="1795">
        <v>103.01</v>
      </c>
      <c r="DA146" s="338" t="s">
        <v>2580</v>
      </c>
      <c r="DF146" s="340">
        <v>713.43</v>
      </c>
      <c r="DG146" s="340" t="s">
        <v>288</v>
      </c>
      <c r="DI146" s="341" t="str">
        <f t="array" ref="DI146">IFERROR(IF($DI$11="Metro",INDEX($CZ$13:$CZ$929,SMALL(IF((County=$DA$13:$DA$929),MATCH(ROW($DA$13:$DA$929),ROW($DA$13:$DA$929)),""),ROWS($A$13:$A146))),INDEX($DC$13:$DC$212,SMALL(IF((County=$DD$13:$DD$212),MATCH(ROW($DD$13:$DD$212),ROW($DD$13:$DD$212)),""),ROWS($A$13:$A146)))),"")</f>
        <v/>
      </c>
      <c r="DK146" s="341" t="str">
        <f t="array" ref="DK146">IFERROR(IF($DK$11="Yes",INDEX($DF$13:$DF$2838,SMALL(IF((County=$DG$13:$DG$2838),MATCH(ROW($DG$13:$DG$2838),ROW($DG$13:$DG$2838)),""),ROWS($A$13:$A146))),""),"")</f>
        <v/>
      </c>
      <c r="DM146" s="1387">
        <v>33155</v>
      </c>
      <c r="DN146" s="338" t="s">
        <v>2579</v>
      </c>
      <c r="DP146" s="236">
        <v>13.02</v>
      </c>
      <c r="DQ146" s="236" t="s">
        <v>340</v>
      </c>
      <c r="DV146" s="340">
        <v>8.02</v>
      </c>
      <c r="DW146" s="340" t="s">
        <v>304</v>
      </c>
      <c r="DX146" s="1671"/>
      <c r="EB146" s="618"/>
      <c r="EC146" s="618"/>
      <c r="ED146" s="618"/>
      <c r="EE146" s="618"/>
      <c r="EF146" s="618"/>
      <c r="EG146" s="618"/>
      <c r="EH146" s="618"/>
      <c r="EI146" s="618"/>
      <c r="EJ146" s="618"/>
      <c r="EK146" s="618"/>
      <c r="EL146" s="618"/>
      <c r="EM146" s="618"/>
    </row>
    <row r="147" spans="1:143" ht="14.65" customHeight="1">
      <c r="A147" s="339">
        <v>32735</v>
      </c>
      <c r="B147" s="338" t="s">
        <v>322</v>
      </c>
      <c r="E147" s="858"/>
      <c r="F147" s="338">
        <v>27.01</v>
      </c>
      <c r="G147" s="338" t="s">
        <v>302</v>
      </c>
      <c r="L147" s="2481">
        <v>713.53</v>
      </c>
      <c r="M147" s="340" t="s">
        <v>288</v>
      </c>
      <c r="N147" s="1390"/>
      <c r="O147" s="2479"/>
      <c r="P147" s="2282"/>
      <c r="R147" s="341" t="str">
        <f t="array" ref="R147">IFERROR(IF($R$11="Metro",INDEX($F$13:$F$829,SMALL(IF((County=$G$13:$G$829),MATCH(ROW($G$13:$G$829),ROW($G$13:$G$829)),""),ROWS($A$13:A147))),INDEX($I$13:$I$44,SMALL(IF((County=$J$13:$J$44),MATCH(ROW($J$13:$J$44),ROW($J$13:$J$44)),""),ROWS($A$13:A147)))),"")</f>
        <v/>
      </c>
      <c r="T147" s="341" t="str">
        <f t="array" ref="T147">IFERROR(IF($T$11="Yes",INDEX($L$13:$L$2813,SMALL(IF((County=$M$13:$M$2813),MATCH(ROW($M$13:$M$2813),ROW($M$13:$M$2813)),""),ROWS($A$13:A147))),""),"")</f>
        <v/>
      </c>
      <c r="V147" s="2283" t="str">
        <f t="array" ref="V147">IFERROR(IF($T$11="Yes",INDEX($O$14:$O$2811,SMALL(IF((County=$P$14:$P$2811),MATCH(ROW($P$14:$P$2811),ROW($P$14:$P$2811)),""),ROWS($A$13:A147))),""),"")</f>
        <v/>
      </c>
      <c r="X147" s="339">
        <v>33129</v>
      </c>
      <c r="Y147" s="338" t="s">
        <v>2579</v>
      </c>
      <c r="AA147" s="338">
        <v>15</v>
      </c>
      <c r="AB147" s="338" t="s">
        <v>302</v>
      </c>
      <c r="AG147" s="2297">
        <v>8.06</v>
      </c>
      <c r="AH147" s="2297" t="s">
        <v>285</v>
      </c>
      <c r="AI147" s="1390"/>
      <c r="AJ147" s="2282"/>
      <c r="AK147" s="2282"/>
      <c r="AL147" s="1037"/>
      <c r="AM147" s="339">
        <v>34217</v>
      </c>
      <c r="AN147" s="338" t="s">
        <v>328</v>
      </c>
      <c r="AQ147" s="858"/>
      <c r="AR147" s="338">
        <v>116</v>
      </c>
      <c r="AS147" s="338" t="s">
        <v>302</v>
      </c>
      <c r="AX147" s="340">
        <v>713.46</v>
      </c>
      <c r="AY147" s="340" t="s">
        <v>288</v>
      </c>
      <c r="BA147" s="341" t="str">
        <f t="array" ref="BA147">IFERROR(IF($BA$11="Metro",INDEX($AR$13:$AR$814,SMALL(IF((County=$AS$13:$AS$814),MATCH(ROW($AS$13:$AS$814),ROW($AS$13:$AS$814)),""),ROWS($A$13:$A147))),INDEX($AU$13:$AU$48,SMALL(IF((County=$AV$13:$AV$48),MATCH(ROW($AV$13:$AV$48),ROW($AV$13:$AV$48)),""),ROWS($A$13:$A147)))),"")</f>
        <v/>
      </c>
      <c r="BC147" s="341" t="str">
        <f t="array" ref="BC147">IFERROR(IF($BC$11="Yes",INDEX($AX$13:$AX$2950,SMALL(IF((County=$AY$13:$AY$2950),MATCH(ROW($AY$13:$AY$2950),ROW($AY$13:$AY$2950)),""),ROWS($A$13:$A147))),""),"")</f>
        <v/>
      </c>
      <c r="BE147" s="339">
        <v>33175</v>
      </c>
      <c r="BF147" s="338" t="s">
        <v>331</v>
      </c>
      <c r="BH147" s="338">
        <v>10.08</v>
      </c>
      <c r="BI147" s="338" t="s">
        <v>331</v>
      </c>
      <c r="BN147" s="340">
        <v>7.02</v>
      </c>
      <c r="BO147" s="340" t="s">
        <v>340</v>
      </c>
      <c r="BP147" s="1385"/>
      <c r="BQ147" s="1583">
        <v>33908</v>
      </c>
      <c r="BR147" s="236" t="s">
        <v>323</v>
      </c>
      <c r="BU147" s="858"/>
      <c r="BV147" s="338">
        <v>621.12</v>
      </c>
      <c r="BW147" s="338" t="s">
        <v>288</v>
      </c>
      <c r="BY147" s="236">
        <v>9724</v>
      </c>
      <c r="BZ147" s="236" t="s">
        <v>333</v>
      </c>
      <c r="CB147" s="340">
        <v>712.05</v>
      </c>
      <c r="CC147" s="340" t="s">
        <v>288</v>
      </c>
      <c r="CE147" s="341" t="str">
        <f t="array" ref="CE147">IFERROR(IF($CE$11="Metro",INDEX($BV$13:$BV$4972,SMALL(IF((County=$BW$13:$BW$4972),MATCH(ROW($BW$13:$BW$4972),ROW($BW$13:$BW$4972)),""),ROWS($A$13:$A147))),INDEX($BY$13:$BY$212,SMALL(IF((County=$BZ$13:$BZ$212),MATCH(ROW($BZ$13:$BZ$212),ROW($BZ$13:$BZ$212)),""),ROWS($A$13:$A147)))),"")</f>
        <v/>
      </c>
      <c r="CG147" s="341" t="str">
        <f t="array" ref="CG147">IFERROR(IF($CG$11="Yes",INDEX($CB$13:$CB$2950,SMALL(IF((County=$CC$13:$CC$2950),MATCH(ROW($CC$13:$CC$2950),ROW($CC$13:$CC$2950)),""),ROWS($A$13:$A147))),""),"")</f>
        <v/>
      </c>
      <c r="CI147" s="1387">
        <v>33156</v>
      </c>
      <c r="CJ147" s="338" t="s">
        <v>331</v>
      </c>
      <c r="CL147" s="236">
        <v>3.12</v>
      </c>
      <c r="CM147" s="236" t="s">
        <v>328</v>
      </c>
      <c r="CO147" s="338">
        <v>9701.0400000000009</v>
      </c>
      <c r="CP147" s="338" t="s">
        <v>301</v>
      </c>
      <c r="CR147" s="340">
        <v>7</v>
      </c>
      <c r="CS147" s="340" t="s">
        <v>347</v>
      </c>
      <c r="CT147" s="1384"/>
      <c r="CU147" s="341">
        <v>33967</v>
      </c>
      <c r="CV147" s="338" t="s">
        <v>323</v>
      </c>
      <c r="CZ147" s="1795">
        <v>103.02</v>
      </c>
      <c r="DA147" s="338" t="s">
        <v>2580</v>
      </c>
      <c r="DF147" s="340">
        <v>713.46</v>
      </c>
      <c r="DG147" s="340" t="s">
        <v>288</v>
      </c>
      <c r="DI147" s="341" t="str">
        <f t="array" ref="DI147">IFERROR(IF($DI$11="Metro",INDEX($CZ$13:$CZ$929,SMALL(IF((County=$DA$13:$DA$929),MATCH(ROW($DA$13:$DA$929),ROW($DA$13:$DA$929)),""),ROWS($A$13:$A147))),INDEX($DC$13:$DC$212,SMALL(IF((County=$DD$13:$DD$212),MATCH(ROW($DD$13:$DD$212),ROW($DD$13:$DD$212)),""),ROWS($A$13:$A147)))),"")</f>
        <v/>
      </c>
      <c r="DK147" s="341" t="str">
        <f t="array" ref="DK147">IFERROR(IF($DK$11="Yes",INDEX($DF$13:$DF$2838,SMALL(IF((County=$DG$13:$DG$2838),MATCH(ROW($DG$13:$DG$2838),ROW($DG$13:$DG$2838)),""),ROWS($A$13:$A147))),""),"")</f>
        <v/>
      </c>
      <c r="DM147" s="1387">
        <v>33156</v>
      </c>
      <c r="DN147" s="338" t="s">
        <v>2579</v>
      </c>
      <c r="DP147" s="236">
        <v>14</v>
      </c>
      <c r="DQ147" s="236" t="s">
        <v>276</v>
      </c>
      <c r="DV147" s="340">
        <v>8.02</v>
      </c>
      <c r="DW147" s="340" t="s">
        <v>347</v>
      </c>
      <c r="DX147" s="1671"/>
      <c r="EB147" s="618"/>
      <c r="EC147" s="618"/>
      <c r="ED147" s="618"/>
      <c r="EE147" s="618"/>
      <c r="EF147" s="618"/>
      <c r="EG147" s="618"/>
      <c r="EH147" s="618"/>
      <c r="EI147" s="618"/>
      <c r="EJ147" s="618"/>
      <c r="EK147" s="618"/>
      <c r="EL147" s="618"/>
      <c r="EM147" s="618"/>
    </row>
    <row r="148" spans="1:143" ht="14.65" customHeight="1">
      <c r="A148" s="339">
        <v>34711</v>
      </c>
      <c r="B148" s="338" t="s">
        <v>322</v>
      </c>
      <c r="E148" s="858"/>
      <c r="F148" s="338">
        <v>27.02</v>
      </c>
      <c r="G148" s="338" t="s">
        <v>302</v>
      </c>
      <c r="L148" s="2481">
        <v>713.54</v>
      </c>
      <c r="M148" s="340" t="s">
        <v>288</v>
      </c>
      <c r="N148" s="1390"/>
      <c r="O148" s="2479"/>
      <c r="P148" s="2282"/>
      <c r="R148" s="341" t="str">
        <f t="array" ref="R148">IFERROR(IF($R$11="Metro",INDEX($F$13:$F$829,SMALL(IF((County=$G$13:$G$829),MATCH(ROW($G$13:$G$829),ROW($G$13:$G$829)),""),ROWS($A$13:A148))),INDEX($I$13:$I$44,SMALL(IF((County=$J$13:$J$44),MATCH(ROW($J$13:$J$44),ROW($J$13:$J$44)),""),ROWS($A$13:A148)))),"")</f>
        <v/>
      </c>
      <c r="T148" s="341" t="str">
        <f t="array" ref="T148">IFERROR(IF($T$11="Yes",INDEX($L$13:$L$2813,SMALL(IF((County=$M$13:$M$2813),MATCH(ROW($M$13:$M$2813),ROW($M$13:$M$2813)),""),ROWS($A$13:A148))),""),"")</f>
        <v/>
      </c>
      <c r="V148" s="2283" t="str">
        <f t="array" ref="V148">IFERROR(IF($T$11="Yes",INDEX($O$14:$O$2811,SMALL(IF((County=$P$14:$P$2811),MATCH(ROW($P$14:$P$2811),ROW($P$14:$P$2811)),""),ROWS($A$13:A148))),""),"")</f>
        <v/>
      </c>
      <c r="X148" s="339">
        <v>33130</v>
      </c>
      <c r="Y148" s="338" t="s">
        <v>2579</v>
      </c>
      <c r="AA148" s="338">
        <v>15</v>
      </c>
      <c r="AB148" s="338" t="s">
        <v>304</v>
      </c>
      <c r="AG148" s="2297">
        <v>8.07</v>
      </c>
      <c r="AH148" s="2297" t="s">
        <v>329</v>
      </c>
      <c r="AI148" s="1390"/>
      <c r="AJ148" s="2282"/>
      <c r="AK148" s="2282"/>
      <c r="AL148" s="1037"/>
      <c r="AM148" s="339">
        <v>34219</v>
      </c>
      <c r="AN148" s="338" t="s">
        <v>328</v>
      </c>
      <c r="AQ148" s="858"/>
      <c r="AR148" s="338">
        <v>118</v>
      </c>
      <c r="AS148" s="338" t="s">
        <v>302</v>
      </c>
      <c r="AX148" s="340">
        <v>713.49</v>
      </c>
      <c r="AY148" s="340" t="s">
        <v>288</v>
      </c>
      <c r="BA148" s="341" t="str">
        <f t="array" ref="BA148">IFERROR(IF($BA$11="Metro",INDEX($AR$13:$AR$814,SMALL(IF((County=$AS$13:$AS$814),MATCH(ROW($AS$13:$AS$814),ROW($AS$13:$AS$814)),""),ROWS($A$13:$A148))),INDEX($AU$13:$AU$48,SMALL(IF((County=$AV$13:$AV$48),MATCH(ROW($AV$13:$AV$48),ROW($AV$13:$AV$48)),""),ROWS($A$13:$A148)))),"")</f>
        <v/>
      </c>
      <c r="BC148" s="341" t="str">
        <f t="array" ref="BC148">IFERROR(IF($BC$11="Yes",INDEX($AX$13:$AX$2950,SMALL(IF((County=$AY$13:$AY$2950),MATCH(ROW($AY$13:$AY$2950),ROW($AY$13:$AY$2950)),""),ROWS($A$13:$A148))),""),"")</f>
        <v/>
      </c>
      <c r="BE148" s="339">
        <v>33176</v>
      </c>
      <c r="BF148" s="338" t="s">
        <v>331</v>
      </c>
      <c r="BH148" s="338">
        <v>11</v>
      </c>
      <c r="BI148" s="338" t="s">
        <v>285</v>
      </c>
      <c r="BN148" s="340">
        <v>7.03</v>
      </c>
      <c r="BO148" s="340" t="s">
        <v>340</v>
      </c>
      <c r="BP148" s="1385"/>
      <c r="BQ148" s="1583">
        <v>33909</v>
      </c>
      <c r="BR148" s="236" t="s">
        <v>323</v>
      </c>
      <c r="BU148" s="858"/>
      <c r="BV148" s="338">
        <v>621.13</v>
      </c>
      <c r="BW148" s="338" t="s">
        <v>288</v>
      </c>
      <c r="BY148" s="236">
        <v>9725</v>
      </c>
      <c r="BZ148" s="236" t="s">
        <v>333</v>
      </c>
      <c r="CB148" s="340">
        <v>713.37</v>
      </c>
      <c r="CC148" s="340" t="s">
        <v>288</v>
      </c>
      <c r="CE148" s="341" t="str">
        <f t="array" ref="CE148">IFERROR(IF($CE$11="Metro",INDEX($BV$13:$BV$4972,SMALL(IF((County=$BW$13:$BW$4972),MATCH(ROW($BW$13:$BW$4972),ROW($BW$13:$BW$4972)),""),ROWS($A$13:$A148))),INDEX($BY$13:$BY$212,SMALL(IF((County=$BZ$13:$BZ$212),MATCH(ROW($BZ$13:$BZ$212),ROW($BZ$13:$BZ$212)),""),ROWS($A$13:$A148)))),"")</f>
        <v/>
      </c>
      <c r="CG148" s="341" t="str">
        <f t="array" ref="CG148">IFERROR(IF($CG$11="Yes",INDEX($CB$13:$CB$2950,SMALL(IF((County=$CC$13:$CC$2950),MATCH(ROW($CC$13:$CC$2950),ROW($CC$13:$CC$2950)),""),ROWS($A$13:$A148))),""),"")</f>
        <v/>
      </c>
      <c r="CI148" s="1387">
        <v>33158</v>
      </c>
      <c r="CJ148" s="338" t="s">
        <v>331</v>
      </c>
      <c r="CL148" s="236">
        <v>3.12</v>
      </c>
      <c r="CM148" s="236" t="s">
        <v>331</v>
      </c>
      <c r="CO148" s="236">
        <v>9701.0400000000009</v>
      </c>
      <c r="CP148" s="236" t="s">
        <v>358</v>
      </c>
      <c r="CR148" s="340">
        <v>7.01</v>
      </c>
      <c r="CS148" s="340" t="s">
        <v>330</v>
      </c>
      <c r="CT148" s="1384"/>
      <c r="CU148" s="341">
        <v>33976</v>
      </c>
      <c r="CV148" s="338" t="s">
        <v>323</v>
      </c>
      <c r="CZ148" s="1795">
        <v>104.04</v>
      </c>
      <c r="DA148" s="338" t="s">
        <v>2580</v>
      </c>
      <c r="DF148" s="340">
        <v>713.5</v>
      </c>
      <c r="DG148" s="340" t="s">
        <v>288</v>
      </c>
      <c r="DI148" s="341" t="str">
        <f t="array" ref="DI148">IFERROR(IF($DI$11="Metro",INDEX($CZ$13:$CZ$929,SMALL(IF((County=$DA$13:$DA$929),MATCH(ROW($DA$13:$DA$929),ROW($DA$13:$DA$929)),""),ROWS($A$13:$A148))),INDEX($DC$13:$DC$212,SMALL(IF((County=$DD$13:$DD$212),MATCH(ROW($DD$13:$DD$212),ROW($DD$13:$DD$212)),""),ROWS($A$13:$A148)))),"")</f>
        <v/>
      </c>
      <c r="DK148" s="341" t="str">
        <f t="array" ref="DK148">IFERROR(IF($DK$11="Yes",INDEX($DF$13:$DF$2838,SMALL(IF((County=$DG$13:$DG$2838),MATCH(ROW($DG$13:$DG$2838),ROW($DG$13:$DG$2838)),""),ROWS($A$13:$A148))),""),"")</f>
        <v/>
      </c>
      <c r="DM148" s="1387">
        <v>33158</v>
      </c>
      <c r="DN148" s="338" t="s">
        <v>2579</v>
      </c>
      <c r="DP148" s="236">
        <v>14</v>
      </c>
      <c r="DQ148" s="236" t="s">
        <v>316</v>
      </c>
      <c r="DV148" s="340">
        <v>8.0299999999999994</v>
      </c>
      <c r="DW148" s="340" t="s">
        <v>340</v>
      </c>
      <c r="DX148" s="1671"/>
      <c r="EB148" s="618"/>
      <c r="EC148" s="618"/>
      <c r="ED148" s="618"/>
      <c r="EE148" s="618"/>
      <c r="EF148" s="618"/>
      <c r="EG148" s="618"/>
      <c r="EH148" s="618"/>
      <c r="EI148" s="618"/>
      <c r="EJ148" s="618"/>
      <c r="EK148" s="618"/>
      <c r="EL148" s="618"/>
      <c r="EM148" s="618"/>
    </row>
    <row r="149" spans="1:143" ht="14.65" customHeight="1">
      <c r="A149" s="339">
        <v>34714</v>
      </c>
      <c r="B149" s="338" t="s">
        <v>322</v>
      </c>
      <c r="E149" s="858"/>
      <c r="F149" s="338">
        <v>28.01</v>
      </c>
      <c r="G149" s="338" t="s">
        <v>302</v>
      </c>
      <c r="L149" s="2481">
        <v>714.01</v>
      </c>
      <c r="M149" s="340" t="s">
        <v>288</v>
      </c>
      <c r="N149" s="1390"/>
      <c r="O149" s="2479"/>
      <c r="P149" s="2282"/>
      <c r="R149" s="341" t="str">
        <f t="array" ref="R149">IFERROR(IF($R$11="Metro",INDEX($F$13:$F$829,SMALL(IF((County=$G$13:$G$829),MATCH(ROW($G$13:$G$829),ROW($G$13:$G$829)),""),ROWS($A$13:A149))),INDEX($I$13:$I$44,SMALL(IF((County=$J$13:$J$44),MATCH(ROW($J$13:$J$44),ROW($J$13:$J$44)),""),ROWS($A$13:A149)))),"")</f>
        <v/>
      </c>
      <c r="T149" s="341" t="str">
        <f t="array" ref="T149">IFERROR(IF($T$11="Yes",INDEX($L$13:$L$2813,SMALL(IF((County=$M$13:$M$2813),MATCH(ROW($M$13:$M$2813),ROW($M$13:$M$2813)),""),ROWS($A$13:A149))),""),"")</f>
        <v/>
      </c>
      <c r="V149" s="2283" t="str">
        <f t="array" ref="V149">IFERROR(IF($T$11="Yes",INDEX($O$14:$O$2811,SMALL(IF((County=$P$14:$P$2811),MATCH(ROW($P$14:$P$2811),ROW($P$14:$P$2811)),""),ROWS($A$13:A149))),""),"")</f>
        <v/>
      </c>
      <c r="X149" s="339">
        <v>33131</v>
      </c>
      <c r="Y149" s="338" t="s">
        <v>2579</v>
      </c>
      <c r="AA149" s="338">
        <v>15</v>
      </c>
      <c r="AB149" s="338" t="s">
        <v>329</v>
      </c>
      <c r="AG149" s="2297">
        <v>8.08</v>
      </c>
      <c r="AH149" s="2297" t="s">
        <v>276</v>
      </c>
      <c r="AI149" s="1390"/>
      <c r="AJ149" s="2282"/>
      <c r="AK149" s="2282"/>
      <c r="AL149" s="1037"/>
      <c r="AM149" s="339">
        <v>34243</v>
      </c>
      <c r="AN149" s="338" t="s">
        <v>328</v>
      </c>
      <c r="AQ149" s="858"/>
      <c r="AR149" s="338">
        <v>121</v>
      </c>
      <c r="AS149" s="338" t="s">
        <v>302</v>
      </c>
      <c r="AX149" s="340">
        <v>713.5</v>
      </c>
      <c r="AY149" s="340" t="s">
        <v>288</v>
      </c>
      <c r="BA149" s="341" t="str">
        <f t="array" ref="BA149">IFERROR(IF($BA$11="Metro",INDEX($AR$13:$AR$814,SMALL(IF((County=$AS$13:$AS$814),MATCH(ROW($AS$13:$AS$814),ROW($AS$13:$AS$814)),""),ROWS($A$13:$A149))),INDEX($AU$13:$AU$48,SMALL(IF((County=$AV$13:$AV$48),MATCH(ROW($AV$13:$AV$48),ROW($AV$13:$AV$48)),""),ROWS($A$13:$A149)))),"")</f>
        <v/>
      </c>
      <c r="BC149" s="341" t="str">
        <f t="array" ref="BC149">IFERROR(IF($BC$11="Yes",INDEX($AX$13:$AX$2950,SMALL(IF((County=$AY$13:$AY$2950),MATCH(ROW($AY$13:$AY$2950),ROW($AY$13:$AY$2950)),""),ROWS($A$13:$A149))),""),"")</f>
        <v/>
      </c>
      <c r="BE149" s="339">
        <v>33178</v>
      </c>
      <c r="BF149" s="338" t="s">
        <v>331</v>
      </c>
      <c r="BH149" s="338">
        <v>11.01</v>
      </c>
      <c r="BI149" s="338" t="s">
        <v>323</v>
      </c>
      <c r="BN149" s="340">
        <v>7.04</v>
      </c>
      <c r="BO149" s="340" t="s">
        <v>329</v>
      </c>
      <c r="BP149" s="1385"/>
      <c r="BQ149" s="1583">
        <v>33912</v>
      </c>
      <c r="BR149" s="236" t="s">
        <v>323</v>
      </c>
      <c r="BU149" s="858"/>
      <c r="BV149" s="338">
        <v>621.14</v>
      </c>
      <c r="BW149" s="338" t="s">
        <v>288</v>
      </c>
      <c r="BY149" s="236">
        <v>9727</v>
      </c>
      <c r="BZ149" s="236" t="s">
        <v>333</v>
      </c>
      <c r="CB149" s="340">
        <v>713.43</v>
      </c>
      <c r="CC149" s="340" t="s">
        <v>288</v>
      </c>
      <c r="CE149" s="341" t="str">
        <f t="array" ref="CE149">IFERROR(IF($CE$11="Metro",INDEX($BV$13:$BV$4972,SMALL(IF((County=$BW$13:$BW$4972),MATCH(ROW($BW$13:$BW$4972),ROW($BW$13:$BW$4972)),""),ROWS($A$13:$A149))),INDEX($BY$13:$BY$212,SMALL(IF((County=$BZ$13:$BZ$212),MATCH(ROW($BZ$13:$BZ$212),ROW($BZ$13:$BZ$212)),""),ROWS($A$13:$A149)))),"")</f>
        <v/>
      </c>
      <c r="CG149" s="341" t="str">
        <f t="array" ref="CG149">IFERROR(IF($CG$11="Yes",INDEX($CB$13:$CB$2950,SMALL(IF((County=$CC$13:$CC$2950),MATCH(ROW($CC$13:$CC$2950),ROW($CC$13:$CC$2950)),""),ROWS($A$13:$A149))),""),"")</f>
        <v/>
      </c>
      <c r="CI149" s="1387">
        <v>33160</v>
      </c>
      <c r="CJ149" s="338" t="s">
        <v>331</v>
      </c>
      <c r="CL149" s="236">
        <v>3.13</v>
      </c>
      <c r="CM149" s="236" t="s">
        <v>328</v>
      </c>
      <c r="CO149" s="236">
        <v>9702</v>
      </c>
      <c r="CP149" s="236" t="s">
        <v>306</v>
      </c>
      <c r="CR149" s="340">
        <v>7.02</v>
      </c>
      <c r="CS149" s="340" t="s">
        <v>340</v>
      </c>
      <c r="CT149" s="1384"/>
      <c r="CU149" s="341">
        <v>33991</v>
      </c>
      <c r="CV149" s="338" t="s">
        <v>323</v>
      </c>
      <c r="CZ149" s="1795">
        <v>9702.01</v>
      </c>
      <c r="DA149" s="338" t="s">
        <v>301</v>
      </c>
      <c r="DF149" s="340">
        <v>713.52</v>
      </c>
      <c r="DG149" s="340" t="s">
        <v>288</v>
      </c>
      <c r="DI149" s="341" t="str">
        <f t="array" ref="DI149">IFERROR(IF($DI$11="Metro",INDEX($CZ$13:$CZ$929,SMALL(IF((County=$DA$13:$DA$929),MATCH(ROW($DA$13:$DA$929),ROW($DA$13:$DA$929)),""),ROWS($A$13:$A149))),INDEX($DC$13:$DC$212,SMALL(IF((County=$DD$13:$DD$212),MATCH(ROW($DD$13:$DD$212),ROW($DD$13:$DD$212)),""),ROWS($A$13:$A149)))),"")</f>
        <v/>
      </c>
      <c r="DK149" s="341" t="str">
        <f t="array" ref="DK149">IFERROR(IF($DK$11="Yes",INDEX($DF$13:$DF$2838,SMALL(IF((County=$DG$13:$DG$2838),MATCH(ROW($DG$13:$DG$2838),ROW($DG$13:$DG$2838)),""),ROWS($A$13:$A149))),""),"")</f>
        <v/>
      </c>
      <c r="DM149" s="1387">
        <v>33160</v>
      </c>
      <c r="DN149" s="338" t="s">
        <v>2579</v>
      </c>
      <c r="DP149" s="236">
        <v>14.01</v>
      </c>
      <c r="DQ149" s="236" t="s">
        <v>302</v>
      </c>
      <c r="DV149" s="340">
        <v>8.0399999999999991</v>
      </c>
      <c r="DW149" s="340" t="s">
        <v>285</v>
      </c>
      <c r="DX149" s="1671"/>
      <c r="EB149" s="618"/>
      <c r="EC149" s="618"/>
      <c r="ED149" s="618"/>
      <c r="EE149" s="618"/>
      <c r="EF149" s="618"/>
      <c r="EG149" s="618"/>
      <c r="EH149" s="618"/>
      <c r="EI149" s="618"/>
      <c r="EJ149" s="618"/>
      <c r="EK149" s="618"/>
      <c r="EL149" s="618"/>
      <c r="EM149" s="618"/>
    </row>
    <row r="150" spans="1:143" ht="14.65" customHeight="1">
      <c r="A150" s="339">
        <v>34715</v>
      </c>
      <c r="B150" s="338" t="s">
        <v>322</v>
      </c>
      <c r="E150" s="858"/>
      <c r="F150" s="338">
        <v>28.02</v>
      </c>
      <c r="G150" s="338" t="s">
        <v>302</v>
      </c>
      <c r="L150" s="2481">
        <v>715</v>
      </c>
      <c r="M150" s="340" t="s">
        <v>288</v>
      </c>
      <c r="N150" s="1390"/>
      <c r="O150" s="2479"/>
      <c r="P150" s="2282"/>
      <c r="R150" s="341" t="str">
        <f t="array" ref="R150">IFERROR(IF($R$11="Metro",INDEX($F$13:$F$829,SMALL(IF((County=$G$13:$G$829),MATCH(ROW($G$13:$G$829),ROW($G$13:$G$829)),""),ROWS($A$13:A150))),INDEX($I$13:$I$44,SMALL(IF((County=$J$13:$J$44),MATCH(ROW($J$13:$J$44),ROW($J$13:$J$44)),""),ROWS($A$13:A150)))),"")</f>
        <v/>
      </c>
      <c r="T150" s="341" t="str">
        <f t="array" ref="T150">IFERROR(IF($T$11="Yes",INDEX($L$13:$L$2813,SMALL(IF((County=$M$13:$M$2813),MATCH(ROW($M$13:$M$2813),ROW($M$13:$M$2813)),""),ROWS($A$13:A150))),""),"")</f>
        <v/>
      </c>
      <c r="V150" s="2283" t="str">
        <f t="array" ref="V150">IFERROR(IF($T$11="Yes",INDEX($O$14:$O$2811,SMALL(IF((County=$P$14:$P$2811),MATCH(ROW($P$14:$P$2811),ROW($P$14:$P$2811)),""),ROWS($A$13:A150))),""),"")</f>
        <v/>
      </c>
      <c r="X150" s="339">
        <v>33132</v>
      </c>
      <c r="Y150" s="338" t="s">
        <v>2579</v>
      </c>
      <c r="AA150" s="338">
        <v>15.01</v>
      </c>
      <c r="AB150" s="338" t="s">
        <v>331</v>
      </c>
      <c r="AG150" s="2297">
        <v>8.08</v>
      </c>
      <c r="AH150" s="2297" t="s">
        <v>328</v>
      </c>
      <c r="AI150" s="1390"/>
      <c r="AJ150" s="2282"/>
      <c r="AK150" s="2282"/>
      <c r="AL150" s="1037"/>
      <c r="AM150" s="339">
        <v>34251</v>
      </c>
      <c r="AN150" s="338" t="s">
        <v>328</v>
      </c>
      <c r="AQ150" s="858"/>
      <c r="AR150" s="338">
        <v>122.01</v>
      </c>
      <c r="AS150" s="338" t="s">
        <v>302</v>
      </c>
      <c r="AX150" s="340">
        <v>713.53</v>
      </c>
      <c r="AY150" s="340" t="s">
        <v>288</v>
      </c>
      <c r="BA150" s="341" t="str">
        <f t="array" ref="BA150">IFERROR(IF($BA$11="Metro",INDEX($AR$13:$AR$814,SMALL(IF((County=$AS$13:$AS$814),MATCH(ROW($AS$13:$AS$814),ROW($AS$13:$AS$814)),""),ROWS($A$13:$A150))),INDEX($AU$13:$AU$48,SMALL(IF((County=$AV$13:$AV$48),MATCH(ROW($AV$13:$AV$48),ROW($AV$13:$AV$48)),""),ROWS($A$13:$A150)))),"")</f>
        <v/>
      </c>
      <c r="BC150" s="341" t="str">
        <f t="array" ref="BC150">IFERROR(IF($BC$11="Yes",INDEX($AX$13:$AX$2950,SMALL(IF((County=$AY$13:$AY$2950),MATCH(ROW($AY$13:$AY$2950),ROW($AY$13:$AY$2950)),""),ROWS($A$13:$A150))),""),"")</f>
        <v/>
      </c>
      <c r="BE150" s="339">
        <v>33179</v>
      </c>
      <c r="BF150" s="338" t="s">
        <v>331</v>
      </c>
      <c r="BH150" s="338">
        <v>11.01</v>
      </c>
      <c r="BI150" s="338" t="s">
        <v>324</v>
      </c>
      <c r="BN150" s="340">
        <v>7.05</v>
      </c>
      <c r="BO150" s="340" t="s">
        <v>329</v>
      </c>
      <c r="BP150" s="1385"/>
      <c r="BQ150" s="1583">
        <v>33913</v>
      </c>
      <c r="BR150" s="236" t="s">
        <v>323</v>
      </c>
      <c r="BU150" s="858"/>
      <c r="BV150" s="338">
        <v>621.15</v>
      </c>
      <c r="BW150" s="338" t="s">
        <v>288</v>
      </c>
      <c r="BY150" s="236">
        <v>9728</v>
      </c>
      <c r="BZ150" s="236" t="s">
        <v>333</v>
      </c>
      <c r="CB150" s="340">
        <v>713.46</v>
      </c>
      <c r="CC150" s="340" t="s">
        <v>288</v>
      </c>
      <c r="CE150" s="341" t="str">
        <f t="array" ref="CE150">IFERROR(IF($CE$11="Metro",INDEX($BV$13:$BV$4972,SMALL(IF((County=$BW$13:$BW$4972),MATCH(ROW($BW$13:$BW$4972),ROW($BW$13:$BW$4972)),""),ROWS($A$13:$A150))),INDEX($BY$13:$BY$212,SMALL(IF((County=$BZ$13:$BZ$212),MATCH(ROW($BZ$13:$BZ$212),ROW($BZ$13:$BZ$212)),""),ROWS($A$13:$A150)))),"")</f>
        <v/>
      </c>
      <c r="CG150" s="341" t="str">
        <f t="array" ref="CG150">IFERROR(IF($CG$11="Yes",INDEX($CB$13:$CB$2950,SMALL(IF((County=$CC$13:$CC$2950),MATCH(ROW($CC$13:$CC$2950),ROW($CC$13:$CC$2950)),""),ROWS($A$13:$A150))),""),"")</f>
        <v/>
      </c>
      <c r="CI150" s="1387">
        <v>33165</v>
      </c>
      <c r="CJ150" s="338" t="s">
        <v>331</v>
      </c>
      <c r="CL150" s="236">
        <v>3.14</v>
      </c>
      <c r="CM150" s="236" t="s">
        <v>328</v>
      </c>
      <c r="CO150" s="236">
        <v>9702</v>
      </c>
      <c r="CP150" s="236" t="s">
        <v>352</v>
      </c>
      <c r="CR150" s="340">
        <v>7.03</v>
      </c>
      <c r="CS150" s="340" t="s">
        <v>340</v>
      </c>
      <c r="CT150" s="1384"/>
      <c r="CU150" s="341">
        <v>33993</v>
      </c>
      <c r="CV150" s="338" t="s">
        <v>323</v>
      </c>
      <c r="CZ150" s="1795">
        <v>1.01</v>
      </c>
      <c r="DA150" s="338" t="s">
        <v>302</v>
      </c>
      <c r="DF150" s="340">
        <v>713.53</v>
      </c>
      <c r="DG150" s="340" t="s">
        <v>288</v>
      </c>
      <c r="DI150" s="341" t="str">
        <f t="array" ref="DI150">IFERROR(IF($DI$11="Metro",INDEX($CZ$13:$CZ$929,SMALL(IF((County=$DA$13:$DA$929),MATCH(ROW($DA$13:$DA$929),ROW($DA$13:$DA$929)),""),ROWS($A$13:$A150))),INDEX($DC$13:$DC$212,SMALL(IF((County=$DD$13:$DD$212),MATCH(ROW($DD$13:$DD$212),ROW($DD$13:$DD$212)),""),ROWS($A$13:$A150)))),"")</f>
        <v/>
      </c>
      <c r="DK150" s="341" t="str">
        <f t="array" ref="DK150">IFERROR(IF($DK$11="Yes",INDEX($DF$13:$DF$2838,SMALL(IF((County=$DG$13:$DG$2838),MATCH(ROW($DG$13:$DG$2838),ROW($DG$13:$DG$2838)),""),ROWS($A$13:$A150))),""),"")</f>
        <v/>
      </c>
      <c r="DM150" s="1387">
        <v>33165</v>
      </c>
      <c r="DN150" s="338" t="s">
        <v>2579</v>
      </c>
      <c r="DP150" s="236">
        <v>14.01</v>
      </c>
      <c r="DQ150" s="236" t="s">
        <v>323</v>
      </c>
      <c r="DV150" s="340">
        <v>8.0399999999999991</v>
      </c>
      <c r="DW150" s="340" t="s">
        <v>328</v>
      </c>
      <c r="DX150" s="1671"/>
      <c r="EB150" s="618"/>
      <c r="EC150" s="618"/>
      <c r="ED150" s="618"/>
      <c r="EE150" s="618"/>
      <c r="EF150" s="618"/>
      <c r="EG150" s="618"/>
      <c r="EH150" s="618"/>
      <c r="EI150" s="618"/>
      <c r="EJ150" s="618"/>
      <c r="EK150" s="618"/>
      <c r="EL150" s="618"/>
      <c r="EM150" s="618"/>
    </row>
    <row r="151" spans="1:143" ht="14.65" customHeight="1">
      <c r="A151" s="339">
        <v>34729</v>
      </c>
      <c r="B151" s="338" t="s">
        <v>322</v>
      </c>
      <c r="E151" s="858"/>
      <c r="F151" s="338">
        <v>29.01</v>
      </c>
      <c r="G151" s="338" t="s">
        <v>302</v>
      </c>
      <c r="L151" s="2481">
        <v>716.01</v>
      </c>
      <c r="M151" s="340" t="s">
        <v>288</v>
      </c>
      <c r="N151" s="1390"/>
      <c r="O151" s="2479"/>
      <c r="P151" s="2282"/>
      <c r="R151" s="341" t="str">
        <f t="array" ref="R151">IFERROR(IF($R$11="Metro",INDEX($F$13:$F$829,SMALL(IF((County=$G$13:$G$829),MATCH(ROW($G$13:$G$829),ROW($G$13:$G$829)),""),ROWS($A$13:A151))),INDEX($I$13:$I$44,SMALL(IF((County=$J$13:$J$44),MATCH(ROW($J$13:$J$44),ROW($J$13:$J$44)),""),ROWS($A$13:A151)))),"")</f>
        <v/>
      </c>
      <c r="T151" s="341" t="str">
        <f t="array" ref="T151">IFERROR(IF($T$11="Yes",INDEX($L$13:$L$2813,SMALL(IF((County=$M$13:$M$2813),MATCH(ROW($M$13:$M$2813),ROW($M$13:$M$2813)),""),ROWS($A$13:A151))),""),"")</f>
        <v/>
      </c>
      <c r="V151" s="2283" t="str">
        <f t="array" ref="V151">IFERROR(IF($T$11="Yes",INDEX($O$14:$O$2811,SMALL(IF((County=$P$14:$P$2811),MATCH(ROW($P$14:$P$2811),ROW($P$14:$P$2811)),""),ROWS($A$13:A151))),""),"")</f>
        <v/>
      </c>
      <c r="X151" s="339">
        <v>33133</v>
      </c>
      <c r="Y151" s="338" t="s">
        <v>2579</v>
      </c>
      <c r="AA151" s="338">
        <v>15.02</v>
      </c>
      <c r="AB151" s="338" t="s">
        <v>323</v>
      </c>
      <c r="AG151" s="2297">
        <v>8.09</v>
      </c>
      <c r="AH151" s="2297" t="s">
        <v>328</v>
      </c>
      <c r="AI151" s="1390"/>
      <c r="AJ151" s="2282"/>
      <c r="AK151" s="2282"/>
      <c r="AL151" s="1037"/>
      <c r="AM151" s="339">
        <v>32133</v>
      </c>
      <c r="AN151" s="338" t="s">
        <v>329</v>
      </c>
      <c r="AQ151" s="858"/>
      <c r="AR151" s="338">
        <v>122.02</v>
      </c>
      <c r="AS151" s="338" t="s">
        <v>302</v>
      </c>
      <c r="AX151" s="340">
        <v>713.54</v>
      </c>
      <c r="AY151" s="340" t="s">
        <v>288</v>
      </c>
      <c r="BA151" s="341" t="str">
        <f t="array" ref="BA151">IFERROR(IF($BA$11="Metro",INDEX($AR$13:$AR$814,SMALL(IF((County=$AS$13:$AS$814),MATCH(ROW($AS$13:$AS$814),ROW($AS$13:$AS$814)),""),ROWS($A$13:$A151))),INDEX($AU$13:$AU$48,SMALL(IF((County=$AV$13:$AV$48),MATCH(ROW($AV$13:$AV$48),ROW($AV$13:$AV$48)),""),ROWS($A$13:$A151)))),"")</f>
        <v/>
      </c>
      <c r="BC151" s="341" t="str">
        <f t="array" ref="BC151">IFERROR(IF($BC$11="Yes",INDEX($AX$13:$AX$2950,SMALL(IF((County=$AY$13:$AY$2950),MATCH(ROW($AY$13:$AY$2950),ROW($AY$13:$AY$2950)),""),ROWS($A$13:$A151))),""),"")</f>
        <v/>
      </c>
      <c r="BE151" s="339">
        <v>33180</v>
      </c>
      <c r="BF151" s="338" t="s">
        <v>331</v>
      </c>
      <c r="BH151" s="338">
        <v>11.02</v>
      </c>
      <c r="BI151" s="338" t="s">
        <v>347</v>
      </c>
      <c r="BN151" s="340">
        <v>7.06</v>
      </c>
      <c r="BO151" s="340" t="s">
        <v>329</v>
      </c>
      <c r="BP151" s="1385"/>
      <c r="BQ151" s="1583">
        <v>33921</v>
      </c>
      <c r="BR151" s="236" t="s">
        <v>323</v>
      </c>
      <c r="BU151" s="858"/>
      <c r="BV151" s="338">
        <v>623.01</v>
      </c>
      <c r="BW151" s="338" t="s">
        <v>288</v>
      </c>
      <c r="BY151" s="236">
        <v>9800</v>
      </c>
      <c r="BZ151" s="236" t="s">
        <v>333</v>
      </c>
      <c r="CB151" s="340">
        <v>713.5</v>
      </c>
      <c r="CC151" s="340" t="s">
        <v>288</v>
      </c>
      <c r="CE151" s="341" t="str">
        <f t="array" ref="CE151">IFERROR(IF($CE$11="Metro",INDEX($BV$13:$BV$4972,SMALL(IF((County=$BW$13:$BW$4972),MATCH(ROW($BW$13:$BW$4972),ROW($BW$13:$BW$4972)),""),ROWS($A$13:$A151))),INDEX($BY$13:$BY$212,SMALL(IF((County=$BZ$13:$BZ$212),MATCH(ROW($BZ$13:$BZ$212),ROW($BZ$13:$BZ$212)),""),ROWS($A$13:$A151)))),"")</f>
        <v/>
      </c>
      <c r="CG151" s="341" t="str">
        <f t="array" ref="CG151">IFERROR(IF($CG$11="Yes",INDEX($CB$13:$CB$2950,SMALL(IF((County=$CC$13:$CC$2950),MATCH(ROW($CC$13:$CC$2950),ROW($CC$13:$CC$2950)),""),ROWS($A$13:$A151))),""),"")</f>
        <v/>
      </c>
      <c r="CI151" s="1387">
        <v>33166</v>
      </c>
      <c r="CJ151" s="338" t="s">
        <v>331</v>
      </c>
      <c r="CL151" s="338">
        <v>4</v>
      </c>
      <c r="CM151" s="338" t="s">
        <v>276</v>
      </c>
      <c r="CO151" s="236">
        <v>9702</v>
      </c>
      <c r="CP151" s="236" t="s">
        <v>358</v>
      </c>
      <c r="CR151" s="340">
        <v>7.04</v>
      </c>
      <c r="CS151" s="340" t="s">
        <v>329</v>
      </c>
      <c r="CT151" s="1384"/>
      <c r="CU151" s="341">
        <v>34110</v>
      </c>
      <c r="CV151" s="338" t="s">
        <v>323</v>
      </c>
      <c r="CZ151" s="1795">
        <v>1.02</v>
      </c>
      <c r="DA151" s="338" t="s">
        <v>302</v>
      </c>
      <c r="DF151" s="340">
        <v>713.54</v>
      </c>
      <c r="DG151" s="340" t="s">
        <v>288</v>
      </c>
      <c r="DI151" s="341" t="str">
        <f t="array" ref="DI151">IFERROR(IF($DI$11="Metro",INDEX($CZ$13:$CZ$929,SMALL(IF((County=$DA$13:$DA$929),MATCH(ROW($DA$13:$DA$929),ROW($DA$13:$DA$929)),""),ROWS($A$13:$A151))),INDEX($DC$13:$DC$212,SMALL(IF((County=$DD$13:$DD$212),MATCH(ROW($DD$13:$DD$212),ROW($DD$13:$DD$212)),""),ROWS($A$13:$A151)))),"")</f>
        <v/>
      </c>
      <c r="DK151" s="341" t="str">
        <f t="array" ref="DK151">IFERROR(IF($DK$11="Yes",INDEX($DF$13:$DF$2838,SMALL(IF((County=$DG$13:$DG$2838),MATCH(ROW($DG$13:$DG$2838),ROW($DG$13:$DG$2838)),""),ROWS($A$13:$A151))),""),"")</f>
        <v/>
      </c>
      <c r="DM151" s="1387">
        <v>33166</v>
      </c>
      <c r="DN151" s="338" t="s">
        <v>2579</v>
      </c>
      <c r="DP151" s="236">
        <v>14.01</v>
      </c>
      <c r="DQ151" s="236" t="s">
        <v>324</v>
      </c>
      <c r="DV151" s="340">
        <v>8.06</v>
      </c>
      <c r="DW151" s="340" t="s">
        <v>285</v>
      </c>
      <c r="DX151" s="1671"/>
      <c r="EB151" s="618"/>
      <c r="EC151" s="618"/>
      <c r="ED151" s="618"/>
      <c r="EE151" s="618"/>
      <c r="EF151" s="618"/>
      <c r="EG151" s="618"/>
      <c r="EH151" s="618"/>
      <c r="EI151" s="618"/>
      <c r="EJ151" s="618"/>
      <c r="EK151" s="618"/>
      <c r="EL151" s="618"/>
      <c r="EM151" s="618"/>
    </row>
    <row r="152" spans="1:143" ht="14.65" customHeight="1">
      <c r="A152" s="339">
        <v>34736</v>
      </c>
      <c r="B152" s="338" t="s">
        <v>322</v>
      </c>
      <c r="E152" s="858"/>
      <c r="F152" s="338">
        <v>29.02</v>
      </c>
      <c r="G152" s="338" t="s">
        <v>302</v>
      </c>
      <c r="L152" s="2481">
        <v>717</v>
      </c>
      <c r="M152" s="340" t="s">
        <v>288</v>
      </c>
      <c r="N152" s="1390"/>
      <c r="O152" s="2479"/>
      <c r="P152" s="2282"/>
      <c r="R152" s="341" t="str">
        <f t="array" ref="R152">IFERROR(IF($R$11="Metro",INDEX($F$13:$F$829,SMALL(IF((County=$G$13:$G$829),MATCH(ROW($G$13:$G$829),ROW($G$13:$G$829)),""),ROWS($A$13:A152))),INDEX($I$13:$I$44,SMALL(IF((County=$J$13:$J$44),MATCH(ROW($J$13:$J$44),ROW($J$13:$J$44)),""),ROWS($A$13:A152)))),"")</f>
        <v/>
      </c>
      <c r="T152" s="341" t="str">
        <f t="array" ref="T152">IFERROR(IF($T$11="Yes",INDEX($L$13:$L$2813,SMALL(IF((County=$M$13:$M$2813),MATCH(ROW($M$13:$M$2813),ROW($M$13:$M$2813)),""),ROWS($A$13:A152))),""),"")</f>
        <v/>
      </c>
      <c r="V152" s="2283" t="str">
        <f t="array" ref="V152">IFERROR(IF($T$11="Yes",INDEX($O$14:$O$2811,SMALL(IF((County=$P$14:$P$2811),MATCH(ROW($P$14:$P$2811),ROW($P$14:$P$2811)),""),ROWS($A$13:A152))),""),"")</f>
        <v/>
      </c>
      <c r="X152" s="339">
        <v>33134</v>
      </c>
      <c r="Y152" s="338" t="s">
        <v>2579</v>
      </c>
      <c r="AA152" s="338">
        <v>15.02</v>
      </c>
      <c r="AB152" s="338" t="s">
        <v>328</v>
      </c>
      <c r="AG152" s="2297">
        <v>8.09</v>
      </c>
      <c r="AH152" s="2297" t="s">
        <v>329</v>
      </c>
      <c r="AI152" s="1390"/>
      <c r="AJ152" s="2282"/>
      <c r="AK152" s="2282"/>
      <c r="AL152" s="1037"/>
      <c r="AM152" s="339">
        <v>32195</v>
      </c>
      <c r="AN152" s="338" t="s">
        <v>329</v>
      </c>
      <c r="AQ152" s="858"/>
      <c r="AR152" s="338">
        <v>126.01</v>
      </c>
      <c r="AS152" s="338" t="s">
        <v>302</v>
      </c>
      <c r="AX152" s="340">
        <v>714.01</v>
      </c>
      <c r="AY152" s="340" t="s">
        <v>288</v>
      </c>
      <c r="BA152" s="341" t="str">
        <f t="array" ref="BA152">IFERROR(IF($BA$11="Metro",INDEX($AR$13:$AR$814,SMALL(IF((County=$AS$13:$AS$814),MATCH(ROW($AS$13:$AS$814),ROW($AS$13:$AS$814)),""),ROWS($A$13:$A152))),INDEX($AU$13:$AU$48,SMALL(IF((County=$AV$13:$AV$48),MATCH(ROW($AV$13:$AV$48),ROW($AV$13:$AV$48)),""),ROWS($A$13:$A152)))),"")</f>
        <v/>
      </c>
      <c r="BC152" s="341" t="str">
        <f t="array" ref="BC152">IFERROR(IF($BC$11="Yes",INDEX($AX$13:$AX$2950,SMALL(IF((County=$AY$13:$AY$2950),MATCH(ROW($AY$13:$AY$2950),ROW($AY$13:$AY$2950)),""),ROWS($A$13:$A152))),""),"")</f>
        <v/>
      </c>
      <c r="BE152" s="339">
        <v>33182</v>
      </c>
      <c r="BF152" s="338" t="s">
        <v>331</v>
      </c>
      <c r="BH152" s="338">
        <v>11.03</v>
      </c>
      <c r="BI152" s="338" t="s">
        <v>323</v>
      </c>
      <c r="BN152" s="340">
        <v>7.07</v>
      </c>
      <c r="BO152" s="340" t="s">
        <v>329</v>
      </c>
      <c r="BP152" s="1385"/>
      <c r="BQ152" s="1583">
        <v>33924</v>
      </c>
      <c r="BR152" s="236" t="s">
        <v>323</v>
      </c>
      <c r="BU152" s="858"/>
      <c r="BV152" s="338">
        <v>623.02</v>
      </c>
      <c r="BW152" s="338" t="s">
        <v>288</v>
      </c>
      <c r="BY152" s="236">
        <v>9801</v>
      </c>
      <c r="BZ152" s="236" t="s">
        <v>333</v>
      </c>
      <c r="CB152" s="340">
        <v>713.52</v>
      </c>
      <c r="CC152" s="340" t="s">
        <v>288</v>
      </c>
      <c r="CE152" s="341" t="str">
        <f t="array" ref="CE152">IFERROR(IF($CE$11="Metro",INDEX($BV$13:$BV$4972,SMALL(IF((County=$BW$13:$BW$4972),MATCH(ROW($BW$13:$BW$4972),ROW($BW$13:$BW$4972)),""),ROWS($A$13:$A152))),INDEX($BY$13:$BY$212,SMALL(IF((County=$BZ$13:$BZ$212),MATCH(ROW($BZ$13:$BZ$212),ROW($BZ$13:$BZ$212)),""),ROWS($A$13:$A152)))),"")</f>
        <v/>
      </c>
      <c r="CG152" s="341" t="str">
        <f t="array" ref="CG152">IFERROR(IF($CG$11="Yes",INDEX($CB$13:$CB$2950,SMALL(IF((County=$CC$13:$CC$2950),MATCH(ROW($CC$13:$CC$2950),ROW($CC$13:$CC$2950)),""),ROWS($A$13:$A152))),""),"")</f>
        <v/>
      </c>
      <c r="CI152" s="1387">
        <v>33172</v>
      </c>
      <c r="CJ152" s="338" t="s">
        <v>331</v>
      </c>
      <c r="CL152" s="236">
        <v>4</v>
      </c>
      <c r="CM152" s="236" t="s">
        <v>304</v>
      </c>
      <c r="CO152" s="338">
        <v>9702.01</v>
      </c>
      <c r="CP152" s="338" t="s">
        <v>301</v>
      </c>
      <c r="CR152" s="340">
        <v>7.05</v>
      </c>
      <c r="CS152" s="340" t="s">
        <v>329</v>
      </c>
      <c r="CT152" s="1384"/>
      <c r="CU152" s="341">
        <v>34119</v>
      </c>
      <c r="CV152" s="338" t="s">
        <v>323</v>
      </c>
      <c r="CZ152" s="1795">
        <v>2</v>
      </c>
      <c r="DA152" s="338" t="s">
        <v>302</v>
      </c>
      <c r="DF152" s="340">
        <v>714.01</v>
      </c>
      <c r="DG152" s="340" t="s">
        <v>288</v>
      </c>
      <c r="DI152" s="341" t="str">
        <f t="array" ref="DI152">IFERROR(IF($DI$11="Metro",INDEX($CZ$13:$CZ$929,SMALL(IF((County=$DA$13:$DA$929),MATCH(ROW($DA$13:$DA$929),ROW($DA$13:$DA$929)),""),ROWS($A$13:$A152))),INDEX($DC$13:$DC$212,SMALL(IF((County=$DD$13:$DD$212),MATCH(ROW($DD$13:$DD$212),ROW($DD$13:$DD$212)),""),ROWS($A$13:$A152)))),"")</f>
        <v/>
      </c>
      <c r="DK152" s="341" t="str">
        <f t="array" ref="DK152">IFERROR(IF($DK$11="Yes",INDEX($DF$13:$DF$2838,SMALL(IF((County=$DG$13:$DG$2838),MATCH(ROW($DG$13:$DG$2838),ROW($DG$13:$DG$2838)),""),ROWS($A$13:$A152))),""),"")</f>
        <v/>
      </c>
      <c r="DM152" s="1387">
        <v>33168</v>
      </c>
      <c r="DN152" s="338" t="s">
        <v>2579</v>
      </c>
      <c r="DP152" s="236">
        <v>14.01</v>
      </c>
      <c r="DQ152" s="236" t="s">
        <v>329</v>
      </c>
      <c r="DV152" s="340">
        <v>8.06</v>
      </c>
      <c r="DW152" s="340" t="s">
        <v>329</v>
      </c>
      <c r="DX152" s="1671"/>
      <c r="EB152" s="618"/>
      <c r="EC152" s="618"/>
      <c r="ED152" s="618"/>
      <c r="EE152" s="618"/>
      <c r="EF152" s="618"/>
      <c r="EG152" s="618"/>
      <c r="EH152" s="618"/>
      <c r="EI152" s="618"/>
      <c r="EJ152" s="618"/>
      <c r="EK152" s="618"/>
      <c r="EL152" s="618"/>
      <c r="EM152" s="618"/>
    </row>
    <row r="153" spans="1:143" ht="14.65" customHeight="1">
      <c r="A153" s="339">
        <v>34737</v>
      </c>
      <c r="B153" s="338" t="s">
        <v>322</v>
      </c>
      <c r="E153" s="858"/>
      <c r="F153" s="338">
        <v>104.02</v>
      </c>
      <c r="G153" s="338" t="s">
        <v>302</v>
      </c>
      <c r="L153" s="2481">
        <v>101.02</v>
      </c>
      <c r="M153" s="340" t="s">
        <v>289</v>
      </c>
      <c r="N153" s="1390"/>
      <c r="O153" s="2479"/>
      <c r="P153" s="2282"/>
      <c r="R153" s="341" t="str">
        <f t="array" ref="R153">IFERROR(IF($R$11="Metro",INDEX($F$13:$F$829,SMALL(IF((County=$G$13:$G$829),MATCH(ROW($G$13:$G$829),ROW($G$13:$G$829)),""),ROWS($A$13:A153))),INDEX($I$13:$I$44,SMALL(IF((County=$J$13:$J$44),MATCH(ROW($J$13:$J$44),ROW($J$13:$J$44)),""),ROWS($A$13:A153)))),"")</f>
        <v/>
      </c>
      <c r="T153" s="341" t="str">
        <f t="array" ref="T153">IFERROR(IF($T$11="Yes",INDEX($L$13:$L$2813,SMALL(IF((County=$M$13:$M$2813),MATCH(ROW($M$13:$M$2813),ROW($M$13:$M$2813)),""),ROWS($A$13:A153))),""),"")</f>
        <v/>
      </c>
      <c r="V153" s="2283" t="str">
        <f t="array" ref="V153">IFERROR(IF($T$11="Yes",INDEX($O$14:$O$2811,SMALL(IF((County=$P$14:$P$2811),MATCH(ROW($P$14:$P$2811),ROW($P$14:$P$2811)),""),ROWS($A$13:A153))),""),"")</f>
        <v/>
      </c>
      <c r="X153" s="339">
        <v>33137</v>
      </c>
      <c r="Y153" s="338" t="s">
        <v>2579</v>
      </c>
      <c r="AA153" s="338">
        <v>15.02</v>
      </c>
      <c r="AB153" s="338" t="s">
        <v>331</v>
      </c>
      <c r="AG153" s="2297">
        <v>8.1</v>
      </c>
      <c r="AH153" s="2297" t="s">
        <v>328</v>
      </c>
      <c r="AI153" s="1390"/>
      <c r="AJ153" s="2282"/>
      <c r="AK153" s="2282"/>
      <c r="AL153" s="1037"/>
      <c r="AM153" s="339">
        <v>34472</v>
      </c>
      <c r="AN153" s="338" t="s">
        <v>329</v>
      </c>
      <c r="AQ153" s="858"/>
      <c r="AR153" s="338">
        <v>134.02000000000001</v>
      </c>
      <c r="AS153" s="338" t="s">
        <v>302</v>
      </c>
      <c r="AX153" s="340">
        <v>715</v>
      </c>
      <c r="AY153" s="340" t="s">
        <v>288</v>
      </c>
      <c r="BA153" s="341" t="str">
        <f t="array" ref="BA153">IFERROR(IF($BA$11="Metro",INDEX($AR$13:$AR$814,SMALL(IF((County=$AS$13:$AS$814),MATCH(ROW($AS$13:$AS$814),ROW($AS$13:$AS$814)),""),ROWS($A$13:$A153))),INDEX($AU$13:$AU$48,SMALL(IF((County=$AV$13:$AV$48),MATCH(ROW($AV$13:$AV$48),ROW($AV$13:$AV$48)),""),ROWS($A$13:$A153)))),"")</f>
        <v/>
      </c>
      <c r="BC153" s="341" t="str">
        <f t="array" ref="BC153">IFERROR(IF($BC$11="Yes",INDEX($AX$13:$AX$2950,SMALL(IF((County=$AY$13:$AY$2950),MATCH(ROW($AY$13:$AY$2950),ROW($AY$13:$AY$2950)),""),ROWS($A$13:$A153))),""),"")</f>
        <v/>
      </c>
      <c r="BE153" s="339">
        <v>33183</v>
      </c>
      <c r="BF153" s="338" t="s">
        <v>331</v>
      </c>
      <c r="BH153" s="338">
        <v>11.03</v>
      </c>
      <c r="BI153" s="338" t="s">
        <v>331</v>
      </c>
      <c r="BN153" s="340">
        <v>7.18</v>
      </c>
      <c r="BO153" s="340" t="s">
        <v>331</v>
      </c>
      <c r="BP153" s="1385"/>
      <c r="BQ153" s="1583">
        <v>33928</v>
      </c>
      <c r="BR153" s="236" t="s">
        <v>323</v>
      </c>
      <c r="BU153" s="858"/>
      <c r="BV153" s="338">
        <v>624.01</v>
      </c>
      <c r="BW153" s="338" t="s">
        <v>288</v>
      </c>
      <c r="BY153" s="236">
        <v>9900</v>
      </c>
      <c r="BZ153" s="236" t="s">
        <v>333</v>
      </c>
      <c r="CB153" s="340">
        <v>713.53</v>
      </c>
      <c r="CC153" s="340" t="s">
        <v>288</v>
      </c>
      <c r="CE153" s="341" t="str">
        <f t="array" ref="CE153">IFERROR(IF($CE$11="Metro",INDEX($BV$13:$BV$4972,SMALL(IF((County=$BW$13:$BW$4972),MATCH(ROW($BW$13:$BW$4972),ROW($BW$13:$BW$4972)),""),ROWS($A$13:$A153))),INDEX($BY$13:$BY$212,SMALL(IF((County=$BZ$13:$BZ$212),MATCH(ROW($BZ$13:$BZ$212),ROW($BZ$13:$BZ$212)),""),ROWS($A$13:$A153)))),"")</f>
        <v/>
      </c>
      <c r="CG153" s="341" t="str">
        <f t="array" ref="CG153">IFERROR(IF($CG$11="Yes",INDEX($CB$13:$CB$2950,SMALL(IF((County=$CC$13:$CC$2950),MATCH(ROW($CC$13:$CC$2950),ROW($CC$13:$CC$2950)),""),ROWS($A$13:$A153))),""),"")</f>
        <v/>
      </c>
      <c r="CI153" s="1387">
        <v>33173</v>
      </c>
      <c r="CJ153" s="338" t="s">
        <v>331</v>
      </c>
      <c r="CL153" s="236">
        <v>4</v>
      </c>
      <c r="CM153" s="236" t="s">
        <v>324</v>
      </c>
      <c r="CO153" s="236">
        <v>9702.01</v>
      </c>
      <c r="CP153" s="236" t="s">
        <v>312</v>
      </c>
      <c r="CR153" s="340">
        <v>7.06</v>
      </c>
      <c r="CS153" s="340" t="s">
        <v>329</v>
      </c>
      <c r="CT153" s="1384"/>
      <c r="CU153" s="341">
        <v>34134</v>
      </c>
      <c r="CV153" s="338" t="s">
        <v>323</v>
      </c>
      <c r="CZ153" s="1795">
        <v>3</v>
      </c>
      <c r="DA153" s="338" t="s">
        <v>302</v>
      </c>
      <c r="DF153" s="340">
        <v>715</v>
      </c>
      <c r="DG153" s="340" t="s">
        <v>288</v>
      </c>
      <c r="DI153" s="341" t="str">
        <f t="array" ref="DI153">IFERROR(IF($DI$11="Metro",INDEX($CZ$13:$CZ$929,SMALL(IF((County=$DA$13:$DA$929),MATCH(ROW($DA$13:$DA$929),ROW($DA$13:$DA$929)),""),ROWS($A$13:$A153))),INDEX($DC$13:$DC$212,SMALL(IF((County=$DD$13:$DD$212),MATCH(ROW($DD$13:$DD$212),ROW($DD$13:$DD$212)),""),ROWS($A$13:$A153)))),"")</f>
        <v/>
      </c>
      <c r="DK153" s="341" t="str">
        <f t="array" ref="DK153">IFERROR(IF($DK$11="Yes",INDEX($DF$13:$DF$2838,SMALL(IF((County=$DG$13:$DG$2838),MATCH(ROW($DG$13:$DG$2838),ROW($DG$13:$DG$2838)),""),ROWS($A$13:$A153))),""),"")</f>
        <v/>
      </c>
      <c r="DM153" s="1387">
        <v>33172</v>
      </c>
      <c r="DN153" s="338" t="s">
        <v>2579</v>
      </c>
      <c r="DP153" s="236">
        <v>14.01</v>
      </c>
      <c r="DQ153" s="236" t="s">
        <v>331</v>
      </c>
      <c r="DV153" s="340">
        <v>8.07</v>
      </c>
      <c r="DW153" s="340" t="s">
        <v>329</v>
      </c>
      <c r="DX153" s="1671"/>
      <c r="EB153" s="618"/>
      <c r="EC153" s="618"/>
      <c r="ED153" s="618"/>
      <c r="EE153" s="618"/>
      <c r="EF153" s="618"/>
      <c r="EG153" s="618"/>
      <c r="EH153" s="618"/>
      <c r="EI153" s="618"/>
      <c r="EJ153" s="618"/>
      <c r="EK153" s="618"/>
      <c r="EL153" s="618"/>
      <c r="EM153" s="618"/>
    </row>
    <row r="154" spans="1:143" ht="14.65" customHeight="1">
      <c r="A154" s="339">
        <v>34797</v>
      </c>
      <c r="B154" s="338" t="s">
        <v>322</v>
      </c>
      <c r="E154" s="858"/>
      <c r="F154" s="338">
        <v>107</v>
      </c>
      <c r="G154" s="338" t="s">
        <v>302</v>
      </c>
      <c r="L154" s="2481">
        <v>101.03</v>
      </c>
      <c r="M154" s="340" t="s">
        <v>289</v>
      </c>
      <c r="N154" s="1390"/>
      <c r="O154" s="2479"/>
      <c r="P154" s="2282"/>
      <c r="R154" s="341" t="str">
        <f t="array" ref="R154">IFERROR(IF($R$11="Metro",INDEX($F$13:$F$829,SMALL(IF((County=$G$13:$G$829),MATCH(ROW($G$13:$G$829),ROW($G$13:$G$829)),""),ROWS($A$13:A154))),INDEX($I$13:$I$44,SMALL(IF((County=$J$13:$J$44),MATCH(ROW($J$13:$J$44),ROW($J$13:$J$44)),""),ROWS($A$13:A154)))),"")</f>
        <v/>
      </c>
      <c r="T154" s="341" t="str">
        <f t="array" ref="T154">IFERROR(IF($T$11="Yes",INDEX($L$13:$L$2813,SMALL(IF((County=$M$13:$M$2813),MATCH(ROW($M$13:$M$2813),ROW($M$13:$M$2813)),""),ROWS($A$13:A154))),""),"")</f>
        <v/>
      </c>
      <c r="V154" s="2283" t="str">
        <f t="array" ref="V154">IFERROR(IF($T$11="Yes",INDEX($O$14:$O$2811,SMALL(IF((County=$P$14:$P$2811),MATCH(ROW($P$14:$P$2811),ROW($P$14:$P$2811)),""),ROWS($A$13:A154))),""),"")</f>
        <v/>
      </c>
      <c r="X154" s="339">
        <v>33139</v>
      </c>
      <c r="Y154" s="338" t="s">
        <v>2579</v>
      </c>
      <c r="AA154" s="338">
        <v>15.14</v>
      </c>
      <c r="AB154" s="338" t="s">
        <v>276</v>
      </c>
      <c r="AG154" s="2297">
        <v>8.1</v>
      </c>
      <c r="AH154" s="2297" t="s">
        <v>329</v>
      </c>
      <c r="AI154" s="1390"/>
      <c r="AJ154" s="2282"/>
      <c r="AK154" s="2282"/>
      <c r="AL154" s="1037"/>
      <c r="AM154" s="339">
        <v>34473</v>
      </c>
      <c r="AN154" s="338" t="s">
        <v>329</v>
      </c>
      <c r="AQ154" s="858"/>
      <c r="AR154" s="338">
        <v>143.11000000000001</v>
      </c>
      <c r="AS154" s="338" t="s">
        <v>302</v>
      </c>
      <c r="AX154" s="340">
        <v>716.01</v>
      </c>
      <c r="AY154" s="340" t="s">
        <v>288</v>
      </c>
      <c r="BA154" s="341" t="str">
        <f t="array" ref="BA154">IFERROR(IF($BA$11="Metro",INDEX($AR$13:$AR$814,SMALL(IF((County=$AS$13:$AS$814),MATCH(ROW($AS$13:$AS$814),ROW($AS$13:$AS$814)),""),ROWS($A$13:$A154))),INDEX($AU$13:$AU$48,SMALL(IF((County=$AV$13:$AV$48),MATCH(ROW($AV$13:$AV$48),ROW($AV$13:$AV$48)),""),ROWS($A$13:$A154)))),"")</f>
        <v/>
      </c>
      <c r="BC154" s="341" t="str">
        <f t="array" ref="BC154">IFERROR(IF($BC$11="Yes",INDEX($AX$13:$AX$2950,SMALL(IF((County=$AY$13:$AY$2950),MATCH(ROW($AY$13:$AY$2950),ROW($AY$13:$AY$2950)),""),ROWS($A$13:$A154))),""),"")</f>
        <v/>
      </c>
      <c r="BE154" s="339">
        <v>33184</v>
      </c>
      <c r="BF154" s="338" t="s">
        <v>331</v>
      </c>
      <c r="BH154" s="338">
        <v>11.04</v>
      </c>
      <c r="BI154" s="338" t="s">
        <v>323</v>
      </c>
      <c r="BN154" s="340">
        <v>8</v>
      </c>
      <c r="BO154" s="340" t="s">
        <v>302</v>
      </c>
      <c r="BP154" s="1385"/>
      <c r="BQ154" s="1583">
        <v>33957</v>
      </c>
      <c r="BR154" s="236" t="s">
        <v>323</v>
      </c>
      <c r="BU154" s="858"/>
      <c r="BV154" s="338">
        <v>624.02</v>
      </c>
      <c r="BW154" s="338" t="s">
        <v>288</v>
      </c>
      <c r="BY154" s="236">
        <v>9101.01</v>
      </c>
      <c r="BZ154" s="236" t="s">
        <v>337</v>
      </c>
      <c r="CB154" s="340">
        <v>713.54</v>
      </c>
      <c r="CC154" s="340" t="s">
        <v>288</v>
      </c>
      <c r="CE154" s="341" t="str">
        <f t="array" ref="CE154">IFERROR(IF($CE$11="Metro",INDEX($BV$13:$BV$4972,SMALL(IF((County=$BW$13:$BW$4972),MATCH(ROW($BW$13:$BW$4972),ROW($BW$13:$BW$4972)),""),ROWS($A$13:$A154))),INDEX($BY$13:$BY$212,SMALL(IF((County=$BZ$13:$BZ$212),MATCH(ROW($BZ$13:$BZ$212),ROW($BZ$13:$BZ$212)),""),ROWS($A$13:$A154)))),"")</f>
        <v/>
      </c>
      <c r="CG154" s="341" t="str">
        <f t="array" ref="CG154">IFERROR(IF($CG$11="Yes",INDEX($CB$13:$CB$2950,SMALL(IF((County=$CC$13:$CC$2950),MATCH(ROW($CC$13:$CC$2950),ROW($CC$13:$CC$2950)),""),ROWS($A$13:$A154))),""),"")</f>
        <v/>
      </c>
      <c r="CI154" s="1387">
        <v>33174</v>
      </c>
      <c r="CJ154" s="338" t="s">
        <v>331</v>
      </c>
      <c r="CL154" s="236">
        <v>4</v>
      </c>
      <c r="CM154" s="236" t="s">
        <v>330</v>
      </c>
      <c r="CO154" s="236">
        <v>9702.02</v>
      </c>
      <c r="CP154" s="236" t="s">
        <v>301</v>
      </c>
      <c r="CR154" s="340">
        <v>7.15</v>
      </c>
      <c r="CS154" s="340" t="s">
        <v>331</v>
      </c>
      <c r="CT154" s="1384"/>
      <c r="CU154" s="341">
        <v>34135</v>
      </c>
      <c r="CV154" s="338" t="s">
        <v>323</v>
      </c>
      <c r="CZ154" s="1795">
        <v>6</v>
      </c>
      <c r="DA154" s="338" t="s">
        <v>302</v>
      </c>
      <c r="DF154" s="340">
        <v>716.01</v>
      </c>
      <c r="DG154" s="340" t="s">
        <v>288</v>
      </c>
      <c r="DI154" s="341" t="str">
        <f t="array" ref="DI154">IFERROR(IF($DI$11="Metro",INDEX($CZ$13:$CZ$929,SMALL(IF((County=$DA$13:$DA$929),MATCH(ROW($DA$13:$DA$929),ROW($DA$13:$DA$929)),""),ROWS($A$13:$A154))),INDEX($DC$13:$DC$212,SMALL(IF((County=$DD$13:$DD$212),MATCH(ROW($DD$13:$DD$212),ROW($DD$13:$DD$212)),""),ROWS($A$13:$A154)))),"")</f>
        <v/>
      </c>
      <c r="DK154" s="341" t="str">
        <f t="array" ref="DK154">IFERROR(IF($DK$11="Yes",INDEX($DF$13:$DF$2838,SMALL(IF((County=$DG$13:$DG$2838),MATCH(ROW($DG$13:$DG$2838),ROW($DG$13:$DG$2838)),""),ROWS($A$13:$A154))),""),"")</f>
        <v/>
      </c>
      <c r="DM154" s="1387">
        <v>33173</v>
      </c>
      <c r="DN154" s="338" t="s">
        <v>2579</v>
      </c>
      <c r="DP154" s="236">
        <v>14.02</v>
      </c>
      <c r="DQ154" s="236" t="s">
        <v>331</v>
      </c>
      <c r="DV154" s="340">
        <v>8.08</v>
      </c>
      <c r="DW154" s="340" t="s">
        <v>276</v>
      </c>
      <c r="DX154" s="1671"/>
      <c r="EB154" s="618"/>
      <c r="EC154" s="618"/>
      <c r="ED154" s="618"/>
      <c r="EE154" s="618"/>
      <c r="EF154" s="618"/>
      <c r="EG154" s="618"/>
      <c r="EH154" s="618"/>
      <c r="EI154" s="618"/>
      <c r="EJ154" s="618"/>
      <c r="EK154" s="618"/>
      <c r="EL154" s="618"/>
      <c r="EM154" s="618"/>
    </row>
    <row r="155" spans="1:143" ht="14.65" customHeight="1">
      <c r="A155" s="339">
        <v>33908</v>
      </c>
      <c r="B155" s="338" t="s">
        <v>323</v>
      </c>
      <c r="E155" s="858"/>
      <c r="F155" s="338">
        <v>108</v>
      </c>
      <c r="G155" s="338" t="s">
        <v>302</v>
      </c>
      <c r="L155" s="2481">
        <v>101.04</v>
      </c>
      <c r="M155" s="340" t="s">
        <v>289</v>
      </c>
      <c r="N155" s="1390"/>
      <c r="O155" s="2479"/>
      <c r="P155" s="2282"/>
      <c r="R155" s="341" t="str">
        <f t="array" ref="R155">IFERROR(IF($R$11="Metro",INDEX($F$13:$F$829,SMALL(IF((County=$G$13:$G$829),MATCH(ROW($G$13:$G$829),ROW($G$13:$G$829)),""),ROWS($A$13:A155))),INDEX($I$13:$I$44,SMALL(IF((County=$J$13:$J$44),MATCH(ROW($J$13:$J$44),ROW($J$13:$J$44)),""),ROWS($A$13:A155)))),"")</f>
        <v/>
      </c>
      <c r="T155" s="341" t="str">
        <f t="array" ref="T155">IFERROR(IF($T$11="Yes",INDEX($L$13:$L$2813,SMALL(IF((County=$M$13:$M$2813),MATCH(ROW($M$13:$M$2813),ROW($M$13:$M$2813)),""),ROWS($A$13:A155))),""),"")</f>
        <v/>
      </c>
      <c r="V155" s="2283" t="str">
        <f t="array" ref="V155">IFERROR(IF($T$11="Yes",INDEX($O$14:$O$2811,SMALL(IF((County=$P$14:$P$2811),MATCH(ROW($P$14:$P$2811),ROW($P$14:$P$2811)),""),ROWS($A$13:A155))),""),"")</f>
        <v/>
      </c>
      <c r="X155" s="339">
        <v>33140</v>
      </c>
      <c r="Y155" s="338" t="s">
        <v>2579</v>
      </c>
      <c r="AA155" s="338">
        <v>15.15</v>
      </c>
      <c r="AB155" s="338" t="s">
        <v>276</v>
      </c>
      <c r="AG155" s="2297">
        <v>8.11</v>
      </c>
      <c r="AH155" s="2297" t="s">
        <v>329</v>
      </c>
      <c r="AI155" s="1390"/>
      <c r="AJ155" s="2282"/>
      <c r="AK155" s="2282"/>
      <c r="AL155" s="1037"/>
      <c r="AM155" s="339">
        <v>34474</v>
      </c>
      <c r="AN155" s="338" t="s">
        <v>329</v>
      </c>
      <c r="AQ155" s="858"/>
      <c r="AR155" s="338">
        <v>148</v>
      </c>
      <c r="AS155" s="338" t="s">
        <v>302</v>
      </c>
      <c r="AX155" s="340">
        <v>716.02</v>
      </c>
      <c r="AY155" s="340" t="s">
        <v>288</v>
      </c>
      <c r="BA155" s="341" t="str">
        <f t="array" ref="BA155">IFERROR(IF($BA$11="Metro",INDEX($AR$13:$AR$814,SMALL(IF((County=$AS$13:$AS$814),MATCH(ROW($AS$13:$AS$814),ROW($AS$13:$AS$814)),""),ROWS($A$13:$A155))),INDEX($AU$13:$AU$48,SMALL(IF((County=$AV$13:$AV$48),MATCH(ROW($AV$13:$AV$48),ROW($AV$13:$AV$48)),""),ROWS($A$13:$A155)))),"")</f>
        <v/>
      </c>
      <c r="BC155" s="341" t="str">
        <f t="array" ref="BC155">IFERROR(IF($BC$11="Yes",INDEX($AX$13:$AX$2950,SMALL(IF((County=$AY$13:$AY$2950),MATCH(ROW($AY$13:$AY$2950),ROW($AY$13:$AY$2950)),""),ROWS($A$13:$A155))),""),"")</f>
        <v/>
      </c>
      <c r="BE155" s="339">
        <v>33185</v>
      </c>
      <c r="BF155" s="338" t="s">
        <v>331</v>
      </c>
      <c r="BH155" s="338">
        <v>12</v>
      </c>
      <c r="BI155" s="338" t="s">
        <v>302</v>
      </c>
      <c r="BN155" s="340">
        <v>8</v>
      </c>
      <c r="BO155" s="340" t="s">
        <v>323</v>
      </c>
      <c r="BP155" s="1385"/>
      <c r="BQ155" s="1583">
        <v>33967</v>
      </c>
      <c r="BR155" s="236" t="s">
        <v>323</v>
      </c>
      <c r="BU155" s="858"/>
      <c r="BV155" s="338">
        <v>625</v>
      </c>
      <c r="BW155" s="338" t="s">
        <v>288</v>
      </c>
      <c r="BY155" s="236">
        <v>9101.02</v>
      </c>
      <c r="BZ155" s="236" t="s">
        <v>337</v>
      </c>
      <c r="CB155" s="340">
        <v>714.01</v>
      </c>
      <c r="CC155" s="340" t="s">
        <v>288</v>
      </c>
      <c r="CE155" s="341" t="str">
        <f t="array" ref="CE155">IFERROR(IF($CE$11="Metro",INDEX($BV$13:$BV$4972,SMALL(IF((County=$BW$13:$BW$4972),MATCH(ROW($BW$13:$BW$4972),ROW($BW$13:$BW$4972)),""),ROWS($A$13:$A155))),INDEX($BY$13:$BY$212,SMALL(IF((County=$BZ$13:$BZ$212),MATCH(ROW($BZ$13:$BZ$212),ROW($BZ$13:$BZ$212)),""),ROWS($A$13:$A155)))),"")</f>
        <v/>
      </c>
      <c r="CG155" s="341" t="str">
        <f t="array" ref="CG155">IFERROR(IF($CG$11="Yes",INDEX($CB$13:$CB$2950,SMALL(IF((County=$CC$13:$CC$2950),MATCH(ROW($CC$13:$CC$2950),ROW($CC$13:$CC$2950)),""),ROWS($A$13:$A155))),""),"")</f>
        <v/>
      </c>
      <c r="CI155" s="1387">
        <v>33175</v>
      </c>
      <c r="CJ155" s="338" t="s">
        <v>331</v>
      </c>
      <c r="CL155" s="338">
        <v>4.01</v>
      </c>
      <c r="CM155" s="338" t="s">
        <v>285</v>
      </c>
      <c r="CO155" s="236">
        <v>9702.02</v>
      </c>
      <c r="CP155" s="236" t="s">
        <v>312</v>
      </c>
      <c r="CR155" s="340">
        <v>8</v>
      </c>
      <c r="CS155" s="340" t="s">
        <v>302</v>
      </c>
      <c r="CT155" s="1384"/>
      <c r="CU155" s="341">
        <v>34140</v>
      </c>
      <c r="CV155" s="338" t="s">
        <v>323</v>
      </c>
      <c r="CZ155" s="1795">
        <v>10</v>
      </c>
      <c r="DA155" s="338" t="s">
        <v>302</v>
      </c>
      <c r="DF155" s="340">
        <v>716.02</v>
      </c>
      <c r="DG155" s="340" t="s">
        <v>288</v>
      </c>
      <c r="DI155" s="341" t="str">
        <f t="array" ref="DI155">IFERROR(IF($DI$11="Metro",INDEX($CZ$13:$CZ$929,SMALL(IF((County=$DA$13:$DA$929),MATCH(ROW($DA$13:$DA$929),ROW($DA$13:$DA$929)),""),ROWS($A$13:$A155))),INDEX($DC$13:$DC$212,SMALL(IF((County=$DD$13:$DD$212),MATCH(ROW($DD$13:$DD$212),ROW($DD$13:$DD$212)),""),ROWS($A$13:$A155)))),"")</f>
        <v/>
      </c>
      <c r="DK155" s="341" t="str">
        <f t="array" ref="DK155">IFERROR(IF($DK$11="Yes",INDEX($DF$13:$DF$2838,SMALL(IF((County=$DG$13:$DG$2838),MATCH(ROW($DG$13:$DG$2838),ROW($DG$13:$DG$2838)),""),ROWS($A$13:$A155))),""),"")</f>
        <v/>
      </c>
      <c r="DM155" s="1387">
        <v>33174</v>
      </c>
      <c r="DN155" s="338" t="s">
        <v>2579</v>
      </c>
      <c r="DP155" s="236">
        <v>14.02</v>
      </c>
      <c r="DQ155" s="236" t="s">
        <v>340</v>
      </c>
      <c r="DV155" s="340">
        <v>8.08</v>
      </c>
      <c r="DW155" s="340" t="s">
        <v>328</v>
      </c>
      <c r="DX155" s="1671"/>
      <c r="EB155" s="618"/>
      <c r="EC155" s="618"/>
      <c r="ED155" s="618"/>
      <c r="EE155" s="618"/>
      <c r="EF155" s="618"/>
      <c r="EG155" s="618"/>
      <c r="EH155" s="618"/>
      <c r="EI155" s="618"/>
      <c r="EJ155" s="618"/>
      <c r="EK155" s="618"/>
      <c r="EL155" s="618"/>
      <c r="EM155" s="618"/>
    </row>
    <row r="156" spans="1:143" ht="14.65" customHeight="1">
      <c r="A156" s="339">
        <v>33909</v>
      </c>
      <c r="B156" s="338" t="s">
        <v>323</v>
      </c>
      <c r="E156" s="858"/>
      <c r="F156" s="338">
        <v>110</v>
      </c>
      <c r="G156" s="338" t="s">
        <v>302</v>
      </c>
      <c r="L156" s="2481">
        <v>104.01</v>
      </c>
      <c r="M156" s="340" t="s">
        <v>289</v>
      </c>
      <c r="N156" s="1390"/>
      <c r="O156" s="2479"/>
      <c r="P156" s="2282"/>
      <c r="R156" s="341" t="str">
        <f t="array" ref="R156">IFERROR(IF($R$11="Metro",INDEX($F$13:$F$829,SMALL(IF((County=$G$13:$G$829),MATCH(ROW($G$13:$G$829),ROW($G$13:$G$829)),""),ROWS($A$13:A156))),INDEX($I$13:$I$44,SMALL(IF((County=$J$13:$J$44),MATCH(ROW($J$13:$J$44),ROW($J$13:$J$44)),""),ROWS($A$13:A156)))),"")</f>
        <v/>
      </c>
      <c r="T156" s="341" t="str">
        <f t="array" ref="T156">IFERROR(IF($T$11="Yes",INDEX($L$13:$L$2813,SMALL(IF((County=$M$13:$M$2813),MATCH(ROW($M$13:$M$2813),ROW($M$13:$M$2813)),""),ROWS($A$13:A156))),""),"")</f>
        <v/>
      </c>
      <c r="V156" s="2283" t="str">
        <f t="array" ref="V156">IFERROR(IF($T$11="Yes",INDEX($O$14:$O$2811,SMALL(IF((County=$P$14:$P$2811),MATCH(ROW($P$14:$P$2811),ROW($P$14:$P$2811)),""),ROWS($A$13:A156))),""),"")</f>
        <v/>
      </c>
      <c r="X156" s="339">
        <v>33141</v>
      </c>
      <c r="Y156" s="338" t="s">
        <v>2579</v>
      </c>
      <c r="AA156" s="338">
        <v>15.16</v>
      </c>
      <c r="AB156" s="338" t="s">
        <v>276</v>
      </c>
      <c r="AG156" s="2297">
        <v>8.1300000000000008</v>
      </c>
      <c r="AH156" s="2297" t="s">
        <v>328</v>
      </c>
      <c r="AI156" s="1390"/>
      <c r="AJ156" s="2282"/>
      <c r="AK156" s="2282"/>
      <c r="AL156" s="1037"/>
      <c r="AM156" s="339">
        <v>34990</v>
      </c>
      <c r="AN156" s="338" t="s">
        <v>330</v>
      </c>
      <c r="AQ156" s="858"/>
      <c r="AR156" s="338">
        <v>154</v>
      </c>
      <c r="AS156" s="338" t="s">
        <v>302</v>
      </c>
      <c r="AX156" s="340">
        <v>717</v>
      </c>
      <c r="AY156" s="340" t="s">
        <v>288</v>
      </c>
      <c r="BA156" s="341" t="str">
        <f t="array" ref="BA156">IFERROR(IF($BA$11="Metro",INDEX($AR$13:$AR$814,SMALL(IF((County=$AS$13:$AS$814),MATCH(ROW($AS$13:$AS$814),ROW($AS$13:$AS$814)),""),ROWS($A$13:$A156))),INDEX($AU$13:$AU$48,SMALL(IF((County=$AV$13:$AV$48),MATCH(ROW($AV$13:$AV$48),ROW($AV$13:$AV$48)),""),ROWS($A$13:$A156)))),"")</f>
        <v/>
      </c>
      <c r="BC156" s="341" t="str">
        <f t="array" ref="BC156">IFERROR(IF($BC$11="Yes",INDEX($AX$13:$AX$2950,SMALL(IF((County=$AY$13:$AY$2950),MATCH(ROW($AY$13:$AY$2950),ROW($AY$13:$AY$2950)),""),ROWS($A$13:$A156))),""),"")</f>
        <v/>
      </c>
      <c r="BE156" s="339">
        <v>33186</v>
      </c>
      <c r="BF156" s="338" t="s">
        <v>331</v>
      </c>
      <c r="BH156" s="338">
        <v>12</v>
      </c>
      <c r="BI156" s="338" t="s">
        <v>316</v>
      </c>
      <c r="BN156" s="340">
        <v>8</v>
      </c>
      <c r="BO156" s="340" t="s">
        <v>324</v>
      </c>
      <c r="BP156" s="1385"/>
      <c r="BQ156" s="1583">
        <v>33991</v>
      </c>
      <c r="BR156" s="236" t="s">
        <v>323</v>
      </c>
      <c r="BU156" s="858"/>
      <c r="BV156" s="338">
        <v>626</v>
      </c>
      <c r="BW156" s="338" t="s">
        <v>288</v>
      </c>
      <c r="BY156" s="236">
        <v>9102.01</v>
      </c>
      <c r="BZ156" s="236" t="s">
        <v>337</v>
      </c>
      <c r="CB156" s="340">
        <v>715</v>
      </c>
      <c r="CC156" s="340" t="s">
        <v>288</v>
      </c>
      <c r="CE156" s="341" t="str">
        <f t="array" ref="CE156">IFERROR(IF($CE$11="Metro",INDEX($BV$13:$BV$4972,SMALL(IF((County=$BW$13:$BW$4972),MATCH(ROW($BW$13:$BW$4972),ROW($BW$13:$BW$4972)),""),ROWS($A$13:$A156))),INDEX($BY$13:$BY$212,SMALL(IF((County=$BZ$13:$BZ$212),MATCH(ROW($BZ$13:$BZ$212),ROW($BZ$13:$BZ$212)),""),ROWS($A$13:$A156)))),"")</f>
        <v/>
      </c>
      <c r="CG156" s="341" t="str">
        <f t="array" ref="CG156">IFERROR(IF($CG$11="Yes",INDEX($CB$13:$CB$2950,SMALL(IF((County=$CC$13:$CC$2950),MATCH(ROW($CC$13:$CC$2950),ROW($CC$13:$CC$2950)),""),ROWS($A$13:$A156))),""),"")</f>
        <v/>
      </c>
      <c r="CI156" s="1387">
        <v>33176</v>
      </c>
      <c r="CJ156" s="338" t="s">
        <v>331</v>
      </c>
      <c r="CL156" s="236">
        <v>4.01</v>
      </c>
      <c r="CM156" s="236" t="s">
        <v>297</v>
      </c>
      <c r="CO156" s="236">
        <v>9703.01</v>
      </c>
      <c r="CP156" s="236" t="s">
        <v>312</v>
      </c>
      <c r="CR156" s="340">
        <v>8</v>
      </c>
      <c r="CS156" s="340" t="s">
        <v>323</v>
      </c>
      <c r="CT156" s="1384"/>
      <c r="CU156" s="341">
        <v>32312</v>
      </c>
      <c r="CV156" s="338" t="s">
        <v>324</v>
      </c>
      <c r="CZ156" s="1795">
        <v>13</v>
      </c>
      <c r="DA156" s="338" t="s">
        <v>302</v>
      </c>
      <c r="DF156" s="340">
        <v>101.02</v>
      </c>
      <c r="DG156" s="340" t="s">
        <v>289</v>
      </c>
      <c r="DI156" s="341" t="str">
        <f t="array" ref="DI156">IFERROR(IF($DI$11="Metro",INDEX($CZ$13:$CZ$929,SMALL(IF((County=$DA$13:$DA$929),MATCH(ROW($DA$13:$DA$929),ROW($DA$13:$DA$929)),""),ROWS($A$13:$A156))),INDEX($DC$13:$DC$212,SMALL(IF((County=$DD$13:$DD$212),MATCH(ROW($DD$13:$DD$212),ROW($DD$13:$DD$212)),""),ROWS($A$13:$A156)))),"")</f>
        <v/>
      </c>
      <c r="DK156" s="341" t="str">
        <f t="array" ref="DK156">IFERROR(IF($DK$11="Yes",INDEX($DF$13:$DF$2838,SMALL(IF((County=$DG$13:$DG$2838),MATCH(ROW($DG$13:$DG$2838),ROW($DG$13:$DG$2838)),""),ROWS($A$13:$A156))),""),"")</f>
        <v/>
      </c>
      <c r="DM156" s="1387">
        <v>33175</v>
      </c>
      <c r="DN156" s="338" t="s">
        <v>2579</v>
      </c>
      <c r="DP156" s="236">
        <v>14.03</v>
      </c>
      <c r="DQ156" s="236" t="s">
        <v>340</v>
      </c>
      <c r="DV156" s="340">
        <v>8.09</v>
      </c>
      <c r="DW156" s="340" t="s">
        <v>328</v>
      </c>
      <c r="DX156" s="1671"/>
      <c r="EB156" s="618"/>
      <c r="EC156" s="618"/>
      <c r="ED156" s="618"/>
      <c r="EE156" s="618"/>
      <c r="EF156" s="618"/>
      <c r="EG156" s="618"/>
      <c r="EH156" s="618"/>
      <c r="EI156" s="618"/>
      <c r="EJ156" s="618"/>
      <c r="EK156" s="618"/>
      <c r="EL156" s="618"/>
      <c r="EM156" s="618"/>
    </row>
    <row r="157" spans="1:143" ht="14.65" customHeight="1">
      <c r="A157" s="339">
        <v>33912</v>
      </c>
      <c r="B157" s="338" t="s">
        <v>323</v>
      </c>
      <c r="E157" s="858"/>
      <c r="F157" s="338">
        <v>111</v>
      </c>
      <c r="G157" s="338" t="s">
        <v>302</v>
      </c>
      <c r="L157" s="2481">
        <v>104.02</v>
      </c>
      <c r="M157" s="340" t="s">
        <v>289</v>
      </c>
      <c r="N157" s="1390"/>
      <c r="O157" s="2479"/>
      <c r="P157" s="2282"/>
      <c r="R157" s="341" t="str">
        <f t="array" ref="R157">IFERROR(IF($R$11="Metro",INDEX($F$13:$F$829,SMALL(IF((County=$G$13:$G$829),MATCH(ROW($G$13:$G$829),ROW($G$13:$G$829)),""),ROWS($A$13:A157))),INDEX($I$13:$I$44,SMALL(IF((County=$J$13:$J$44),MATCH(ROW($J$13:$J$44),ROW($J$13:$J$44)),""),ROWS($A$13:A157)))),"")</f>
        <v/>
      </c>
      <c r="T157" s="341" t="str">
        <f t="array" ref="T157">IFERROR(IF($T$11="Yes",INDEX($L$13:$L$2813,SMALL(IF((County=$M$13:$M$2813),MATCH(ROW($M$13:$M$2813),ROW($M$13:$M$2813)),""),ROWS($A$13:A157))),""),"")</f>
        <v/>
      </c>
      <c r="V157" s="2283" t="str">
        <f t="array" ref="V157">IFERROR(IF($T$11="Yes",INDEX($O$14:$O$2811,SMALL(IF((County=$P$14:$P$2811),MATCH(ROW($P$14:$P$2811),ROW($P$14:$P$2811)),""),ROWS($A$13:A157))),""),"")</f>
        <v/>
      </c>
      <c r="X157" s="339">
        <v>33143</v>
      </c>
      <c r="Y157" s="338" t="s">
        <v>2579</v>
      </c>
      <c r="AA157" s="338">
        <v>15.19</v>
      </c>
      <c r="AB157" s="338" t="s">
        <v>276</v>
      </c>
      <c r="AG157" s="2297">
        <v>8.14</v>
      </c>
      <c r="AH157" s="2297" t="s">
        <v>328</v>
      </c>
      <c r="AI157" s="1390"/>
      <c r="AJ157" s="2282"/>
      <c r="AK157" s="2282"/>
      <c r="AL157" s="1037"/>
      <c r="AM157" s="339">
        <v>33014</v>
      </c>
      <c r="AN157" s="338" t="s">
        <v>331</v>
      </c>
      <c r="AQ157" s="858"/>
      <c r="AR157" s="338">
        <v>155.02000000000001</v>
      </c>
      <c r="AS157" s="338" t="s">
        <v>302</v>
      </c>
      <c r="AX157" s="340">
        <v>101.02</v>
      </c>
      <c r="AY157" s="340" t="s">
        <v>289</v>
      </c>
      <c r="BA157" s="341" t="str">
        <f t="array" ref="BA157">IFERROR(IF($BA$11="Metro",INDEX($AR$13:$AR$814,SMALL(IF((County=$AS$13:$AS$814),MATCH(ROW($AS$13:$AS$814),ROW($AS$13:$AS$814)),""),ROWS($A$13:$A157))),INDEX($AU$13:$AU$48,SMALL(IF((County=$AV$13:$AV$48),MATCH(ROW($AV$13:$AV$48),ROW($AV$13:$AV$48)),""),ROWS($A$13:$A157)))),"")</f>
        <v/>
      </c>
      <c r="BC157" s="341" t="str">
        <f t="array" ref="BC157">IFERROR(IF($BC$11="Yes",INDEX($AX$13:$AX$2950,SMALL(IF((County=$AY$13:$AY$2950),MATCH(ROW($AY$13:$AY$2950),ROW($AY$13:$AY$2950)),""),ROWS($A$13:$A157))),""),"")</f>
        <v/>
      </c>
      <c r="BE157" s="339">
        <v>33187</v>
      </c>
      <c r="BF157" s="338" t="s">
        <v>331</v>
      </c>
      <c r="BH157" s="338">
        <v>12</v>
      </c>
      <c r="BI157" s="338" t="s">
        <v>324</v>
      </c>
      <c r="BN157" s="340">
        <v>8.01</v>
      </c>
      <c r="BO157" s="340" t="s">
        <v>304</v>
      </c>
      <c r="BP157" s="1385"/>
      <c r="BQ157" s="1583">
        <v>33993</v>
      </c>
      <c r="BR157" s="236" t="s">
        <v>323</v>
      </c>
      <c r="BU157" s="858"/>
      <c r="BV157" s="338">
        <v>628</v>
      </c>
      <c r="BW157" s="338" t="s">
        <v>288</v>
      </c>
      <c r="BY157" s="236">
        <v>9102.02</v>
      </c>
      <c r="BZ157" s="236" t="s">
        <v>337</v>
      </c>
      <c r="CB157" s="340">
        <v>716.01</v>
      </c>
      <c r="CC157" s="340" t="s">
        <v>288</v>
      </c>
      <c r="CE157" s="341" t="str">
        <f t="array" ref="CE157">IFERROR(IF($CE$11="Metro",INDEX($BV$13:$BV$4972,SMALL(IF((County=$BW$13:$BW$4972),MATCH(ROW($BW$13:$BW$4972),ROW($BW$13:$BW$4972)),""),ROWS($A$13:$A157))),INDEX($BY$13:$BY$212,SMALL(IF((County=$BZ$13:$BZ$212),MATCH(ROW($BZ$13:$BZ$212),ROW($BZ$13:$BZ$212)),""),ROWS($A$13:$A157)))),"")</f>
        <v/>
      </c>
      <c r="CG157" s="341" t="str">
        <f t="array" ref="CG157">IFERROR(IF($CG$11="Yes",INDEX($CB$13:$CB$2950,SMALL(IF((County=$CC$13:$CC$2950),MATCH(ROW($CC$13:$CC$2950),ROW($CC$13:$CC$2950)),""),ROWS($A$13:$A157))),""),"")</f>
        <v/>
      </c>
      <c r="CI157" s="1387">
        <v>33178</v>
      </c>
      <c r="CJ157" s="338" t="s">
        <v>331</v>
      </c>
      <c r="CL157" s="236">
        <v>4.01</v>
      </c>
      <c r="CM157" s="236" t="s">
        <v>316</v>
      </c>
      <c r="CO157" s="236">
        <v>9703.01</v>
      </c>
      <c r="CP157" s="236" t="s">
        <v>352</v>
      </c>
      <c r="CR157" s="340">
        <v>8</v>
      </c>
      <c r="CS157" s="340" t="s">
        <v>324</v>
      </c>
      <c r="CT157" s="1384"/>
      <c r="CU157" s="341">
        <v>34201</v>
      </c>
      <c r="CV157" s="338" t="s">
        <v>328</v>
      </c>
      <c r="CZ157" s="1795">
        <v>14.01</v>
      </c>
      <c r="DA157" s="338" t="s">
        <v>302</v>
      </c>
      <c r="DF157" s="340">
        <v>101.03</v>
      </c>
      <c r="DG157" s="340" t="s">
        <v>289</v>
      </c>
      <c r="DI157" s="341" t="str">
        <f t="array" ref="DI157">IFERROR(IF($DI$11="Metro",INDEX($CZ$13:$CZ$929,SMALL(IF((County=$DA$13:$DA$929),MATCH(ROW($DA$13:$DA$929),ROW($DA$13:$DA$929)),""),ROWS($A$13:$A157))),INDEX($DC$13:$DC$212,SMALL(IF((County=$DD$13:$DD$212),MATCH(ROW($DD$13:$DD$212),ROW($DD$13:$DD$212)),""),ROWS($A$13:$A157)))),"")</f>
        <v/>
      </c>
      <c r="DK157" s="341" t="str">
        <f t="array" ref="DK157">IFERROR(IF($DK$11="Yes",INDEX($DF$13:$DF$2838,SMALL(IF((County=$DG$13:$DG$2838),MATCH(ROW($DG$13:$DG$2838),ROW($DG$13:$DG$2838)),""),ROWS($A$13:$A157))),""),"")</f>
        <v/>
      </c>
      <c r="DM157" s="1387">
        <v>33176</v>
      </c>
      <c r="DN157" s="338" t="s">
        <v>2579</v>
      </c>
      <c r="DP157" s="236">
        <v>14.04</v>
      </c>
      <c r="DQ157" s="236" t="s">
        <v>329</v>
      </c>
      <c r="DV157" s="340">
        <v>8.09</v>
      </c>
      <c r="DW157" s="340" t="s">
        <v>329</v>
      </c>
      <c r="DX157" s="1671"/>
      <c r="EB157" s="618"/>
      <c r="EC157" s="618"/>
      <c r="ED157" s="618"/>
      <c r="EE157" s="618"/>
      <c r="EF157" s="618"/>
      <c r="EG157" s="618"/>
      <c r="EH157" s="618"/>
      <c r="EI157" s="618"/>
      <c r="EJ157" s="618"/>
      <c r="EK157" s="618"/>
      <c r="EL157" s="618"/>
      <c r="EM157" s="618"/>
    </row>
    <row r="158" spans="1:143" ht="14.65" customHeight="1">
      <c r="A158" s="339">
        <v>33913</v>
      </c>
      <c r="B158" s="338" t="s">
        <v>323</v>
      </c>
      <c r="E158" s="858"/>
      <c r="F158" s="338">
        <v>112</v>
      </c>
      <c r="G158" s="338" t="s">
        <v>302</v>
      </c>
      <c r="L158" s="2481">
        <v>104.05</v>
      </c>
      <c r="M158" s="340" t="s">
        <v>289</v>
      </c>
      <c r="N158" s="1390"/>
      <c r="O158" s="2479"/>
      <c r="P158" s="2282"/>
      <c r="R158" s="341" t="str">
        <f t="array" ref="R158">IFERROR(IF($R$11="Metro",INDEX($F$13:$F$829,SMALL(IF((County=$G$13:$G$829),MATCH(ROW($G$13:$G$829),ROW($G$13:$G$829)),""),ROWS($A$13:A158))),INDEX($I$13:$I$44,SMALL(IF((County=$J$13:$J$44),MATCH(ROW($J$13:$J$44),ROW($J$13:$J$44)),""),ROWS($A$13:A158)))),"")</f>
        <v/>
      </c>
      <c r="T158" s="341" t="str">
        <f t="array" ref="T158">IFERROR(IF($T$11="Yes",INDEX($L$13:$L$2813,SMALL(IF((County=$M$13:$M$2813),MATCH(ROW($M$13:$M$2813),ROW($M$13:$M$2813)),""),ROWS($A$13:A158))),""),"")</f>
        <v/>
      </c>
      <c r="V158" s="2283" t="str">
        <f t="array" ref="V158">IFERROR(IF($T$11="Yes",INDEX($O$14:$O$2811,SMALL(IF((County=$P$14:$P$2811),MATCH(ROW($P$14:$P$2811),ROW($P$14:$P$2811)),""),ROWS($A$13:A158))),""),"")</f>
        <v/>
      </c>
      <c r="X158" s="339">
        <v>33144</v>
      </c>
      <c r="Y158" s="338" t="s">
        <v>2579</v>
      </c>
      <c r="AA158" s="338">
        <v>15.22</v>
      </c>
      <c r="AB158" s="338" t="s">
        <v>276</v>
      </c>
      <c r="AG158" s="2297">
        <v>9</v>
      </c>
      <c r="AH158" s="2297" t="s">
        <v>304</v>
      </c>
      <c r="AI158" s="1390"/>
      <c r="AJ158" s="2282"/>
      <c r="AK158" s="2282"/>
      <c r="AL158" s="1037"/>
      <c r="AM158" s="339">
        <v>33015</v>
      </c>
      <c r="AN158" s="338" t="s">
        <v>331</v>
      </c>
      <c r="AQ158" s="858"/>
      <c r="AR158" s="338">
        <v>160.01</v>
      </c>
      <c r="AS158" s="338" t="s">
        <v>302</v>
      </c>
      <c r="AX158" s="340">
        <v>101.03</v>
      </c>
      <c r="AY158" s="340" t="s">
        <v>289</v>
      </c>
      <c r="BA158" s="341" t="str">
        <f t="array" ref="BA158">IFERROR(IF($BA$11="Metro",INDEX($AR$13:$AR$814,SMALL(IF((County=$AS$13:$AS$814),MATCH(ROW($AS$13:$AS$814),ROW($AS$13:$AS$814)),""),ROWS($A$13:$A158))),INDEX($AU$13:$AU$48,SMALL(IF((County=$AV$13:$AV$48),MATCH(ROW($AV$13:$AV$48),ROW($AV$13:$AV$48)),""),ROWS($A$13:$A158)))),"")</f>
        <v/>
      </c>
      <c r="BC158" s="341" t="str">
        <f t="array" ref="BC158">IFERROR(IF($BC$11="Yes",INDEX($AX$13:$AX$2950,SMALL(IF((County=$AY$13:$AY$2950),MATCH(ROW($AY$13:$AY$2950),ROW($AY$13:$AY$2950)),""),ROWS($A$13:$A158))),""),"")</f>
        <v/>
      </c>
      <c r="BE158" s="339">
        <v>33190</v>
      </c>
      <c r="BF158" s="338" t="s">
        <v>331</v>
      </c>
      <c r="BH158" s="338">
        <v>12</v>
      </c>
      <c r="BI158" s="338" t="s">
        <v>330</v>
      </c>
      <c r="BN158" s="340">
        <v>8.01</v>
      </c>
      <c r="BO158" s="340" t="s">
        <v>347</v>
      </c>
      <c r="BP158" s="1385"/>
      <c r="BQ158" s="1583">
        <v>34134</v>
      </c>
      <c r="BR158" s="236" t="s">
        <v>323</v>
      </c>
      <c r="BU158" s="858"/>
      <c r="BV158" s="338">
        <v>629</v>
      </c>
      <c r="BW158" s="338" t="s">
        <v>288</v>
      </c>
      <c r="BY158" s="236">
        <v>9103</v>
      </c>
      <c r="BZ158" s="236" t="s">
        <v>337</v>
      </c>
      <c r="CB158" s="340">
        <v>716.02</v>
      </c>
      <c r="CC158" s="340" t="s">
        <v>288</v>
      </c>
      <c r="CE158" s="341" t="str">
        <f t="array" ref="CE158">IFERROR(IF($CE$11="Metro",INDEX($BV$13:$BV$4972,SMALL(IF((County=$BW$13:$BW$4972),MATCH(ROW($BW$13:$BW$4972),ROW($BW$13:$BW$4972)),""),ROWS($A$13:$A158))),INDEX($BY$13:$BY$212,SMALL(IF((County=$BZ$13:$BZ$212),MATCH(ROW($BZ$13:$BZ$212),ROW($BZ$13:$BZ$212)),""),ROWS($A$13:$A158)))),"")</f>
        <v/>
      </c>
      <c r="CG158" s="341" t="str">
        <f t="array" ref="CG158">IFERROR(IF($CG$11="Yes",INDEX($CB$13:$CB$2950,SMALL(IF((County=$CC$13:$CC$2950),MATCH(ROW($CC$13:$CC$2950),ROW($CC$13:$CC$2950)),""),ROWS($A$13:$A158))),""),"")</f>
        <v/>
      </c>
      <c r="CI158" s="1387">
        <v>33179</v>
      </c>
      <c r="CJ158" s="338" t="s">
        <v>331</v>
      </c>
      <c r="CL158" s="236">
        <v>4.01</v>
      </c>
      <c r="CM158" s="236" t="s">
        <v>323</v>
      </c>
      <c r="CO158" s="236">
        <v>9703.01</v>
      </c>
      <c r="CP158" s="236" t="s">
        <v>358</v>
      </c>
      <c r="CR158" s="340">
        <v>8.01</v>
      </c>
      <c r="CS158" s="340" t="s">
        <v>304</v>
      </c>
      <c r="CT158" s="1384"/>
      <c r="CU158" s="341">
        <v>34202</v>
      </c>
      <c r="CV158" s="338" t="s">
        <v>328</v>
      </c>
      <c r="CZ158" s="1795">
        <v>15</v>
      </c>
      <c r="DA158" s="338" t="s">
        <v>302</v>
      </c>
      <c r="DF158" s="340">
        <v>101.04</v>
      </c>
      <c r="DG158" s="340" t="s">
        <v>289</v>
      </c>
      <c r="DI158" s="341" t="str">
        <f t="array" ref="DI158">IFERROR(IF($DI$11="Metro",INDEX($CZ$13:$CZ$929,SMALL(IF((County=$DA$13:$DA$929),MATCH(ROW($DA$13:$DA$929),ROW($DA$13:$DA$929)),""),ROWS($A$13:$A158))),INDEX($DC$13:$DC$212,SMALL(IF((County=$DD$13:$DD$212),MATCH(ROW($DD$13:$DD$212),ROW($DD$13:$DD$212)),""),ROWS($A$13:$A158)))),"")</f>
        <v/>
      </c>
      <c r="DK158" s="341" t="str">
        <f t="array" ref="DK158">IFERROR(IF($DK$11="Yes",INDEX($DF$13:$DF$2838,SMALL(IF((County=$DG$13:$DG$2838),MATCH(ROW($DG$13:$DG$2838),ROW($DG$13:$DG$2838)),""),ROWS($A$13:$A158))),""),"")</f>
        <v/>
      </c>
      <c r="DM158" s="1387">
        <v>33177</v>
      </c>
      <c r="DN158" s="338" t="s">
        <v>2579</v>
      </c>
      <c r="DP158" s="236">
        <v>14.04</v>
      </c>
      <c r="DQ158" s="236" t="s">
        <v>340</v>
      </c>
      <c r="DV158" s="340">
        <v>8.1</v>
      </c>
      <c r="DW158" s="340" t="s">
        <v>328</v>
      </c>
      <c r="DX158" s="1671"/>
      <c r="EB158" s="618"/>
      <c r="EC158" s="618"/>
      <c r="ED158" s="618"/>
      <c r="EE158" s="618"/>
      <c r="EF158" s="618"/>
      <c r="EG158" s="618"/>
      <c r="EH158" s="618"/>
      <c r="EI158" s="618"/>
      <c r="EJ158" s="618"/>
      <c r="EK158" s="618"/>
      <c r="EL158" s="618"/>
      <c r="EM158" s="618"/>
    </row>
    <row r="159" spans="1:143" ht="14.65" customHeight="1">
      <c r="A159" s="339">
        <v>33914</v>
      </c>
      <c r="B159" s="338" t="s">
        <v>323</v>
      </c>
      <c r="E159" s="858"/>
      <c r="F159" s="338">
        <v>113</v>
      </c>
      <c r="G159" s="338" t="s">
        <v>302</v>
      </c>
      <c r="L159" s="2481">
        <v>104.06</v>
      </c>
      <c r="M159" s="340" t="s">
        <v>289</v>
      </c>
      <c r="N159" s="1390"/>
      <c r="O159" s="2479"/>
      <c r="P159" s="2282"/>
      <c r="R159" s="341" t="str">
        <f t="array" ref="R159">IFERROR(IF($R$11="Metro",INDEX($F$13:$F$829,SMALL(IF((County=$G$13:$G$829),MATCH(ROW($G$13:$G$829),ROW($G$13:$G$829)),""),ROWS($A$13:A159))),INDEX($I$13:$I$44,SMALL(IF((County=$J$13:$J$44),MATCH(ROW($J$13:$J$44),ROW($J$13:$J$44)),""),ROWS($A$13:A159)))),"")</f>
        <v/>
      </c>
      <c r="T159" s="341" t="str">
        <f t="array" ref="T159">IFERROR(IF($T$11="Yes",INDEX($L$13:$L$2813,SMALL(IF((County=$M$13:$M$2813),MATCH(ROW($M$13:$M$2813),ROW($M$13:$M$2813)),""),ROWS($A$13:A159))),""),"")</f>
        <v/>
      </c>
      <c r="V159" s="2283" t="str">
        <f t="array" ref="V159">IFERROR(IF($T$11="Yes",INDEX($O$14:$O$2811,SMALL(IF((County=$P$14:$P$2811),MATCH(ROW($P$14:$P$2811),ROW($P$14:$P$2811)),""),ROWS($A$13:A159))),""),"")</f>
        <v/>
      </c>
      <c r="X159" s="339">
        <v>33145</v>
      </c>
      <c r="Y159" s="338" t="s">
        <v>2579</v>
      </c>
      <c r="AA159" s="338">
        <v>16</v>
      </c>
      <c r="AB159" s="338" t="s">
        <v>285</v>
      </c>
      <c r="AG159" s="2297">
        <v>9</v>
      </c>
      <c r="AH159" s="2297" t="s">
        <v>323</v>
      </c>
      <c r="AI159" s="1390"/>
      <c r="AJ159" s="2282"/>
      <c r="AK159" s="2282"/>
      <c r="AL159" s="1037"/>
      <c r="AM159" s="339">
        <v>33016</v>
      </c>
      <c r="AN159" s="338" t="s">
        <v>331</v>
      </c>
      <c r="AQ159" s="858"/>
      <c r="AR159" s="338">
        <v>160.02000000000001</v>
      </c>
      <c r="AS159" s="338" t="s">
        <v>302</v>
      </c>
      <c r="AX159" s="340">
        <v>101.04</v>
      </c>
      <c r="AY159" s="340" t="s">
        <v>289</v>
      </c>
      <c r="BA159" s="341" t="str">
        <f t="array" ref="BA159">IFERROR(IF($BA$11="Metro",INDEX($AR$13:$AR$814,SMALL(IF((County=$AS$13:$AS$814),MATCH(ROW($AS$13:$AS$814),ROW($AS$13:$AS$814)),""),ROWS($A$13:$A159))),INDEX($AU$13:$AU$48,SMALL(IF((County=$AV$13:$AV$48),MATCH(ROW($AV$13:$AV$48),ROW($AV$13:$AV$48)),""),ROWS($A$13:$A159)))),"")</f>
        <v/>
      </c>
      <c r="BC159" s="341" t="str">
        <f t="array" ref="BC159">IFERROR(IF($BC$11="Yes",INDEX($AX$13:$AX$2950,SMALL(IF((County=$AY$13:$AY$2950),MATCH(ROW($AY$13:$AY$2950),ROW($AY$13:$AY$2950)),""),ROWS($A$13:$A159))),""),"")</f>
        <v/>
      </c>
      <c r="BE159" s="339">
        <v>33193</v>
      </c>
      <c r="BF159" s="338" t="s">
        <v>331</v>
      </c>
      <c r="BH159" s="338">
        <v>12.07</v>
      </c>
      <c r="BI159" s="338" t="s">
        <v>331</v>
      </c>
      <c r="BN159" s="340">
        <v>8.02</v>
      </c>
      <c r="BO159" s="340" t="s">
        <v>304</v>
      </c>
      <c r="BP159" s="1385"/>
      <c r="BQ159" s="1583">
        <v>34135</v>
      </c>
      <c r="BR159" s="236" t="s">
        <v>323</v>
      </c>
      <c r="BU159" s="858"/>
      <c r="BV159" s="338">
        <v>630</v>
      </c>
      <c r="BW159" s="338" t="s">
        <v>288</v>
      </c>
      <c r="BY159" s="236">
        <v>9104.01</v>
      </c>
      <c r="BZ159" s="236" t="s">
        <v>337</v>
      </c>
      <c r="CB159" s="340">
        <v>717</v>
      </c>
      <c r="CC159" s="340" t="s">
        <v>288</v>
      </c>
      <c r="CE159" s="341" t="str">
        <f t="array" ref="CE159">IFERROR(IF($CE$11="Metro",INDEX($BV$13:$BV$4972,SMALL(IF((County=$BW$13:$BW$4972),MATCH(ROW($BW$13:$BW$4972),ROW($BW$13:$BW$4972)),""),ROWS($A$13:$A159))),INDEX($BY$13:$BY$212,SMALL(IF((County=$BZ$13:$BZ$212),MATCH(ROW($BZ$13:$BZ$212),ROW($BZ$13:$BZ$212)),""),ROWS($A$13:$A159)))),"")</f>
        <v/>
      </c>
      <c r="CG159" s="341" t="str">
        <f t="array" ref="CG159">IFERROR(IF($CG$11="Yes",INDEX($CB$13:$CB$2950,SMALL(IF((County=$CC$13:$CC$2950),MATCH(ROW($CC$13:$CC$2950),ROW($CC$13:$CC$2950)),""),ROWS($A$13:$A159))),""),"")</f>
        <v/>
      </c>
      <c r="CI159" s="1387">
        <v>33180</v>
      </c>
      <c r="CJ159" s="338" t="s">
        <v>331</v>
      </c>
      <c r="CL159" s="236">
        <v>4.01</v>
      </c>
      <c r="CM159" s="236" t="s">
        <v>329</v>
      </c>
      <c r="CO159" s="236">
        <v>9703.02</v>
      </c>
      <c r="CP159" s="236" t="s">
        <v>306</v>
      </c>
      <c r="CR159" s="340">
        <v>8.01</v>
      </c>
      <c r="CS159" s="340" t="s">
        <v>347</v>
      </c>
      <c r="CT159" s="1384"/>
      <c r="CU159" s="341">
        <v>34209</v>
      </c>
      <c r="CV159" s="338" t="s">
        <v>328</v>
      </c>
      <c r="CZ159" s="1795">
        <v>16</v>
      </c>
      <c r="DA159" s="338" t="s">
        <v>302</v>
      </c>
      <c r="DF159" s="340">
        <v>103.08</v>
      </c>
      <c r="DG159" s="340" t="s">
        <v>289</v>
      </c>
      <c r="DI159" s="341" t="str">
        <f t="array" ref="DI159">IFERROR(IF($DI$11="Metro",INDEX($CZ$13:$CZ$929,SMALL(IF((County=$DA$13:$DA$929),MATCH(ROW($DA$13:$DA$929),ROW($DA$13:$DA$929)),""),ROWS($A$13:$A159))),INDEX($DC$13:$DC$212,SMALL(IF((County=$DD$13:$DD$212),MATCH(ROW($DD$13:$DD$212),ROW($DD$13:$DD$212)),""),ROWS($A$13:$A159)))),"")</f>
        <v/>
      </c>
      <c r="DK159" s="341" t="str">
        <f t="array" ref="DK159">IFERROR(IF($DK$11="Yes",INDEX($DF$13:$DF$2838,SMALL(IF((County=$DG$13:$DG$2838),MATCH(ROW($DG$13:$DG$2838),ROW($DG$13:$DG$2838)),""),ROWS($A$13:$A159))),""),"")</f>
        <v/>
      </c>
      <c r="DM159" s="1387">
        <v>33178</v>
      </c>
      <c r="DN159" s="338" t="s">
        <v>2579</v>
      </c>
      <c r="DP159" s="236">
        <v>15</v>
      </c>
      <c r="DQ159" s="236" t="s">
        <v>302</v>
      </c>
      <c r="DV159" s="340">
        <v>8.1</v>
      </c>
      <c r="DW159" s="340" t="s">
        <v>329</v>
      </c>
      <c r="DX159" s="1671"/>
      <c r="EB159" s="618"/>
      <c r="EC159" s="618"/>
      <c r="ED159" s="618"/>
      <c r="EE159" s="618"/>
      <c r="EF159" s="618"/>
      <c r="EG159" s="618"/>
      <c r="EH159" s="618"/>
      <c r="EI159" s="618"/>
      <c r="EJ159" s="618"/>
      <c r="EK159" s="618"/>
      <c r="EL159" s="618"/>
      <c r="EM159" s="618"/>
    </row>
    <row r="160" spans="1:143" ht="14.65" customHeight="1">
      <c r="A160" s="339">
        <v>33924</v>
      </c>
      <c r="B160" s="338" t="s">
        <v>323</v>
      </c>
      <c r="E160" s="858"/>
      <c r="F160" s="338">
        <v>114</v>
      </c>
      <c r="G160" s="338" t="s">
        <v>302</v>
      </c>
      <c r="L160" s="2481">
        <v>104.07</v>
      </c>
      <c r="M160" s="340" t="s">
        <v>289</v>
      </c>
      <c r="N160" s="1390"/>
      <c r="O160" s="2479"/>
      <c r="P160" s="2282"/>
      <c r="R160" s="341" t="str">
        <f t="array" ref="R160">IFERROR(IF($R$11="Metro",INDEX($F$13:$F$829,SMALL(IF((County=$G$13:$G$829),MATCH(ROW($G$13:$G$829),ROW($G$13:$G$829)),""),ROWS($A$13:A160))),INDEX($I$13:$I$44,SMALL(IF((County=$J$13:$J$44),MATCH(ROW($J$13:$J$44),ROW($J$13:$J$44)),""),ROWS($A$13:A160)))),"")</f>
        <v/>
      </c>
      <c r="T160" s="341" t="str">
        <f t="array" ref="T160">IFERROR(IF($T$11="Yes",INDEX($L$13:$L$2813,SMALL(IF((County=$M$13:$M$2813),MATCH(ROW($M$13:$M$2813),ROW($M$13:$M$2813)),""),ROWS($A$13:A160))),""),"")</f>
        <v/>
      </c>
      <c r="V160" s="2283" t="str">
        <f t="array" ref="V160">IFERROR(IF($T$11="Yes",INDEX($O$14:$O$2811,SMALL(IF((County=$P$14:$P$2811),MATCH(ROW($P$14:$P$2811),ROW($P$14:$P$2811)),""),ROWS($A$13:A160))),""),"")</f>
        <v/>
      </c>
      <c r="X160" s="339">
        <v>33146</v>
      </c>
      <c r="Y160" s="338" t="s">
        <v>2579</v>
      </c>
      <c r="AA160" s="338">
        <v>16</v>
      </c>
      <c r="AB160" s="338" t="s">
        <v>302</v>
      </c>
      <c r="AG160" s="2297">
        <v>9</v>
      </c>
      <c r="AH160" s="2297" t="s">
        <v>347</v>
      </c>
      <c r="AI160" s="1390"/>
      <c r="AJ160" s="2282"/>
      <c r="AK160" s="2282"/>
      <c r="AL160" s="1037"/>
      <c r="AM160" s="339">
        <v>33018</v>
      </c>
      <c r="AN160" s="338" t="s">
        <v>331</v>
      </c>
      <c r="AQ160" s="858"/>
      <c r="AR160" s="338">
        <v>163</v>
      </c>
      <c r="AS160" s="338" t="s">
        <v>302</v>
      </c>
      <c r="AX160" s="340">
        <v>103.08</v>
      </c>
      <c r="AY160" s="340" t="s">
        <v>289</v>
      </c>
      <c r="BA160" s="341" t="str">
        <f t="array" ref="BA160">IFERROR(IF($BA$11="Metro",INDEX($AR$13:$AR$814,SMALL(IF((County=$AS$13:$AS$814),MATCH(ROW($AS$13:$AS$814),ROW($AS$13:$AS$814)),""),ROWS($A$13:$A160))),INDEX($AU$13:$AU$48,SMALL(IF((County=$AV$13:$AV$48),MATCH(ROW($AV$13:$AV$48),ROW($AV$13:$AV$48)),""),ROWS($A$13:$A160)))),"")</f>
        <v/>
      </c>
      <c r="BC160" s="341" t="str">
        <f t="array" ref="BC160">IFERROR(IF($BC$11="Yes",INDEX($AX$13:$AX$2950,SMALL(IF((County=$AY$13:$AY$2950),MATCH(ROW($AY$13:$AY$2950),ROW($AY$13:$AY$2950)),""),ROWS($A$13:$A160))),""),"")</f>
        <v/>
      </c>
      <c r="BE160" s="339">
        <v>33194</v>
      </c>
      <c r="BF160" s="338" t="s">
        <v>331</v>
      </c>
      <c r="BH160" s="338">
        <v>12.08</v>
      </c>
      <c r="BI160" s="338" t="s">
        <v>331</v>
      </c>
      <c r="BN160" s="340">
        <v>8.02</v>
      </c>
      <c r="BO160" s="340" t="s">
        <v>347</v>
      </c>
      <c r="BP160" s="1385"/>
      <c r="BQ160" s="1583">
        <v>34201</v>
      </c>
      <c r="BR160" s="236" t="s">
        <v>328</v>
      </c>
      <c r="BU160" s="858"/>
      <c r="BV160" s="338">
        <v>631.02</v>
      </c>
      <c r="BW160" s="338" t="s">
        <v>288</v>
      </c>
      <c r="BY160" s="236">
        <v>9104.02</v>
      </c>
      <c r="BZ160" s="236" t="s">
        <v>337</v>
      </c>
      <c r="CB160" s="340">
        <v>101.02</v>
      </c>
      <c r="CC160" s="340" t="s">
        <v>289</v>
      </c>
      <c r="CE160" s="341" t="str">
        <f t="array" ref="CE160">IFERROR(IF($CE$11="Metro",INDEX($BV$13:$BV$4972,SMALL(IF((County=$BW$13:$BW$4972),MATCH(ROW($BW$13:$BW$4972),ROW($BW$13:$BW$4972)),""),ROWS($A$13:$A160))),INDEX($BY$13:$BY$212,SMALL(IF((County=$BZ$13:$BZ$212),MATCH(ROW($BZ$13:$BZ$212),ROW($BZ$13:$BZ$212)),""),ROWS($A$13:$A160)))),"")</f>
        <v/>
      </c>
      <c r="CG160" s="341" t="str">
        <f t="array" ref="CG160">IFERROR(IF($CG$11="Yes",INDEX($CB$13:$CB$2950,SMALL(IF((County=$CC$13:$CC$2950),MATCH(ROW($CC$13:$CC$2950),ROW($CC$13:$CC$2950)),""),ROWS($A$13:$A160))),""),"")</f>
        <v/>
      </c>
      <c r="CI160" s="1387">
        <v>33182</v>
      </c>
      <c r="CJ160" s="338" t="s">
        <v>331</v>
      </c>
      <c r="CL160" s="236">
        <v>4.01</v>
      </c>
      <c r="CM160" s="236" t="s">
        <v>347</v>
      </c>
      <c r="CO160" s="236">
        <v>9703.02</v>
      </c>
      <c r="CP160" s="236" t="s">
        <v>312</v>
      </c>
      <c r="CR160" s="340">
        <v>8.02</v>
      </c>
      <c r="CS160" s="340" t="s">
        <v>304</v>
      </c>
      <c r="CT160" s="1384"/>
      <c r="CU160" s="341">
        <v>34211</v>
      </c>
      <c r="CV160" s="338" t="s">
        <v>328</v>
      </c>
      <c r="CZ160" s="1795">
        <v>25.01</v>
      </c>
      <c r="DA160" s="338" t="s">
        <v>302</v>
      </c>
      <c r="DF160" s="340">
        <v>104.01</v>
      </c>
      <c r="DG160" s="340" t="s">
        <v>289</v>
      </c>
      <c r="DI160" s="341" t="str">
        <f t="array" ref="DI160">IFERROR(IF($DI$11="Metro",INDEX($CZ$13:$CZ$929,SMALL(IF((County=$DA$13:$DA$929),MATCH(ROW($DA$13:$DA$929),ROW($DA$13:$DA$929)),""),ROWS($A$13:$A160))),INDEX($DC$13:$DC$212,SMALL(IF((County=$DD$13:$DD$212),MATCH(ROW($DD$13:$DD$212),ROW($DD$13:$DD$212)),""),ROWS($A$13:$A160)))),"")</f>
        <v/>
      </c>
      <c r="DK160" s="341" t="str">
        <f t="array" ref="DK160">IFERROR(IF($DK$11="Yes",INDEX($DF$13:$DF$2838,SMALL(IF((County=$DG$13:$DG$2838),MATCH(ROW($DG$13:$DG$2838),ROW($DG$13:$DG$2838)),""),ROWS($A$13:$A160))),""),"")</f>
        <v/>
      </c>
      <c r="DM160" s="1387">
        <v>33179</v>
      </c>
      <c r="DN160" s="338" t="s">
        <v>2579</v>
      </c>
      <c r="DP160" s="236">
        <v>15</v>
      </c>
      <c r="DQ160" s="236" t="s">
        <v>304</v>
      </c>
      <c r="DV160" s="340">
        <v>8.11</v>
      </c>
      <c r="DW160" s="340" t="s">
        <v>329</v>
      </c>
      <c r="DX160" s="1671"/>
      <c r="EB160" s="618"/>
      <c r="EC160" s="618"/>
      <c r="ED160" s="618"/>
      <c r="EE160" s="618"/>
      <c r="EF160" s="618"/>
      <c r="EG160" s="618"/>
      <c r="EH160" s="618"/>
      <c r="EI160" s="618"/>
      <c r="EJ160" s="618"/>
      <c r="EK160" s="618"/>
      <c r="EL160" s="618"/>
      <c r="EM160" s="618"/>
    </row>
    <row r="161" spans="1:143" ht="14.65" customHeight="1">
      <c r="A161" s="339">
        <v>33928</v>
      </c>
      <c r="B161" s="338" t="s">
        <v>323</v>
      </c>
      <c r="E161" s="858"/>
      <c r="F161" s="338">
        <v>115</v>
      </c>
      <c r="G161" s="338" t="s">
        <v>302</v>
      </c>
      <c r="L161" s="2481">
        <v>105.02</v>
      </c>
      <c r="M161" s="340" t="s">
        <v>289</v>
      </c>
      <c r="N161" s="1390"/>
      <c r="O161" s="2479"/>
      <c r="P161" s="2282"/>
      <c r="R161" s="341" t="str">
        <f t="array" ref="R161">IFERROR(IF($R$11="Metro",INDEX($F$13:$F$829,SMALL(IF((County=$G$13:$G$829),MATCH(ROW($G$13:$G$829),ROW($G$13:$G$829)),""),ROWS($A$13:A161))),INDEX($I$13:$I$44,SMALL(IF((County=$J$13:$J$44),MATCH(ROW($J$13:$J$44),ROW($J$13:$J$44)),""),ROWS($A$13:A161)))),"")</f>
        <v/>
      </c>
      <c r="T161" s="341" t="str">
        <f t="array" ref="T161">IFERROR(IF($T$11="Yes",INDEX($L$13:$L$2813,SMALL(IF((County=$M$13:$M$2813),MATCH(ROW($M$13:$M$2813),ROW($M$13:$M$2813)),""),ROWS($A$13:A161))),""),"")</f>
        <v/>
      </c>
      <c r="V161" s="2283" t="str">
        <f t="array" ref="V161">IFERROR(IF($T$11="Yes",INDEX($O$14:$O$2811,SMALL(IF((County=$P$14:$P$2811),MATCH(ROW($P$14:$P$2811),ROW($P$14:$P$2811)),""),ROWS($A$13:A161))),""),"")</f>
        <v/>
      </c>
      <c r="X161" s="339">
        <v>33149</v>
      </c>
      <c r="Y161" s="338" t="s">
        <v>2579</v>
      </c>
      <c r="AA161" s="338">
        <v>16</v>
      </c>
      <c r="AB161" s="338" t="s">
        <v>304</v>
      </c>
      <c r="AG161" s="2297">
        <v>9.01</v>
      </c>
      <c r="AH161" s="2297" t="s">
        <v>329</v>
      </c>
      <c r="AI161" s="1390"/>
      <c r="AJ161" s="2282"/>
      <c r="AK161" s="2282"/>
      <c r="AL161" s="1037"/>
      <c r="AM161" s="339">
        <v>33035</v>
      </c>
      <c r="AN161" s="338" t="s">
        <v>331</v>
      </c>
      <c r="AQ161" s="858"/>
      <c r="AR161" s="338">
        <v>166.05</v>
      </c>
      <c r="AS161" s="338" t="s">
        <v>302</v>
      </c>
      <c r="AX161" s="340">
        <v>104.01</v>
      </c>
      <c r="AY161" s="340" t="s">
        <v>289</v>
      </c>
      <c r="BA161" s="341" t="str">
        <f t="array" ref="BA161">IFERROR(IF($BA$11="Metro",INDEX($AR$13:$AR$814,SMALL(IF((County=$AS$13:$AS$814),MATCH(ROW($AS$13:$AS$814),ROW($AS$13:$AS$814)),""),ROWS($A$13:$A161))),INDEX($AU$13:$AU$48,SMALL(IF((County=$AV$13:$AV$48),MATCH(ROW($AV$13:$AV$48),ROW($AV$13:$AV$48)),""),ROWS($A$13:$A161)))),"")</f>
        <v/>
      </c>
      <c r="BC161" s="341" t="str">
        <f t="array" ref="BC161">IFERROR(IF($BC$11="Yes",INDEX($AX$13:$AX$2950,SMALL(IF((County=$AY$13:$AY$2950),MATCH(ROW($AY$13:$AY$2950),ROW($AY$13:$AY$2950)),""),ROWS($A$13:$A161))),""),"")</f>
        <v/>
      </c>
      <c r="BE161" s="339">
        <v>33196</v>
      </c>
      <c r="BF161" s="338" t="s">
        <v>331</v>
      </c>
      <c r="BH161" s="338">
        <v>12.09</v>
      </c>
      <c r="BI161" s="338" t="s">
        <v>331</v>
      </c>
      <c r="BN161" s="340">
        <v>8.0299999999999994</v>
      </c>
      <c r="BO161" s="340" t="s">
        <v>340</v>
      </c>
      <c r="BP161" s="1385"/>
      <c r="BQ161" s="1583">
        <v>34202</v>
      </c>
      <c r="BR161" s="236" t="s">
        <v>328</v>
      </c>
      <c r="BU161" s="858"/>
      <c r="BV161" s="338">
        <v>631.04</v>
      </c>
      <c r="BW161" s="338" t="s">
        <v>288</v>
      </c>
      <c r="BY161" s="236">
        <v>9104.0300000000007</v>
      </c>
      <c r="BZ161" s="236" t="s">
        <v>337</v>
      </c>
      <c r="CB161" s="340">
        <v>101.03</v>
      </c>
      <c r="CC161" s="340" t="s">
        <v>289</v>
      </c>
      <c r="CE161" s="341" t="str">
        <f t="array" ref="CE161">IFERROR(IF($CE$11="Metro",INDEX($BV$13:$BV$4972,SMALL(IF((County=$BW$13:$BW$4972),MATCH(ROW($BW$13:$BW$4972),ROW($BW$13:$BW$4972)),""),ROWS($A$13:$A161))),INDEX($BY$13:$BY$212,SMALL(IF((County=$BZ$13:$BZ$212),MATCH(ROW($BZ$13:$BZ$212),ROW($BZ$13:$BZ$212)),""),ROWS($A$13:$A161)))),"")</f>
        <v/>
      </c>
      <c r="CG161" s="341" t="str">
        <f t="array" ref="CG161">IFERROR(IF($CG$11="Yes",INDEX($CB$13:$CB$2950,SMALL(IF((County=$CC$13:$CC$2950),MATCH(ROW($CC$13:$CC$2950),ROW($CC$13:$CC$2950)),""),ROWS($A$13:$A161))),""),"")</f>
        <v/>
      </c>
      <c r="CI161" s="1387">
        <v>33183</v>
      </c>
      <c r="CJ161" s="338" t="s">
        <v>331</v>
      </c>
      <c r="CL161" s="338">
        <v>4.0199999999999996</v>
      </c>
      <c r="CM161" s="338" t="s">
        <v>285</v>
      </c>
      <c r="CO161" s="236">
        <v>9703.02</v>
      </c>
      <c r="CP161" s="236" t="s">
        <v>358</v>
      </c>
      <c r="CR161" s="340">
        <v>8.02</v>
      </c>
      <c r="CS161" s="340" t="s">
        <v>347</v>
      </c>
      <c r="CT161" s="1384"/>
      <c r="CU161" s="341">
        <v>34212</v>
      </c>
      <c r="CV161" s="338" t="s">
        <v>328</v>
      </c>
      <c r="CZ161" s="1795">
        <v>26</v>
      </c>
      <c r="DA161" s="338" t="s">
        <v>302</v>
      </c>
      <c r="DF161" s="340">
        <v>104.05</v>
      </c>
      <c r="DG161" s="340" t="s">
        <v>289</v>
      </c>
      <c r="DI161" s="341" t="str">
        <f t="array" ref="DI161">IFERROR(IF($DI$11="Metro",INDEX($CZ$13:$CZ$929,SMALL(IF((County=$DA$13:$DA$929),MATCH(ROW($DA$13:$DA$929),ROW($DA$13:$DA$929)),""),ROWS($A$13:$A161))),INDEX($DC$13:$DC$212,SMALL(IF((County=$DD$13:$DD$212),MATCH(ROW($DD$13:$DD$212),ROW($DD$13:$DD$212)),""),ROWS($A$13:$A161)))),"")</f>
        <v/>
      </c>
      <c r="DK161" s="341" t="str">
        <f t="array" ref="DK161">IFERROR(IF($DK$11="Yes",INDEX($DF$13:$DF$2838,SMALL(IF((County=$DG$13:$DG$2838),MATCH(ROW($DG$13:$DG$2838),ROW($DG$13:$DG$2838)),""),ROWS($A$13:$A161))),""),"")</f>
        <v/>
      </c>
      <c r="DM161" s="1387">
        <v>33180</v>
      </c>
      <c r="DN161" s="338" t="s">
        <v>2579</v>
      </c>
      <c r="DP161" s="236">
        <v>15</v>
      </c>
      <c r="DQ161" s="236" t="s">
        <v>329</v>
      </c>
      <c r="DV161" s="340">
        <v>8.1199999999999992</v>
      </c>
      <c r="DW161" s="340" t="s">
        <v>328</v>
      </c>
      <c r="DX161" s="1671"/>
      <c r="EB161" s="618"/>
      <c r="EC161" s="618"/>
      <c r="ED161" s="618"/>
      <c r="EE161" s="618"/>
      <c r="EF161" s="618"/>
      <c r="EG161" s="618"/>
      <c r="EH161" s="618"/>
      <c r="EI161" s="618"/>
      <c r="EJ161" s="618"/>
      <c r="EK161" s="618"/>
      <c r="EL161" s="618"/>
      <c r="EM161" s="618"/>
    </row>
    <row r="162" spans="1:143" ht="14.65" customHeight="1">
      <c r="A162" s="339">
        <v>33956</v>
      </c>
      <c r="B162" s="338" t="s">
        <v>323</v>
      </c>
      <c r="E162" s="858"/>
      <c r="F162" s="338">
        <v>116</v>
      </c>
      <c r="G162" s="338" t="s">
        <v>302</v>
      </c>
      <c r="L162" s="2481">
        <v>105.03</v>
      </c>
      <c r="M162" s="340" t="s">
        <v>289</v>
      </c>
      <c r="N162" s="1390"/>
      <c r="O162" s="2479"/>
      <c r="P162" s="2282"/>
      <c r="R162" s="341" t="str">
        <f t="array" ref="R162">IFERROR(IF($R$11="Metro",INDEX($F$13:$F$829,SMALL(IF((County=$G$13:$G$829),MATCH(ROW($G$13:$G$829),ROW($G$13:$G$829)),""),ROWS($A$13:A162))),INDEX($I$13:$I$44,SMALL(IF((County=$J$13:$J$44),MATCH(ROW($J$13:$J$44),ROW($J$13:$J$44)),""),ROWS($A$13:A162)))),"")</f>
        <v/>
      </c>
      <c r="T162" s="341" t="str">
        <f t="array" ref="T162">IFERROR(IF($T$11="Yes",INDEX($L$13:$L$2813,SMALL(IF((County=$M$13:$M$2813),MATCH(ROW($M$13:$M$2813),ROW($M$13:$M$2813)),""),ROWS($A$13:A162))),""),"")</f>
        <v/>
      </c>
      <c r="V162" s="2283" t="str">
        <f t="array" ref="V162">IFERROR(IF($T$11="Yes",INDEX($O$14:$O$2811,SMALL(IF((County=$P$14:$P$2811),MATCH(ROW($P$14:$P$2811),ROW($P$14:$P$2811)),""),ROWS($A$13:A162))),""),"")</f>
        <v/>
      </c>
      <c r="X162" s="339">
        <v>33154</v>
      </c>
      <c r="Y162" s="338" t="s">
        <v>2579</v>
      </c>
      <c r="AA162" s="338">
        <v>16.05</v>
      </c>
      <c r="AB162" s="338" t="s">
        <v>276</v>
      </c>
      <c r="AG162" s="2297">
        <v>9.01</v>
      </c>
      <c r="AH162" s="2297" t="s">
        <v>330</v>
      </c>
      <c r="AI162" s="1390"/>
      <c r="AJ162" s="2282"/>
      <c r="AK162" s="2282"/>
      <c r="AL162" s="1037"/>
      <c r="AM162" s="339">
        <v>33055</v>
      </c>
      <c r="AN162" s="338" t="s">
        <v>331</v>
      </c>
      <c r="AQ162" s="858"/>
      <c r="AR162" s="338">
        <v>166.06</v>
      </c>
      <c r="AS162" s="338" t="s">
        <v>302</v>
      </c>
      <c r="AX162" s="340">
        <v>104.06</v>
      </c>
      <c r="AY162" s="340" t="s">
        <v>289</v>
      </c>
      <c r="BA162" s="341" t="str">
        <f t="array" ref="BA162">IFERROR(IF($BA$11="Metro",INDEX($AR$13:$AR$814,SMALL(IF((County=$AS$13:$AS$814),MATCH(ROW($AS$13:$AS$814),ROW($AS$13:$AS$814)),""),ROWS($A$13:$A162))),INDEX($AU$13:$AU$48,SMALL(IF((County=$AV$13:$AV$48),MATCH(ROW($AV$13:$AV$48),ROW($AV$13:$AV$48)),""),ROWS($A$13:$A162)))),"")</f>
        <v/>
      </c>
      <c r="BC162" s="341" t="str">
        <f t="array" ref="BC162">IFERROR(IF($BC$11="Yes",INDEX($AX$13:$AX$2950,SMALL(IF((County=$AY$13:$AY$2950),MATCH(ROW($AY$13:$AY$2950),ROW($AY$13:$AY$2950)),""),ROWS($A$13:$A162))),""),"")</f>
        <v/>
      </c>
      <c r="BE162" s="339">
        <v>33301</v>
      </c>
      <c r="BF162" s="338" t="s">
        <v>289</v>
      </c>
      <c r="BH162" s="338">
        <v>13</v>
      </c>
      <c r="BI162" s="338" t="s">
        <v>302</v>
      </c>
      <c r="BN162" s="340">
        <v>8.0399999999999991</v>
      </c>
      <c r="BO162" s="340" t="s">
        <v>328</v>
      </c>
      <c r="BP162" s="1385"/>
      <c r="BQ162" s="1583">
        <v>34209</v>
      </c>
      <c r="BR162" s="236" t="s">
        <v>328</v>
      </c>
      <c r="BU162" s="858"/>
      <c r="BV162" s="338">
        <v>631.04999999999995</v>
      </c>
      <c r="BW162" s="338" t="s">
        <v>288</v>
      </c>
      <c r="BY162" s="236">
        <v>9105</v>
      </c>
      <c r="BZ162" s="236" t="s">
        <v>337</v>
      </c>
      <c r="CB162" s="340">
        <v>101.04</v>
      </c>
      <c r="CC162" s="340" t="s">
        <v>289</v>
      </c>
      <c r="CE162" s="341" t="str">
        <f t="array" ref="CE162">IFERROR(IF($CE$11="Metro",INDEX($BV$13:$BV$4972,SMALL(IF((County=$BW$13:$BW$4972),MATCH(ROW($BW$13:$BW$4972),ROW($BW$13:$BW$4972)),""),ROWS($A$13:$A162))),INDEX($BY$13:$BY$212,SMALL(IF((County=$BZ$13:$BZ$212),MATCH(ROW($BZ$13:$BZ$212),ROW($BZ$13:$BZ$212)),""),ROWS($A$13:$A162)))),"")</f>
        <v/>
      </c>
      <c r="CG162" s="341" t="str">
        <f t="array" ref="CG162">IFERROR(IF($CG$11="Yes",INDEX($CB$13:$CB$2950,SMALL(IF((County=$CC$13:$CC$2950),MATCH(ROW($CC$13:$CC$2950),ROW($CC$13:$CC$2950)),""),ROWS($A$13:$A162))),""),"")</f>
        <v/>
      </c>
      <c r="CI162" s="1387">
        <v>33184</v>
      </c>
      <c r="CJ162" s="338" t="s">
        <v>331</v>
      </c>
      <c r="CL162" s="236">
        <v>4.0199999999999996</v>
      </c>
      <c r="CM162" s="236" t="s">
        <v>297</v>
      </c>
      <c r="CO162" s="236">
        <v>9703.0300000000007</v>
      </c>
      <c r="CP162" s="236" t="s">
        <v>352</v>
      </c>
      <c r="CR162" s="340">
        <v>8.0299999999999994</v>
      </c>
      <c r="CS162" s="340" t="s">
        <v>340</v>
      </c>
      <c r="CT162" s="1384"/>
      <c r="CU162" s="341">
        <v>34216</v>
      </c>
      <c r="CV162" s="338" t="s">
        <v>328</v>
      </c>
      <c r="CZ162" s="1795">
        <v>27.01</v>
      </c>
      <c r="DA162" s="338" t="s">
        <v>302</v>
      </c>
      <c r="DF162" s="340">
        <v>104.06</v>
      </c>
      <c r="DG162" s="340" t="s">
        <v>289</v>
      </c>
      <c r="DI162" s="341" t="str">
        <f t="array" ref="DI162">IFERROR(IF($DI$11="Metro",INDEX($CZ$13:$CZ$929,SMALL(IF((County=$DA$13:$DA$929),MATCH(ROW($DA$13:$DA$929),ROW($DA$13:$DA$929)),""),ROWS($A$13:$A162))),INDEX($DC$13:$DC$212,SMALL(IF((County=$DD$13:$DD$212),MATCH(ROW($DD$13:$DD$212),ROW($DD$13:$DD$212)),""),ROWS($A$13:$A162)))),"")</f>
        <v/>
      </c>
      <c r="DK162" s="341" t="str">
        <f t="array" ref="DK162">IFERROR(IF($DK$11="Yes",INDEX($DF$13:$DF$2838,SMALL(IF((County=$DG$13:$DG$2838),MATCH(ROW($DG$13:$DG$2838),ROW($DG$13:$DG$2838)),""),ROWS($A$13:$A162))),""),"")</f>
        <v/>
      </c>
      <c r="DM162" s="1387">
        <v>33182</v>
      </c>
      <c r="DN162" s="338" t="s">
        <v>2579</v>
      </c>
      <c r="DP162" s="236">
        <v>15.01</v>
      </c>
      <c r="DQ162" s="236" t="s">
        <v>328</v>
      </c>
      <c r="DV162" s="340">
        <v>8.1300000000000008</v>
      </c>
      <c r="DW162" s="340" t="s">
        <v>328</v>
      </c>
      <c r="DX162" s="1671"/>
      <c r="EB162" s="618"/>
      <c r="EC162" s="618"/>
      <c r="ED162" s="618"/>
      <c r="EE162" s="618"/>
      <c r="EF162" s="618"/>
      <c r="EG162" s="618"/>
      <c r="EH162" s="618"/>
      <c r="EI162" s="618"/>
      <c r="EJ162" s="618"/>
      <c r="EK162" s="618"/>
      <c r="EL162" s="618"/>
      <c r="EM162" s="618"/>
    </row>
    <row r="163" spans="1:143" ht="14.65" customHeight="1">
      <c r="A163" s="339">
        <v>33957</v>
      </c>
      <c r="B163" s="338" t="s">
        <v>323</v>
      </c>
      <c r="E163" s="858"/>
      <c r="F163" s="338">
        <v>118</v>
      </c>
      <c r="G163" s="338" t="s">
        <v>302</v>
      </c>
      <c r="L163" s="2481">
        <v>105.04</v>
      </c>
      <c r="M163" s="340" t="s">
        <v>289</v>
      </c>
      <c r="N163" s="1390"/>
      <c r="O163" s="2479"/>
      <c r="P163" s="2282"/>
      <c r="R163" s="341" t="str">
        <f t="array" ref="R163">IFERROR(IF($R$11="Metro",INDEX($F$13:$F$829,SMALL(IF((County=$G$13:$G$829),MATCH(ROW($G$13:$G$829),ROW($G$13:$G$829)),""),ROWS($A$13:A163))),INDEX($I$13:$I$44,SMALL(IF((County=$J$13:$J$44),MATCH(ROW($J$13:$J$44),ROW($J$13:$J$44)),""),ROWS($A$13:A163)))),"")</f>
        <v/>
      </c>
      <c r="T163" s="341" t="str">
        <f t="array" ref="T163">IFERROR(IF($T$11="Yes",INDEX($L$13:$L$2813,SMALL(IF((County=$M$13:$M$2813),MATCH(ROW($M$13:$M$2813),ROW($M$13:$M$2813)),""),ROWS($A$13:A163))),""),"")</f>
        <v/>
      </c>
      <c r="V163" s="2283" t="str">
        <f t="array" ref="V163">IFERROR(IF($T$11="Yes",INDEX($O$14:$O$2811,SMALL(IF((County=$P$14:$P$2811),MATCH(ROW($P$14:$P$2811),ROW($P$14:$P$2811)),""),ROWS($A$13:A163))),""),"")</f>
        <v/>
      </c>
      <c r="X163" s="339">
        <v>33155</v>
      </c>
      <c r="Y163" s="338" t="s">
        <v>2579</v>
      </c>
      <c r="AA163" s="338">
        <v>16.05</v>
      </c>
      <c r="AB163" s="338" t="s">
        <v>331</v>
      </c>
      <c r="AG163" s="2297">
        <v>9.02</v>
      </c>
      <c r="AH163" s="2297" t="s">
        <v>328</v>
      </c>
      <c r="AI163" s="1390"/>
      <c r="AJ163" s="2282"/>
      <c r="AK163" s="2282"/>
      <c r="AL163" s="1037"/>
      <c r="AM163" s="339">
        <v>33109</v>
      </c>
      <c r="AN163" s="338" t="s">
        <v>331</v>
      </c>
      <c r="AQ163" s="858"/>
      <c r="AR163" s="338">
        <v>172</v>
      </c>
      <c r="AS163" s="338" t="s">
        <v>302</v>
      </c>
      <c r="AX163" s="340">
        <v>105.02</v>
      </c>
      <c r="AY163" s="340" t="s">
        <v>289</v>
      </c>
      <c r="BA163" s="341" t="str">
        <f t="array" ref="BA163">IFERROR(IF($BA$11="Metro",INDEX($AR$13:$AR$814,SMALL(IF((County=$AS$13:$AS$814),MATCH(ROW($AS$13:$AS$814),ROW($AS$13:$AS$814)),""),ROWS($A$13:$A163))),INDEX($AU$13:$AU$48,SMALL(IF((County=$AV$13:$AV$48),MATCH(ROW($AV$13:$AV$48),ROW($AV$13:$AV$48)),""),ROWS($A$13:$A163)))),"")</f>
        <v/>
      </c>
      <c r="BC163" s="341" t="str">
        <f t="array" ref="BC163">IFERROR(IF($BC$11="Yes",INDEX($AX$13:$AX$2950,SMALL(IF((County=$AY$13:$AY$2950),MATCH(ROW($AY$13:$AY$2950),ROW($AY$13:$AY$2950)),""),ROWS($A$13:$A163))),""),"")</f>
        <v/>
      </c>
      <c r="BE163" s="339">
        <v>33304</v>
      </c>
      <c r="BF163" s="338" t="s">
        <v>289</v>
      </c>
      <c r="BH163" s="338">
        <v>13.01</v>
      </c>
      <c r="BI163" s="338" t="s">
        <v>331</v>
      </c>
      <c r="BN163" s="340">
        <v>8.0500000000000007</v>
      </c>
      <c r="BO163" s="340" t="s">
        <v>328</v>
      </c>
      <c r="BP163" s="1385"/>
      <c r="BQ163" s="1583">
        <v>34211</v>
      </c>
      <c r="BR163" s="236" t="s">
        <v>328</v>
      </c>
      <c r="BU163" s="858"/>
      <c r="BV163" s="338">
        <v>631.05999999999995</v>
      </c>
      <c r="BW163" s="338" t="s">
        <v>288</v>
      </c>
      <c r="BY163" s="236">
        <v>9106.01</v>
      </c>
      <c r="BZ163" s="236" t="s">
        <v>337</v>
      </c>
      <c r="CB163" s="340">
        <v>103.08</v>
      </c>
      <c r="CC163" s="340" t="s">
        <v>289</v>
      </c>
      <c r="CE163" s="341" t="str">
        <f t="array" ref="CE163">IFERROR(IF($CE$11="Metro",INDEX($BV$13:$BV$4972,SMALL(IF((County=$BW$13:$BW$4972),MATCH(ROW($BW$13:$BW$4972),ROW($BW$13:$BW$4972)),""),ROWS($A$13:$A163))),INDEX($BY$13:$BY$212,SMALL(IF((County=$BZ$13:$BZ$212),MATCH(ROW($BZ$13:$BZ$212),ROW($BZ$13:$BZ$212)),""),ROWS($A$13:$A163)))),"")</f>
        <v/>
      </c>
      <c r="CG163" s="341" t="str">
        <f t="array" ref="CG163">IFERROR(IF($CG$11="Yes",INDEX($CB$13:$CB$2950,SMALL(IF((County=$CC$13:$CC$2950),MATCH(ROW($CC$13:$CC$2950),ROW($CC$13:$CC$2950)),""),ROWS($A$13:$A163))),""),"")</f>
        <v/>
      </c>
      <c r="CI163" s="1387">
        <v>33185</v>
      </c>
      <c r="CJ163" s="338" t="s">
        <v>331</v>
      </c>
      <c r="CL163" s="236">
        <v>4.0199999999999996</v>
      </c>
      <c r="CM163" s="236" t="s">
        <v>316</v>
      </c>
      <c r="CO163" s="236">
        <v>9703.0300000000007</v>
      </c>
      <c r="CP163" s="236" t="s">
        <v>358</v>
      </c>
      <c r="CR163" s="340">
        <v>8.0399999999999991</v>
      </c>
      <c r="CS163" s="340" t="s">
        <v>328</v>
      </c>
      <c r="CT163" s="1384"/>
      <c r="CU163" s="341">
        <v>34217</v>
      </c>
      <c r="CV163" s="338" t="s">
        <v>328</v>
      </c>
      <c r="CZ163" s="1795">
        <v>27.02</v>
      </c>
      <c r="DA163" s="338" t="s">
        <v>302</v>
      </c>
      <c r="DF163" s="340">
        <v>104.07</v>
      </c>
      <c r="DG163" s="340" t="s">
        <v>289</v>
      </c>
      <c r="DI163" s="341" t="str">
        <f t="array" ref="DI163">IFERROR(IF($DI$11="Metro",INDEX($CZ$13:$CZ$929,SMALL(IF((County=$DA$13:$DA$929),MATCH(ROW($DA$13:$DA$929),ROW($DA$13:$DA$929)),""),ROWS($A$13:$A163))),INDEX($DC$13:$DC$212,SMALL(IF((County=$DD$13:$DD$212),MATCH(ROW($DD$13:$DD$212),ROW($DD$13:$DD$212)),""),ROWS($A$13:$A163)))),"")</f>
        <v/>
      </c>
      <c r="DK163" s="341" t="str">
        <f t="array" ref="DK163">IFERROR(IF($DK$11="Yes",INDEX($DF$13:$DF$2838,SMALL(IF((County=$DG$13:$DG$2838),MATCH(ROW($DG$13:$DG$2838),ROW($DG$13:$DG$2838)),""),ROWS($A$13:$A163))),""),"")</f>
        <v/>
      </c>
      <c r="DM163" s="1387">
        <v>33183</v>
      </c>
      <c r="DN163" s="338" t="s">
        <v>2579</v>
      </c>
      <c r="DP163" s="236">
        <v>15.01</v>
      </c>
      <c r="DQ163" s="236" t="s">
        <v>331</v>
      </c>
      <c r="DV163" s="340">
        <v>8.14</v>
      </c>
      <c r="DW163" s="340" t="s">
        <v>328</v>
      </c>
      <c r="DX163" s="1671"/>
      <c r="EB163" s="618"/>
      <c r="EC163" s="618"/>
      <c r="ED163" s="618"/>
      <c r="EE163" s="618"/>
      <c r="EF163" s="618"/>
      <c r="EG163" s="618"/>
      <c r="EH163" s="618"/>
      <c r="EI163" s="618"/>
      <c r="EJ163" s="618"/>
      <c r="EK163" s="618"/>
      <c r="EL163" s="618"/>
      <c r="EM163" s="618"/>
    </row>
    <row r="164" spans="1:143" ht="14.65" customHeight="1">
      <c r="A164" s="339">
        <v>33965</v>
      </c>
      <c r="B164" s="338" t="s">
        <v>323</v>
      </c>
      <c r="E164" s="858"/>
      <c r="F164" s="338">
        <v>121</v>
      </c>
      <c r="G164" s="338" t="s">
        <v>302</v>
      </c>
      <c r="L164" s="2481">
        <v>106.01</v>
      </c>
      <c r="M164" s="340" t="s">
        <v>289</v>
      </c>
      <c r="N164" s="1390"/>
      <c r="O164" s="2479"/>
      <c r="P164" s="2282"/>
      <c r="R164" s="341" t="str">
        <f t="array" ref="R164">IFERROR(IF($R$11="Metro",INDEX($F$13:$F$829,SMALL(IF((County=$G$13:$G$829),MATCH(ROW($G$13:$G$829),ROW($G$13:$G$829)),""),ROWS($A$13:A164))),INDEX($I$13:$I$44,SMALL(IF((County=$J$13:$J$44),MATCH(ROW($J$13:$J$44),ROW($J$13:$J$44)),""),ROWS($A$13:A164)))),"")</f>
        <v/>
      </c>
      <c r="T164" s="341" t="str">
        <f t="array" ref="T164">IFERROR(IF($T$11="Yes",INDEX($L$13:$L$2813,SMALL(IF((County=$M$13:$M$2813),MATCH(ROW($M$13:$M$2813),ROW($M$13:$M$2813)),""),ROWS($A$13:A164))),""),"")</f>
        <v/>
      </c>
      <c r="V164" s="2283" t="str">
        <f t="array" ref="V164">IFERROR(IF($T$11="Yes",INDEX($O$14:$O$2811,SMALL(IF((County=$P$14:$P$2811),MATCH(ROW($P$14:$P$2811),ROW($P$14:$P$2811)),""),ROWS($A$13:A164))),""),"")</f>
        <v/>
      </c>
      <c r="X164" s="339">
        <v>33156</v>
      </c>
      <c r="Y164" s="338" t="s">
        <v>2579</v>
      </c>
      <c r="AA164" s="338">
        <v>16.059999999999999</v>
      </c>
      <c r="AB164" s="338" t="s">
        <v>331</v>
      </c>
      <c r="AG164" s="2297">
        <v>9.02</v>
      </c>
      <c r="AH164" s="2297" t="s">
        <v>340</v>
      </c>
      <c r="AI164" s="1390"/>
      <c r="AJ164" s="2282"/>
      <c r="AK164" s="2282"/>
      <c r="AL164" s="1037"/>
      <c r="AM164" s="339">
        <v>33126</v>
      </c>
      <c r="AN164" s="338" t="s">
        <v>331</v>
      </c>
      <c r="AQ164" s="858"/>
      <c r="AR164" s="338">
        <v>174</v>
      </c>
      <c r="AS164" s="338" t="s">
        <v>302</v>
      </c>
      <c r="AX164" s="340">
        <v>105.03</v>
      </c>
      <c r="AY164" s="340" t="s">
        <v>289</v>
      </c>
      <c r="BA164" s="341" t="str">
        <f t="array" ref="BA164">IFERROR(IF($BA$11="Metro",INDEX($AR$13:$AR$814,SMALL(IF((County=$AS$13:$AS$814),MATCH(ROW($AS$13:$AS$814),ROW($AS$13:$AS$814)),""),ROWS($A$13:$A164))),INDEX($AU$13:$AU$48,SMALL(IF((County=$AV$13:$AV$48),MATCH(ROW($AV$13:$AV$48),ROW($AV$13:$AV$48)),""),ROWS($A$13:$A164)))),"")</f>
        <v/>
      </c>
      <c r="BC164" s="341" t="str">
        <f t="array" ref="BC164">IFERROR(IF($BC$11="Yes",INDEX($AX$13:$AX$2950,SMALL(IF((County=$AY$13:$AY$2950),MATCH(ROW($AY$13:$AY$2950),ROW($AY$13:$AY$2950)),""),ROWS($A$13:$A164))),""),"")</f>
        <v/>
      </c>
      <c r="BE164" s="339">
        <v>33308</v>
      </c>
      <c r="BF164" s="338" t="s">
        <v>289</v>
      </c>
      <c r="BH164" s="338">
        <v>13.01</v>
      </c>
      <c r="BI164" s="338" t="s">
        <v>340</v>
      </c>
      <c r="BN164" s="340">
        <v>8.0500000000000007</v>
      </c>
      <c r="BO164" s="340" t="s">
        <v>340</v>
      </c>
      <c r="BP164" s="1385"/>
      <c r="BQ164" s="1583">
        <v>34212</v>
      </c>
      <c r="BR164" s="236" t="s">
        <v>328</v>
      </c>
      <c r="BU164" s="858"/>
      <c r="BV164" s="338">
        <v>631.08000000000004</v>
      </c>
      <c r="BW164" s="338" t="s">
        <v>288</v>
      </c>
      <c r="BY164" s="236">
        <v>9106.02</v>
      </c>
      <c r="BZ164" s="236" t="s">
        <v>337</v>
      </c>
      <c r="CB164" s="340">
        <v>104.01</v>
      </c>
      <c r="CC164" s="340" t="s">
        <v>289</v>
      </c>
      <c r="CE164" s="341" t="str">
        <f t="array" ref="CE164">IFERROR(IF($CE$11="Metro",INDEX($BV$13:$BV$4972,SMALL(IF((County=$BW$13:$BW$4972),MATCH(ROW($BW$13:$BW$4972),ROW($BW$13:$BW$4972)),""),ROWS($A$13:$A164))),INDEX($BY$13:$BY$212,SMALL(IF((County=$BZ$13:$BZ$212),MATCH(ROW($BZ$13:$BZ$212),ROW($BZ$13:$BZ$212)),""),ROWS($A$13:$A164)))),"")</f>
        <v/>
      </c>
      <c r="CG164" s="341" t="str">
        <f t="array" ref="CG164">IFERROR(IF($CG$11="Yes",INDEX($CB$13:$CB$2950,SMALL(IF((County=$CC$13:$CC$2950),MATCH(ROW($CC$13:$CC$2950),ROW($CC$13:$CC$2950)),""),ROWS($A$13:$A164))),""),"")</f>
        <v/>
      </c>
      <c r="CI164" s="1387">
        <v>33186</v>
      </c>
      <c r="CJ164" s="338" t="s">
        <v>331</v>
      </c>
      <c r="CL164" s="236">
        <v>4.0199999999999996</v>
      </c>
      <c r="CM164" s="236" t="s">
        <v>323</v>
      </c>
      <c r="CO164" s="236">
        <v>9703.0400000000009</v>
      </c>
      <c r="CP164" s="236" t="s">
        <v>306</v>
      </c>
      <c r="CR164" s="340">
        <v>8.0500000000000007</v>
      </c>
      <c r="CS164" s="340" t="s">
        <v>328</v>
      </c>
      <c r="CT164" s="1384"/>
      <c r="CU164" s="341">
        <v>34219</v>
      </c>
      <c r="CV164" s="338" t="s">
        <v>328</v>
      </c>
      <c r="CZ164" s="1795">
        <v>28.01</v>
      </c>
      <c r="DA164" s="338" t="s">
        <v>302</v>
      </c>
      <c r="DF164" s="340">
        <v>105.02</v>
      </c>
      <c r="DG164" s="340" t="s">
        <v>289</v>
      </c>
      <c r="DI164" s="341" t="str">
        <f t="array" ref="DI164">IFERROR(IF($DI$11="Metro",INDEX($CZ$13:$CZ$929,SMALL(IF((County=$DA$13:$DA$929),MATCH(ROW($DA$13:$DA$929),ROW($DA$13:$DA$929)),""),ROWS($A$13:$A164))),INDEX($DC$13:$DC$212,SMALL(IF((County=$DD$13:$DD$212),MATCH(ROW($DD$13:$DD$212),ROW($DD$13:$DD$212)),""),ROWS($A$13:$A164)))),"")</f>
        <v/>
      </c>
      <c r="DK164" s="341" t="str">
        <f t="array" ref="DK164">IFERROR(IF($DK$11="Yes",INDEX($DF$13:$DF$2838,SMALL(IF((County=$DG$13:$DG$2838),MATCH(ROW($DG$13:$DG$2838),ROW($DG$13:$DG$2838)),""),ROWS($A$13:$A164))),""),"")</f>
        <v/>
      </c>
      <c r="DM164" s="1387">
        <v>33184</v>
      </c>
      <c r="DN164" s="338" t="s">
        <v>2579</v>
      </c>
      <c r="DP164" s="236">
        <v>15.02</v>
      </c>
      <c r="DQ164" s="236" t="s">
        <v>323</v>
      </c>
      <c r="DV164" s="340">
        <v>9</v>
      </c>
      <c r="DW164" s="340" t="s">
        <v>304</v>
      </c>
      <c r="DX164" s="1671"/>
      <c r="EB164" s="618"/>
      <c r="EC164" s="618"/>
      <c r="ED164" s="618"/>
      <c r="EE164" s="618"/>
      <c r="EF164" s="618"/>
      <c r="EG164" s="618"/>
      <c r="EH164" s="618"/>
      <c r="EI164" s="618"/>
      <c r="EJ164" s="618"/>
      <c r="EK164" s="618"/>
      <c r="EL164" s="618"/>
      <c r="EM164" s="618"/>
    </row>
    <row r="165" spans="1:143" ht="14.65" customHeight="1">
      <c r="A165" s="339">
        <v>33966</v>
      </c>
      <c r="B165" s="338" t="s">
        <v>323</v>
      </c>
      <c r="E165" s="858"/>
      <c r="F165" s="338">
        <v>122.01</v>
      </c>
      <c r="G165" s="338" t="s">
        <v>302</v>
      </c>
      <c r="L165" s="2481">
        <v>106.03</v>
      </c>
      <c r="M165" s="340" t="s">
        <v>289</v>
      </c>
      <c r="N165" s="1390"/>
      <c r="O165" s="2479"/>
      <c r="P165" s="2282"/>
      <c r="R165" s="341" t="str">
        <f t="array" ref="R165">IFERROR(IF($R$11="Metro",INDEX($F$13:$F$829,SMALL(IF((County=$G$13:$G$829),MATCH(ROW($G$13:$G$829),ROW($G$13:$G$829)),""),ROWS($A$13:A165))),INDEX($I$13:$I$44,SMALL(IF((County=$J$13:$J$44),MATCH(ROW($J$13:$J$44),ROW($J$13:$J$44)),""),ROWS($A$13:A165)))),"")</f>
        <v/>
      </c>
      <c r="T165" s="341" t="str">
        <f t="array" ref="T165">IFERROR(IF($T$11="Yes",INDEX($L$13:$L$2813,SMALL(IF((County=$M$13:$M$2813),MATCH(ROW($M$13:$M$2813),ROW($M$13:$M$2813)),""),ROWS($A$13:A165))),""),"")</f>
        <v/>
      </c>
      <c r="V165" s="2283" t="str">
        <f t="array" ref="V165">IFERROR(IF($T$11="Yes",INDEX($O$14:$O$2811,SMALL(IF((County=$P$14:$P$2811),MATCH(ROW($P$14:$P$2811),ROW($P$14:$P$2811)),""),ROWS($A$13:A165))),""),"")</f>
        <v/>
      </c>
      <c r="X165" s="339">
        <v>33158</v>
      </c>
      <c r="Y165" s="338" t="s">
        <v>2579</v>
      </c>
      <c r="AA165" s="338">
        <v>17</v>
      </c>
      <c r="AB165" s="338" t="s">
        <v>285</v>
      </c>
      <c r="AG165" s="2297">
        <v>9.0299999999999994</v>
      </c>
      <c r="AH165" s="2297" t="s">
        <v>329</v>
      </c>
      <c r="AI165" s="1390"/>
      <c r="AJ165" s="2282"/>
      <c r="AK165" s="2282"/>
      <c r="AL165" s="1037"/>
      <c r="AM165" s="339">
        <v>33129</v>
      </c>
      <c r="AN165" s="338" t="s">
        <v>331</v>
      </c>
      <c r="AQ165" s="858"/>
      <c r="AR165" s="338">
        <v>3</v>
      </c>
      <c r="AS165" s="338" t="s">
        <v>304</v>
      </c>
      <c r="AX165" s="340">
        <v>105.04</v>
      </c>
      <c r="AY165" s="340" t="s">
        <v>289</v>
      </c>
      <c r="BA165" s="341" t="str">
        <f t="array" ref="BA165">IFERROR(IF($BA$11="Metro",INDEX($AR$13:$AR$814,SMALL(IF((County=$AS$13:$AS$814),MATCH(ROW($AS$13:$AS$814),ROW($AS$13:$AS$814)),""),ROWS($A$13:$A165))),INDEX($AU$13:$AU$48,SMALL(IF((County=$AV$13:$AV$48),MATCH(ROW($AV$13:$AV$48),ROW($AV$13:$AV$48)),""),ROWS($A$13:$A165)))),"")</f>
        <v/>
      </c>
      <c r="BC165" s="341" t="str">
        <f t="array" ref="BC165">IFERROR(IF($BC$11="Yes",INDEX($AX$13:$AX$2950,SMALL(IF((County=$AY$13:$AY$2950),MATCH(ROW($AY$13:$AY$2950),ROW($AY$13:$AY$2950)),""),ROWS($A$13:$A165))),""),"")</f>
        <v/>
      </c>
      <c r="BE165" s="339">
        <v>33315</v>
      </c>
      <c r="BF165" s="338" t="s">
        <v>289</v>
      </c>
      <c r="BH165" s="338">
        <v>13.02</v>
      </c>
      <c r="BI165" s="338" t="s">
        <v>340</v>
      </c>
      <c r="BN165" s="340">
        <v>8.07</v>
      </c>
      <c r="BO165" s="340" t="s">
        <v>329</v>
      </c>
      <c r="BP165" s="1385"/>
      <c r="BQ165" s="1583">
        <v>34216</v>
      </c>
      <c r="BR165" s="236" t="s">
        <v>328</v>
      </c>
      <c r="BU165" s="858"/>
      <c r="BV165" s="338">
        <v>631.09</v>
      </c>
      <c r="BW165" s="338" t="s">
        <v>288</v>
      </c>
      <c r="BY165" s="236">
        <v>9900</v>
      </c>
      <c r="BZ165" s="236" t="s">
        <v>337</v>
      </c>
      <c r="CB165" s="340">
        <v>104.06</v>
      </c>
      <c r="CC165" s="340" t="s">
        <v>289</v>
      </c>
      <c r="CE165" s="341" t="str">
        <f t="array" ref="CE165">IFERROR(IF($CE$11="Metro",INDEX($BV$13:$BV$4972,SMALL(IF((County=$BW$13:$BW$4972),MATCH(ROW($BW$13:$BW$4972),ROW($BW$13:$BW$4972)),""),ROWS($A$13:$A165))),INDEX($BY$13:$BY$212,SMALL(IF((County=$BZ$13:$BZ$212),MATCH(ROW($BZ$13:$BZ$212),ROW($BZ$13:$BZ$212)),""),ROWS($A$13:$A165)))),"")</f>
        <v/>
      </c>
      <c r="CG165" s="341" t="str">
        <f t="array" ref="CG165">IFERROR(IF($CG$11="Yes",INDEX($CB$13:$CB$2950,SMALL(IF((County=$CC$13:$CC$2950),MATCH(ROW($CC$13:$CC$2950),ROW($CC$13:$CC$2950)),""),ROWS($A$13:$A165))),""),"")</f>
        <v/>
      </c>
      <c r="CI165" s="1387">
        <v>33187</v>
      </c>
      <c r="CJ165" s="338" t="s">
        <v>331</v>
      </c>
      <c r="CL165" s="236">
        <v>4.0199999999999996</v>
      </c>
      <c r="CM165" s="236" t="s">
        <v>329</v>
      </c>
      <c r="CO165" s="236">
        <v>9703.0400000000009</v>
      </c>
      <c r="CP165" s="236" t="s">
        <v>352</v>
      </c>
      <c r="CR165" s="340">
        <v>8.0500000000000007</v>
      </c>
      <c r="CS165" s="340" t="s">
        <v>340</v>
      </c>
      <c r="CT165" s="1384"/>
      <c r="CU165" s="341">
        <v>34228</v>
      </c>
      <c r="CV165" s="338" t="s">
        <v>328</v>
      </c>
      <c r="CZ165" s="1795">
        <v>28.02</v>
      </c>
      <c r="DA165" s="338" t="s">
        <v>302</v>
      </c>
      <c r="DF165" s="340">
        <v>105.03</v>
      </c>
      <c r="DG165" s="340" t="s">
        <v>289</v>
      </c>
      <c r="DI165" s="341" t="str">
        <f t="array" ref="DI165">IFERROR(IF($DI$11="Metro",INDEX($CZ$13:$CZ$929,SMALL(IF((County=$DA$13:$DA$929),MATCH(ROW($DA$13:$DA$929),ROW($DA$13:$DA$929)),""),ROWS($A$13:$A165))),INDEX($DC$13:$DC$212,SMALL(IF((County=$DD$13:$DD$212),MATCH(ROW($DD$13:$DD$212),ROW($DD$13:$DD$212)),""),ROWS($A$13:$A165)))),"")</f>
        <v/>
      </c>
      <c r="DK165" s="341" t="str">
        <f t="array" ref="DK165">IFERROR(IF($DK$11="Yes",INDEX($DF$13:$DF$2838,SMALL(IF((County=$DG$13:$DG$2838),MATCH(ROW($DG$13:$DG$2838),ROW($DG$13:$DG$2838)),""),ROWS($A$13:$A165))),""),"")</f>
        <v/>
      </c>
      <c r="DM165" s="1387">
        <v>33185</v>
      </c>
      <c r="DN165" s="338" t="s">
        <v>2579</v>
      </c>
      <c r="DP165" s="236">
        <v>15.02</v>
      </c>
      <c r="DQ165" s="236" t="s">
        <v>328</v>
      </c>
      <c r="DV165" s="340">
        <v>9</v>
      </c>
      <c r="DW165" s="340" t="s">
        <v>323</v>
      </c>
      <c r="DX165" s="1671"/>
      <c r="EB165" s="618"/>
      <c r="EC165" s="618"/>
      <c r="ED165" s="618"/>
      <c r="EE165" s="618"/>
      <c r="EF165" s="618"/>
      <c r="EG165" s="618"/>
      <c r="EH165" s="618"/>
      <c r="EI165" s="618"/>
      <c r="EJ165" s="618"/>
      <c r="EK165" s="618"/>
      <c r="EL165" s="618"/>
      <c r="EM165" s="618"/>
    </row>
    <row r="166" spans="1:143" ht="14.65" customHeight="1">
      <c r="A166" s="339">
        <v>33967</v>
      </c>
      <c r="B166" s="338" t="s">
        <v>323</v>
      </c>
      <c r="E166" s="858"/>
      <c r="F166" s="338">
        <v>122.02</v>
      </c>
      <c r="G166" s="338" t="s">
        <v>302</v>
      </c>
      <c r="L166" s="2481">
        <v>106.04</v>
      </c>
      <c r="M166" s="340" t="s">
        <v>289</v>
      </c>
      <c r="N166" s="1390"/>
      <c r="O166" s="2479"/>
      <c r="P166" s="2282"/>
      <c r="R166" s="341" t="str">
        <f t="array" ref="R166">IFERROR(IF($R$11="Metro",INDEX($F$13:$F$829,SMALL(IF((County=$G$13:$G$829),MATCH(ROW($G$13:$G$829),ROW($G$13:$G$829)),""),ROWS($A$13:A166))),INDEX($I$13:$I$44,SMALL(IF((County=$J$13:$J$44),MATCH(ROW($J$13:$J$44),ROW($J$13:$J$44)),""),ROWS($A$13:A166)))),"")</f>
        <v/>
      </c>
      <c r="T166" s="341" t="str">
        <f t="array" ref="T166">IFERROR(IF($T$11="Yes",INDEX($L$13:$L$2813,SMALL(IF((County=$M$13:$M$2813),MATCH(ROW($M$13:$M$2813),ROW($M$13:$M$2813)),""),ROWS($A$13:A166))),""),"")</f>
        <v/>
      </c>
      <c r="V166" s="2283" t="str">
        <f t="array" ref="V166">IFERROR(IF($T$11="Yes",INDEX($O$14:$O$2811,SMALL(IF((County=$P$14:$P$2811),MATCH(ROW($P$14:$P$2811),ROW($P$14:$P$2811)),""),ROWS($A$13:A166))),""),"")</f>
        <v/>
      </c>
      <c r="X166" s="339">
        <v>33160</v>
      </c>
      <c r="Y166" s="338" t="s">
        <v>2579</v>
      </c>
      <c r="AA166" s="338">
        <v>17</v>
      </c>
      <c r="AB166" s="338" t="s">
        <v>304</v>
      </c>
      <c r="AG166" s="2297">
        <v>9.0299999999999994</v>
      </c>
      <c r="AH166" s="2297" t="s">
        <v>340</v>
      </c>
      <c r="AI166" s="1390"/>
      <c r="AJ166" s="2282"/>
      <c r="AK166" s="2282"/>
      <c r="AL166" s="1037"/>
      <c r="AM166" s="339">
        <v>33131</v>
      </c>
      <c r="AN166" s="338" t="s">
        <v>331</v>
      </c>
      <c r="AQ166" s="858"/>
      <c r="AR166" s="338">
        <v>4</v>
      </c>
      <c r="AS166" s="338" t="s">
        <v>304</v>
      </c>
      <c r="AX166" s="340">
        <v>106.01</v>
      </c>
      <c r="AY166" s="340" t="s">
        <v>289</v>
      </c>
      <c r="BA166" s="341" t="str">
        <f t="array" ref="BA166">IFERROR(IF($BA$11="Metro",INDEX($AR$13:$AR$814,SMALL(IF((County=$AS$13:$AS$814),MATCH(ROW($AS$13:$AS$814),ROW($AS$13:$AS$814)),""),ROWS($A$13:$A166))),INDEX($AU$13:$AU$48,SMALL(IF((County=$AV$13:$AV$48),MATCH(ROW($AV$13:$AV$48),ROW($AV$13:$AV$48)),""),ROWS($A$13:$A166)))),"")</f>
        <v/>
      </c>
      <c r="BC166" s="341" t="str">
        <f t="array" ref="BC166">IFERROR(IF($BC$11="Yes",INDEX($AX$13:$AX$2950,SMALL(IF((County=$AY$13:$AY$2950),MATCH(ROW($AY$13:$AY$2950),ROW($AY$13:$AY$2950)),""),ROWS($A$13:$A166))),""),"")</f>
        <v/>
      </c>
      <c r="BE166" s="339">
        <v>33321</v>
      </c>
      <c r="BF166" s="338" t="s">
        <v>289</v>
      </c>
      <c r="BH166" s="338">
        <v>14</v>
      </c>
      <c r="BI166" s="338" t="s">
        <v>316</v>
      </c>
      <c r="BN166" s="340">
        <v>8.08</v>
      </c>
      <c r="BO166" s="340" t="s">
        <v>276</v>
      </c>
      <c r="BP166" s="1385"/>
      <c r="BQ166" s="1583">
        <v>34217</v>
      </c>
      <c r="BR166" s="236" t="s">
        <v>328</v>
      </c>
      <c r="BU166" s="858"/>
      <c r="BV166" s="338">
        <v>641.02</v>
      </c>
      <c r="BW166" s="338" t="s">
        <v>288</v>
      </c>
      <c r="BY166" s="236">
        <v>9501</v>
      </c>
      <c r="BZ166" s="236" t="s">
        <v>345</v>
      </c>
      <c r="CB166" s="340">
        <v>104.07</v>
      </c>
      <c r="CC166" s="340" t="s">
        <v>289</v>
      </c>
      <c r="CE166" s="341" t="str">
        <f t="array" ref="CE166">IFERROR(IF($CE$11="Metro",INDEX($BV$13:$BV$4972,SMALL(IF((County=$BW$13:$BW$4972),MATCH(ROW($BW$13:$BW$4972),ROW($BW$13:$BW$4972)),""),ROWS($A$13:$A166))),INDEX($BY$13:$BY$212,SMALL(IF((County=$BZ$13:$BZ$212),MATCH(ROW($BZ$13:$BZ$212),ROW($BZ$13:$BZ$212)),""),ROWS($A$13:$A166)))),"")</f>
        <v/>
      </c>
      <c r="CG166" s="341" t="str">
        <f t="array" ref="CG166">IFERROR(IF($CG$11="Yes",INDEX($CB$13:$CB$2950,SMALL(IF((County=$CC$13:$CC$2950),MATCH(ROW($CC$13:$CC$2950),ROW($CC$13:$CC$2950)),""),ROWS($A$13:$A166))),""),"")</f>
        <v/>
      </c>
      <c r="CI166" s="1387">
        <v>33190</v>
      </c>
      <c r="CJ166" s="338" t="s">
        <v>331</v>
      </c>
      <c r="CL166" s="236">
        <v>4.0199999999999996</v>
      </c>
      <c r="CM166" s="236" t="s">
        <v>331</v>
      </c>
      <c r="CO166" s="236">
        <v>9704</v>
      </c>
      <c r="CP166" s="236" t="s">
        <v>333</v>
      </c>
      <c r="CR166" s="340">
        <v>8.06</v>
      </c>
      <c r="CS166" s="340" t="s">
        <v>285</v>
      </c>
      <c r="CT166" s="1384"/>
      <c r="CU166" s="341">
        <v>34243</v>
      </c>
      <c r="CV166" s="338" t="s">
        <v>328</v>
      </c>
      <c r="CZ166" s="1795">
        <v>29.01</v>
      </c>
      <c r="DA166" s="338" t="s">
        <v>302</v>
      </c>
      <c r="DF166" s="340">
        <v>105.04</v>
      </c>
      <c r="DG166" s="340" t="s">
        <v>289</v>
      </c>
      <c r="DI166" s="341" t="str">
        <f t="array" ref="DI166">IFERROR(IF($DI$11="Metro",INDEX($CZ$13:$CZ$929,SMALL(IF((County=$DA$13:$DA$929),MATCH(ROW($DA$13:$DA$929),ROW($DA$13:$DA$929)),""),ROWS($A$13:$A166))),INDEX($DC$13:$DC$212,SMALL(IF((County=$DD$13:$DD$212),MATCH(ROW($DD$13:$DD$212),ROW($DD$13:$DD$212)),""),ROWS($A$13:$A166)))),"")</f>
        <v/>
      </c>
      <c r="DK166" s="341" t="str">
        <f t="array" ref="DK166">IFERROR(IF($DK$11="Yes",INDEX($DF$13:$DF$2838,SMALL(IF((County=$DG$13:$DG$2838),MATCH(ROW($DG$13:$DG$2838),ROW($DG$13:$DG$2838)),""),ROWS($A$13:$A166))),""),"")</f>
        <v/>
      </c>
      <c r="DM166" s="1387">
        <v>33186</v>
      </c>
      <c r="DN166" s="338" t="s">
        <v>2579</v>
      </c>
      <c r="DP166" s="236">
        <v>15.02</v>
      </c>
      <c r="DQ166" s="236" t="s">
        <v>331</v>
      </c>
      <c r="DV166" s="340">
        <v>9</v>
      </c>
      <c r="DW166" s="340" t="s">
        <v>347</v>
      </c>
      <c r="DX166" s="1671"/>
      <c r="EB166" s="618"/>
      <c r="EC166" s="618"/>
      <c r="ED166" s="618"/>
      <c r="EE166" s="618"/>
      <c r="EF166" s="618"/>
      <c r="EG166" s="618"/>
      <c r="EH166" s="618"/>
      <c r="EI166" s="618"/>
      <c r="EJ166" s="618"/>
      <c r="EK166" s="618"/>
      <c r="EL166" s="618"/>
      <c r="EM166" s="618"/>
    </row>
    <row r="167" spans="1:143" ht="14.65" customHeight="1">
      <c r="A167" s="339">
        <v>33971</v>
      </c>
      <c r="B167" s="338" t="s">
        <v>323</v>
      </c>
      <c r="E167" s="858"/>
      <c r="F167" s="338">
        <v>123</v>
      </c>
      <c r="G167" s="338" t="s">
        <v>302</v>
      </c>
      <c r="L167" s="2481">
        <v>106.05</v>
      </c>
      <c r="M167" s="340" t="s">
        <v>289</v>
      </c>
      <c r="N167" s="1390"/>
      <c r="O167" s="2479"/>
      <c r="P167" s="2282"/>
      <c r="R167" s="341" t="str">
        <f t="array" ref="R167">IFERROR(IF($R$11="Metro",INDEX($F$13:$F$829,SMALL(IF((County=$G$13:$G$829),MATCH(ROW($G$13:$G$829),ROW($G$13:$G$829)),""),ROWS($A$13:A167))),INDEX($I$13:$I$44,SMALL(IF((County=$J$13:$J$44),MATCH(ROW($J$13:$J$44),ROW($J$13:$J$44)),""),ROWS($A$13:A167)))),"")</f>
        <v/>
      </c>
      <c r="T167" s="341" t="str">
        <f t="array" ref="T167">IFERROR(IF($T$11="Yes",INDEX($L$13:$L$2813,SMALL(IF((County=$M$13:$M$2813),MATCH(ROW($M$13:$M$2813),ROW($M$13:$M$2813)),""),ROWS($A$13:A167))),""),"")</f>
        <v/>
      </c>
      <c r="V167" s="2283" t="str">
        <f t="array" ref="V167">IFERROR(IF($T$11="Yes",INDEX($O$14:$O$2811,SMALL(IF((County=$P$14:$P$2811),MATCH(ROW($P$14:$P$2811),ROW($P$14:$P$2811)),""),ROWS($A$13:A167))),""),"")</f>
        <v/>
      </c>
      <c r="X167" s="339">
        <v>33165</v>
      </c>
      <c r="Y167" s="338" t="s">
        <v>2579</v>
      </c>
      <c r="AA167" s="338">
        <v>17</v>
      </c>
      <c r="AB167" s="338" t="s">
        <v>329</v>
      </c>
      <c r="AG167" s="2297">
        <v>9.0399999999999991</v>
      </c>
      <c r="AH167" s="2297" t="s">
        <v>324</v>
      </c>
      <c r="AI167" s="1390"/>
      <c r="AJ167" s="2282"/>
      <c r="AK167" s="2282"/>
      <c r="AL167" s="1037"/>
      <c r="AM167" s="339">
        <v>33132</v>
      </c>
      <c r="AN167" s="338" t="s">
        <v>331</v>
      </c>
      <c r="AQ167" s="858"/>
      <c r="AR167" s="338">
        <v>15</v>
      </c>
      <c r="AS167" s="338" t="s">
        <v>304</v>
      </c>
      <c r="AX167" s="340">
        <v>106.03</v>
      </c>
      <c r="AY167" s="340" t="s">
        <v>289</v>
      </c>
      <c r="BA167" s="341" t="str">
        <f t="array" ref="BA167">IFERROR(IF($BA$11="Metro",INDEX($AR$13:$AR$814,SMALL(IF((County=$AS$13:$AS$814),MATCH(ROW($AS$13:$AS$814),ROW($AS$13:$AS$814)),""),ROWS($A$13:$A167))),INDEX($AU$13:$AU$48,SMALL(IF((County=$AV$13:$AV$48),MATCH(ROW($AV$13:$AV$48),ROW($AV$13:$AV$48)),""),ROWS($A$13:$A167)))),"")</f>
        <v/>
      </c>
      <c r="BC167" s="341" t="str">
        <f t="array" ref="BC167">IFERROR(IF($BC$11="Yes",INDEX($AX$13:$AX$2950,SMALL(IF((County=$AY$13:$AY$2950),MATCH(ROW($AY$13:$AY$2950),ROW($AY$13:$AY$2950)),""),ROWS($A$13:$A167))),""),"")</f>
        <v/>
      </c>
      <c r="BE167" s="339">
        <v>33322</v>
      </c>
      <c r="BF167" s="338" t="s">
        <v>289</v>
      </c>
      <c r="BH167" s="338">
        <v>14.01</v>
      </c>
      <c r="BI167" s="338" t="s">
        <v>302</v>
      </c>
      <c r="BN167" s="340">
        <v>8.08</v>
      </c>
      <c r="BO167" s="340" t="s">
        <v>328</v>
      </c>
      <c r="BP167" s="1385"/>
      <c r="BQ167" s="1583">
        <v>34219</v>
      </c>
      <c r="BR167" s="236" t="s">
        <v>328</v>
      </c>
      <c r="BU167" s="858"/>
      <c r="BV167" s="338">
        <v>641.23</v>
      </c>
      <c r="BW167" s="338" t="s">
        <v>288</v>
      </c>
      <c r="BY167" s="236">
        <v>9502.01</v>
      </c>
      <c r="BZ167" s="236" t="s">
        <v>345</v>
      </c>
      <c r="CB167" s="340">
        <v>105.02</v>
      </c>
      <c r="CC167" s="340" t="s">
        <v>289</v>
      </c>
      <c r="CE167" s="341" t="str">
        <f t="array" ref="CE167">IFERROR(IF($CE$11="Metro",INDEX($BV$13:$BV$4972,SMALL(IF((County=$BW$13:$BW$4972),MATCH(ROW($BW$13:$BW$4972),ROW($BW$13:$BW$4972)),""),ROWS($A$13:$A167))),INDEX($BY$13:$BY$212,SMALL(IF((County=$BZ$13:$BZ$212),MATCH(ROW($BZ$13:$BZ$212),ROW($BZ$13:$BZ$212)),""),ROWS($A$13:$A167)))),"")</f>
        <v/>
      </c>
      <c r="CG167" s="341" t="str">
        <f t="array" ref="CG167">IFERROR(IF($CG$11="Yes",INDEX($CB$13:$CB$2950,SMALL(IF((County=$CC$13:$CC$2950),MATCH(ROW($CC$13:$CC$2950),ROW($CC$13:$CC$2950)),""),ROWS($A$13:$A167))),""),"")</f>
        <v/>
      </c>
      <c r="CI167" s="1387">
        <v>33193</v>
      </c>
      <c r="CJ167" s="338" t="s">
        <v>331</v>
      </c>
      <c r="CL167" s="236">
        <v>4.03</v>
      </c>
      <c r="CM167" s="236" t="s">
        <v>328</v>
      </c>
      <c r="CO167" s="236">
        <v>9704.01</v>
      </c>
      <c r="CP167" s="236" t="s">
        <v>312</v>
      </c>
      <c r="CR167" s="340">
        <v>8.06</v>
      </c>
      <c r="CS167" s="340" t="s">
        <v>329</v>
      </c>
      <c r="CT167" s="1384"/>
      <c r="CU167" s="341">
        <v>34473</v>
      </c>
      <c r="CV167" s="338" t="s">
        <v>329</v>
      </c>
      <c r="CZ167" s="1795">
        <v>29.02</v>
      </c>
      <c r="DA167" s="338" t="s">
        <v>302</v>
      </c>
      <c r="DF167" s="340">
        <v>106.01</v>
      </c>
      <c r="DG167" s="340" t="s">
        <v>289</v>
      </c>
      <c r="DI167" s="341" t="str">
        <f t="array" ref="DI167">IFERROR(IF($DI$11="Metro",INDEX($CZ$13:$CZ$929,SMALL(IF((County=$DA$13:$DA$929),MATCH(ROW($DA$13:$DA$929),ROW($DA$13:$DA$929)),""),ROWS($A$13:$A167))),INDEX($DC$13:$DC$212,SMALL(IF((County=$DD$13:$DD$212),MATCH(ROW($DD$13:$DD$212),ROW($DD$13:$DD$212)),""),ROWS($A$13:$A167)))),"")</f>
        <v/>
      </c>
      <c r="DK167" s="341" t="str">
        <f t="array" ref="DK167">IFERROR(IF($DK$11="Yes",INDEX($DF$13:$DF$2838,SMALL(IF((County=$DG$13:$DG$2838),MATCH(ROW($DG$13:$DG$2838),ROW($DG$13:$DG$2838)),""),ROWS($A$13:$A167))),""),"")</f>
        <v/>
      </c>
      <c r="DM167" s="1387">
        <v>33187</v>
      </c>
      <c r="DN167" s="338" t="s">
        <v>2579</v>
      </c>
      <c r="DP167" s="236">
        <v>15.14</v>
      </c>
      <c r="DQ167" s="236" t="s">
        <v>276</v>
      </c>
      <c r="DV167" s="340">
        <v>9.01</v>
      </c>
      <c r="DW167" s="340" t="s">
        <v>329</v>
      </c>
      <c r="DX167" s="1671"/>
      <c r="EB167" s="618"/>
      <c r="EC167" s="618"/>
      <c r="ED167" s="618"/>
      <c r="EE167" s="618"/>
      <c r="EF167" s="618"/>
      <c r="EG167" s="618"/>
      <c r="EH167" s="618"/>
      <c r="EI167" s="618"/>
      <c r="EJ167" s="618"/>
      <c r="EK167" s="618"/>
      <c r="EL167" s="618"/>
      <c r="EM167" s="618"/>
    </row>
    <row r="168" spans="1:143" ht="14.65" customHeight="1">
      <c r="A168" s="339">
        <v>33974</v>
      </c>
      <c r="B168" s="338" t="s">
        <v>323</v>
      </c>
      <c r="E168" s="858"/>
      <c r="F168" s="338">
        <v>126.01</v>
      </c>
      <c r="G168" s="338" t="s">
        <v>302</v>
      </c>
      <c r="L168" s="2481">
        <v>106.06</v>
      </c>
      <c r="M168" s="340" t="s">
        <v>289</v>
      </c>
      <c r="N168" s="1390"/>
      <c r="O168" s="2479"/>
      <c r="P168" s="2282"/>
      <c r="R168" s="341" t="str">
        <f t="array" ref="R168">IFERROR(IF($R$11="Metro",INDEX($F$13:$F$829,SMALL(IF((County=$G$13:$G$829),MATCH(ROW($G$13:$G$829),ROW($G$13:$G$829)),""),ROWS($A$13:A168))),INDEX($I$13:$I$44,SMALL(IF((County=$J$13:$J$44),MATCH(ROW($J$13:$J$44),ROW($J$13:$J$44)),""),ROWS($A$13:A168)))),"")</f>
        <v/>
      </c>
      <c r="T168" s="341" t="str">
        <f t="array" ref="T168">IFERROR(IF($T$11="Yes",INDEX($L$13:$L$2813,SMALL(IF((County=$M$13:$M$2813),MATCH(ROW($M$13:$M$2813),ROW($M$13:$M$2813)),""),ROWS($A$13:A168))),""),"")</f>
        <v/>
      </c>
      <c r="V168" s="2283" t="str">
        <f t="array" ref="V168">IFERROR(IF($T$11="Yes",INDEX($O$14:$O$2811,SMALL(IF((County=$P$14:$P$2811),MATCH(ROW($P$14:$P$2811),ROW($P$14:$P$2811)),""),ROWS($A$13:A168))),""),"")</f>
        <v/>
      </c>
      <c r="X168" s="339">
        <v>33166</v>
      </c>
      <c r="Y168" s="338" t="s">
        <v>2579</v>
      </c>
      <c r="AA168" s="338">
        <v>17.010000000000002</v>
      </c>
      <c r="AB168" s="338" t="s">
        <v>331</v>
      </c>
      <c r="AG168" s="2297">
        <v>9.0399999999999991</v>
      </c>
      <c r="AH168" s="2297" t="s">
        <v>329</v>
      </c>
      <c r="AI168" s="1390"/>
      <c r="AJ168" s="2282"/>
      <c r="AK168" s="2282"/>
      <c r="AL168" s="1037"/>
      <c r="AM168" s="339">
        <v>33133</v>
      </c>
      <c r="AN168" s="338" t="s">
        <v>331</v>
      </c>
      <c r="AQ168" s="858"/>
      <c r="AR168" s="338">
        <v>16</v>
      </c>
      <c r="AS168" s="338" t="s">
        <v>304</v>
      </c>
      <c r="AX168" s="340">
        <v>106.04</v>
      </c>
      <c r="AY168" s="340" t="s">
        <v>289</v>
      </c>
      <c r="BA168" s="341" t="str">
        <f t="array" ref="BA168">IFERROR(IF($BA$11="Metro",INDEX($AR$13:$AR$814,SMALL(IF((County=$AS$13:$AS$814),MATCH(ROW($AS$13:$AS$814),ROW($AS$13:$AS$814)),""),ROWS($A$13:$A168))),INDEX($AU$13:$AU$48,SMALL(IF((County=$AV$13:$AV$48),MATCH(ROW($AV$13:$AV$48),ROW($AV$13:$AV$48)),""),ROWS($A$13:$A168)))),"")</f>
        <v/>
      </c>
      <c r="BC168" s="341" t="str">
        <f t="array" ref="BC168">IFERROR(IF($BC$11="Yes",INDEX($AX$13:$AX$2950,SMALL(IF((County=$AY$13:$AY$2950),MATCH(ROW($AY$13:$AY$2950),ROW($AY$13:$AY$2950)),""),ROWS($A$13:$A168))),""),"")</f>
        <v/>
      </c>
      <c r="BE168" s="339">
        <v>33323</v>
      </c>
      <c r="BF168" s="338" t="s">
        <v>289</v>
      </c>
      <c r="BH168" s="338">
        <v>14.01</v>
      </c>
      <c r="BI168" s="338" t="s">
        <v>324</v>
      </c>
      <c r="BN168" s="340">
        <v>8.08</v>
      </c>
      <c r="BO168" s="340" t="s">
        <v>329</v>
      </c>
      <c r="BP168" s="1385"/>
      <c r="BQ168" s="1583">
        <v>34243</v>
      </c>
      <c r="BR168" s="236" t="s">
        <v>328</v>
      </c>
      <c r="BU168" s="858"/>
      <c r="BV168" s="338">
        <v>641.24</v>
      </c>
      <c r="BW168" s="338" t="s">
        <v>288</v>
      </c>
      <c r="BY168" s="236">
        <v>9502.02</v>
      </c>
      <c r="BZ168" s="236" t="s">
        <v>345</v>
      </c>
      <c r="CB168" s="340">
        <v>105.03</v>
      </c>
      <c r="CC168" s="340" t="s">
        <v>289</v>
      </c>
      <c r="CE168" s="341" t="str">
        <f t="array" ref="CE168">IFERROR(IF($CE$11="Metro",INDEX($BV$13:$BV$4972,SMALL(IF((County=$BW$13:$BW$4972),MATCH(ROW($BW$13:$BW$4972),ROW($BW$13:$BW$4972)),""),ROWS($A$13:$A168))),INDEX($BY$13:$BY$212,SMALL(IF((County=$BZ$13:$BZ$212),MATCH(ROW($BZ$13:$BZ$212),ROW($BZ$13:$BZ$212)),""),ROWS($A$13:$A168)))),"")</f>
        <v/>
      </c>
      <c r="CG168" s="341" t="str">
        <f t="array" ref="CG168">IFERROR(IF($CG$11="Yes",INDEX($CB$13:$CB$2950,SMALL(IF((County=$CC$13:$CC$2950),MATCH(ROW($CC$13:$CC$2950),ROW($CC$13:$CC$2950)),""),ROWS($A$13:$A168))),""),"")</f>
        <v/>
      </c>
      <c r="CI168" s="1387">
        <v>33194</v>
      </c>
      <c r="CJ168" s="338" t="s">
        <v>331</v>
      </c>
      <c r="CL168" s="236">
        <v>4.04</v>
      </c>
      <c r="CM168" s="236" t="s">
        <v>347</v>
      </c>
      <c r="CO168" s="236">
        <v>9704.01</v>
      </c>
      <c r="CP168" s="236" t="s">
        <v>352</v>
      </c>
      <c r="CR168" s="340">
        <v>8.07</v>
      </c>
      <c r="CS168" s="340" t="s">
        <v>329</v>
      </c>
      <c r="CT168" s="1384"/>
      <c r="CU168" s="341">
        <v>34474</v>
      </c>
      <c r="CV168" s="338" t="s">
        <v>329</v>
      </c>
      <c r="CZ168" s="1795">
        <v>104.02</v>
      </c>
      <c r="DA168" s="338" t="s">
        <v>302</v>
      </c>
      <c r="DF168" s="340">
        <v>106.03</v>
      </c>
      <c r="DG168" s="340" t="s">
        <v>289</v>
      </c>
      <c r="DI168" s="341" t="str">
        <f t="array" ref="DI168">IFERROR(IF($DI$11="Metro",INDEX($CZ$13:$CZ$929,SMALL(IF((County=$DA$13:$DA$929),MATCH(ROW($DA$13:$DA$929),ROW($DA$13:$DA$929)),""),ROWS($A$13:$A168))),INDEX($DC$13:$DC$212,SMALL(IF((County=$DD$13:$DD$212),MATCH(ROW($DD$13:$DD$212),ROW($DD$13:$DD$212)),""),ROWS($A$13:$A168)))),"")</f>
        <v/>
      </c>
      <c r="DK168" s="341" t="str">
        <f t="array" ref="DK168">IFERROR(IF($DK$11="Yes",INDEX($DF$13:$DF$2838,SMALL(IF((County=$DG$13:$DG$2838),MATCH(ROW($DG$13:$DG$2838),ROW($DG$13:$DG$2838)),""),ROWS($A$13:$A168))),""),"")</f>
        <v/>
      </c>
      <c r="DM168" s="1387">
        <v>33189</v>
      </c>
      <c r="DN168" s="338" t="s">
        <v>2579</v>
      </c>
      <c r="DP168" s="236">
        <v>15.15</v>
      </c>
      <c r="DQ168" s="236" t="s">
        <v>276</v>
      </c>
      <c r="DV168" s="340">
        <v>9.01</v>
      </c>
      <c r="DW168" s="340" t="s">
        <v>330</v>
      </c>
      <c r="DX168" s="1671"/>
      <c r="EB168" s="618"/>
      <c r="EC168" s="618"/>
      <c r="ED168" s="618"/>
      <c r="EE168" s="618"/>
      <c r="EF168" s="618"/>
      <c r="EG168" s="618"/>
      <c r="EH168" s="618"/>
      <c r="EI168" s="618"/>
      <c r="EJ168" s="618"/>
      <c r="EK168" s="618"/>
      <c r="EL168" s="618"/>
      <c r="EM168" s="618"/>
    </row>
    <row r="169" spans="1:143" ht="14.65" customHeight="1">
      <c r="A169" s="339">
        <v>33976</v>
      </c>
      <c r="B169" s="338" t="s">
        <v>323</v>
      </c>
      <c r="E169" s="858"/>
      <c r="F169" s="338">
        <v>126.02</v>
      </c>
      <c r="G169" s="338" t="s">
        <v>302</v>
      </c>
      <c r="L169" s="2481">
        <v>106.09</v>
      </c>
      <c r="M169" s="340" t="s">
        <v>289</v>
      </c>
      <c r="N169" s="1390"/>
      <c r="O169" s="2479"/>
      <c r="P169" s="2282"/>
      <c r="R169" s="341" t="str">
        <f t="array" ref="R169">IFERROR(IF($R$11="Metro",INDEX($F$13:$F$829,SMALL(IF((County=$G$13:$G$829),MATCH(ROW($G$13:$G$829),ROW($G$13:$G$829)),""),ROWS($A$13:A169))),INDEX($I$13:$I$44,SMALL(IF((County=$J$13:$J$44),MATCH(ROW($J$13:$J$44),ROW($J$13:$J$44)),""),ROWS($A$13:A169)))),"")</f>
        <v/>
      </c>
      <c r="T169" s="341" t="str">
        <f t="array" ref="T169">IFERROR(IF($T$11="Yes",INDEX($L$13:$L$2813,SMALL(IF((County=$M$13:$M$2813),MATCH(ROW($M$13:$M$2813),ROW($M$13:$M$2813)),""),ROWS($A$13:A169))),""),"")</f>
        <v/>
      </c>
      <c r="V169" s="2283" t="str">
        <f t="array" ref="V169">IFERROR(IF($T$11="Yes",INDEX($O$14:$O$2811,SMALL(IF((County=$P$14:$P$2811),MATCH(ROW($P$14:$P$2811),ROW($P$14:$P$2811)),""),ROWS($A$13:A169))),""),"")</f>
        <v/>
      </c>
      <c r="X169" s="339">
        <v>33172</v>
      </c>
      <c r="Y169" s="338" t="s">
        <v>2579</v>
      </c>
      <c r="AA169" s="338">
        <v>17.02</v>
      </c>
      <c r="AB169" s="338" t="s">
        <v>331</v>
      </c>
      <c r="AG169" s="2297">
        <v>9.0399999999999991</v>
      </c>
      <c r="AH169" s="2297" t="s">
        <v>340</v>
      </c>
      <c r="AI169" s="1390"/>
      <c r="AJ169" s="2282"/>
      <c r="AK169" s="2282"/>
      <c r="AL169" s="1037"/>
      <c r="AM169" s="339">
        <v>33134</v>
      </c>
      <c r="AN169" s="338" t="s">
        <v>331</v>
      </c>
      <c r="AQ169" s="858"/>
      <c r="AR169" s="338">
        <v>17</v>
      </c>
      <c r="AS169" s="338" t="s">
        <v>304</v>
      </c>
      <c r="AX169" s="340">
        <v>106.05</v>
      </c>
      <c r="AY169" s="340" t="s">
        <v>289</v>
      </c>
      <c r="BA169" s="341" t="str">
        <f t="array" ref="BA169">IFERROR(IF($BA$11="Metro",INDEX($AR$13:$AR$814,SMALL(IF((County=$AS$13:$AS$814),MATCH(ROW($AS$13:$AS$814),ROW($AS$13:$AS$814)),""),ROWS($A$13:$A169))),INDEX($AU$13:$AU$48,SMALL(IF((County=$AV$13:$AV$48),MATCH(ROW($AV$13:$AV$48),ROW($AV$13:$AV$48)),""),ROWS($A$13:$A169)))),"")</f>
        <v/>
      </c>
      <c r="BC169" s="341" t="str">
        <f t="array" ref="BC169">IFERROR(IF($BC$11="Yes",INDEX($AX$13:$AX$2950,SMALL(IF((County=$AY$13:$AY$2950),MATCH(ROW($AY$13:$AY$2950),ROW($AY$13:$AY$2950)),""),ROWS($A$13:$A169))),""),"")</f>
        <v/>
      </c>
      <c r="BE169" s="339">
        <v>33324</v>
      </c>
      <c r="BF169" s="338" t="s">
        <v>289</v>
      </c>
      <c r="BH169" s="338">
        <v>14.01</v>
      </c>
      <c r="BI169" s="338" t="s">
        <v>329</v>
      </c>
      <c r="BN169" s="340">
        <v>8.09</v>
      </c>
      <c r="BO169" s="340" t="s">
        <v>276</v>
      </c>
      <c r="BP169" s="1385"/>
      <c r="BQ169" s="1583">
        <v>34251</v>
      </c>
      <c r="BR169" s="236" t="s">
        <v>328</v>
      </c>
      <c r="BU169" s="858"/>
      <c r="BV169" s="338">
        <v>641.26</v>
      </c>
      <c r="BW169" s="338" t="s">
        <v>288</v>
      </c>
      <c r="BY169" s="236">
        <v>9503</v>
      </c>
      <c r="BZ169" s="236" t="s">
        <v>345</v>
      </c>
      <c r="CB169" s="340">
        <v>105.04</v>
      </c>
      <c r="CC169" s="340" t="s">
        <v>289</v>
      </c>
      <c r="CE169" s="341" t="str">
        <f t="array" ref="CE169">IFERROR(IF($CE$11="Metro",INDEX($BV$13:$BV$4972,SMALL(IF((County=$BW$13:$BW$4972),MATCH(ROW($BW$13:$BW$4972),ROW($BW$13:$BW$4972)),""),ROWS($A$13:$A169))),INDEX($BY$13:$BY$212,SMALL(IF((County=$BZ$13:$BZ$212),MATCH(ROW($BZ$13:$BZ$212),ROW($BZ$13:$BZ$212)),""),ROWS($A$13:$A169)))),"")</f>
        <v/>
      </c>
      <c r="CG169" s="341" t="str">
        <f t="array" ref="CG169">IFERROR(IF($CG$11="Yes",INDEX($CB$13:$CB$2950,SMALL(IF((County=$CC$13:$CC$2950),MATCH(ROW($CC$13:$CC$2950),ROW($CC$13:$CC$2950)),""),ROWS($A$13:$A169))),""),"")</f>
        <v/>
      </c>
      <c r="CI169" s="1387">
        <v>33196</v>
      </c>
      <c r="CJ169" s="338" t="s">
        <v>331</v>
      </c>
      <c r="CL169" s="236">
        <v>4.05</v>
      </c>
      <c r="CM169" s="236" t="s">
        <v>328</v>
      </c>
      <c r="CO169" s="236">
        <v>9704.02</v>
      </c>
      <c r="CP169" s="236" t="s">
        <v>312</v>
      </c>
      <c r="CR169" s="340">
        <v>8.08</v>
      </c>
      <c r="CS169" s="340" t="s">
        <v>276</v>
      </c>
      <c r="CT169" s="1384"/>
      <c r="CU169" s="341">
        <v>34990</v>
      </c>
      <c r="CV169" s="338" t="s">
        <v>330</v>
      </c>
      <c r="CZ169" s="1795">
        <v>107</v>
      </c>
      <c r="DA169" s="338" t="s">
        <v>302</v>
      </c>
      <c r="DF169" s="340">
        <v>106.04</v>
      </c>
      <c r="DG169" s="340" t="s">
        <v>289</v>
      </c>
      <c r="DI169" s="341" t="str">
        <f t="array" ref="DI169">IFERROR(IF($DI$11="Metro",INDEX($CZ$13:$CZ$929,SMALL(IF((County=$DA$13:$DA$929),MATCH(ROW($DA$13:$DA$929),ROW($DA$13:$DA$929)),""),ROWS($A$13:$A169))),INDEX($DC$13:$DC$212,SMALL(IF((County=$DD$13:$DD$212),MATCH(ROW($DD$13:$DD$212),ROW($DD$13:$DD$212)),""),ROWS($A$13:$A169)))),"")</f>
        <v/>
      </c>
      <c r="DK169" s="341" t="str">
        <f t="array" ref="DK169">IFERROR(IF($DK$11="Yes",INDEX($DF$13:$DF$2838,SMALL(IF((County=$DG$13:$DG$2838),MATCH(ROW($DG$13:$DG$2838),ROW($DG$13:$DG$2838)),""),ROWS($A$13:$A169))),""),"")</f>
        <v/>
      </c>
      <c r="DM169" s="1387">
        <v>33190</v>
      </c>
      <c r="DN169" s="338" t="s">
        <v>2579</v>
      </c>
      <c r="DP169" s="236">
        <v>15.16</v>
      </c>
      <c r="DQ169" s="236" t="s">
        <v>276</v>
      </c>
      <c r="DV169" s="340">
        <v>9.02</v>
      </c>
      <c r="DW169" s="340" t="s">
        <v>328</v>
      </c>
      <c r="DX169" s="1671"/>
      <c r="EB169" s="618"/>
      <c r="EC169" s="618"/>
      <c r="ED169" s="618"/>
      <c r="EE169" s="618"/>
      <c r="EF169" s="618"/>
      <c r="EG169" s="618"/>
      <c r="EH169" s="618"/>
      <c r="EI169" s="618"/>
      <c r="EJ169" s="618"/>
      <c r="EK169" s="618"/>
      <c r="EL169" s="618"/>
      <c r="EM169" s="618"/>
    </row>
    <row r="170" spans="1:143" ht="14.65" customHeight="1">
      <c r="A170" s="339">
        <v>33993</v>
      </c>
      <c r="B170" s="338" t="s">
        <v>323</v>
      </c>
      <c r="E170" s="858"/>
      <c r="F170" s="338">
        <v>127.02</v>
      </c>
      <c r="G170" s="338" t="s">
        <v>302</v>
      </c>
      <c r="L170" s="2481">
        <v>106.1</v>
      </c>
      <c r="M170" s="340" t="s">
        <v>289</v>
      </c>
      <c r="N170" s="1390"/>
      <c r="O170" s="2479"/>
      <c r="P170" s="2282"/>
      <c r="R170" s="341" t="str">
        <f t="array" ref="R170">IFERROR(IF($R$11="Metro",INDEX($F$13:$F$829,SMALL(IF((County=$G$13:$G$829),MATCH(ROW($G$13:$G$829),ROW($G$13:$G$829)),""),ROWS($A$13:A170))),INDEX($I$13:$I$44,SMALL(IF((County=$J$13:$J$44),MATCH(ROW($J$13:$J$44),ROW($J$13:$J$44)),""),ROWS($A$13:A170)))),"")</f>
        <v/>
      </c>
      <c r="T170" s="341" t="str">
        <f t="array" ref="T170">IFERROR(IF($T$11="Yes",INDEX($L$13:$L$2813,SMALL(IF((County=$M$13:$M$2813),MATCH(ROW($M$13:$M$2813),ROW($M$13:$M$2813)),""),ROWS($A$13:A170))),""),"")</f>
        <v/>
      </c>
      <c r="V170" s="2283" t="str">
        <f t="array" ref="V170">IFERROR(IF($T$11="Yes",INDEX($O$14:$O$2811,SMALL(IF((County=$P$14:$P$2811),MATCH(ROW($P$14:$P$2811),ROW($P$14:$P$2811)),""),ROWS($A$13:A170))),""),"")</f>
        <v/>
      </c>
      <c r="X170" s="339">
        <v>33173</v>
      </c>
      <c r="Y170" s="338" t="s">
        <v>2579</v>
      </c>
      <c r="AA170" s="338">
        <v>18</v>
      </c>
      <c r="AB170" s="338" t="s">
        <v>304</v>
      </c>
      <c r="AG170" s="2297">
        <v>9.0500000000000007</v>
      </c>
      <c r="AH170" s="2297" t="s">
        <v>324</v>
      </c>
      <c r="AI170" s="1390"/>
      <c r="AJ170" s="2282"/>
      <c r="AK170" s="2282"/>
      <c r="AL170" s="1037"/>
      <c r="AM170" s="339">
        <v>33137</v>
      </c>
      <c r="AN170" s="338" t="s">
        <v>331</v>
      </c>
      <c r="AQ170" s="858"/>
      <c r="AR170" s="338">
        <v>18</v>
      </c>
      <c r="AS170" s="338" t="s">
        <v>304</v>
      </c>
      <c r="AX170" s="340">
        <v>106.06</v>
      </c>
      <c r="AY170" s="340" t="s">
        <v>289</v>
      </c>
      <c r="BA170" s="341" t="str">
        <f t="array" ref="BA170">IFERROR(IF($BA$11="Metro",INDEX($AR$13:$AR$814,SMALL(IF((County=$AS$13:$AS$814),MATCH(ROW($AS$13:$AS$814),ROW($AS$13:$AS$814)),""),ROWS($A$13:$A170))),INDEX($AU$13:$AU$48,SMALL(IF((County=$AV$13:$AV$48),MATCH(ROW($AV$13:$AV$48),ROW($AV$13:$AV$48)),""),ROWS($A$13:$A170)))),"")</f>
        <v/>
      </c>
      <c r="BC170" s="341" t="str">
        <f t="array" ref="BC170">IFERROR(IF($BC$11="Yes",INDEX($AX$13:$AX$2950,SMALL(IF((County=$AY$13:$AY$2950),MATCH(ROW($AY$13:$AY$2950),ROW($AY$13:$AY$2950)),""),ROWS($A$13:$A170))),""),"")</f>
        <v/>
      </c>
      <c r="BE170" s="339">
        <v>33325</v>
      </c>
      <c r="BF170" s="338" t="s">
        <v>289</v>
      </c>
      <c r="BH170" s="338">
        <v>14.01</v>
      </c>
      <c r="BI170" s="338" t="s">
        <v>331</v>
      </c>
      <c r="BN170" s="340">
        <v>8.09</v>
      </c>
      <c r="BO170" s="340" t="s">
        <v>328</v>
      </c>
      <c r="BP170" s="1385"/>
      <c r="BQ170" s="1583">
        <v>32133</v>
      </c>
      <c r="BR170" s="236" t="s">
        <v>329</v>
      </c>
      <c r="BU170" s="858"/>
      <c r="BV170" s="338">
        <v>641.27</v>
      </c>
      <c r="BW170" s="338" t="s">
        <v>288</v>
      </c>
      <c r="BY170" s="236">
        <v>9504</v>
      </c>
      <c r="BZ170" s="236" t="s">
        <v>345</v>
      </c>
      <c r="CB170" s="340">
        <v>106.01</v>
      </c>
      <c r="CC170" s="340" t="s">
        <v>289</v>
      </c>
      <c r="CE170" s="341" t="str">
        <f t="array" ref="CE170">IFERROR(IF($CE$11="Metro",INDEX($BV$13:$BV$4972,SMALL(IF((County=$BW$13:$BW$4972),MATCH(ROW($BW$13:$BW$4972),ROW($BW$13:$BW$4972)),""),ROWS($A$13:$A170))),INDEX($BY$13:$BY$212,SMALL(IF((County=$BZ$13:$BZ$212),MATCH(ROW($BZ$13:$BZ$212),ROW($BZ$13:$BZ$212)),""),ROWS($A$13:$A170)))),"")</f>
        <v/>
      </c>
      <c r="CG170" s="341" t="str">
        <f t="array" ref="CG170">IFERROR(IF($CG$11="Yes",INDEX($CB$13:$CB$2950,SMALL(IF((County=$CC$13:$CC$2950),MATCH(ROW($CC$13:$CC$2950),ROW($CC$13:$CC$2950)),""),ROWS($A$13:$A170))),""),"")</f>
        <v/>
      </c>
      <c r="CI170" s="1387">
        <v>33301</v>
      </c>
      <c r="CJ170" s="338" t="s">
        <v>289</v>
      </c>
      <c r="CL170" s="236">
        <v>4.05</v>
      </c>
      <c r="CM170" s="236" t="s">
        <v>331</v>
      </c>
      <c r="CO170" s="236">
        <v>9704.02</v>
      </c>
      <c r="CP170" s="236" t="s">
        <v>352</v>
      </c>
      <c r="CR170" s="340">
        <v>8.08</v>
      </c>
      <c r="CS170" s="340" t="s">
        <v>328</v>
      </c>
      <c r="CT170" s="1384"/>
      <c r="CU170" s="341">
        <v>33014</v>
      </c>
      <c r="CV170" s="338" t="s">
        <v>2579</v>
      </c>
      <c r="CZ170" s="1795">
        <v>108</v>
      </c>
      <c r="DA170" s="338" t="s">
        <v>302</v>
      </c>
      <c r="DF170" s="340">
        <v>106.05</v>
      </c>
      <c r="DG170" s="340" t="s">
        <v>289</v>
      </c>
      <c r="DI170" s="341" t="str">
        <f t="array" ref="DI170">IFERROR(IF($DI$11="Metro",INDEX($CZ$13:$CZ$929,SMALL(IF((County=$DA$13:$DA$929),MATCH(ROW($DA$13:$DA$929),ROW($DA$13:$DA$929)),""),ROWS($A$13:$A170))),INDEX($DC$13:$DC$212,SMALL(IF((County=$DD$13:$DD$212),MATCH(ROW($DD$13:$DD$212),ROW($DD$13:$DD$212)),""),ROWS($A$13:$A170)))),"")</f>
        <v/>
      </c>
      <c r="DK170" s="341" t="str">
        <f t="array" ref="DK170">IFERROR(IF($DK$11="Yes",INDEX($DF$13:$DF$2838,SMALL(IF((County=$DG$13:$DG$2838),MATCH(ROW($DG$13:$DG$2838),ROW($DG$13:$DG$2838)),""),ROWS($A$13:$A170))),""),"")</f>
        <v/>
      </c>
      <c r="DM170" s="1387">
        <v>33193</v>
      </c>
      <c r="DN170" s="338" t="s">
        <v>2579</v>
      </c>
      <c r="DP170" s="236">
        <v>15.17</v>
      </c>
      <c r="DQ170" s="236" t="s">
        <v>276</v>
      </c>
      <c r="DV170" s="340">
        <v>9.02</v>
      </c>
      <c r="DW170" s="340" t="s">
        <v>330</v>
      </c>
      <c r="DX170" s="1671"/>
      <c r="EB170" s="618"/>
      <c r="EC170" s="618"/>
      <c r="ED170" s="618"/>
      <c r="EE170" s="618"/>
      <c r="EF170" s="618"/>
      <c r="EG170" s="618"/>
      <c r="EH170" s="618"/>
      <c r="EI170" s="618"/>
      <c r="EJ170" s="618"/>
      <c r="EK170" s="618"/>
      <c r="EL170" s="618"/>
      <c r="EM170" s="618"/>
    </row>
    <row r="171" spans="1:143" ht="14.65" customHeight="1">
      <c r="A171" s="339">
        <v>34110</v>
      </c>
      <c r="B171" s="338" t="s">
        <v>323</v>
      </c>
      <c r="E171" s="858"/>
      <c r="F171" s="338">
        <v>127.04</v>
      </c>
      <c r="G171" s="338" t="s">
        <v>302</v>
      </c>
      <c r="L171" s="2481">
        <v>106.11</v>
      </c>
      <c r="M171" s="340" t="s">
        <v>289</v>
      </c>
      <c r="N171" s="1390"/>
      <c r="O171" s="2479"/>
      <c r="P171" s="2282"/>
      <c r="R171" s="341" t="str">
        <f t="array" ref="R171">IFERROR(IF($R$11="Metro",INDEX($F$13:$F$829,SMALL(IF((County=$G$13:$G$829),MATCH(ROW($G$13:$G$829),ROW($G$13:$G$829)),""),ROWS($A$13:A171))),INDEX($I$13:$I$44,SMALL(IF((County=$J$13:$J$44),MATCH(ROW($J$13:$J$44),ROW($J$13:$J$44)),""),ROWS($A$13:A171)))),"")</f>
        <v/>
      </c>
      <c r="T171" s="341" t="str">
        <f t="array" ref="T171">IFERROR(IF($T$11="Yes",INDEX($L$13:$L$2813,SMALL(IF((County=$M$13:$M$2813),MATCH(ROW($M$13:$M$2813),ROW($M$13:$M$2813)),""),ROWS($A$13:A171))),""),"")</f>
        <v/>
      </c>
      <c r="V171" s="2283" t="str">
        <f t="array" ref="V171">IFERROR(IF($T$11="Yes",INDEX($O$14:$O$2811,SMALL(IF((County=$P$14:$P$2811),MATCH(ROW($P$14:$P$2811),ROW($P$14:$P$2811)),""),ROWS($A$13:A171))),""),"")</f>
        <v/>
      </c>
      <c r="X171" s="339">
        <v>33175</v>
      </c>
      <c r="Y171" s="338" t="s">
        <v>2579</v>
      </c>
      <c r="AA171" s="338">
        <v>18</v>
      </c>
      <c r="AB171" s="338" t="s">
        <v>316</v>
      </c>
      <c r="AG171" s="2297">
        <v>9.0500000000000007</v>
      </c>
      <c r="AH171" s="2297" t="s">
        <v>340</v>
      </c>
      <c r="AI171" s="1390"/>
      <c r="AJ171" s="2282"/>
      <c r="AK171" s="2282"/>
      <c r="AL171" s="1037"/>
      <c r="AM171" s="339">
        <v>33139</v>
      </c>
      <c r="AN171" s="338" t="s">
        <v>331</v>
      </c>
      <c r="AQ171" s="858"/>
      <c r="AR171" s="338">
        <v>19</v>
      </c>
      <c r="AS171" s="338" t="s">
        <v>304</v>
      </c>
      <c r="AX171" s="340">
        <v>106.09</v>
      </c>
      <c r="AY171" s="340" t="s">
        <v>289</v>
      </c>
      <c r="BA171" s="341" t="str">
        <f t="array" ref="BA171">IFERROR(IF($BA$11="Metro",INDEX($AR$13:$AR$814,SMALL(IF((County=$AS$13:$AS$814),MATCH(ROW($AS$13:$AS$814),ROW($AS$13:$AS$814)),""),ROWS($A$13:$A171))),INDEX($AU$13:$AU$48,SMALL(IF((County=$AV$13:$AV$48),MATCH(ROW($AV$13:$AV$48),ROW($AV$13:$AV$48)),""),ROWS($A$13:$A171)))),"")</f>
        <v/>
      </c>
      <c r="BC171" s="341" t="str">
        <f t="array" ref="BC171">IFERROR(IF($BC$11="Yes",INDEX($AX$13:$AX$2950,SMALL(IF((County=$AY$13:$AY$2950),MATCH(ROW($AY$13:$AY$2950),ROW($AY$13:$AY$2950)),""),ROWS($A$13:$A171))),""),"")</f>
        <v/>
      </c>
      <c r="BE171" s="339">
        <v>33326</v>
      </c>
      <c r="BF171" s="338" t="s">
        <v>289</v>
      </c>
      <c r="BH171" s="338">
        <v>14.02</v>
      </c>
      <c r="BI171" s="338" t="s">
        <v>302</v>
      </c>
      <c r="BN171" s="340">
        <v>8.09</v>
      </c>
      <c r="BO171" s="340" t="s">
        <v>329</v>
      </c>
      <c r="BP171" s="1385"/>
      <c r="BQ171" s="1583">
        <v>32195</v>
      </c>
      <c r="BR171" s="236" t="s">
        <v>329</v>
      </c>
      <c r="BU171" s="858"/>
      <c r="BV171" s="338">
        <v>641.28</v>
      </c>
      <c r="BW171" s="338" t="s">
        <v>288</v>
      </c>
      <c r="BY171" s="236">
        <v>9505</v>
      </c>
      <c r="BZ171" s="236" t="s">
        <v>345</v>
      </c>
      <c r="CB171" s="340">
        <v>106.03</v>
      </c>
      <c r="CC171" s="340" t="s">
        <v>289</v>
      </c>
      <c r="CE171" s="341" t="str">
        <f t="array" ref="CE171">IFERROR(IF($CE$11="Metro",INDEX($BV$13:$BV$4972,SMALL(IF((County=$BW$13:$BW$4972),MATCH(ROW($BW$13:$BW$4972),ROW($BW$13:$BW$4972)),""),ROWS($A$13:$A171))),INDEX($BY$13:$BY$212,SMALL(IF((County=$BZ$13:$BZ$212),MATCH(ROW($BZ$13:$BZ$212),ROW($BZ$13:$BZ$212)),""),ROWS($A$13:$A171)))),"")</f>
        <v/>
      </c>
      <c r="CG171" s="341" t="str">
        <f t="array" ref="CG171">IFERROR(IF($CG$11="Yes",INDEX($CB$13:$CB$2950,SMALL(IF((County=$CC$13:$CC$2950),MATCH(ROW($CC$13:$CC$2950),ROW($CC$13:$CC$2950)),""),ROWS($A$13:$A171))),""),"")</f>
        <v/>
      </c>
      <c r="CI171" s="1387">
        <v>33304</v>
      </c>
      <c r="CJ171" s="338" t="s">
        <v>289</v>
      </c>
      <c r="CL171" s="236">
        <v>4.05</v>
      </c>
      <c r="CM171" s="236" t="s">
        <v>340</v>
      </c>
      <c r="CO171" s="236">
        <v>9705</v>
      </c>
      <c r="CP171" s="236" t="s">
        <v>333</v>
      </c>
      <c r="CR171" s="340">
        <v>8.08</v>
      </c>
      <c r="CS171" s="340" t="s">
        <v>329</v>
      </c>
      <c r="CT171" s="1384"/>
      <c r="CU171" s="341">
        <v>33015</v>
      </c>
      <c r="CV171" s="338" t="s">
        <v>2579</v>
      </c>
      <c r="CZ171" s="1795">
        <v>109</v>
      </c>
      <c r="DA171" s="338" t="s">
        <v>302</v>
      </c>
      <c r="DF171" s="340">
        <v>106.06</v>
      </c>
      <c r="DG171" s="340" t="s">
        <v>289</v>
      </c>
      <c r="DI171" s="341" t="str">
        <f t="array" ref="DI171">IFERROR(IF($DI$11="Metro",INDEX($CZ$13:$CZ$929,SMALL(IF((County=$DA$13:$DA$929),MATCH(ROW($DA$13:$DA$929),ROW($DA$13:$DA$929)),""),ROWS($A$13:$A171))),INDEX($DC$13:$DC$212,SMALL(IF((County=$DD$13:$DD$212),MATCH(ROW($DD$13:$DD$212),ROW($DD$13:$DD$212)),""),ROWS($A$13:$A171)))),"")</f>
        <v/>
      </c>
      <c r="DK171" s="341" t="str">
        <f t="array" ref="DK171">IFERROR(IF($DK$11="Yes",INDEX($DF$13:$DF$2838,SMALL(IF((County=$DG$13:$DG$2838),MATCH(ROW($DG$13:$DG$2838),ROW($DG$13:$DG$2838)),""),ROWS($A$13:$A171))),""),"")</f>
        <v/>
      </c>
      <c r="DM171" s="1387">
        <v>33194</v>
      </c>
      <c r="DN171" s="338" t="s">
        <v>2579</v>
      </c>
      <c r="DP171" s="236">
        <v>15.19</v>
      </c>
      <c r="DQ171" s="236" t="s">
        <v>276</v>
      </c>
      <c r="DV171" s="340">
        <v>9.02</v>
      </c>
      <c r="DW171" s="340" t="s">
        <v>340</v>
      </c>
      <c r="DX171" s="1671"/>
      <c r="EB171" s="618"/>
      <c r="EC171" s="618"/>
      <c r="ED171" s="618"/>
      <c r="EE171" s="618"/>
      <c r="EF171" s="618"/>
      <c r="EG171" s="618"/>
      <c r="EH171" s="618"/>
      <c r="EI171" s="618"/>
      <c r="EJ171" s="618"/>
      <c r="EK171" s="618"/>
      <c r="EL171" s="618"/>
      <c r="EM171" s="618"/>
    </row>
    <row r="172" spans="1:143" ht="14.65" customHeight="1">
      <c r="A172" s="339">
        <v>34119</v>
      </c>
      <c r="B172" s="338" t="s">
        <v>323</v>
      </c>
      <c r="E172" s="858"/>
      <c r="F172" s="338">
        <v>133.02000000000001</v>
      </c>
      <c r="G172" s="338" t="s">
        <v>302</v>
      </c>
      <c r="L172" s="2481">
        <v>106.12</v>
      </c>
      <c r="M172" s="340" t="s">
        <v>289</v>
      </c>
      <c r="N172" s="1390"/>
      <c r="O172" s="2479"/>
      <c r="P172" s="2282"/>
      <c r="R172" s="341" t="str">
        <f t="array" ref="R172">IFERROR(IF($R$11="Metro",INDEX($F$13:$F$829,SMALL(IF((County=$G$13:$G$829),MATCH(ROW($G$13:$G$829),ROW($G$13:$G$829)),""),ROWS($A$13:A172))),INDEX($I$13:$I$44,SMALL(IF((County=$J$13:$J$44),MATCH(ROW($J$13:$J$44),ROW($J$13:$J$44)),""),ROWS($A$13:A172)))),"")</f>
        <v/>
      </c>
      <c r="T172" s="341" t="str">
        <f t="array" ref="T172">IFERROR(IF($T$11="Yes",INDEX($L$13:$L$2813,SMALL(IF((County=$M$13:$M$2813),MATCH(ROW($M$13:$M$2813),ROW($M$13:$M$2813)),""),ROWS($A$13:A172))),""),"")</f>
        <v/>
      </c>
      <c r="V172" s="2283" t="str">
        <f t="array" ref="V172">IFERROR(IF($T$11="Yes",INDEX($O$14:$O$2811,SMALL(IF((County=$P$14:$P$2811),MATCH(ROW($P$14:$P$2811),ROW($P$14:$P$2811)),""),ROWS($A$13:A172))),""),"")</f>
        <v/>
      </c>
      <c r="X172" s="339">
        <v>33176</v>
      </c>
      <c r="Y172" s="338" t="s">
        <v>2579</v>
      </c>
      <c r="AA172" s="338">
        <v>18</v>
      </c>
      <c r="AB172" s="338" t="s">
        <v>329</v>
      </c>
      <c r="AG172" s="2297">
        <v>9.06</v>
      </c>
      <c r="AH172" s="2297" t="s">
        <v>324</v>
      </c>
      <c r="AI172" s="1390"/>
      <c r="AJ172" s="2282"/>
      <c r="AK172" s="2282"/>
      <c r="AL172" s="1037"/>
      <c r="AM172" s="339">
        <v>33140</v>
      </c>
      <c r="AN172" s="338" t="s">
        <v>331</v>
      </c>
      <c r="AQ172" s="858"/>
      <c r="AR172" s="338">
        <v>20</v>
      </c>
      <c r="AS172" s="338" t="s">
        <v>304</v>
      </c>
      <c r="AX172" s="340">
        <v>106.1</v>
      </c>
      <c r="AY172" s="340" t="s">
        <v>289</v>
      </c>
      <c r="BA172" s="341" t="str">
        <f t="array" ref="BA172">IFERROR(IF($BA$11="Metro",INDEX($AR$13:$AR$814,SMALL(IF((County=$AS$13:$AS$814),MATCH(ROW($AS$13:$AS$814),ROW($AS$13:$AS$814)),""),ROWS($A$13:$A172))),INDEX($AU$13:$AU$48,SMALL(IF((County=$AV$13:$AV$48),MATCH(ROW($AV$13:$AV$48),ROW($AV$13:$AV$48)),""),ROWS($A$13:$A172)))),"")</f>
        <v/>
      </c>
      <c r="BC172" s="341" t="str">
        <f t="array" ref="BC172">IFERROR(IF($BC$11="Yes",INDEX($AX$13:$AX$2950,SMALL(IF((County=$AY$13:$AY$2950),MATCH(ROW($AY$13:$AY$2950),ROW($AY$13:$AY$2950)),""),ROWS($A$13:$A172))),""),"")</f>
        <v/>
      </c>
      <c r="BE172" s="339">
        <v>33327</v>
      </c>
      <c r="BF172" s="338" t="s">
        <v>289</v>
      </c>
      <c r="BH172" s="338">
        <v>14.02</v>
      </c>
      <c r="BI172" s="338" t="s">
        <v>324</v>
      </c>
      <c r="BN172" s="340">
        <v>8.1</v>
      </c>
      <c r="BO172" s="340" t="s">
        <v>328</v>
      </c>
      <c r="BP172" s="1385"/>
      <c r="BQ172" s="1583">
        <v>34472</v>
      </c>
      <c r="BR172" s="236" t="s">
        <v>329</v>
      </c>
      <c r="BU172" s="858"/>
      <c r="BV172" s="338">
        <v>641.29</v>
      </c>
      <c r="BW172" s="338" t="s">
        <v>288</v>
      </c>
      <c r="BY172" s="236">
        <v>9506</v>
      </c>
      <c r="BZ172" s="236" t="s">
        <v>345</v>
      </c>
      <c r="CB172" s="340">
        <v>106.04</v>
      </c>
      <c r="CC172" s="340" t="s">
        <v>289</v>
      </c>
      <c r="CE172" s="341" t="str">
        <f t="array" ref="CE172">IFERROR(IF($CE$11="Metro",INDEX($BV$13:$BV$4972,SMALL(IF((County=$BW$13:$BW$4972),MATCH(ROW($BW$13:$BW$4972),ROW($BW$13:$BW$4972)),""),ROWS($A$13:$A172))),INDEX($BY$13:$BY$212,SMALL(IF((County=$BZ$13:$BZ$212),MATCH(ROW($BZ$13:$BZ$212),ROW($BZ$13:$BZ$212)),""),ROWS($A$13:$A172)))),"")</f>
        <v/>
      </c>
      <c r="CG172" s="341" t="str">
        <f t="array" ref="CG172">IFERROR(IF($CG$11="Yes",INDEX($CB$13:$CB$2950,SMALL(IF((County=$CC$13:$CC$2950),MATCH(ROW($CC$13:$CC$2950),ROW($CC$13:$CC$2950)),""),ROWS($A$13:$A172))),""),"")</f>
        <v/>
      </c>
      <c r="CI172" s="1387">
        <v>33305</v>
      </c>
      <c r="CJ172" s="338" t="s">
        <v>289</v>
      </c>
      <c r="CL172" s="236">
        <v>4.05</v>
      </c>
      <c r="CM172" s="236" t="s">
        <v>347</v>
      </c>
      <c r="CO172" s="236">
        <v>9705.01</v>
      </c>
      <c r="CP172" s="236" t="s">
        <v>352</v>
      </c>
      <c r="CR172" s="340">
        <v>8.09</v>
      </c>
      <c r="CS172" s="340" t="s">
        <v>276</v>
      </c>
      <c r="CT172" s="1384"/>
      <c r="CU172" s="341">
        <v>33016</v>
      </c>
      <c r="CV172" s="338" t="s">
        <v>2579</v>
      </c>
      <c r="CZ172" s="1795">
        <v>110</v>
      </c>
      <c r="DA172" s="338" t="s">
        <v>302</v>
      </c>
      <c r="DF172" s="340">
        <v>106.09</v>
      </c>
      <c r="DG172" s="340" t="s">
        <v>289</v>
      </c>
      <c r="DI172" s="341" t="str">
        <f t="array" ref="DI172">IFERROR(IF($DI$11="Metro",INDEX($CZ$13:$CZ$929,SMALL(IF((County=$DA$13:$DA$929),MATCH(ROW($DA$13:$DA$929),ROW($DA$13:$DA$929)),""),ROWS($A$13:$A172))),INDEX($DC$13:$DC$212,SMALL(IF((County=$DD$13:$DD$212),MATCH(ROW($DD$13:$DD$212),ROW($DD$13:$DD$212)),""),ROWS($A$13:$A172)))),"")</f>
        <v/>
      </c>
      <c r="DK172" s="341" t="str">
        <f t="array" ref="DK172">IFERROR(IF($DK$11="Yes",INDEX($DF$13:$DF$2838,SMALL(IF((County=$DG$13:$DG$2838),MATCH(ROW($DG$13:$DG$2838),ROW($DG$13:$DG$2838)),""),ROWS($A$13:$A172))),""),"")</f>
        <v/>
      </c>
      <c r="DM172" s="1387">
        <v>33196</v>
      </c>
      <c r="DN172" s="338" t="s">
        <v>2579</v>
      </c>
      <c r="DP172" s="236">
        <v>15.22</v>
      </c>
      <c r="DQ172" s="236" t="s">
        <v>276</v>
      </c>
      <c r="DV172" s="340">
        <v>9.0299999999999994</v>
      </c>
      <c r="DW172" s="340" t="s">
        <v>329</v>
      </c>
      <c r="DX172" s="1671"/>
      <c r="EB172" s="618"/>
      <c r="EC172" s="618"/>
      <c r="ED172" s="618"/>
      <c r="EE172" s="618"/>
      <c r="EF172" s="618"/>
      <c r="EG172" s="618"/>
      <c r="EH172" s="618"/>
      <c r="EI172" s="618"/>
      <c r="EJ172" s="618"/>
      <c r="EK172" s="618"/>
      <c r="EL172" s="618"/>
      <c r="EM172" s="618"/>
    </row>
    <row r="173" spans="1:143" ht="14.65" customHeight="1">
      <c r="A173" s="339">
        <v>34134</v>
      </c>
      <c r="B173" s="338" t="s">
        <v>323</v>
      </c>
      <c r="E173" s="858"/>
      <c r="F173" s="338">
        <v>134.03</v>
      </c>
      <c r="G173" s="338" t="s">
        <v>302</v>
      </c>
      <c r="L173" s="2481">
        <v>106.13</v>
      </c>
      <c r="M173" s="340" t="s">
        <v>289</v>
      </c>
      <c r="N173" s="1390"/>
      <c r="O173" s="2479"/>
      <c r="P173" s="2282"/>
      <c r="R173" s="341" t="str">
        <f t="array" ref="R173">IFERROR(IF($R$11="Metro",INDEX($F$13:$F$829,SMALL(IF((County=$G$13:$G$829),MATCH(ROW($G$13:$G$829),ROW($G$13:$G$829)),""),ROWS($A$13:A173))),INDEX($I$13:$I$44,SMALL(IF((County=$J$13:$J$44),MATCH(ROW($J$13:$J$44),ROW($J$13:$J$44)),""),ROWS($A$13:A173)))),"")</f>
        <v/>
      </c>
      <c r="T173" s="341" t="str">
        <f t="array" ref="T173">IFERROR(IF($T$11="Yes",INDEX($L$13:$L$2813,SMALL(IF((County=$M$13:$M$2813),MATCH(ROW($M$13:$M$2813),ROW($M$13:$M$2813)),""),ROWS($A$13:A173))),""),"")</f>
        <v/>
      </c>
      <c r="V173" s="2283" t="str">
        <f t="array" ref="V173">IFERROR(IF($T$11="Yes",INDEX($O$14:$O$2811,SMALL(IF((County=$P$14:$P$2811),MATCH(ROW($P$14:$P$2811),ROW($P$14:$P$2811)),""),ROWS($A$13:A173))),""),"")</f>
        <v/>
      </c>
      <c r="X173" s="339">
        <v>33177</v>
      </c>
      <c r="Y173" s="338" t="s">
        <v>2579</v>
      </c>
      <c r="AA173" s="338">
        <v>18.010000000000002</v>
      </c>
      <c r="AB173" s="338" t="s">
        <v>331</v>
      </c>
      <c r="AG173" s="2297">
        <v>9.07</v>
      </c>
      <c r="AH173" s="2297" t="s">
        <v>324</v>
      </c>
      <c r="AI173" s="1390"/>
      <c r="AJ173" s="2282"/>
      <c r="AK173" s="2282"/>
      <c r="AL173" s="1037"/>
      <c r="AM173" s="339">
        <v>33141</v>
      </c>
      <c r="AN173" s="338" t="s">
        <v>331</v>
      </c>
      <c r="AQ173" s="858"/>
      <c r="AR173" s="338">
        <v>21</v>
      </c>
      <c r="AS173" s="338" t="s">
        <v>304</v>
      </c>
      <c r="AX173" s="340">
        <v>106.11</v>
      </c>
      <c r="AY173" s="340" t="s">
        <v>289</v>
      </c>
      <c r="BA173" s="341" t="str">
        <f t="array" ref="BA173">IFERROR(IF($BA$11="Metro",INDEX($AR$13:$AR$814,SMALL(IF((County=$AS$13:$AS$814),MATCH(ROW($AS$13:$AS$814),ROW($AS$13:$AS$814)),""),ROWS($A$13:$A173))),INDEX($AU$13:$AU$48,SMALL(IF((County=$AV$13:$AV$48),MATCH(ROW($AV$13:$AV$48),ROW($AV$13:$AV$48)),""),ROWS($A$13:$A173)))),"")</f>
        <v/>
      </c>
      <c r="BC173" s="341" t="str">
        <f t="array" ref="BC173">IFERROR(IF($BC$11="Yes",INDEX($AX$13:$AX$2950,SMALL(IF((County=$AY$13:$AY$2950),MATCH(ROW($AY$13:$AY$2950),ROW($AY$13:$AY$2950)),""),ROWS($A$13:$A173))),""),"")</f>
        <v/>
      </c>
      <c r="BE173" s="339">
        <v>33328</v>
      </c>
      <c r="BF173" s="338" t="s">
        <v>289</v>
      </c>
      <c r="BH173" s="338">
        <v>14.02</v>
      </c>
      <c r="BI173" s="338" t="s">
        <v>331</v>
      </c>
      <c r="BN173" s="340">
        <v>8.1</v>
      </c>
      <c r="BO173" s="340" t="s">
        <v>329</v>
      </c>
      <c r="BP173" s="1385"/>
      <c r="BQ173" s="1583">
        <v>34473</v>
      </c>
      <c r="BR173" s="236" t="s">
        <v>329</v>
      </c>
      <c r="BU173" s="858"/>
      <c r="BV173" s="338">
        <v>641.29999999999995</v>
      </c>
      <c r="BW173" s="338" t="s">
        <v>288</v>
      </c>
      <c r="BY173" s="236">
        <v>9507</v>
      </c>
      <c r="BZ173" s="236" t="s">
        <v>345</v>
      </c>
      <c r="CB173" s="340">
        <v>106.05</v>
      </c>
      <c r="CC173" s="340" t="s">
        <v>289</v>
      </c>
      <c r="CE173" s="341" t="str">
        <f t="array" ref="CE173">IFERROR(IF($CE$11="Metro",INDEX($BV$13:$BV$4972,SMALL(IF((County=$BW$13:$BW$4972),MATCH(ROW($BW$13:$BW$4972),ROW($BW$13:$BW$4972)),""),ROWS($A$13:$A173))),INDEX($BY$13:$BY$212,SMALL(IF((County=$BZ$13:$BZ$212),MATCH(ROW($BZ$13:$BZ$212),ROW($BZ$13:$BZ$212)),""),ROWS($A$13:$A173)))),"")</f>
        <v/>
      </c>
      <c r="CG173" s="341" t="str">
        <f t="array" ref="CG173">IFERROR(IF($CG$11="Yes",INDEX($CB$13:$CB$2950,SMALL(IF((County=$CC$13:$CC$2950),MATCH(ROW($CC$13:$CC$2950),ROW($CC$13:$CC$2950)),""),ROWS($A$13:$A173))),""),"")</f>
        <v/>
      </c>
      <c r="CI173" s="1387">
        <v>33308</v>
      </c>
      <c r="CJ173" s="338" t="s">
        <v>289</v>
      </c>
      <c r="CL173" s="236">
        <v>4.0599999999999996</v>
      </c>
      <c r="CM173" s="236" t="s">
        <v>328</v>
      </c>
      <c r="CO173" s="236">
        <v>9705.02</v>
      </c>
      <c r="CP173" s="236" t="s">
        <v>352</v>
      </c>
      <c r="CR173" s="340">
        <v>8.09</v>
      </c>
      <c r="CS173" s="340" t="s">
        <v>328</v>
      </c>
      <c r="CT173" s="1384"/>
      <c r="CU173" s="341">
        <v>33018</v>
      </c>
      <c r="CV173" s="338" t="s">
        <v>2579</v>
      </c>
      <c r="CZ173" s="1795">
        <v>111</v>
      </c>
      <c r="DA173" s="338" t="s">
        <v>302</v>
      </c>
      <c r="DF173" s="340">
        <v>106.1</v>
      </c>
      <c r="DG173" s="340" t="s">
        <v>289</v>
      </c>
      <c r="DI173" s="341" t="str">
        <f t="array" ref="DI173">IFERROR(IF($DI$11="Metro",INDEX($CZ$13:$CZ$929,SMALL(IF((County=$DA$13:$DA$929),MATCH(ROW($DA$13:$DA$929),ROW($DA$13:$DA$929)),""),ROWS($A$13:$A173))),INDEX($DC$13:$DC$212,SMALL(IF((County=$DD$13:$DD$212),MATCH(ROW($DD$13:$DD$212),ROW($DD$13:$DD$212)),""),ROWS($A$13:$A173)))),"")</f>
        <v/>
      </c>
      <c r="DK173" s="341" t="str">
        <f t="array" ref="DK173">IFERROR(IF($DK$11="Yes",INDEX($DF$13:$DF$2838,SMALL(IF((County=$DG$13:$DG$2838),MATCH(ROW($DG$13:$DG$2838),ROW($DG$13:$DG$2838)),""),ROWS($A$13:$A173))),""),"")</f>
        <v/>
      </c>
      <c r="DM173" s="1387">
        <v>33301</v>
      </c>
      <c r="DN173" s="338" t="s">
        <v>289</v>
      </c>
      <c r="DP173" s="236">
        <v>16</v>
      </c>
      <c r="DQ173" s="236" t="s">
        <v>285</v>
      </c>
      <c r="DV173" s="340">
        <v>9.0299999999999994</v>
      </c>
      <c r="DW173" s="340" t="s">
        <v>340</v>
      </c>
      <c r="DX173" s="1671"/>
      <c r="EB173" s="618"/>
      <c r="EC173" s="618"/>
      <c r="ED173" s="618"/>
      <c r="EE173" s="618"/>
      <c r="EF173" s="618"/>
      <c r="EG173" s="618"/>
      <c r="EH173" s="618"/>
      <c r="EI173" s="618"/>
      <c r="EJ173" s="618"/>
      <c r="EK173" s="618"/>
      <c r="EL173" s="618"/>
      <c r="EM173" s="618"/>
    </row>
    <row r="174" spans="1:143" ht="14.65" customHeight="1">
      <c r="A174" s="339">
        <v>34135</v>
      </c>
      <c r="B174" s="338" t="s">
        <v>323</v>
      </c>
      <c r="E174" s="858"/>
      <c r="F174" s="338">
        <v>134.04</v>
      </c>
      <c r="G174" s="338" t="s">
        <v>302</v>
      </c>
      <c r="L174" s="2481">
        <v>106.14</v>
      </c>
      <c r="M174" s="340" t="s">
        <v>289</v>
      </c>
      <c r="N174" s="1390"/>
      <c r="O174" s="2479"/>
      <c r="P174" s="2282"/>
      <c r="R174" s="341" t="str">
        <f t="array" ref="R174">IFERROR(IF($R$11="Metro",INDEX($F$13:$F$829,SMALL(IF((County=$G$13:$G$829),MATCH(ROW($G$13:$G$829),ROW($G$13:$G$829)),""),ROWS($A$13:A174))),INDEX($I$13:$I$44,SMALL(IF((County=$J$13:$J$44),MATCH(ROW($J$13:$J$44),ROW($J$13:$J$44)),""),ROWS($A$13:A174)))),"")</f>
        <v/>
      </c>
      <c r="T174" s="341" t="str">
        <f t="array" ref="T174">IFERROR(IF($T$11="Yes",INDEX($L$13:$L$2813,SMALL(IF((County=$M$13:$M$2813),MATCH(ROW($M$13:$M$2813),ROW($M$13:$M$2813)),""),ROWS($A$13:A174))),""),"")</f>
        <v/>
      </c>
      <c r="V174" s="2283" t="str">
        <f t="array" ref="V174">IFERROR(IF($T$11="Yes",INDEX($O$14:$O$2811,SMALL(IF((County=$P$14:$P$2811),MATCH(ROW($P$14:$P$2811),ROW($P$14:$P$2811)),""),ROWS($A$13:A174))),""),"")</f>
        <v/>
      </c>
      <c r="X174" s="339">
        <v>33178</v>
      </c>
      <c r="Y174" s="338" t="s">
        <v>2579</v>
      </c>
      <c r="AA174" s="338">
        <v>18.02</v>
      </c>
      <c r="AB174" s="338" t="s">
        <v>331</v>
      </c>
      <c r="AG174" s="2297">
        <v>10.01</v>
      </c>
      <c r="AH174" s="2297" t="s">
        <v>304</v>
      </c>
      <c r="AI174" s="1390"/>
      <c r="AJ174" s="2282"/>
      <c r="AK174" s="2282"/>
      <c r="AL174" s="1037"/>
      <c r="AM174" s="339">
        <v>33143</v>
      </c>
      <c r="AN174" s="338" t="s">
        <v>331</v>
      </c>
      <c r="AQ174" s="858"/>
      <c r="AR174" s="338">
        <v>27.03</v>
      </c>
      <c r="AS174" s="338" t="s">
        <v>304</v>
      </c>
      <c r="AX174" s="340">
        <v>106.12</v>
      </c>
      <c r="AY174" s="340" t="s">
        <v>289</v>
      </c>
      <c r="BA174" s="341" t="str">
        <f t="array" ref="BA174">IFERROR(IF($BA$11="Metro",INDEX($AR$13:$AR$814,SMALL(IF((County=$AS$13:$AS$814),MATCH(ROW($AS$13:$AS$814),ROW($AS$13:$AS$814)),""),ROWS($A$13:$A174))),INDEX($AU$13:$AU$48,SMALL(IF((County=$AV$13:$AV$48),MATCH(ROW($AV$13:$AV$48),ROW($AV$13:$AV$48)),""),ROWS($A$13:$A174)))),"")</f>
        <v/>
      </c>
      <c r="BC174" s="341" t="str">
        <f t="array" ref="BC174">IFERROR(IF($BC$11="Yes",INDEX($AX$13:$AX$2950,SMALL(IF((County=$AY$13:$AY$2950),MATCH(ROW($AY$13:$AY$2950),ROW($AY$13:$AY$2950)),""),ROWS($A$13:$A174))),""),"")</f>
        <v/>
      </c>
      <c r="BE174" s="339">
        <v>33330</v>
      </c>
      <c r="BF174" s="338" t="s">
        <v>289</v>
      </c>
      <c r="BH174" s="338">
        <v>14.02</v>
      </c>
      <c r="BI174" s="338" t="s">
        <v>340</v>
      </c>
      <c r="BN174" s="340">
        <v>8.11</v>
      </c>
      <c r="BO174" s="340" t="s">
        <v>329</v>
      </c>
      <c r="BP174" s="1385"/>
      <c r="BQ174" s="1583">
        <v>34474</v>
      </c>
      <c r="BR174" s="236" t="s">
        <v>329</v>
      </c>
      <c r="BU174" s="858"/>
      <c r="BV174" s="338">
        <v>642.01</v>
      </c>
      <c r="BW174" s="338" t="s">
        <v>288</v>
      </c>
      <c r="BY174" s="236">
        <v>9508</v>
      </c>
      <c r="BZ174" s="236" t="s">
        <v>345</v>
      </c>
      <c r="CB174" s="340">
        <v>106.06</v>
      </c>
      <c r="CC174" s="340" t="s">
        <v>289</v>
      </c>
      <c r="CE174" s="341" t="str">
        <f t="array" ref="CE174">IFERROR(IF($CE$11="Metro",INDEX($BV$13:$BV$4972,SMALL(IF((County=$BW$13:$BW$4972),MATCH(ROW($BW$13:$BW$4972),ROW($BW$13:$BW$4972)),""),ROWS($A$13:$A174))),INDEX($BY$13:$BY$212,SMALL(IF((County=$BZ$13:$BZ$212),MATCH(ROW($BZ$13:$BZ$212),ROW($BZ$13:$BZ$212)),""),ROWS($A$13:$A174)))),"")</f>
        <v/>
      </c>
      <c r="CG174" s="341" t="str">
        <f t="array" ref="CG174">IFERROR(IF($CG$11="Yes",INDEX($CB$13:$CB$2950,SMALL(IF((County=$CC$13:$CC$2950),MATCH(ROW($CC$13:$CC$2950),ROW($CC$13:$CC$2950)),""),ROWS($A$13:$A174))),""),"")</f>
        <v/>
      </c>
      <c r="CI174" s="1387">
        <v>33309</v>
      </c>
      <c r="CJ174" s="338" t="s">
        <v>289</v>
      </c>
      <c r="CL174" s="236">
        <v>4.0599999999999996</v>
      </c>
      <c r="CM174" s="236" t="s">
        <v>340</v>
      </c>
      <c r="CO174" s="236">
        <v>9706</v>
      </c>
      <c r="CP174" s="236" t="s">
        <v>333</v>
      </c>
      <c r="CR174" s="340">
        <v>8.09</v>
      </c>
      <c r="CS174" s="340" t="s">
        <v>329</v>
      </c>
      <c r="CT174" s="1384"/>
      <c r="CU174" s="341">
        <v>33032</v>
      </c>
      <c r="CV174" s="338" t="s">
        <v>2579</v>
      </c>
      <c r="CZ174" s="1795">
        <v>112</v>
      </c>
      <c r="DA174" s="338" t="s">
        <v>302</v>
      </c>
      <c r="DF174" s="340">
        <v>106.11</v>
      </c>
      <c r="DG174" s="340" t="s">
        <v>289</v>
      </c>
      <c r="DI174" s="341" t="str">
        <f t="array" ref="DI174">IFERROR(IF($DI$11="Metro",INDEX($CZ$13:$CZ$929,SMALL(IF((County=$DA$13:$DA$929),MATCH(ROW($DA$13:$DA$929),ROW($DA$13:$DA$929)),""),ROWS($A$13:$A174))),INDEX($DC$13:$DC$212,SMALL(IF((County=$DD$13:$DD$212),MATCH(ROW($DD$13:$DD$212),ROW($DD$13:$DD$212)),""),ROWS($A$13:$A174)))),"")</f>
        <v/>
      </c>
      <c r="DK174" s="341" t="str">
        <f t="array" ref="DK174">IFERROR(IF($DK$11="Yes",INDEX($DF$13:$DF$2838,SMALL(IF((County=$DG$13:$DG$2838),MATCH(ROW($DG$13:$DG$2838),ROW($DG$13:$DG$2838)),""),ROWS($A$13:$A174))),""),"")</f>
        <v/>
      </c>
      <c r="DM174" s="1387">
        <v>33304</v>
      </c>
      <c r="DN174" s="338" t="s">
        <v>289</v>
      </c>
      <c r="DP174" s="236">
        <v>16</v>
      </c>
      <c r="DQ174" s="236" t="s">
        <v>302</v>
      </c>
      <c r="DV174" s="340">
        <v>9.0399999999999991</v>
      </c>
      <c r="DW174" s="340" t="s">
        <v>324</v>
      </c>
      <c r="DX174" s="1671"/>
      <c r="EB174" s="618"/>
      <c r="EC174" s="618"/>
      <c r="ED174" s="618"/>
      <c r="EE174" s="618"/>
      <c r="EF174" s="618"/>
      <c r="EG174" s="618"/>
      <c r="EH174" s="618"/>
      <c r="EI174" s="618"/>
      <c r="EJ174" s="618"/>
      <c r="EK174" s="618"/>
      <c r="EL174" s="618"/>
      <c r="EM174" s="618"/>
    </row>
    <row r="175" spans="1:143" ht="14.65" customHeight="1">
      <c r="A175" s="339">
        <v>34140</v>
      </c>
      <c r="B175" s="338" t="s">
        <v>323</v>
      </c>
      <c r="E175" s="858"/>
      <c r="F175" s="338">
        <v>135.04</v>
      </c>
      <c r="G175" s="338" t="s">
        <v>302</v>
      </c>
      <c r="L175" s="2481">
        <v>106.15</v>
      </c>
      <c r="M175" s="340" t="s">
        <v>289</v>
      </c>
      <c r="N175" s="1390"/>
      <c r="O175" s="2479"/>
      <c r="P175" s="2282"/>
      <c r="R175" s="1383" t="s">
        <v>2329</v>
      </c>
      <c r="T175" s="341" t="str">
        <f t="array" ref="T175">IFERROR(IF($T$11="Yes",INDEX($L$13:$L$2813,SMALL(IF((County=$M$13:$M$2813),MATCH(ROW($M$13:$M$2813),ROW($M$13:$M$2813)),""),ROWS($A$13:A175))),""),"")</f>
        <v/>
      </c>
      <c r="V175" s="2283" t="str">
        <f t="array" ref="V175">IFERROR(IF($T$11="Yes",INDEX($O$14:$O$2811,SMALL(IF((County=$P$14:$P$2811),MATCH(ROW($P$14:$P$2811),ROW($P$14:$P$2811)),""),ROWS($A$13:A175))),""),"")</f>
        <v/>
      </c>
      <c r="X175" s="339">
        <v>33180</v>
      </c>
      <c r="Y175" s="338" t="s">
        <v>2579</v>
      </c>
      <c r="AA175" s="338">
        <v>18.02</v>
      </c>
      <c r="AB175" s="338" t="s">
        <v>340</v>
      </c>
      <c r="AG175" s="2297">
        <v>10.01</v>
      </c>
      <c r="AH175" s="2297" t="s">
        <v>323</v>
      </c>
      <c r="AI175" s="1390"/>
      <c r="AJ175" s="2282"/>
      <c r="AK175" s="2282"/>
      <c r="AL175" s="1037"/>
      <c r="AM175" s="339">
        <v>33144</v>
      </c>
      <c r="AN175" s="338" t="s">
        <v>331</v>
      </c>
      <c r="AQ175" s="858"/>
      <c r="AR175" s="338">
        <v>29</v>
      </c>
      <c r="AS175" s="338" t="s">
        <v>304</v>
      </c>
      <c r="AX175" s="340">
        <v>106.13</v>
      </c>
      <c r="AY175" s="340" t="s">
        <v>289</v>
      </c>
      <c r="BA175" s="341" t="str">
        <f t="array" ref="BA175">IFERROR(IF($BA$11="Metro",INDEX($AR$13:$AR$814,SMALL(IF((County=$AS$13:$AS$814),MATCH(ROW($AS$13:$AS$814),ROW($AS$13:$AS$814)),""),ROWS($A$13:$A175))),INDEX($AU$13:$AU$48,SMALL(IF((County=$AV$13:$AV$48),MATCH(ROW($AV$13:$AV$48),ROW($AV$13:$AV$48)),""),ROWS($A$13:$A175)))),"")</f>
        <v/>
      </c>
      <c r="BC175" s="341" t="str">
        <f t="array" ref="BC175">IFERROR(IF($BC$11="Yes",INDEX($AX$13:$AX$2950,SMALL(IF((County=$AY$13:$AY$2950),MATCH(ROW($AY$13:$AY$2950),ROW($AY$13:$AY$2950)),""),ROWS($A$13:$A175))),""),"")</f>
        <v/>
      </c>
      <c r="BE175" s="339">
        <v>33331</v>
      </c>
      <c r="BF175" s="338" t="s">
        <v>289</v>
      </c>
      <c r="BH175" s="338">
        <v>14.03</v>
      </c>
      <c r="BI175" s="338" t="s">
        <v>340</v>
      </c>
      <c r="BN175" s="340">
        <v>8.1199999999999992</v>
      </c>
      <c r="BO175" s="340" t="s">
        <v>328</v>
      </c>
      <c r="BP175" s="1385"/>
      <c r="BQ175" s="1583">
        <v>34476</v>
      </c>
      <c r="BR175" s="236" t="s">
        <v>329</v>
      </c>
      <c r="BU175" s="858"/>
      <c r="BV175" s="338">
        <v>642.02</v>
      </c>
      <c r="BW175" s="338" t="s">
        <v>288</v>
      </c>
      <c r="BY175" s="236">
        <v>9509</v>
      </c>
      <c r="BZ175" s="236" t="s">
        <v>345</v>
      </c>
      <c r="CB175" s="340">
        <v>106.09</v>
      </c>
      <c r="CC175" s="340" t="s">
        <v>289</v>
      </c>
      <c r="CE175" s="341" t="str">
        <f t="array" ref="CE175">IFERROR(IF($CE$11="Metro",INDEX($BV$13:$BV$4972,SMALL(IF((County=$BW$13:$BW$4972),MATCH(ROW($BW$13:$BW$4972),ROW($BW$13:$BW$4972)),""),ROWS($A$13:$A175))),INDEX($BY$13:$BY$212,SMALL(IF((County=$BZ$13:$BZ$212),MATCH(ROW($BZ$13:$BZ$212),ROW($BZ$13:$BZ$212)),""),ROWS($A$13:$A175)))),"")</f>
        <v/>
      </c>
      <c r="CG175" s="341" t="str">
        <f t="array" ref="CG175">IFERROR(IF($CG$11="Yes",INDEX($CB$13:$CB$2950,SMALL(IF((County=$CC$13:$CC$2950),MATCH(ROW($CC$13:$CC$2950),ROW($CC$13:$CC$2950)),""),ROWS($A$13:$A175))),""),"")</f>
        <v/>
      </c>
      <c r="CI175" s="1387">
        <v>33314</v>
      </c>
      <c r="CJ175" s="338" t="s">
        <v>289</v>
      </c>
      <c r="CL175" s="236">
        <v>4.0599999999999996</v>
      </c>
      <c r="CM175" s="236" t="s">
        <v>347</v>
      </c>
      <c r="CO175" s="236">
        <v>9706.01</v>
      </c>
      <c r="CP175" s="236" t="s">
        <v>352</v>
      </c>
      <c r="CR175" s="340">
        <v>8.1</v>
      </c>
      <c r="CS175" s="340" t="s">
        <v>328</v>
      </c>
      <c r="CT175" s="1384"/>
      <c r="CU175" s="341">
        <v>33035</v>
      </c>
      <c r="CV175" s="338" t="s">
        <v>2579</v>
      </c>
      <c r="CZ175" s="1795">
        <v>113</v>
      </c>
      <c r="DA175" s="338" t="s">
        <v>302</v>
      </c>
      <c r="DF175" s="340">
        <v>106.12</v>
      </c>
      <c r="DG175" s="340" t="s">
        <v>289</v>
      </c>
      <c r="DI175" s="341" t="str">
        <f t="array" ref="DI175">IFERROR(IF($DI$11="Metro",INDEX($CZ$13:$CZ$929,SMALL(IF((County=$DA$13:$DA$929),MATCH(ROW($DA$13:$DA$929),ROW($DA$13:$DA$929)),""),ROWS($A$13:$A175))),INDEX($DC$13:$DC$212,SMALL(IF((County=$DD$13:$DD$212),MATCH(ROW($DD$13:$DD$212),ROW($DD$13:$DD$212)),""),ROWS($A$13:$A175)))),"")</f>
        <v/>
      </c>
      <c r="DK175" s="341" t="str">
        <f t="array" ref="DK175">IFERROR(IF($DK$11="Yes",INDEX($DF$13:$DF$2838,SMALL(IF((County=$DG$13:$DG$2838),MATCH(ROW($DG$13:$DG$2838),ROW($DG$13:$DG$2838)),""),ROWS($A$13:$A175))),""),"")</f>
        <v/>
      </c>
      <c r="DM175" s="1387">
        <v>33305</v>
      </c>
      <c r="DN175" s="338" t="s">
        <v>289</v>
      </c>
      <c r="DP175" s="236">
        <v>16</v>
      </c>
      <c r="DQ175" s="236" t="s">
        <v>304</v>
      </c>
      <c r="DV175" s="340">
        <v>9.0399999999999991</v>
      </c>
      <c r="DW175" s="340" t="s">
        <v>329</v>
      </c>
      <c r="DX175" s="1671"/>
      <c r="EB175" s="618"/>
      <c r="EC175" s="618"/>
      <c r="ED175" s="618"/>
      <c r="EE175" s="618"/>
      <c r="EF175" s="618"/>
      <c r="EG175" s="618"/>
      <c r="EH175" s="618"/>
      <c r="EI175" s="618"/>
      <c r="EJ175" s="618"/>
      <c r="EK175" s="618"/>
      <c r="EL175" s="618"/>
      <c r="EM175" s="618"/>
    </row>
    <row r="176" spans="1:143">
      <c r="A176" s="339">
        <v>32669</v>
      </c>
      <c r="B176" s="338" t="s">
        <v>325</v>
      </c>
      <c r="E176" s="858"/>
      <c r="F176" s="338">
        <v>143.11000000000001</v>
      </c>
      <c r="G176" s="338" t="s">
        <v>302</v>
      </c>
      <c r="L176" s="2481">
        <v>109.01</v>
      </c>
      <c r="M176" s="340" t="s">
        <v>289</v>
      </c>
      <c r="N176" s="1390"/>
      <c r="O176" s="2479"/>
      <c r="P176" s="2282"/>
      <c r="T176" s="341" t="str">
        <f t="array" ref="T176">IFERROR(IF($T$11="Yes",INDEX($L$13:$L$2813,SMALL(IF((County=$M$13:$M$2813),MATCH(ROW($M$13:$M$2813),ROW($M$13:$M$2813)),""),ROWS($A$13:A176))),""),"")</f>
        <v/>
      </c>
      <c r="V176" s="2283" t="str">
        <f t="array" ref="V176">IFERROR(IF($T$11="Yes",INDEX($O$14:$O$2811,SMALL(IF((County=$P$14:$P$2811),MATCH(ROW($P$14:$P$2811),ROW($P$14:$P$2811)),""),ROWS($A$13:A176))),""),"")</f>
        <v/>
      </c>
      <c r="X176" s="339">
        <v>33182</v>
      </c>
      <c r="Y176" s="338" t="s">
        <v>2579</v>
      </c>
      <c r="AA176" s="338">
        <v>18.03</v>
      </c>
      <c r="AB176" s="338" t="s">
        <v>331</v>
      </c>
      <c r="AG176" s="2297">
        <v>10.01</v>
      </c>
      <c r="AH176" s="2297" t="s">
        <v>328</v>
      </c>
      <c r="AI176" s="1390"/>
      <c r="AJ176" s="2282"/>
      <c r="AK176" s="2282"/>
      <c r="AL176" s="1037"/>
      <c r="AM176" s="339">
        <v>33145</v>
      </c>
      <c r="AN176" s="338" t="s">
        <v>331</v>
      </c>
      <c r="AQ176" s="858"/>
      <c r="AR176" s="338">
        <v>31</v>
      </c>
      <c r="AS176" s="338" t="s">
        <v>304</v>
      </c>
      <c r="AX176" s="340">
        <v>106.14</v>
      </c>
      <c r="AY176" s="340" t="s">
        <v>289</v>
      </c>
      <c r="BA176" s="341" t="str">
        <f t="array" ref="BA176">IFERROR(IF($BA$11="Metro",INDEX($AR$13:$AR$814,SMALL(IF((County=$AS$13:$AS$814),MATCH(ROW($AS$13:$AS$814),ROW($AS$13:$AS$814)),""),ROWS($A$13:$A176))),INDEX($AU$13:$AU$48,SMALL(IF((County=$AV$13:$AV$48),MATCH(ROW($AV$13:$AV$48),ROW($AV$13:$AV$48)),""),ROWS($A$13:$A176)))),"")</f>
        <v/>
      </c>
      <c r="BC176" s="341" t="str">
        <f t="array" ref="BC176">IFERROR(IF($BC$11="Yes",INDEX($AX$13:$AX$2950,SMALL(IF((County=$AY$13:$AY$2950),MATCH(ROW($AY$13:$AY$2950),ROW($AY$13:$AY$2950)),""),ROWS($A$13:$A176))),""),"")</f>
        <v/>
      </c>
      <c r="BE176" s="339">
        <v>33332</v>
      </c>
      <c r="BF176" s="338" t="s">
        <v>289</v>
      </c>
      <c r="BH176" s="338">
        <v>14.04</v>
      </c>
      <c r="BI176" s="338" t="s">
        <v>340</v>
      </c>
      <c r="BN176" s="340">
        <v>8.1300000000000008</v>
      </c>
      <c r="BO176" s="340" t="s">
        <v>328</v>
      </c>
      <c r="BP176" s="1385"/>
      <c r="BQ176" s="1583">
        <v>34990</v>
      </c>
      <c r="BR176" s="236" t="s">
        <v>330</v>
      </c>
      <c r="BU176" s="858"/>
      <c r="BV176" s="338">
        <v>643.01</v>
      </c>
      <c r="BW176" s="338" t="s">
        <v>288</v>
      </c>
      <c r="BY176" s="236">
        <v>9510</v>
      </c>
      <c r="BZ176" s="236" t="s">
        <v>345</v>
      </c>
      <c r="CB176" s="340">
        <v>106.11</v>
      </c>
      <c r="CC176" s="340" t="s">
        <v>289</v>
      </c>
      <c r="CE176" s="341" t="str">
        <f t="array" ref="CE176">IFERROR(IF($CE$11="Metro",INDEX($BV$13:$BV$4972,SMALL(IF((County=$BW$13:$BW$4972),MATCH(ROW($BW$13:$BW$4972),ROW($BW$13:$BW$4972)),""),ROWS($A$13:$A176))),INDEX($BY$13:$BY$212,SMALL(IF((County=$BZ$13:$BZ$212),MATCH(ROW($BZ$13:$BZ$212),ROW($BZ$13:$BZ$212)),""),ROWS($A$13:$A176)))),"")</f>
        <v/>
      </c>
      <c r="CG176" s="341" t="str">
        <f t="array" ref="CG176">IFERROR(IF($CG$11="Yes",INDEX($CB$13:$CB$2950,SMALL(IF((County=$CC$13:$CC$2950),MATCH(ROW($CC$13:$CC$2950),ROW($CC$13:$CC$2950)),""),ROWS($A$13:$A176))),""),"")</f>
        <v/>
      </c>
      <c r="CI176" s="1387">
        <v>33315</v>
      </c>
      <c r="CJ176" s="338" t="s">
        <v>289</v>
      </c>
      <c r="CL176" s="236">
        <v>4.07</v>
      </c>
      <c r="CM176" s="236" t="s">
        <v>328</v>
      </c>
      <c r="CO176" s="236">
        <v>9706.02</v>
      </c>
      <c r="CP176" s="236" t="s">
        <v>352</v>
      </c>
      <c r="CR176" s="340">
        <v>8.1</v>
      </c>
      <c r="CS176" s="340" t="s">
        <v>329</v>
      </c>
      <c r="CT176" s="1384"/>
      <c r="CU176" s="341">
        <v>33055</v>
      </c>
      <c r="CV176" s="338" t="s">
        <v>2579</v>
      </c>
      <c r="CZ176" s="1795">
        <v>114</v>
      </c>
      <c r="DA176" s="338" t="s">
        <v>302</v>
      </c>
      <c r="DF176" s="340">
        <v>106.13</v>
      </c>
      <c r="DG176" s="340" t="s">
        <v>289</v>
      </c>
      <c r="DI176" s="1383" t="s">
        <v>2329</v>
      </c>
      <c r="DK176" s="341" t="str">
        <f t="array" ref="DK176">IFERROR(IF($DK$11="Yes",INDEX($DF$13:$DF$2838,SMALL(IF((County=$DG$13:$DG$2838),MATCH(ROW($DG$13:$DG$2838),ROW($DG$13:$DG$2838)),""),ROWS($A$13:$A176))),""),"")</f>
        <v/>
      </c>
      <c r="DM176" s="1387">
        <v>33308</v>
      </c>
      <c r="DN176" s="338" t="s">
        <v>289</v>
      </c>
      <c r="DP176" s="236">
        <v>16</v>
      </c>
      <c r="DQ176" s="236" t="s">
        <v>340</v>
      </c>
      <c r="DV176" s="340">
        <v>9.0399999999999991</v>
      </c>
      <c r="DW176" s="340" t="s">
        <v>340</v>
      </c>
      <c r="DX176" s="1671"/>
      <c r="EB176" s="618"/>
      <c r="EC176" s="618"/>
      <c r="ED176" s="618"/>
      <c r="EE176" s="618"/>
      <c r="EF176" s="618"/>
      <c r="EG176" s="618"/>
      <c r="EH176" s="618"/>
      <c r="EI176" s="618"/>
      <c r="EJ176" s="618"/>
      <c r="EK176" s="618"/>
      <c r="EL176" s="618"/>
      <c r="EM176" s="618"/>
    </row>
    <row r="177" spans="1:143">
      <c r="A177" s="339">
        <v>34201</v>
      </c>
      <c r="B177" s="338" t="s">
        <v>328</v>
      </c>
      <c r="E177" s="858"/>
      <c r="F177" s="338">
        <v>146.04</v>
      </c>
      <c r="G177" s="338" t="s">
        <v>302</v>
      </c>
      <c r="L177" s="2481">
        <v>109.02</v>
      </c>
      <c r="M177" s="340" t="s">
        <v>289</v>
      </c>
      <c r="N177" s="1390"/>
      <c r="O177" s="2479"/>
      <c r="P177" s="2282"/>
      <c r="T177" s="341" t="str">
        <f t="array" ref="T177">IFERROR(IF($T$11="Yes",INDEX($L$13:$L$2813,SMALL(IF((County=$M$13:$M$2813),MATCH(ROW($M$13:$M$2813),ROW($M$13:$M$2813)),""),ROWS($A$13:A177))),""),"")</f>
        <v/>
      </c>
      <c r="V177" s="2283" t="str">
        <f t="array" ref="V177">IFERROR(IF($T$11="Yes",INDEX($O$14:$O$2811,SMALL(IF((County=$P$14:$P$2811),MATCH(ROW($P$14:$P$2811),ROW($P$14:$P$2811)),""),ROWS($A$13:A177))),""),"")</f>
        <v/>
      </c>
      <c r="X177" s="339">
        <v>33183</v>
      </c>
      <c r="Y177" s="338" t="s">
        <v>2579</v>
      </c>
      <c r="AA177" s="338">
        <v>18.04</v>
      </c>
      <c r="AB177" s="338" t="s">
        <v>330</v>
      </c>
      <c r="AG177" s="2297">
        <v>10.02</v>
      </c>
      <c r="AH177" s="2297" t="s">
        <v>304</v>
      </c>
      <c r="AI177" s="1390"/>
      <c r="AJ177" s="2282"/>
      <c r="AK177" s="2282"/>
      <c r="AL177" s="1037"/>
      <c r="AM177" s="339">
        <v>33146</v>
      </c>
      <c r="AN177" s="338" t="s">
        <v>331</v>
      </c>
      <c r="AQ177" s="858"/>
      <c r="AR177" s="338">
        <v>35.06</v>
      </c>
      <c r="AS177" s="338" t="s">
        <v>304</v>
      </c>
      <c r="AX177" s="340">
        <v>106.15</v>
      </c>
      <c r="AY177" s="340" t="s">
        <v>289</v>
      </c>
      <c r="BA177" s="341" t="str">
        <f t="array" ref="BA177">IFERROR(IF($BA$11="Metro",INDEX($AR$13:$AR$814,SMALL(IF((County=$AS$13:$AS$814),MATCH(ROW($AS$13:$AS$814),ROW($AS$13:$AS$814)),""),ROWS($A$13:$A177))),INDEX($AU$13:$AU$48,SMALL(IF((County=$AV$13:$AV$48),MATCH(ROW($AV$13:$AV$48),ROW($AV$13:$AV$48)),""),ROWS($A$13:$A177)))),"")</f>
        <v/>
      </c>
      <c r="BC177" s="341" t="str">
        <f t="array" ref="BC177">IFERROR(IF($BC$11="Yes",INDEX($AX$13:$AX$2950,SMALL(IF((County=$AY$13:$AY$2950),MATCH(ROW($AY$13:$AY$2950),ROW($AY$13:$AY$2950)),""),ROWS($A$13:$A177))),""),"")</f>
        <v/>
      </c>
      <c r="BE177" s="339">
        <v>33351</v>
      </c>
      <c r="BF177" s="338" t="s">
        <v>289</v>
      </c>
      <c r="BH177" s="338">
        <v>14.07</v>
      </c>
      <c r="BI177" s="338" t="s">
        <v>330</v>
      </c>
      <c r="BN177" s="340">
        <v>8.14</v>
      </c>
      <c r="BO177" s="340" t="s">
        <v>328</v>
      </c>
      <c r="BP177" s="1385"/>
      <c r="BQ177" s="1387">
        <v>33014</v>
      </c>
      <c r="BR177" s="236" t="s">
        <v>331</v>
      </c>
      <c r="BU177" s="858"/>
      <c r="BV177" s="338">
        <v>643.02</v>
      </c>
      <c r="BW177" s="338" t="s">
        <v>288</v>
      </c>
      <c r="BY177" s="236">
        <v>9511</v>
      </c>
      <c r="BZ177" s="236" t="s">
        <v>345</v>
      </c>
      <c r="CB177" s="340">
        <v>106.12</v>
      </c>
      <c r="CC177" s="340" t="s">
        <v>289</v>
      </c>
      <c r="CE177" s="341" t="str">
        <f t="array" ref="CE177">IFERROR(IF($CE$11="Metro",INDEX($BV$13:$BV$4972,SMALL(IF((County=$BW$13:$BW$4972),MATCH(ROW($BW$13:$BW$4972),ROW($BW$13:$BW$4972)),""),ROWS($A$13:$A177))),INDEX($BY$13:$BY$212,SMALL(IF((County=$BZ$13:$BZ$212),MATCH(ROW($BZ$13:$BZ$212),ROW($BZ$13:$BZ$212)),""),ROWS($A$13:$A177)))),"")</f>
        <v/>
      </c>
      <c r="CG177" s="341" t="str">
        <f t="array" ref="CG177">IFERROR(IF($CG$11="Yes",INDEX($CB$13:$CB$2950,SMALL(IF((County=$CC$13:$CC$2950),MATCH(ROW($CC$13:$CC$2950),ROW($CC$13:$CC$2950)),""),ROWS($A$13:$A177))),""),"")</f>
        <v/>
      </c>
      <c r="CI177" s="1387">
        <v>33317</v>
      </c>
      <c r="CJ177" s="338" t="s">
        <v>289</v>
      </c>
      <c r="CL177" s="236">
        <v>4.07</v>
      </c>
      <c r="CM177" s="236" t="s">
        <v>340</v>
      </c>
      <c r="CO177" s="236">
        <v>9707</v>
      </c>
      <c r="CP177" s="236" t="s">
        <v>333</v>
      </c>
      <c r="CR177" s="340">
        <v>8.11</v>
      </c>
      <c r="CS177" s="340" t="s">
        <v>329</v>
      </c>
      <c r="CT177" s="1384"/>
      <c r="CU177" s="341">
        <v>33056</v>
      </c>
      <c r="CV177" s="338" t="s">
        <v>2579</v>
      </c>
      <c r="CZ177" s="1795">
        <v>115</v>
      </c>
      <c r="DA177" s="338" t="s">
        <v>302</v>
      </c>
      <c r="DF177" s="340">
        <v>106.14</v>
      </c>
      <c r="DG177" s="340" t="s">
        <v>289</v>
      </c>
      <c r="DK177" s="341" t="str">
        <f t="array" ref="DK177">IFERROR(IF($DK$11="Yes",INDEX($DF$13:$DF$2838,SMALL(IF((County=$DG$13:$DG$2838),MATCH(ROW($DG$13:$DG$2838),ROW($DG$13:$DG$2838)),""),ROWS($A$13:$A177))),""),"")</f>
        <v/>
      </c>
      <c r="DM177" s="1387">
        <v>33312</v>
      </c>
      <c r="DN177" s="338" t="s">
        <v>289</v>
      </c>
      <c r="DP177" s="236">
        <v>16.05</v>
      </c>
      <c r="DQ177" s="236" t="s">
        <v>276</v>
      </c>
      <c r="DV177" s="340">
        <v>9.0500000000000007</v>
      </c>
      <c r="DW177" s="340" t="s">
        <v>331</v>
      </c>
      <c r="DX177" s="1671"/>
      <c r="EB177" s="618"/>
      <c r="EC177" s="618"/>
      <c r="ED177" s="618"/>
      <c r="EE177" s="618"/>
      <c r="EF177" s="618"/>
      <c r="EG177" s="618"/>
      <c r="EH177" s="618"/>
      <c r="EI177" s="618"/>
      <c r="EJ177" s="618"/>
      <c r="EK177" s="618"/>
      <c r="EL177" s="618"/>
      <c r="EM177" s="618"/>
    </row>
    <row r="178" spans="1:143">
      <c r="A178" s="339">
        <v>34202</v>
      </c>
      <c r="B178" s="338" t="s">
        <v>328</v>
      </c>
      <c r="E178" s="858"/>
      <c r="F178" s="338">
        <v>148</v>
      </c>
      <c r="G178" s="338" t="s">
        <v>302</v>
      </c>
      <c r="L178" s="2481">
        <v>110</v>
      </c>
      <c r="M178" s="340" t="s">
        <v>289</v>
      </c>
      <c r="N178" s="1390"/>
      <c r="O178" s="2479"/>
      <c r="P178" s="2282"/>
      <c r="T178" s="341" t="str">
        <f t="array" ref="T178">IFERROR(IF($T$11="Yes",INDEX($L$13:$L$2813,SMALL(IF((County=$M$13:$M$2813),MATCH(ROW($M$13:$M$2813),ROW($M$13:$M$2813)),""),ROWS($A$13:A178))),""),"")</f>
        <v/>
      </c>
      <c r="V178" s="2283" t="str">
        <f t="array" ref="V178">IFERROR(IF($T$11="Yes",INDEX($O$14:$O$2811,SMALL(IF((County=$P$14:$P$2811),MATCH(ROW($P$14:$P$2811),ROW($P$14:$P$2811)),""),ROWS($A$13:A178))),""),"")</f>
        <v/>
      </c>
      <c r="X178" s="339">
        <v>33184</v>
      </c>
      <c r="Y178" s="338" t="s">
        <v>2579</v>
      </c>
      <c r="AA178" s="338">
        <v>18.05</v>
      </c>
      <c r="AB178" s="338" t="s">
        <v>330</v>
      </c>
      <c r="AG178" s="2297">
        <v>10.029999999999999</v>
      </c>
      <c r="AH178" s="2297" t="s">
        <v>340</v>
      </c>
      <c r="AI178" s="1390"/>
      <c r="AJ178" s="2282"/>
      <c r="AK178" s="2282"/>
      <c r="AL178" s="1037"/>
      <c r="AM178" s="339">
        <v>33149</v>
      </c>
      <c r="AN178" s="338" t="s">
        <v>331</v>
      </c>
      <c r="AQ178" s="858"/>
      <c r="AR178" s="338">
        <v>36.07</v>
      </c>
      <c r="AS178" s="338" t="s">
        <v>304</v>
      </c>
      <c r="AX178" s="340">
        <v>109.01</v>
      </c>
      <c r="AY178" s="340" t="s">
        <v>289</v>
      </c>
      <c r="BA178" s="341" t="str">
        <f t="array" ref="BA178">IFERROR(IF($BA$11="Metro",INDEX($AR$13:$AR$814,SMALL(IF((County=$AS$13:$AS$814),MATCH(ROW($AS$13:$AS$814),ROW($AS$13:$AS$814)),""),ROWS($A$13:$A178))),INDEX($AU$13:$AU$48,SMALL(IF((County=$AV$13:$AV$48),MATCH(ROW($AV$13:$AV$48),ROW($AV$13:$AV$48)),""),ROWS($A$13:$A178)))),"")</f>
        <v/>
      </c>
      <c r="BC178" s="341" t="str">
        <f t="array" ref="BC178">IFERROR(IF($BC$11="Yes",INDEX($AX$13:$AX$2950,SMALL(IF((County=$AY$13:$AY$2950),MATCH(ROW($AY$13:$AY$2950),ROW($AY$13:$AY$2950)),""),ROWS($A$13:$A178))),""),"")</f>
        <v/>
      </c>
      <c r="BE178" s="339">
        <v>33410</v>
      </c>
      <c r="BF178" s="338" t="s">
        <v>340</v>
      </c>
      <c r="BH178" s="338">
        <v>15</v>
      </c>
      <c r="BI178" s="338" t="s">
        <v>302</v>
      </c>
      <c r="BN178" s="340">
        <v>9</v>
      </c>
      <c r="BO178" s="340" t="s">
        <v>304</v>
      </c>
      <c r="BP178" s="1385"/>
      <c r="BQ178" s="1387">
        <v>33015</v>
      </c>
      <c r="BR178" s="236" t="s">
        <v>331</v>
      </c>
      <c r="BU178" s="858"/>
      <c r="BV178" s="338">
        <v>644</v>
      </c>
      <c r="BW178" s="338" t="s">
        <v>288</v>
      </c>
      <c r="BY178" s="236">
        <v>9512</v>
      </c>
      <c r="BZ178" s="236" t="s">
        <v>345</v>
      </c>
      <c r="CB178" s="340">
        <v>106.13</v>
      </c>
      <c r="CC178" s="340" t="s">
        <v>289</v>
      </c>
      <c r="CE178" s="341" t="str">
        <f t="array" ref="CE178">IFERROR(IF($CE$11="Metro",INDEX($BV$13:$BV$4972,SMALL(IF((County=$BW$13:$BW$4972),MATCH(ROW($BW$13:$BW$4972),ROW($BW$13:$BW$4972)),""),ROWS($A$13:$A178))),INDEX($BY$13:$BY$212,SMALL(IF((County=$BZ$13:$BZ$212),MATCH(ROW($BZ$13:$BZ$212),ROW($BZ$13:$BZ$212)),""),ROWS($A$13:$A178)))),"")</f>
        <v/>
      </c>
      <c r="CG178" s="341" t="str">
        <f t="array" ref="CG178">IFERROR(IF($CG$11="Yes",INDEX($CB$13:$CB$2950,SMALL(IF((County=$CC$13:$CC$2950),MATCH(ROW($CC$13:$CC$2950),ROW($CC$13:$CC$2950)),""),ROWS($A$13:$A178))),""),"")</f>
        <v/>
      </c>
      <c r="CI178" s="1387">
        <v>33321</v>
      </c>
      <c r="CJ178" s="338" t="s">
        <v>289</v>
      </c>
      <c r="CL178" s="236">
        <v>4.07</v>
      </c>
      <c r="CM178" s="236" t="s">
        <v>347</v>
      </c>
      <c r="CO178" s="236">
        <v>9708</v>
      </c>
      <c r="CP178" s="236" t="s">
        <v>333</v>
      </c>
      <c r="CR178" s="340">
        <v>8.1199999999999992</v>
      </c>
      <c r="CS178" s="340" t="s">
        <v>328</v>
      </c>
      <c r="CT178" s="1384"/>
      <c r="CU178" s="341">
        <v>33109</v>
      </c>
      <c r="CV178" s="338" t="s">
        <v>2579</v>
      </c>
      <c r="CZ178" s="1795">
        <v>116</v>
      </c>
      <c r="DA178" s="338" t="s">
        <v>302</v>
      </c>
      <c r="DF178" s="340">
        <v>106.15</v>
      </c>
      <c r="DG178" s="340" t="s">
        <v>289</v>
      </c>
      <c r="DK178" s="341" t="str">
        <f t="array" ref="DK178">IFERROR(IF($DK$11="Yes",INDEX($DF$13:$DF$2838,SMALL(IF((County=$DG$13:$DG$2838),MATCH(ROW($DG$13:$DG$2838),ROW($DG$13:$DG$2838)),""),ROWS($A$13:$A178))),""),"")</f>
        <v/>
      </c>
      <c r="DM178" s="1387">
        <v>33314</v>
      </c>
      <c r="DN178" s="338" t="s">
        <v>289</v>
      </c>
      <c r="DP178" s="236">
        <v>16.05</v>
      </c>
      <c r="DQ178" s="236" t="s">
        <v>331</v>
      </c>
      <c r="DV178" s="340">
        <v>9.0500000000000007</v>
      </c>
      <c r="DW178" s="340" t="s">
        <v>340</v>
      </c>
      <c r="DX178" s="1671"/>
      <c r="EB178" s="618"/>
      <c r="EC178" s="618"/>
      <c r="ED178" s="618"/>
      <c r="EE178" s="618"/>
      <c r="EF178" s="618"/>
      <c r="EG178" s="618"/>
      <c r="EH178" s="618"/>
      <c r="EI178" s="618"/>
      <c r="EJ178" s="618"/>
      <c r="EK178" s="618"/>
      <c r="EL178" s="618"/>
      <c r="EM178" s="618"/>
    </row>
    <row r="179" spans="1:143">
      <c r="A179" s="339">
        <v>34211</v>
      </c>
      <c r="B179" s="338" t="s">
        <v>328</v>
      </c>
      <c r="E179" s="858"/>
      <c r="F179" s="338">
        <v>153</v>
      </c>
      <c r="G179" s="338" t="s">
        <v>302</v>
      </c>
      <c r="L179" s="2481">
        <v>201.01</v>
      </c>
      <c r="M179" s="340" t="s">
        <v>289</v>
      </c>
      <c r="N179" s="1390"/>
      <c r="O179" s="2479"/>
      <c r="P179" s="2282"/>
      <c r="T179" s="341" t="str">
        <f t="array" ref="T179">IFERROR(IF($T$11="Yes",INDEX($L$13:$L$2813,SMALL(IF((County=$M$13:$M$2813),MATCH(ROW($M$13:$M$2813),ROW($M$13:$M$2813)),""),ROWS($A$13:A179))),""),"")</f>
        <v/>
      </c>
      <c r="V179" s="2283" t="str">
        <f t="array" ref="V179">IFERROR(IF($T$11="Yes",INDEX($O$14:$O$2811,SMALL(IF((County=$P$14:$P$2811),MATCH(ROW($P$14:$P$2811),ROW($P$14:$P$2811)),""),ROWS($A$13:A179))),""),"")</f>
        <v/>
      </c>
      <c r="X179" s="339">
        <v>33185</v>
      </c>
      <c r="Y179" s="338" t="s">
        <v>2579</v>
      </c>
      <c r="AA179" s="338">
        <v>19</v>
      </c>
      <c r="AB179" s="338" t="s">
        <v>304</v>
      </c>
      <c r="AG179" s="2297">
        <v>10.050000000000001</v>
      </c>
      <c r="AH179" s="2297" t="s">
        <v>329</v>
      </c>
      <c r="AI179" s="1390"/>
      <c r="AJ179" s="2282"/>
      <c r="AK179" s="2282"/>
      <c r="AL179" s="1037"/>
      <c r="AM179" s="339">
        <v>33154</v>
      </c>
      <c r="AN179" s="338" t="s">
        <v>331</v>
      </c>
      <c r="AQ179" s="858"/>
      <c r="AR179" s="338">
        <v>207.01</v>
      </c>
      <c r="AS179" s="338" t="s">
        <v>307</v>
      </c>
      <c r="AX179" s="340">
        <v>109.02</v>
      </c>
      <c r="AY179" s="340" t="s">
        <v>289</v>
      </c>
      <c r="BA179" s="341" t="str">
        <f t="array" ref="BA179">IFERROR(IF($BA$11="Metro",INDEX($AR$13:$AR$814,SMALL(IF((County=$AS$13:$AS$814),MATCH(ROW($AS$13:$AS$814),ROW($AS$13:$AS$814)),""),ROWS($A$13:$A179))),INDEX($AU$13:$AU$48,SMALL(IF((County=$AV$13:$AV$48),MATCH(ROW($AV$13:$AV$48),ROW($AV$13:$AV$48)),""),ROWS($A$13:$A179)))),"")</f>
        <v/>
      </c>
      <c r="BC179" s="341" t="str">
        <f t="array" ref="BC179">IFERROR(IF($BC$11="Yes",INDEX($AX$13:$AX$2950,SMALL(IF((County=$AY$13:$AY$2950),MATCH(ROW($AY$13:$AY$2950),ROW($AY$13:$AY$2950)),""),ROWS($A$13:$A179))),""),"")</f>
        <v/>
      </c>
      <c r="BE179" s="339">
        <v>33412</v>
      </c>
      <c r="BF179" s="338" t="s">
        <v>340</v>
      </c>
      <c r="BH179" s="338">
        <v>15</v>
      </c>
      <c r="BI179" s="338" t="s">
        <v>304</v>
      </c>
      <c r="BN179" s="340">
        <v>9</v>
      </c>
      <c r="BO179" s="340" t="s">
        <v>323</v>
      </c>
      <c r="BP179" s="1385"/>
      <c r="BQ179" s="1387">
        <v>33016</v>
      </c>
      <c r="BR179" s="236" t="s">
        <v>331</v>
      </c>
      <c r="BU179" s="858"/>
      <c r="BV179" s="338">
        <v>645</v>
      </c>
      <c r="BW179" s="338" t="s">
        <v>288</v>
      </c>
      <c r="BY179" s="236">
        <v>9513</v>
      </c>
      <c r="BZ179" s="236" t="s">
        <v>345</v>
      </c>
      <c r="CB179" s="340">
        <v>106.15</v>
      </c>
      <c r="CC179" s="340" t="s">
        <v>289</v>
      </c>
      <c r="CE179" s="341" t="str">
        <f t="array" ref="CE179">IFERROR(IF($CE$11="Metro",INDEX($BV$13:$BV$4972,SMALL(IF((County=$BW$13:$BW$4972),MATCH(ROW($BW$13:$BW$4972),ROW($BW$13:$BW$4972)),""),ROWS($A$13:$A179))),INDEX($BY$13:$BY$212,SMALL(IF((County=$BZ$13:$BZ$212),MATCH(ROW($BZ$13:$BZ$212),ROW($BZ$13:$BZ$212)),""),ROWS($A$13:$A179)))),"")</f>
        <v/>
      </c>
      <c r="CG179" s="341" t="str">
        <f t="array" ref="CG179">IFERROR(IF($CG$11="Yes",INDEX($CB$13:$CB$2950,SMALL(IF((County=$CC$13:$CC$2950),MATCH(ROW($CC$13:$CC$2950),ROW($CC$13:$CC$2950)),""),ROWS($A$13:$A179))),""),"")</f>
        <v/>
      </c>
      <c r="CI179" s="1387">
        <v>33322</v>
      </c>
      <c r="CJ179" s="338" t="s">
        <v>289</v>
      </c>
      <c r="CL179" s="236">
        <v>4.08</v>
      </c>
      <c r="CM179" s="236" t="s">
        <v>331</v>
      </c>
      <c r="CO179" s="236">
        <v>9709</v>
      </c>
      <c r="CP179" s="236" t="s">
        <v>333</v>
      </c>
      <c r="CR179" s="340">
        <v>8.1300000000000008</v>
      </c>
      <c r="CS179" s="340" t="s">
        <v>328</v>
      </c>
      <c r="CT179" s="1384"/>
      <c r="CU179" s="341">
        <v>33122</v>
      </c>
      <c r="CV179" s="338" t="s">
        <v>2579</v>
      </c>
      <c r="CZ179" s="1795">
        <v>118</v>
      </c>
      <c r="DA179" s="338" t="s">
        <v>302</v>
      </c>
      <c r="DF179" s="340">
        <v>109.01</v>
      </c>
      <c r="DG179" s="340" t="s">
        <v>289</v>
      </c>
      <c r="DK179" s="341" t="str">
        <f t="array" ref="DK179">IFERROR(IF($DK$11="Yes",INDEX($DF$13:$DF$2838,SMALL(IF((County=$DG$13:$DG$2838),MATCH(ROW($DG$13:$DG$2838),ROW($DG$13:$DG$2838)),""),ROWS($A$13:$A179))),""),"")</f>
        <v/>
      </c>
      <c r="DM179" s="1387">
        <v>33315</v>
      </c>
      <c r="DN179" s="338" t="s">
        <v>289</v>
      </c>
      <c r="DP179" s="236">
        <v>16.059999999999999</v>
      </c>
      <c r="DQ179" s="236" t="s">
        <v>331</v>
      </c>
      <c r="DV179" s="340">
        <v>9.06</v>
      </c>
      <c r="DW179" s="340" t="s">
        <v>324</v>
      </c>
      <c r="DX179" s="1671"/>
      <c r="EB179" s="618"/>
      <c r="EC179" s="618"/>
      <c r="ED179" s="618"/>
      <c r="EE179" s="618"/>
      <c r="EF179" s="618"/>
      <c r="EG179" s="618"/>
      <c r="EH179" s="618"/>
      <c r="EI179" s="618"/>
      <c r="EJ179" s="618"/>
      <c r="EK179" s="618"/>
      <c r="EL179" s="618"/>
      <c r="EM179" s="618"/>
    </row>
    <row r="180" spans="1:143">
      <c r="A180" s="339">
        <v>34212</v>
      </c>
      <c r="B180" s="338" t="s">
        <v>328</v>
      </c>
      <c r="E180" s="858"/>
      <c r="F180" s="338">
        <v>154</v>
      </c>
      <c r="G180" s="338" t="s">
        <v>302</v>
      </c>
      <c r="L180" s="2481">
        <v>201.03</v>
      </c>
      <c r="M180" s="340" t="s">
        <v>289</v>
      </c>
      <c r="N180" s="1390"/>
      <c r="O180" s="2479"/>
      <c r="P180" s="2282"/>
      <c r="T180" s="341" t="str">
        <f t="array" ref="T180">IFERROR(IF($T$11="Yes",INDEX($L$13:$L$2813,SMALL(IF((County=$M$13:$M$2813),MATCH(ROW($M$13:$M$2813),ROW($M$13:$M$2813)),""),ROWS($A$13:A180))),""),"")</f>
        <v/>
      </c>
      <c r="V180" s="2283" t="str">
        <f t="array" ref="V180">IFERROR(IF($T$11="Yes",INDEX($O$14:$O$2811,SMALL(IF((County=$P$14:$P$2811),MATCH(ROW($P$14:$P$2811),ROW($P$14:$P$2811)),""),ROWS($A$13:A180))),""),"")</f>
        <v/>
      </c>
      <c r="X180" s="339">
        <v>33186</v>
      </c>
      <c r="Y180" s="338" t="s">
        <v>2579</v>
      </c>
      <c r="AA180" s="338">
        <v>19</v>
      </c>
      <c r="AB180" s="338" t="s">
        <v>316</v>
      </c>
      <c r="AG180" s="2297">
        <v>10.07</v>
      </c>
      <c r="AH180" s="2297" t="s">
        <v>329</v>
      </c>
      <c r="AI180" s="1390"/>
      <c r="AJ180" s="2282"/>
      <c r="AK180" s="2282"/>
      <c r="AL180" s="1037"/>
      <c r="AM180" s="339">
        <v>33155</v>
      </c>
      <c r="AN180" s="338" t="s">
        <v>331</v>
      </c>
      <c r="AQ180" s="858"/>
      <c r="AR180" s="338">
        <v>207.02</v>
      </c>
      <c r="AS180" s="338" t="s">
        <v>307</v>
      </c>
      <c r="AX180" s="340">
        <v>110</v>
      </c>
      <c r="AY180" s="340" t="s">
        <v>289</v>
      </c>
      <c r="BA180" s="341" t="str">
        <f t="array" ref="BA180">IFERROR(IF($BA$11="Metro",INDEX($AR$13:$AR$814,SMALL(IF((County=$AS$13:$AS$814),MATCH(ROW($AS$13:$AS$814),ROW($AS$13:$AS$814)),""),ROWS($A$13:$A180))),INDEX($AU$13:$AU$48,SMALL(IF((County=$AV$13:$AV$48),MATCH(ROW($AV$13:$AV$48),ROW($AV$13:$AV$48)),""),ROWS($A$13:$A180)))),"")</f>
        <v/>
      </c>
      <c r="BC180" s="341" t="str">
        <f t="array" ref="BC180">IFERROR(IF($BC$11="Yes",INDEX($AX$13:$AX$2950,SMALL(IF((County=$AY$13:$AY$2950),MATCH(ROW($AY$13:$AY$2950),ROW($AY$13:$AY$2950)),""),ROWS($A$13:$A180))),""),"")</f>
        <v/>
      </c>
      <c r="BE180" s="339">
        <v>33413</v>
      </c>
      <c r="BF180" s="338" t="s">
        <v>340</v>
      </c>
      <c r="BH180" s="338">
        <v>15</v>
      </c>
      <c r="BI180" s="338" t="s">
        <v>329</v>
      </c>
      <c r="BN180" s="340">
        <v>9</v>
      </c>
      <c r="BO180" s="340" t="s">
        <v>347</v>
      </c>
      <c r="BP180" s="1385"/>
      <c r="BQ180" s="1387">
        <v>33018</v>
      </c>
      <c r="BR180" s="236" t="s">
        <v>331</v>
      </c>
      <c r="BU180" s="858"/>
      <c r="BV180" s="338">
        <v>646.01</v>
      </c>
      <c r="BW180" s="338" t="s">
        <v>288</v>
      </c>
      <c r="BY180" s="236">
        <v>9514.01</v>
      </c>
      <c r="BZ180" s="236" t="s">
        <v>345</v>
      </c>
      <c r="CB180" s="340">
        <v>109.01</v>
      </c>
      <c r="CC180" s="340" t="s">
        <v>289</v>
      </c>
      <c r="CE180" s="341" t="str">
        <f t="array" ref="CE180">IFERROR(IF($CE$11="Metro",INDEX($BV$13:$BV$4972,SMALL(IF((County=$BW$13:$BW$4972),MATCH(ROW($BW$13:$BW$4972),ROW($BW$13:$BW$4972)),""),ROWS($A$13:$A180))),INDEX($BY$13:$BY$212,SMALL(IF((County=$BZ$13:$BZ$212),MATCH(ROW($BZ$13:$BZ$212),ROW($BZ$13:$BZ$212)),""),ROWS($A$13:$A180)))),"")</f>
        <v/>
      </c>
      <c r="CG180" s="341" t="str">
        <f t="array" ref="CG180">IFERROR(IF($CG$11="Yes",INDEX($CB$13:$CB$2950,SMALL(IF((County=$CC$13:$CC$2950),MATCH(ROW($CC$13:$CC$2950),ROW($CC$13:$CC$2950)),""),ROWS($A$13:$A180))),""),"")</f>
        <v/>
      </c>
      <c r="CI180" s="1387">
        <v>33323</v>
      </c>
      <c r="CJ180" s="338" t="s">
        <v>289</v>
      </c>
      <c r="CL180" s="236">
        <v>4.08</v>
      </c>
      <c r="CM180" s="236" t="s">
        <v>340</v>
      </c>
      <c r="CO180" s="236">
        <v>9710.01</v>
      </c>
      <c r="CP180" s="236" t="s">
        <v>333</v>
      </c>
      <c r="CR180" s="340">
        <v>8.14</v>
      </c>
      <c r="CS180" s="340" t="s">
        <v>328</v>
      </c>
      <c r="CT180" s="1384"/>
      <c r="CU180" s="341">
        <v>33126</v>
      </c>
      <c r="CV180" s="338" t="s">
        <v>2579</v>
      </c>
      <c r="CZ180" s="1795">
        <v>121</v>
      </c>
      <c r="DA180" s="338" t="s">
        <v>302</v>
      </c>
      <c r="DF180" s="340">
        <v>109.02</v>
      </c>
      <c r="DG180" s="340" t="s">
        <v>289</v>
      </c>
      <c r="DK180" s="341" t="str">
        <f t="array" ref="DK180">IFERROR(IF($DK$11="Yes",INDEX($DF$13:$DF$2838,SMALL(IF((County=$DG$13:$DG$2838),MATCH(ROW($DG$13:$DG$2838),ROW($DG$13:$DG$2838)),""),ROWS($A$13:$A180))),""),"")</f>
        <v/>
      </c>
      <c r="DM180" s="1387">
        <v>33316</v>
      </c>
      <c r="DN180" s="338" t="s">
        <v>289</v>
      </c>
      <c r="DP180" s="236">
        <v>17</v>
      </c>
      <c r="DQ180" s="236" t="s">
        <v>285</v>
      </c>
      <c r="DV180" s="340">
        <v>9.07</v>
      </c>
      <c r="DW180" s="340" t="s">
        <v>324</v>
      </c>
      <c r="DX180" s="1671"/>
      <c r="EB180" s="618"/>
      <c r="EC180" s="618"/>
      <c r="ED180" s="618"/>
      <c r="EE180" s="618"/>
      <c r="EF180" s="618"/>
      <c r="EG180" s="618"/>
      <c r="EH180" s="618"/>
      <c r="EI180" s="618"/>
      <c r="EJ180" s="618"/>
      <c r="EK180" s="618"/>
      <c r="EL180" s="618"/>
      <c r="EM180" s="618"/>
    </row>
    <row r="181" spans="1:143">
      <c r="A181" s="339">
        <v>34219</v>
      </c>
      <c r="B181" s="338" t="s">
        <v>328</v>
      </c>
      <c r="E181" s="858"/>
      <c r="F181" s="338">
        <v>155.02000000000001</v>
      </c>
      <c r="G181" s="338" t="s">
        <v>302</v>
      </c>
      <c r="L181" s="2481">
        <v>202.04</v>
      </c>
      <c r="M181" s="340" t="s">
        <v>289</v>
      </c>
      <c r="N181" s="1390"/>
      <c r="O181" s="2479"/>
      <c r="P181" s="2282"/>
      <c r="T181" s="341" t="str">
        <f t="array" ref="T181">IFERROR(IF($T$11="Yes",INDEX($L$13:$L$2813,SMALL(IF((County=$M$13:$M$2813),MATCH(ROW($M$13:$M$2813),ROW($M$13:$M$2813)),""),ROWS($A$13:A181))),""),"")</f>
        <v/>
      </c>
      <c r="V181" s="2283" t="str">
        <f t="array" ref="V181">IFERROR(IF($T$11="Yes",INDEX($O$14:$O$2811,SMALL(IF((County=$P$14:$P$2811),MATCH(ROW($P$14:$P$2811),ROW($P$14:$P$2811)),""),ROWS($A$13:A181))),""),"")</f>
        <v/>
      </c>
      <c r="X181" s="339">
        <v>33187</v>
      </c>
      <c r="Y181" s="338" t="s">
        <v>2579</v>
      </c>
      <c r="AA181" s="338">
        <v>19.010000000000002</v>
      </c>
      <c r="AB181" s="338" t="s">
        <v>324</v>
      </c>
      <c r="AG181" s="2297">
        <v>10.08</v>
      </c>
      <c r="AH181" s="2297" t="s">
        <v>329</v>
      </c>
      <c r="AI181" s="1390"/>
      <c r="AJ181" s="2282"/>
      <c r="AK181" s="2282"/>
      <c r="AL181" s="1037"/>
      <c r="AM181" s="339">
        <v>33156</v>
      </c>
      <c r="AN181" s="338" t="s">
        <v>331</v>
      </c>
      <c r="AQ181" s="858"/>
      <c r="AR181" s="338">
        <v>404</v>
      </c>
      <c r="AS181" s="338" t="s">
        <v>314</v>
      </c>
      <c r="AX181" s="340">
        <v>202.04</v>
      </c>
      <c r="AY181" s="340" t="s">
        <v>289</v>
      </c>
      <c r="BA181" s="341" t="str">
        <f t="array" ref="BA181">IFERROR(IF($BA$11="Metro",INDEX($AR$13:$AR$814,SMALL(IF((County=$AS$13:$AS$814),MATCH(ROW($AS$13:$AS$814),ROW($AS$13:$AS$814)),""),ROWS($A$13:$A181))),INDEX($AU$13:$AU$48,SMALL(IF((County=$AV$13:$AV$48),MATCH(ROW($AV$13:$AV$48),ROW($AV$13:$AV$48)),""),ROWS($A$13:$A181)))),"")</f>
        <v/>
      </c>
      <c r="BC181" s="341" t="str">
        <f t="array" ref="BC181">IFERROR(IF($BC$11="Yes",INDEX($AX$13:$AX$2950,SMALL(IF((County=$AY$13:$AY$2950),MATCH(ROW($AY$13:$AY$2950),ROW($AY$13:$AY$2950)),""),ROWS($A$13:$A181))),""),"")</f>
        <v/>
      </c>
      <c r="BE181" s="339">
        <v>33414</v>
      </c>
      <c r="BF181" s="338" t="s">
        <v>340</v>
      </c>
      <c r="BH181" s="338">
        <v>15.01</v>
      </c>
      <c r="BI181" s="338" t="s">
        <v>331</v>
      </c>
      <c r="BN181" s="340">
        <v>9.01</v>
      </c>
      <c r="BO181" s="340" t="s">
        <v>329</v>
      </c>
      <c r="BP181" s="1385"/>
      <c r="BQ181" s="1387">
        <v>33035</v>
      </c>
      <c r="BR181" s="236" t="s">
        <v>331</v>
      </c>
      <c r="BU181" s="858"/>
      <c r="BV181" s="338">
        <v>646.02</v>
      </c>
      <c r="BW181" s="338" t="s">
        <v>288</v>
      </c>
      <c r="BY181" s="236">
        <v>9514.02</v>
      </c>
      <c r="BZ181" s="236" t="s">
        <v>345</v>
      </c>
      <c r="CB181" s="340">
        <v>109.02</v>
      </c>
      <c r="CC181" s="340" t="s">
        <v>289</v>
      </c>
      <c r="CE181" s="341" t="str">
        <f t="array" ref="CE181">IFERROR(IF($CE$11="Metro",INDEX($BV$13:$BV$4972,SMALL(IF((County=$BW$13:$BW$4972),MATCH(ROW($BW$13:$BW$4972),ROW($BW$13:$BW$4972)),""),ROWS($A$13:$A181))),INDEX($BY$13:$BY$212,SMALL(IF((County=$BZ$13:$BZ$212),MATCH(ROW($BZ$13:$BZ$212),ROW($BZ$13:$BZ$212)),""),ROWS($A$13:$A181)))),"")</f>
        <v/>
      </c>
      <c r="CG181" s="341" t="str">
        <f t="array" ref="CG181">IFERROR(IF($CG$11="Yes",INDEX($CB$13:$CB$2950,SMALL(IF((County=$CC$13:$CC$2950),MATCH(ROW($CC$13:$CC$2950),ROW($CC$13:$CC$2950)),""),ROWS($A$13:$A181))),""),"")</f>
        <v/>
      </c>
      <c r="CI181" s="1387">
        <v>33324</v>
      </c>
      <c r="CJ181" s="338" t="s">
        <v>289</v>
      </c>
      <c r="CL181" s="236">
        <v>4.09</v>
      </c>
      <c r="CM181" s="236" t="s">
        <v>328</v>
      </c>
      <c r="CO181" s="236">
        <v>9710.02</v>
      </c>
      <c r="CP181" s="236" t="s">
        <v>333</v>
      </c>
      <c r="CR181" s="340">
        <v>9</v>
      </c>
      <c r="CS181" s="340" t="s">
        <v>304</v>
      </c>
      <c r="CT181" s="1384"/>
      <c r="CU181" s="341">
        <v>33129</v>
      </c>
      <c r="CV181" s="338" t="s">
        <v>2579</v>
      </c>
      <c r="CZ181" s="1795">
        <v>122.01</v>
      </c>
      <c r="DA181" s="338" t="s">
        <v>302</v>
      </c>
      <c r="DF181" s="340">
        <v>110</v>
      </c>
      <c r="DG181" s="340" t="s">
        <v>289</v>
      </c>
      <c r="DK181" s="341" t="str">
        <f t="array" ref="DK181">IFERROR(IF($DK$11="Yes",INDEX($DF$13:$DF$2838,SMALL(IF((County=$DG$13:$DG$2838),MATCH(ROW($DG$13:$DG$2838),ROW($DG$13:$DG$2838)),""),ROWS($A$13:$A181))),""),"")</f>
        <v/>
      </c>
      <c r="DM181" s="1387">
        <v>33317</v>
      </c>
      <c r="DN181" s="338" t="s">
        <v>289</v>
      </c>
      <c r="DP181" s="236">
        <v>17</v>
      </c>
      <c r="DQ181" s="236" t="s">
        <v>304</v>
      </c>
      <c r="DV181" s="340">
        <v>10.01</v>
      </c>
      <c r="DW181" s="340" t="s">
        <v>304</v>
      </c>
      <c r="DX181" s="1671"/>
      <c r="EB181" s="618"/>
      <c r="EC181" s="618"/>
      <c r="ED181" s="618"/>
      <c r="EE181" s="618"/>
      <c r="EF181" s="618"/>
      <c r="EG181" s="618"/>
      <c r="EH181" s="618"/>
      <c r="EI181" s="618"/>
      <c r="EJ181" s="618"/>
      <c r="EK181" s="618"/>
      <c r="EL181" s="618"/>
      <c r="EM181" s="618"/>
    </row>
    <row r="182" spans="1:143">
      <c r="A182" s="339">
        <v>34228</v>
      </c>
      <c r="B182" s="338" t="s">
        <v>328</v>
      </c>
      <c r="E182" s="858"/>
      <c r="F182" s="338">
        <v>158.05000000000001</v>
      </c>
      <c r="G182" s="338" t="s">
        <v>302</v>
      </c>
      <c r="L182" s="2481">
        <v>202.05</v>
      </c>
      <c r="M182" s="340" t="s">
        <v>289</v>
      </c>
      <c r="N182" s="1390"/>
      <c r="O182" s="2479"/>
      <c r="P182" s="2282"/>
      <c r="T182" s="341" t="str">
        <f t="array" ref="T182">IFERROR(IF($T$11="Yes",INDEX($L$13:$L$2813,SMALL(IF((County=$M$13:$M$2813),MATCH(ROW($M$13:$M$2813),ROW($M$13:$M$2813)),""),ROWS($A$13:A182))),""),"")</f>
        <v/>
      </c>
      <c r="V182" s="2283" t="str">
        <f t="array" ref="V182">IFERROR(IF($T$11="Yes",INDEX($O$14:$O$2811,SMALL(IF((County=$P$14:$P$2811),MATCH(ROW($P$14:$P$2811),ROW($P$14:$P$2811)),""),ROWS($A$13:A182))),""),"")</f>
        <v/>
      </c>
      <c r="X182" s="339">
        <v>33190</v>
      </c>
      <c r="Y182" s="338" t="s">
        <v>2579</v>
      </c>
      <c r="AA182" s="338">
        <v>19.010000000000002</v>
      </c>
      <c r="AB182" s="338" t="s">
        <v>331</v>
      </c>
      <c r="AG182" s="2297">
        <v>10.09</v>
      </c>
      <c r="AH182" s="2297" t="s">
        <v>329</v>
      </c>
      <c r="AI182" s="1390"/>
      <c r="AJ182" s="2282"/>
      <c r="AK182" s="2282"/>
      <c r="AL182" s="1037"/>
      <c r="AM182" s="339">
        <v>33158</v>
      </c>
      <c r="AN182" s="338" t="s">
        <v>331</v>
      </c>
      <c r="AQ182" s="858"/>
      <c r="AR182" s="338">
        <v>405.01</v>
      </c>
      <c r="AS182" s="338" t="s">
        <v>314</v>
      </c>
      <c r="AX182" s="340">
        <v>202.06</v>
      </c>
      <c r="AY182" s="340" t="s">
        <v>289</v>
      </c>
      <c r="BA182" s="341" t="str">
        <f t="array" ref="BA182">IFERROR(IF($BA$11="Metro",INDEX($AR$13:$AR$814,SMALL(IF((County=$AS$13:$AS$814),MATCH(ROW($AS$13:$AS$814),ROW($AS$13:$AS$814)),""),ROWS($A$13:$A182))),INDEX($AU$13:$AU$48,SMALL(IF((County=$AV$13:$AV$48),MATCH(ROW($AV$13:$AV$48),ROW($AV$13:$AV$48)),""),ROWS($A$13:$A182)))),"")</f>
        <v/>
      </c>
      <c r="BC182" s="341" t="str">
        <f t="array" ref="BC182">IFERROR(IF($BC$11="Yes",INDEX($AX$13:$AX$2950,SMALL(IF((County=$AY$13:$AY$2950),MATCH(ROW($AY$13:$AY$2950),ROW($AY$13:$AY$2950)),""),ROWS($A$13:$A182))),""),"")</f>
        <v/>
      </c>
      <c r="BE182" s="339">
        <v>33418</v>
      </c>
      <c r="BF182" s="338" t="s">
        <v>340</v>
      </c>
      <c r="BH182" s="338">
        <v>15.02</v>
      </c>
      <c r="BI182" s="338" t="s">
        <v>323</v>
      </c>
      <c r="BN182" s="340">
        <v>9.01</v>
      </c>
      <c r="BO182" s="340" t="s">
        <v>330</v>
      </c>
      <c r="BP182" s="1385"/>
      <c r="BQ182" s="1387">
        <v>33055</v>
      </c>
      <c r="BR182" s="236" t="s">
        <v>331</v>
      </c>
      <c r="BU182" s="858"/>
      <c r="BV182" s="338">
        <v>647.01</v>
      </c>
      <c r="BW182" s="338" t="s">
        <v>288</v>
      </c>
      <c r="BY182" s="236">
        <v>9800</v>
      </c>
      <c r="BZ182" s="236" t="s">
        <v>345</v>
      </c>
      <c r="CB182" s="340">
        <v>110</v>
      </c>
      <c r="CC182" s="340" t="s">
        <v>289</v>
      </c>
      <c r="CE182" s="341" t="str">
        <f t="array" ref="CE182">IFERROR(IF($CE$11="Metro",INDEX($BV$13:$BV$4972,SMALL(IF((County=$BW$13:$BW$4972),MATCH(ROW($BW$13:$BW$4972),ROW($BW$13:$BW$4972)),""),ROWS($A$13:$A182))),INDEX($BY$13:$BY$212,SMALL(IF((County=$BZ$13:$BZ$212),MATCH(ROW($BZ$13:$BZ$212),ROW($BZ$13:$BZ$212)),""),ROWS($A$13:$A182)))),"")</f>
        <v/>
      </c>
      <c r="CG182" s="341" t="str">
        <f t="array" ref="CG182">IFERROR(IF($CG$11="Yes",INDEX($CB$13:$CB$2950,SMALL(IF((County=$CC$13:$CC$2950),MATCH(ROW($CC$13:$CC$2950),ROW($CC$13:$CC$2950)),""),ROWS($A$13:$A182))),""),"")</f>
        <v/>
      </c>
      <c r="CI182" s="1387">
        <v>33325</v>
      </c>
      <c r="CJ182" s="338" t="s">
        <v>289</v>
      </c>
      <c r="CL182" s="236">
        <v>4.09</v>
      </c>
      <c r="CM182" s="236" t="s">
        <v>331</v>
      </c>
      <c r="CO182" s="236">
        <v>9711</v>
      </c>
      <c r="CP182" s="236" t="s">
        <v>333</v>
      </c>
      <c r="CR182" s="340">
        <v>9</v>
      </c>
      <c r="CS182" s="340" t="s">
        <v>323</v>
      </c>
      <c r="CT182" s="1384"/>
      <c r="CU182" s="341">
        <v>33130</v>
      </c>
      <c r="CV182" s="338" t="s">
        <v>2579</v>
      </c>
      <c r="CZ182" s="1795">
        <v>122.02</v>
      </c>
      <c r="DA182" s="338" t="s">
        <v>302</v>
      </c>
      <c r="DF182" s="340">
        <v>202.04</v>
      </c>
      <c r="DG182" s="340" t="s">
        <v>289</v>
      </c>
      <c r="DK182" s="341" t="str">
        <f t="array" ref="DK182">IFERROR(IF($DK$11="Yes",INDEX($DF$13:$DF$2838,SMALL(IF((County=$DG$13:$DG$2838),MATCH(ROW($DG$13:$DG$2838),ROW($DG$13:$DG$2838)),""),ROWS($A$13:$A182))),""),"")</f>
        <v/>
      </c>
      <c r="DM182" s="1387">
        <v>33321</v>
      </c>
      <c r="DN182" s="338" t="s">
        <v>289</v>
      </c>
      <c r="DP182" s="236">
        <v>17</v>
      </c>
      <c r="DQ182" s="236" t="s">
        <v>329</v>
      </c>
      <c r="DV182" s="340">
        <v>10.01</v>
      </c>
      <c r="DW182" s="340" t="s">
        <v>323</v>
      </c>
      <c r="DX182" s="1671"/>
      <c r="EB182" s="618"/>
      <c r="EC182" s="618"/>
      <c r="ED182" s="618"/>
      <c r="EE182" s="618"/>
      <c r="EF182" s="618"/>
      <c r="EG182" s="618"/>
      <c r="EH182" s="618"/>
      <c r="EI182" s="618"/>
      <c r="EJ182" s="618"/>
      <c r="EK182" s="618"/>
      <c r="EL182" s="618"/>
      <c r="EM182" s="618"/>
    </row>
    <row r="183" spans="1:143">
      <c r="A183" s="339">
        <v>34243</v>
      </c>
      <c r="B183" s="338" t="s">
        <v>328</v>
      </c>
      <c r="E183" s="858"/>
      <c r="F183" s="338">
        <v>162</v>
      </c>
      <c r="G183" s="338" t="s">
        <v>302</v>
      </c>
      <c r="L183" s="2481">
        <v>202.06</v>
      </c>
      <c r="M183" s="340" t="s">
        <v>289</v>
      </c>
      <c r="N183" s="1390"/>
      <c r="O183" s="2479"/>
      <c r="P183" s="2282"/>
      <c r="T183" s="341" t="str">
        <f t="array" ref="T183">IFERROR(IF($T$11="Yes",INDEX($L$13:$L$2813,SMALL(IF((County=$M$13:$M$2813),MATCH(ROW($M$13:$M$2813),ROW($M$13:$M$2813)),""),ROWS($A$13:A183))),""),"")</f>
        <v/>
      </c>
      <c r="V183" s="2283" t="str">
        <f t="array" ref="V183">IFERROR(IF($T$11="Yes",INDEX($O$14:$O$2811,SMALL(IF((County=$P$14:$P$2811),MATCH(ROW($P$14:$P$2811),ROW($P$14:$P$2811)),""),ROWS($A$13:A183))),""),"")</f>
        <v/>
      </c>
      <c r="X183" s="339">
        <v>33193</v>
      </c>
      <c r="Y183" s="338" t="s">
        <v>2579</v>
      </c>
      <c r="AA183" s="338">
        <v>19.02</v>
      </c>
      <c r="AB183" s="338" t="s">
        <v>276</v>
      </c>
      <c r="AG183" s="2297">
        <v>10.11</v>
      </c>
      <c r="AH183" s="2297" t="s">
        <v>329</v>
      </c>
      <c r="AI183" s="1390"/>
      <c r="AJ183" s="2282"/>
      <c r="AK183" s="2282"/>
      <c r="AL183" s="1037"/>
      <c r="AM183" s="339">
        <v>33160</v>
      </c>
      <c r="AN183" s="338" t="s">
        <v>331</v>
      </c>
      <c r="AQ183" s="858"/>
      <c r="AR183" s="338">
        <v>412.04</v>
      </c>
      <c r="AS183" s="338" t="s">
        <v>314</v>
      </c>
      <c r="AX183" s="340">
        <v>202.1</v>
      </c>
      <c r="AY183" s="340" t="s">
        <v>289</v>
      </c>
      <c r="BA183" s="341" t="str">
        <f t="array" ref="BA183">IFERROR(IF($BA$11="Metro",INDEX($AR$13:$AR$814,SMALL(IF((County=$AS$13:$AS$814),MATCH(ROW($AS$13:$AS$814),ROW($AS$13:$AS$814)),""),ROWS($A$13:$A183))),INDEX($AU$13:$AU$48,SMALL(IF((County=$AV$13:$AV$48),MATCH(ROW($AV$13:$AV$48),ROW($AV$13:$AV$48)),""),ROWS($A$13:$A183)))),"")</f>
        <v/>
      </c>
      <c r="BC183" s="341" t="str">
        <f t="array" ref="BC183">IFERROR(IF($BC$11="Yes",INDEX($AX$13:$AX$2950,SMALL(IF((County=$AY$13:$AY$2950),MATCH(ROW($AY$13:$AY$2950),ROW($AY$13:$AY$2950)),""),ROWS($A$13:$A183))),""),"")</f>
        <v/>
      </c>
      <c r="BE183" s="339">
        <v>33426</v>
      </c>
      <c r="BF183" s="338" t="s">
        <v>340</v>
      </c>
      <c r="BH183" s="338">
        <v>15.02</v>
      </c>
      <c r="BI183" s="338" t="s">
        <v>328</v>
      </c>
      <c r="BN183" s="340">
        <v>9.02</v>
      </c>
      <c r="BO183" s="340" t="s">
        <v>328</v>
      </c>
      <c r="BP183" s="1385"/>
      <c r="BQ183" s="1387">
        <v>33056</v>
      </c>
      <c r="BR183" s="236" t="s">
        <v>331</v>
      </c>
      <c r="BU183" s="858"/>
      <c r="BV183" s="338">
        <v>647.02</v>
      </c>
      <c r="BW183" s="338" t="s">
        <v>288</v>
      </c>
      <c r="BY183" s="236">
        <v>9701</v>
      </c>
      <c r="BZ183" s="236" t="s">
        <v>352</v>
      </c>
      <c r="CB183" s="340">
        <v>201.01</v>
      </c>
      <c r="CC183" s="340" t="s">
        <v>289</v>
      </c>
      <c r="CE183" s="341" t="str">
        <f t="array" ref="CE183">IFERROR(IF($CE$11="Metro",INDEX($BV$13:$BV$4972,SMALL(IF((County=$BW$13:$BW$4972),MATCH(ROW($BW$13:$BW$4972),ROW($BW$13:$BW$4972)),""),ROWS($A$13:$A183))),INDEX($BY$13:$BY$212,SMALL(IF((County=$BZ$13:$BZ$212),MATCH(ROW($BZ$13:$BZ$212),ROW($BZ$13:$BZ$212)),""),ROWS($A$13:$A183)))),"")</f>
        <v/>
      </c>
      <c r="CG183" s="341" t="str">
        <f t="array" ref="CG183">IFERROR(IF($CG$11="Yes",INDEX($CB$13:$CB$2950,SMALL(IF((County=$CC$13:$CC$2950),MATCH(ROW($CC$13:$CC$2950),ROW($CC$13:$CC$2950)),""),ROWS($A$13:$A183))),""),"")</f>
        <v/>
      </c>
      <c r="CI183" s="1387">
        <v>33326</v>
      </c>
      <c r="CJ183" s="338" t="s">
        <v>289</v>
      </c>
      <c r="CL183" s="236">
        <v>4.0999999999999996</v>
      </c>
      <c r="CM183" s="236" t="s">
        <v>328</v>
      </c>
      <c r="CO183" s="236">
        <v>9712</v>
      </c>
      <c r="CP183" s="236" t="s">
        <v>333</v>
      </c>
      <c r="CR183" s="340">
        <v>9</v>
      </c>
      <c r="CS183" s="340" t="s">
        <v>347</v>
      </c>
      <c r="CT183" s="1384"/>
      <c r="CU183" s="341">
        <v>33131</v>
      </c>
      <c r="CV183" s="338" t="s">
        <v>2579</v>
      </c>
      <c r="CZ183" s="1795">
        <v>126.01</v>
      </c>
      <c r="DA183" s="338" t="s">
        <v>302</v>
      </c>
      <c r="DF183" s="340">
        <v>202.1</v>
      </c>
      <c r="DG183" s="340" t="s">
        <v>289</v>
      </c>
      <c r="DK183" s="341" t="str">
        <f t="array" ref="DK183">IFERROR(IF($DK$11="Yes",INDEX($DF$13:$DF$2838,SMALL(IF((County=$DG$13:$DG$2838),MATCH(ROW($DG$13:$DG$2838),ROW($DG$13:$DG$2838)),""),ROWS($A$13:$A183))),""),"")</f>
        <v/>
      </c>
      <c r="DM183" s="1387">
        <v>33322</v>
      </c>
      <c r="DN183" s="338" t="s">
        <v>289</v>
      </c>
      <c r="DP183" s="236">
        <v>17.010000000000002</v>
      </c>
      <c r="DQ183" s="236" t="s">
        <v>331</v>
      </c>
      <c r="DV183" s="340">
        <v>10.02</v>
      </c>
      <c r="DW183" s="340" t="s">
        <v>304</v>
      </c>
      <c r="DX183" s="1671"/>
      <c r="EB183" s="618"/>
      <c r="EC183" s="618"/>
      <c r="ED183" s="618"/>
      <c r="EE183" s="618"/>
      <c r="EF183" s="618"/>
      <c r="EG183" s="618"/>
      <c r="EH183" s="618"/>
      <c r="EI183" s="618"/>
      <c r="EJ183" s="618"/>
      <c r="EK183" s="618"/>
      <c r="EL183" s="618"/>
      <c r="EM183" s="618"/>
    </row>
    <row r="184" spans="1:143">
      <c r="A184" s="339">
        <v>34251</v>
      </c>
      <c r="B184" s="338" t="s">
        <v>328</v>
      </c>
      <c r="E184" s="858"/>
      <c r="F184" s="338">
        <v>163</v>
      </c>
      <c r="G184" s="338" t="s">
        <v>302</v>
      </c>
      <c r="L184" s="2481">
        <v>202.14</v>
      </c>
      <c r="M184" s="340" t="s">
        <v>289</v>
      </c>
      <c r="N184" s="1390"/>
      <c r="O184" s="2479"/>
      <c r="P184" s="2282"/>
      <c r="T184" s="341" t="str">
        <f t="array" ref="T184">IFERROR(IF($T$11="Yes",INDEX($L$13:$L$2813,SMALL(IF((County=$M$13:$M$2813),MATCH(ROW($M$13:$M$2813),ROW($M$13:$M$2813)),""),ROWS($A$13:A184))),""),"")</f>
        <v/>
      </c>
      <c r="V184" s="2283" t="str">
        <f t="array" ref="V184">IFERROR(IF($T$11="Yes",INDEX($O$14:$O$2811,SMALL(IF((County=$P$14:$P$2811),MATCH(ROW($P$14:$P$2811),ROW($P$14:$P$2811)),""),ROWS($A$13:A184))),""),"")</f>
        <v/>
      </c>
      <c r="X184" s="339">
        <v>33194</v>
      </c>
      <c r="Y184" s="338" t="s">
        <v>2579</v>
      </c>
      <c r="AA184" s="338">
        <v>19.03</v>
      </c>
      <c r="AB184" s="338" t="s">
        <v>331</v>
      </c>
      <c r="AG184" s="2297">
        <v>10.119999999999999</v>
      </c>
      <c r="AH184" s="2297" t="s">
        <v>329</v>
      </c>
      <c r="AI184" s="1390"/>
      <c r="AJ184" s="2282"/>
      <c r="AK184" s="2282"/>
      <c r="AL184" s="1037"/>
      <c r="AM184" s="339">
        <v>33165</v>
      </c>
      <c r="AN184" s="338" t="s">
        <v>331</v>
      </c>
      <c r="AQ184" s="858"/>
      <c r="AR184" s="338">
        <v>414.01</v>
      </c>
      <c r="AS184" s="338" t="s">
        <v>314</v>
      </c>
      <c r="AX184" s="340">
        <v>202.14</v>
      </c>
      <c r="AY184" s="340" t="s">
        <v>289</v>
      </c>
      <c r="BA184" s="341" t="str">
        <f t="array" ref="BA184">IFERROR(IF($BA$11="Metro",INDEX($AR$13:$AR$814,SMALL(IF((County=$AS$13:$AS$814),MATCH(ROW($AS$13:$AS$814),ROW($AS$13:$AS$814)),""),ROWS($A$13:$A184))),INDEX($AU$13:$AU$48,SMALL(IF((County=$AV$13:$AV$48),MATCH(ROW($AV$13:$AV$48),ROW($AV$13:$AV$48)),""),ROWS($A$13:$A184)))),"")</f>
        <v/>
      </c>
      <c r="BC184" s="341" t="str">
        <f t="array" ref="BC184">IFERROR(IF($BC$11="Yes",INDEX($AX$13:$AX$2950,SMALL(IF((County=$AY$13:$AY$2950),MATCH(ROW($AY$13:$AY$2950),ROW($AY$13:$AY$2950)),""),ROWS($A$13:$A184))),""),"")</f>
        <v/>
      </c>
      <c r="BE184" s="339">
        <v>33428</v>
      </c>
      <c r="BF184" s="338" t="s">
        <v>340</v>
      </c>
      <c r="BH184" s="338">
        <v>15.02</v>
      </c>
      <c r="BI184" s="338" t="s">
        <v>331</v>
      </c>
      <c r="BN184" s="340">
        <v>9.02</v>
      </c>
      <c r="BO184" s="340" t="s">
        <v>330</v>
      </c>
      <c r="BP184" s="1385"/>
      <c r="BQ184" s="1387">
        <v>33109</v>
      </c>
      <c r="BR184" s="236" t="s">
        <v>331</v>
      </c>
      <c r="BU184" s="858"/>
      <c r="BV184" s="338">
        <v>648</v>
      </c>
      <c r="BW184" s="338" t="s">
        <v>288</v>
      </c>
      <c r="BY184" s="236">
        <v>9702</v>
      </c>
      <c r="BZ184" s="236" t="s">
        <v>352</v>
      </c>
      <c r="CB184" s="340">
        <v>202.04</v>
      </c>
      <c r="CC184" s="340" t="s">
        <v>289</v>
      </c>
      <c r="CE184" s="341" t="str">
        <f t="array" ref="CE184">IFERROR(IF($CE$11="Metro",INDEX($BV$13:$BV$4972,SMALL(IF((County=$BW$13:$BW$4972),MATCH(ROW($BW$13:$BW$4972),ROW($BW$13:$BW$4972)),""),ROWS($A$13:$A184))),INDEX($BY$13:$BY$212,SMALL(IF((County=$BZ$13:$BZ$212),MATCH(ROW($BZ$13:$BZ$212),ROW($BZ$13:$BZ$212)),""),ROWS($A$13:$A184)))),"")</f>
        <v/>
      </c>
      <c r="CG184" s="341" t="str">
        <f t="array" ref="CG184">IFERROR(IF($CG$11="Yes",INDEX($CB$13:$CB$2950,SMALL(IF((County=$CC$13:$CC$2950),MATCH(ROW($CC$13:$CC$2950),ROW($CC$13:$CC$2950)),""),ROWS($A$13:$A184))),""),"")</f>
        <v/>
      </c>
      <c r="CI184" s="1387">
        <v>33327</v>
      </c>
      <c r="CJ184" s="338" t="s">
        <v>289</v>
      </c>
      <c r="CL184" s="236">
        <v>4.0999999999999996</v>
      </c>
      <c r="CM184" s="236" t="s">
        <v>331</v>
      </c>
      <c r="CO184" s="236">
        <v>9713</v>
      </c>
      <c r="CP184" s="236" t="s">
        <v>333</v>
      </c>
      <c r="CR184" s="340">
        <v>9.02</v>
      </c>
      <c r="CS184" s="340" t="s">
        <v>328</v>
      </c>
      <c r="CT184" s="1384"/>
      <c r="CU184" s="341">
        <v>33132</v>
      </c>
      <c r="CV184" s="338" t="s">
        <v>2579</v>
      </c>
      <c r="CZ184" s="1795">
        <v>126.02</v>
      </c>
      <c r="DA184" s="338" t="s">
        <v>302</v>
      </c>
      <c r="DF184" s="340">
        <v>203.09</v>
      </c>
      <c r="DG184" s="340" t="s">
        <v>289</v>
      </c>
      <c r="DK184" s="341" t="str">
        <f t="array" ref="DK184">IFERROR(IF($DK$11="Yes",INDEX($DF$13:$DF$2838,SMALL(IF((County=$DG$13:$DG$2838),MATCH(ROW($DG$13:$DG$2838),ROW($DG$13:$DG$2838)),""),ROWS($A$13:$A184))),""),"")</f>
        <v/>
      </c>
      <c r="DM184" s="1387">
        <v>33323</v>
      </c>
      <c r="DN184" s="338" t="s">
        <v>289</v>
      </c>
      <c r="DP184" s="236">
        <v>17.02</v>
      </c>
      <c r="DQ184" s="236" t="s">
        <v>331</v>
      </c>
      <c r="DV184" s="340">
        <v>10.029999999999999</v>
      </c>
      <c r="DW184" s="340" t="s">
        <v>340</v>
      </c>
      <c r="DX184" s="1671"/>
      <c r="EB184" s="618"/>
      <c r="EC184" s="618"/>
      <c r="ED184" s="618"/>
      <c r="EE184" s="618"/>
      <c r="EF184" s="618"/>
      <c r="EG184" s="618"/>
      <c r="EH184" s="618"/>
      <c r="EI184" s="618"/>
      <c r="EJ184" s="618"/>
      <c r="EK184" s="618"/>
      <c r="EL184" s="618"/>
      <c r="EM184" s="618"/>
    </row>
    <row r="185" spans="1:143">
      <c r="A185" s="339">
        <v>32162</v>
      </c>
      <c r="B185" s="338" t="s">
        <v>329</v>
      </c>
      <c r="E185" s="858"/>
      <c r="F185" s="338">
        <v>166.06</v>
      </c>
      <c r="G185" s="338" t="s">
        <v>302</v>
      </c>
      <c r="L185" s="2481">
        <v>203.02</v>
      </c>
      <c r="M185" s="340" t="s">
        <v>289</v>
      </c>
      <c r="N185" s="1390"/>
      <c r="O185" s="2479"/>
      <c r="P185" s="2282"/>
      <c r="T185" s="341" t="str">
        <f t="array" ref="T185">IFERROR(IF($T$11="Yes",INDEX($L$13:$L$2813,SMALL(IF((County=$M$13:$M$2813),MATCH(ROW($M$13:$M$2813),ROW($M$13:$M$2813)),""),ROWS($A$13:A185))),""),"")</f>
        <v/>
      </c>
      <c r="V185" s="2283" t="str">
        <f t="array" ref="V185">IFERROR(IF($T$11="Yes",INDEX($O$14:$O$2811,SMALL(IF((County=$P$14:$P$2811),MATCH(ROW($P$14:$P$2811),ROW($P$14:$P$2811)),""),ROWS($A$13:A185))),""),"")</f>
        <v/>
      </c>
      <c r="X185" s="339">
        <v>33196</v>
      </c>
      <c r="Y185" s="338" t="s">
        <v>2579</v>
      </c>
      <c r="AA185" s="338">
        <v>19.04</v>
      </c>
      <c r="AB185" s="338" t="s">
        <v>331</v>
      </c>
      <c r="AG185" s="2297">
        <v>10.130000000000001</v>
      </c>
      <c r="AH185" s="2297" t="s">
        <v>329</v>
      </c>
      <c r="AI185" s="1390"/>
      <c r="AJ185" s="2282"/>
      <c r="AK185" s="2282"/>
      <c r="AL185" s="1037"/>
      <c r="AM185" s="339">
        <v>33168</v>
      </c>
      <c r="AN185" s="338" t="s">
        <v>331</v>
      </c>
      <c r="AQ185" s="858"/>
      <c r="AR185" s="338">
        <v>9603</v>
      </c>
      <c r="AS185" s="338" t="s">
        <v>315</v>
      </c>
      <c r="AX185" s="340">
        <v>203.09</v>
      </c>
      <c r="AY185" s="340" t="s">
        <v>289</v>
      </c>
      <c r="BA185" s="341" t="str">
        <f t="array" ref="BA185">IFERROR(IF($BA$11="Metro",INDEX($AR$13:$AR$814,SMALL(IF((County=$AS$13:$AS$814),MATCH(ROW($AS$13:$AS$814),ROW($AS$13:$AS$814)),""),ROWS($A$13:$A185))),INDEX($AU$13:$AU$48,SMALL(IF((County=$AV$13:$AV$48),MATCH(ROW($AV$13:$AV$48),ROW($AV$13:$AV$48)),""),ROWS($A$13:$A185)))),"")</f>
        <v/>
      </c>
      <c r="BC185" s="341" t="str">
        <f t="array" ref="BC185">IFERROR(IF($BC$11="Yes",INDEX($AX$13:$AX$2950,SMALL(IF((County=$AY$13:$AY$2950),MATCH(ROW($AY$13:$AY$2950),ROW($AY$13:$AY$2950)),""),ROWS($A$13:$A185))),""),"")</f>
        <v/>
      </c>
      <c r="BE185" s="339">
        <v>33431</v>
      </c>
      <c r="BF185" s="338" t="s">
        <v>340</v>
      </c>
      <c r="BH185" s="338">
        <v>15.14</v>
      </c>
      <c r="BI185" s="338" t="s">
        <v>276</v>
      </c>
      <c r="BN185" s="340">
        <v>9.02</v>
      </c>
      <c r="BO185" s="340" t="s">
        <v>340</v>
      </c>
      <c r="BP185" s="1385"/>
      <c r="BQ185" s="1387">
        <v>33126</v>
      </c>
      <c r="BR185" s="236" t="s">
        <v>331</v>
      </c>
      <c r="BU185" s="858"/>
      <c r="BV185" s="338">
        <v>649.01</v>
      </c>
      <c r="BW185" s="338" t="s">
        <v>288</v>
      </c>
      <c r="BY185" s="236">
        <v>9703.01</v>
      </c>
      <c r="BZ185" s="236" t="s">
        <v>352</v>
      </c>
      <c r="CB185" s="340">
        <v>202.06</v>
      </c>
      <c r="CC185" s="340" t="s">
        <v>289</v>
      </c>
      <c r="CE185" s="341" t="str">
        <f t="array" ref="CE185">IFERROR(IF($CE$11="Metro",INDEX($BV$13:$BV$4972,SMALL(IF((County=$BW$13:$BW$4972),MATCH(ROW($BW$13:$BW$4972),ROW($BW$13:$BW$4972)),""),ROWS($A$13:$A185))),INDEX($BY$13:$BY$212,SMALL(IF((County=$BZ$13:$BZ$212),MATCH(ROW($BZ$13:$BZ$212),ROW($BZ$13:$BZ$212)),""),ROWS($A$13:$A185)))),"")</f>
        <v/>
      </c>
      <c r="CG185" s="341" t="str">
        <f t="array" ref="CG185">IFERROR(IF($CG$11="Yes",INDEX($CB$13:$CB$2950,SMALL(IF((County=$CC$13:$CC$2950),MATCH(ROW($CC$13:$CC$2950),ROW($CC$13:$CC$2950)),""),ROWS($A$13:$A185))),""),"")</f>
        <v/>
      </c>
      <c r="CI185" s="1387">
        <v>33328</v>
      </c>
      <c r="CJ185" s="338" t="s">
        <v>289</v>
      </c>
      <c r="CL185" s="236">
        <v>4.0999999999999996</v>
      </c>
      <c r="CM185" s="236" t="s">
        <v>340</v>
      </c>
      <c r="CO185" s="236">
        <v>9714.01</v>
      </c>
      <c r="CP185" s="236" t="s">
        <v>333</v>
      </c>
      <c r="CR185" s="340">
        <v>9.02</v>
      </c>
      <c r="CS185" s="340" t="s">
        <v>330</v>
      </c>
      <c r="CT185" s="1384"/>
      <c r="CU185" s="341">
        <v>33133</v>
      </c>
      <c r="CV185" s="338" t="s">
        <v>2579</v>
      </c>
      <c r="CZ185" s="1795">
        <v>127.04</v>
      </c>
      <c r="DA185" s="338" t="s">
        <v>302</v>
      </c>
      <c r="DF185" s="340">
        <v>203.12</v>
      </c>
      <c r="DG185" s="340" t="s">
        <v>289</v>
      </c>
      <c r="DK185" s="341" t="str">
        <f t="array" ref="DK185">IFERROR(IF($DK$11="Yes",INDEX($DF$13:$DF$2838,SMALL(IF((County=$DG$13:$DG$2838),MATCH(ROW($DG$13:$DG$2838),ROW($DG$13:$DG$2838)),""),ROWS($A$13:$A185))),""),"")</f>
        <v/>
      </c>
      <c r="DM185" s="1387">
        <v>33324</v>
      </c>
      <c r="DN185" s="338" t="s">
        <v>289</v>
      </c>
      <c r="DP185" s="236">
        <v>17.04</v>
      </c>
      <c r="DQ185" s="236" t="s">
        <v>331</v>
      </c>
      <c r="DV185" s="340">
        <v>10.050000000000001</v>
      </c>
      <c r="DW185" s="340" t="s">
        <v>329</v>
      </c>
      <c r="DX185" s="1671"/>
      <c r="EB185" s="618"/>
      <c r="EC185" s="618"/>
      <c r="ED185" s="618"/>
      <c r="EE185" s="618"/>
      <c r="EF185" s="618"/>
      <c r="EG185" s="618"/>
      <c r="EH185" s="618"/>
      <c r="EI185" s="618"/>
      <c r="EJ185" s="618"/>
      <c r="EK185" s="618"/>
      <c r="EL185" s="618"/>
      <c r="EM185" s="618"/>
    </row>
    <row r="186" spans="1:143">
      <c r="A186" s="339">
        <v>34473</v>
      </c>
      <c r="B186" s="338" t="s">
        <v>329</v>
      </c>
      <c r="E186" s="858"/>
      <c r="F186" s="338">
        <v>167.25</v>
      </c>
      <c r="G186" s="338" t="s">
        <v>302</v>
      </c>
      <c r="L186" s="2481">
        <v>203.09</v>
      </c>
      <c r="M186" s="340" t="s">
        <v>289</v>
      </c>
      <c r="N186" s="1390"/>
      <c r="O186" s="2479"/>
      <c r="P186" s="2282"/>
      <c r="T186" s="341" t="str">
        <f t="array" ref="T186">IFERROR(IF($T$11="Yes",INDEX($L$13:$L$2813,SMALL(IF((County=$M$13:$M$2813),MATCH(ROW($M$13:$M$2813),ROW($M$13:$M$2813)),""),ROWS($A$13:A186))),""),"")</f>
        <v/>
      </c>
      <c r="V186" s="2283" t="str">
        <f t="array" ref="V186">IFERROR(IF($T$11="Yes",INDEX($O$14:$O$2811,SMALL(IF((County=$P$14:$P$2811),MATCH(ROW($P$14:$P$2811),ROW($P$14:$P$2811)),""),ROWS($A$13:A186))),""),"")</f>
        <v/>
      </c>
      <c r="X186" s="339">
        <v>33301</v>
      </c>
      <c r="Y186" s="338" t="s">
        <v>289</v>
      </c>
      <c r="AA186" s="338">
        <v>19.09</v>
      </c>
      <c r="AB186" s="338" t="s">
        <v>340</v>
      </c>
      <c r="AG186" s="2297">
        <v>11</v>
      </c>
      <c r="AH186" s="2297" t="s">
        <v>276</v>
      </c>
      <c r="AI186" s="1390"/>
      <c r="AJ186" s="2282"/>
      <c r="AK186" s="2282"/>
      <c r="AL186" s="1037"/>
      <c r="AM186" s="339">
        <v>33172</v>
      </c>
      <c r="AN186" s="338" t="s">
        <v>331</v>
      </c>
      <c r="AQ186" s="858"/>
      <c r="AR186" s="338">
        <v>9608</v>
      </c>
      <c r="AS186" s="338" t="s">
        <v>315</v>
      </c>
      <c r="AX186" s="340">
        <v>203.12</v>
      </c>
      <c r="AY186" s="340" t="s">
        <v>289</v>
      </c>
      <c r="BA186" s="341" t="str">
        <f t="array" ref="BA186">IFERROR(IF($BA$11="Metro",INDEX($AR$13:$AR$814,SMALL(IF((County=$AS$13:$AS$814),MATCH(ROW($AS$13:$AS$814),ROW($AS$13:$AS$814)),""),ROWS($A$13:$A186))),INDEX($AU$13:$AU$48,SMALL(IF((County=$AV$13:$AV$48),MATCH(ROW($AV$13:$AV$48),ROW($AV$13:$AV$48)),""),ROWS($A$13:$A186)))),"")</f>
        <v/>
      </c>
      <c r="BC186" s="341" t="str">
        <f t="array" ref="BC186">IFERROR(IF($BC$11="Yes",INDEX($AX$13:$AX$2950,SMALL(IF((County=$AY$13:$AY$2950),MATCH(ROW($AY$13:$AY$2950),ROW($AY$13:$AY$2950)),""),ROWS($A$13:$A186))),""),"")</f>
        <v/>
      </c>
      <c r="BE186" s="339">
        <v>33432</v>
      </c>
      <c r="BF186" s="338" t="s">
        <v>340</v>
      </c>
      <c r="BH186" s="338">
        <v>15.15</v>
      </c>
      <c r="BI186" s="338" t="s">
        <v>276</v>
      </c>
      <c r="BN186" s="340">
        <v>9.0299999999999994</v>
      </c>
      <c r="BO186" s="340" t="s">
        <v>324</v>
      </c>
      <c r="BP186" s="1385"/>
      <c r="BQ186" s="1387">
        <v>33129</v>
      </c>
      <c r="BR186" s="236" t="s">
        <v>331</v>
      </c>
      <c r="BU186" s="858"/>
      <c r="BV186" s="338">
        <v>649.02</v>
      </c>
      <c r="BW186" s="338" t="s">
        <v>288</v>
      </c>
      <c r="BY186" s="236">
        <v>9703.0300000000007</v>
      </c>
      <c r="BZ186" s="236" t="s">
        <v>352</v>
      </c>
      <c r="CB186" s="340">
        <v>202.1</v>
      </c>
      <c r="CC186" s="340" t="s">
        <v>289</v>
      </c>
      <c r="CE186" s="341" t="str">
        <f t="array" ref="CE186">IFERROR(IF($CE$11="Metro",INDEX($BV$13:$BV$4972,SMALL(IF((County=$BW$13:$BW$4972),MATCH(ROW($BW$13:$BW$4972),ROW($BW$13:$BW$4972)),""),ROWS($A$13:$A186))),INDEX($BY$13:$BY$212,SMALL(IF((County=$BZ$13:$BZ$212),MATCH(ROW($BZ$13:$BZ$212),ROW($BZ$13:$BZ$212)),""),ROWS($A$13:$A186)))),"")</f>
        <v/>
      </c>
      <c r="CG186" s="341" t="str">
        <f t="array" ref="CG186">IFERROR(IF($CG$11="Yes",INDEX($CB$13:$CB$2950,SMALL(IF((County=$CC$13:$CC$2950),MATCH(ROW($CC$13:$CC$2950),ROW($CC$13:$CC$2950)),""),ROWS($A$13:$A186))),""),"")</f>
        <v/>
      </c>
      <c r="CI186" s="1387">
        <v>33330</v>
      </c>
      <c r="CJ186" s="338" t="s">
        <v>289</v>
      </c>
      <c r="CL186" s="236">
        <v>4.1100000000000003</v>
      </c>
      <c r="CM186" s="236" t="s">
        <v>331</v>
      </c>
      <c r="CO186" s="236">
        <v>9714.02</v>
      </c>
      <c r="CP186" s="236" t="s">
        <v>333</v>
      </c>
      <c r="CR186" s="340">
        <v>9.02</v>
      </c>
      <c r="CS186" s="340" t="s">
        <v>340</v>
      </c>
      <c r="CT186" s="1384"/>
      <c r="CU186" s="341">
        <v>33134</v>
      </c>
      <c r="CV186" s="338" t="s">
        <v>2579</v>
      </c>
      <c r="CZ186" s="1795">
        <v>128</v>
      </c>
      <c r="DA186" s="338" t="s">
        <v>302</v>
      </c>
      <c r="DF186" s="340">
        <v>203.13</v>
      </c>
      <c r="DG186" s="340" t="s">
        <v>289</v>
      </c>
      <c r="DK186" s="341" t="str">
        <f t="array" ref="DK186">IFERROR(IF($DK$11="Yes",INDEX($DF$13:$DF$2838,SMALL(IF((County=$DG$13:$DG$2838),MATCH(ROW($DG$13:$DG$2838),ROW($DG$13:$DG$2838)),""),ROWS($A$13:$A186))),""),"")</f>
        <v/>
      </c>
      <c r="DM186" s="1387">
        <v>33325</v>
      </c>
      <c r="DN186" s="338" t="s">
        <v>289</v>
      </c>
      <c r="DP186" s="236">
        <v>17.079999999999998</v>
      </c>
      <c r="DQ186" s="236" t="s">
        <v>323</v>
      </c>
      <c r="DV186" s="340">
        <v>10.07</v>
      </c>
      <c r="DW186" s="340" t="s">
        <v>329</v>
      </c>
      <c r="DX186" s="1671"/>
      <c r="EB186" s="618"/>
      <c r="EC186" s="618"/>
      <c r="ED186" s="618"/>
      <c r="EE186" s="618"/>
      <c r="EF186" s="618"/>
      <c r="EG186" s="618"/>
      <c r="EH186" s="618"/>
      <c r="EI186" s="618"/>
      <c r="EJ186" s="618"/>
      <c r="EK186" s="618"/>
      <c r="EL186" s="618"/>
      <c r="EM186" s="618"/>
    </row>
    <row r="187" spans="1:143">
      <c r="A187" s="339">
        <v>34474</v>
      </c>
      <c r="B187" s="338" t="s">
        <v>329</v>
      </c>
      <c r="E187" s="858"/>
      <c r="F187" s="338">
        <v>167.27</v>
      </c>
      <c r="G187" s="338" t="s">
        <v>302</v>
      </c>
      <c r="L187" s="2481">
        <v>203.12</v>
      </c>
      <c r="M187" s="340" t="s">
        <v>289</v>
      </c>
      <c r="N187" s="1390"/>
      <c r="O187" s="2479"/>
      <c r="P187" s="2282"/>
      <c r="T187" s="341" t="str">
        <f t="array" ref="T187">IFERROR(IF($T$11="Yes",INDEX($L$13:$L$2813,SMALL(IF((County=$M$13:$M$2813),MATCH(ROW($M$13:$M$2813),ROW($M$13:$M$2813)),""),ROWS($A$13:A187))),""),"")</f>
        <v/>
      </c>
      <c r="V187" s="2283" t="str">
        <f t="array" ref="V187">IFERROR(IF($T$11="Yes",INDEX($O$14:$O$2811,SMALL(IF((County=$P$14:$P$2811),MATCH(ROW($P$14:$P$2811),ROW($P$14:$P$2811)),""),ROWS($A$13:A187))),""),"")</f>
        <v/>
      </c>
      <c r="X187" s="339">
        <v>33304</v>
      </c>
      <c r="Y187" s="338" t="s">
        <v>289</v>
      </c>
      <c r="AA187" s="338">
        <v>19.100000000000001</v>
      </c>
      <c r="AB187" s="338" t="s">
        <v>340</v>
      </c>
      <c r="AG187" s="2297">
        <v>11</v>
      </c>
      <c r="AH187" s="2297" t="s">
        <v>302</v>
      </c>
      <c r="AI187" s="1390"/>
      <c r="AJ187" s="2282"/>
      <c r="AK187" s="2282"/>
      <c r="AL187" s="1037"/>
      <c r="AM187" s="339">
        <v>33173</v>
      </c>
      <c r="AN187" s="338" t="s">
        <v>331</v>
      </c>
      <c r="AQ187" s="858"/>
      <c r="AR187" s="338">
        <v>9609</v>
      </c>
      <c r="AS187" s="338" t="s">
        <v>315</v>
      </c>
      <c r="AX187" s="340">
        <v>203.13</v>
      </c>
      <c r="AY187" s="340" t="s">
        <v>289</v>
      </c>
      <c r="BA187" s="341" t="str">
        <f t="array" ref="BA187">IFERROR(IF($BA$11="Metro",INDEX($AR$13:$AR$814,SMALL(IF((County=$AS$13:$AS$814),MATCH(ROW($AS$13:$AS$814),ROW($AS$13:$AS$814)),""),ROWS($A$13:$A187))),INDEX($AU$13:$AU$48,SMALL(IF((County=$AV$13:$AV$48),MATCH(ROW($AV$13:$AV$48),ROW($AV$13:$AV$48)),""),ROWS($A$13:$A187)))),"")</f>
        <v/>
      </c>
      <c r="BC187" s="341" t="str">
        <f t="array" ref="BC187">IFERROR(IF($BC$11="Yes",INDEX($AX$13:$AX$2950,SMALL(IF((County=$AY$13:$AY$2950),MATCH(ROW($AY$13:$AY$2950),ROW($AY$13:$AY$2950)),""),ROWS($A$13:$A187))),""),"")</f>
        <v/>
      </c>
      <c r="BE187" s="339">
        <v>33433</v>
      </c>
      <c r="BF187" s="338" t="s">
        <v>340</v>
      </c>
      <c r="BH187" s="338">
        <v>15.16</v>
      </c>
      <c r="BI187" s="338" t="s">
        <v>276</v>
      </c>
      <c r="BN187" s="340">
        <v>9.0299999999999994</v>
      </c>
      <c r="BO187" s="340" t="s">
        <v>329</v>
      </c>
      <c r="BP187" s="1385"/>
      <c r="BQ187" s="1387">
        <v>33131</v>
      </c>
      <c r="BR187" s="236" t="s">
        <v>331</v>
      </c>
      <c r="BU187" s="858"/>
      <c r="BV187" s="338">
        <v>650.01</v>
      </c>
      <c r="BW187" s="338" t="s">
        <v>288</v>
      </c>
      <c r="BY187" s="236">
        <v>9703.0400000000009</v>
      </c>
      <c r="BZ187" s="236" t="s">
        <v>352</v>
      </c>
      <c r="CB187" s="340">
        <v>202.14</v>
      </c>
      <c r="CC187" s="340" t="s">
        <v>289</v>
      </c>
      <c r="CE187" s="341" t="str">
        <f t="array" ref="CE187">IFERROR(IF($CE$11="Metro",INDEX($BV$13:$BV$4972,SMALL(IF((County=$BW$13:$BW$4972),MATCH(ROW($BW$13:$BW$4972),ROW($BW$13:$BW$4972)),""),ROWS($A$13:$A187))),INDEX($BY$13:$BY$212,SMALL(IF((County=$BZ$13:$BZ$212),MATCH(ROW($BZ$13:$BZ$212),ROW($BZ$13:$BZ$212)),""),ROWS($A$13:$A187)))),"")</f>
        <v/>
      </c>
      <c r="CG187" s="341" t="str">
        <f t="array" ref="CG187">IFERROR(IF($CG$11="Yes",INDEX($CB$13:$CB$2950,SMALL(IF((County=$CC$13:$CC$2950),MATCH(ROW($CC$13:$CC$2950),ROW($CC$13:$CC$2950)),""),ROWS($A$13:$A187))),""),"")</f>
        <v/>
      </c>
      <c r="CI187" s="1387">
        <v>33331</v>
      </c>
      <c r="CJ187" s="338" t="s">
        <v>289</v>
      </c>
      <c r="CL187" s="236">
        <v>4.13</v>
      </c>
      <c r="CM187" s="236" t="s">
        <v>331</v>
      </c>
      <c r="CO187" s="236">
        <v>9715.01</v>
      </c>
      <c r="CP187" s="236" t="s">
        <v>333</v>
      </c>
      <c r="CR187" s="340">
        <v>9.0299999999999994</v>
      </c>
      <c r="CS187" s="340" t="s">
        <v>329</v>
      </c>
      <c r="CT187" s="1384"/>
      <c r="CU187" s="341">
        <v>33137</v>
      </c>
      <c r="CV187" s="338" t="s">
        <v>2579</v>
      </c>
      <c r="CZ187" s="1795">
        <v>129</v>
      </c>
      <c r="DA187" s="338" t="s">
        <v>302</v>
      </c>
      <c r="DF187" s="340">
        <v>203.15</v>
      </c>
      <c r="DG187" s="340" t="s">
        <v>289</v>
      </c>
      <c r="DK187" s="341" t="str">
        <f t="array" ref="DK187">IFERROR(IF($DK$11="Yes",INDEX($DF$13:$DF$2838,SMALL(IF((County=$DG$13:$DG$2838),MATCH(ROW($DG$13:$DG$2838),ROW($DG$13:$DG$2838)),""),ROWS($A$13:$A187))),""),"")</f>
        <v/>
      </c>
      <c r="DM187" s="1387">
        <v>33326</v>
      </c>
      <c r="DN187" s="338" t="s">
        <v>289</v>
      </c>
      <c r="DP187" s="236">
        <v>18</v>
      </c>
      <c r="DQ187" s="236" t="s">
        <v>285</v>
      </c>
      <c r="DV187" s="340">
        <v>10.08</v>
      </c>
      <c r="DW187" s="340" t="s">
        <v>329</v>
      </c>
      <c r="DX187" s="1671"/>
      <c r="EB187" s="618"/>
      <c r="EC187" s="618"/>
      <c r="ED187" s="618"/>
      <c r="EE187" s="618"/>
      <c r="EF187" s="618"/>
      <c r="EG187" s="618"/>
      <c r="EH187" s="618"/>
      <c r="EI187" s="618"/>
      <c r="EJ187" s="618"/>
      <c r="EK187" s="618"/>
      <c r="EL187" s="618"/>
      <c r="EM187" s="618"/>
    </row>
    <row r="188" spans="1:143">
      <c r="A188" s="339">
        <v>33458</v>
      </c>
      <c r="B188" s="338" t="s">
        <v>330</v>
      </c>
      <c r="E188" s="858"/>
      <c r="F188" s="338">
        <v>172</v>
      </c>
      <c r="G188" s="338" t="s">
        <v>302</v>
      </c>
      <c r="L188" s="2481">
        <v>203.13</v>
      </c>
      <c r="M188" s="340" t="s">
        <v>289</v>
      </c>
      <c r="N188" s="1390"/>
      <c r="O188" s="2479"/>
      <c r="P188" s="2282"/>
      <c r="T188" s="341" t="str">
        <f t="array" ref="T188">IFERROR(IF($T$11="Yes",INDEX($L$13:$L$2813,SMALL(IF((County=$M$13:$M$2813),MATCH(ROW($M$13:$M$2813),ROW($M$13:$M$2813)),""),ROWS($A$13:A188))),""),"")</f>
        <v/>
      </c>
      <c r="V188" s="2283" t="str">
        <f t="array" ref="V188">IFERROR(IF($T$11="Yes",INDEX($O$14:$O$2811,SMALL(IF((County=$P$14:$P$2811),MATCH(ROW($P$14:$P$2811),ROW($P$14:$P$2811)),""),ROWS($A$13:A188))),""),"")</f>
        <v/>
      </c>
      <c r="X188" s="339">
        <v>33305</v>
      </c>
      <c r="Y188" s="338" t="s">
        <v>289</v>
      </c>
      <c r="AA188" s="338">
        <v>19.11</v>
      </c>
      <c r="AB188" s="338" t="s">
        <v>340</v>
      </c>
      <c r="AG188" s="2297">
        <v>11</v>
      </c>
      <c r="AH188" s="2297" t="s">
        <v>316</v>
      </c>
      <c r="AI188" s="1390"/>
      <c r="AJ188" s="2282"/>
      <c r="AK188" s="2282"/>
      <c r="AL188" s="1037"/>
      <c r="AM188" s="339">
        <v>33174</v>
      </c>
      <c r="AN188" s="338" t="s">
        <v>331</v>
      </c>
      <c r="AQ188" s="858"/>
      <c r="AR188" s="338">
        <v>9611</v>
      </c>
      <c r="AS188" s="338" t="s">
        <v>315</v>
      </c>
      <c r="AX188" s="340">
        <v>203.15</v>
      </c>
      <c r="AY188" s="340" t="s">
        <v>289</v>
      </c>
      <c r="BA188" s="341" t="str">
        <f t="array" ref="BA188">IFERROR(IF($BA$11="Metro",INDEX($AR$13:$AR$814,SMALL(IF((County=$AS$13:$AS$814),MATCH(ROW($AS$13:$AS$814),ROW($AS$13:$AS$814)),""),ROWS($A$13:$A188))),INDEX($AU$13:$AU$48,SMALL(IF((County=$AV$13:$AV$48),MATCH(ROW($AV$13:$AV$48),ROW($AV$13:$AV$48)),""),ROWS($A$13:$A188)))),"")</f>
        <v/>
      </c>
      <c r="BC188" s="341" t="str">
        <f t="array" ref="BC188">IFERROR(IF($BC$11="Yes",INDEX($AX$13:$AX$2950,SMALL(IF((County=$AY$13:$AY$2950),MATCH(ROW($AY$13:$AY$2950),ROW($AY$13:$AY$2950)),""),ROWS($A$13:$A188))),""),"")</f>
        <v/>
      </c>
      <c r="BE188" s="339">
        <v>33435</v>
      </c>
      <c r="BF188" s="338" t="s">
        <v>340</v>
      </c>
      <c r="BH188" s="338">
        <v>15.17</v>
      </c>
      <c r="BI188" s="338" t="s">
        <v>276</v>
      </c>
      <c r="BN188" s="340">
        <v>9.0299999999999994</v>
      </c>
      <c r="BO188" s="340" t="s">
        <v>340</v>
      </c>
      <c r="BP188" s="1385"/>
      <c r="BQ188" s="1387">
        <v>33132</v>
      </c>
      <c r="BR188" s="236" t="s">
        <v>331</v>
      </c>
      <c r="BU188" s="858"/>
      <c r="BV188" s="338">
        <v>650.22</v>
      </c>
      <c r="BW188" s="338" t="s">
        <v>288</v>
      </c>
      <c r="BY188" s="236">
        <v>9704.01</v>
      </c>
      <c r="BZ188" s="236" t="s">
        <v>352</v>
      </c>
      <c r="CB188" s="340">
        <v>203.09</v>
      </c>
      <c r="CC188" s="340" t="s">
        <v>289</v>
      </c>
      <c r="CE188" s="341" t="str">
        <f t="array" ref="CE188">IFERROR(IF($CE$11="Metro",INDEX($BV$13:$BV$4972,SMALL(IF((County=$BW$13:$BW$4972),MATCH(ROW($BW$13:$BW$4972),ROW($BW$13:$BW$4972)),""),ROWS($A$13:$A188))),INDEX($BY$13:$BY$212,SMALL(IF((County=$BZ$13:$BZ$212),MATCH(ROW($BZ$13:$BZ$212),ROW($BZ$13:$BZ$212)),""),ROWS($A$13:$A188)))),"")</f>
        <v/>
      </c>
      <c r="CG188" s="341" t="str">
        <f t="array" ref="CG188">IFERROR(IF($CG$11="Yes",INDEX($CB$13:$CB$2950,SMALL(IF((County=$CC$13:$CC$2950),MATCH(ROW($CC$13:$CC$2950),ROW($CC$13:$CC$2950)),""),ROWS($A$13:$A188))),""),"")</f>
        <v/>
      </c>
      <c r="CI188" s="1387">
        <v>33332</v>
      </c>
      <c r="CJ188" s="338" t="s">
        <v>289</v>
      </c>
      <c r="CL188" s="236">
        <v>4.1399999999999997</v>
      </c>
      <c r="CM188" s="236" t="s">
        <v>331</v>
      </c>
      <c r="CO188" s="236">
        <v>9715.02</v>
      </c>
      <c r="CP188" s="236" t="s">
        <v>333</v>
      </c>
      <c r="CR188" s="340">
        <v>9.0299999999999994</v>
      </c>
      <c r="CS188" s="340" t="s">
        <v>340</v>
      </c>
      <c r="CT188" s="1384"/>
      <c r="CU188" s="341">
        <v>33139</v>
      </c>
      <c r="CV188" s="338" t="s">
        <v>2579</v>
      </c>
      <c r="CZ188" s="1795">
        <v>133.02000000000001</v>
      </c>
      <c r="DA188" s="338" t="s">
        <v>302</v>
      </c>
      <c r="DF188" s="340">
        <v>203.16</v>
      </c>
      <c r="DG188" s="340" t="s">
        <v>289</v>
      </c>
      <c r="DK188" s="341" t="str">
        <f t="array" ref="DK188">IFERROR(IF($DK$11="Yes",INDEX($DF$13:$DF$2838,SMALL(IF((County=$DG$13:$DG$2838),MATCH(ROW($DG$13:$DG$2838),ROW($DG$13:$DG$2838)),""),ROWS($A$13:$A188))),""),"")</f>
        <v/>
      </c>
      <c r="DM188" s="1387">
        <v>33327</v>
      </c>
      <c r="DN188" s="338" t="s">
        <v>289</v>
      </c>
      <c r="DP188" s="236">
        <v>18</v>
      </c>
      <c r="DQ188" s="236" t="s">
        <v>304</v>
      </c>
      <c r="DV188" s="340">
        <v>10.09</v>
      </c>
      <c r="DW188" s="340" t="s">
        <v>329</v>
      </c>
      <c r="DX188" s="1671"/>
      <c r="EB188" s="618"/>
      <c r="EC188" s="618"/>
      <c r="ED188" s="618"/>
      <c r="EE188" s="618"/>
      <c r="EF188" s="618"/>
      <c r="EG188" s="618"/>
      <c r="EH188" s="618"/>
      <c r="EI188" s="618"/>
      <c r="EJ188" s="618"/>
      <c r="EK188" s="618"/>
      <c r="EL188" s="618"/>
      <c r="EM188" s="618"/>
    </row>
    <row r="189" spans="1:143">
      <c r="A189" s="339">
        <v>33469</v>
      </c>
      <c r="B189" s="338" t="s">
        <v>330</v>
      </c>
      <c r="E189" s="858"/>
      <c r="F189" s="338">
        <v>174</v>
      </c>
      <c r="G189" s="338" t="s">
        <v>302</v>
      </c>
      <c r="L189" s="2481">
        <v>203.15</v>
      </c>
      <c r="M189" s="340" t="s">
        <v>289</v>
      </c>
      <c r="N189" s="1390"/>
      <c r="O189" s="2479"/>
      <c r="P189" s="2282"/>
      <c r="T189" s="341" t="str">
        <f t="array" ref="T189">IFERROR(IF($T$11="Yes",INDEX($L$13:$L$2813,SMALL(IF((County=$M$13:$M$2813),MATCH(ROW($M$13:$M$2813),ROW($M$13:$M$2813)),""),ROWS($A$13:A189))),""),"")</f>
        <v/>
      </c>
      <c r="V189" s="2283" t="str">
        <f t="array" ref="V189">IFERROR(IF($T$11="Yes",INDEX($O$14:$O$2811,SMALL(IF((County=$P$14:$P$2811),MATCH(ROW($P$14:$P$2811),ROW($P$14:$P$2811)),""),ROWS($A$13:A189))),""),"")</f>
        <v/>
      </c>
      <c r="X189" s="339">
        <v>33308</v>
      </c>
      <c r="Y189" s="338" t="s">
        <v>289</v>
      </c>
      <c r="AA189" s="338">
        <v>19.12</v>
      </c>
      <c r="AB189" s="338" t="s">
        <v>340</v>
      </c>
      <c r="AG189" s="2297">
        <v>11.01</v>
      </c>
      <c r="AH189" s="2297" t="s">
        <v>304</v>
      </c>
      <c r="AI189" s="1390"/>
      <c r="AJ189" s="2282"/>
      <c r="AK189" s="2282"/>
      <c r="AL189" s="1037"/>
      <c r="AM189" s="339">
        <v>33175</v>
      </c>
      <c r="AN189" s="338" t="s">
        <v>331</v>
      </c>
      <c r="AQ189" s="858"/>
      <c r="AR189" s="338">
        <v>9616.0400000000009</v>
      </c>
      <c r="AS189" s="338" t="s">
        <v>315</v>
      </c>
      <c r="AX189" s="340">
        <v>203.16</v>
      </c>
      <c r="AY189" s="340" t="s">
        <v>289</v>
      </c>
      <c r="BA189" s="341" t="str">
        <f t="array" ref="BA189">IFERROR(IF($BA$11="Metro",INDEX($AR$13:$AR$814,SMALL(IF((County=$AS$13:$AS$814),MATCH(ROW($AS$13:$AS$814),ROW($AS$13:$AS$814)),""),ROWS($A$13:$A189))),INDEX($AU$13:$AU$48,SMALL(IF((County=$AV$13:$AV$48),MATCH(ROW($AV$13:$AV$48),ROW($AV$13:$AV$48)),""),ROWS($A$13:$A189)))),"")</f>
        <v/>
      </c>
      <c r="BC189" s="341" t="str">
        <f t="array" ref="BC189">IFERROR(IF($BC$11="Yes",INDEX($AX$13:$AX$2950,SMALL(IF((County=$AY$13:$AY$2950),MATCH(ROW($AY$13:$AY$2950),ROW($AY$13:$AY$2950)),""),ROWS($A$13:$A189))),""),"")</f>
        <v/>
      </c>
      <c r="BE189" s="339">
        <v>33436</v>
      </c>
      <c r="BF189" s="338" t="s">
        <v>340</v>
      </c>
      <c r="BH189" s="338">
        <v>15.19</v>
      </c>
      <c r="BI189" s="338" t="s">
        <v>276</v>
      </c>
      <c r="BN189" s="340">
        <v>9.0399999999999991</v>
      </c>
      <c r="BO189" s="340" t="s">
        <v>324</v>
      </c>
      <c r="BP189" s="1385"/>
      <c r="BQ189" s="1387">
        <v>33133</v>
      </c>
      <c r="BR189" s="236" t="s">
        <v>331</v>
      </c>
      <c r="BU189" s="858"/>
      <c r="BV189" s="338">
        <v>650.23</v>
      </c>
      <c r="BW189" s="338" t="s">
        <v>288</v>
      </c>
      <c r="BY189" s="236">
        <v>9704.02</v>
      </c>
      <c r="BZ189" s="236" t="s">
        <v>352</v>
      </c>
      <c r="CB189" s="340">
        <v>203.12</v>
      </c>
      <c r="CC189" s="340" t="s">
        <v>289</v>
      </c>
      <c r="CE189" s="341" t="str">
        <f t="array" ref="CE189">IFERROR(IF($CE$11="Metro",INDEX($BV$13:$BV$4972,SMALL(IF((County=$BW$13:$BW$4972),MATCH(ROW($BW$13:$BW$4972),ROW($BW$13:$BW$4972)),""),ROWS($A$13:$A189))),INDEX($BY$13:$BY$212,SMALL(IF((County=$BZ$13:$BZ$212),MATCH(ROW($BZ$13:$BZ$212),ROW($BZ$13:$BZ$212)),""),ROWS($A$13:$A189)))),"")</f>
        <v/>
      </c>
      <c r="CG189" s="341" t="str">
        <f t="array" ref="CG189">IFERROR(IF($CG$11="Yes",INDEX($CB$13:$CB$2950,SMALL(IF((County=$CC$13:$CC$2950),MATCH(ROW($CC$13:$CC$2950),ROW($CC$13:$CC$2950)),""),ROWS($A$13:$A189))),""),"")</f>
        <v/>
      </c>
      <c r="CI189" s="1387">
        <v>33351</v>
      </c>
      <c r="CJ189" s="338" t="s">
        <v>289</v>
      </c>
      <c r="CL189" s="236">
        <v>4.1500000000000004</v>
      </c>
      <c r="CM189" s="236" t="s">
        <v>331</v>
      </c>
      <c r="CO189" s="236">
        <v>9716</v>
      </c>
      <c r="CP189" s="236" t="s">
        <v>333</v>
      </c>
      <c r="CR189" s="340">
        <v>9.0399999999999991</v>
      </c>
      <c r="CS189" s="340" t="s">
        <v>324</v>
      </c>
      <c r="CT189" s="1384"/>
      <c r="CU189" s="341">
        <v>33140</v>
      </c>
      <c r="CV189" s="338" t="s">
        <v>2579</v>
      </c>
      <c r="CZ189" s="1795">
        <v>134.02000000000001</v>
      </c>
      <c r="DA189" s="338" t="s">
        <v>302</v>
      </c>
      <c r="DF189" s="340">
        <v>203.17</v>
      </c>
      <c r="DG189" s="340" t="s">
        <v>289</v>
      </c>
      <c r="DK189" s="341" t="str">
        <f t="array" ref="DK189">IFERROR(IF($DK$11="Yes",INDEX($DF$13:$DF$2838,SMALL(IF((County=$DG$13:$DG$2838),MATCH(ROW($DG$13:$DG$2838),ROW($DG$13:$DG$2838)),""),ROWS($A$13:$A189))),""),"")</f>
        <v/>
      </c>
      <c r="DM189" s="1387">
        <v>33328</v>
      </c>
      <c r="DN189" s="338" t="s">
        <v>289</v>
      </c>
      <c r="DP189" s="236">
        <v>18</v>
      </c>
      <c r="DQ189" s="236" t="s">
        <v>316</v>
      </c>
      <c r="DV189" s="340">
        <v>10.11</v>
      </c>
      <c r="DW189" s="340" t="s">
        <v>329</v>
      </c>
      <c r="DX189" s="1671"/>
      <c r="EB189" s="618"/>
      <c r="EC189" s="618"/>
      <c r="ED189" s="618"/>
      <c r="EE189" s="618"/>
      <c r="EF189" s="618"/>
      <c r="EG189" s="618"/>
      <c r="EH189" s="618"/>
      <c r="EI189" s="618"/>
      <c r="EJ189" s="618"/>
      <c r="EK189" s="618"/>
      <c r="EL189" s="618"/>
      <c r="EM189" s="618"/>
    </row>
    <row r="190" spans="1:143">
      <c r="A190" s="339">
        <v>33478</v>
      </c>
      <c r="B190" s="338" t="s">
        <v>330</v>
      </c>
      <c r="E190" s="858"/>
      <c r="F190" s="338">
        <v>4</v>
      </c>
      <c r="G190" s="338" t="s">
        <v>304</v>
      </c>
      <c r="L190" s="2481">
        <v>203.16</v>
      </c>
      <c r="M190" s="340" t="s">
        <v>289</v>
      </c>
      <c r="N190" s="1390"/>
      <c r="O190" s="2479"/>
      <c r="P190" s="2282"/>
      <c r="T190" s="341" t="str">
        <f t="array" ref="T190">IFERROR(IF($T$11="Yes",INDEX($L$13:$L$2813,SMALL(IF((County=$M$13:$M$2813),MATCH(ROW($M$13:$M$2813),ROW($M$13:$M$2813)),""),ROWS($A$13:A190))),""),"")</f>
        <v/>
      </c>
      <c r="V190" s="2283" t="str">
        <f t="array" ref="V190">IFERROR(IF($T$11="Yes",INDEX($O$14:$O$2811,SMALL(IF((County=$P$14:$P$2811),MATCH(ROW($P$14:$P$2811),ROW($P$14:$P$2811)),""),ROWS($A$13:A190))),""),"")</f>
        <v/>
      </c>
      <c r="X190" s="339">
        <v>33309</v>
      </c>
      <c r="Y190" s="338" t="s">
        <v>289</v>
      </c>
      <c r="AA190" s="338">
        <v>19.13</v>
      </c>
      <c r="AB190" s="338" t="s">
        <v>340</v>
      </c>
      <c r="AG190" s="2297">
        <v>11.01</v>
      </c>
      <c r="AH190" s="2297" t="s">
        <v>331</v>
      </c>
      <c r="AI190" s="1390"/>
      <c r="AJ190" s="2282"/>
      <c r="AK190" s="2282"/>
      <c r="AL190" s="1037"/>
      <c r="AM190" s="339">
        <v>33176</v>
      </c>
      <c r="AN190" s="338" t="s">
        <v>331</v>
      </c>
      <c r="AQ190" s="858"/>
      <c r="AR190" s="338">
        <v>9616.0499999999993</v>
      </c>
      <c r="AS190" s="338" t="s">
        <v>315</v>
      </c>
      <c r="AX190" s="340">
        <v>203.17</v>
      </c>
      <c r="AY190" s="340" t="s">
        <v>289</v>
      </c>
      <c r="BA190" s="341" t="str">
        <f t="array" ref="BA190">IFERROR(IF($BA$11="Metro",INDEX($AR$13:$AR$814,SMALL(IF((County=$AS$13:$AS$814),MATCH(ROW($AS$13:$AS$814),ROW($AS$13:$AS$814)),""),ROWS($A$13:$A190))),INDEX($AU$13:$AU$48,SMALL(IF((County=$AV$13:$AV$48),MATCH(ROW($AV$13:$AV$48),ROW($AV$13:$AV$48)),""),ROWS($A$13:$A190)))),"")</f>
        <v/>
      </c>
      <c r="BC190" s="341" t="str">
        <f t="array" ref="BC190">IFERROR(IF($BC$11="Yes",INDEX($AX$13:$AX$2950,SMALL(IF((County=$AY$13:$AY$2950),MATCH(ROW($AY$13:$AY$2950),ROW($AY$13:$AY$2950)),""),ROWS($A$13:$A190))),""),"")</f>
        <v/>
      </c>
      <c r="BE190" s="339">
        <v>33437</v>
      </c>
      <c r="BF190" s="338" t="s">
        <v>340</v>
      </c>
      <c r="BH190" s="338">
        <v>16</v>
      </c>
      <c r="BI190" s="338" t="s">
        <v>285</v>
      </c>
      <c r="BN190" s="340">
        <v>9.0399999999999991</v>
      </c>
      <c r="BO190" s="340" t="s">
        <v>329</v>
      </c>
      <c r="BP190" s="1385"/>
      <c r="BQ190" s="1387">
        <v>33134</v>
      </c>
      <c r="BR190" s="236" t="s">
        <v>331</v>
      </c>
      <c r="BU190" s="858"/>
      <c r="BV190" s="338">
        <v>650.24</v>
      </c>
      <c r="BW190" s="338" t="s">
        <v>288</v>
      </c>
      <c r="BY190" s="236">
        <v>9705.01</v>
      </c>
      <c r="BZ190" s="236" t="s">
        <v>352</v>
      </c>
      <c r="CB190" s="340">
        <v>203.13</v>
      </c>
      <c r="CC190" s="340" t="s">
        <v>289</v>
      </c>
      <c r="CE190" s="341" t="str">
        <f t="array" ref="CE190">IFERROR(IF($CE$11="Metro",INDEX($BV$13:$BV$4972,SMALL(IF((County=$BW$13:$BW$4972),MATCH(ROW($BW$13:$BW$4972),ROW($BW$13:$BW$4972)),""),ROWS($A$13:$A190))),INDEX($BY$13:$BY$212,SMALL(IF((County=$BZ$13:$BZ$212),MATCH(ROW($BZ$13:$BZ$212),ROW($BZ$13:$BZ$212)),""),ROWS($A$13:$A190)))),"")</f>
        <v/>
      </c>
      <c r="CG190" s="341" t="str">
        <f t="array" ref="CG190">IFERROR(IF($CG$11="Yes",INDEX($CB$13:$CB$2950,SMALL(IF((County=$CC$13:$CC$2950),MATCH(ROW($CC$13:$CC$2950),ROW($CC$13:$CC$2950)),""),ROWS($A$13:$A190))),""),"")</f>
        <v/>
      </c>
      <c r="CI190" s="1387">
        <v>33401</v>
      </c>
      <c r="CJ190" s="338" t="s">
        <v>340</v>
      </c>
      <c r="CL190" s="236">
        <v>4.16</v>
      </c>
      <c r="CM190" s="236" t="s">
        <v>331</v>
      </c>
      <c r="CO190" s="236">
        <v>9717</v>
      </c>
      <c r="CP190" s="236" t="s">
        <v>333</v>
      </c>
      <c r="CR190" s="340">
        <v>9.0399999999999991</v>
      </c>
      <c r="CS190" s="340" t="s">
        <v>340</v>
      </c>
      <c r="CT190" s="1384"/>
      <c r="CU190" s="341">
        <v>33141</v>
      </c>
      <c r="CV190" s="338" t="s">
        <v>2579</v>
      </c>
      <c r="CZ190" s="1795">
        <v>134.03</v>
      </c>
      <c r="DA190" s="338" t="s">
        <v>302</v>
      </c>
      <c r="DF190" s="340">
        <v>203.18</v>
      </c>
      <c r="DG190" s="340" t="s">
        <v>289</v>
      </c>
      <c r="DK190" s="341" t="str">
        <f t="array" ref="DK190">IFERROR(IF($DK$11="Yes",INDEX($DF$13:$DF$2838,SMALL(IF((County=$DG$13:$DG$2838),MATCH(ROW($DG$13:$DG$2838),ROW($DG$13:$DG$2838)),""),ROWS($A$13:$A190))),""),"")</f>
        <v/>
      </c>
      <c r="DM190" s="1387">
        <v>33330</v>
      </c>
      <c r="DN190" s="338" t="s">
        <v>289</v>
      </c>
      <c r="DP190" s="236">
        <v>18</v>
      </c>
      <c r="DQ190" s="236" t="s">
        <v>329</v>
      </c>
      <c r="DV190" s="340">
        <v>10.119999999999999</v>
      </c>
      <c r="DW190" s="340" t="s">
        <v>329</v>
      </c>
      <c r="DX190" s="1671"/>
      <c r="EB190" s="618"/>
      <c r="EC190" s="618"/>
      <c r="ED190" s="618"/>
      <c r="EE190" s="618"/>
      <c r="EF190" s="618"/>
      <c r="EG190" s="618"/>
      <c r="EH190" s="618"/>
      <c r="EI190" s="618"/>
      <c r="EJ190" s="618"/>
      <c r="EK190" s="618"/>
      <c r="EL190" s="618"/>
      <c r="EM190" s="618"/>
    </row>
    <row r="191" spans="1:143">
      <c r="A191" s="339">
        <v>34990</v>
      </c>
      <c r="B191" s="338" t="s">
        <v>330</v>
      </c>
      <c r="E191" s="858"/>
      <c r="F191" s="338">
        <v>12.02</v>
      </c>
      <c r="G191" s="338" t="s">
        <v>304</v>
      </c>
      <c r="L191" s="2481">
        <v>203.17</v>
      </c>
      <c r="M191" s="340" t="s">
        <v>289</v>
      </c>
      <c r="N191" s="1390"/>
      <c r="O191" s="2479"/>
      <c r="P191" s="2282"/>
      <c r="T191" s="341" t="str">
        <f t="array" ref="T191">IFERROR(IF($T$11="Yes",INDEX($L$13:$L$2813,SMALL(IF((County=$M$13:$M$2813),MATCH(ROW($M$13:$M$2813),ROW($M$13:$M$2813)),""),ROWS($A$13:A191))),""),"")</f>
        <v/>
      </c>
      <c r="V191" s="2283" t="str">
        <f t="array" ref="V191">IFERROR(IF($T$11="Yes",INDEX($O$14:$O$2811,SMALL(IF((County=$P$14:$P$2811),MATCH(ROW($P$14:$P$2811),ROW($P$14:$P$2811)),""),ROWS($A$13:A191))),""),"")</f>
        <v/>
      </c>
      <c r="X191" s="339">
        <v>33312</v>
      </c>
      <c r="Y191" s="338" t="s">
        <v>289</v>
      </c>
      <c r="AA191" s="338">
        <v>19.170000000000002</v>
      </c>
      <c r="AB191" s="338" t="s">
        <v>340</v>
      </c>
      <c r="AG191" s="2297">
        <v>11.02</v>
      </c>
      <c r="AH191" s="2297" t="s">
        <v>329</v>
      </c>
      <c r="AI191" s="1390"/>
      <c r="AJ191" s="2282"/>
      <c r="AK191" s="2282"/>
      <c r="AL191" s="1037"/>
      <c r="AM191" s="339">
        <v>33178</v>
      </c>
      <c r="AN191" s="338" t="s">
        <v>331</v>
      </c>
      <c r="AQ191" s="858"/>
      <c r="AR191" s="338">
        <v>1.01</v>
      </c>
      <c r="AS191" s="338" t="s">
        <v>316</v>
      </c>
      <c r="AX191" s="340">
        <v>203.18</v>
      </c>
      <c r="AY191" s="340" t="s">
        <v>289</v>
      </c>
      <c r="BA191" s="341" t="str">
        <f t="array" ref="BA191">IFERROR(IF($BA$11="Metro",INDEX($AR$13:$AR$814,SMALL(IF((County=$AS$13:$AS$814),MATCH(ROW($AS$13:$AS$814),ROW($AS$13:$AS$814)),""),ROWS($A$13:$A191))),INDEX($AU$13:$AU$48,SMALL(IF((County=$AV$13:$AV$48),MATCH(ROW($AV$13:$AV$48),ROW($AV$13:$AV$48)),""),ROWS($A$13:$A191)))),"")</f>
        <v/>
      </c>
      <c r="BC191" s="341" t="str">
        <f t="array" ref="BC191">IFERROR(IF($BC$11="Yes",INDEX($AX$13:$AX$2950,SMALL(IF((County=$AY$13:$AY$2950),MATCH(ROW($AY$13:$AY$2950),ROW($AY$13:$AY$2950)),""),ROWS($A$13:$A191))),""),"")</f>
        <v/>
      </c>
      <c r="BE191" s="339">
        <v>33442</v>
      </c>
      <c r="BF191" s="338" t="s">
        <v>289</v>
      </c>
      <c r="BH191" s="338">
        <v>16</v>
      </c>
      <c r="BI191" s="338" t="s">
        <v>302</v>
      </c>
      <c r="BN191" s="340">
        <v>9.0399999999999991</v>
      </c>
      <c r="BO191" s="340" t="s">
        <v>340</v>
      </c>
      <c r="BP191" s="1385"/>
      <c r="BQ191" s="1387">
        <v>33137</v>
      </c>
      <c r="BR191" s="236" t="s">
        <v>331</v>
      </c>
      <c r="BU191" s="858"/>
      <c r="BV191" s="338">
        <v>650.25</v>
      </c>
      <c r="BW191" s="338" t="s">
        <v>288</v>
      </c>
      <c r="BY191" s="236">
        <v>9705.02</v>
      </c>
      <c r="BZ191" s="236" t="s">
        <v>352</v>
      </c>
      <c r="CB191" s="340">
        <v>203.15</v>
      </c>
      <c r="CC191" s="340" t="s">
        <v>289</v>
      </c>
      <c r="CE191" s="341" t="str">
        <f t="array" ref="CE191">IFERROR(IF($CE$11="Metro",INDEX($BV$13:$BV$4972,SMALL(IF((County=$BW$13:$BW$4972),MATCH(ROW($BW$13:$BW$4972),ROW($BW$13:$BW$4972)),""),ROWS($A$13:$A191))),INDEX($BY$13:$BY$212,SMALL(IF((County=$BZ$13:$BZ$212),MATCH(ROW($BZ$13:$BZ$212),ROW($BZ$13:$BZ$212)),""),ROWS($A$13:$A191)))),"")</f>
        <v/>
      </c>
      <c r="CG191" s="341" t="str">
        <f t="array" ref="CG191">IFERROR(IF($CG$11="Yes",INDEX($CB$13:$CB$2950,SMALL(IF((County=$CC$13:$CC$2950),MATCH(ROW($CC$13:$CC$2950),ROW($CC$13:$CC$2950)),""),ROWS($A$13:$A191))),""),"")</f>
        <v/>
      </c>
      <c r="CI191" s="1387">
        <v>33408</v>
      </c>
      <c r="CJ191" s="338" t="s">
        <v>340</v>
      </c>
      <c r="CL191" s="236">
        <v>4.17</v>
      </c>
      <c r="CM191" s="236" t="s">
        <v>331</v>
      </c>
      <c r="CO191" s="236">
        <v>9718</v>
      </c>
      <c r="CP191" s="236" t="s">
        <v>333</v>
      </c>
      <c r="CR191" s="340">
        <v>9.0500000000000007</v>
      </c>
      <c r="CS191" s="340" t="s">
        <v>331</v>
      </c>
      <c r="CT191" s="1384"/>
      <c r="CU191" s="341">
        <v>33143</v>
      </c>
      <c r="CV191" s="338" t="s">
        <v>2579</v>
      </c>
      <c r="CZ191" s="1795">
        <v>134.04</v>
      </c>
      <c r="DA191" s="338" t="s">
        <v>302</v>
      </c>
      <c r="DF191" s="340">
        <v>203.19</v>
      </c>
      <c r="DG191" s="340" t="s">
        <v>289</v>
      </c>
      <c r="DK191" s="341" t="str">
        <f t="array" ref="DK191">IFERROR(IF($DK$11="Yes",INDEX($DF$13:$DF$2838,SMALL(IF((County=$DG$13:$DG$2838),MATCH(ROW($DG$13:$DG$2838),ROW($DG$13:$DG$2838)),""),ROWS($A$13:$A191))),""),"")</f>
        <v/>
      </c>
      <c r="DM191" s="1387">
        <v>33331</v>
      </c>
      <c r="DN191" s="338" t="s">
        <v>289</v>
      </c>
      <c r="DP191" s="236">
        <v>18.010000000000002</v>
      </c>
      <c r="DQ191" s="236" t="s">
        <v>324</v>
      </c>
      <c r="DV191" s="340">
        <v>10.130000000000001</v>
      </c>
      <c r="DW191" s="340" t="s">
        <v>329</v>
      </c>
      <c r="DX191" s="1671"/>
      <c r="EB191" s="618"/>
      <c r="EC191" s="618"/>
      <c r="ED191" s="618"/>
      <c r="EE191" s="618"/>
      <c r="EF191" s="618"/>
      <c r="EG191" s="618"/>
      <c r="EH191" s="618"/>
      <c r="EI191" s="618"/>
      <c r="EJ191" s="618"/>
      <c r="EK191" s="618"/>
      <c r="EL191" s="618"/>
      <c r="EM191" s="618"/>
    </row>
    <row r="192" spans="1:143">
      <c r="A192" s="339">
        <v>33014</v>
      </c>
      <c r="B192" s="338" t="s">
        <v>2579</v>
      </c>
      <c r="E192" s="858"/>
      <c r="F192" s="338">
        <v>13</v>
      </c>
      <c r="G192" s="338" t="s">
        <v>304</v>
      </c>
      <c r="L192" s="2481">
        <v>203.18</v>
      </c>
      <c r="M192" s="340" t="s">
        <v>289</v>
      </c>
      <c r="N192" s="1390"/>
      <c r="O192" s="2479"/>
      <c r="P192" s="2282"/>
      <c r="T192" s="341" t="str">
        <f t="array" ref="T192">IFERROR(IF($T$11="Yes",INDEX($L$13:$L$2813,SMALL(IF((County=$M$13:$M$2813),MATCH(ROW($M$13:$M$2813),ROW($M$13:$M$2813)),""),ROWS($A$13:A192))),""),"")</f>
        <v/>
      </c>
      <c r="V192" s="2283" t="str">
        <f t="array" ref="V192">IFERROR(IF($T$11="Yes",INDEX($O$14:$O$2811,SMALL(IF((County=$P$14:$P$2811),MATCH(ROW($P$14:$P$2811),ROW($P$14:$P$2811)),""),ROWS($A$13:A192))),""),"")</f>
        <v/>
      </c>
      <c r="X192" s="339">
        <v>33313</v>
      </c>
      <c r="Y192" s="338" t="s">
        <v>289</v>
      </c>
      <c r="AA192" s="338">
        <v>20</v>
      </c>
      <c r="AB192" s="338" t="s">
        <v>285</v>
      </c>
      <c r="AG192" s="2297">
        <v>11.02</v>
      </c>
      <c r="AH192" s="2297" t="s">
        <v>331</v>
      </c>
      <c r="AI192" s="1390"/>
      <c r="AJ192" s="2282"/>
      <c r="AK192" s="2282"/>
      <c r="AL192" s="1037"/>
      <c r="AM192" s="339">
        <v>33179</v>
      </c>
      <c r="AN192" s="338" t="s">
        <v>331</v>
      </c>
      <c r="AQ192" s="858"/>
      <c r="AR192" s="338">
        <v>1.02</v>
      </c>
      <c r="AS192" s="338" t="s">
        <v>316</v>
      </c>
      <c r="AX192" s="340">
        <v>203.19</v>
      </c>
      <c r="AY192" s="340" t="s">
        <v>289</v>
      </c>
      <c r="BA192" s="341" t="str">
        <f t="array" ref="BA192">IFERROR(IF($BA$11="Metro",INDEX($AR$13:$AR$814,SMALL(IF((County=$AS$13:$AS$814),MATCH(ROW($AS$13:$AS$814),ROW($AS$13:$AS$814)),""),ROWS($A$13:$A192))),INDEX($AU$13:$AU$48,SMALL(IF((County=$AV$13:$AV$48),MATCH(ROW($AV$13:$AV$48),ROW($AV$13:$AV$48)),""),ROWS($A$13:$A192)))),"")</f>
        <v/>
      </c>
      <c r="BC192" s="341" t="str">
        <f t="array" ref="BC192">IFERROR(IF($BC$11="Yes",INDEX($AX$13:$AX$2950,SMALL(IF((County=$AY$13:$AY$2950),MATCH(ROW($AY$13:$AY$2950),ROW($AY$13:$AY$2950)),""),ROWS($A$13:$A192))),""),"")</f>
        <v/>
      </c>
      <c r="BE192" s="339">
        <v>33444</v>
      </c>
      <c r="BF192" s="338" t="s">
        <v>340</v>
      </c>
      <c r="BH192" s="338">
        <v>16</v>
      </c>
      <c r="BI192" s="338" t="s">
        <v>304</v>
      </c>
      <c r="BN192" s="340">
        <v>9.0500000000000007</v>
      </c>
      <c r="BO192" s="340" t="s">
        <v>324</v>
      </c>
      <c r="BP192" s="1385"/>
      <c r="BQ192" s="1387">
        <v>33139</v>
      </c>
      <c r="BR192" s="236" t="s">
        <v>331</v>
      </c>
      <c r="BU192" s="858"/>
      <c r="BV192" s="338">
        <v>651.23</v>
      </c>
      <c r="BW192" s="338" t="s">
        <v>288</v>
      </c>
      <c r="BY192" s="236">
        <v>9706.01</v>
      </c>
      <c r="BZ192" s="236" t="s">
        <v>352</v>
      </c>
      <c r="CB192" s="340">
        <v>203.16</v>
      </c>
      <c r="CC192" s="340" t="s">
        <v>289</v>
      </c>
      <c r="CE192" s="341" t="str">
        <f t="array" ref="CE192">IFERROR(IF($CE$11="Metro",INDEX($BV$13:$BV$4972,SMALL(IF((County=$BW$13:$BW$4972),MATCH(ROW($BW$13:$BW$4972),ROW($BW$13:$BW$4972)),""),ROWS($A$13:$A192))),INDEX($BY$13:$BY$212,SMALL(IF((County=$BZ$13:$BZ$212),MATCH(ROW($BZ$13:$BZ$212),ROW($BZ$13:$BZ$212)),""),ROWS($A$13:$A192)))),"")</f>
        <v/>
      </c>
      <c r="CG192" s="341" t="str">
        <f t="array" ref="CG192">IFERROR(IF($CG$11="Yes",INDEX($CB$13:$CB$2950,SMALL(IF((County=$CC$13:$CC$2950),MATCH(ROW($CC$13:$CC$2950),ROW($CC$13:$CC$2950)),""),ROWS($A$13:$A192))),""),"")</f>
        <v/>
      </c>
      <c r="CI192" s="1387">
        <v>33409</v>
      </c>
      <c r="CJ192" s="338" t="s">
        <v>340</v>
      </c>
      <c r="CL192" s="236">
        <v>4.18</v>
      </c>
      <c r="CM192" s="236" t="s">
        <v>331</v>
      </c>
      <c r="CO192" s="236">
        <v>9719</v>
      </c>
      <c r="CP192" s="236" t="s">
        <v>333</v>
      </c>
      <c r="CR192" s="340">
        <v>9.0500000000000007</v>
      </c>
      <c r="CS192" s="340" t="s">
        <v>340</v>
      </c>
      <c r="CT192" s="1384"/>
      <c r="CU192" s="341">
        <v>33144</v>
      </c>
      <c r="CV192" s="338" t="s">
        <v>2579</v>
      </c>
      <c r="CZ192" s="1795">
        <v>135.04</v>
      </c>
      <c r="DA192" s="338" t="s">
        <v>302</v>
      </c>
      <c r="DF192" s="340">
        <v>203.2</v>
      </c>
      <c r="DG192" s="340" t="s">
        <v>289</v>
      </c>
      <c r="DK192" s="341" t="str">
        <f t="array" ref="DK192">IFERROR(IF($DK$11="Yes",INDEX($DF$13:$DF$2838,SMALL(IF((County=$DG$13:$DG$2838),MATCH(ROW($DG$13:$DG$2838),ROW($DG$13:$DG$2838)),""),ROWS($A$13:$A192))),""),"")</f>
        <v/>
      </c>
      <c r="DM192" s="1387">
        <v>33332</v>
      </c>
      <c r="DN192" s="338" t="s">
        <v>289</v>
      </c>
      <c r="DP192" s="236">
        <v>18.010000000000002</v>
      </c>
      <c r="DQ192" s="236" t="s">
        <v>331</v>
      </c>
      <c r="DV192" s="340">
        <v>11</v>
      </c>
      <c r="DW192" s="340" t="s">
        <v>276</v>
      </c>
      <c r="DX192" s="1671"/>
      <c r="EB192" s="618"/>
      <c r="EC192" s="618"/>
      <c r="ED192" s="618"/>
      <c r="EE192" s="618"/>
      <c r="EF192" s="618"/>
      <c r="EG192" s="618"/>
      <c r="EH192" s="618"/>
      <c r="EI192" s="618"/>
      <c r="EJ192" s="618"/>
      <c r="EK192" s="618"/>
      <c r="EL192" s="618"/>
      <c r="EM192" s="618"/>
    </row>
    <row r="193" spans="1:143">
      <c r="A193" s="339">
        <v>33015</v>
      </c>
      <c r="B193" s="338" t="s">
        <v>2579</v>
      </c>
      <c r="E193" s="858"/>
      <c r="F193" s="338">
        <v>15</v>
      </c>
      <c r="G193" s="338" t="s">
        <v>304</v>
      </c>
      <c r="L193" s="2481">
        <v>203.19</v>
      </c>
      <c r="M193" s="340" t="s">
        <v>289</v>
      </c>
      <c r="N193" s="1390"/>
      <c r="O193" s="2479"/>
      <c r="P193" s="2282"/>
      <c r="T193" s="341" t="str">
        <f t="array" ref="T193">IFERROR(IF($T$11="Yes",INDEX($L$13:$L$2813,SMALL(IF((County=$M$13:$M$2813),MATCH(ROW($M$13:$M$2813),ROW($M$13:$M$2813)),""),ROWS($A$13:A193))),""),"")</f>
        <v/>
      </c>
      <c r="V193" s="2283" t="str">
        <f t="array" ref="V193">IFERROR(IF($T$11="Yes",INDEX($O$14:$O$2811,SMALL(IF((County=$P$14:$P$2811),MATCH(ROW($P$14:$P$2811),ROW($P$14:$P$2811)),""),ROWS($A$13:A193))),""),"")</f>
        <v/>
      </c>
      <c r="X193" s="339">
        <v>33314</v>
      </c>
      <c r="Y193" s="338" t="s">
        <v>289</v>
      </c>
      <c r="AA193" s="338">
        <v>20</v>
      </c>
      <c r="AB193" s="338" t="s">
        <v>304</v>
      </c>
      <c r="AG193" s="2297">
        <v>11.03</v>
      </c>
      <c r="AH193" s="2297" t="s">
        <v>304</v>
      </c>
      <c r="AI193" s="1390"/>
      <c r="AJ193" s="2282"/>
      <c r="AK193" s="2282"/>
      <c r="AL193" s="1037"/>
      <c r="AM193" s="339">
        <v>33180</v>
      </c>
      <c r="AN193" s="338" t="s">
        <v>331</v>
      </c>
      <c r="AQ193" s="858"/>
      <c r="AR193" s="338">
        <v>2.0099999999999998</v>
      </c>
      <c r="AS193" s="338" t="s">
        <v>316</v>
      </c>
      <c r="AX193" s="340">
        <v>203.2</v>
      </c>
      <c r="AY193" s="340" t="s">
        <v>289</v>
      </c>
      <c r="BA193" s="341" t="str">
        <f t="array" ref="BA193">IFERROR(IF($BA$11="Metro",INDEX($AR$13:$AR$814,SMALL(IF((County=$AS$13:$AS$814),MATCH(ROW($AS$13:$AS$814),ROW($AS$13:$AS$814)),""),ROWS($A$13:$A193))),INDEX($AU$13:$AU$48,SMALL(IF((County=$AV$13:$AV$48),MATCH(ROW($AV$13:$AV$48),ROW($AV$13:$AV$48)),""),ROWS($A$13:$A193)))),"")</f>
        <v/>
      </c>
      <c r="BC193" s="341" t="str">
        <f t="array" ref="BC193">IFERROR(IF($BC$11="Yes",INDEX($AX$13:$AX$2950,SMALL(IF((County=$AY$13:$AY$2950),MATCH(ROW($AY$13:$AY$2950),ROW($AY$13:$AY$2950)),""),ROWS($A$13:$A193))),""),"")</f>
        <v/>
      </c>
      <c r="BE193" s="339">
        <v>33445</v>
      </c>
      <c r="BF193" s="338" t="s">
        <v>340</v>
      </c>
      <c r="BH193" s="338">
        <v>16</v>
      </c>
      <c r="BI193" s="338" t="s">
        <v>340</v>
      </c>
      <c r="BN193" s="340">
        <v>9.0500000000000007</v>
      </c>
      <c r="BO193" s="340" t="s">
        <v>340</v>
      </c>
      <c r="BP193" s="1385"/>
      <c r="BQ193" s="1387">
        <v>33140</v>
      </c>
      <c r="BR193" s="236" t="s">
        <v>331</v>
      </c>
      <c r="BU193" s="858"/>
      <c r="BV193" s="338">
        <v>651.24</v>
      </c>
      <c r="BW193" s="338" t="s">
        <v>288</v>
      </c>
      <c r="BY193" s="236">
        <v>9706.02</v>
      </c>
      <c r="BZ193" s="236" t="s">
        <v>352</v>
      </c>
      <c r="CB193" s="340">
        <v>203.17</v>
      </c>
      <c r="CC193" s="340" t="s">
        <v>289</v>
      </c>
      <c r="CE193" s="341" t="str">
        <f t="array" ref="CE193">IFERROR(IF($CE$11="Metro",INDEX($BV$13:$BV$4972,SMALL(IF((County=$BW$13:$BW$4972),MATCH(ROW($BW$13:$BW$4972),ROW($BW$13:$BW$4972)),""),ROWS($A$13:$A193))),INDEX($BY$13:$BY$212,SMALL(IF((County=$BZ$13:$BZ$212),MATCH(ROW($BZ$13:$BZ$212),ROW($BZ$13:$BZ$212)),""),ROWS($A$13:$A193)))),"")</f>
        <v/>
      </c>
      <c r="CG193" s="341" t="str">
        <f t="array" ref="CG193">IFERROR(IF($CG$11="Yes",INDEX($CB$13:$CB$2950,SMALL(IF((County=$CC$13:$CC$2950),MATCH(ROW($CC$13:$CC$2950),ROW($CC$13:$CC$2950)),""),ROWS($A$13:$A193))),""),"")</f>
        <v/>
      </c>
      <c r="CI193" s="1387">
        <v>33410</v>
      </c>
      <c r="CJ193" s="338" t="s">
        <v>340</v>
      </c>
      <c r="CL193" s="236">
        <v>4.1900000000000004</v>
      </c>
      <c r="CM193" s="236" t="s">
        <v>331</v>
      </c>
      <c r="CO193" s="236">
        <v>9720</v>
      </c>
      <c r="CP193" s="236" t="s">
        <v>333</v>
      </c>
      <c r="CR193" s="340">
        <v>9.06</v>
      </c>
      <c r="CS193" s="340" t="s">
        <v>324</v>
      </c>
      <c r="CT193" s="1384"/>
      <c r="CU193" s="341">
        <v>33145</v>
      </c>
      <c r="CV193" s="338" t="s">
        <v>2579</v>
      </c>
      <c r="CZ193" s="1795">
        <v>135.25</v>
      </c>
      <c r="DA193" s="338" t="s">
        <v>302</v>
      </c>
      <c r="DF193" s="340">
        <v>203.21</v>
      </c>
      <c r="DG193" s="340" t="s">
        <v>289</v>
      </c>
      <c r="DK193" s="341" t="str">
        <f t="array" ref="DK193">IFERROR(IF($DK$11="Yes",INDEX($DF$13:$DF$2838,SMALL(IF((County=$DG$13:$DG$2838),MATCH(ROW($DG$13:$DG$2838),ROW($DG$13:$DG$2838)),""),ROWS($A$13:$A193))),""),"")</f>
        <v/>
      </c>
      <c r="DM193" s="1387">
        <v>33351</v>
      </c>
      <c r="DN193" s="338" t="s">
        <v>289</v>
      </c>
      <c r="DP193" s="236">
        <v>18.02</v>
      </c>
      <c r="DQ193" s="236" t="s">
        <v>331</v>
      </c>
      <c r="DV193" s="340">
        <v>11</v>
      </c>
      <c r="DW193" s="340" t="s">
        <v>302</v>
      </c>
      <c r="DX193" s="1671"/>
      <c r="EB193" s="618"/>
      <c r="EC193" s="618"/>
      <c r="ED193" s="618"/>
      <c r="EE193" s="618"/>
      <c r="EF193" s="618"/>
      <c r="EG193" s="618"/>
      <c r="EH193" s="618"/>
      <c r="EI193" s="618"/>
      <c r="EJ193" s="618"/>
      <c r="EK193" s="618"/>
      <c r="EL193" s="618"/>
      <c r="EM193" s="618"/>
    </row>
    <row r="194" spans="1:143">
      <c r="A194" s="339">
        <v>33016</v>
      </c>
      <c r="B194" s="338" t="s">
        <v>2579</v>
      </c>
      <c r="E194" s="858"/>
      <c r="F194" s="338">
        <v>16</v>
      </c>
      <c r="G194" s="338" t="s">
        <v>304</v>
      </c>
      <c r="L194" s="2481">
        <v>203.2</v>
      </c>
      <c r="M194" s="340" t="s">
        <v>289</v>
      </c>
      <c r="N194" s="1390"/>
      <c r="O194" s="2479"/>
      <c r="P194" s="2282"/>
      <c r="T194" s="341" t="str">
        <f t="array" ref="T194">IFERROR(IF($T$11="Yes",INDEX($L$13:$L$2813,SMALL(IF((County=$M$13:$M$2813),MATCH(ROW($M$13:$M$2813),ROW($M$13:$M$2813)),""),ROWS($A$13:A194))),""),"")</f>
        <v/>
      </c>
      <c r="V194" s="2283" t="str">
        <f t="array" ref="V194">IFERROR(IF($T$11="Yes",INDEX($O$14:$O$2811,SMALL(IF((County=$P$14:$P$2811),MATCH(ROW($P$14:$P$2811),ROW($P$14:$P$2811)),""),ROWS($A$13:A194))),""),"")</f>
        <v/>
      </c>
      <c r="X194" s="339">
        <v>33315</v>
      </c>
      <c r="Y194" s="338" t="s">
        <v>289</v>
      </c>
      <c r="AA194" s="338">
        <v>20</v>
      </c>
      <c r="AB194" s="338" t="s">
        <v>316</v>
      </c>
      <c r="AG194" s="2297">
        <v>11.03</v>
      </c>
      <c r="AH194" s="2297" t="s">
        <v>329</v>
      </c>
      <c r="AI194" s="1390"/>
      <c r="AJ194" s="2282"/>
      <c r="AK194" s="2282"/>
      <c r="AL194" s="1037"/>
      <c r="AM194" s="339">
        <v>33182</v>
      </c>
      <c r="AN194" s="338" t="s">
        <v>331</v>
      </c>
      <c r="AQ194" s="858"/>
      <c r="AR194" s="338">
        <v>2.02</v>
      </c>
      <c r="AS194" s="338" t="s">
        <v>316</v>
      </c>
      <c r="AX194" s="340">
        <v>203.21</v>
      </c>
      <c r="AY194" s="340" t="s">
        <v>289</v>
      </c>
      <c r="BA194" s="341" t="str">
        <f t="array" ref="BA194">IFERROR(IF($BA$11="Metro",INDEX($AR$13:$AR$814,SMALL(IF((County=$AS$13:$AS$814),MATCH(ROW($AS$13:$AS$814),ROW($AS$13:$AS$814)),""),ROWS($A$13:$A194))),INDEX($AU$13:$AU$48,SMALL(IF((County=$AV$13:$AV$48),MATCH(ROW($AV$13:$AV$48),ROW($AV$13:$AV$48)),""),ROWS($A$13:$A194)))),"")</f>
        <v/>
      </c>
      <c r="BC194" s="341" t="str">
        <f t="array" ref="BC194">IFERROR(IF($BC$11="Yes",INDEX($AX$13:$AX$2950,SMALL(IF((County=$AY$13:$AY$2950),MATCH(ROW($AY$13:$AY$2950),ROW($AY$13:$AY$2950)),""),ROWS($A$13:$A194))),""),"")</f>
        <v/>
      </c>
      <c r="BE194" s="339">
        <v>33449</v>
      </c>
      <c r="BF194" s="338" t="s">
        <v>340</v>
      </c>
      <c r="BH194" s="338">
        <v>16.05</v>
      </c>
      <c r="BI194" s="338" t="s">
        <v>276</v>
      </c>
      <c r="BN194" s="340">
        <v>9.06</v>
      </c>
      <c r="BO194" s="340" t="s">
        <v>324</v>
      </c>
      <c r="BP194" s="1385"/>
      <c r="BQ194" s="1387">
        <v>33141</v>
      </c>
      <c r="BR194" s="236" t="s">
        <v>331</v>
      </c>
      <c r="BU194" s="858"/>
      <c r="BV194" s="338">
        <v>651.26</v>
      </c>
      <c r="BW194" s="338" t="s">
        <v>288</v>
      </c>
      <c r="BY194" s="236">
        <v>9501</v>
      </c>
      <c r="BZ194" s="236" t="s">
        <v>353</v>
      </c>
      <c r="CB194" s="340">
        <v>203.18</v>
      </c>
      <c r="CC194" s="340" t="s">
        <v>289</v>
      </c>
      <c r="CE194" s="341" t="str">
        <f t="array" ref="CE194">IFERROR(IF($CE$11="Metro",INDEX($BV$13:$BV$4972,SMALL(IF((County=$BW$13:$BW$4972),MATCH(ROW($BW$13:$BW$4972),ROW($BW$13:$BW$4972)),""),ROWS($A$13:$A194))),INDEX($BY$13:$BY$212,SMALL(IF((County=$BZ$13:$BZ$212),MATCH(ROW($BZ$13:$BZ$212),ROW($BZ$13:$BZ$212)),""),ROWS($A$13:$A194)))),"")</f>
        <v/>
      </c>
      <c r="CG194" s="341" t="str">
        <f t="array" ref="CG194">IFERROR(IF($CG$11="Yes",INDEX($CB$13:$CB$2950,SMALL(IF((County=$CC$13:$CC$2950),MATCH(ROW($CC$13:$CC$2950),ROW($CC$13:$CC$2950)),""),ROWS($A$13:$A194))),""),"")</f>
        <v/>
      </c>
      <c r="CI194" s="1387">
        <v>33411</v>
      </c>
      <c r="CJ194" s="338" t="s">
        <v>340</v>
      </c>
      <c r="CL194" s="236">
        <v>4.2</v>
      </c>
      <c r="CM194" s="236" t="s">
        <v>331</v>
      </c>
      <c r="CO194" s="236">
        <v>9721</v>
      </c>
      <c r="CP194" s="236" t="s">
        <v>333</v>
      </c>
      <c r="CR194" s="340">
        <v>9.07</v>
      </c>
      <c r="CS194" s="340" t="s">
        <v>324</v>
      </c>
      <c r="CT194" s="1384"/>
      <c r="CU194" s="341">
        <v>33146</v>
      </c>
      <c r="CV194" s="338" t="s">
        <v>2579</v>
      </c>
      <c r="CZ194" s="1795">
        <v>143.11000000000001</v>
      </c>
      <c r="DA194" s="338" t="s">
        <v>302</v>
      </c>
      <c r="DF194" s="340">
        <v>203.22</v>
      </c>
      <c r="DG194" s="340" t="s">
        <v>289</v>
      </c>
      <c r="DK194" s="341" t="str">
        <f t="array" ref="DK194">IFERROR(IF($DK$11="Yes",INDEX($DF$13:$DF$2838,SMALL(IF((County=$DG$13:$DG$2838),MATCH(ROW($DG$13:$DG$2838),ROW($DG$13:$DG$2838)),""),ROWS($A$13:$A194))),""),"")</f>
        <v/>
      </c>
      <c r="DM194" s="1387">
        <v>33401</v>
      </c>
      <c r="DN194" s="338" t="s">
        <v>340</v>
      </c>
      <c r="DP194" s="236">
        <v>18.02</v>
      </c>
      <c r="DQ194" s="236" t="s">
        <v>340</v>
      </c>
      <c r="DV194" s="340">
        <v>11</v>
      </c>
      <c r="DW194" s="340" t="s">
        <v>316</v>
      </c>
      <c r="DX194" s="1671"/>
      <c r="EB194" s="618"/>
      <c r="EC194" s="618"/>
      <c r="ED194" s="618"/>
      <c r="EE194" s="618"/>
      <c r="EF194" s="618"/>
      <c r="EG194" s="618"/>
      <c r="EH194" s="618"/>
      <c r="EI194" s="618"/>
      <c r="EJ194" s="618"/>
      <c r="EK194" s="618"/>
      <c r="EL194" s="618"/>
      <c r="EM194" s="618"/>
    </row>
    <row r="195" spans="1:143">
      <c r="A195" s="339">
        <v>33018</v>
      </c>
      <c r="B195" s="338" t="s">
        <v>2579</v>
      </c>
      <c r="E195" s="858"/>
      <c r="F195" s="338">
        <v>17</v>
      </c>
      <c r="G195" s="338" t="s">
        <v>304</v>
      </c>
      <c r="L195" s="2481">
        <v>203.21</v>
      </c>
      <c r="M195" s="340" t="s">
        <v>289</v>
      </c>
      <c r="N195" s="1390"/>
      <c r="O195" s="2479"/>
      <c r="P195" s="2282"/>
      <c r="T195" s="341" t="str">
        <f t="array" ref="T195">IFERROR(IF($T$11="Yes",INDEX($L$13:$L$2813,SMALL(IF((County=$M$13:$M$2813),MATCH(ROW($M$13:$M$2813),ROW($M$13:$M$2813)),""),ROWS($A$13:A195))),""),"")</f>
        <v/>
      </c>
      <c r="V195" s="2283" t="str">
        <f t="array" ref="V195">IFERROR(IF($T$11="Yes",INDEX($O$14:$O$2811,SMALL(IF((County=$P$14:$P$2811),MATCH(ROW($P$14:$P$2811),ROW($P$14:$P$2811)),""),ROWS($A$13:A195))),""),"")</f>
        <v/>
      </c>
      <c r="X195" s="339">
        <v>33316</v>
      </c>
      <c r="Y195" s="338" t="s">
        <v>289</v>
      </c>
      <c r="AA195" s="338">
        <v>20.02</v>
      </c>
      <c r="AB195" s="338" t="s">
        <v>276</v>
      </c>
      <c r="AG195" s="2297">
        <v>11.03</v>
      </c>
      <c r="AH195" s="2297" t="s">
        <v>330</v>
      </c>
      <c r="AI195" s="1390"/>
      <c r="AJ195" s="2282"/>
      <c r="AK195" s="2282"/>
      <c r="AL195" s="1037"/>
      <c r="AM195" s="339">
        <v>33183</v>
      </c>
      <c r="AN195" s="338" t="s">
        <v>331</v>
      </c>
      <c r="AQ195" s="858"/>
      <c r="AR195" s="338">
        <v>3.01</v>
      </c>
      <c r="AS195" s="338" t="s">
        <v>316</v>
      </c>
      <c r="AX195" s="340">
        <v>203.22</v>
      </c>
      <c r="AY195" s="340" t="s">
        <v>289</v>
      </c>
      <c r="BA195" s="341" t="str">
        <f t="array" ref="BA195">IFERROR(IF($BA$11="Metro",INDEX($AR$13:$AR$814,SMALL(IF((County=$AS$13:$AS$814),MATCH(ROW($AS$13:$AS$814),ROW($AS$13:$AS$814)),""),ROWS($A$13:$A195))),INDEX($AU$13:$AU$48,SMALL(IF((County=$AV$13:$AV$48),MATCH(ROW($AV$13:$AV$48),ROW($AV$13:$AV$48)),""),ROWS($A$13:$A195)))),"")</f>
        <v/>
      </c>
      <c r="BC195" s="341" t="str">
        <f t="array" ref="BC195">IFERROR(IF($BC$11="Yes",INDEX($AX$13:$AX$2950,SMALL(IF((County=$AY$13:$AY$2950),MATCH(ROW($AY$13:$AY$2950),ROW($AY$13:$AY$2950)),""),ROWS($A$13:$A195))),""),"")</f>
        <v/>
      </c>
      <c r="BE195" s="339">
        <v>33458</v>
      </c>
      <c r="BF195" s="338" t="s">
        <v>340</v>
      </c>
      <c r="BH195" s="338">
        <v>16.05</v>
      </c>
      <c r="BI195" s="338" t="s">
        <v>331</v>
      </c>
      <c r="BN195" s="340">
        <v>9.07</v>
      </c>
      <c r="BO195" s="340" t="s">
        <v>324</v>
      </c>
      <c r="BP195" s="1385"/>
      <c r="BQ195" s="1387">
        <v>33143</v>
      </c>
      <c r="BR195" s="236" t="s">
        <v>331</v>
      </c>
      <c r="BU195" s="858"/>
      <c r="BV195" s="338">
        <v>651.27</v>
      </c>
      <c r="BW195" s="338" t="s">
        <v>288</v>
      </c>
      <c r="BY195" s="236">
        <v>9502.01</v>
      </c>
      <c r="BZ195" s="236" t="s">
        <v>353</v>
      </c>
      <c r="CB195" s="340">
        <v>203.19</v>
      </c>
      <c r="CC195" s="340" t="s">
        <v>289</v>
      </c>
      <c r="CE195" s="341" t="str">
        <f t="array" ref="CE195">IFERROR(IF($CE$11="Metro",INDEX($BV$13:$BV$4972,SMALL(IF((County=$BW$13:$BW$4972),MATCH(ROW($BW$13:$BW$4972),ROW($BW$13:$BW$4972)),""),ROWS($A$13:$A195))),INDEX($BY$13:$BY$212,SMALL(IF((County=$BZ$13:$BZ$212),MATCH(ROW($BZ$13:$BZ$212),ROW($BZ$13:$BZ$212)),""),ROWS($A$13:$A195)))),"")</f>
        <v/>
      </c>
      <c r="CG195" s="341" t="str">
        <f t="array" ref="CG195">IFERROR(IF($CG$11="Yes",INDEX($CB$13:$CB$2950,SMALL(IF((County=$CC$13:$CC$2950),MATCH(ROW($CC$13:$CC$2950),ROW($CC$13:$CC$2950)),""),ROWS($A$13:$A195))),""),"")</f>
        <v/>
      </c>
      <c r="CI195" s="1387">
        <v>33412</v>
      </c>
      <c r="CJ195" s="338" t="s">
        <v>340</v>
      </c>
      <c r="CL195" s="338">
        <v>5</v>
      </c>
      <c r="CM195" s="338" t="s">
        <v>276</v>
      </c>
      <c r="CO195" s="236">
        <v>9722</v>
      </c>
      <c r="CP195" s="236" t="s">
        <v>333</v>
      </c>
      <c r="CR195" s="340">
        <v>9.08</v>
      </c>
      <c r="CS195" s="340" t="s">
        <v>331</v>
      </c>
      <c r="CT195" s="1384"/>
      <c r="CU195" s="341">
        <v>33149</v>
      </c>
      <c r="CV195" s="338" t="s">
        <v>2579</v>
      </c>
      <c r="CZ195" s="1795">
        <v>146.04</v>
      </c>
      <c r="DA195" s="338" t="s">
        <v>302</v>
      </c>
      <c r="DF195" s="340">
        <v>203.24</v>
      </c>
      <c r="DG195" s="340" t="s">
        <v>289</v>
      </c>
      <c r="DK195" s="341" t="str">
        <f t="array" ref="DK195">IFERROR(IF($DK$11="Yes",INDEX($DF$13:$DF$2838,SMALL(IF((County=$DG$13:$DG$2838),MATCH(ROW($DG$13:$DG$2838),ROW($DG$13:$DG$2838)),""),ROWS($A$13:$A195))),""),"")</f>
        <v/>
      </c>
      <c r="DM195" s="1387">
        <v>33406</v>
      </c>
      <c r="DN195" s="338" t="s">
        <v>340</v>
      </c>
      <c r="DP195" s="236">
        <v>18.03</v>
      </c>
      <c r="DQ195" s="236" t="s">
        <v>331</v>
      </c>
      <c r="DV195" s="340">
        <v>11.01</v>
      </c>
      <c r="DW195" s="340" t="s">
        <v>304</v>
      </c>
      <c r="DX195" s="1671"/>
      <c r="EB195" s="618"/>
      <c r="EC195" s="618"/>
      <c r="ED195" s="618"/>
      <c r="EE195" s="618"/>
      <c r="EF195" s="618"/>
      <c r="EG195" s="618"/>
      <c r="EH195" s="618"/>
      <c r="EI195" s="618"/>
      <c r="EJ195" s="618"/>
      <c r="EK195" s="618"/>
      <c r="EL195" s="618"/>
      <c r="EM195" s="618"/>
    </row>
    <row r="196" spans="1:143">
      <c r="A196" s="339">
        <v>33035</v>
      </c>
      <c r="B196" s="338" t="s">
        <v>2579</v>
      </c>
      <c r="E196" s="858"/>
      <c r="F196" s="338">
        <v>18</v>
      </c>
      <c r="G196" s="338" t="s">
        <v>304</v>
      </c>
      <c r="L196" s="2481">
        <v>203.22</v>
      </c>
      <c r="M196" s="340" t="s">
        <v>289</v>
      </c>
      <c r="N196" s="1390"/>
      <c r="O196" s="2479"/>
      <c r="P196" s="2282"/>
      <c r="T196" s="341" t="str">
        <f t="array" ref="T196">IFERROR(IF($T$11="Yes",INDEX($L$13:$L$2813,SMALL(IF((County=$M$13:$M$2813),MATCH(ROW($M$13:$M$2813),ROW($M$13:$M$2813)),""),ROWS($A$13:A196))),""),"")</f>
        <v/>
      </c>
      <c r="V196" s="2283" t="str">
        <f t="array" ref="V196">IFERROR(IF($T$11="Yes",INDEX($O$14:$O$2811,SMALL(IF((County=$P$14:$P$2811),MATCH(ROW($P$14:$P$2811),ROW($P$14:$P$2811)),""),ROWS($A$13:A196))),""),"")</f>
        <v/>
      </c>
      <c r="X196" s="339">
        <v>33317</v>
      </c>
      <c r="Y196" s="338" t="s">
        <v>289</v>
      </c>
      <c r="AA196" s="338">
        <v>20.03</v>
      </c>
      <c r="AB196" s="338" t="s">
        <v>324</v>
      </c>
      <c r="AG196" s="2297">
        <v>11.03</v>
      </c>
      <c r="AH196" s="2297" t="s">
        <v>331</v>
      </c>
      <c r="AI196" s="1390"/>
      <c r="AJ196" s="2282"/>
      <c r="AK196" s="2282"/>
      <c r="AL196" s="1037"/>
      <c r="AM196" s="339">
        <v>33184</v>
      </c>
      <c r="AN196" s="338" t="s">
        <v>331</v>
      </c>
      <c r="AQ196" s="858"/>
      <c r="AR196" s="338">
        <v>3.02</v>
      </c>
      <c r="AS196" s="338" t="s">
        <v>316</v>
      </c>
      <c r="AX196" s="340">
        <v>203.23</v>
      </c>
      <c r="AY196" s="340" t="s">
        <v>289</v>
      </c>
      <c r="BA196" s="341" t="str">
        <f t="array" ref="BA196">IFERROR(IF($BA$11="Metro",INDEX($AR$13:$AR$814,SMALL(IF((County=$AS$13:$AS$814),MATCH(ROW($AS$13:$AS$814),ROW($AS$13:$AS$814)),""),ROWS($A$13:$A196))),INDEX($AU$13:$AU$48,SMALL(IF((County=$AV$13:$AV$48),MATCH(ROW($AV$13:$AV$48),ROW($AV$13:$AV$48)),""),ROWS($A$13:$A196)))),"")</f>
        <v/>
      </c>
      <c r="BC196" s="341" t="str">
        <f t="array" ref="BC196">IFERROR(IF($BC$11="Yes",INDEX($AX$13:$AX$2950,SMALL(IF((County=$AY$13:$AY$2950),MATCH(ROW($AY$13:$AY$2950),ROW($AY$13:$AY$2950)),""),ROWS($A$13:$A196))),""),"")</f>
        <v/>
      </c>
      <c r="BE196" s="339">
        <v>33469</v>
      </c>
      <c r="BF196" s="338" t="s">
        <v>340</v>
      </c>
      <c r="BH196" s="338">
        <v>17</v>
      </c>
      <c r="BI196" s="338" t="s">
        <v>304</v>
      </c>
      <c r="BN196" s="340">
        <v>9.07</v>
      </c>
      <c r="BO196" s="340" t="s">
        <v>331</v>
      </c>
      <c r="BP196" s="1385"/>
      <c r="BQ196" s="1387">
        <v>33144</v>
      </c>
      <c r="BR196" s="236" t="s">
        <v>331</v>
      </c>
      <c r="BU196" s="858"/>
      <c r="BV196" s="338">
        <v>651.28</v>
      </c>
      <c r="BW196" s="338" t="s">
        <v>288</v>
      </c>
      <c r="BY196" s="236">
        <v>9502.02</v>
      </c>
      <c r="BZ196" s="236" t="s">
        <v>353</v>
      </c>
      <c r="CB196" s="340">
        <v>203.2</v>
      </c>
      <c r="CC196" s="340" t="s">
        <v>289</v>
      </c>
      <c r="CE196" s="341" t="str">
        <f t="array" ref="CE196">IFERROR(IF($CE$11="Metro",INDEX($BV$13:$BV$4972,SMALL(IF((County=$BW$13:$BW$4972),MATCH(ROW($BW$13:$BW$4972),ROW($BW$13:$BW$4972)),""),ROWS($A$13:$A196))),INDEX($BY$13:$BY$212,SMALL(IF((County=$BZ$13:$BZ$212),MATCH(ROW($BZ$13:$BZ$212),ROW($BZ$13:$BZ$212)),""),ROWS($A$13:$A196)))),"")</f>
        <v/>
      </c>
      <c r="CG196" s="341" t="str">
        <f t="array" ref="CG196">IFERROR(IF($CG$11="Yes",INDEX($CB$13:$CB$2950,SMALL(IF((County=$CC$13:$CC$2950),MATCH(ROW($CC$13:$CC$2950),ROW($CC$13:$CC$2950)),""),ROWS($A$13:$A196))),""),"")</f>
        <v/>
      </c>
      <c r="CI196" s="1387">
        <v>33413</v>
      </c>
      <c r="CJ196" s="338" t="s">
        <v>340</v>
      </c>
      <c r="CL196" s="338">
        <v>5</v>
      </c>
      <c r="CM196" s="338" t="s">
        <v>285</v>
      </c>
      <c r="CO196" s="236">
        <v>9724</v>
      </c>
      <c r="CP196" s="236" t="s">
        <v>333</v>
      </c>
      <c r="CR196" s="340">
        <v>10.01</v>
      </c>
      <c r="CS196" s="340" t="s">
        <v>304</v>
      </c>
      <c r="CT196" s="1384"/>
      <c r="CU196" s="341">
        <v>33154</v>
      </c>
      <c r="CV196" s="338" t="s">
        <v>2579</v>
      </c>
      <c r="CZ196" s="1795">
        <v>147.04</v>
      </c>
      <c r="DA196" s="338" t="s">
        <v>302</v>
      </c>
      <c r="DF196" s="340">
        <v>203.25</v>
      </c>
      <c r="DG196" s="340" t="s">
        <v>289</v>
      </c>
      <c r="DK196" s="341" t="str">
        <f t="array" ref="DK196">IFERROR(IF($DK$11="Yes",INDEX($DF$13:$DF$2838,SMALL(IF((County=$DG$13:$DG$2838),MATCH(ROW($DG$13:$DG$2838),ROW($DG$13:$DG$2838)),""),ROWS($A$13:$A196))),""),"")</f>
        <v/>
      </c>
      <c r="DM196" s="1387">
        <v>33408</v>
      </c>
      <c r="DN196" s="338" t="s">
        <v>340</v>
      </c>
      <c r="DP196" s="236">
        <v>18.04</v>
      </c>
      <c r="DQ196" s="236" t="s">
        <v>330</v>
      </c>
      <c r="DV196" s="340">
        <v>11.01</v>
      </c>
      <c r="DW196" s="340" t="s">
        <v>331</v>
      </c>
      <c r="DX196" s="1671"/>
      <c r="EB196" s="618"/>
      <c r="EC196" s="618"/>
      <c r="ED196" s="618"/>
      <c r="EE196" s="618"/>
      <c r="EF196" s="618"/>
      <c r="EG196" s="618"/>
      <c r="EH196" s="618"/>
      <c r="EI196" s="618"/>
      <c r="EJ196" s="618"/>
      <c r="EK196" s="618"/>
      <c r="EL196" s="618"/>
      <c r="EM196" s="618"/>
    </row>
    <row r="197" spans="1:143">
      <c r="A197" s="339">
        <v>33109</v>
      </c>
      <c r="B197" s="338" t="s">
        <v>2579</v>
      </c>
      <c r="E197" s="858"/>
      <c r="F197" s="338">
        <v>19</v>
      </c>
      <c r="G197" s="338" t="s">
        <v>304</v>
      </c>
      <c r="L197" s="2481">
        <v>203.25</v>
      </c>
      <c r="M197" s="340" t="s">
        <v>289</v>
      </c>
      <c r="N197" s="1390"/>
      <c r="O197" s="2479"/>
      <c r="P197" s="2282"/>
      <c r="T197" s="341" t="str">
        <f t="array" ref="T197">IFERROR(IF($T$11="Yes",INDEX($L$13:$L$2813,SMALL(IF((County=$M$13:$M$2813),MATCH(ROW($M$13:$M$2813),ROW($M$13:$M$2813)),""),ROWS($A$13:A197))),""),"")</f>
        <v/>
      </c>
      <c r="V197" s="2283" t="str">
        <f t="array" ref="V197">IFERROR(IF($T$11="Yes",INDEX($O$14:$O$2811,SMALL(IF((County=$P$14:$P$2811),MATCH(ROW($P$14:$P$2811),ROW($P$14:$P$2811)),""),ROWS($A$13:A197))),""),"")</f>
        <v/>
      </c>
      <c r="X197" s="339">
        <v>33319</v>
      </c>
      <c r="Y197" s="338" t="s">
        <v>289</v>
      </c>
      <c r="AA197" s="338">
        <v>20.03</v>
      </c>
      <c r="AB197" s="338" t="s">
        <v>331</v>
      </c>
      <c r="AG197" s="2297">
        <v>11.04</v>
      </c>
      <c r="AH197" s="2297" t="s">
        <v>304</v>
      </c>
      <c r="AI197" s="1390"/>
      <c r="AJ197" s="2282"/>
      <c r="AK197" s="2282"/>
      <c r="AL197" s="1037"/>
      <c r="AM197" s="339">
        <v>33185</v>
      </c>
      <c r="AN197" s="338" t="s">
        <v>331</v>
      </c>
      <c r="AQ197" s="858"/>
      <c r="AR197" s="338">
        <v>4.0199999999999996</v>
      </c>
      <c r="AS197" s="338" t="s">
        <v>316</v>
      </c>
      <c r="AX197" s="340">
        <v>203.25</v>
      </c>
      <c r="AY197" s="340" t="s">
        <v>289</v>
      </c>
      <c r="BA197" s="341" t="str">
        <f t="array" ref="BA197">IFERROR(IF($BA$11="Metro",INDEX($AR$13:$AR$814,SMALL(IF((County=$AS$13:$AS$814),MATCH(ROW($AS$13:$AS$814),ROW($AS$13:$AS$814)),""),ROWS($A$13:$A197))),INDEX($AU$13:$AU$48,SMALL(IF((County=$AV$13:$AV$48),MATCH(ROW($AV$13:$AV$48),ROW($AV$13:$AV$48)),""),ROWS($A$13:$A197)))),"")</f>
        <v/>
      </c>
      <c r="BC197" s="341" t="str">
        <f t="array" ref="BC197">IFERROR(IF($BC$11="Yes",INDEX($AX$13:$AX$2950,SMALL(IF((County=$AY$13:$AY$2950),MATCH(ROW($AY$13:$AY$2950),ROW($AY$13:$AY$2950)),""),ROWS($A$13:$A197))),""),"")</f>
        <v/>
      </c>
      <c r="BE197" s="339">
        <v>33470</v>
      </c>
      <c r="BF197" s="338" t="s">
        <v>340</v>
      </c>
      <c r="BH197" s="338">
        <v>17</v>
      </c>
      <c r="BI197" s="338" t="s">
        <v>329</v>
      </c>
      <c r="BN197" s="340">
        <v>9.08</v>
      </c>
      <c r="BO197" s="340" t="s">
        <v>331</v>
      </c>
      <c r="BP197" s="1385"/>
      <c r="BQ197" s="1386">
        <v>33145</v>
      </c>
      <c r="BR197" s="338" t="s">
        <v>331</v>
      </c>
      <c r="BU197" s="858"/>
      <c r="BV197" s="338">
        <v>651.29</v>
      </c>
      <c r="BW197" s="338" t="s">
        <v>288</v>
      </c>
      <c r="BY197" s="236">
        <v>9503.01</v>
      </c>
      <c r="BZ197" s="236" t="s">
        <v>353</v>
      </c>
      <c r="CB197" s="340">
        <v>203.21</v>
      </c>
      <c r="CC197" s="340" t="s">
        <v>289</v>
      </c>
      <c r="CE197" s="341" t="str">
        <f t="array" ref="CE197">IFERROR(IF($CE$11="Metro",INDEX($BV$13:$BV$4972,SMALL(IF((County=$BW$13:$BW$4972),MATCH(ROW($BW$13:$BW$4972),ROW($BW$13:$BW$4972)),""),ROWS($A$13:$A197))),INDEX($BY$13:$BY$212,SMALL(IF((County=$BZ$13:$BZ$212),MATCH(ROW($BZ$13:$BZ$212),ROW($BZ$13:$BZ$212)),""),ROWS($A$13:$A197)))),"")</f>
        <v/>
      </c>
      <c r="CG197" s="341" t="str">
        <f t="array" ref="CG197">IFERROR(IF($CG$11="Yes",INDEX($CB$13:$CB$2950,SMALL(IF((County=$CC$13:$CC$2950),MATCH(ROW($CC$13:$CC$2950),ROW($CC$13:$CC$2950)),""),ROWS($A$13:$A197))),""),"")</f>
        <v/>
      </c>
      <c r="CI197" s="1387">
        <v>33414</v>
      </c>
      <c r="CJ197" s="338" t="s">
        <v>340</v>
      </c>
      <c r="CL197" s="236">
        <v>5</v>
      </c>
      <c r="CM197" s="236" t="s">
        <v>297</v>
      </c>
      <c r="CO197" s="236">
        <v>9725</v>
      </c>
      <c r="CP197" s="236" t="s">
        <v>333</v>
      </c>
      <c r="CR197" s="340">
        <v>10.01</v>
      </c>
      <c r="CS197" s="340" t="s">
        <v>323</v>
      </c>
      <c r="CT197" s="1384"/>
      <c r="CU197" s="341">
        <v>33155</v>
      </c>
      <c r="CV197" s="338" t="s">
        <v>2579</v>
      </c>
      <c r="CZ197" s="1795">
        <v>148</v>
      </c>
      <c r="DA197" s="338" t="s">
        <v>302</v>
      </c>
      <c r="DF197" s="340">
        <v>203.26</v>
      </c>
      <c r="DG197" s="340" t="s">
        <v>289</v>
      </c>
      <c r="DK197" s="341" t="str">
        <f t="array" ref="DK197">IFERROR(IF($DK$11="Yes",INDEX($DF$13:$DF$2838,SMALL(IF((County=$DG$13:$DG$2838),MATCH(ROW($DG$13:$DG$2838),ROW($DG$13:$DG$2838)),""),ROWS($A$13:$A197))),""),"")</f>
        <v/>
      </c>
      <c r="DM197" s="1387">
        <v>33409</v>
      </c>
      <c r="DN197" s="338" t="s">
        <v>340</v>
      </c>
      <c r="DP197" s="236">
        <v>18.05</v>
      </c>
      <c r="DQ197" s="236" t="s">
        <v>330</v>
      </c>
      <c r="DV197" s="340">
        <v>11.02</v>
      </c>
      <c r="DW197" s="340" t="s">
        <v>331</v>
      </c>
      <c r="DX197" s="1671"/>
      <c r="EB197" s="618"/>
      <c r="EC197" s="618"/>
      <c r="ED197" s="618"/>
      <c r="EE197" s="618"/>
      <c r="EF197" s="618"/>
      <c r="EG197" s="618"/>
      <c r="EH197" s="618"/>
      <c r="EI197" s="618"/>
      <c r="EJ197" s="618"/>
      <c r="EK197" s="618"/>
      <c r="EL197" s="618"/>
      <c r="EM197" s="618"/>
    </row>
    <row r="198" spans="1:143">
      <c r="A198" s="339">
        <v>33122</v>
      </c>
      <c r="B198" s="338" t="s">
        <v>2579</v>
      </c>
      <c r="E198" s="858"/>
      <c r="F198" s="338">
        <v>20</v>
      </c>
      <c r="G198" s="338" t="s">
        <v>304</v>
      </c>
      <c r="L198" s="2481">
        <v>203.26</v>
      </c>
      <c r="M198" s="340" t="s">
        <v>289</v>
      </c>
      <c r="N198" s="1390"/>
      <c r="O198" s="2479"/>
      <c r="P198" s="2282"/>
      <c r="T198" s="341" t="str">
        <f t="array" ref="T198">IFERROR(IF($T$11="Yes",INDEX($L$13:$L$2813,SMALL(IF((County=$M$13:$M$2813),MATCH(ROW($M$13:$M$2813),ROW($M$13:$M$2813)),""),ROWS($A$13:A198))),""),"")</f>
        <v/>
      </c>
      <c r="V198" s="2283" t="str">
        <f t="array" ref="V198">IFERROR(IF($T$11="Yes",INDEX($O$14:$O$2811,SMALL(IF((County=$P$14:$P$2811),MATCH(ROW($P$14:$P$2811),ROW($P$14:$P$2811)),""),ROWS($A$13:A198))),""),"")</f>
        <v/>
      </c>
      <c r="X198" s="339">
        <v>33321</v>
      </c>
      <c r="Y198" s="338" t="s">
        <v>289</v>
      </c>
      <c r="AA198" s="338">
        <v>20.04</v>
      </c>
      <c r="AB198" s="338" t="s">
        <v>331</v>
      </c>
      <c r="AG198" s="2297">
        <v>11.04</v>
      </c>
      <c r="AH198" s="2297" t="s">
        <v>328</v>
      </c>
      <c r="AI198" s="1390"/>
      <c r="AJ198" s="2282"/>
      <c r="AK198" s="2282"/>
      <c r="AL198" s="1037"/>
      <c r="AM198" s="339">
        <v>33186</v>
      </c>
      <c r="AN198" s="338" t="s">
        <v>331</v>
      </c>
      <c r="AQ198" s="858"/>
      <c r="AR198" s="338">
        <v>6.02</v>
      </c>
      <c r="AS198" s="338" t="s">
        <v>316</v>
      </c>
      <c r="AX198" s="340">
        <v>203.26</v>
      </c>
      <c r="AY198" s="340" t="s">
        <v>289</v>
      </c>
      <c r="BA198" s="341" t="str">
        <f t="array" ref="BA198">IFERROR(IF($BA$11="Metro",INDEX($AR$13:$AR$814,SMALL(IF((County=$AS$13:$AS$814),MATCH(ROW($AS$13:$AS$814),ROW($AS$13:$AS$814)),""),ROWS($A$13:$A198))),INDEX($AU$13:$AU$48,SMALL(IF((County=$AV$13:$AV$48),MATCH(ROW($AV$13:$AV$48),ROW($AV$13:$AV$48)),""),ROWS($A$13:$A198)))),"")</f>
        <v/>
      </c>
      <c r="BC198" s="341" t="str">
        <f t="array" ref="BC198">IFERROR(IF($BC$11="Yes",INDEX($AX$13:$AX$2950,SMALL(IF((County=$AY$13:$AY$2950),MATCH(ROW($AY$13:$AY$2950),ROW($AY$13:$AY$2950)),""),ROWS($A$13:$A198))),""),"")</f>
        <v/>
      </c>
      <c r="BE198" s="339">
        <v>33472</v>
      </c>
      <c r="BF198" s="338" t="s">
        <v>340</v>
      </c>
      <c r="BH198" s="338">
        <v>17.010000000000002</v>
      </c>
      <c r="BI198" s="338" t="s">
        <v>331</v>
      </c>
      <c r="BN198" s="340">
        <v>10</v>
      </c>
      <c r="BO198" s="340" t="s">
        <v>330</v>
      </c>
      <c r="BP198" s="1385"/>
      <c r="BQ198" s="1387">
        <v>33146</v>
      </c>
      <c r="BR198" s="236" t="s">
        <v>331</v>
      </c>
      <c r="BU198" s="858"/>
      <c r="BV198" s="338">
        <v>651.29999999999995</v>
      </c>
      <c r="BW198" s="338" t="s">
        <v>288</v>
      </c>
      <c r="BY198" s="236">
        <v>9503.02</v>
      </c>
      <c r="BZ198" s="236" t="s">
        <v>353</v>
      </c>
      <c r="CB198" s="340">
        <v>203.22</v>
      </c>
      <c r="CC198" s="340" t="s">
        <v>289</v>
      </c>
      <c r="CE198" s="341" t="str">
        <f t="array" ref="CE198">IFERROR(IF($CE$11="Metro",INDEX($BV$13:$BV$4972,SMALL(IF((County=$BW$13:$BW$4972),MATCH(ROW($BW$13:$BW$4972),ROW($BW$13:$BW$4972)),""),ROWS($A$13:$A198))),INDEX($BY$13:$BY$212,SMALL(IF((County=$BZ$13:$BZ$212),MATCH(ROW($BZ$13:$BZ$212),ROW($BZ$13:$BZ$212)),""),ROWS($A$13:$A198)))),"")</f>
        <v/>
      </c>
      <c r="CG198" s="341" t="str">
        <f t="array" ref="CG198">IFERROR(IF($CG$11="Yes",INDEX($CB$13:$CB$2950,SMALL(IF((County=$CC$13:$CC$2950),MATCH(ROW($CC$13:$CC$2950),ROW($CC$13:$CC$2950)),""),ROWS($A$13:$A198))),""),"")</f>
        <v/>
      </c>
      <c r="CI198" s="1387">
        <v>33418</v>
      </c>
      <c r="CJ198" s="338" t="s">
        <v>340</v>
      </c>
      <c r="CL198" s="236">
        <v>5</v>
      </c>
      <c r="CM198" s="236" t="s">
        <v>304</v>
      </c>
      <c r="CO198" s="236">
        <v>9727</v>
      </c>
      <c r="CP198" s="236" t="s">
        <v>333</v>
      </c>
      <c r="CR198" s="340">
        <v>10.01</v>
      </c>
      <c r="CS198" s="340" t="s">
        <v>328</v>
      </c>
      <c r="CT198" s="1384"/>
      <c r="CU198" s="341">
        <v>33156</v>
      </c>
      <c r="CV198" s="338" t="s">
        <v>2579</v>
      </c>
      <c r="CZ198" s="1795">
        <v>153</v>
      </c>
      <c r="DA198" s="338" t="s">
        <v>302</v>
      </c>
      <c r="DF198" s="340">
        <v>204.04</v>
      </c>
      <c r="DG198" s="340" t="s">
        <v>289</v>
      </c>
      <c r="DK198" s="341" t="str">
        <f t="array" ref="DK198">IFERROR(IF($DK$11="Yes",INDEX($DF$13:$DF$2838,SMALL(IF((County=$DG$13:$DG$2838),MATCH(ROW($DG$13:$DG$2838),ROW($DG$13:$DG$2838)),""),ROWS($A$13:$A198))),""),"")</f>
        <v/>
      </c>
      <c r="DM198" s="1387">
        <v>33410</v>
      </c>
      <c r="DN198" s="338" t="s">
        <v>340</v>
      </c>
      <c r="DP198" s="236">
        <v>19</v>
      </c>
      <c r="DQ198" s="236" t="s">
        <v>304</v>
      </c>
      <c r="DV198" s="340">
        <v>11.02</v>
      </c>
      <c r="DW198" s="340" t="s">
        <v>340</v>
      </c>
      <c r="DX198" s="1671"/>
      <c r="EB198" s="618"/>
      <c r="EC198" s="618"/>
      <c r="ED198" s="618"/>
      <c r="EE198" s="618"/>
      <c r="EF198" s="618"/>
      <c r="EG198" s="618"/>
      <c r="EH198" s="618"/>
      <c r="EI198" s="618"/>
      <c r="EJ198" s="618"/>
      <c r="EK198" s="618"/>
      <c r="EL198" s="618"/>
      <c r="EM198" s="618"/>
    </row>
    <row r="199" spans="1:143">
      <c r="A199" s="339">
        <v>33126</v>
      </c>
      <c r="B199" s="338" t="s">
        <v>2579</v>
      </c>
      <c r="E199" s="858"/>
      <c r="F199" s="338">
        <v>21</v>
      </c>
      <c r="G199" s="338" t="s">
        <v>304</v>
      </c>
      <c r="L199" s="2481">
        <v>204.04</v>
      </c>
      <c r="M199" s="340" t="s">
        <v>289</v>
      </c>
      <c r="N199" s="1390"/>
      <c r="O199" s="2479"/>
      <c r="P199" s="2282"/>
      <c r="T199" s="341" t="str">
        <f t="array" ref="T199">IFERROR(IF($T$11="Yes",INDEX($L$13:$L$2813,SMALL(IF((County=$M$13:$M$2813),MATCH(ROW($M$13:$M$2813),ROW($M$13:$M$2813)),""),ROWS($A$13:A199))),""),"")</f>
        <v/>
      </c>
      <c r="V199" s="2283" t="str">
        <f t="array" ref="V199">IFERROR(IF($T$11="Yes",INDEX($O$14:$O$2811,SMALL(IF((County=$P$14:$P$2811),MATCH(ROW($P$14:$P$2811),ROW($P$14:$P$2811)),""),ROWS($A$13:A199))),""),"")</f>
        <v/>
      </c>
      <c r="X199" s="339">
        <v>33322</v>
      </c>
      <c r="Y199" s="338" t="s">
        <v>289</v>
      </c>
      <c r="AA199" s="338">
        <v>20.05</v>
      </c>
      <c r="AB199" s="338" t="s">
        <v>324</v>
      </c>
      <c r="AG199" s="2297">
        <v>11.04</v>
      </c>
      <c r="AH199" s="2297" t="s">
        <v>331</v>
      </c>
      <c r="AI199" s="1390"/>
      <c r="AJ199" s="2282"/>
      <c r="AK199" s="2282"/>
      <c r="AL199" s="1037"/>
      <c r="AM199" s="339">
        <v>33187</v>
      </c>
      <c r="AN199" s="338" t="s">
        <v>331</v>
      </c>
      <c r="AQ199" s="858"/>
      <c r="AR199" s="338">
        <v>7.01</v>
      </c>
      <c r="AS199" s="338" t="s">
        <v>316</v>
      </c>
      <c r="AX199" s="340">
        <v>204.04</v>
      </c>
      <c r="AY199" s="340" t="s">
        <v>289</v>
      </c>
      <c r="BA199" s="341" t="str">
        <f t="array" ref="BA199">IFERROR(IF($BA$11="Metro",INDEX($AR$13:$AR$814,SMALL(IF((County=$AS$13:$AS$814),MATCH(ROW($AS$13:$AS$814),ROW($AS$13:$AS$814)),""),ROWS($A$13:$A199))),INDEX($AU$13:$AU$48,SMALL(IF((County=$AV$13:$AV$48),MATCH(ROW($AV$13:$AV$48),ROW($AV$13:$AV$48)),""),ROWS($A$13:$A199)))),"")</f>
        <v/>
      </c>
      <c r="BC199" s="341" t="str">
        <f t="array" ref="BC199">IFERROR(IF($BC$11="Yes",INDEX($AX$13:$AX$2950,SMALL(IF((County=$AY$13:$AY$2950),MATCH(ROW($AY$13:$AY$2950),ROW($AY$13:$AY$2950)),""),ROWS($A$13:$A199))),""),"")</f>
        <v/>
      </c>
      <c r="BE199" s="339">
        <v>33473</v>
      </c>
      <c r="BF199" s="338" t="s">
        <v>340</v>
      </c>
      <c r="BH199" s="338">
        <v>17.02</v>
      </c>
      <c r="BI199" s="338" t="s">
        <v>331</v>
      </c>
      <c r="BN199" s="340">
        <v>10.01</v>
      </c>
      <c r="BO199" s="340" t="s">
        <v>304</v>
      </c>
      <c r="BP199" s="1385"/>
      <c r="BQ199" s="1386">
        <v>33149</v>
      </c>
      <c r="BR199" s="338" t="s">
        <v>331</v>
      </c>
      <c r="BU199" s="858"/>
      <c r="BV199" s="338">
        <v>651.30999999999995</v>
      </c>
      <c r="BW199" s="338" t="s">
        <v>288</v>
      </c>
      <c r="BY199" s="236">
        <v>9504.01</v>
      </c>
      <c r="BZ199" s="236" t="s">
        <v>353</v>
      </c>
      <c r="CB199" s="340">
        <v>203.25</v>
      </c>
      <c r="CC199" s="340" t="s">
        <v>289</v>
      </c>
      <c r="CE199" s="341" t="str">
        <f t="array" ref="CE199">IFERROR(IF($CE$11="Metro",INDEX($BV$13:$BV$4972,SMALL(IF((County=$BW$13:$BW$4972),MATCH(ROW($BW$13:$BW$4972),ROW($BW$13:$BW$4972)),""),ROWS($A$13:$A199))),INDEX($BY$13:$BY$212,SMALL(IF((County=$BZ$13:$BZ$212),MATCH(ROW($BZ$13:$BZ$212),ROW($BZ$13:$BZ$212)),""),ROWS($A$13:$A199)))),"")</f>
        <v/>
      </c>
      <c r="CG199" s="341" t="str">
        <f t="array" ref="CG199">IFERROR(IF($CG$11="Yes",INDEX($CB$13:$CB$2950,SMALL(IF((County=$CC$13:$CC$2950),MATCH(ROW($CC$13:$CC$2950),ROW($CC$13:$CC$2950)),""),ROWS($A$13:$A199))),""),"")</f>
        <v/>
      </c>
      <c r="CI199" s="1387">
        <v>33426</v>
      </c>
      <c r="CJ199" s="338" t="s">
        <v>340</v>
      </c>
      <c r="CL199" s="236">
        <v>5</v>
      </c>
      <c r="CM199" s="236" t="s">
        <v>316</v>
      </c>
      <c r="CO199" s="236">
        <v>9728</v>
      </c>
      <c r="CP199" s="236" t="s">
        <v>333</v>
      </c>
      <c r="CR199" s="340">
        <v>10.02</v>
      </c>
      <c r="CS199" s="340" t="s">
        <v>304</v>
      </c>
      <c r="CT199" s="1384"/>
      <c r="CU199" s="341">
        <v>33158</v>
      </c>
      <c r="CV199" s="338" t="s">
        <v>2579</v>
      </c>
      <c r="CZ199" s="1795">
        <v>154</v>
      </c>
      <c r="DA199" s="338" t="s">
        <v>302</v>
      </c>
      <c r="DF199" s="340">
        <v>204.06</v>
      </c>
      <c r="DG199" s="340" t="s">
        <v>289</v>
      </c>
      <c r="DK199" s="341" t="str">
        <f t="array" ref="DK199">IFERROR(IF($DK$11="Yes",INDEX($DF$13:$DF$2838,SMALL(IF((County=$DG$13:$DG$2838),MATCH(ROW($DG$13:$DG$2838),ROW($DG$13:$DG$2838)),""),ROWS($A$13:$A199))),""),"")</f>
        <v/>
      </c>
      <c r="DM199" s="1387">
        <v>33411</v>
      </c>
      <c r="DN199" s="338" t="s">
        <v>340</v>
      </c>
      <c r="DP199" s="236">
        <v>19</v>
      </c>
      <c r="DQ199" s="236" t="s">
        <v>316</v>
      </c>
      <c r="DV199" s="340">
        <v>11.02</v>
      </c>
      <c r="DW199" s="340" t="s">
        <v>347</v>
      </c>
      <c r="DX199" s="1671"/>
      <c r="EB199" s="618"/>
      <c r="EC199" s="618"/>
      <c r="ED199" s="618"/>
      <c r="EE199" s="618"/>
      <c r="EF199" s="618"/>
      <c r="EG199" s="618"/>
      <c r="EH199" s="618"/>
      <c r="EI199" s="618"/>
      <c r="EJ199" s="618"/>
      <c r="EK199" s="618"/>
      <c r="EL199" s="618"/>
      <c r="EM199" s="618"/>
    </row>
    <row r="200" spans="1:143">
      <c r="A200" s="339">
        <v>33129</v>
      </c>
      <c r="B200" s="338" t="s">
        <v>2579</v>
      </c>
      <c r="E200" s="858"/>
      <c r="F200" s="338">
        <v>27.03</v>
      </c>
      <c r="G200" s="338" t="s">
        <v>304</v>
      </c>
      <c r="L200" s="2481">
        <v>204.06</v>
      </c>
      <c r="M200" s="340" t="s">
        <v>289</v>
      </c>
      <c r="N200" s="1390"/>
      <c r="O200" s="2479"/>
      <c r="P200" s="2282"/>
      <c r="T200" s="341" t="str">
        <f t="array" ref="T200">IFERROR(IF($T$11="Yes",INDEX($L$13:$L$2813,SMALL(IF((County=$M$13:$M$2813),MATCH(ROW($M$13:$M$2813),ROW($M$13:$M$2813)),""),ROWS($A$13:A200))),""),"")</f>
        <v/>
      </c>
      <c r="V200" s="2283" t="str">
        <f t="array" ref="V200">IFERROR(IF($T$11="Yes",INDEX($O$14:$O$2811,SMALL(IF((County=$P$14:$P$2811),MATCH(ROW($P$14:$P$2811),ROW($P$14:$P$2811)),""),ROWS($A$13:A200))),""),"")</f>
        <v/>
      </c>
      <c r="X200" s="339">
        <v>33323</v>
      </c>
      <c r="Y200" s="338" t="s">
        <v>289</v>
      </c>
      <c r="AA200" s="338">
        <v>20.05</v>
      </c>
      <c r="AB200" s="338" t="s">
        <v>340</v>
      </c>
      <c r="AG200" s="2297">
        <v>11.05</v>
      </c>
      <c r="AH200" s="2297" t="s">
        <v>328</v>
      </c>
      <c r="AI200" s="1390"/>
      <c r="AJ200" s="2282"/>
      <c r="AK200" s="2282"/>
      <c r="AL200" s="1037"/>
      <c r="AM200" s="339">
        <v>33190</v>
      </c>
      <c r="AN200" s="338" t="s">
        <v>331</v>
      </c>
      <c r="AQ200" s="858"/>
      <c r="AR200" s="338">
        <v>7.02</v>
      </c>
      <c r="AS200" s="338" t="s">
        <v>316</v>
      </c>
      <c r="AX200" s="340">
        <v>204.06</v>
      </c>
      <c r="AY200" s="340" t="s">
        <v>289</v>
      </c>
      <c r="BA200" s="341" t="str">
        <f t="array" ref="BA200">IFERROR(IF($BA$11="Metro",INDEX($AR$13:$AR$814,SMALL(IF((County=$AS$13:$AS$814),MATCH(ROW($AS$13:$AS$814),ROW($AS$13:$AS$814)),""),ROWS($A$13:$A200))),INDEX($AU$13:$AU$48,SMALL(IF((County=$AV$13:$AV$48),MATCH(ROW($AV$13:$AV$48),ROW($AV$13:$AV$48)),""),ROWS($A$13:$A200)))),"")</f>
        <v/>
      </c>
      <c r="BC200" s="341" t="str">
        <f t="array" ref="BC200">IFERROR(IF($BC$11="Yes",INDEX($AX$13:$AX$2950,SMALL(IF((County=$AY$13:$AY$2950),MATCH(ROW($AY$13:$AY$2950),ROW($AY$13:$AY$2950)),""),ROWS($A$13:$A200))),""),"")</f>
        <v/>
      </c>
      <c r="BE200" s="339">
        <v>33477</v>
      </c>
      <c r="BF200" s="338" t="s">
        <v>340</v>
      </c>
      <c r="BH200" s="338">
        <v>17.04</v>
      </c>
      <c r="BI200" s="338" t="s">
        <v>331</v>
      </c>
      <c r="BN200" s="340">
        <v>10.01</v>
      </c>
      <c r="BO200" s="340" t="s">
        <v>323</v>
      </c>
      <c r="BP200" s="1385"/>
      <c r="BQ200" s="1386">
        <v>33154</v>
      </c>
      <c r="BR200" s="338" t="s">
        <v>331</v>
      </c>
      <c r="BU200" s="858"/>
      <c r="BV200" s="338">
        <v>652.01</v>
      </c>
      <c r="BW200" s="338" t="s">
        <v>288</v>
      </c>
      <c r="BY200" s="236">
        <v>9504.02</v>
      </c>
      <c r="BZ200" s="236" t="s">
        <v>353</v>
      </c>
      <c r="CB200" s="340">
        <v>203.26</v>
      </c>
      <c r="CC200" s="340" t="s">
        <v>289</v>
      </c>
      <c r="CE200" s="341" t="str">
        <f t="array" ref="CE200">IFERROR(IF($CE$11="Metro",INDEX($BV$13:$BV$4972,SMALL(IF((County=$BW$13:$BW$4972),MATCH(ROW($BW$13:$BW$4972),ROW($BW$13:$BW$4972)),""),ROWS($A$13:$A200))),INDEX($BY$13:$BY$212,SMALL(IF((County=$BZ$13:$BZ$212),MATCH(ROW($BZ$13:$BZ$212),ROW($BZ$13:$BZ$212)),""),ROWS($A$13:$A200)))),"")</f>
        <v/>
      </c>
      <c r="CG200" s="341" t="str">
        <f t="array" ref="CG200">IFERROR(IF($CG$11="Yes",INDEX($CB$13:$CB$2950,SMALL(IF((County=$CC$13:$CC$2950),MATCH(ROW($CC$13:$CC$2950),ROW($CC$13:$CC$2950)),""),ROWS($A$13:$A200))),""),"")</f>
        <v/>
      </c>
      <c r="CI200" s="1387">
        <v>33428</v>
      </c>
      <c r="CJ200" s="338" t="s">
        <v>340</v>
      </c>
      <c r="CL200" s="236">
        <v>5.01</v>
      </c>
      <c r="CM200" s="236" t="s">
        <v>324</v>
      </c>
      <c r="CO200" s="236">
        <v>9800</v>
      </c>
      <c r="CP200" s="236" t="s">
        <v>326</v>
      </c>
      <c r="CR200" s="340">
        <v>10.029999999999999</v>
      </c>
      <c r="CS200" s="340" t="s">
        <v>340</v>
      </c>
      <c r="CT200" s="1384"/>
      <c r="CU200" s="341">
        <v>33160</v>
      </c>
      <c r="CV200" s="338" t="s">
        <v>2579</v>
      </c>
      <c r="CZ200" s="1795">
        <v>155.02000000000001</v>
      </c>
      <c r="DA200" s="338" t="s">
        <v>302</v>
      </c>
      <c r="DF200" s="340">
        <v>204.15</v>
      </c>
      <c r="DG200" s="340" t="s">
        <v>289</v>
      </c>
      <c r="DK200" s="341" t="str">
        <f t="array" ref="DK200">IFERROR(IF($DK$11="Yes",INDEX($DF$13:$DF$2838,SMALL(IF((County=$DG$13:$DG$2838),MATCH(ROW($DG$13:$DG$2838),ROW($DG$13:$DG$2838)),""),ROWS($A$13:$A200))),""),"")</f>
        <v/>
      </c>
      <c r="DM200" s="1387">
        <v>33412</v>
      </c>
      <c r="DN200" s="338" t="s">
        <v>340</v>
      </c>
      <c r="DP200" s="236">
        <v>19.010000000000002</v>
      </c>
      <c r="DQ200" s="236" t="s">
        <v>324</v>
      </c>
      <c r="DV200" s="340">
        <v>11.03</v>
      </c>
      <c r="DW200" s="340" t="s">
        <v>304</v>
      </c>
      <c r="DX200" s="1671"/>
      <c r="EB200" s="618"/>
      <c r="EC200" s="618"/>
      <c r="ED200" s="618"/>
      <c r="EE200" s="618"/>
      <c r="EF200" s="618"/>
      <c r="EG200" s="618"/>
      <c r="EH200" s="618"/>
      <c r="EI200" s="618"/>
      <c r="EJ200" s="618"/>
      <c r="EK200" s="618"/>
      <c r="EL200" s="618"/>
      <c r="EM200" s="618"/>
    </row>
    <row r="201" spans="1:143">
      <c r="A201" s="339">
        <v>33130</v>
      </c>
      <c r="B201" s="338" t="s">
        <v>2579</v>
      </c>
      <c r="E201" s="858"/>
      <c r="F201" s="338">
        <v>28.03</v>
      </c>
      <c r="G201" s="338" t="s">
        <v>304</v>
      </c>
      <c r="L201" s="2481">
        <v>204.07</v>
      </c>
      <c r="M201" s="340" t="s">
        <v>289</v>
      </c>
      <c r="N201" s="1390"/>
      <c r="O201" s="2479"/>
      <c r="P201" s="2282"/>
      <c r="T201" s="341" t="str">
        <f t="array" ref="T201">IFERROR(IF($T$11="Yes",INDEX($L$13:$L$2813,SMALL(IF((County=$M$13:$M$2813),MATCH(ROW($M$13:$M$2813),ROW($M$13:$M$2813)),""),ROWS($A$13:A201))),""),"")</f>
        <v/>
      </c>
      <c r="V201" s="2283" t="str">
        <f t="array" ref="V201">IFERROR(IF($T$11="Yes",INDEX($O$14:$O$2811,SMALL(IF((County=$P$14:$P$2811),MATCH(ROW($P$14:$P$2811),ROW($P$14:$P$2811)),""),ROWS($A$13:A201))),""),"")</f>
        <v/>
      </c>
      <c r="X201" s="339">
        <v>33324</v>
      </c>
      <c r="Y201" s="338" t="s">
        <v>289</v>
      </c>
      <c r="AA201" s="338">
        <v>20.059999999999999</v>
      </c>
      <c r="AB201" s="338" t="s">
        <v>324</v>
      </c>
      <c r="AG201" s="2297">
        <v>11.05</v>
      </c>
      <c r="AH201" s="2297" t="s">
        <v>329</v>
      </c>
      <c r="AI201" s="1390"/>
      <c r="AJ201" s="2282"/>
      <c r="AK201" s="2282"/>
      <c r="AL201" s="1037"/>
      <c r="AM201" s="339">
        <v>33193</v>
      </c>
      <c r="AN201" s="338" t="s">
        <v>331</v>
      </c>
      <c r="AQ201" s="858"/>
      <c r="AR201" s="338">
        <v>8</v>
      </c>
      <c r="AS201" s="338" t="s">
        <v>316</v>
      </c>
      <c r="AX201" s="340">
        <v>204.18</v>
      </c>
      <c r="AY201" s="340" t="s">
        <v>289</v>
      </c>
      <c r="BA201" s="341" t="str">
        <f t="array" ref="BA201">IFERROR(IF($BA$11="Metro",INDEX($AR$13:$AR$814,SMALL(IF((County=$AS$13:$AS$814),MATCH(ROW($AS$13:$AS$814),ROW($AS$13:$AS$814)),""),ROWS($A$13:$A201))),INDEX($AU$13:$AU$48,SMALL(IF((County=$AV$13:$AV$48),MATCH(ROW($AV$13:$AV$48),ROW($AV$13:$AV$48)),""),ROWS($A$13:$A201)))),"")</f>
        <v/>
      </c>
      <c r="BC201" s="341" t="str">
        <f t="array" ref="BC201">IFERROR(IF($BC$11="Yes",INDEX($AX$13:$AX$2950,SMALL(IF((County=$AY$13:$AY$2950),MATCH(ROW($AY$13:$AY$2950),ROW($AY$13:$AY$2950)),""),ROWS($A$13:$A201))),""),"")</f>
        <v/>
      </c>
      <c r="BE201" s="339">
        <v>33478</v>
      </c>
      <c r="BF201" s="338" t="s">
        <v>340</v>
      </c>
      <c r="BH201" s="338">
        <v>17.05</v>
      </c>
      <c r="BI201" s="338" t="s">
        <v>331</v>
      </c>
      <c r="BN201" s="340">
        <v>10.01</v>
      </c>
      <c r="BO201" s="340" t="s">
        <v>328</v>
      </c>
      <c r="BP201" s="1385"/>
      <c r="BQ201" s="1386">
        <v>33155</v>
      </c>
      <c r="BR201" s="338" t="s">
        <v>331</v>
      </c>
      <c r="BU201" s="858"/>
      <c r="BV201" s="338">
        <v>652.02</v>
      </c>
      <c r="BW201" s="338" t="s">
        <v>288</v>
      </c>
      <c r="BY201" s="236">
        <v>9900</v>
      </c>
      <c r="BZ201" s="236" t="s">
        <v>353</v>
      </c>
      <c r="CB201" s="340">
        <v>204.04</v>
      </c>
      <c r="CC201" s="340" t="s">
        <v>289</v>
      </c>
      <c r="CE201" s="341" t="str">
        <f t="array" ref="CE201">IFERROR(IF($CE$11="Metro",INDEX($BV$13:$BV$4972,SMALL(IF((County=$BW$13:$BW$4972),MATCH(ROW($BW$13:$BW$4972),ROW($BW$13:$BW$4972)),""),ROWS($A$13:$A201))),INDEX($BY$13:$BY$212,SMALL(IF((County=$BZ$13:$BZ$212),MATCH(ROW($BZ$13:$BZ$212),ROW($BZ$13:$BZ$212)),""),ROWS($A$13:$A201)))),"")</f>
        <v/>
      </c>
      <c r="CG201" s="341" t="str">
        <f t="array" ref="CG201">IFERROR(IF($CG$11="Yes",INDEX($CB$13:$CB$2950,SMALL(IF((County=$CC$13:$CC$2950),MATCH(ROW($CC$13:$CC$2950),ROW($CC$13:$CC$2950)),""),ROWS($A$13:$A201))),""),"")</f>
        <v/>
      </c>
      <c r="CI201" s="1387">
        <v>33431</v>
      </c>
      <c r="CJ201" s="338" t="s">
        <v>340</v>
      </c>
      <c r="CL201" s="236">
        <v>5.01</v>
      </c>
      <c r="CM201" s="236" t="s">
        <v>328</v>
      </c>
      <c r="CO201" s="236">
        <v>9800</v>
      </c>
      <c r="CP201" s="236" t="s">
        <v>333</v>
      </c>
      <c r="CR201" s="340">
        <v>10.050000000000001</v>
      </c>
      <c r="CS201" s="340" t="s">
        <v>329</v>
      </c>
      <c r="CT201" s="1384"/>
      <c r="CU201" s="341">
        <v>33165</v>
      </c>
      <c r="CV201" s="338" t="s">
        <v>2579</v>
      </c>
      <c r="CZ201" s="1795">
        <v>158.05000000000001</v>
      </c>
      <c r="DA201" s="338" t="s">
        <v>302</v>
      </c>
      <c r="DF201" s="340">
        <v>204.18</v>
      </c>
      <c r="DG201" s="340" t="s">
        <v>289</v>
      </c>
      <c r="DK201" s="341" t="str">
        <f t="array" ref="DK201">IFERROR(IF($DK$11="Yes",INDEX($DF$13:$DF$2838,SMALL(IF((County=$DG$13:$DG$2838),MATCH(ROW($DG$13:$DG$2838),ROW($DG$13:$DG$2838)),""),ROWS($A$13:$A201))),""),"")</f>
        <v/>
      </c>
      <c r="DM201" s="1387">
        <v>33413</v>
      </c>
      <c r="DN201" s="338" t="s">
        <v>340</v>
      </c>
      <c r="DP201" s="236">
        <v>19.010000000000002</v>
      </c>
      <c r="DQ201" s="236" t="s">
        <v>331</v>
      </c>
      <c r="DV201" s="340">
        <v>11.03</v>
      </c>
      <c r="DW201" s="340" t="s">
        <v>329</v>
      </c>
      <c r="DX201" s="1671"/>
      <c r="EB201" s="618"/>
      <c r="EC201" s="618"/>
      <c r="ED201" s="618"/>
      <c r="EE201" s="618"/>
      <c r="EF201" s="618"/>
      <c r="EG201" s="618"/>
      <c r="EH201" s="618"/>
      <c r="EI201" s="618"/>
      <c r="EJ201" s="618"/>
      <c r="EK201" s="618"/>
      <c r="EL201" s="618"/>
      <c r="EM201" s="618"/>
    </row>
    <row r="202" spans="1:143">
      <c r="A202" s="339">
        <v>33131</v>
      </c>
      <c r="B202" s="338" t="s">
        <v>2579</v>
      </c>
      <c r="E202" s="858"/>
      <c r="F202" s="338">
        <v>29</v>
      </c>
      <c r="G202" s="338" t="s">
        <v>304</v>
      </c>
      <c r="L202" s="2481">
        <v>204.15</v>
      </c>
      <c r="M202" s="340" t="s">
        <v>289</v>
      </c>
      <c r="N202" s="1390"/>
      <c r="O202" s="2479"/>
      <c r="P202" s="2282"/>
      <c r="T202" s="341" t="str">
        <f t="array" ref="T202">IFERROR(IF($T$11="Yes",INDEX($L$13:$L$2813,SMALL(IF((County=$M$13:$M$2813),MATCH(ROW($M$13:$M$2813),ROW($M$13:$M$2813)),""),ROWS($A$13:A202))),""),"")</f>
        <v/>
      </c>
      <c r="V202" s="2283" t="str">
        <f t="array" ref="V202">IFERROR(IF($T$11="Yes",INDEX($O$14:$O$2811,SMALL(IF((County=$P$14:$P$2811),MATCH(ROW($P$14:$P$2811),ROW($P$14:$P$2811)),""),ROWS($A$13:A202))),""),"")</f>
        <v/>
      </c>
      <c r="X202" s="339">
        <v>33325</v>
      </c>
      <c r="Y202" s="338" t="s">
        <v>289</v>
      </c>
      <c r="AA202" s="338">
        <v>20.07</v>
      </c>
      <c r="AB202" s="338" t="s">
        <v>324</v>
      </c>
      <c r="AG202" s="2297">
        <v>11.06</v>
      </c>
      <c r="AH202" s="2297" t="s">
        <v>330</v>
      </c>
      <c r="AI202" s="1390"/>
      <c r="AJ202" s="2282"/>
      <c r="AK202" s="2282"/>
      <c r="AL202" s="1037"/>
      <c r="AM202" s="339">
        <v>33194</v>
      </c>
      <c r="AN202" s="338" t="s">
        <v>331</v>
      </c>
      <c r="AQ202" s="858"/>
      <c r="AR202" s="338">
        <v>9.01</v>
      </c>
      <c r="AS202" s="338" t="s">
        <v>316</v>
      </c>
      <c r="AX202" s="340">
        <v>204.19</v>
      </c>
      <c r="AY202" s="340" t="s">
        <v>289</v>
      </c>
      <c r="BA202" s="341" t="str">
        <f t="array" ref="BA202">IFERROR(IF($BA$11="Metro",INDEX($AR$13:$AR$814,SMALL(IF((County=$AS$13:$AS$814),MATCH(ROW($AS$13:$AS$814),ROW($AS$13:$AS$814)),""),ROWS($A$13:$A202))),INDEX($AU$13:$AU$48,SMALL(IF((County=$AV$13:$AV$48),MATCH(ROW($AV$13:$AV$48),ROW($AV$13:$AV$48)),""),ROWS($A$13:$A202)))),"")</f>
        <v/>
      </c>
      <c r="BC202" s="341" t="str">
        <f t="array" ref="BC202">IFERROR(IF($BC$11="Yes",INDEX($AX$13:$AX$2950,SMALL(IF((County=$AY$13:$AY$2950),MATCH(ROW($AY$13:$AY$2950),ROW($AY$13:$AY$2950)),""),ROWS($A$13:$A202))),""),"")</f>
        <v/>
      </c>
      <c r="BE202" s="339">
        <v>33480</v>
      </c>
      <c r="BF202" s="338" t="s">
        <v>340</v>
      </c>
      <c r="BH202" s="338">
        <v>18</v>
      </c>
      <c r="BI202" s="338" t="s">
        <v>285</v>
      </c>
      <c r="BN202" s="340">
        <v>10.02</v>
      </c>
      <c r="BO202" s="340" t="s">
        <v>304</v>
      </c>
      <c r="BP202" s="1385"/>
      <c r="BQ202" s="1386">
        <v>33156</v>
      </c>
      <c r="BR202" s="338" t="s">
        <v>331</v>
      </c>
      <c r="BU202" s="858"/>
      <c r="BV202" s="338">
        <v>652.30999999999995</v>
      </c>
      <c r="BW202" s="338" t="s">
        <v>288</v>
      </c>
      <c r="BY202" s="236">
        <v>9601</v>
      </c>
      <c r="BZ202" s="236" t="s">
        <v>354</v>
      </c>
      <c r="CB202" s="340">
        <v>204.06</v>
      </c>
      <c r="CC202" s="340" t="s">
        <v>289</v>
      </c>
      <c r="CE202" s="341" t="str">
        <f t="array" ref="CE202">IFERROR(IF($CE$11="Metro",INDEX($BV$13:$BV$4972,SMALL(IF((County=$BW$13:$BW$4972),MATCH(ROW($BW$13:$BW$4972),ROW($BW$13:$BW$4972)),""),ROWS($A$13:$A202))),INDEX($BY$13:$BY$212,SMALL(IF((County=$BZ$13:$BZ$212),MATCH(ROW($BZ$13:$BZ$212),ROW($BZ$13:$BZ$212)),""),ROWS($A$13:$A202)))),"")</f>
        <v/>
      </c>
      <c r="CG202" s="341" t="str">
        <f t="array" ref="CG202">IFERROR(IF($CG$11="Yes",INDEX($CB$13:$CB$2950,SMALL(IF((County=$CC$13:$CC$2950),MATCH(ROW($CC$13:$CC$2950),ROW($CC$13:$CC$2950)),""),ROWS($A$13:$A202))),""),"")</f>
        <v/>
      </c>
      <c r="CI202" s="1387">
        <v>33432</v>
      </c>
      <c r="CJ202" s="338" t="s">
        <v>340</v>
      </c>
      <c r="CL202" s="236">
        <v>5.01</v>
      </c>
      <c r="CM202" s="236" t="s">
        <v>329</v>
      </c>
      <c r="CO202" s="236">
        <v>9800</v>
      </c>
      <c r="CP202" s="236" t="s">
        <v>345</v>
      </c>
      <c r="CR202" s="340">
        <v>10.07</v>
      </c>
      <c r="CS202" s="340" t="s">
        <v>329</v>
      </c>
      <c r="CT202" s="1384"/>
      <c r="CU202" s="341">
        <v>33166</v>
      </c>
      <c r="CV202" s="338" t="s">
        <v>2579</v>
      </c>
      <c r="CZ202" s="1795">
        <v>161.02000000000001</v>
      </c>
      <c r="DA202" s="338" t="s">
        <v>302</v>
      </c>
      <c r="DF202" s="340">
        <v>204.19</v>
      </c>
      <c r="DG202" s="340" t="s">
        <v>289</v>
      </c>
      <c r="DK202" s="341" t="str">
        <f t="array" ref="DK202">IFERROR(IF($DK$11="Yes",INDEX($DF$13:$DF$2838,SMALL(IF((County=$DG$13:$DG$2838),MATCH(ROW($DG$13:$DG$2838),ROW($DG$13:$DG$2838)),""),ROWS($A$13:$A202))),""),"")</f>
        <v/>
      </c>
      <c r="DM202" s="1387">
        <v>33414</v>
      </c>
      <c r="DN202" s="338" t="s">
        <v>340</v>
      </c>
      <c r="DP202" s="236">
        <v>19.02</v>
      </c>
      <c r="DQ202" s="236" t="s">
        <v>276</v>
      </c>
      <c r="DV202" s="340">
        <v>11.03</v>
      </c>
      <c r="DW202" s="340" t="s">
        <v>330</v>
      </c>
      <c r="DX202" s="1671"/>
      <c r="EB202" s="618"/>
      <c r="EC202" s="618"/>
      <c r="ED202" s="618"/>
      <c r="EE202" s="618"/>
      <c r="EF202" s="618"/>
      <c r="EG202" s="618"/>
      <c r="EH202" s="618"/>
      <c r="EI202" s="618"/>
      <c r="EJ202" s="618"/>
      <c r="EK202" s="618"/>
      <c r="EL202" s="618"/>
      <c r="EM202" s="618"/>
    </row>
    <row r="203" spans="1:143">
      <c r="A203" s="339">
        <v>33132</v>
      </c>
      <c r="B203" s="338" t="s">
        <v>2579</v>
      </c>
      <c r="E203" s="858"/>
      <c r="F203" s="338">
        <v>30.01</v>
      </c>
      <c r="G203" s="338" t="s">
        <v>304</v>
      </c>
      <c r="L203" s="2481">
        <v>204.18</v>
      </c>
      <c r="M203" s="340" t="s">
        <v>289</v>
      </c>
      <c r="N203" s="1390"/>
      <c r="O203" s="2479"/>
      <c r="P203" s="2282"/>
      <c r="T203" s="341" t="str">
        <f t="array" ref="T203">IFERROR(IF($T$11="Yes",INDEX($L$13:$L$2813,SMALL(IF((County=$M$13:$M$2813),MATCH(ROW($M$13:$M$2813),ROW($M$13:$M$2813)),""),ROWS($A$13:A203))),""),"")</f>
        <v/>
      </c>
      <c r="V203" s="2283" t="str">
        <f t="array" ref="V203">IFERROR(IF($T$11="Yes",INDEX($O$14:$O$2811,SMALL(IF((County=$P$14:$P$2811),MATCH(ROW($P$14:$P$2811),ROW($P$14:$P$2811)),""),ROWS($A$13:A203))),""),"")</f>
        <v/>
      </c>
      <c r="X203" s="339">
        <v>33326</v>
      </c>
      <c r="Y203" s="338" t="s">
        <v>289</v>
      </c>
      <c r="AA203" s="338">
        <v>20.079999999999998</v>
      </c>
      <c r="AB203" s="338" t="s">
        <v>324</v>
      </c>
      <c r="AG203" s="2297">
        <v>11.07</v>
      </c>
      <c r="AH203" s="2297" t="s">
        <v>328</v>
      </c>
      <c r="AI203" s="1390"/>
      <c r="AJ203" s="2282"/>
      <c r="AK203" s="2282"/>
      <c r="AL203" s="1037"/>
      <c r="AM203" s="339">
        <v>33196</v>
      </c>
      <c r="AN203" s="338" t="s">
        <v>331</v>
      </c>
      <c r="AQ203" s="858"/>
      <c r="AR203" s="338">
        <v>9.02</v>
      </c>
      <c r="AS203" s="338" t="s">
        <v>316</v>
      </c>
      <c r="AX203" s="340">
        <v>301</v>
      </c>
      <c r="AY203" s="340" t="s">
        <v>289</v>
      </c>
      <c r="BA203" s="341" t="str">
        <f t="array" ref="BA203">IFERROR(IF($BA$11="Metro",INDEX($AR$13:$AR$814,SMALL(IF((County=$AS$13:$AS$814),MATCH(ROW($AS$13:$AS$814),ROW($AS$13:$AS$814)),""),ROWS($A$13:$A203))),INDEX($AU$13:$AU$48,SMALL(IF((County=$AV$13:$AV$48),MATCH(ROW($AV$13:$AV$48),ROW($AV$13:$AV$48)),""),ROWS($A$13:$A203)))),"")</f>
        <v/>
      </c>
      <c r="BC203" s="341" t="str">
        <f t="array" ref="BC203">IFERROR(IF($BC$11="Yes",INDEX($AX$13:$AX$2950,SMALL(IF((County=$AY$13:$AY$2950),MATCH(ROW($AY$13:$AY$2950),ROW($AY$13:$AY$2950)),""),ROWS($A$13:$A203))),""),"")</f>
        <v/>
      </c>
      <c r="BE203" s="339">
        <v>33483</v>
      </c>
      <c r="BF203" s="338" t="s">
        <v>340</v>
      </c>
      <c r="BH203" s="338">
        <v>18</v>
      </c>
      <c r="BI203" s="338" t="s">
        <v>304</v>
      </c>
      <c r="BN203" s="340">
        <v>10.029999999999999</v>
      </c>
      <c r="BO203" s="340" t="s">
        <v>340</v>
      </c>
      <c r="BP203" s="1385"/>
      <c r="BQ203" s="1386">
        <v>33158</v>
      </c>
      <c r="BR203" s="338" t="s">
        <v>331</v>
      </c>
      <c r="BU203" s="858"/>
      <c r="BV203" s="338">
        <v>652.36</v>
      </c>
      <c r="BW203" s="338" t="s">
        <v>288</v>
      </c>
      <c r="BY203" s="236">
        <v>9602.01</v>
      </c>
      <c r="BZ203" s="236" t="s">
        <v>354</v>
      </c>
      <c r="CB203" s="340">
        <v>204.15</v>
      </c>
      <c r="CC203" s="340" t="s">
        <v>289</v>
      </c>
      <c r="CE203" s="341" t="str">
        <f t="array" ref="CE203">IFERROR(IF($CE$11="Metro",INDEX($BV$13:$BV$4972,SMALL(IF((County=$BW$13:$BW$4972),MATCH(ROW($BW$13:$BW$4972),ROW($BW$13:$BW$4972)),""),ROWS($A$13:$A203))),INDEX($BY$13:$BY$212,SMALL(IF((County=$BZ$13:$BZ$212),MATCH(ROW($BZ$13:$BZ$212),ROW($BZ$13:$BZ$212)),""),ROWS($A$13:$A203)))),"")</f>
        <v/>
      </c>
      <c r="CG203" s="341" t="str">
        <f t="array" ref="CG203">IFERROR(IF($CG$11="Yes",INDEX($CB$13:$CB$2950,SMALL(IF((County=$CC$13:$CC$2950),MATCH(ROW($CC$13:$CC$2950),ROW($CC$13:$CC$2950)),""),ROWS($A$13:$A203))),""),"")</f>
        <v/>
      </c>
      <c r="CI203" s="1387">
        <v>33433</v>
      </c>
      <c r="CJ203" s="338" t="s">
        <v>340</v>
      </c>
      <c r="CL203" s="236">
        <v>5.01</v>
      </c>
      <c r="CM203" s="236" t="s">
        <v>330</v>
      </c>
      <c r="CO203" s="236">
        <v>9801</v>
      </c>
      <c r="CP203" s="236" t="s">
        <v>333</v>
      </c>
      <c r="CR203" s="340">
        <v>10.08</v>
      </c>
      <c r="CS203" s="340" t="s">
        <v>329</v>
      </c>
      <c r="CT203" s="1384"/>
      <c r="CU203" s="341">
        <v>33168</v>
      </c>
      <c r="CV203" s="338" t="s">
        <v>2579</v>
      </c>
      <c r="CZ203" s="1795">
        <v>162</v>
      </c>
      <c r="DA203" s="338" t="s">
        <v>302</v>
      </c>
      <c r="DF203" s="340">
        <v>204.2</v>
      </c>
      <c r="DG203" s="340" t="s">
        <v>289</v>
      </c>
      <c r="DK203" s="341" t="str">
        <f t="array" ref="DK203">IFERROR(IF($DK$11="Yes",INDEX($DF$13:$DF$2838,SMALL(IF((County=$DG$13:$DG$2838),MATCH(ROW($DG$13:$DG$2838),ROW($DG$13:$DG$2838)),""),ROWS($A$13:$A203))),""),"")</f>
        <v/>
      </c>
      <c r="DM203" s="1387">
        <v>33417</v>
      </c>
      <c r="DN203" s="338" t="s">
        <v>340</v>
      </c>
      <c r="DP203" s="236">
        <v>19.02</v>
      </c>
      <c r="DQ203" s="236" t="s">
        <v>324</v>
      </c>
      <c r="DV203" s="340">
        <v>11.03</v>
      </c>
      <c r="DW203" s="340" t="s">
        <v>331</v>
      </c>
      <c r="DX203" s="1671"/>
      <c r="EB203" s="618"/>
      <c r="EC203" s="618"/>
      <c r="ED203" s="618"/>
      <c r="EE203" s="618"/>
      <c r="EF203" s="618"/>
      <c r="EG203" s="618"/>
      <c r="EH203" s="618"/>
      <c r="EI203" s="618"/>
      <c r="EJ203" s="618"/>
      <c r="EK203" s="618"/>
      <c r="EL203" s="618"/>
      <c r="EM203" s="618"/>
    </row>
    <row r="204" spans="1:143">
      <c r="A204" s="339">
        <v>33133</v>
      </c>
      <c r="B204" s="338" t="s">
        <v>2579</v>
      </c>
      <c r="E204" s="858"/>
      <c r="F204" s="338">
        <v>31</v>
      </c>
      <c r="G204" s="338" t="s">
        <v>304</v>
      </c>
      <c r="L204" s="2481">
        <v>204.19</v>
      </c>
      <c r="M204" s="340" t="s">
        <v>289</v>
      </c>
      <c r="N204" s="1390"/>
      <c r="O204" s="2479"/>
      <c r="P204" s="2282"/>
      <c r="T204" s="341" t="str">
        <f t="array" ref="T204">IFERROR(IF($T$11="Yes",INDEX($L$13:$L$2813,SMALL(IF((County=$M$13:$M$2813),MATCH(ROW($M$13:$M$2813),ROW($M$13:$M$2813)),""),ROWS($A$13:A204))),""),"")</f>
        <v/>
      </c>
      <c r="V204" s="2283" t="str">
        <f t="array" ref="V204">IFERROR(IF($T$11="Yes",INDEX($O$14:$O$2811,SMALL(IF((County=$P$14:$P$2811),MATCH(ROW($P$14:$P$2811),ROW($P$14:$P$2811)),""),ROWS($A$13:A204))),""),"")</f>
        <v/>
      </c>
      <c r="X204" s="339">
        <v>33327</v>
      </c>
      <c r="Y204" s="338" t="s">
        <v>289</v>
      </c>
      <c r="AA204" s="338">
        <v>21</v>
      </c>
      <c r="AB204" s="338" t="s">
        <v>304</v>
      </c>
      <c r="AG204" s="2297">
        <v>11.07</v>
      </c>
      <c r="AH204" s="2297" t="s">
        <v>330</v>
      </c>
      <c r="AI204" s="1390"/>
      <c r="AJ204" s="2282"/>
      <c r="AK204" s="2282"/>
      <c r="AL204" s="1037"/>
      <c r="AM204" s="339">
        <v>32541</v>
      </c>
      <c r="AN204" s="338" t="s">
        <v>336</v>
      </c>
      <c r="AQ204" s="858"/>
      <c r="AR204" s="338">
        <v>10.01</v>
      </c>
      <c r="AS204" s="338" t="s">
        <v>316</v>
      </c>
      <c r="AX204" s="340">
        <v>307.02</v>
      </c>
      <c r="AY204" s="340" t="s">
        <v>289</v>
      </c>
      <c r="BA204" s="341" t="str">
        <f t="array" ref="BA204">IFERROR(IF($BA$11="Metro",INDEX($AR$13:$AR$814,SMALL(IF((County=$AS$13:$AS$814),MATCH(ROW($AS$13:$AS$814),ROW($AS$13:$AS$814)),""),ROWS($A$13:$A204))),INDEX($AU$13:$AU$48,SMALL(IF((County=$AV$13:$AV$48),MATCH(ROW($AV$13:$AV$48),ROW($AV$13:$AV$48)),""),ROWS($A$13:$A204)))),"")</f>
        <v/>
      </c>
      <c r="BC204" s="341" t="str">
        <f t="array" ref="BC204">IFERROR(IF($BC$11="Yes",INDEX($AX$13:$AX$2950,SMALL(IF((County=$AY$13:$AY$2950),MATCH(ROW($AY$13:$AY$2950),ROW($AY$13:$AY$2950)),""),ROWS($A$13:$A204))),""),"")</f>
        <v/>
      </c>
      <c r="BE204" s="339">
        <v>33484</v>
      </c>
      <c r="BF204" s="338" t="s">
        <v>340</v>
      </c>
      <c r="BH204" s="338">
        <v>18</v>
      </c>
      <c r="BI204" s="338" t="s">
        <v>316</v>
      </c>
      <c r="BN204" s="340">
        <v>10.050000000000001</v>
      </c>
      <c r="BO204" s="340" t="s">
        <v>329</v>
      </c>
      <c r="BP204" s="1385"/>
      <c r="BQ204" s="1386">
        <v>33160</v>
      </c>
      <c r="BR204" s="338" t="s">
        <v>331</v>
      </c>
      <c r="BU204" s="858"/>
      <c r="BV204" s="338">
        <v>652.37</v>
      </c>
      <c r="BW204" s="338" t="s">
        <v>288</v>
      </c>
      <c r="BY204" s="236">
        <v>9602.02</v>
      </c>
      <c r="BZ204" s="236" t="s">
        <v>354</v>
      </c>
      <c r="CB204" s="340">
        <v>204.18</v>
      </c>
      <c r="CC204" s="340" t="s">
        <v>289</v>
      </c>
      <c r="CE204" s="341" t="str">
        <f t="array" ref="CE204">IFERROR(IF($CE$11="Metro",INDEX($BV$13:$BV$4972,SMALL(IF((County=$BW$13:$BW$4972),MATCH(ROW($BW$13:$BW$4972),ROW($BW$13:$BW$4972)),""),ROWS($A$13:$A204))),INDEX($BY$13:$BY$212,SMALL(IF((County=$BZ$13:$BZ$212),MATCH(ROW($BZ$13:$BZ$212),ROW($BZ$13:$BZ$212)),""),ROWS($A$13:$A204)))),"")</f>
        <v/>
      </c>
      <c r="CG204" s="341" t="str">
        <f t="array" ref="CG204">IFERROR(IF($CG$11="Yes",INDEX($CB$13:$CB$2950,SMALL(IF((County=$CC$13:$CC$2950),MATCH(ROW($CC$13:$CC$2950),ROW($CC$13:$CC$2950)),""),ROWS($A$13:$A204))),""),"")</f>
        <v/>
      </c>
      <c r="CI204" s="1387">
        <v>33435</v>
      </c>
      <c r="CJ204" s="338" t="s">
        <v>340</v>
      </c>
      <c r="CL204" s="236">
        <v>5.01</v>
      </c>
      <c r="CM204" s="236" t="s">
        <v>347</v>
      </c>
      <c r="CO204" s="236">
        <v>9900</v>
      </c>
      <c r="CP204" s="236" t="s">
        <v>301</v>
      </c>
      <c r="CR204" s="340">
        <v>10.09</v>
      </c>
      <c r="CS204" s="340" t="s">
        <v>329</v>
      </c>
      <c r="CT204" s="1384"/>
      <c r="CU204" s="341">
        <v>33172</v>
      </c>
      <c r="CV204" s="338" t="s">
        <v>2579</v>
      </c>
      <c r="CZ204" s="1795">
        <v>163</v>
      </c>
      <c r="DA204" s="338" t="s">
        <v>302</v>
      </c>
      <c r="DF204" s="340">
        <v>301</v>
      </c>
      <c r="DG204" s="340" t="s">
        <v>289</v>
      </c>
      <c r="DK204" s="341" t="str">
        <f t="array" ref="DK204">IFERROR(IF($DK$11="Yes",INDEX($DF$13:$DF$2838,SMALL(IF((County=$DG$13:$DG$2838),MATCH(ROW($DG$13:$DG$2838),ROW($DG$13:$DG$2838)),""),ROWS($A$13:$A204))),""),"")</f>
        <v/>
      </c>
      <c r="DM204" s="1387">
        <v>33418</v>
      </c>
      <c r="DN204" s="338" t="s">
        <v>340</v>
      </c>
      <c r="DP204" s="236">
        <v>19.03</v>
      </c>
      <c r="DQ204" s="236" t="s">
        <v>331</v>
      </c>
      <c r="DV204" s="340">
        <v>11.04</v>
      </c>
      <c r="DW204" s="340" t="s">
        <v>304</v>
      </c>
      <c r="DX204" s="1671"/>
      <c r="EB204" s="618"/>
      <c r="EC204" s="618"/>
      <c r="ED204" s="618"/>
      <c r="EE204" s="618"/>
      <c r="EF204" s="618"/>
      <c r="EG204" s="618"/>
      <c r="EH204" s="618"/>
      <c r="EI204" s="618"/>
      <c r="EJ204" s="618"/>
      <c r="EK204" s="618"/>
      <c r="EL204" s="618"/>
      <c r="EM204" s="618"/>
    </row>
    <row r="205" spans="1:143">
      <c r="A205" s="339">
        <v>33134</v>
      </c>
      <c r="B205" s="338" t="s">
        <v>2579</v>
      </c>
      <c r="E205" s="858"/>
      <c r="F205" s="338">
        <v>36.07</v>
      </c>
      <c r="G205" s="338" t="s">
        <v>304</v>
      </c>
      <c r="L205" s="2481">
        <v>301</v>
      </c>
      <c r="M205" s="340" t="s">
        <v>289</v>
      </c>
      <c r="N205" s="1390"/>
      <c r="O205" s="2479"/>
      <c r="P205" s="2282"/>
      <c r="T205" s="341" t="str">
        <f t="array" ref="T205">IFERROR(IF($T$11="Yes",INDEX($L$13:$L$2813,SMALL(IF((County=$M$13:$M$2813),MATCH(ROW($M$13:$M$2813),ROW($M$13:$M$2813)),""),ROWS($A$13:A205))),""),"")</f>
        <v/>
      </c>
      <c r="V205" s="2283" t="str">
        <f t="array" ref="V205">IFERROR(IF($T$11="Yes",INDEX($O$14:$O$2811,SMALL(IF((County=$P$14:$P$2811),MATCH(ROW($P$14:$P$2811),ROW($P$14:$P$2811)),""),ROWS($A$13:A205))),""),"")</f>
        <v/>
      </c>
      <c r="X205" s="339">
        <v>33328</v>
      </c>
      <c r="Y205" s="338" t="s">
        <v>289</v>
      </c>
      <c r="AA205" s="338">
        <v>21</v>
      </c>
      <c r="AB205" s="338" t="s">
        <v>340</v>
      </c>
      <c r="AG205" s="2297">
        <v>11.08</v>
      </c>
      <c r="AH205" s="2297" t="s">
        <v>330</v>
      </c>
      <c r="AI205" s="1390"/>
      <c r="AJ205" s="2282"/>
      <c r="AK205" s="2282"/>
      <c r="AL205" s="1037"/>
      <c r="AM205" s="339">
        <v>32542</v>
      </c>
      <c r="AN205" s="338" t="s">
        <v>336</v>
      </c>
      <c r="AQ205" s="858"/>
      <c r="AR205" s="338">
        <v>10.02</v>
      </c>
      <c r="AS205" s="338" t="s">
        <v>316</v>
      </c>
      <c r="AX205" s="340">
        <v>307.04000000000002</v>
      </c>
      <c r="AY205" s="340" t="s">
        <v>289</v>
      </c>
      <c r="BA205" s="341" t="str">
        <f t="array" ref="BA205">IFERROR(IF($BA$11="Metro",INDEX($AR$13:$AR$814,SMALL(IF((County=$AS$13:$AS$814),MATCH(ROW($AS$13:$AS$814),ROW($AS$13:$AS$814)),""),ROWS($A$13:$A205))),INDEX($AU$13:$AU$48,SMALL(IF((County=$AV$13:$AV$48),MATCH(ROW($AV$13:$AV$48),ROW($AV$13:$AV$48)),""),ROWS($A$13:$A205)))),"")</f>
        <v/>
      </c>
      <c r="BC205" s="341" t="str">
        <f t="array" ref="BC205">IFERROR(IF($BC$11="Yes",INDEX($AX$13:$AX$2950,SMALL(IF((County=$AY$13:$AY$2950),MATCH(ROW($AY$13:$AY$2950),ROW($AY$13:$AY$2950)),""),ROWS($A$13:$A205))),""),"")</f>
        <v/>
      </c>
      <c r="BE205" s="339">
        <v>33486</v>
      </c>
      <c r="BF205" s="338" t="s">
        <v>340</v>
      </c>
      <c r="BH205" s="338">
        <v>18</v>
      </c>
      <c r="BI205" s="338" t="s">
        <v>329</v>
      </c>
      <c r="BN205" s="340">
        <v>10.07</v>
      </c>
      <c r="BO205" s="340" t="s">
        <v>329</v>
      </c>
      <c r="BP205" s="1385"/>
      <c r="BQ205" s="1386">
        <v>33165</v>
      </c>
      <c r="BR205" s="338" t="s">
        <v>331</v>
      </c>
      <c r="BU205" s="858"/>
      <c r="BV205" s="338">
        <v>652.38</v>
      </c>
      <c r="BW205" s="338" t="s">
        <v>288</v>
      </c>
      <c r="BY205" s="236">
        <v>9603</v>
      </c>
      <c r="BZ205" s="236" t="s">
        <v>354</v>
      </c>
      <c r="CB205" s="340">
        <v>204.19</v>
      </c>
      <c r="CC205" s="340" t="s">
        <v>289</v>
      </c>
      <c r="CE205" s="341" t="str">
        <f t="array" ref="CE205">IFERROR(IF($CE$11="Metro",INDEX($BV$13:$BV$4972,SMALL(IF((County=$BW$13:$BW$4972),MATCH(ROW($BW$13:$BW$4972),ROW($BW$13:$BW$4972)),""),ROWS($A$13:$A205))),INDEX($BY$13:$BY$212,SMALL(IF((County=$BZ$13:$BZ$212),MATCH(ROW($BZ$13:$BZ$212),ROW($BZ$13:$BZ$212)),""),ROWS($A$13:$A205)))),"")</f>
        <v/>
      </c>
      <c r="CG205" s="341" t="str">
        <f t="array" ref="CG205">IFERROR(IF($CG$11="Yes",INDEX($CB$13:$CB$2950,SMALL(IF((County=$CC$13:$CC$2950),MATCH(ROW($CC$13:$CC$2950),ROW($CC$13:$CC$2950)),""),ROWS($A$13:$A205))),""),"")</f>
        <v/>
      </c>
      <c r="CI205" s="1387">
        <v>33436</v>
      </c>
      <c r="CJ205" s="338" t="s">
        <v>340</v>
      </c>
      <c r="CL205" s="236">
        <v>5.0199999999999996</v>
      </c>
      <c r="CM205" s="236" t="s">
        <v>323</v>
      </c>
      <c r="CO205" s="236">
        <v>9900</v>
      </c>
      <c r="CP205" s="236" t="s">
        <v>306</v>
      </c>
      <c r="CR205" s="340">
        <v>10.11</v>
      </c>
      <c r="CS205" s="340" t="s">
        <v>329</v>
      </c>
      <c r="CT205" s="1384"/>
      <c r="CU205" s="341">
        <v>33173</v>
      </c>
      <c r="CV205" s="338" t="s">
        <v>2579</v>
      </c>
      <c r="CZ205" s="1795">
        <v>166.06</v>
      </c>
      <c r="DA205" s="338" t="s">
        <v>302</v>
      </c>
      <c r="DF205" s="340">
        <v>309.02</v>
      </c>
      <c r="DG205" s="340" t="s">
        <v>289</v>
      </c>
      <c r="DK205" s="341" t="str">
        <f t="array" ref="DK205">IFERROR(IF($DK$11="Yes",INDEX($DF$13:$DF$2838,SMALL(IF((County=$DG$13:$DG$2838),MATCH(ROW($DG$13:$DG$2838),ROW($DG$13:$DG$2838)),""),ROWS($A$13:$A205))),""),"")</f>
        <v/>
      </c>
      <c r="DM205" s="1387">
        <v>33426</v>
      </c>
      <c r="DN205" s="338" t="s">
        <v>340</v>
      </c>
      <c r="DP205" s="236">
        <v>19.04</v>
      </c>
      <c r="DQ205" s="236" t="s">
        <v>331</v>
      </c>
      <c r="DV205" s="340">
        <v>11.04</v>
      </c>
      <c r="DW205" s="340" t="s">
        <v>328</v>
      </c>
      <c r="DX205" s="1671"/>
      <c r="EB205" s="618"/>
      <c r="EC205" s="618"/>
      <c r="ED205" s="618"/>
      <c r="EE205" s="618"/>
      <c r="EF205" s="618"/>
      <c r="EG205" s="618"/>
      <c r="EH205" s="618"/>
      <c r="EI205" s="618"/>
      <c r="EJ205" s="618"/>
      <c r="EK205" s="618"/>
      <c r="EL205" s="618"/>
      <c r="EM205" s="618"/>
    </row>
    <row r="206" spans="1:143">
      <c r="A206" s="339">
        <v>33137</v>
      </c>
      <c r="B206" s="338" t="s">
        <v>2579</v>
      </c>
      <c r="E206" s="858"/>
      <c r="F206" s="338">
        <v>40</v>
      </c>
      <c r="G206" s="338" t="s">
        <v>304</v>
      </c>
      <c r="L206" s="2481">
        <v>307.04000000000002</v>
      </c>
      <c r="M206" s="340" t="s">
        <v>289</v>
      </c>
      <c r="N206" s="1390"/>
      <c r="O206" s="2479"/>
      <c r="P206" s="2282"/>
      <c r="T206" s="341" t="str">
        <f t="array" ref="T206">IFERROR(IF($T$11="Yes",INDEX($L$13:$L$2813,SMALL(IF((County=$M$13:$M$2813),MATCH(ROW($M$13:$M$2813),ROW($M$13:$M$2813)),""),ROWS($A$13:A206))),""),"")</f>
        <v/>
      </c>
      <c r="V206" s="2283" t="str">
        <f t="array" ref="V206">IFERROR(IF($T$11="Yes",INDEX($O$14:$O$2811,SMALL(IF((County=$P$14:$P$2811),MATCH(ROW($P$14:$P$2811),ROW($P$14:$P$2811)),""),ROWS($A$13:A206))),""),"")</f>
        <v/>
      </c>
      <c r="X206" s="339">
        <v>33330</v>
      </c>
      <c r="Y206" s="338" t="s">
        <v>289</v>
      </c>
      <c r="AA206" s="338">
        <v>21.03</v>
      </c>
      <c r="AB206" s="338" t="s">
        <v>324</v>
      </c>
      <c r="AG206" s="2297">
        <v>12</v>
      </c>
      <c r="AH206" s="2297" t="s">
        <v>302</v>
      </c>
      <c r="AI206" s="1390"/>
      <c r="AJ206" s="2282"/>
      <c r="AK206" s="2282"/>
      <c r="AL206" s="1037"/>
      <c r="AM206" s="339">
        <v>32544</v>
      </c>
      <c r="AN206" s="338" t="s">
        <v>336</v>
      </c>
      <c r="AQ206" s="858"/>
      <c r="AR206" s="338">
        <v>12</v>
      </c>
      <c r="AS206" s="338" t="s">
        <v>316</v>
      </c>
      <c r="AX206" s="340">
        <v>309.02</v>
      </c>
      <c r="AY206" s="340" t="s">
        <v>289</v>
      </c>
      <c r="BA206" s="341" t="str">
        <f t="array" ref="BA206">IFERROR(IF($BA$11="Metro",INDEX($AR$13:$AR$814,SMALL(IF((County=$AS$13:$AS$814),MATCH(ROW($AS$13:$AS$814),ROW($AS$13:$AS$814)),""),ROWS($A$13:$A206))),INDEX($AU$13:$AU$48,SMALL(IF((County=$AV$13:$AV$48),MATCH(ROW($AV$13:$AV$48),ROW($AV$13:$AV$48)),""),ROWS($A$13:$A206)))),"")</f>
        <v/>
      </c>
      <c r="BC206" s="341" t="str">
        <f t="array" ref="BC206">IFERROR(IF($BC$11="Yes",INDEX($AX$13:$AX$2950,SMALL(IF((County=$AY$13:$AY$2950),MATCH(ROW($AY$13:$AY$2950),ROW($AY$13:$AY$2950)),""),ROWS($A$13:$A206))),""),"")</f>
        <v/>
      </c>
      <c r="BE206" s="339">
        <v>33487</v>
      </c>
      <c r="BF206" s="338" t="s">
        <v>340</v>
      </c>
      <c r="BH206" s="338">
        <v>18.010000000000002</v>
      </c>
      <c r="BI206" s="338" t="s">
        <v>324</v>
      </c>
      <c r="BN206" s="340">
        <v>10.08</v>
      </c>
      <c r="BO206" s="340" t="s">
        <v>329</v>
      </c>
      <c r="BP206" s="1385"/>
      <c r="BQ206" s="1386">
        <v>33166</v>
      </c>
      <c r="BR206" s="338" t="s">
        <v>331</v>
      </c>
      <c r="BU206" s="858"/>
      <c r="BV206" s="338">
        <v>652.39</v>
      </c>
      <c r="BW206" s="338" t="s">
        <v>288</v>
      </c>
      <c r="BY206" s="236">
        <v>9701.02</v>
      </c>
      <c r="BZ206" s="236" t="s">
        <v>358</v>
      </c>
      <c r="CB206" s="340">
        <v>204.2</v>
      </c>
      <c r="CC206" s="340" t="s">
        <v>289</v>
      </c>
      <c r="CE206" s="341" t="str">
        <f t="array" ref="CE206">IFERROR(IF($CE$11="Metro",INDEX($BV$13:$BV$4972,SMALL(IF((County=$BW$13:$BW$4972),MATCH(ROW($BW$13:$BW$4972),ROW($BW$13:$BW$4972)),""),ROWS($A$13:$A206))),INDEX($BY$13:$BY$212,SMALL(IF((County=$BZ$13:$BZ$212),MATCH(ROW($BZ$13:$BZ$212),ROW($BZ$13:$BZ$212)),""),ROWS($A$13:$A206)))),"")</f>
        <v/>
      </c>
      <c r="CG206" s="341" t="str">
        <f t="array" ref="CG206">IFERROR(IF($CG$11="Yes",INDEX($CB$13:$CB$2950,SMALL(IF((County=$CC$13:$CC$2950),MATCH(ROW($CC$13:$CC$2950),ROW($CC$13:$CC$2950)),""),ROWS($A$13:$A206))),""),"")</f>
        <v/>
      </c>
      <c r="CI206" s="1387">
        <v>33437</v>
      </c>
      <c r="CJ206" s="338" t="s">
        <v>340</v>
      </c>
      <c r="CL206" s="236">
        <v>5.0199999999999996</v>
      </c>
      <c r="CM206" s="236" t="s">
        <v>324</v>
      </c>
      <c r="CO206" s="236">
        <v>9900</v>
      </c>
      <c r="CP206" s="236" t="s">
        <v>309</v>
      </c>
      <c r="CR206" s="340">
        <v>10.119999999999999</v>
      </c>
      <c r="CS206" s="340" t="s">
        <v>329</v>
      </c>
      <c r="CT206" s="1384"/>
      <c r="CU206" s="341">
        <v>33174</v>
      </c>
      <c r="CV206" s="338" t="s">
        <v>2579</v>
      </c>
      <c r="CZ206" s="1795">
        <v>167.27</v>
      </c>
      <c r="DA206" s="338" t="s">
        <v>302</v>
      </c>
      <c r="DF206" s="340">
        <v>309.02999999999997</v>
      </c>
      <c r="DG206" s="340" t="s">
        <v>289</v>
      </c>
      <c r="DK206" s="341" t="str">
        <f t="array" ref="DK206">IFERROR(IF($DK$11="Yes",INDEX($DF$13:$DF$2838,SMALL(IF((County=$DG$13:$DG$2838),MATCH(ROW($DG$13:$DG$2838),ROW($DG$13:$DG$2838)),""),ROWS($A$13:$A206))),""),"")</f>
        <v/>
      </c>
      <c r="DM206" s="1387">
        <v>33428</v>
      </c>
      <c r="DN206" s="338" t="s">
        <v>340</v>
      </c>
      <c r="DP206" s="236">
        <v>19.100000000000001</v>
      </c>
      <c r="DQ206" s="236" t="s">
        <v>340</v>
      </c>
      <c r="DV206" s="340">
        <v>11.04</v>
      </c>
      <c r="DW206" s="340" t="s">
        <v>331</v>
      </c>
      <c r="DX206" s="1671"/>
      <c r="EB206" s="618"/>
      <c r="EC206" s="618"/>
      <c r="ED206" s="618"/>
      <c r="EE206" s="618"/>
      <c r="EF206" s="618"/>
      <c r="EG206" s="618"/>
      <c r="EH206" s="618"/>
      <c r="EI206" s="618"/>
      <c r="EJ206" s="618"/>
      <c r="EK206" s="618"/>
      <c r="EL206" s="618"/>
      <c r="EM206" s="618"/>
    </row>
    <row r="207" spans="1:143">
      <c r="A207" s="339">
        <v>33139</v>
      </c>
      <c r="B207" s="338" t="s">
        <v>2579</v>
      </c>
      <c r="E207" s="858"/>
      <c r="F207" s="338">
        <v>203</v>
      </c>
      <c r="G207" s="338" t="s">
        <v>307</v>
      </c>
      <c r="L207" s="2481">
        <v>309.02</v>
      </c>
      <c r="M207" s="340" t="s">
        <v>289</v>
      </c>
      <c r="N207" s="1390"/>
      <c r="O207" s="2479"/>
      <c r="P207" s="2282"/>
      <c r="T207" s="341" t="str">
        <f t="array" ref="T207">IFERROR(IF($T$11="Yes",INDEX($L$13:$L$2813,SMALL(IF((County=$M$13:$M$2813),MATCH(ROW($M$13:$M$2813),ROW($M$13:$M$2813)),""),ROWS($A$13:A207))),""),"")</f>
        <v/>
      </c>
      <c r="V207" s="2283" t="str">
        <f t="array" ref="V207">IFERROR(IF($T$11="Yes",INDEX($O$14:$O$2811,SMALL(IF((County=$P$14:$P$2811),MATCH(ROW($P$14:$P$2811),ROW($P$14:$P$2811)),""),ROWS($A$13:A207))),""),"")</f>
        <v/>
      </c>
      <c r="X207" s="339">
        <v>33331</v>
      </c>
      <c r="Y207" s="338" t="s">
        <v>289</v>
      </c>
      <c r="AA207" s="338">
        <v>21.05</v>
      </c>
      <c r="AB207" s="338" t="s">
        <v>324</v>
      </c>
      <c r="AG207" s="2297">
        <v>12.01</v>
      </c>
      <c r="AH207" s="2297" t="s">
        <v>276</v>
      </c>
      <c r="AI207" s="1390"/>
      <c r="AJ207" s="2282"/>
      <c r="AK207" s="2282"/>
      <c r="AL207" s="1037"/>
      <c r="AM207" s="339">
        <v>32712</v>
      </c>
      <c r="AN207" s="338" t="s">
        <v>338</v>
      </c>
      <c r="AQ207" s="858"/>
      <c r="AR207" s="338">
        <v>14</v>
      </c>
      <c r="AS207" s="338" t="s">
        <v>316</v>
      </c>
      <c r="AX207" s="340">
        <v>309.04000000000002</v>
      </c>
      <c r="AY207" s="340" t="s">
        <v>289</v>
      </c>
      <c r="BA207" s="341" t="str">
        <f t="array" ref="BA207">IFERROR(IF($BA$11="Metro",INDEX($AR$13:$AR$814,SMALL(IF((County=$AS$13:$AS$814),MATCH(ROW($AS$13:$AS$814),ROW($AS$13:$AS$814)),""),ROWS($A$13:$A207))),INDEX($AU$13:$AU$48,SMALL(IF((County=$AV$13:$AV$48),MATCH(ROW($AV$13:$AV$48),ROW($AV$13:$AV$48)),""),ROWS($A$13:$A207)))),"")</f>
        <v/>
      </c>
      <c r="BC207" s="341" t="str">
        <f t="array" ref="BC207">IFERROR(IF($BC$11="Yes",INDEX($AX$13:$AX$2950,SMALL(IF((County=$AY$13:$AY$2950),MATCH(ROW($AY$13:$AY$2950),ROW($AY$13:$AY$2950)),""),ROWS($A$13:$A207))),""),"")</f>
        <v/>
      </c>
      <c r="BE207" s="339">
        <v>33496</v>
      </c>
      <c r="BF207" s="338" t="s">
        <v>340</v>
      </c>
      <c r="BH207" s="338">
        <v>18.010000000000002</v>
      </c>
      <c r="BI207" s="338" t="s">
        <v>331</v>
      </c>
      <c r="BN207" s="340">
        <v>10.09</v>
      </c>
      <c r="BO207" s="340" t="s">
        <v>329</v>
      </c>
      <c r="BP207" s="1385"/>
      <c r="BQ207" s="1386">
        <v>33172</v>
      </c>
      <c r="BR207" s="338" t="s">
        <v>331</v>
      </c>
      <c r="BU207" s="858"/>
      <c r="BV207" s="338">
        <v>652.4</v>
      </c>
      <c r="BW207" s="338" t="s">
        <v>288</v>
      </c>
      <c r="BY207" s="236">
        <v>9701.0300000000007</v>
      </c>
      <c r="BZ207" s="236" t="s">
        <v>358</v>
      </c>
      <c r="CB207" s="340">
        <v>204.21</v>
      </c>
      <c r="CC207" s="340" t="s">
        <v>289</v>
      </c>
      <c r="CE207" s="341" t="str">
        <f t="array" ref="CE207">IFERROR(IF($CE$11="Metro",INDEX($BV$13:$BV$4972,SMALL(IF((County=$BW$13:$BW$4972),MATCH(ROW($BW$13:$BW$4972),ROW($BW$13:$BW$4972)),""),ROWS($A$13:$A207))),INDEX($BY$13:$BY$212,SMALL(IF((County=$BZ$13:$BZ$212),MATCH(ROW($BZ$13:$BZ$212),ROW($BZ$13:$BZ$212)),""),ROWS($A$13:$A207)))),"")</f>
        <v/>
      </c>
      <c r="CG207" s="341" t="str">
        <f t="array" ref="CG207">IFERROR(IF($CG$11="Yes",INDEX($CB$13:$CB$2950,SMALL(IF((County=$CC$13:$CC$2950),MATCH(ROW($CC$13:$CC$2950),ROW($CC$13:$CC$2950)),""),ROWS($A$13:$A207))),""),"")</f>
        <v/>
      </c>
      <c r="CI207" s="1387">
        <v>33441</v>
      </c>
      <c r="CJ207" s="338" t="s">
        <v>289</v>
      </c>
      <c r="CL207" s="236">
        <v>5.0199999999999996</v>
      </c>
      <c r="CM207" s="236" t="s">
        <v>329</v>
      </c>
      <c r="CO207" s="236">
        <v>9900</v>
      </c>
      <c r="CP207" s="236" t="s">
        <v>310</v>
      </c>
      <c r="CR207" s="340">
        <v>11</v>
      </c>
      <c r="CS207" s="340" t="s">
        <v>276</v>
      </c>
      <c r="CT207" s="1384"/>
      <c r="CU207" s="341">
        <v>33175</v>
      </c>
      <c r="CV207" s="338" t="s">
        <v>2579</v>
      </c>
      <c r="CZ207" s="1795">
        <v>172</v>
      </c>
      <c r="DA207" s="338" t="s">
        <v>302</v>
      </c>
      <c r="DF207" s="340">
        <v>309.04000000000002</v>
      </c>
      <c r="DG207" s="340" t="s">
        <v>289</v>
      </c>
      <c r="DK207" s="341" t="str">
        <f t="array" ref="DK207">IFERROR(IF($DK$11="Yes",INDEX($DF$13:$DF$2838,SMALL(IF((County=$DG$13:$DG$2838),MATCH(ROW($DG$13:$DG$2838),ROW($DG$13:$DG$2838)),""),ROWS($A$13:$A207))),""),"")</f>
        <v/>
      </c>
      <c r="DM207" s="1387">
        <v>33431</v>
      </c>
      <c r="DN207" s="338" t="s">
        <v>340</v>
      </c>
      <c r="DP207" s="236">
        <v>19.11</v>
      </c>
      <c r="DQ207" s="236" t="s">
        <v>340</v>
      </c>
      <c r="DV207" s="340">
        <v>11.07</v>
      </c>
      <c r="DW207" s="340" t="s">
        <v>328</v>
      </c>
      <c r="DX207" s="1671"/>
      <c r="EB207" s="618"/>
      <c r="EC207" s="618"/>
      <c r="ED207" s="618"/>
      <c r="EE207" s="618"/>
      <c r="EF207" s="618"/>
      <c r="EG207" s="618"/>
      <c r="EH207" s="618"/>
      <c r="EI207" s="618"/>
      <c r="EJ207" s="618"/>
      <c r="EK207" s="618"/>
      <c r="EL207" s="618"/>
      <c r="EM207" s="618"/>
    </row>
    <row r="208" spans="1:143">
      <c r="A208" s="339">
        <v>33140</v>
      </c>
      <c r="B208" s="338" t="s">
        <v>2579</v>
      </c>
      <c r="E208" s="858"/>
      <c r="F208" s="338">
        <v>204</v>
      </c>
      <c r="G208" s="338" t="s">
        <v>307</v>
      </c>
      <c r="L208" s="2481">
        <v>309.02999999999997</v>
      </c>
      <c r="M208" s="340" t="s">
        <v>289</v>
      </c>
      <c r="N208" s="1390"/>
      <c r="O208" s="2479"/>
      <c r="P208" s="2282"/>
      <c r="T208" s="341" t="str">
        <f t="array" ref="T208">IFERROR(IF($T$11="Yes",INDEX($L$13:$L$2813,SMALL(IF((County=$M$13:$M$2813),MATCH(ROW($M$13:$M$2813),ROW($M$13:$M$2813)),""),ROWS($A$13:A208))),""),"")</f>
        <v/>
      </c>
      <c r="V208" s="2283" t="str">
        <f t="array" ref="V208">IFERROR(IF($T$11="Yes",INDEX($O$14:$O$2811,SMALL(IF((County=$P$14:$P$2811),MATCH(ROW($P$14:$P$2811),ROW($P$14:$P$2811)),""),ROWS($A$13:A208))),""),"")</f>
        <v/>
      </c>
      <c r="X208" s="339">
        <v>33332</v>
      </c>
      <c r="Y208" s="338" t="s">
        <v>289</v>
      </c>
      <c r="AA208" s="338">
        <v>21.06</v>
      </c>
      <c r="AB208" s="338" t="s">
        <v>324</v>
      </c>
      <c r="AG208" s="2297">
        <v>12.01</v>
      </c>
      <c r="AH208" s="2297" t="s">
        <v>304</v>
      </c>
      <c r="AI208" s="1390"/>
      <c r="AJ208" s="2282"/>
      <c r="AK208" s="2282"/>
      <c r="AL208" s="1037"/>
      <c r="AM208" s="339">
        <v>32751</v>
      </c>
      <c r="AN208" s="338" t="s">
        <v>338</v>
      </c>
      <c r="AQ208" s="858"/>
      <c r="AR208" s="338">
        <v>18</v>
      </c>
      <c r="AS208" s="338" t="s">
        <v>316</v>
      </c>
      <c r="AX208" s="340">
        <v>311.01</v>
      </c>
      <c r="AY208" s="340" t="s">
        <v>289</v>
      </c>
      <c r="BA208" s="341" t="str">
        <f t="array" ref="BA208">IFERROR(IF($BA$11="Metro",INDEX($AR$13:$AR$814,SMALL(IF((County=$AS$13:$AS$814),MATCH(ROW($AS$13:$AS$814),ROW($AS$13:$AS$814)),""),ROWS($A$13:$A208))),INDEX($AU$13:$AU$48,SMALL(IF((County=$AV$13:$AV$48),MATCH(ROW($AV$13:$AV$48),ROW($AV$13:$AV$48)),""),ROWS($A$13:$A208)))),"")</f>
        <v/>
      </c>
      <c r="BC208" s="341" t="str">
        <f t="array" ref="BC208">IFERROR(IF($BC$11="Yes",INDEX($AX$13:$AX$2950,SMALL(IF((County=$AY$13:$AY$2950),MATCH(ROW($AY$13:$AY$2950),ROW($AY$13:$AY$2950)),""),ROWS($A$13:$A208))),""),"")</f>
        <v/>
      </c>
      <c r="BE208" s="339">
        <v>33498</v>
      </c>
      <c r="BF208" s="338" t="s">
        <v>340</v>
      </c>
      <c r="BH208" s="338">
        <v>18.02</v>
      </c>
      <c r="BI208" s="338" t="s">
        <v>276</v>
      </c>
      <c r="BN208" s="340">
        <v>10.11</v>
      </c>
      <c r="BO208" s="340" t="s">
        <v>329</v>
      </c>
      <c r="BP208" s="1385"/>
      <c r="BQ208" s="1386">
        <v>33173</v>
      </c>
      <c r="BR208" s="338" t="s">
        <v>331</v>
      </c>
      <c r="BU208" s="858"/>
      <c r="BV208" s="338">
        <v>661.01</v>
      </c>
      <c r="BW208" s="338" t="s">
        <v>288</v>
      </c>
      <c r="BY208" s="236">
        <v>9701.0400000000009</v>
      </c>
      <c r="BZ208" s="236" t="s">
        <v>358</v>
      </c>
      <c r="CB208" s="340">
        <v>301</v>
      </c>
      <c r="CC208" s="340" t="s">
        <v>289</v>
      </c>
      <c r="CE208" s="341" t="str">
        <f t="array" ref="CE208">IFERROR(IF($CE$11="Metro",INDEX($BV$13:$BV$4972,SMALL(IF((County=$BW$13:$BW$4972),MATCH(ROW($BW$13:$BW$4972),ROW($BW$13:$BW$4972)),""),ROWS($A$13:$A208))),INDEX($BY$13:$BY$212,SMALL(IF((County=$BZ$13:$BZ$212),MATCH(ROW($BZ$13:$BZ$212),ROW($BZ$13:$BZ$212)),""),ROWS($A$13:$A208)))),"")</f>
        <v/>
      </c>
      <c r="CG208" s="341" t="str">
        <f t="array" ref="CG208">IFERROR(IF($CG$11="Yes",INDEX($CB$13:$CB$2950,SMALL(IF((County=$CC$13:$CC$2950),MATCH(ROW($CC$13:$CC$2950),ROW($CC$13:$CC$2950)),""),ROWS($A$13:$A208))),""),"")</f>
        <v/>
      </c>
      <c r="CI208" s="1387">
        <v>33442</v>
      </c>
      <c r="CJ208" s="338" t="s">
        <v>289</v>
      </c>
      <c r="CL208" s="236">
        <v>5.0199999999999996</v>
      </c>
      <c r="CM208" s="236" t="s">
        <v>330</v>
      </c>
      <c r="CO208" s="236">
        <v>9900</v>
      </c>
      <c r="CP208" s="236" t="s">
        <v>313</v>
      </c>
      <c r="CR208" s="340">
        <v>11</v>
      </c>
      <c r="CS208" s="340" t="s">
        <v>302</v>
      </c>
      <c r="CT208" s="1384"/>
      <c r="CU208" s="341">
        <v>33176</v>
      </c>
      <c r="CV208" s="338" t="s">
        <v>2579</v>
      </c>
      <c r="CZ208" s="1795">
        <v>174</v>
      </c>
      <c r="DA208" s="338" t="s">
        <v>302</v>
      </c>
      <c r="DF208" s="340">
        <v>311.01</v>
      </c>
      <c r="DG208" s="340" t="s">
        <v>289</v>
      </c>
      <c r="DK208" s="341" t="str">
        <f t="array" ref="DK208">IFERROR(IF($DK$11="Yes",INDEX($DF$13:$DF$2838,SMALL(IF((County=$DG$13:$DG$2838),MATCH(ROW($DG$13:$DG$2838),ROW($DG$13:$DG$2838)),""),ROWS($A$13:$A208))),""),"")</f>
        <v/>
      </c>
      <c r="DM208" s="1387">
        <v>33432</v>
      </c>
      <c r="DN208" s="338" t="s">
        <v>340</v>
      </c>
      <c r="DP208" s="236">
        <v>19.12</v>
      </c>
      <c r="DQ208" s="236" t="s">
        <v>340</v>
      </c>
      <c r="DV208" s="340">
        <v>11.08</v>
      </c>
      <c r="DW208" s="340" t="s">
        <v>330</v>
      </c>
      <c r="DX208" s="1671"/>
      <c r="EB208" s="618"/>
      <c r="EC208" s="618"/>
      <c r="ED208" s="618"/>
      <c r="EE208" s="618"/>
      <c r="EF208" s="618"/>
      <c r="EG208" s="618"/>
      <c r="EH208" s="618"/>
      <c r="EI208" s="618"/>
      <c r="EJ208" s="618"/>
      <c r="EK208" s="618"/>
      <c r="EL208" s="618"/>
      <c r="EM208" s="618"/>
    </row>
    <row r="209" spans="1:143">
      <c r="A209" s="339">
        <v>33141</v>
      </c>
      <c r="B209" s="338" t="s">
        <v>2579</v>
      </c>
      <c r="E209" s="858"/>
      <c r="F209" s="338">
        <v>207.01</v>
      </c>
      <c r="G209" s="338" t="s">
        <v>307</v>
      </c>
      <c r="L209" s="2481">
        <v>309.04000000000002</v>
      </c>
      <c r="M209" s="340" t="s">
        <v>289</v>
      </c>
      <c r="N209" s="1390"/>
      <c r="O209" s="2479"/>
      <c r="P209" s="2282"/>
      <c r="T209" s="341" t="str">
        <f t="array" ref="T209">IFERROR(IF($T$11="Yes",INDEX($L$13:$L$2813,SMALL(IF((County=$M$13:$M$2813),MATCH(ROW($M$13:$M$2813),ROW($M$13:$M$2813)),""),ROWS($A$13:A209))),""),"")</f>
        <v/>
      </c>
      <c r="V209" s="2283" t="str">
        <f t="array" ref="V209">IFERROR(IF($T$11="Yes",INDEX($O$14:$O$2811,SMALL(IF((County=$P$14:$P$2811),MATCH(ROW($P$14:$P$2811),ROW($P$14:$P$2811)),""),ROWS($A$13:A209))),""),"")</f>
        <v/>
      </c>
      <c r="X209" s="339">
        <v>33334</v>
      </c>
      <c r="Y209" s="338" t="s">
        <v>289</v>
      </c>
      <c r="AA209" s="338">
        <v>22</v>
      </c>
      <c r="AB209" s="338" t="s">
        <v>285</v>
      </c>
      <c r="AG209" s="2297">
        <v>12.02</v>
      </c>
      <c r="AH209" s="2297" t="s">
        <v>276</v>
      </c>
      <c r="AI209" s="1390"/>
      <c r="AJ209" s="2282"/>
      <c r="AK209" s="2282"/>
      <c r="AL209" s="1037"/>
      <c r="AM209" s="339">
        <v>32789</v>
      </c>
      <c r="AN209" s="338" t="s">
        <v>338</v>
      </c>
      <c r="AQ209" s="858"/>
      <c r="AR209" s="338">
        <v>19</v>
      </c>
      <c r="AS209" s="338" t="s">
        <v>316</v>
      </c>
      <c r="AX209" s="340">
        <v>311.02</v>
      </c>
      <c r="AY209" s="340" t="s">
        <v>289</v>
      </c>
      <c r="BA209" s="341" t="str">
        <f t="array" ref="BA209">IFERROR(IF($BA$11="Metro",INDEX($AR$13:$AR$814,SMALL(IF((County=$AS$13:$AS$814),MATCH(ROW($AS$13:$AS$814),ROW($AS$13:$AS$814)),""),ROWS($A$13:$A209))),INDEX($AU$13:$AU$48,SMALL(IF((County=$AV$13:$AV$48),MATCH(ROW($AV$13:$AV$48),ROW($AV$13:$AV$48)),""),ROWS($A$13:$A209)))),"")</f>
        <v/>
      </c>
      <c r="BC209" s="341" t="str">
        <f t="array" ref="BC209">IFERROR(IF($BC$11="Yes",INDEX($AX$13:$AX$2950,SMALL(IF((County=$AY$13:$AY$2950),MATCH(ROW($AY$13:$AY$2950),ROW($AY$13:$AY$2950)),""),ROWS($A$13:$A209))),""),"")</f>
        <v/>
      </c>
      <c r="BE209" s="339">
        <v>33503</v>
      </c>
      <c r="BF209" s="338" t="s">
        <v>316</v>
      </c>
      <c r="BH209" s="338">
        <v>18.02</v>
      </c>
      <c r="BI209" s="338" t="s">
        <v>331</v>
      </c>
      <c r="BN209" s="340">
        <v>10.119999999999999</v>
      </c>
      <c r="BO209" s="340" t="s">
        <v>329</v>
      </c>
      <c r="BP209" s="1385"/>
      <c r="BQ209" s="1386">
        <v>33174</v>
      </c>
      <c r="BR209" s="338" t="s">
        <v>331</v>
      </c>
      <c r="BU209" s="858"/>
      <c r="BV209" s="338">
        <v>661.03</v>
      </c>
      <c r="BW209" s="338" t="s">
        <v>288</v>
      </c>
      <c r="BY209" s="236">
        <v>9702</v>
      </c>
      <c r="BZ209" s="236" t="s">
        <v>358</v>
      </c>
      <c r="CB209" s="340">
        <v>307.02</v>
      </c>
      <c r="CC209" s="340" t="s">
        <v>289</v>
      </c>
      <c r="CE209" s="341" t="str">
        <f t="array" ref="CE209">IFERROR(IF($CE$11="Metro",INDEX($BV$13:$BV$4972,SMALL(IF((County=$BW$13:$BW$4972),MATCH(ROW($BW$13:$BW$4972),ROW($BW$13:$BW$4972)),""),ROWS($A$13:$A209))),INDEX($BY$13:$BY$212,SMALL(IF((County=$BZ$13:$BZ$212),MATCH(ROW($BZ$13:$BZ$212),ROW($BZ$13:$BZ$212)),""),ROWS($A$13:$A209)))),"")</f>
        <v/>
      </c>
      <c r="CG209" s="341" t="str">
        <f t="array" ref="CG209">IFERROR(IF($CG$11="Yes",INDEX($CB$13:$CB$2950,SMALL(IF((County=$CC$13:$CC$2950),MATCH(ROW($CC$13:$CC$2950),ROW($CC$13:$CC$2950)),""),ROWS($A$13:$A209))),""),"")</f>
        <v/>
      </c>
      <c r="CI209" s="1387">
        <v>33444</v>
      </c>
      <c r="CJ209" s="338" t="s">
        <v>340</v>
      </c>
      <c r="CL209" s="236">
        <v>5.0199999999999996</v>
      </c>
      <c r="CM209" s="236" t="s">
        <v>347</v>
      </c>
      <c r="CO209" s="236">
        <v>9900</v>
      </c>
      <c r="CP209" s="236" t="s">
        <v>333</v>
      </c>
      <c r="CR209" s="340">
        <v>11</v>
      </c>
      <c r="CS209" s="340" t="s">
        <v>316</v>
      </c>
      <c r="CT209" s="1384"/>
      <c r="CU209" s="341">
        <v>33177</v>
      </c>
      <c r="CV209" s="338" t="s">
        <v>2579</v>
      </c>
      <c r="CZ209" s="1795">
        <v>4</v>
      </c>
      <c r="DA209" s="338" t="s">
        <v>304</v>
      </c>
      <c r="DF209" s="340">
        <v>311.02</v>
      </c>
      <c r="DG209" s="340" t="s">
        <v>289</v>
      </c>
      <c r="DK209" s="341" t="str">
        <f t="array" ref="DK209">IFERROR(IF($DK$11="Yes",INDEX($DF$13:$DF$2838,SMALL(IF((County=$DG$13:$DG$2838),MATCH(ROW($DG$13:$DG$2838),ROW($DG$13:$DG$2838)),""),ROWS($A$13:$A209))),""),"")</f>
        <v/>
      </c>
      <c r="DM209" s="1387">
        <v>33433</v>
      </c>
      <c r="DN209" s="338" t="s">
        <v>340</v>
      </c>
      <c r="DP209" s="236">
        <v>19.13</v>
      </c>
      <c r="DQ209" s="236" t="s">
        <v>340</v>
      </c>
      <c r="DV209" s="340">
        <v>12</v>
      </c>
      <c r="DW209" s="340" t="s">
        <v>302</v>
      </c>
      <c r="DX209" s="1671"/>
      <c r="EB209" s="618"/>
      <c r="EC209" s="618"/>
      <c r="ED209" s="618"/>
      <c r="EE209" s="618"/>
      <c r="EF209" s="618"/>
      <c r="EG209" s="618"/>
      <c r="EH209" s="618"/>
      <c r="EI209" s="618"/>
      <c r="EJ209" s="618"/>
      <c r="EK209" s="618"/>
      <c r="EL209" s="618"/>
      <c r="EM209" s="618"/>
    </row>
    <row r="210" spans="1:143">
      <c r="A210" s="339">
        <v>33143</v>
      </c>
      <c r="B210" s="338" t="s">
        <v>2579</v>
      </c>
      <c r="E210" s="858"/>
      <c r="F210" s="338">
        <v>207.02</v>
      </c>
      <c r="G210" s="338" t="s">
        <v>307</v>
      </c>
      <c r="L210" s="2481">
        <v>310.02</v>
      </c>
      <c r="M210" s="340" t="s">
        <v>289</v>
      </c>
      <c r="N210" s="1390"/>
      <c r="O210" s="2479"/>
      <c r="P210" s="2282"/>
      <c r="T210" s="341" t="str">
        <f t="array" ref="T210">IFERROR(IF($T$11="Yes",INDEX($L$13:$L$2813,SMALL(IF((County=$M$13:$M$2813),MATCH(ROW($M$13:$M$2813),ROW($M$13:$M$2813)),""),ROWS($A$13:A210))),""),"")</f>
        <v/>
      </c>
      <c r="V210" s="2283" t="str">
        <f t="array" ref="V210">IFERROR(IF($T$11="Yes",INDEX($O$14:$O$2811,SMALL(IF((County=$P$14:$P$2811),MATCH(ROW($P$14:$P$2811),ROW($P$14:$P$2811)),""),ROWS($A$13:A210))),""),"")</f>
        <v/>
      </c>
      <c r="X210" s="339">
        <v>33351</v>
      </c>
      <c r="Y210" s="338" t="s">
        <v>289</v>
      </c>
      <c r="AA210" s="338">
        <v>22</v>
      </c>
      <c r="AB210" s="338" t="s">
        <v>340</v>
      </c>
      <c r="AG210" s="2297">
        <v>12.02</v>
      </c>
      <c r="AH210" s="2297" t="s">
        <v>328</v>
      </c>
      <c r="AI210" s="1390"/>
      <c r="AJ210" s="2282"/>
      <c r="AK210" s="2282"/>
      <c r="AL210" s="1037"/>
      <c r="AM210" s="339">
        <v>32792</v>
      </c>
      <c r="AN210" s="338" t="s">
        <v>338</v>
      </c>
      <c r="AQ210" s="858"/>
      <c r="AR210" s="338">
        <v>20</v>
      </c>
      <c r="AS210" s="338" t="s">
        <v>316</v>
      </c>
      <c r="AX210" s="340">
        <v>312.02999999999997</v>
      </c>
      <c r="AY210" s="340" t="s">
        <v>289</v>
      </c>
      <c r="BA210" s="341" t="str">
        <f t="array" ref="BA210">IFERROR(IF($BA$11="Metro",INDEX($AR$13:$AR$814,SMALL(IF((County=$AS$13:$AS$814),MATCH(ROW($AS$13:$AS$814),ROW($AS$13:$AS$814)),""),ROWS($A$13:$A210))),INDEX($AU$13:$AU$48,SMALL(IF((County=$AV$13:$AV$48),MATCH(ROW($AV$13:$AV$48),ROW($AV$13:$AV$48)),""),ROWS($A$13:$A210)))),"")</f>
        <v/>
      </c>
      <c r="BC210" s="341" t="str">
        <f t="array" ref="BC210">IFERROR(IF($BC$11="Yes",INDEX($AX$13:$AX$2950,SMALL(IF((County=$AY$13:$AY$2950),MATCH(ROW($AY$13:$AY$2950),ROW($AY$13:$AY$2950)),""),ROWS($A$13:$A210))),""),"")</f>
        <v/>
      </c>
      <c r="BE210" s="339">
        <v>33511</v>
      </c>
      <c r="BF210" s="338" t="s">
        <v>316</v>
      </c>
      <c r="BH210" s="338">
        <v>18.03</v>
      </c>
      <c r="BI210" s="338" t="s">
        <v>330</v>
      </c>
      <c r="BN210" s="340">
        <v>11</v>
      </c>
      <c r="BO210" s="340" t="s">
        <v>276</v>
      </c>
      <c r="BP210" s="1385"/>
      <c r="BQ210" s="1386">
        <v>33175</v>
      </c>
      <c r="BR210" s="338" t="s">
        <v>331</v>
      </c>
      <c r="BU210" s="858"/>
      <c r="BV210" s="338">
        <v>661.04</v>
      </c>
      <c r="BW210" s="338" t="s">
        <v>288</v>
      </c>
      <c r="BY210" s="236">
        <v>9703.01</v>
      </c>
      <c r="BZ210" s="236" t="s">
        <v>358</v>
      </c>
      <c r="CB210" s="340">
        <v>309.02</v>
      </c>
      <c r="CC210" s="340" t="s">
        <v>289</v>
      </c>
      <c r="CE210" s="341" t="str">
        <f t="array" ref="CE210">IFERROR(IF($CE$11="Metro",INDEX($BV$13:$BV$4972,SMALL(IF((County=$BW$13:$BW$4972),MATCH(ROW($BW$13:$BW$4972),ROW($BW$13:$BW$4972)),""),ROWS($A$13:$A210))),INDEX($BY$13:$BY$212,SMALL(IF((County=$BZ$13:$BZ$212),MATCH(ROW($BZ$13:$BZ$212),ROW($BZ$13:$BZ$212)),""),ROWS($A$13:$A210)))),"")</f>
        <v/>
      </c>
      <c r="CG210" s="341" t="str">
        <f t="array" ref="CG210">IFERROR(IF($CG$11="Yes",INDEX($CB$13:$CB$2950,SMALL(IF((County=$CC$13:$CC$2950),MATCH(ROW($CC$13:$CC$2950),ROW($CC$13:$CC$2950)),""),ROWS($A$13:$A210))),""),"")</f>
        <v/>
      </c>
      <c r="CI210" s="1387">
        <v>33445</v>
      </c>
      <c r="CJ210" s="338" t="s">
        <v>340</v>
      </c>
      <c r="CL210" s="236">
        <v>5.03</v>
      </c>
      <c r="CM210" s="236" t="s">
        <v>323</v>
      </c>
      <c r="CO210" s="236">
        <v>9900</v>
      </c>
      <c r="CP210" s="236" t="s">
        <v>337</v>
      </c>
      <c r="CR210" s="340">
        <v>11.01</v>
      </c>
      <c r="CS210" s="340" t="s">
        <v>304</v>
      </c>
      <c r="CT210" s="1384"/>
      <c r="CU210" s="341">
        <v>33178</v>
      </c>
      <c r="CV210" s="338" t="s">
        <v>2579</v>
      </c>
      <c r="CZ210" s="1795">
        <v>12.02</v>
      </c>
      <c r="DA210" s="338" t="s">
        <v>304</v>
      </c>
      <c r="DF210" s="340">
        <v>312.02999999999997</v>
      </c>
      <c r="DG210" s="340" t="s">
        <v>289</v>
      </c>
      <c r="DK210" s="341" t="str">
        <f t="array" ref="DK210">IFERROR(IF($DK$11="Yes",INDEX($DF$13:$DF$2838,SMALL(IF((County=$DG$13:$DG$2838),MATCH(ROW($DG$13:$DG$2838),ROW($DG$13:$DG$2838)),""),ROWS($A$13:$A210))),""),"")</f>
        <v/>
      </c>
      <c r="DM210" s="1387">
        <v>33435</v>
      </c>
      <c r="DN210" s="338" t="s">
        <v>340</v>
      </c>
      <c r="DP210" s="236">
        <v>19.16</v>
      </c>
      <c r="DQ210" s="236" t="s">
        <v>323</v>
      </c>
      <c r="DV210" s="340">
        <v>12.01</v>
      </c>
      <c r="DW210" s="340" t="s">
        <v>276</v>
      </c>
      <c r="DX210" s="1671"/>
      <c r="EB210" s="618"/>
      <c r="EC210" s="618"/>
      <c r="ED210" s="618"/>
      <c r="EE210" s="618"/>
      <c r="EF210" s="618"/>
      <c r="EG210" s="618"/>
      <c r="EH210" s="618"/>
      <c r="EI210" s="618"/>
      <c r="EJ210" s="618"/>
      <c r="EK210" s="618"/>
      <c r="EL210" s="618"/>
      <c r="EM210" s="618"/>
    </row>
    <row r="211" spans="1:143">
      <c r="A211" s="339">
        <v>33144</v>
      </c>
      <c r="B211" s="338" t="s">
        <v>2579</v>
      </c>
      <c r="E211" s="858"/>
      <c r="F211" s="338">
        <v>404</v>
      </c>
      <c r="G211" s="338" t="s">
        <v>314</v>
      </c>
      <c r="L211" s="2481">
        <v>311.01</v>
      </c>
      <c r="M211" s="340" t="s">
        <v>289</v>
      </c>
      <c r="N211" s="1390"/>
      <c r="O211" s="2479"/>
      <c r="P211" s="2282"/>
      <c r="T211" s="341" t="str">
        <f t="array" ref="T211">IFERROR(IF($T$11="Yes",INDEX($L$13:$L$2813,SMALL(IF((County=$M$13:$M$2813),MATCH(ROW($M$13:$M$2813),ROW($M$13:$M$2813)),""),ROWS($A$13:A211))),""),"")</f>
        <v/>
      </c>
      <c r="V211" s="2283" t="str">
        <f t="array" ref="V211">IFERROR(IF($T$11="Yes",INDEX($O$14:$O$2811,SMALL(IF((County=$P$14:$P$2811),MATCH(ROW($P$14:$P$2811),ROW($P$14:$P$2811)),""),ROWS($A$13:A211))),""),"")</f>
        <v/>
      </c>
      <c r="X211" s="339">
        <v>33408</v>
      </c>
      <c r="Y211" s="338" t="s">
        <v>340</v>
      </c>
      <c r="AA211" s="338">
        <v>22.02</v>
      </c>
      <c r="AB211" s="338" t="s">
        <v>331</v>
      </c>
      <c r="AG211" s="2297">
        <v>12.02</v>
      </c>
      <c r="AH211" s="2297" t="s">
        <v>347</v>
      </c>
      <c r="AI211" s="1390"/>
      <c r="AJ211" s="2282"/>
      <c r="AK211" s="2282"/>
      <c r="AL211" s="1037"/>
      <c r="AM211" s="339">
        <v>32801</v>
      </c>
      <c r="AN211" s="338" t="s">
        <v>338</v>
      </c>
      <c r="AQ211" s="858"/>
      <c r="AR211" s="338">
        <v>25</v>
      </c>
      <c r="AS211" s="338" t="s">
        <v>316</v>
      </c>
      <c r="AX211" s="340">
        <v>312.04000000000002</v>
      </c>
      <c r="AY211" s="340" t="s">
        <v>289</v>
      </c>
      <c r="BA211" s="341" t="str">
        <f t="array" ref="BA211">IFERROR(IF($BA$11="Metro",INDEX($AR$13:$AR$814,SMALL(IF((County=$AS$13:$AS$814),MATCH(ROW($AS$13:$AS$814),ROW($AS$13:$AS$814)),""),ROWS($A$13:$A211))),INDEX($AU$13:$AU$48,SMALL(IF((County=$AV$13:$AV$48),MATCH(ROW($AV$13:$AV$48),ROW($AV$13:$AV$48)),""),ROWS($A$13:$A211)))),"")</f>
        <v/>
      </c>
      <c r="BC211" s="341" t="str">
        <f t="array" ref="BC211">IFERROR(IF($BC$11="Yes",INDEX($AX$13:$AX$2950,SMALL(IF((County=$AY$13:$AY$2950),MATCH(ROW($AY$13:$AY$2950),ROW($AY$13:$AY$2950)),""),ROWS($A$13:$A211))),""),"")</f>
        <v/>
      </c>
      <c r="BE211" s="339">
        <v>33543</v>
      </c>
      <c r="BF211" s="338" t="s">
        <v>341</v>
      </c>
      <c r="BH211" s="338">
        <v>18.03</v>
      </c>
      <c r="BI211" s="338" t="s">
        <v>331</v>
      </c>
      <c r="BN211" s="340">
        <v>11</v>
      </c>
      <c r="BO211" s="340" t="s">
        <v>302</v>
      </c>
      <c r="BP211" s="1385"/>
      <c r="BQ211" s="1386">
        <v>33176</v>
      </c>
      <c r="BR211" s="338" t="s">
        <v>331</v>
      </c>
      <c r="BU211" s="858"/>
      <c r="BV211" s="338">
        <v>662</v>
      </c>
      <c r="BW211" s="338" t="s">
        <v>288</v>
      </c>
      <c r="BY211" s="236">
        <v>9703.02</v>
      </c>
      <c r="BZ211" s="236" t="s">
        <v>358</v>
      </c>
      <c r="CB211" s="340">
        <v>309.02999999999997</v>
      </c>
      <c r="CC211" s="340" t="s">
        <v>289</v>
      </c>
      <c r="CE211" s="341" t="str">
        <f t="array" ref="CE211">IFERROR(IF($CE$11="Metro",INDEX($BV$13:$BV$4972,SMALL(IF((County=$BW$13:$BW$4972),MATCH(ROW($BW$13:$BW$4972),ROW($BW$13:$BW$4972)),""),ROWS($A$13:$A211))),INDEX($BY$13:$BY$212,SMALL(IF((County=$BZ$13:$BZ$212),MATCH(ROW($BZ$13:$BZ$212),ROW($BZ$13:$BZ$212)),""),ROWS($A$13:$A211)))),"")</f>
        <v/>
      </c>
      <c r="CG211" s="341" t="str">
        <f t="array" ref="CG211">IFERROR(IF($CG$11="Yes",INDEX($CB$13:$CB$2950,SMALL(IF((County=$CC$13:$CC$2950),MATCH(ROW($CC$13:$CC$2950),ROW($CC$13:$CC$2950)),""),ROWS($A$13:$A211))),""),"")</f>
        <v/>
      </c>
      <c r="CI211" s="1387">
        <v>33449</v>
      </c>
      <c r="CJ211" s="338" t="s">
        <v>340</v>
      </c>
      <c r="CL211" s="236">
        <v>5.03</v>
      </c>
      <c r="CM211" s="236" t="s">
        <v>328</v>
      </c>
      <c r="CO211" s="236">
        <v>9900</v>
      </c>
      <c r="CP211" s="236" t="s">
        <v>353</v>
      </c>
      <c r="CR211" s="340">
        <v>11.02</v>
      </c>
      <c r="CS211" s="340" t="s">
        <v>340</v>
      </c>
      <c r="CT211" s="1384"/>
      <c r="CU211" s="341">
        <v>33179</v>
      </c>
      <c r="CV211" s="338" t="s">
        <v>2579</v>
      </c>
      <c r="CZ211" s="1795">
        <v>13</v>
      </c>
      <c r="DA211" s="338" t="s">
        <v>304</v>
      </c>
      <c r="DF211" s="340">
        <v>312.05</v>
      </c>
      <c r="DG211" s="340" t="s">
        <v>289</v>
      </c>
      <c r="DK211" s="341" t="str">
        <f t="array" ref="DK211">IFERROR(IF($DK$11="Yes",INDEX($DF$13:$DF$2838,SMALL(IF((County=$DG$13:$DG$2838),MATCH(ROW($DG$13:$DG$2838),ROW($DG$13:$DG$2838)),""),ROWS($A$13:$A211))),""),"")</f>
        <v/>
      </c>
      <c r="DM211" s="1387">
        <v>33436</v>
      </c>
      <c r="DN211" s="338" t="s">
        <v>340</v>
      </c>
      <c r="DP211" s="236">
        <v>19.170000000000002</v>
      </c>
      <c r="DQ211" s="236" t="s">
        <v>340</v>
      </c>
      <c r="DV211" s="340">
        <v>12.01</v>
      </c>
      <c r="DW211" s="340" t="s">
        <v>304</v>
      </c>
      <c r="DX211" s="1671"/>
      <c r="EB211" s="618"/>
      <c r="EC211" s="618"/>
      <c r="ED211" s="618"/>
      <c r="EE211" s="618"/>
      <c r="EF211" s="618"/>
      <c r="EG211" s="618"/>
      <c r="EH211" s="618"/>
      <c r="EI211" s="618"/>
      <c r="EJ211" s="618"/>
      <c r="EK211" s="618"/>
      <c r="EL211" s="618"/>
      <c r="EM211" s="618"/>
    </row>
    <row r="212" spans="1:143">
      <c r="A212" s="339">
        <v>33145</v>
      </c>
      <c r="B212" s="338" t="s">
        <v>2579</v>
      </c>
      <c r="E212" s="858"/>
      <c r="F212" s="338">
        <v>405.01</v>
      </c>
      <c r="G212" s="338" t="s">
        <v>314</v>
      </c>
      <c r="L212" s="2481">
        <v>312.02999999999997</v>
      </c>
      <c r="M212" s="340" t="s">
        <v>289</v>
      </c>
      <c r="N212" s="1390"/>
      <c r="O212" s="2479"/>
      <c r="P212" s="2282"/>
      <c r="T212" s="341" t="str">
        <f t="array" ref="T212">IFERROR(IF($T$11="Yes",INDEX($L$13:$L$2813,SMALL(IF((County=$M$13:$M$2813),MATCH(ROW($M$13:$M$2813),ROW($M$13:$M$2813)),""),ROWS($A$13:A212))),""),"")</f>
        <v/>
      </c>
      <c r="V212" s="2283" t="str">
        <f t="array" ref="V212">IFERROR(IF($T$11="Yes",INDEX($O$14:$O$2811,SMALL(IF((County=$P$14:$P$2811),MATCH(ROW($P$14:$P$2811),ROW($P$14:$P$2811)),""),ROWS($A$13:A212))),""),"")</f>
        <v/>
      </c>
      <c r="X212" s="339">
        <v>33410</v>
      </c>
      <c r="Y212" s="338" t="s">
        <v>340</v>
      </c>
      <c r="AA212" s="338">
        <v>23</v>
      </c>
      <c r="AB212" s="338" t="s">
        <v>331</v>
      </c>
      <c r="AG212" s="2297">
        <v>12.03</v>
      </c>
      <c r="AH212" s="2297" t="s">
        <v>276</v>
      </c>
      <c r="AI212" s="1390"/>
      <c r="AJ212" s="2282"/>
      <c r="AK212" s="2282"/>
      <c r="AL212" s="1037"/>
      <c r="AM212" s="339">
        <v>32803</v>
      </c>
      <c r="AN212" s="338" t="s">
        <v>338</v>
      </c>
      <c r="AQ212" s="858"/>
      <c r="AR212" s="338">
        <v>26</v>
      </c>
      <c r="AS212" s="338" t="s">
        <v>316</v>
      </c>
      <c r="AX212" s="340">
        <v>312.05</v>
      </c>
      <c r="AY212" s="340" t="s">
        <v>289</v>
      </c>
      <c r="BA212" s="341" t="str">
        <f t="array" ref="BA212">IFERROR(IF($BA$11="Metro",INDEX($AR$13:$AR$814,SMALL(IF((County=$AS$13:$AS$814),MATCH(ROW($AS$13:$AS$814),ROW($AS$13:$AS$814)),""),ROWS($A$13:$A212))),INDEX($AU$13:$AU$48,SMALL(IF((County=$AV$13:$AV$48),MATCH(ROW($AV$13:$AV$48),ROW($AV$13:$AV$48)),""),ROWS($A$13:$A212)))),"")</f>
        <v/>
      </c>
      <c r="BC212" s="341" t="str">
        <f t="array" ref="BC212">IFERROR(IF($BC$11="Yes",INDEX($AX$13:$AX$2950,SMALL(IF((County=$AY$13:$AY$2950),MATCH(ROW($AY$13:$AY$2950),ROW($AY$13:$AY$2950)),""),ROWS($A$13:$A212))),""),"")</f>
        <v/>
      </c>
      <c r="BE212" s="339">
        <v>33544</v>
      </c>
      <c r="BF212" s="338" t="s">
        <v>341</v>
      </c>
      <c r="BH212" s="338">
        <v>18.04</v>
      </c>
      <c r="BI212" s="338" t="s">
        <v>330</v>
      </c>
      <c r="BN212" s="340">
        <v>11</v>
      </c>
      <c r="BO212" s="340" t="s">
        <v>316</v>
      </c>
      <c r="BP212" s="1385"/>
      <c r="BQ212" s="1386">
        <v>33178</v>
      </c>
      <c r="BR212" s="338" t="s">
        <v>331</v>
      </c>
      <c r="BU212" s="858"/>
      <c r="BV212" s="338">
        <v>663.01</v>
      </c>
      <c r="BW212" s="338" t="s">
        <v>288</v>
      </c>
      <c r="BY212" s="236">
        <v>9703.0300000000007</v>
      </c>
      <c r="BZ212" s="236" t="s">
        <v>358</v>
      </c>
      <c r="CB212" s="340">
        <v>309.04000000000002</v>
      </c>
      <c r="CC212" s="340" t="s">
        <v>289</v>
      </c>
      <c r="CE212" s="341" t="str">
        <f t="array" ref="CE212">IFERROR(IF($CE$11="Metro",INDEX($BV$13:$BV$4972,SMALL(IF((County=$BW$13:$BW$4972),MATCH(ROW($BW$13:$BW$4972),ROW($BW$13:$BW$4972)),""),ROWS($A$13:$A212))),INDEX($BY$13:$BY$212,SMALL(IF((County=$BZ$13:$BZ$212),MATCH(ROW($BZ$13:$BZ$212),ROW($BZ$13:$BZ$212)),""),ROWS($A$13:$A212)))),"")</f>
        <v/>
      </c>
      <c r="CG212" s="341" t="str">
        <f t="array" ref="CG212">IFERROR(IF($CG$11="Yes",INDEX($CB$13:$CB$2950,SMALL(IF((County=$CC$13:$CC$2950),MATCH(ROW($CC$13:$CC$2950),ROW($CC$13:$CC$2950)),""),ROWS($A$13:$A212))),""),"")</f>
        <v/>
      </c>
      <c r="CI212" s="1583">
        <v>33458</v>
      </c>
      <c r="CJ212" s="338" t="s">
        <v>340</v>
      </c>
      <c r="CL212" s="236">
        <v>5.03</v>
      </c>
      <c r="CM212" s="236" t="s">
        <v>347</v>
      </c>
      <c r="CO212" s="236">
        <v>9901</v>
      </c>
      <c r="CP212" s="236" t="s">
        <v>306</v>
      </c>
      <c r="CR212" s="340">
        <v>11.03</v>
      </c>
      <c r="CS212" s="340" t="s">
        <v>304</v>
      </c>
      <c r="CT212" s="1384"/>
      <c r="CU212" s="341">
        <v>33180</v>
      </c>
      <c r="CV212" s="338" t="s">
        <v>2579</v>
      </c>
      <c r="CZ212" s="1795">
        <v>15</v>
      </c>
      <c r="DA212" s="338" t="s">
        <v>304</v>
      </c>
      <c r="DF212" s="340">
        <v>312.06</v>
      </c>
      <c r="DG212" s="340" t="s">
        <v>289</v>
      </c>
      <c r="DK212" s="341" t="str">
        <f t="array" ref="DK212">IFERROR(IF($DK$11="Yes",INDEX($DF$13:$DF$2838,SMALL(IF((County=$DG$13:$DG$2838),MATCH(ROW($DG$13:$DG$2838),ROW($DG$13:$DG$2838)),""),ROWS($A$13:$A212))),""),"")</f>
        <v/>
      </c>
      <c r="DM212" s="1387">
        <v>33437</v>
      </c>
      <c r="DN212" s="338" t="s">
        <v>340</v>
      </c>
      <c r="DP212" s="236">
        <v>20</v>
      </c>
      <c r="DQ212" s="236" t="s">
        <v>285</v>
      </c>
      <c r="DV212" s="340">
        <v>12.02</v>
      </c>
      <c r="DW212" s="340" t="s">
        <v>276</v>
      </c>
      <c r="DX212" s="1671"/>
      <c r="EB212" s="618"/>
      <c r="EC212" s="618"/>
      <c r="ED212" s="618"/>
      <c r="EE212" s="618"/>
      <c r="EF212" s="618"/>
      <c r="EG212" s="618"/>
      <c r="EH212" s="618"/>
      <c r="EI212" s="618"/>
      <c r="EJ212" s="618"/>
      <c r="EK212" s="618"/>
      <c r="EL212" s="618"/>
      <c r="EM212" s="618"/>
    </row>
    <row r="213" spans="1:143">
      <c r="A213" s="339">
        <v>33146</v>
      </c>
      <c r="B213" s="338" t="s">
        <v>2579</v>
      </c>
      <c r="E213" s="858"/>
      <c r="F213" s="338">
        <v>412.04</v>
      </c>
      <c r="G213" s="338" t="s">
        <v>314</v>
      </c>
      <c r="L213" s="2481">
        <v>312.05</v>
      </c>
      <c r="M213" s="340" t="s">
        <v>289</v>
      </c>
      <c r="N213" s="1390"/>
      <c r="O213" s="2479"/>
      <c r="P213" s="2282"/>
      <c r="T213" s="341" t="str">
        <f t="array" ref="T213">IFERROR(IF($T$11="Yes",INDEX($L$13:$L$2813,SMALL(IF((County=$M$13:$M$2813),MATCH(ROW($M$13:$M$2813),ROW($M$13:$M$2813)),""),ROWS($A$13:A213))),""),"")</f>
        <v/>
      </c>
      <c r="V213" s="2283" t="str">
        <f t="array" ref="V213">IFERROR(IF($T$11="Yes",INDEX($O$14:$O$2811,SMALL(IF((County=$P$14:$P$2811),MATCH(ROW($P$14:$P$2811),ROW($P$14:$P$2811)),""),ROWS($A$13:A213))),""),"")</f>
        <v/>
      </c>
      <c r="X213" s="339">
        <v>33411</v>
      </c>
      <c r="Y213" s="338" t="s">
        <v>340</v>
      </c>
      <c r="AA213" s="338">
        <v>24</v>
      </c>
      <c r="AB213" s="338" t="s">
        <v>285</v>
      </c>
      <c r="AG213" s="2297">
        <v>12.03</v>
      </c>
      <c r="AH213" s="2297" t="s">
        <v>328</v>
      </c>
      <c r="AI213" s="1390"/>
      <c r="AJ213" s="2282"/>
      <c r="AK213" s="2282"/>
      <c r="AL213" s="1037"/>
      <c r="AM213" s="339">
        <v>32804</v>
      </c>
      <c r="AN213" s="338" t="s">
        <v>338</v>
      </c>
      <c r="AQ213" s="858"/>
      <c r="AR213" s="338">
        <v>30</v>
      </c>
      <c r="AS213" s="338" t="s">
        <v>316</v>
      </c>
      <c r="AX213" s="340">
        <v>312.06</v>
      </c>
      <c r="AY213" s="340" t="s">
        <v>289</v>
      </c>
      <c r="BA213" s="341" t="str">
        <f t="array" ref="BA213">IFERROR(IF($BA$11="Metro",INDEX($AR$13:$AR$814,SMALL(IF((County=$AS$13:$AS$814),MATCH(ROW($AS$13:$AS$814),ROW($AS$13:$AS$814)),""),ROWS($A$13:$A213))),INDEX($AU$13:$AU$48,SMALL(IF((County=$AV$13:$AV$48),MATCH(ROW($AV$13:$AV$48),ROW($AV$13:$AV$48)),""),ROWS($A$13:$A213)))),"")</f>
        <v/>
      </c>
      <c r="BC213" s="341" t="str">
        <f t="array" ref="BC213">IFERROR(IF($BC$11="Yes",INDEX($AX$13:$AX$2950,SMALL(IF((County=$AY$13:$AY$2950),MATCH(ROW($AY$13:$AY$2950),ROW($AY$13:$AY$2950)),""),ROWS($A$13:$A213))),""),"")</f>
        <v/>
      </c>
      <c r="BE213" s="339">
        <v>33545</v>
      </c>
      <c r="BF213" s="338" t="s">
        <v>341</v>
      </c>
      <c r="BH213" s="338">
        <v>19</v>
      </c>
      <c r="BI213" s="338" t="s">
        <v>304</v>
      </c>
      <c r="BN213" s="340">
        <v>11.01</v>
      </c>
      <c r="BO213" s="340" t="s">
        <v>304</v>
      </c>
      <c r="BP213" s="1385"/>
      <c r="BQ213" s="1386">
        <v>33179</v>
      </c>
      <c r="BR213" s="338" t="s">
        <v>331</v>
      </c>
      <c r="BU213" s="858"/>
      <c r="BV213" s="338">
        <v>663.02</v>
      </c>
      <c r="BW213" s="338" t="s">
        <v>288</v>
      </c>
      <c r="BY213" s="2711" t="s">
        <v>2073</v>
      </c>
      <c r="BZ213" s="2712"/>
      <c r="CB213" s="340">
        <v>311.01</v>
      </c>
      <c r="CC213" s="340" t="s">
        <v>289</v>
      </c>
      <c r="CE213" s="341" t="str">
        <f t="array" ref="CE213">IFERROR(IF($CE$11="Metro",INDEX($BV$13:$BV$4972,SMALL(IF((County=$BW$13:$BW$4972),MATCH(ROW($BW$13:$BW$4972),ROW($BW$13:$BW$4972)),""),ROWS($A$13:$A213))),INDEX($BY$13:$BY$212,SMALL(IF((County=$BZ$13:$BZ$212),MATCH(ROW($BZ$13:$BZ$212),ROW($BZ$13:$BZ$212)),""),ROWS($A$13:$A213)))),"")</f>
        <v/>
      </c>
      <c r="CG213" s="341" t="str">
        <f t="array" ref="CG213">IFERROR(IF($CG$11="Yes",INDEX($CB$13:$CB$2950,SMALL(IF((County=$CC$13:$CC$2950),MATCH(ROW($CC$13:$CC$2950),ROW($CC$13:$CC$2950)),""),ROWS($A$13:$A213))),""),"")</f>
        <v/>
      </c>
      <c r="CI213" s="1387">
        <v>33462</v>
      </c>
      <c r="CJ213" s="338" t="s">
        <v>340</v>
      </c>
      <c r="CL213" s="236">
        <v>5.04</v>
      </c>
      <c r="CM213" s="236" t="s">
        <v>323</v>
      </c>
      <c r="CO213" s="2711" t="s">
        <v>2073</v>
      </c>
      <c r="CP213" s="2712"/>
      <c r="CR213" s="340">
        <v>11.03</v>
      </c>
      <c r="CS213" s="340" t="s">
        <v>329</v>
      </c>
      <c r="CT213" s="1384"/>
      <c r="CU213" s="341">
        <v>33182</v>
      </c>
      <c r="CV213" s="338" t="s">
        <v>2579</v>
      </c>
      <c r="CZ213" s="1795">
        <v>16</v>
      </c>
      <c r="DA213" s="338" t="s">
        <v>304</v>
      </c>
      <c r="DF213" s="340">
        <v>312.07</v>
      </c>
      <c r="DG213" s="340" t="s">
        <v>289</v>
      </c>
      <c r="DK213" s="341" t="str">
        <f t="array" ref="DK213">IFERROR(IF($DK$11="Yes",INDEX($DF$13:$DF$2838,SMALL(IF((County=$DG$13:$DG$2838),MATCH(ROW($DG$13:$DG$2838),ROW($DG$13:$DG$2838)),""),ROWS($A$13:$A213))),""),"")</f>
        <v/>
      </c>
      <c r="DM213" s="1387">
        <v>33442</v>
      </c>
      <c r="DN213" s="338" t="s">
        <v>289</v>
      </c>
      <c r="DP213" s="236">
        <v>20</v>
      </c>
      <c r="DQ213" s="236" t="s">
        <v>304</v>
      </c>
      <c r="DV213" s="340">
        <v>12.02</v>
      </c>
      <c r="DW213" s="340" t="s">
        <v>328</v>
      </c>
      <c r="DX213" s="1671"/>
      <c r="EB213" s="618"/>
      <c r="EC213" s="618"/>
      <c r="ED213" s="618"/>
      <c r="EE213" s="618"/>
      <c r="EF213" s="618"/>
      <c r="EG213" s="618"/>
      <c r="EH213" s="618"/>
      <c r="EI213" s="618"/>
      <c r="EJ213" s="618"/>
      <c r="EK213" s="618"/>
      <c r="EL213" s="618"/>
      <c r="EM213" s="618"/>
    </row>
    <row r="214" spans="1:143">
      <c r="A214" s="339">
        <v>33149</v>
      </c>
      <c r="B214" s="338" t="s">
        <v>2579</v>
      </c>
      <c r="E214" s="858"/>
      <c r="F214" s="338">
        <v>414.01</v>
      </c>
      <c r="G214" s="338" t="s">
        <v>314</v>
      </c>
      <c r="L214" s="2481">
        <v>312.07</v>
      </c>
      <c r="M214" s="340" t="s">
        <v>289</v>
      </c>
      <c r="N214" s="1390"/>
      <c r="O214" s="2479"/>
      <c r="P214" s="2282"/>
      <c r="T214" s="341" t="str">
        <f t="array" ref="T214">IFERROR(IF($T$11="Yes",INDEX($L$13:$L$2813,SMALL(IF((County=$M$13:$M$2813),MATCH(ROW($M$13:$M$2813),ROW($M$13:$M$2813)),""),ROWS($A$13:A214))),""),"")</f>
        <v/>
      </c>
      <c r="V214" s="2283" t="str">
        <f t="array" ref="V214">IFERROR(IF($T$11="Yes",INDEX($O$14:$O$2811,SMALL(IF((County=$P$14:$P$2811),MATCH(ROW($P$14:$P$2811),ROW($P$14:$P$2811)),""),ROWS($A$13:A214))),""),"")</f>
        <v/>
      </c>
      <c r="X214" s="339">
        <v>33412</v>
      </c>
      <c r="Y214" s="338" t="s">
        <v>340</v>
      </c>
      <c r="AA214" s="338">
        <v>24</v>
      </c>
      <c r="AB214" s="338" t="s">
        <v>340</v>
      </c>
      <c r="AG214" s="2297">
        <v>12.03</v>
      </c>
      <c r="AH214" s="2297" t="s">
        <v>347</v>
      </c>
      <c r="AI214" s="1390"/>
      <c r="AJ214" s="2282"/>
      <c r="AK214" s="2282"/>
      <c r="AL214" s="1037"/>
      <c r="AM214" s="339">
        <v>32806</v>
      </c>
      <c r="AN214" s="338" t="s">
        <v>338</v>
      </c>
      <c r="AQ214" s="858"/>
      <c r="AR214" s="338">
        <v>31</v>
      </c>
      <c r="AS214" s="338" t="s">
        <v>316</v>
      </c>
      <c r="AX214" s="340">
        <v>312.07</v>
      </c>
      <c r="AY214" s="340" t="s">
        <v>289</v>
      </c>
      <c r="BA214" s="341" t="str">
        <f t="array" ref="BA214">IFERROR(IF($BA$11="Metro",INDEX($AR$13:$AR$814,SMALL(IF((County=$AS$13:$AS$814),MATCH(ROW($AS$13:$AS$814),ROW($AS$13:$AS$814)),""),ROWS($A$13:$A214))),INDEX($AU$13:$AU$48,SMALL(IF((County=$AV$13:$AV$48),MATCH(ROW($AV$13:$AV$48),ROW($AV$13:$AV$48)),""),ROWS($A$13:$A214)))),"")</f>
        <v/>
      </c>
      <c r="BC214" s="341" t="str">
        <f t="array" ref="BC214">IFERROR(IF($BC$11="Yes",INDEX($AX$13:$AX$2950,SMALL(IF((County=$AY$13:$AY$2950),MATCH(ROW($AY$13:$AY$2950),ROW($AY$13:$AY$2950)),""),ROWS($A$13:$A214))),""),"")</f>
        <v/>
      </c>
      <c r="BE214" s="339">
        <v>33547</v>
      </c>
      <c r="BF214" s="338" t="s">
        <v>316</v>
      </c>
      <c r="BH214" s="338">
        <v>19</v>
      </c>
      <c r="BI214" s="338" t="s">
        <v>316</v>
      </c>
      <c r="BN214" s="340">
        <v>11.02</v>
      </c>
      <c r="BO214" s="340" t="s">
        <v>340</v>
      </c>
      <c r="BP214" s="1385"/>
      <c r="BQ214" s="1386">
        <v>33180</v>
      </c>
      <c r="BR214" s="338" t="s">
        <v>331</v>
      </c>
      <c r="BU214" s="858"/>
      <c r="BV214" s="338">
        <v>664</v>
      </c>
      <c r="BW214" s="338" t="s">
        <v>288</v>
      </c>
      <c r="CB214" s="340">
        <v>311.02</v>
      </c>
      <c r="CC214" s="340" t="s">
        <v>289</v>
      </c>
      <c r="CE214" s="341" t="str">
        <f t="array" ref="CE214">IFERROR(IF($CE$11="Metro",INDEX($BV$13:$BV$4972,SMALL(IF((County=$BW$13:$BW$4972),MATCH(ROW($BW$13:$BW$4972),ROW($BW$13:$BW$4972)),""),ROWS($A$13:$A214))),INDEX($BY$13:$BY$212,SMALL(IF((County=$BZ$13:$BZ$212),MATCH(ROW($BZ$13:$BZ$212),ROW($BZ$13:$BZ$212)),""),ROWS($A$13:$A214)))),"")</f>
        <v/>
      </c>
      <c r="CG214" s="341" t="str">
        <f t="array" ref="CG214">IFERROR(IF($CG$11="Yes",INDEX($CB$13:$CB$2950,SMALL(IF((County=$CC$13:$CC$2950),MATCH(ROW($CC$13:$CC$2950),ROW($CC$13:$CC$2950)),""),ROWS($A$13:$A214))),""),"")</f>
        <v/>
      </c>
      <c r="CI214" s="1387">
        <v>33467</v>
      </c>
      <c r="CJ214" s="338" t="s">
        <v>340</v>
      </c>
      <c r="CL214" s="236">
        <v>5.04</v>
      </c>
      <c r="CM214" s="236" t="s">
        <v>328</v>
      </c>
      <c r="CR214" s="340">
        <v>11.03</v>
      </c>
      <c r="CS214" s="340" t="s">
        <v>330</v>
      </c>
      <c r="CT214" s="1384"/>
      <c r="CU214" s="341">
        <v>33183</v>
      </c>
      <c r="CV214" s="338" t="s">
        <v>2579</v>
      </c>
      <c r="CZ214" s="1795">
        <v>17</v>
      </c>
      <c r="DA214" s="338" t="s">
        <v>304</v>
      </c>
      <c r="DF214" s="340">
        <v>401.01</v>
      </c>
      <c r="DG214" s="340" t="s">
        <v>289</v>
      </c>
      <c r="DK214" s="341" t="str">
        <f t="array" ref="DK214">IFERROR(IF($DK$11="Yes",INDEX($DF$13:$DF$2838,SMALL(IF((County=$DG$13:$DG$2838),MATCH(ROW($DG$13:$DG$2838),ROW($DG$13:$DG$2838)),""),ROWS($A$13:$A214))),""),"")</f>
        <v/>
      </c>
      <c r="DM214" s="1387">
        <v>33444</v>
      </c>
      <c r="DN214" s="338" t="s">
        <v>340</v>
      </c>
      <c r="DP214" s="236">
        <v>20</v>
      </c>
      <c r="DQ214" s="236" t="s">
        <v>316</v>
      </c>
      <c r="DV214" s="340">
        <v>12.02</v>
      </c>
      <c r="DW214" s="340" t="s">
        <v>347</v>
      </c>
      <c r="DX214" s="1671"/>
      <c r="EB214" s="618"/>
      <c r="EC214" s="618"/>
      <c r="ED214" s="618"/>
      <c r="EE214" s="618"/>
      <c r="EF214" s="618"/>
      <c r="EG214" s="618"/>
      <c r="EH214" s="618"/>
      <c r="EI214" s="618"/>
      <c r="EJ214" s="618"/>
      <c r="EK214" s="618"/>
      <c r="EL214" s="618"/>
      <c r="EM214" s="618"/>
    </row>
    <row r="215" spans="1:143">
      <c r="A215" s="339">
        <v>33154</v>
      </c>
      <c r="B215" s="338" t="s">
        <v>2579</v>
      </c>
      <c r="E215" s="858"/>
      <c r="F215" s="338">
        <v>416.02</v>
      </c>
      <c r="G215" s="338" t="s">
        <v>314</v>
      </c>
      <c r="L215" s="2481">
        <v>401.02</v>
      </c>
      <c r="M215" s="340" t="s">
        <v>289</v>
      </c>
      <c r="N215" s="1390"/>
      <c r="O215" s="2479"/>
      <c r="P215" s="2282"/>
      <c r="T215" s="341" t="str">
        <f t="array" ref="T215">IFERROR(IF($T$11="Yes",INDEX($L$13:$L$2813,SMALL(IF((County=$M$13:$M$2813),MATCH(ROW($M$13:$M$2813),ROW($M$13:$M$2813)),""),ROWS($A$13:A215))),""),"")</f>
        <v/>
      </c>
      <c r="V215" s="2283" t="str">
        <f t="array" ref="V215">IFERROR(IF($T$11="Yes",INDEX($O$14:$O$2811,SMALL(IF((County=$P$14:$P$2811),MATCH(ROW($P$14:$P$2811),ROW($P$14:$P$2811)),""),ROWS($A$13:A215))),""),"")</f>
        <v/>
      </c>
      <c r="X215" s="339">
        <v>33413</v>
      </c>
      <c r="Y215" s="338" t="s">
        <v>340</v>
      </c>
      <c r="AA215" s="338">
        <v>24.02</v>
      </c>
      <c r="AB215" s="338" t="s">
        <v>331</v>
      </c>
      <c r="AG215" s="2297">
        <v>12.04</v>
      </c>
      <c r="AH215" s="2297" t="s">
        <v>323</v>
      </c>
      <c r="AI215" s="1390"/>
      <c r="AJ215" s="2282"/>
      <c r="AK215" s="2282"/>
      <c r="AL215" s="1037"/>
      <c r="AM215" s="339">
        <v>32811</v>
      </c>
      <c r="AN215" s="338" t="s">
        <v>338</v>
      </c>
      <c r="AQ215" s="858"/>
      <c r="AR215" s="338">
        <v>32</v>
      </c>
      <c r="AS215" s="338" t="s">
        <v>316</v>
      </c>
      <c r="AX215" s="340">
        <v>401.01</v>
      </c>
      <c r="AY215" s="340" t="s">
        <v>289</v>
      </c>
      <c r="BA215" s="341" t="str">
        <f t="array" ref="BA215">IFERROR(IF($BA$11="Metro",INDEX($AR$13:$AR$814,SMALL(IF((County=$AS$13:$AS$814),MATCH(ROW($AS$13:$AS$814),ROW($AS$13:$AS$814)),""),ROWS($A$13:$A215))),INDEX($AU$13:$AU$48,SMALL(IF((County=$AV$13:$AV$48),MATCH(ROW($AV$13:$AV$48),ROW($AV$13:$AV$48)),""),ROWS($A$13:$A215)))),"")</f>
        <v/>
      </c>
      <c r="BC215" s="341" t="str">
        <f t="array" ref="BC215">IFERROR(IF($BC$11="Yes",INDEX($AX$13:$AX$2950,SMALL(IF((County=$AY$13:$AY$2950),MATCH(ROW($AY$13:$AY$2950),ROW($AY$13:$AY$2950)),""),ROWS($A$13:$A215))),""),"")</f>
        <v/>
      </c>
      <c r="BE215" s="339">
        <v>33548</v>
      </c>
      <c r="BF215" s="338" t="s">
        <v>316</v>
      </c>
      <c r="BH215" s="338">
        <v>19</v>
      </c>
      <c r="BI215" s="338" t="s">
        <v>329</v>
      </c>
      <c r="BN215" s="340">
        <v>11.03</v>
      </c>
      <c r="BO215" s="340" t="s">
        <v>304</v>
      </c>
      <c r="BP215" s="1385"/>
      <c r="BQ215" s="1386">
        <v>33182</v>
      </c>
      <c r="BR215" s="338" t="s">
        <v>331</v>
      </c>
      <c r="BU215" s="858"/>
      <c r="BV215" s="338">
        <v>665</v>
      </c>
      <c r="BW215" s="338" t="s">
        <v>288</v>
      </c>
      <c r="CB215" s="340">
        <v>312.02999999999997</v>
      </c>
      <c r="CC215" s="340" t="s">
        <v>289</v>
      </c>
      <c r="CE215" s="341" t="str">
        <f t="array" ref="CE215">IFERROR(IF($CE$11="Metro",INDEX($BV$13:$BV$4972,SMALL(IF((County=$BW$13:$BW$4972),MATCH(ROW($BW$13:$BW$4972),ROW($BW$13:$BW$4972)),""),ROWS($A$13:$A215))),INDEX($BY$13:$BY$212,SMALL(IF((County=$BZ$13:$BZ$212),MATCH(ROW($BZ$13:$BZ$212),ROW($BZ$13:$BZ$212)),""),ROWS($A$13:$A215)))),"")</f>
        <v/>
      </c>
      <c r="CG215" s="341" t="str">
        <f t="array" ref="CG215">IFERROR(IF($CG$11="Yes",INDEX($CB$13:$CB$2950,SMALL(IF((County=$CC$13:$CC$2950),MATCH(ROW($CC$13:$CC$2950),ROW($CC$13:$CC$2950)),""),ROWS($A$13:$A215))),""),"")</f>
        <v/>
      </c>
      <c r="CI215" s="1583">
        <v>33469</v>
      </c>
      <c r="CJ215" s="338" t="s">
        <v>340</v>
      </c>
      <c r="CL215" s="236">
        <v>5.04</v>
      </c>
      <c r="CM215" s="236" t="s">
        <v>331</v>
      </c>
      <c r="CR215" s="340">
        <v>11.04</v>
      </c>
      <c r="CS215" s="340" t="s">
        <v>304</v>
      </c>
      <c r="CT215" s="1384"/>
      <c r="CU215" s="341">
        <v>33184</v>
      </c>
      <c r="CV215" s="338" t="s">
        <v>2579</v>
      </c>
      <c r="CZ215" s="1795">
        <v>18</v>
      </c>
      <c r="DA215" s="338" t="s">
        <v>304</v>
      </c>
      <c r="DF215" s="340">
        <v>401.02</v>
      </c>
      <c r="DG215" s="340" t="s">
        <v>289</v>
      </c>
      <c r="DK215" s="341" t="str">
        <f t="array" ref="DK215">IFERROR(IF($DK$11="Yes",INDEX($DF$13:$DF$2838,SMALL(IF((County=$DG$13:$DG$2838),MATCH(ROW($DG$13:$DG$2838),ROW($DG$13:$DG$2838)),""),ROWS($A$13:$A215))),""),"")</f>
        <v/>
      </c>
      <c r="DM215" s="1387">
        <v>33445</v>
      </c>
      <c r="DN215" s="338" t="s">
        <v>340</v>
      </c>
      <c r="DP215" s="236">
        <v>20.010000000000002</v>
      </c>
      <c r="DQ215" s="236" t="s">
        <v>329</v>
      </c>
      <c r="DV215" s="340">
        <v>12.03</v>
      </c>
      <c r="DW215" s="340" t="s">
        <v>276</v>
      </c>
      <c r="DX215" s="1671"/>
      <c r="EB215" s="618"/>
      <c r="EC215" s="618"/>
      <c r="ED215" s="618"/>
      <c r="EE215" s="618"/>
      <c r="EF215" s="618"/>
      <c r="EG215" s="618"/>
      <c r="EH215" s="618"/>
      <c r="EI215" s="618"/>
      <c r="EJ215" s="618"/>
      <c r="EK215" s="618"/>
      <c r="EL215" s="618"/>
      <c r="EM215" s="618"/>
    </row>
    <row r="216" spans="1:143">
      <c r="A216" s="339">
        <v>33155</v>
      </c>
      <c r="B216" s="338" t="s">
        <v>2579</v>
      </c>
      <c r="E216" s="858"/>
      <c r="F216" s="338">
        <v>9603</v>
      </c>
      <c r="G216" s="338" t="s">
        <v>315</v>
      </c>
      <c r="L216" s="2481">
        <v>402.04</v>
      </c>
      <c r="M216" s="340" t="s">
        <v>289</v>
      </c>
      <c r="N216" s="1390"/>
      <c r="O216" s="2479"/>
      <c r="P216" s="2282"/>
      <c r="T216" s="341" t="str">
        <f t="array" ref="T216">IFERROR(IF($T$11="Yes",INDEX($L$13:$L$2813,SMALL(IF((County=$M$13:$M$2813),MATCH(ROW($M$13:$M$2813),ROW($M$13:$M$2813)),""),ROWS($A$13:A216))),""),"")</f>
        <v/>
      </c>
      <c r="V216" s="2283" t="str">
        <f t="array" ref="V216">IFERROR(IF($T$11="Yes",INDEX($O$14:$O$2811,SMALL(IF((County=$P$14:$P$2811),MATCH(ROW($P$14:$P$2811),ROW($P$14:$P$2811)),""),ROWS($A$13:A216))),""),"")</f>
        <v/>
      </c>
      <c r="X216" s="339">
        <v>33414</v>
      </c>
      <c r="Y216" s="338" t="s">
        <v>340</v>
      </c>
      <c r="AA216" s="338">
        <v>24.03</v>
      </c>
      <c r="AB216" s="338" t="s">
        <v>331</v>
      </c>
      <c r="AG216" s="2297">
        <v>12.04</v>
      </c>
      <c r="AH216" s="2297" t="s">
        <v>328</v>
      </c>
      <c r="AI216" s="1390"/>
      <c r="AJ216" s="2282"/>
      <c r="AK216" s="2282"/>
      <c r="AL216" s="1037"/>
      <c r="AM216" s="339">
        <v>32812</v>
      </c>
      <c r="AN216" s="338" t="s">
        <v>338</v>
      </c>
      <c r="AQ216" s="858"/>
      <c r="AR216" s="338">
        <v>33</v>
      </c>
      <c r="AS216" s="338" t="s">
        <v>316</v>
      </c>
      <c r="AX216" s="340">
        <v>401.02</v>
      </c>
      <c r="AY216" s="340" t="s">
        <v>289</v>
      </c>
      <c r="BA216" s="341" t="str">
        <f t="array" ref="BA216">IFERROR(IF($BA$11="Metro",INDEX($AR$13:$AR$814,SMALL(IF((County=$AS$13:$AS$814),MATCH(ROW($AS$13:$AS$814),ROW($AS$13:$AS$814)),""),ROWS($A$13:$A216))),INDEX($AU$13:$AU$48,SMALL(IF((County=$AV$13:$AV$48),MATCH(ROW($AV$13:$AV$48),ROW($AV$13:$AV$48)),""),ROWS($A$13:$A216)))),"")</f>
        <v/>
      </c>
      <c r="BC216" s="341" t="str">
        <f t="array" ref="BC216">IFERROR(IF($BC$11="Yes",INDEX($AX$13:$AX$2950,SMALL(IF((County=$AY$13:$AY$2950),MATCH(ROW($AY$13:$AY$2950),ROW($AY$13:$AY$2950)),""),ROWS($A$13:$A216))),""),"")</f>
        <v/>
      </c>
      <c r="BE216" s="339">
        <v>33556</v>
      </c>
      <c r="BF216" s="338" t="s">
        <v>316</v>
      </c>
      <c r="BH216" s="338">
        <v>19.010000000000002</v>
      </c>
      <c r="BI216" s="338" t="s">
        <v>324</v>
      </c>
      <c r="BN216" s="340">
        <v>11.03</v>
      </c>
      <c r="BO216" s="340" t="s">
        <v>329</v>
      </c>
      <c r="BP216" s="1385"/>
      <c r="BQ216" s="1386">
        <v>33183</v>
      </c>
      <c r="BR216" s="338" t="s">
        <v>331</v>
      </c>
      <c r="BU216" s="858"/>
      <c r="BV216" s="338">
        <v>666</v>
      </c>
      <c r="BW216" s="338" t="s">
        <v>288</v>
      </c>
      <c r="CB216" s="340">
        <v>312.05</v>
      </c>
      <c r="CC216" s="340" t="s">
        <v>289</v>
      </c>
      <c r="CE216" s="341" t="str">
        <f t="array" ref="CE216">IFERROR(IF($CE$11="Metro",INDEX($BV$13:$BV$4972,SMALL(IF((County=$BW$13:$BW$4972),MATCH(ROW($BW$13:$BW$4972),ROW($BW$13:$BW$4972)),""),ROWS($A$13:$A216))),INDEX($BY$13:$BY$212,SMALL(IF((County=$BZ$13:$BZ$212),MATCH(ROW($BZ$13:$BZ$212),ROW($BZ$13:$BZ$212)),""),ROWS($A$13:$A216)))),"")</f>
        <v/>
      </c>
      <c r="CG216" s="341" t="str">
        <f t="array" ref="CG216">IFERROR(IF($CG$11="Yes",INDEX($CB$13:$CB$2950,SMALL(IF((County=$CC$13:$CC$2950),MATCH(ROW($CC$13:$CC$2950),ROW($CC$13:$CC$2950)),""),ROWS($A$13:$A216))),""),"")</f>
        <v/>
      </c>
      <c r="CI216" s="1387">
        <v>33470</v>
      </c>
      <c r="CJ216" s="338" t="s">
        <v>340</v>
      </c>
      <c r="CL216" s="236">
        <v>5.05</v>
      </c>
      <c r="CM216" s="236" t="s">
        <v>331</v>
      </c>
      <c r="CR216" s="340">
        <v>11.04</v>
      </c>
      <c r="CS216" s="340" t="s">
        <v>331</v>
      </c>
      <c r="CT216" s="1384"/>
      <c r="CU216" s="341">
        <v>33185</v>
      </c>
      <c r="CV216" s="338" t="s">
        <v>2579</v>
      </c>
      <c r="CZ216" s="1795">
        <v>19</v>
      </c>
      <c r="DA216" s="338" t="s">
        <v>304</v>
      </c>
      <c r="DF216" s="340">
        <v>402.03</v>
      </c>
      <c r="DG216" s="340" t="s">
        <v>289</v>
      </c>
      <c r="DK216" s="341" t="str">
        <f t="array" ref="DK216">IFERROR(IF($DK$11="Yes",INDEX($DF$13:$DF$2838,SMALL(IF((County=$DG$13:$DG$2838),MATCH(ROW($DG$13:$DG$2838),ROW($DG$13:$DG$2838)),""),ROWS($A$13:$A216))),""),"")</f>
        <v/>
      </c>
      <c r="DM216" s="1387">
        <v>33449</v>
      </c>
      <c r="DN216" s="338" t="s">
        <v>340</v>
      </c>
      <c r="DP216" s="236">
        <v>20.02</v>
      </c>
      <c r="DQ216" s="236" t="s">
        <v>329</v>
      </c>
      <c r="DV216" s="340">
        <v>12.03</v>
      </c>
      <c r="DW216" s="340" t="s">
        <v>328</v>
      </c>
      <c r="DX216" s="1671"/>
      <c r="EB216" s="618"/>
      <c r="EC216" s="618"/>
      <c r="ED216" s="618"/>
      <c r="EE216" s="618"/>
      <c r="EF216" s="618"/>
      <c r="EG216" s="618"/>
      <c r="EH216" s="618"/>
      <c r="EI216" s="618"/>
      <c r="EJ216" s="618"/>
      <c r="EK216" s="618"/>
      <c r="EL216" s="618"/>
      <c r="EM216" s="618"/>
    </row>
    <row r="217" spans="1:143">
      <c r="A217" s="339">
        <v>33156</v>
      </c>
      <c r="B217" s="338" t="s">
        <v>2579</v>
      </c>
      <c r="E217" s="858"/>
      <c r="F217" s="338">
        <v>9609</v>
      </c>
      <c r="G217" s="338" t="s">
        <v>315</v>
      </c>
      <c r="L217" s="2481">
        <v>402.05</v>
      </c>
      <c r="M217" s="340" t="s">
        <v>289</v>
      </c>
      <c r="N217" s="1390"/>
      <c r="O217" s="2479"/>
      <c r="P217" s="2282"/>
      <c r="T217" s="341" t="str">
        <f t="array" ref="T217">IFERROR(IF($T$11="Yes",INDEX($L$13:$L$2813,SMALL(IF((County=$M$13:$M$2813),MATCH(ROW($M$13:$M$2813),ROW($M$13:$M$2813)),""),ROWS($A$13:A217))),""),"")</f>
        <v/>
      </c>
      <c r="V217" s="2283" t="str">
        <f t="array" ref="V217">IFERROR(IF($T$11="Yes",INDEX($O$14:$O$2811,SMALL(IF((County=$P$14:$P$2811),MATCH(ROW($P$14:$P$2811),ROW($P$14:$P$2811)),""),ROWS($A$13:A217))),""),"")</f>
        <v/>
      </c>
      <c r="X217" s="339">
        <v>33418</v>
      </c>
      <c r="Y217" s="338" t="s">
        <v>340</v>
      </c>
      <c r="AA217" s="338">
        <v>24.04</v>
      </c>
      <c r="AB217" s="338" t="s">
        <v>331</v>
      </c>
      <c r="AG217" s="2297">
        <v>12.04</v>
      </c>
      <c r="AH217" s="2297" t="s">
        <v>347</v>
      </c>
      <c r="AI217" s="1390"/>
      <c r="AJ217" s="2282"/>
      <c r="AK217" s="2282"/>
      <c r="AL217" s="1037"/>
      <c r="AM217" s="339">
        <v>32814</v>
      </c>
      <c r="AN217" s="338" t="s">
        <v>338</v>
      </c>
      <c r="AQ217" s="858"/>
      <c r="AR217" s="338">
        <v>34</v>
      </c>
      <c r="AS217" s="338" t="s">
        <v>316</v>
      </c>
      <c r="AX217" s="340">
        <v>402.03</v>
      </c>
      <c r="AY217" s="340" t="s">
        <v>289</v>
      </c>
      <c r="BA217" s="341" t="str">
        <f t="array" ref="BA217">IFERROR(IF($BA$11="Metro",INDEX($AR$13:$AR$814,SMALL(IF((County=$AS$13:$AS$814),MATCH(ROW($AS$13:$AS$814),ROW($AS$13:$AS$814)),""),ROWS($A$13:$A217))),INDEX($AU$13:$AU$48,SMALL(IF((County=$AV$13:$AV$48),MATCH(ROW($AV$13:$AV$48),ROW($AV$13:$AV$48)),""),ROWS($A$13:$A217)))),"")</f>
        <v/>
      </c>
      <c r="BC217" s="341" t="str">
        <f t="array" ref="BC217">IFERROR(IF($BC$11="Yes",INDEX($AX$13:$AX$2950,SMALL(IF((County=$AY$13:$AY$2950),MATCH(ROW($AY$13:$AY$2950),ROW($AY$13:$AY$2950)),""),ROWS($A$13:$A217))),""),"")</f>
        <v/>
      </c>
      <c r="BE217" s="339">
        <v>33559</v>
      </c>
      <c r="BF217" s="338" t="s">
        <v>316</v>
      </c>
      <c r="BH217" s="338">
        <v>19.010000000000002</v>
      </c>
      <c r="BI217" s="338" t="s">
        <v>331</v>
      </c>
      <c r="BN217" s="340">
        <v>11.03</v>
      </c>
      <c r="BO217" s="340" t="s">
        <v>330</v>
      </c>
      <c r="BP217" s="1385"/>
      <c r="BQ217" s="1386">
        <v>33184</v>
      </c>
      <c r="BR217" s="338" t="s">
        <v>331</v>
      </c>
      <c r="BU217" s="858"/>
      <c r="BV217" s="338">
        <v>667</v>
      </c>
      <c r="BW217" s="338" t="s">
        <v>288</v>
      </c>
      <c r="CB217" s="340">
        <v>312.06</v>
      </c>
      <c r="CC217" s="340" t="s">
        <v>289</v>
      </c>
      <c r="CE217" s="341" t="str">
        <f t="array" ref="CE217">IFERROR(IF($CE$11="Metro",INDEX($BV$13:$BV$4972,SMALL(IF((County=$BW$13:$BW$4972),MATCH(ROW($BW$13:$BW$4972),ROW($BW$13:$BW$4972)),""),ROWS($A$13:$A217))),INDEX($BY$13:$BY$212,SMALL(IF((County=$BZ$13:$BZ$212),MATCH(ROW($BZ$13:$BZ$212),ROW($BZ$13:$BZ$212)),""),ROWS($A$13:$A217)))),"")</f>
        <v/>
      </c>
      <c r="CG217" s="341" t="str">
        <f t="array" ref="CG217">IFERROR(IF($CG$11="Yes",INDEX($CB$13:$CB$2950,SMALL(IF((County=$CC$13:$CC$2950),MATCH(ROW($CC$13:$CC$2950),ROW($CC$13:$CC$2950)),""),ROWS($A$13:$A217))),""),"")</f>
        <v/>
      </c>
      <c r="CI217" s="1387">
        <v>33472</v>
      </c>
      <c r="CJ217" s="338" t="s">
        <v>340</v>
      </c>
      <c r="CL217" s="236">
        <v>5.05</v>
      </c>
      <c r="CM217" s="236" t="s">
        <v>340</v>
      </c>
      <c r="CR217" s="340">
        <v>11.05</v>
      </c>
      <c r="CS217" s="340" t="s">
        <v>328</v>
      </c>
      <c r="CT217" s="1384"/>
      <c r="CU217" s="341">
        <v>33186</v>
      </c>
      <c r="CV217" s="338" t="s">
        <v>2579</v>
      </c>
      <c r="CZ217" s="1795">
        <v>20</v>
      </c>
      <c r="DA217" s="338" t="s">
        <v>304</v>
      </c>
      <c r="DF217" s="340">
        <v>402.04</v>
      </c>
      <c r="DG217" s="340" t="s">
        <v>289</v>
      </c>
      <c r="DK217" s="341" t="str">
        <f t="array" ref="DK217">IFERROR(IF($DK$11="Yes",INDEX($DF$13:$DF$2838,SMALL(IF((County=$DG$13:$DG$2838),MATCH(ROW($DG$13:$DG$2838),ROW($DG$13:$DG$2838)),""),ROWS($A$13:$A217))),""),"")</f>
        <v/>
      </c>
      <c r="DM217" s="1387">
        <v>33458</v>
      </c>
      <c r="DN217" s="338" t="s">
        <v>340</v>
      </c>
      <c r="DP217" s="236">
        <v>20.03</v>
      </c>
      <c r="DQ217" s="236" t="s">
        <v>324</v>
      </c>
      <c r="DV217" s="340">
        <v>12.03</v>
      </c>
      <c r="DW217" s="340" t="s">
        <v>347</v>
      </c>
      <c r="DX217" s="1671"/>
      <c r="EB217" s="618"/>
      <c r="EC217" s="618"/>
      <c r="ED217" s="618"/>
      <c r="EE217" s="618"/>
      <c r="EF217" s="618"/>
      <c r="EG217" s="618"/>
      <c r="EH217" s="618"/>
      <c r="EI217" s="618"/>
      <c r="EJ217" s="618"/>
      <c r="EK217" s="618"/>
      <c r="EL217" s="618"/>
      <c r="EM217" s="618"/>
    </row>
    <row r="218" spans="1:143">
      <c r="A218" s="339">
        <v>33158</v>
      </c>
      <c r="B218" s="338" t="s">
        <v>2579</v>
      </c>
      <c r="E218" s="858"/>
      <c r="F218" s="338">
        <v>9611</v>
      </c>
      <c r="G218" s="338" t="s">
        <v>315</v>
      </c>
      <c r="L218" s="2481">
        <v>402.06</v>
      </c>
      <c r="M218" s="340" t="s">
        <v>289</v>
      </c>
      <c r="N218" s="1390"/>
      <c r="O218" s="2479"/>
      <c r="P218" s="2282"/>
      <c r="T218" s="341" t="str">
        <f t="array" ref="T218">IFERROR(IF($T$11="Yes",INDEX($L$13:$L$2813,SMALL(IF((County=$M$13:$M$2813),MATCH(ROW($M$13:$M$2813),ROW($M$13:$M$2813)),""),ROWS($A$13:A218))),""),"")</f>
        <v/>
      </c>
      <c r="V218" s="2283" t="str">
        <f t="array" ref="V218">IFERROR(IF($T$11="Yes",INDEX($O$14:$O$2811,SMALL(IF((County=$P$14:$P$2811),MATCH(ROW($P$14:$P$2811),ROW($P$14:$P$2811)),""),ROWS($A$13:A218))),""),"")</f>
        <v/>
      </c>
      <c r="X218" s="339">
        <v>33426</v>
      </c>
      <c r="Y218" s="338" t="s">
        <v>340</v>
      </c>
      <c r="AA218" s="338">
        <v>25</v>
      </c>
      <c r="AB218" s="338" t="s">
        <v>316</v>
      </c>
      <c r="AG218" s="2297">
        <v>12.05</v>
      </c>
      <c r="AH218" s="2297" t="s">
        <v>329</v>
      </c>
      <c r="AI218" s="1390"/>
      <c r="AJ218" s="2282"/>
      <c r="AK218" s="2282"/>
      <c r="AL218" s="1037"/>
      <c r="AM218" s="339">
        <v>32817</v>
      </c>
      <c r="AN218" s="338" t="s">
        <v>338</v>
      </c>
      <c r="AQ218" s="858"/>
      <c r="AR218" s="338">
        <v>35</v>
      </c>
      <c r="AS218" s="338" t="s">
        <v>316</v>
      </c>
      <c r="AX218" s="340">
        <v>402.04</v>
      </c>
      <c r="AY218" s="340" t="s">
        <v>289</v>
      </c>
      <c r="BA218" s="341" t="str">
        <f t="array" ref="BA218">IFERROR(IF($BA$11="Metro",INDEX($AR$13:$AR$814,SMALL(IF((County=$AS$13:$AS$814),MATCH(ROW($AS$13:$AS$814),ROW($AS$13:$AS$814)),""),ROWS($A$13:$A218))),INDEX($AU$13:$AU$48,SMALL(IF((County=$AV$13:$AV$48),MATCH(ROW($AV$13:$AV$48),ROW($AV$13:$AV$48)),""),ROWS($A$13:$A218)))),"")</f>
        <v/>
      </c>
      <c r="BC218" s="341" t="str">
        <f t="array" ref="BC218">IFERROR(IF($BC$11="Yes",INDEX($AX$13:$AX$2950,SMALL(IF((County=$AY$13:$AY$2950),MATCH(ROW($AY$13:$AY$2950),ROW($AY$13:$AY$2950)),""),ROWS($A$13:$A218))),""),"")</f>
        <v/>
      </c>
      <c r="BE218" s="339">
        <v>33569</v>
      </c>
      <c r="BF218" s="338" t="s">
        <v>316</v>
      </c>
      <c r="BH218" s="338">
        <v>19.02</v>
      </c>
      <c r="BI218" s="338" t="s">
        <v>276</v>
      </c>
      <c r="BN218" s="340">
        <v>11.03</v>
      </c>
      <c r="BO218" s="340" t="s">
        <v>331</v>
      </c>
      <c r="BP218" s="1385"/>
      <c r="BQ218" s="1386">
        <v>33185</v>
      </c>
      <c r="BR218" s="338" t="s">
        <v>331</v>
      </c>
      <c r="BU218" s="858"/>
      <c r="BV218" s="338">
        <v>668</v>
      </c>
      <c r="BW218" s="338" t="s">
        <v>288</v>
      </c>
      <c r="CB218" s="340">
        <v>312.07</v>
      </c>
      <c r="CC218" s="340" t="s">
        <v>289</v>
      </c>
      <c r="CE218" s="341" t="str">
        <f t="array" ref="CE218">IFERROR(IF($CE$11="Metro",INDEX($BV$13:$BV$4972,SMALL(IF((County=$BW$13:$BW$4972),MATCH(ROW($BW$13:$BW$4972),ROW($BW$13:$BW$4972)),""),ROWS($A$13:$A218))),INDEX($BY$13:$BY$212,SMALL(IF((County=$BZ$13:$BZ$212),MATCH(ROW($BZ$13:$BZ$212),ROW($BZ$13:$BZ$212)),""),ROWS($A$13:$A218)))),"")</f>
        <v/>
      </c>
      <c r="CG218" s="341" t="str">
        <f t="array" ref="CG218">IFERROR(IF($CG$11="Yes",INDEX($CB$13:$CB$2950,SMALL(IF((County=$CC$13:$CC$2950),MATCH(ROW($CC$13:$CC$2950),ROW($CC$13:$CC$2950)),""),ROWS($A$13:$A218))),""),"")</f>
        <v/>
      </c>
      <c r="CI218" s="1387">
        <v>33473</v>
      </c>
      <c r="CJ218" s="338" t="s">
        <v>340</v>
      </c>
      <c r="CL218" s="236">
        <v>5.0599999999999996</v>
      </c>
      <c r="CM218" s="236" t="s">
        <v>331</v>
      </c>
      <c r="CR218" s="340">
        <v>11.05</v>
      </c>
      <c r="CS218" s="340" t="s">
        <v>329</v>
      </c>
      <c r="CT218" s="1384"/>
      <c r="CU218" s="341">
        <v>33187</v>
      </c>
      <c r="CV218" s="338" t="s">
        <v>2579</v>
      </c>
      <c r="CZ218" s="1795">
        <v>21</v>
      </c>
      <c r="DA218" s="338" t="s">
        <v>304</v>
      </c>
      <c r="DF218" s="340">
        <v>402.06</v>
      </c>
      <c r="DG218" s="340" t="s">
        <v>289</v>
      </c>
      <c r="DK218" s="341" t="str">
        <f t="array" ref="DK218">IFERROR(IF($DK$11="Yes",INDEX($DF$13:$DF$2838,SMALL(IF((County=$DG$13:$DG$2838),MATCH(ROW($DG$13:$DG$2838),ROW($DG$13:$DG$2838)),""),ROWS($A$13:$A218))),""),"")</f>
        <v/>
      </c>
      <c r="DM218" s="1387">
        <v>33462</v>
      </c>
      <c r="DN218" s="338" t="s">
        <v>340</v>
      </c>
      <c r="DP218" s="236">
        <v>20.03</v>
      </c>
      <c r="DQ218" s="236" t="s">
        <v>331</v>
      </c>
      <c r="DV218" s="340">
        <v>12.04</v>
      </c>
      <c r="DW218" s="340" t="s">
        <v>323</v>
      </c>
      <c r="DX218" s="1671"/>
      <c r="EB218" s="618"/>
      <c r="EC218" s="618"/>
      <c r="ED218" s="618"/>
      <c r="EE218" s="618"/>
      <c r="EF218" s="618"/>
      <c r="EG218" s="618"/>
      <c r="EH218" s="618"/>
      <c r="EI218" s="618"/>
      <c r="EJ218" s="618"/>
      <c r="EK218" s="618"/>
      <c r="EL218" s="618"/>
      <c r="EM218" s="618"/>
    </row>
    <row r="219" spans="1:143">
      <c r="A219" s="339">
        <v>33160</v>
      </c>
      <c r="B219" s="338" t="s">
        <v>2579</v>
      </c>
      <c r="E219" s="858"/>
      <c r="F219" s="338">
        <v>9612.01</v>
      </c>
      <c r="G219" s="338" t="s">
        <v>315</v>
      </c>
      <c r="L219" s="2481">
        <v>404.01</v>
      </c>
      <c r="M219" s="340" t="s">
        <v>289</v>
      </c>
      <c r="N219" s="1390"/>
      <c r="O219" s="2479"/>
      <c r="P219" s="2282"/>
      <c r="T219" s="341" t="str">
        <f t="array" ref="T219">IFERROR(IF($T$11="Yes",INDEX($L$13:$L$2813,SMALL(IF((County=$M$13:$M$2813),MATCH(ROW($M$13:$M$2813),ROW($M$13:$M$2813)),""),ROWS($A$13:A219))),""),"")</f>
        <v/>
      </c>
      <c r="V219" s="2283" t="str">
        <f t="array" ref="V219">IFERROR(IF($T$11="Yes",INDEX($O$14:$O$2811,SMALL(IF((County=$P$14:$P$2811),MATCH(ROW($P$14:$P$2811),ROW($P$14:$P$2811)),""),ROWS($A$13:A219))),""),"")</f>
        <v/>
      </c>
      <c r="X219" s="339">
        <v>33428</v>
      </c>
      <c r="Y219" s="338" t="s">
        <v>340</v>
      </c>
      <c r="AA219" s="338">
        <v>25.01</v>
      </c>
      <c r="AB219" s="338" t="s">
        <v>302</v>
      </c>
      <c r="AG219" s="2297">
        <v>12.05</v>
      </c>
      <c r="AH219" s="2297" t="s">
        <v>331</v>
      </c>
      <c r="AI219" s="1390"/>
      <c r="AJ219" s="2282"/>
      <c r="AK219" s="2282"/>
      <c r="AL219" s="1037"/>
      <c r="AM219" s="339">
        <v>32819</v>
      </c>
      <c r="AN219" s="338" t="s">
        <v>338</v>
      </c>
      <c r="AQ219" s="858"/>
      <c r="AR219" s="338">
        <v>36</v>
      </c>
      <c r="AS219" s="338" t="s">
        <v>316</v>
      </c>
      <c r="AX219" s="340">
        <v>402.05</v>
      </c>
      <c r="AY219" s="340" t="s">
        <v>289</v>
      </c>
      <c r="BA219" s="341" t="str">
        <f t="array" ref="BA219">IFERROR(IF($BA$11="Metro",INDEX($AR$13:$AR$814,SMALL(IF((County=$AS$13:$AS$814),MATCH(ROW($AS$13:$AS$814),ROW($AS$13:$AS$814)),""),ROWS($A$13:$A219))),INDEX($AU$13:$AU$48,SMALL(IF((County=$AV$13:$AV$48),MATCH(ROW($AV$13:$AV$48),ROW($AV$13:$AV$48)),""),ROWS($A$13:$A219)))),"")</f>
        <v/>
      </c>
      <c r="BC219" s="341" t="str">
        <f t="array" ref="BC219">IFERROR(IF($BC$11="Yes",INDEX($AX$13:$AX$2950,SMALL(IF((County=$AY$13:$AY$2950),MATCH(ROW($AY$13:$AY$2950),ROW($AY$13:$AY$2950)),""),ROWS($A$13:$A219))),""),"")</f>
        <v/>
      </c>
      <c r="BE219" s="339">
        <v>33572</v>
      </c>
      <c r="BF219" s="338" t="s">
        <v>316</v>
      </c>
      <c r="BH219" s="338">
        <v>19.02</v>
      </c>
      <c r="BI219" s="338" t="s">
        <v>324</v>
      </c>
      <c r="BN219" s="340">
        <v>11.04</v>
      </c>
      <c r="BO219" s="340" t="s">
        <v>304</v>
      </c>
      <c r="BP219" s="1385"/>
      <c r="BQ219" s="1386">
        <v>33186</v>
      </c>
      <c r="BR219" s="338" t="s">
        <v>331</v>
      </c>
      <c r="BU219" s="858"/>
      <c r="BV219" s="338">
        <v>669</v>
      </c>
      <c r="BW219" s="338" t="s">
        <v>288</v>
      </c>
      <c r="CB219" s="340">
        <v>401.02</v>
      </c>
      <c r="CC219" s="340" t="s">
        <v>289</v>
      </c>
      <c r="CE219" s="341" t="str">
        <f t="array" ref="CE219">IFERROR(IF($CE$11="Metro",INDEX($BV$13:$BV$4972,SMALL(IF((County=$BW$13:$BW$4972),MATCH(ROW($BW$13:$BW$4972),ROW($BW$13:$BW$4972)),""),ROWS($A$13:$A219))),INDEX($BY$13:$BY$212,SMALL(IF((County=$BZ$13:$BZ$212),MATCH(ROW($BZ$13:$BZ$212),ROW($BZ$13:$BZ$212)),""),ROWS($A$13:$A219)))),"")</f>
        <v/>
      </c>
      <c r="CG219" s="341" t="str">
        <f t="array" ref="CG219">IFERROR(IF($CG$11="Yes",INDEX($CB$13:$CB$2950,SMALL(IF((County=$CC$13:$CC$2950),MATCH(ROW($CC$13:$CC$2950),ROW($CC$13:$CC$2950)),""),ROWS($A$13:$A219))),""),"")</f>
        <v/>
      </c>
      <c r="CI219" s="1387">
        <v>33477</v>
      </c>
      <c r="CJ219" s="338" t="s">
        <v>340</v>
      </c>
      <c r="CL219" s="236">
        <v>5.07</v>
      </c>
      <c r="CM219" s="236" t="s">
        <v>331</v>
      </c>
      <c r="CR219" s="340">
        <v>11.05</v>
      </c>
      <c r="CS219" s="340" t="s">
        <v>330</v>
      </c>
      <c r="CT219" s="1384"/>
      <c r="CU219" s="341">
        <v>33189</v>
      </c>
      <c r="CV219" s="338" t="s">
        <v>2579</v>
      </c>
      <c r="CZ219" s="1795">
        <v>27.03</v>
      </c>
      <c r="DA219" s="338" t="s">
        <v>304</v>
      </c>
      <c r="DF219" s="340">
        <v>404.01</v>
      </c>
      <c r="DG219" s="340" t="s">
        <v>289</v>
      </c>
      <c r="DK219" s="341" t="str">
        <f t="array" ref="DK219">IFERROR(IF($DK$11="Yes",INDEX($DF$13:$DF$2838,SMALL(IF((County=$DG$13:$DG$2838),MATCH(ROW($DG$13:$DG$2838),ROW($DG$13:$DG$2838)),""),ROWS($A$13:$A219))),""),"")</f>
        <v/>
      </c>
      <c r="DM219" s="1387">
        <v>33467</v>
      </c>
      <c r="DN219" s="338" t="s">
        <v>340</v>
      </c>
      <c r="DP219" s="236">
        <v>20.04</v>
      </c>
      <c r="DQ219" s="236" t="s">
        <v>331</v>
      </c>
      <c r="DV219" s="340">
        <v>12.04</v>
      </c>
      <c r="DW219" s="340" t="s">
        <v>328</v>
      </c>
      <c r="DX219" s="1671"/>
      <c r="EB219" s="618"/>
      <c r="EC219" s="618"/>
      <c r="ED219" s="618"/>
      <c r="EE219" s="618"/>
      <c r="EF219" s="618"/>
      <c r="EG219" s="618"/>
      <c r="EH219" s="618"/>
      <c r="EI219" s="618"/>
      <c r="EJ219" s="618"/>
      <c r="EK219" s="618"/>
      <c r="EL219" s="618"/>
      <c r="EM219" s="618"/>
    </row>
    <row r="220" spans="1:143">
      <c r="A220" s="339">
        <v>33165</v>
      </c>
      <c r="B220" s="338" t="s">
        <v>2579</v>
      </c>
      <c r="E220" s="858"/>
      <c r="F220" s="338">
        <v>1.01</v>
      </c>
      <c r="G220" s="338" t="s">
        <v>316</v>
      </c>
      <c r="L220" s="2481">
        <v>404.02</v>
      </c>
      <c r="M220" s="340" t="s">
        <v>289</v>
      </c>
      <c r="N220" s="1390"/>
      <c r="O220" s="2479"/>
      <c r="P220" s="2282"/>
      <c r="T220" s="341" t="str">
        <f t="array" ref="T220">IFERROR(IF($T$11="Yes",INDEX($L$13:$L$2813,SMALL(IF((County=$M$13:$M$2813),MATCH(ROW($M$13:$M$2813),ROW($M$13:$M$2813)),""),ROWS($A$13:A220))),""),"")</f>
        <v/>
      </c>
      <c r="V220" s="2283" t="str">
        <f t="array" ref="V220">IFERROR(IF($T$11="Yes",INDEX($O$14:$O$2811,SMALL(IF((County=$P$14:$P$2811),MATCH(ROW($P$14:$P$2811),ROW($P$14:$P$2811)),""),ROWS($A$13:A220))),""),"")</f>
        <v/>
      </c>
      <c r="X220" s="339">
        <v>33431</v>
      </c>
      <c r="Y220" s="338" t="s">
        <v>340</v>
      </c>
      <c r="AA220" s="338">
        <v>25.01</v>
      </c>
      <c r="AB220" s="338" t="s">
        <v>331</v>
      </c>
      <c r="AG220" s="2297">
        <v>12.06</v>
      </c>
      <c r="AH220" s="2297" t="s">
        <v>323</v>
      </c>
      <c r="AI220" s="1390"/>
      <c r="AJ220" s="2282"/>
      <c r="AK220" s="2282"/>
      <c r="AL220" s="1037"/>
      <c r="AM220" s="339">
        <v>32820</v>
      </c>
      <c r="AN220" s="338" t="s">
        <v>338</v>
      </c>
      <c r="AQ220" s="858"/>
      <c r="AR220" s="338">
        <v>37</v>
      </c>
      <c r="AS220" s="338" t="s">
        <v>316</v>
      </c>
      <c r="AX220" s="340">
        <v>402.06</v>
      </c>
      <c r="AY220" s="340" t="s">
        <v>289</v>
      </c>
      <c r="BA220" s="341" t="str">
        <f t="array" ref="BA220">IFERROR(IF($BA$11="Metro",INDEX($AR$13:$AR$814,SMALL(IF((County=$AS$13:$AS$814),MATCH(ROW($AS$13:$AS$814),ROW($AS$13:$AS$814)),""),ROWS($A$13:$A220))),INDEX($AU$13:$AU$48,SMALL(IF((County=$AV$13:$AV$48),MATCH(ROW($AV$13:$AV$48),ROW($AV$13:$AV$48)),""),ROWS($A$13:$A220)))),"")</f>
        <v/>
      </c>
      <c r="BC220" s="341" t="str">
        <f t="array" ref="BC220">IFERROR(IF($BC$11="Yes",INDEX($AX$13:$AX$2950,SMALL(IF((County=$AY$13:$AY$2950),MATCH(ROW($AY$13:$AY$2950),ROW($AY$13:$AY$2950)),""),ROWS($A$13:$A220))),""),"")</f>
        <v/>
      </c>
      <c r="BE220" s="339">
        <v>33573</v>
      </c>
      <c r="BF220" s="338" t="s">
        <v>316</v>
      </c>
      <c r="BH220" s="338">
        <v>19.03</v>
      </c>
      <c r="BI220" s="338" t="s">
        <v>331</v>
      </c>
      <c r="BN220" s="340">
        <v>11.04</v>
      </c>
      <c r="BO220" s="340" t="s">
        <v>328</v>
      </c>
      <c r="BP220" s="1385"/>
      <c r="BQ220" s="1386">
        <v>33187</v>
      </c>
      <c r="BR220" s="338" t="s">
        <v>331</v>
      </c>
      <c r="BU220" s="858"/>
      <c r="BV220" s="338">
        <v>671</v>
      </c>
      <c r="BW220" s="338" t="s">
        <v>288</v>
      </c>
      <c r="CB220" s="340">
        <v>402.03</v>
      </c>
      <c r="CC220" s="340" t="s">
        <v>289</v>
      </c>
      <c r="CE220" s="341" t="str">
        <f t="array" ref="CE220">IFERROR(IF($CE$11="Metro",INDEX($BV$13:$BV$4972,SMALL(IF((County=$BW$13:$BW$4972),MATCH(ROW($BW$13:$BW$4972),ROW($BW$13:$BW$4972)),""),ROWS($A$13:$A220))),INDEX($BY$13:$BY$212,SMALL(IF((County=$BZ$13:$BZ$212),MATCH(ROW($BZ$13:$BZ$212),ROW($BZ$13:$BZ$212)),""),ROWS($A$13:$A220)))),"")</f>
        <v/>
      </c>
      <c r="CG220" s="341" t="str">
        <f t="array" ref="CG220">IFERROR(IF($CG$11="Yes",INDEX($CB$13:$CB$2950,SMALL(IF((County=$CC$13:$CC$2950),MATCH(ROW($CC$13:$CC$2950),ROW($CC$13:$CC$2950)),""),ROWS($A$13:$A220))),""),"")</f>
        <v/>
      </c>
      <c r="CI220" s="1583">
        <v>33478</v>
      </c>
      <c r="CJ220" s="338" t="s">
        <v>340</v>
      </c>
      <c r="CL220" s="236">
        <v>5.07</v>
      </c>
      <c r="CM220" s="236" t="s">
        <v>340</v>
      </c>
      <c r="CR220" s="340">
        <v>11.06</v>
      </c>
      <c r="CS220" s="340" t="s">
        <v>329</v>
      </c>
      <c r="CT220" s="1384"/>
      <c r="CU220" s="341">
        <v>33190</v>
      </c>
      <c r="CV220" s="338" t="s">
        <v>2579</v>
      </c>
      <c r="CZ220" s="1795">
        <v>28.03</v>
      </c>
      <c r="DA220" s="338" t="s">
        <v>304</v>
      </c>
      <c r="DF220" s="340">
        <v>404.02</v>
      </c>
      <c r="DG220" s="340" t="s">
        <v>289</v>
      </c>
      <c r="DK220" s="341" t="str">
        <f t="array" ref="DK220">IFERROR(IF($DK$11="Yes",INDEX($DF$13:$DF$2838,SMALL(IF((County=$DG$13:$DG$2838),MATCH(ROW($DG$13:$DG$2838),ROW($DG$13:$DG$2838)),""),ROWS($A$13:$A220))),""),"")</f>
        <v/>
      </c>
      <c r="DM220" s="1387">
        <v>33469</v>
      </c>
      <c r="DN220" s="338" t="s">
        <v>340</v>
      </c>
      <c r="DP220" s="236">
        <v>20.05</v>
      </c>
      <c r="DQ220" s="236" t="s">
        <v>324</v>
      </c>
      <c r="DV220" s="340">
        <v>12.04</v>
      </c>
      <c r="DW220" s="340" t="s">
        <v>347</v>
      </c>
      <c r="DX220" s="1671"/>
      <c r="EB220" s="618"/>
      <c r="EC220" s="618"/>
      <c r="ED220" s="618"/>
      <c r="EE220" s="618"/>
      <c r="EF220" s="618"/>
      <c r="EG220" s="618"/>
      <c r="EH220" s="618"/>
      <c r="EI220" s="618"/>
      <c r="EJ220" s="618"/>
      <c r="EK220" s="618"/>
      <c r="EL220" s="618"/>
      <c r="EM220" s="618"/>
    </row>
    <row r="221" spans="1:143">
      <c r="A221" s="339">
        <v>33166</v>
      </c>
      <c r="B221" s="338" t="s">
        <v>2579</v>
      </c>
      <c r="E221" s="858"/>
      <c r="F221" s="338">
        <v>1.02</v>
      </c>
      <c r="G221" s="338" t="s">
        <v>316</v>
      </c>
      <c r="L221" s="2481">
        <v>405.02</v>
      </c>
      <c r="M221" s="340" t="s">
        <v>289</v>
      </c>
      <c r="N221" s="1390"/>
      <c r="O221" s="2479"/>
      <c r="P221" s="2282"/>
      <c r="T221" s="341" t="str">
        <f t="array" ref="T221">IFERROR(IF($T$11="Yes",INDEX($L$13:$L$2813,SMALL(IF((County=$M$13:$M$2813),MATCH(ROW($M$13:$M$2813),ROW($M$13:$M$2813)),""),ROWS($A$13:A221))),""),"")</f>
        <v/>
      </c>
      <c r="V221" s="2283" t="str">
        <f t="array" ref="V221">IFERROR(IF($T$11="Yes",INDEX($O$14:$O$2811,SMALL(IF((County=$P$14:$P$2811),MATCH(ROW($P$14:$P$2811),ROW($P$14:$P$2811)),""),ROWS($A$13:A221))),""),"")</f>
        <v/>
      </c>
      <c r="X221" s="339">
        <v>33432</v>
      </c>
      <c r="Y221" s="338" t="s">
        <v>340</v>
      </c>
      <c r="AA221" s="338">
        <v>25.02</v>
      </c>
      <c r="AB221" s="338" t="s">
        <v>331</v>
      </c>
      <c r="AG221" s="2297">
        <v>12.06</v>
      </c>
      <c r="AH221" s="2297" t="s">
        <v>331</v>
      </c>
      <c r="AI221" s="1390"/>
      <c r="AJ221" s="2282"/>
      <c r="AK221" s="2282"/>
      <c r="AL221" s="1037"/>
      <c r="AM221" s="339">
        <v>32821</v>
      </c>
      <c r="AN221" s="338" t="s">
        <v>338</v>
      </c>
      <c r="AQ221" s="858"/>
      <c r="AR221" s="338">
        <v>38</v>
      </c>
      <c r="AS221" s="338" t="s">
        <v>316</v>
      </c>
      <c r="AX221" s="340">
        <v>403</v>
      </c>
      <c r="AY221" s="340" t="s">
        <v>289</v>
      </c>
      <c r="BA221" s="341" t="str">
        <f t="array" ref="BA221">IFERROR(IF($BA$11="Metro",INDEX($AR$13:$AR$814,SMALL(IF((County=$AS$13:$AS$814),MATCH(ROW($AS$13:$AS$814),ROW($AS$13:$AS$814)),""),ROWS($A$13:$A221))),INDEX($AU$13:$AU$48,SMALL(IF((County=$AV$13:$AV$48),MATCH(ROW($AV$13:$AV$48),ROW($AV$13:$AV$48)),""),ROWS($A$13:$A221)))),"")</f>
        <v/>
      </c>
      <c r="BC221" s="341" t="str">
        <f t="array" ref="BC221">IFERROR(IF($BC$11="Yes",INDEX($AX$13:$AX$2950,SMALL(IF((County=$AY$13:$AY$2950),MATCH(ROW($AY$13:$AY$2950),ROW($AY$13:$AY$2950)),""),ROWS($A$13:$A221))),""),"")</f>
        <v/>
      </c>
      <c r="BE221" s="339">
        <v>33578</v>
      </c>
      <c r="BF221" s="338" t="s">
        <v>316</v>
      </c>
      <c r="BH221" s="338">
        <v>19.04</v>
      </c>
      <c r="BI221" s="338" t="s">
        <v>331</v>
      </c>
      <c r="BN221" s="340">
        <v>11.04</v>
      </c>
      <c r="BO221" s="340" t="s">
        <v>331</v>
      </c>
      <c r="BP221" s="1385"/>
      <c r="BQ221" s="1386">
        <v>33190</v>
      </c>
      <c r="BR221" s="338" t="s">
        <v>331</v>
      </c>
      <c r="BU221" s="858"/>
      <c r="BV221" s="338">
        <v>681.01</v>
      </c>
      <c r="BW221" s="338" t="s">
        <v>288</v>
      </c>
      <c r="CB221" s="340">
        <v>402.04</v>
      </c>
      <c r="CC221" s="340" t="s">
        <v>289</v>
      </c>
      <c r="CE221" s="341" t="str">
        <f t="array" ref="CE221">IFERROR(IF($CE$11="Metro",INDEX($BV$13:$BV$4972,SMALL(IF((County=$BW$13:$BW$4972),MATCH(ROW($BW$13:$BW$4972),ROW($BW$13:$BW$4972)),""),ROWS($A$13:$A221))),INDEX($BY$13:$BY$212,SMALL(IF((County=$BZ$13:$BZ$212),MATCH(ROW($BZ$13:$BZ$212),ROW($BZ$13:$BZ$212)),""),ROWS($A$13:$A221)))),"")</f>
        <v/>
      </c>
      <c r="CG221" s="341" t="str">
        <f t="array" ref="CG221">IFERROR(IF($CG$11="Yes",INDEX($CB$13:$CB$2950,SMALL(IF((County=$CC$13:$CC$2950),MATCH(ROW($CC$13:$CC$2950),ROW($CC$13:$CC$2950)),""),ROWS($A$13:$A221))),""),"")</f>
        <v/>
      </c>
      <c r="CI221" s="1387">
        <v>33480</v>
      </c>
      <c r="CJ221" s="338" t="s">
        <v>340</v>
      </c>
      <c r="CL221" s="236">
        <v>5.08</v>
      </c>
      <c r="CM221" s="236" t="s">
        <v>331</v>
      </c>
      <c r="CR221" s="340">
        <v>11.06</v>
      </c>
      <c r="CS221" s="340" t="s">
        <v>330</v>
      </c>
      <c r="CT221" s="1384"/>
      <c r="CU221" s="341">
        <v>33193</v>
      </c>
      <c r="CV221" s="338" t="s">
        <v>2579</v>
      </c>
      <c r="CZ221" s="1795">
        <v>29</v>
      </c>
      <c r="DA221" s="338" t="s">
        <v>304</v>
      </c>
      <c r="DF221" s="340">
        <v>405.02</v>
      </c>
      <c r="DG221" s="340" t="s">
        <v>289</v>
      </c>
      <c r="DK221" s="341" t="str">
        <f t="array" ref="DK221">IFERROR(IF($DK$11="Yes",INDEX($DF$13:$DF$2838,SMALL(IF((County=$DG$13:$DG$2838),MATCH(ROW($DG$13:$DG$2838),ROW($DG$13:$DG$2838)),""),ROWS($A$13:$A221))),""),"")</f>
        <v/>
      </c>
      <c r="DM221" s="1387">
        <v>33470</v>
      </c>
      <c r="DN221" s="338" t="s">
        <v>340</v>
      </c>
      <c r="DP221" s="236">
        <v>20.059999999999999</v>
      </c>
      <c r="DQ221" s="236" t="s">
        <v>324</v>
      </c>
      <c r="DV221" s="340">
        <v>12.05</v>
      </c>
      <c r="DW221" s="340" t="s">
        <v>323</v>
      </c>
      <c r="DX221" s="1671"/>
      <c r="EB221" s="618"/>
      <c r="EC221" s="618"/>
      <c r="ED221" s="618"/>
      <c r="EE221" s="618"/>
      <c r="EF221" s="618"/>
      <c r="EG221" s="618"/>
      <c r="EH221" s="618"/>
      <c r="EI221" s="618"/>
      <c r="EJ221" s="618"/>
      <c r="EK221" s="618"/>
      <c r="EL221" s="618"/>
      <c r="EM221" s="618"/>
    </row>
    <row r="222" spans="1:143">
      <c r="A222" s="339">
        <v>33172</v>
      </c>
      <c r="B222" s="338" t="s">
        <v>2579</v>
      </c>
      <c r="E222" s="858"/>
      <c r="F222" s="338">
        <v>2.0099999999999998</v>
      </c>
      <c r="G222" s="338" t="s">
        <v>316</v>
      </c>
      <c r="L222" s="2481">
        <v>405.05</v>
      </c>
      <c r="M222" s="340" t="s">
        <v>289</v>
      </c>
      <c r="N222" s="1390"/>
      <c r="O222" s="2479"/>
      <c r="P222" s="2282"/>
      <c r="T222" s="341" t="str">
        <f t="array" ref="T222">IFERROR(IF($T$11="Yes",INDEX($L$13:$L$2813,SMALL(IF((County=$M$13:$M$2813),MATCH(ROW($M$13:$M$2813),ROW($M$13:$M$2813)),""),ROWS($A$13:A222))),""),"")</f>
        <v/>
      </c>
      <c r="V222" s="2283" t="str">
        <f t="array" ref="V222">IFERROR(IF($T$11="Yes",INDEX($O$14:$O$2811,SMALL(IF((County=$P$14:$P$2811),MATCH(ROW($P$14:$P$2811),ROW($P$14:$P$2811)),""),ROWS($A$13:A222))),""),"")</f>
        <v/>
      </c>
      <c r="X222" s="339">
        <v>33433</v>
      </c>
      <c r="Y222" s="338" t="s">
        <v>340</v>
      </c>
      <c r="AA222" s="338">
        <v>26</v>
      </c>
      <c r="AB222" s="338" t="s">
        <v>302</v>
      </c>
      <c r="AG222" s="2297">
        <v>12.07</v>
      </c>
      <c r="AH222" s="2297" t="s">
        <v>323</v>
      </c>
      <c r="AI222" s="1390"/>
      <c r="AJ222" s="2282"/>
      <c r="AK222" s="2282"/>
      <c r="AL222" s="1037"/>
      <c r="AM222" s="339">
        <v>32822</v>
      </c>
      <c r="AN222" s="338" t="s">
        <v>338</v>
      </c>
      <c r="AQ222" s="858"/>
      <c r="AR222" s="338">
        <v>41</v>
      </c>
      <c r="AS222" s="338" t="s">
        <v>316</v>
      </c>
      <c r="AX222" s="340">
        <v>404.01</v>
      </c>
      <c r="AY222" s="340" t="s">
        <v>289</v>
      </c>
      <c r="BA222" s="341" t="str">
        <f t="array" ref="BA222">IFERROR(IF($BA$11="Metro",INDEX($AR$13:$AR$814,SMALL(IF((County=$AS$13:$AS$814),MATCH(ROW($AS$13:$AS$814),ROW($AS$13:$AS$814)),""),ROWS($A$13:$A222))),INDEX($AU$13:$AU$48,SMALL(IF((County=$AV$13:$AV$48),MATCH(ROW($AV$13:$AV$48),ROW($AV$13:$AV$48)),""),ROWS($A$13:$A222)))),"")</f>
        <v/>
      </c>
      <c r="BC222" s="341" t="str">
        <f t="array" ref="BC222">IFERROR(IF($BC$11="Yes",INDEX($AX$13:$AX$2950,SMALL(IF((County=$AY$13:$AY$2950),MATCH(ROW($AY$13:$AY$2950),ROW($AY$13:$AY$2950)),""),ROWS($A$13:$A222))),""),"")</f>
        <v/>
      </c>
      <c r="BE222" s="339">
        <v>33579</v>
      </c>
      <c r="BF222" s="338" t="s">
        <v>316</v>
      </c>
      <c r="BH222" s="338">
        <v>19.09</v>
      </c>
      <c r="BI222" s="338" t="s">
        <v>340</v>
      </c>
      <c r="BN222" s="340">
        <v>11.05</v>
      </c>
      <c r="BO222" s="340" t="s">
        <v>328</v>
      </c>
      <c r="BP222" s="1385"/>
      <c r="BQ222" s="1386">
        <v>33193</v>
      </c>
      <c r="BR222" s="338" t="s">
        <v>331</v>
      </c>
      <c r="BU222" s="858"/>
      <c r="BV222" s="338">
        <v>681.02</v>
      </c>
      <c r="BW222" s="338" t="s">
        <v>288</v>
      </c>
      <c r="CB222" s="340">
        <v>402.05</v>
      </c>
      <c r="CC222" s="340" t="s">
        <v>289</v>
      </c>
      <c r="CE222" s="341" t="str">
        <f t="array" ref="CE222">IFERROR(IF($CE$11="Metro",INDEX($BV$13:$BV$4972,SMALL(IF((County=$BW$13:$BW$4972),MATCH(ROW($BW$13:$BW$4972),ROW($BW$13:$BW$4972)),""),ROWS($A$13:$A222))),INDEX($BY$13:$BY$212,SMALL(IF((County=$BZ$13:$BZ$212),MATCH(ROW($BZ$13:$BZ$212),ROW($BZ$13:$BZ$212)),""),ROWS($A$13:$A222)))),"")</f>
        <v/>
      </c>
      <c r="CG222" s="341" t="str">
        <f t="array" ref="CG222">IFERROR(IF($CG$11="Yes",INDEX($CB$13:$CB$2950,SMALL(IF((County=$CC$13:$CC$2950),MATCH(ROW($CC$13:$CC$2950),ROW($CC$13:$CC$2950)),""),ROWS($A$13:$A222))),""),"")</f>
        <v/>
      </c>
      <c r="CI222" s="1387">
        <v>33483</v>
      </c>
      <c r="CJ222" s="338" t="s">
        <v>340</v>
      </c>
      <c r="CL222" s="236">
        <v>5.09</v>
      </c>
      <c r="CM222" s="236" t="s">
        <v>331</v>
      </c>
      <c r="CR222" s="340">
        <v>11.07</v>
      </c>
      <c r="CS222" s="340" t="s">
        <v>328</v>
      </c>
      <c r="CT222" s="1384"/>
      <c r="CU222" s="341">
        <v>33194</v>
      </c>
      <c r="CV222" s="338" t="s">
        <v>2579</v>
      </c>
      <c r="CZ222" s="1795">
        <v>31</v>
      </c>
      <c r="DA222" s="338" t="s">
        <v>304</v>
      </c>
      <c r="DF222" s="340">
        <v>405.05</v>
      </c>
      <c r="DG222" s="340" t="s">
        <v>289</v>
      </c>
      <c r="DK222" s="341" t="str">
        <f t="array" ref="DK222">IFERROR(IF($DK$11="Yes",INDEX($DF$13:$DF$2838,SMALL(IF((County=$DG$13:$DG$2838),MATCH(ROW($DG$13:$DG$2838),ROW($DG$13:$DG$2838)),""),ROWS($A$13:$A222))),""),"")</f>
        <v/>
      </c>
      <c r="DM222" s="1387">
        <v>33472</v>
      </c>
      <c r="DN222" s="338" t="s">
        <v>340</v>
      </c>
      <c r="DP222" s="236">
        <v>20.07</v>
      </c>
      <c r="DQ222" s="236" t="s">
        <v>324</v>
      </c>
      <c r="DV222" s="340">
        <v>12.05</v>
      </c>
      <c r="DW222" s="340" t="s">
        <v>329</v>
      </c>
      <c r="DX222" s="1671"/>
      <c r="EB222" s="618"/>
      <c r="EC222" s="618"/>
      <c r="ED222" s="618"/>
      <c r="EE222" s="618"/>
      <c r="EF222" s="618"/>
      <c r="EG222" s="618"/>
      <c r="EH222" s="618"/>
      <c r="EI222" s="618"/>
      <c r="EJ222" s="618"/>
      <c r="EK222" s="618"/>
      <c r="EL222" s="618"/>
      <c r="EM222" s="618"/>
    </row>
    <row r="223" spans="1:143">
      <c r="A223" s="339">
        <v>33173</v>
      </c>
      <c r="B223" s="338" t="s">
        <v>2579</v>
      </c>
      <c r="E223" s="858"/>
      <c r="F223" s="338">
        <v>2.02</v>
      </c>
      <c r="G223" s="338" t="s">
        <v>316</v>
      </c>
      <c r="L223" s="2481">
        <v>405.06</v>
      </c>
      <c r="M223" s="340" t="s">
        <v>289</v>
      </c>
      <c r="N223" s="1390"/>
      <c r="O223" s="2479"/>
      <c r="P223" s="2282"/>
      <c r="T223" s="341" t="str">
        <f t="array" ref="T223">IFERROR(IF($T$11="Yes",INDEX($L$13:$L$2813,SMALL(IF((County=$M$13:$M$2813),MATCH(ROW($M$13:$M$2813),ROW($M$13:$M$2813)),""),ROWS($A$13:A223))),""),"")</f>
        <v/>
      </c>
      <c r="V223" s="2283" t="str">
        <f t="array" ref="V223">IFERROR(IF($T$11="Yes",INDEX($O$14:$O$2811,SMALL(IF((County=$P$14:$P$2811),MATCH(ROW($P$14:$P$2811),ROW($P$14:$P$2811)),""),ROWS($A$13:A223))),""),"")</f>
        <v/>
      </c>
      <c r="X223" s="339">
        <v>33435</v>
      </c>
      <c r="Y223" s="338" t="s">
        <v>340</v>
      </c>
      <c r="AA223" s="338">
        <v>26</v>
      </c>
      <c r="AB223" s="338" t="s">
        <v>316</v>
      </c>
      <c r="AG223" s="2297">
        <v>12.08</v>
      </c>
      <c r="AH223" s="2297" t="s">
        <v>323</v>
      </c>
      <c r="AI223" s="1390"/>
      <c r="AJ223" s="2282"/>
      <c r="AK223" s="2282"/>
      <c r="AL223" s="1037"/>
      <c r="AM223" s="339">
        <v>32824</v>
      </c>
      <c r="AN223" s="338" t="s">
        <v>338</v>
      </c>
      <c r="AQ223" s="858"/>
      <c r="AR223" s="338">
        <v>42</v>
      </c>
      <c r="AS223" s="338" t="s">
        <v>316</v>
      </c>
      <c r="AX223" s="340">
        <v>404.02</v>
      </c>
      <c r="AY223" s="340" t="s">
        <v>289</v>
      </c>
      <c r="BA223" s="341" t="str">
        <f t="array" ref="BA223">IFERROR(IF($BA$11="Metro",INDEX($AR$13:$AR$814,SMALL(IF((County=$AS$13:$AS$814),MATCH(ROW($AS$13:$AS$814),ROW($AS$13:$AS$814)),""),ROWS($A$13:$A223))),INDEX($AU$13:$AU$48,SMALL(IF((County=$AV$13:$AV$48),MATCH(ROW($AV$13:$AV$48),ROW($AV$13:$AV$48)),""),ROWS($A$13:$A223)))),"")</f>
        <v/>
      </c>
      <c r="BC223" s="341" t="str">
        <f t="array" ref="BC223">IFERROR(IF($BC$11="Yes",INDEX($AX$13:$AX$2950,SMALL(IF((County=$AY$13:$AY$2950),MATCH(ROW($AY$13:$AY$2950),ROW($AY$13:$AY$2950)),""),ROWS($A$13:$A223))),""),"")</f>
        <v/>
      </c>
      <c r="BE223" s="339">
        <v>33584</v>
      </c>
      <c r="BF223" s="338" t="s">
        <v>316</v>
      </c>
      <c r="BH223" s="338">
        <v>19.100000000000001</v>
      </c>
      <c r="BI223" s="338" t="s">
        <v>340</v>
      </c>
      <c r="BN223" s="340">
        <v>11.05</v>
      </c>
      <c r="BO223" s="340" t="s">
        <v>329</v>
      </c>
      <c r="BP223" s="1385"/>
      <c r="BQ223" s="1386">
        <v>33194</v>
      </c>
      <c r="BR223" s="338" t="s">
        <v>331</v>
      </c>
      <c r="BU223" s="858"/>
      <c r="BV223" s="338">
        <v>684</v>
      </c>
      <c r="BW223" s="338" t="s">
        <v>288</v>
      </c>
      <c r="CB223" s="340">
        <v>402.06</v>
      </c>
      <c r="CC223" s="340" t="s">
        <v>289</v>
      </c>
      <c r="CE223" s="341" t="str">
        <f t="array" ref="CE223">IFERROR(IF($CE$11="Metro",INDEX($BV$13:$BV$4972,SMALL(IF((County=$BW$13:$BW$4972),MATCH(ROW($BW$13:$BW$4972),ROW($BW$13:$BW$4972)),""),ROWS($A$13:$A223))),INDEX($BY$13:$BY$212,SMALL(IF((County=$BZ$13:$BZ$212),MATCH(ROW($BZ$13:$BZ$212),ROW($BZ$13:$BZ$212)),""),ROWS($A$13:$A223)))),"")</f>
        <v/>
      </c>
      <c r="CG223" s="341" t="str">
        <f t="array" ref="CG223">IFERROR(IF($CG$11="Yes",INDEX($CB$13:$CB$2950,SMALL(IF((County=$CC$13:$CC$2950),MATCH(ROW($CC$13:$CC$2950),ROW($CC$13:$CC$2950)),""),ROWS($A$13:$A223))),""),"")</f>
        <v/>
      </c>
      <c r="CI223" s="1387">
        <v>33484</v>
      </c>
      <c r="CJ223" s="338" t="s">
        <v>340</v>
      </c>
      <c r="CL223" s="236">
        <v>5.09</v>
      </c>
      <c r="CM223" s="236" t="s">
        <v>340</v>
      </c>
      <c r="CR223" s="340">
        <v>11.08</v>
      </c>
      <c r="CS223" s="340" t="s">
        <v>328</v>
      </c>
      <c r="CT223" s="1384"/>
      <c r="CU223" s="341">
        <v>33196</v>
      </c>
      <c r="CV223" s="338" t="s">
        <v>2579</v>
      </c>
      <c r="CZ223" s="1795">
        <v>36.07</v>
      </c>
      <c r="DA223" s="338" t="s">
        <v>304</v>
      </c>
      <c r="DF223" s="340">
        <v>405.06</v>
      </c>
      <c r="DG223" s="340" t="s">
        <v>289</v>
      </c>
      <c r="DK223" s="341" t="str">
        <f t="array" ref="DK223">IFERROR(IF($DK$11="Yes",INDEX($DF$13:$DF$2838,SMALL(IF((County=$DG$13:$DG$2838),MATCH(ROW($DG$13:$DG$2838),ROW($DG$13:$DG$2838)),""),ROWS($A$13:$A223))),""),"")</f>
        <v/>
      </c>
      <c r="DM223" s="1387">
        <v>33473</v>
      </c>
      <c r="DN223" s="338" t="s">
        <v>340</v>
      </c>
      <c r="DP223" s="236">
        <v>20.079999999999998</v>
      </c>
      <c r="DQ223" s="236" t="s">
        <v>324</v>
      </c>
      <c r="DV223" s="340">
        <v>12.05</v>
      </c>
      <c r="DW223" s="340" t="s">
        <v>331</v>
      </c>
      <c r="DX223" s="1671"/>
      <c r="EB223" s="618"/>
      <c r="EC223" s="618"/>
      <c r="ED223" s="618"/>
      <c r="EE223" s="618"/>
      <c r="EF223" s="618"/>
      <c r="EG223" s="618"/>
      <c r="EH223" s="618"/>
      <c r="EI223" s="618"/>
      <c r="EJ223" s="618"/>
      <c r="EK223" s="618"/>
      <c r="EL223" s="618"/>
      <c r="EM223" s="618"/>
    </row>
    <row r="224" spans="1:143">
      <c r="A224" s="339">
        <v>33175</v>
      </c>
      <c r="B224" s="338" t="s">
        <v>2579</v>
      </c>
      <c r="E224" s="858"/>
      <c r="F224" s="338">
        <v>3.01</v>
      </c>
      <c r="G224" s="338" t="s">
        <v>316</v>
      </c>
      <c r="L224" s="2481">
        <v>406.02</v>
      </c>
      <c r="M224" s="340" t="s">
        <v>289</v>
      </c>
      <c r="N224" s="1390"/>
      <c r="O224" s="2479"/>
      <c r="P224" s="2282"/>
      <c r="T224" s="341" t="str">
        <f t="array" ref="T224">IFERROR(IF($T$11="Yes",INDEX($L$13:$L$2813,SMALL(IF((County=$M$13:$M$2813),MATCH(ROW($M$13:$M$2813),ROW($M$13:$M$2813)),""),ROWS($A$13:A224))),""),"")</f>
        <v/>
      </c>
      <c r="V224" s="2283" t="str">
        <f t="array" ref="V224">IFERROR(IF($T$11="Yes",INDEX($O$14:$O$2811,SMALL(IF((County=$P$14:$P$2811),MATCH(ROW($P$14:$P$2811),ROW($P$14:$P$2811)),""),ROWS($A$13:A224))),""),"")</f>
        <v/>
      </c>
      <c r="X224" s="339">
        <v>33436</v>
      </c>
      <c r="Y224" s="338" t="s">
        <v>340</v>
      </c>
      <c r="AA224" s="338">
        <v>27.01</v>
      </c>
      <c r="AB224" s="338" t="s">
        <v>302</v>
      </c>
      <c r="AG224" s="2297">
        <v>12.08</v>
      </c>
      <c r="AH224" s="2297" t="s">
        <v>329</v>
      </c>
      <c r="AI224" s="1390"/>
      <c r="AJ224" s="2282"/>
      <c r="AK224" s="2282"/>
      <c r="AL224" s="1037"/>
      <c r="AM224" s="339">
        <v>32827</v>
      </c>
      <c r="AN224" s="338" t="s">
        <v>338</v>
      </c>
      <c r="AQ224" s="858"/>
      <c r="AR224" s="338">
        <v>43</v>
      </c>
      <c r="AS224" s="338" t="s">
        <v>316</v>
      </c>
      <c r="AX224" s="340">
        <v>405.02</v>
      </c>
      <c r="AY224" s="340" t="s">
        <v>289</v>
      </c>
      <c r="BA224" s="341" t="str">
        <f t="array" ref="BA224">IFERROR(IF($BA$11="Metro",INDEX($AR$13:$AR$814,SMALL(IF((County=$AS$13:$AS$814),MATCH(ROW($AS$13:$AS$814),ROW($AS$13:$AS$814)),""),ROWS($A$13:$A224))),INDEX($AU$13:$AU$48,SMALL(IF((County=$AV$13:$AV$48),MATCH(ROW($AV$13:$AV$48),ROW($AV$13:$AV$48)),""),ROWS($A$13:$A224)))),"")</f>
        <v/>
      </c>
      <c r="BC224" s="341" t="str">
        <f t="array" ref="BC224">IFERROR(IF($BC$11="Yes",INDEX($AX$13:$AX$2950,SMALL(IF((County=$AY$13:$AY$2950),MATCH(ROW($AY$13:$AY$2950),ROW($AY$13:$AY$2950)),""),ROWS($A$13:$A224))),""),"")</f>
        <v/>
      </c>
      <c r="BE224" s="339">
        <v>33594</v>
      </c>
      <c r="BF224" s="338" t="s">
        <v>316</v>
      </c>
      <c r="BH224" s="338">
        <v>19.11</v>
      </c>
      <c r="BI224" s="338" t="s">
        <v>340</v>
      </c>
      <c r="BN224" s="340">
        <v>11.05</v>
      </c>
      <c r="BO224" s="340" t="s">
        <v>330</v>
      </c>
      <c r="BP224" s="1385"/>
      <c r="BQ224" s="1386">
        <v>33196</v>
      </c>
      <c r="BR224" s="338" t="s">
        <v>331</v>
      </c>
      <c r="BU224" s="858"/>
      <c r="BV224" s="338">
        <v>685.01</v>
      </c>
      <c r="BW224" s="338" t="s">
        <v>288</v>
      </c>
      <c r="CB224" s="340">
        <v>404.01</v>
      </c>
      <c r="CC224" s="340" t="s">
        <v>289</v>
      </c>
      <c r="CE224" s="341" t="str">
        <f t="array" ref="CE224">IFERROR(IF($CE$11="Metro",INDEX($BV$13:$BV$4972,SMALL(IF((County=$BW$13:$BW$4972),MATCH(ROW($BW$13:$BW$4972),ROW($BW$13:$BW$4972)),""),ROWS($A$13:$A224))),INDEX($BY$13:$BY$212,SMALL(IF((County=$BZ$13:$BZ$212),MATCH(ROW($BZ$13:$BZ$212),ROW($BZ$13:$BZ$212)),""),ROWS($A$13:$A224)))),"")</f>
        <v/>
      </c>
      <c r="CG224" s="341" t="str">
        <f t="array" ref="CG224">IFERROR(IF($CG$11="Yes",INDEX($CB$13:$CB$2950,SMALL(IF((County=$CC$13:$CC$2950),MATCH(ROW($CC$13:$CC$2950),ROW($CC$13:$CC$2950)),""),ROWS($A$13:$A224))),""),"")</f>
        <v/>
      </c>
      <c r="CI224" s="1387">
        <v>33486</v>
      </c>
      <c r="CJ224" s="338" t="s">
        <v>340</v>
      </c>
      <c r="CL224" s="236">
        <v>5.12</v>
      </c>
      <c r="CM224" s="236" t="s">
        <v>340</v>
      </c>
      <c r="CR224" s="340">
        <v>11.08</v>
      </c>
      <c r="CS224" s="340" t="s">
        <v>330</v>
      </c>
      <c r="CT224" s="1384"/>
      <c r="CU224" s="341">
        <v>32097</v>
      </c>
      <c r="CV224" s="338" t="s">
        <v>335</v>
      </c>
      <c r="CZ224" s="1795">
        <v>40</v>
      </c>
      <c r="DA224" s="338" t="s">
        <v>304</v>
      </c>
      <c r="DF224" s="340">
        <v>406.01</v>
      </c>
      <c r="DG224" s="340" t="s">
        <v>289</v>
      </c>
      <c r="DK224" s="341" t="str">
        <f t="array" ref="DK224">IFERROR(IF($DK$11="Yes",INDEX($DF$13:$DF$2838,SMALL(IF((County=$DG$13:$DG$2838),MATCH(ROW($DG$13:$DG$2838),ROW($DG$13:$DG$2838)),""),ROWS($A$13:$A224))),""),"")</f>
        <v/>
      </c>
      <c r="DM224" s="1387">
        <v>33477</v>
      </c>
      <c r="DN224" s="338" t="s">
        <v>340</v>
      </c>
      <c r="DP224" s="236">
        <v>21</v>
      </c>
      <c r="DQ224" s="236" t="s">
        <v>304</v>
      </c>
      <c r="DV224" s="340">
        <v>12.05</v>
      </c>
      <c r="DW224" s="340" t="s">
        <v>347</v>
      </c>
      <c r="DX224" s="1671"/>
      <c r="EB224" s="618"/>
      <c r="EC224" s="618"/>
      <c r="ED224" s="618"/>
      <c r="EE224" s="618"/>
      <c r="EF224" s="618"/>
      <c r="EG224" s="618"/>
      <c r="EH224" s="618"/>
      <c r="EI224" s="618"/>
      <c r="EJ224" s="618"/>
      <c r="EK224" s="618"/>
      <c r="EL224" s="618"/>
      <c r="EM224" s="618"/>
    </row>
    <row r="225" spans="1:143">
      <c r="A225" s="339">
        <v>33176</v>
      </c>
      <c r="B225" s="338" t="s">
        <v>2579</v>
      </c>
      <c r="E225" s="858"/>
      <c r="F225" s="338">
        <v>3.02</v>
      </c>
      <c r="G225" s="338" t="s">
        <v>316</v>
      </c>
      <c r="L225" s="2481">
        <v>407.01</v>
      </c>
      <c r="M225" s="340" t="s">
        <v>289</v>
      </c>
      <c r="N225" s="1390"/>
      <c r="O225" s="2479"/>
      <c r="P225" s="2282"/>
      <c r="T225" s="341" t="str">
        <f t="array" ref="T225">IFERROR(IF($T$11="Yes",INDEX($L$13:$L$2813,SMALL(IF((County=$M$13:$M$2813),MATCH(ROW($M$13:$M$2813),ROW($M$13:$M$2813)),""),ROWS($A$13:A225))),""),"")</f>
        <v/>
      </c>
      <c r="V225" s="2283" t="str">
        <f t="array" ref="V225">IFERROR(IF($T$11="Yes",INDEX($O$14:$O$2811,SMALL(IF((County=$P$14:$P$2811),MATCH(ROW($P$14:$P$2811),ROW($P$14:$P$2811)),""),ROWS($A$13:A225))),""),"")</f>
        <v/>
      </c>
      <c r="X225" s="339">
        <v>33437</v>
      </c>
      <c r="Y225" s="338" t="s">
        <v>340</v>
      </c>
      <c r="AA225" s="338">
        <v>27.02</v>
      </c>
      <c r="AB225" s="338" t="s">
        <v>302</v>
      </c>
      <c r="AG225" s="2297">
        <v>12.09</v>
      </c>
      <c r="AH225" s="2297" t="s">
        <v>323</v>
      </c>
      <c r="AI225" s="1390"/>
      <c r="AJ225" s="2282"/>
      <c r="AK225" s="2282"/>
      <c r="AL225" s="1037"/>
      <c r="AM225" s="339">
        <v>32828</v>
      </c>
      <c r="AN225" s="338" t="s">
        <v>338</v>
      </c>
      <c r="AQ225" s="858"/>
      <c r="AR225" s="338">
        <v>44</v>
      </c>
      <c r="AS225" s="338" t="s">
        <v>316</v>
      </c>
      <c r="AX225" s="340">
        <v>405.05</v>
      </c>
      <c r="AY225" s="340" t="s">
        <v>289</v>
      </c>
      <c r="BA225" s="341" t="str">
        <f t="array" ref="BA225">IFERROR(IF($BA$11="Metro",INDEX($AR$13:$AR$814,SMALL(IF((County=$AS$13:$AS$814),MATCH(ROW($AS$13:$AS$814),ROW($AS$13:$AS$814)),""),ROWS($A$13:$A225))),INDEX($AU$13:$AU$48,SMALL(IF((County=$AV$13:$AV$48),MATCH(ROW($AV$13:$AV$48),ROW($AV$13:$AV$48)),""),ROWS($A$13:$A225)))),"")</f>
        <v/>
      </c>
      <c r="BC225" s="341" t="str">
        <f t="array" ref="BC225">IFERROR(IF($BC$11="Yes",INDEX($AX$13:$AX$2950,SMALL(IF((County=$AY$13:$AY$2950),MATCH(ROW($AY$13:$AY$2950),ROW($AY$13:$AY$2950)),""),ROWS($A$13:$A225))),""),"")</f>
        <v/>
      </c>
      <c r="BE225" s="339">
        <v>33596</v>
      </c>
      <c r="BF225" s="338" t="s">
        <v>316</v>
      </c>
      <c r="BH225" s="338">
        <v>19.12</v>
      </c>
      <c r="BI225" s="338" t="s">
        <v>340</v>
      </c>
      <c r="BN225" s="340">
        <v>11.06</v>
      </c>
      <c r="BO225" s="340" t="s">
        <v>330</v>
      </c>
      <c r="BP225" s="1385"/>
      <c r="BQ225" s="1386">
        <v>32541</v>
      </c>
      <c r="BR225" s="338" t="s">
        <v>336</v>
      </c>
      <c r="BU225" s="858"/>
      <c r="BV225" s="338">
        <v>685.02</v>
      </c>
      <c r="BW225" s="338" t="s">
        <v>288</v>
      </c>
      <c r="CB225" s="340">
        <v>404.02</v>
      </c>
      <c r="CC225" s="340" t="s">
        <v>289</v>
      </c>
      <c r="CE225" s="341" t="str">
        <f t="array" ref="CE225">IFERROR(IF($CE$11="Metro",INDEX($BV$13:$BV$4972,SMALL(IF((County=$BW$13:$BW$4972),MATCH(ROW($BW$13:$BW$4972),ROW($BW$13:$BW$4972)),""),ROWS($A$13:$A225))),INDEX($BY$13:$BY$212,SMALL(IF((County=$BZ$13:$BZ$212),MATCH(ROW($BZ$13:$BZ$212),ROW($BZ$13:$BZ$212)),""),ROWS($A$13:$A225)))),"")</f>
        <v/>
      </c>
      <c r="CG225" s="341" t="str">
        <f t="array" ref="CG225">IFERROR(IF($CG$11="Yes",INDEX($CB$13:$CB$2950,SMALL(IF((County=$CC$13:$CC$2950),MATCH(ROW($CC$13:$CC$2950),ROW($CC$13:$CC$2950)),""),ROWS($A$13:$A225))),""),"")</f>
        <v/>
      </c>
      <c r="CI225" s="1387">
        <v>33487</v>
      </c>
      <c r="CJ225" s="338" t="s">
        <v>340</v>
      </c>
      <c r="CL225" s="236">
        <v>5.13</v>
      </c>
      <c r="CM225" s="236" t="s">
        <v>340</v>
      </c>
      <c r="CR225" s="340">
        <v>12</v>
      </c>
      <c r="CS225" s="340" t="s">
        <v>302</v>
      </c>
      <c r="CT225" s="1384"/>
      <c r="CU225" s="341">
        <v>32541</v>
      </c>
      <c r="CV225" s="338" t="s">
        <v>336</v>
      </c>
      <c r="CZ225" s="1795">
        <v>204</v>
      </c>
      <c r="DA225" s="338" t="s">
        <v>307</v>
      </c>
      <c r="DF225" s="340">
        <v>406.02</v>
      </c>
      <c r="DG225" s="340" t="s">
        <v>289</v>
      </c>
      <c r="DK225" s="341" t="str">
        <f t="array" ref="DK225">IFERROR(IF($DK$11="Yes",INDEX($DF$13:$DF$2838,SMALL(IF((County=$DG$13:$DG$2838),MATCH(ROW($DG$13:$DG$2838),ROW($DG$13:$DG$2838)),""),ROWS($A$13:$A225))),""),"")</f>
        <v/>
      </c>
      <c r="DM225" s="1387">
        <v>33478</v>
      </c>
      <c r="DN225" s="338" t="s">
        <v>340</v>
      </c>
      <c r="DP225" s="236">
        <v>21</v>
      </c>
      <c r="DQ225" s="236" t="s">
        <v>340</v>
      </c>
      <c r="DV225" s="340">
        <v>12.06</v>
      </c>
      <c r="DW225" s="340" t="s">
        <v>323</v>
      </c>
      <c r="DX225" s="1671"/>
      <c r="EB225" s="618"/>
      <c r="EC225" s="618"/>
      <c r="ED225" s="618"/>
      <c r="EE225" s="618"/>
      <c r="EF225" s="618"/>
      <c r="EG225" s="618"/>
      <c r="EH225" s="618"/>
      <c r="EI225" s="618"/>
      <c r="EJ225" s="618"/>
      <c r="EK225" s="618"/>
      <c r="EL225" s="618"/>
      <c r="EM225" s="618"/>
    </row>
    <row r="226" spans="1:143">
      <c r="A226" s="339">
        <v>33177</v>
      </c>
      <c r="B226" s="338" t="s">
        <v>2579</v>
      </c>
      <c r="E226" s="858"/>
      <c r="F226" s="338">
        <v>4.0199999999999996</v>
      </c>
      <c r="G226" s="338" t="s">
        <v>316</v>
      </c>
      <c r="L226" s="2481">
        <v>418.02</v>
      </c>
      <c r="M226" s="340" t="s">
        <v>289</v>
      </c>
      <c r="N226" s="1390"/>
      <c r="O226" s="2479"/>
      <c r="P226" s="2282"/>
      <c r="T226" s="341" t="str">
        <f t="array" ref="T226">IFERROR(IF($T$11="Yes",INDEX($L$13:$L$2813,SMALL(IF((County=$M$13:$M$2813),MATCH(ROW($M$13:$M$2813),ROW($M$13:$M$2813)),""),ROWS($A$13:A226))),""),"")</f>
        <v/>
      </c>
      <c r="V226" s="2283" t="str">
        <f t="array" ref="V226">IFERROR(IF($T$11="Yes",INDEX($O$14:$O$2811,SMALL(IF((County=$P$14:$P$2811),MATCH(ROW($P$14:$P$2811),ROW($P$14:$P$2811)),""),ROWS($A$13:A226))),""),"")</f>
        <v/>
      </c>
      <c r="X226" s="339">
        <v>33441</v>
      </c>
      <c r="Y226" s="338" t="s">
        <v>289</v>
      </c>
      <c r="AA226" s="338">
        <v>27.03</v>
      </c>
      <c r="AB226" s="338" t="s">
        <v>304</v>
      </c>
      <c r="AG226" s="2297">
        <v>12.09</v>
      </c>
      <c r="AH226" s="2297" t="s">
        <v>329</v>
      </c>
      <c r="AI226" s="1390"/>
      <c r="AJ226" s="2282"/>
      <c r="AK226" s="2282"/>
      <c r="AL226" s="1037"/>
      <c r="AM226" s="339">
        <v>32829</v>
      </c>
      <c r="AN226" s="338" t="s">
        <v>338</v>
      </c>
      <c r="AQ226" s="858"/>
      <c r="AR226" s="338">
        <v>50</v>
      </c>
      <c r="AS226" s="338" t="s">
        <v>316</v>
      </c>
      <c r="AX226" s="340">
        <v>405.06</v>
      </c>
      <c r="AY226" s="340" t="s">
        <v>289</v>
      </c>
      <c r="BA226" s="341" t="str">
        <f t="array" ref="BA226">IFERROR(IF($BA$11="Metro",INDEX($AR$13:$AR$814,SMALL(IF((County=$AS$13:$AS$814),MATCH(ROW($AS$13:$AS$814),ROW($AS$13:$AS$814)),""),ROWS($A$13:$A226))),INDEX($AU$13:$AU$48,SMALL(IF((County=$AV$13:$AV$48),MATCH(ROW($AV$13:$AV$48),ROW($AV$13:$AV$48)),""),ROWS($A$13:$A226)))),"")</f>
        <v/>
      </c>
      <c r="BC226" s="341" t="str">
        <f t="array" ref="BC226">IFERROR(IF($BC$11="Yes",INDEX($AX$13:$AX$2950,SMALL(IF((County=$AY$13:$AY$2950),MATCH(ROW($AY$13:$AY$2950),ROW($AY$13:$AY$2950)),""),ROWS($A$13:$A226))),""),"")</f>
        <v/>
      </c>
      <c r="BE226" s="339">
        <v>33602</v>
      </c>
      <c r="BF226" s="338" t="s">
        <v>316</v>
      </c>
      <c r="BH226" s="338">
        <v>20</v>
      </c>
      <c r="BI226" s="338" t="s">
        <v>285</v>
      </c>
      <c r="BN226" s="340">
        <v>11.07</v>
      </c>
      <c r="BO226" s="340" t="s">
        <v>328</v>
      </c>
      <c r="BP226" s="1385"/>
      <c r="BQ226" s="1386">
        <v>32542</v>
      </c>
      <c r="BR226" s="338" t="s">
        <v>336</v>
      </c>
      <c r="BU226" s="858"/>
      <c r="BV226" s="338">
        <v>686.01</v>
      </c>
      <c r="BW226" s="338" t="s">
        <v>288</v>
      </c>
      <c r="CB226" s="340">
        <v>405.02</v>
      </c>
      <c r="CC226" s="340" t="s">
        <v>289</v>
      </c>
      <c r="CE226" s="341" t="str">
        <f t="array" ref="CE226">IFERROR(IF($CE$11="Metro",INDEX($BV$13:$BV$4972,SMALL(IF((County=$BW$13:$BW$4972),MATCH(ROW($BW$13:$BW$4972),ROW($BW$13:$BW$4972)),""),ROWS($A$13:$A226))),INDEX($BY$13:$BY$212,SMALL(IF((County=$BZ$13:$BZ$212),MATCH(ROW($BZ$13:$BZ$212),ROW($BZ$13:$BZ$212)),""),ROWS($A$13:$A226)))),"")</f>
        <v/>
      </c>
      <c r="CG226" s="341" t="str">
        <f t="array" ref="CG226">IFERROR(IF($CG$11="Yes",INDEX($CB$13:$CB$2950,SMALL(IF((County=$CC$13:$CC$2950),MATCH(ROW($CC$13:$CC$2950),ROW($CC$13:$CC$2950)),""),ROWS($A$13:$A226))),""),"")</f>
        <v/>
      </c>
      <c r="CI226" s="1387">
        <v>33496</v>
      </c>
      <c r="CJ226" s="338" t="s">
        <v>340</v>
      </c>
      <c r="CL226" s="338">
        <v>6</v>
      </c>
      <c r="CM226" s="338" t="s">
        <v>276</v>
      </c>
      <c r="CR226" s="340">
        <v>12.01</v>
      </c>
      <c r="CS226" s="340" t="s">
        <v>276</v>
      </c>
      <c r="CT226" s="1384"/>
      <c r="CU226" s="341">
        <v>32542</v>
      </c>
      <c r="CV226" s="338" t="s">
        <v>336</v>
      </c>
      <c r="CZ226" s="1795">
        <v>207.01</v>
      </c>
      <c r="DA226" s="338" t="s">
        <v>307</v>
      </c>
      <c r="DF226" s="340">
        <v>407.01</v>
      </c>
      <c r="DG226" s="340" t="s">
        <v>289</v>
      </c>
      <c r="DK226" s="341" t="str">
        <f t="array" ref="DK226">IFERROR(IF($DK$11="Yes",INDEX($DF$13:$DF$2838,SMALL(IF((County=$DG$13:$DG$2838),MATCH(ROW($DG$13:$DG$2838),ROW($DG$13:$DG$2838)),""),ROWS($A$13:$A226))),""),"")</f>
        <v/>
      </c>
      <c r="DM226" s="1387">
        <v>33480</v>
      </c>
      <c r="DN226" s="338" t="s">
        <v>340</v>
      </c>
      <c r="DP226" s="236">
        <v>21.03</v>
      </c>
      <c r="DQ226" s="236" t="s">
        <v>324</v>
      </c>
      <c r="DV226" s="340">
        <v>12.06</v>
      </c>
      <c r="DW226" s="340" t="s">
        <v>331</v>
      </c>
      <c r="DX226" s="1671"/>
      <c r="EB226" s="618"/>
      <c r="EC226" s="618"/>
      <c r="ED226" s="618"/>
      <c r="EE226" s="618"/>
      <c r="EF226" s="618"/>
      <c r="EG226" s="618"/>
      <c r="EH226" s="618"/>
      <c r="EI226" s="618"/>
      <c r="EJ226" s="618"/>
      <c r="EK226" s="618"/>
      <c r="EL226" s="618"/>
      <c r="EM226" s="618"/>
    </row>
    <row r="227" spans="1:143">
      <c r="A227" s="339">
        <v>33178</v>
      </c>
      <c r="B227" s="338" t="s">
        <v>2579</v>
      </c>
      <c r="E227" s="858"/>
      <c r="F227" s="338">
        <v>7.01</v>
      </c>
      <c r="G227" s="338" t="s">
        <v>316</v>
      </c>
      <c r="L227" s="2481">
        <v>419</v>
      </c>
      <c r="M227" s="340" t="s">
        <v>289</v>
      </c>
      <c r="N227" s="1390"/>
      <c r="O227" s="2479"/>
      <c r="P227" s="2282"/>
      <c r="T227" s="341" t="str">
        <f t="array" ref="T227">IFERROR(IF($T$11="Yes",INDEX($L$13:$L$2813,SMALL(IF((County=$M$13:$M$2813),MATCH(ROW($M$13:$M$2813),ROW($M$13:$M$2813)),""),ROWS($A$13:A227))),""),"")</f>
        <v/>
      </c>
      <c r="V227" s="2283" t="str">
        <f t="array" ref="V227">IFERROR(IF($T$11="Yes",INDEX($O$14:$O$2811,SMALL(IF((County=$P$14:$P$2811),MATCH(ROW($P$14:$P$2811),ROW($P$14:$P$2811)),""),ROWS($A$13:A227))),""),"")</f>
        <v/>
      </c>
      <c r="X227" s="339">
        <v>33442</v>
      </c>
      <c r="Y227" s="338" t="s">
        <v>289</v>
      </c>
      <c r="AA227" s="338">
        <v>27.23</v>
      </c>
      <c r="AB227" s="338" t="s">
        <v>347</v>
      </c>
      <c r="AG227" s="2297">
        <v>12.1</v>
      </c>
      <c r="AH227" s="2297" t="s">
        <v>329</v>
      </c>
      <c r="AI227" s="1390"/>
      <c r="AJ227" s="2282"/>
      <c r="AK227" s="2282"/>
      <c r="AL227" s="1037"/>
      <c r="AM227" s="339">
        <v>32831</v>
      </c>
      <c r="AN227" s="338" t="s">
        <v>338</v>
      </c>
      <c r="AQ227" s="858"/>
      <c r="AR227" s="338">
        <v>53.02</v>
      </c>
      <c r="AS227" s="338" t="s">
        <v>316</v>
      </c>
      <c r="AX227" s="340">
        <v>406.01</v>
      </c>
      <c r="AY227" s="340" t="s">
        <v>289</v>
      </c>
      <c r="BA227" s="341" t="str">
        <f t="array" ref="BA227">IFERROR(IF($BA$11="Metro",INDEX($AR$13:$AR$814,SMALL(IF((County=$AS$13:$AS$814),MATCH(ROW($AS$13:$AS$814),ROW($AS$13:$AS$814)),""),ROWS($A$13:$A227))),INDEX($AU$13:$AU$48,SMALL(IF((County=$AV$13:$AV$48),MATCH(ROW($AV$13:$AV$48),ROW($AV$13:$AV$48)),""),ROWS($A$13:$A227)))),"")</f>
        <v/>
      </c>
      <c r="BC227" s="341" t="str">
        <f t="array" ref="BC227">IFERROR(IF($BC$11="Yes",INDEX($AX$13:$AX$2950,SMALL(IF((County=$AY$13:$AY$2950),MATCH(ROW($AY$13:$AY$2950),ROW($AY$13:$AY$2950)),""),ROWS($A$13:$A227))),""),"")</f>
        <v/>
      </c>
      <c r="BE227" s="339">
        <v>33606</v>
      </c>
      <c r="BF227" s="338" t="s">
        <v>316</v>
      </c>
      <c r="BH227" s="338">
        <v>20</v>
      </c>
      <c r="BI227" s="338" t="s">
        <v>304</v>
      </c>
      <c r="BN227" s="340">
        <v>11.08</v>
      </c>
      <c r="BO227" s="340" t="s">
        <v>328</v>
      </c>
      <c r="BP227" s="1385"/>
      <c r="BQ227" s="1386">
        <v>32544</v>
      </c>
      <c r="BR227" s="338" t="s">
        <v>336</v>
      </c>
      <c r="BU227" s="858"/>
      <c r="BV227" s="338">
        <v>686.03</v>
      </c>
      <c r="BW227" s="338" t="s">
        <v>288</v>
      </c>
      <c r="CB227" s="340">
        <v>405.03</v>
      </c>
      <c r="CC227" s="340" t="s">
        <v>289</v>
      </c>
      <c r="CE227" s="341" t="str">
        <f t="array" ref="CE227">IFERROR(IF($CE$11="Metro",INDEX($BV$13:$BV$4972,SMALL(IF((County=$BW$13:$BW$4972),MATCH(ROW($BW$13:$BW$4972),ROW($BW$13:$BW$4972)),""),ROWS($A$13:$A227))),INDEX($BY$13:$BY$212,SMALL(IF((County=$BZ$13:$BZ$212),MATCH(ROW($BZ$13:$BZ$212),ROW($BZ$13:$BZ$212)),""),ROWS($A$13:$A227)))),"")</f>
        <v/>
      </c>
      <c r="CG227" s="341" t="str">
        <f t="array" ref="CG227">IFERROR(IF($CG$11="Yes",INDEX($CB$13:$CB$2950,SMALL(IF((County=$CC$13:$CC$2950),MATCH(ROW($CC$13:$CC$2950),ROW($CC$13:$CC$2950)),""),ROWS($A$13:$A227))),""),"")</f>
        <v/>
      </c>
      <c r="CI227" s="1387">
        <v>33498</v>
      </c>
      <c r="CJ227" s="338" t="s">
        <v>340</v>
      </c>
      <c r="CL227" s="338">
        <v>6</v>
      </c>
      <c r="CM227" s="338" t="s">
        <v>285</v>
      </c>
      <c r="CR227" s="340">
        <v>12.01</v>
      </c>
      <c r="CS227" s="340" t="s">
        <v>304</v>
      </c>
      <c r="CT227" s="1384"/>
      <c r="CU227" s="341">
        <v>32544</v>
      </c>
      <c r="CV227" s="338" t="s">
        <v>336</v>
      </c>
      <c r="CZ227" s="1795">
        <v>207.02</v>
      </c>
      <c r="DA227" s="338" t="s">
        <v>307</v>
      </c>
      <c r="DF227" s="340">
        <v>407.02</v>
      </c>
      <c r="DG227" s="340" t="s">
        <v>289</v>
      </c>
      <c r="DK227" s="341" t="str">
        <f t="array" ref="DK227">IFERROR(IF($DK$11="Yes",INDEX($DF$13:$DF$2838,SMALL(IF((County=$DG$13:$DG$2838),MATCH(ROW($DG$13:$DG$2838),ROW($DG$13:$DG$2838)),""),ROWS($A$13:$A227))),""),"")</f>
        <v/>
      </c>
      <c r="DM227" s="1387">
        <v>33483</v>
      </c>
      <c r="DN227" s="338" t="s">
        <v>340</v>
      </c>
      <c r="DP227" s="236">
        <v>21.05</v>
      </c>
      <c r="DQ227" s="236" t="s">
        <v>324</v>
      </c>
      <c r="DV227" s="340">
        <v>12.06</v>
      </c>
      <c r="DW227" s="340" t="s">
        <v>347</v>
      </c>
      <c r="DX227" s="1671"/>
      <c r="EB227" s="618"/>
      <c r="EC227" s="618"/>
      <c r="ED227" s="618"/>
      <c r="EE227" s="618"/>
      <c r="EF227" s="618"/>
      <c r="EG227" s="618"/>
      <c r="EH227" s="618"/>
      <c r="EI227" s="618"/>
      <c r="EJ227" s="618"/>
      <c r="EK227" s="618"/>
      <c r="EL227" s="618"/>
      <c r="EM227" s="618"/>
    </row>
    <row r="228" spans="1:143">
      <c r="A228" s="339">
        <v>33180</v>
      </c>
      <c r="B228" s="338" t="s">
        <v>2579</v>
      </c>
      <c r="E228" s="858"/>
      <c r="F228" s="338">
        <v>7.02</v>
      </c>
      <c r="G228" s="338" t="s">
        <v>316</v>
      </c>
      <c r="L228" s="2481">
        <v>420</v>
      </c>
      <c r="M228" s="340" t="s">
        <v>289</v>
      </c>
      <c r="N228" s="1390"/>
      <c r="O228" s="2479"/>
      <c r="P228" s="2282"/>
      <c r="T228" s="341" t="str">
        <f t="array" ref="T228">IFERROR(IF($T$11="Yes",INDEX($L$13:$L$2813,SMALL(IF((County=$M$13:$M$2813),MATCH(ROW($M$13:$M$2813),ROW($M$13:$M$2813)),""),ROWS($A$13:A228))),""),"")</f>
        <v/>
      </c>
      <c r="V228" s="2283" t="str">
        <f t="array" ref="V228">IFERROR(IF($T$11="Yes",INDEX($O$14:$O$2811,SMALL(IF((County=$P$14:$P$2811),MATCH(ROW($P$14:$P$2811),ROW($P$14:$P$2811)),""),ROWS($A$13:A228))),""),"")</f>
        <v/>
      </c>
      <c r="X228" s="339">
        <v>33444</v>
      </c>
      <c r="Y228" s="338" t="s">
        <v>340</v>
      </c>
      <c r="AA228" s="338">
        <v>27.39</v>
      </c>
      <c r="AB228" s="338" t="s">
        <v>347</v>
      </c>
      <c r="AG228" s="2297">
        <v>13.01</v>
      </c>
      <c r="AH228" s="2297" t="s">
        <v>285</v>
      </c>
      <c r="AI228" s="1390"/>
      <c r="AJ228" s="2282"/>
      <c r="AK228" s="2282"/>
      <c r="AL228" s="1037"/>
      <c r="AM228" s="339">
        <v>32832</v>
      </c>
      <c r="AN228" s="338" t="s">
        <v>338</v>
      </c>
      <c r="AQ228" s="858"/>
      <c r="AR228" s="338">
        <v>70.02</v>
      </c>
      <c r="AS228" s="338" t="s">
        <v>316</v>
      </c>
      <c r="AX228" s="340">
        <v>406.02</v>
      </c>
      <c r="AY228" s="340" t="s">
        <v>289</v>
      </c>
      <c r="BA228" s="341" t="str">
        <f t="array" ref="BA228">IFERROR(IF($BA$11="Metro",INDEX($AR$13:$AR$814,SMALL(IF((County=$AS$13:$AS$814),MATCH(ROW($AS$13:$AS$814),ROW($AS$13:$AS$814)),""),ROWS($A$13:$A228))),INDEX($AU$13:$AU$48,SMALL(IF((County=$AV$13:$AV$48),MATCH(ROW($AV$13:$AV$48),ROW($AV$13:$AV$48)),""),ROWS($A$13:$A228)))),"")</f>
        <v/>
      </c>
      <c r="BC228" s="341" t="str">
        <f t="array" ref="BC228">IFERROR(IF($BC$11="Yes",INDEX($AX$13:$AX$2950,SMALL(IF((County=$AY$13:$AY$2950),MATCH(ROW($AY$13:$AY$2950),ROW($AY$13:$AY$2950)),""),ROWS($A$13:$A228))),""),"")</f>
        <v/>
      </c>
      <c r="BE228" s="339">
        <v>33607</v>
      </c>
      <c r="BF228" s="338" t="s">
        <v>316</v>
      </c>
      <c r="BH228" s="338">
        <v>20</v>
      </c>
      <c r="BI228" s="338" t="s">
        <v>316</v>
      </c>
      <c r="BN228" s="340">
        <v>11.08</v>
      </c>
      <c r="BO228" s="340" t="s">
        <v>330</v>
      </c>
      <c r="BP228" s="1385"/>
      <c r="BQ228" s="341">
        <v>32712</v>
      </c>
      <c r="BR228" s="338" t="s">
        <v>338</v>
      </c>
      <c r="BU228" s="858"/>
      <c r="BV228" s="338">
        <v>686.04</v>
      </c>
      <c r="BW228" s="338" t="s">
        <v>288</v>
      </c>
      <c r="CB228" s="340">
        <v>405.05</v>
      </c>
      <c r="CC228" s="340" t="s">
        <v>289</v>
      </c>
      <c r="CE228" s="341" t="str">
        <f t="array" ref="CE228">IFERROR(IF($CE$11="Metro",INDEX($BV$13:$BV$4972,SMALL(IF((County=$BW$13:$BW$4972),MATCH(ROW($BW$13:$BW$4972),ROW($BW$13:$BW$4972)),""),ROWS($A$13:$A228))),INDEX($BY$13:$BY$212,SMALL(IF((County=$BZ$13:$BZ$212),MATCH(ROW($BZ$13:$BZ$212),ROW($BZ$13:$BZ$212)),""),ROWS($A$13:$A228)))),"")</f>
        <v/>
      </c>
      <c r="CG228" s="341" t="str">
        <f t="array" ref="CG228">IFERROR(IF($CG$11="Yes",INDEX($CB$13:$CB$2950,SMALL(IF((County=$CC$13:$CC$2950),MATCH(ROW($CC$13:$CC$2950),ROW($CC$13:$CC$2950)),""),ROWS($A$13:$A228))),""),"")</f>
        <v/>
      </c>
      <c r="CI228" s="1583">
        <v>33503</v>
      </c>
      <c r="CJ228" s="338" t="s">
        <v>316</v>
      </c>
      <c r="CL228" s="236">
        <v>6</v>
      </c>
      <c r="CM228" s="236" t="s">
        <v>297</v>
      </c>
      <c r="CR228" s="340">
        <v>12.02</v>
      </c>
      <c r="CS228" s="340" t="s">
        <v>276</v>
      </c>
      <c r="CT228" s="1384"/>
      <c r="CU228" s="341">
        <v>32578</v>
      </c>
      <c r="CV228" s="338" t="s">
        <v>336</v>
      </c>
      <c r="CZ228" s="1795">
        <v>2.02</v>
      </c>
      <c r="DA228" s="338" t="s">
        <v>309</v>
      </c>
      <c r="DF228" s="340">
        <v>408.02</v>
      </c>
      <c r="DG228" s="340" t="s">
        <v>289</v>
      </c>
      <c r="DK228" s="341" t="str">
        <f t="array" ref="DK228">IFERROR(IF($DK$11="Yes",INDEX($DF$13:$DF$2838,SMALL(IF((County=$DG$13:$DG$2838),MATCH(ROW($DG$13:$DG$2838),ROW($DG$13:$DG$2838)),""),ROWS($A$13:$A228))),""),"")</f>
        <v/>
      </c>
      <c r="DM228" s="1387">
        <v>33484</v>
      </c>
      <c r="DN228" s="338" t="s">
        <v>340</v>
      </c>
      <c r="DP228" s="236">
        <v>22</v>
      </c>
      <c r="DQ228" s="236" t="s">
        <v>285</v>
      </c>
      <c r="DV228" s="340">
        <v>12.07</v>
      </c>
      <c r="DW228" s="340" t="s">
        <v>323</v>
      </c>
      <c r="DX228" s="1671"/>
      <c r="EB228" s="618"/>
      <c r="EC228" s="618"/>
      <c r="ED228" s="618"/>
      <c r="EE228" s="618"/>
      <c r="EF228" s="618"/>
      <c r="EG228" s="618"/>
      <c r="EH228" s="618"/>
      <c r="EI228" s="618"/>
      <c r="EJ228" s="618"/>
      <c r="EK228" s="618"/>
      <c r="EL228" s="618"/>
      <c r="EM228" s="618"/>
    </row>
    <row r="229" spans="1:143">
      <c r="A229" s="339">
        <v>33182</v>
      </c>
      <c r="B229" s="338" t="s">
        <v>2579</v>
      </c>
      <c r="E229" s="858"/>
      <c r="F229" s="338">
        <v>9.01</v>
      </c>
      <c r="G229" s="338" t="s">
        <v>316</v>
      </c>
      <c r="L229" s="2481">
        <v>422</v>
      </c>
      <c r="M229" s="340" t="s">
        <v>289</v>
      </c>
      <c r="N229" s="1390"/>
      <c r="O229" s="2479"/>
      <c r="P229" s="2282"/>
      <c r="T229" s="341" t="str">
        <f t="array" ref="T229">IFERROR(IF($T$11="Yes",INDEX($L$13:$L$2813,SMALL(IF((County=$M$13:$M$2813),MATCH(ROW($M$13:$M$2813),ROW($M$13:$M$2813)),""),ROWS($A$13:A229))),""),"")</f>
        <v/>
      </c>
      <c r="V229" s="2283" t="str">
        <f t="array" ref="V229">IFERROR(IF($T$11="Yes",INDEX($O$14:$O$2811,SMALL(IF((County=$P$14:$P$2811),MATCH(ROW($P$14:$P$2811),ROW($P$14:$P$2811)),""),ROWS($A$13:A229))),""),"")</f>
        <v/>
      </c>
      <c r="X229" s="339">
        <v>33445</v>
      </c>
      <c r="Y229" s="338" t="s">
        <v>340</v>
      </c>
      <c r="AA229" s="338">
        <v>28</v>
      </c>
      <c r="AB229" s="338" t="s">
        <v>331</v>
      </c>
      <c r="AG229" s="2297">
        <v>13.01</v>
      </c>
      <c r="AH229" s="2297" t="s">
        <v>329</v>
      </c>
      <c r="AI229" s="1390"/>
      <c r="AJ229" s="2282"/>
      <c r="AK229" s="2282"/>
      <c r="AL229" s="1037"/>
      <c r="AM229" s="339">
        <v>32833</v>
      </c>
      <c r="AN229" s="338" t="s">
        <v>338</v>
      </c>
      <c r="AQ229" s="858"/>
      <c r="AR229" s="338">
        <v>102.03</v>
      </c>
      <c r="AS229" s="338" t="s">
        <v>316</v>
      </c>
      <c r="AX229" s="340">
        <v>407.01</v>
      </c>
      <c r="AY229" s="340" t="s">
        <v>289</v>
      </c>
      <c r="BA229" s="341" t="str">
        <f t="array" ref="BA229">IFERROR(IF($BA$11="Metro",INDEX($AR$13:$AR$814,SMALL(IF((County=$AS$13:$AS$814),MATCH(ROW($AS$13:$AS$814),ROW($AS$13:$AS$814)),""),ROWS($A$13:$A229))),INDEX($AU$13:$AU$48,SMALL(IF((County=$AV$13:$AV$48),MATCH(ROW($AV$13:$AV$48),ROW($AV$13:$AV$48)),""),ROWS($A$13:$A229)))),"")</f>
        <v/>
      </c>
      <c r="BC229" s="341" t="str">
        <f t="array" ref="BC229">IFERROR(IF($BC$11="Yes",INDEX($AX$13:$AX$2950,SMALL(IF((County=$AY$13:$AY$2950),MATCH(ROW($AY$13:$AY$2950),ROW($AY$13:$AY$2950)),""),ROWS($A$13:$A229))),""),"")</f>
        <v/>
      </c>
      <c r="BE229" s="339">
        <v>33609</v>
      </c>
      <c r="BF229" s="338" t="s">
        <v>316</v>
      </c>
      <c r="BH229" s="338">
        <v>20.010000000000002</v>
      </c>
      <c r="BI229" s="338" t="s">
        <v>329</v>
      </c>
      <c r="BN229" s="340">
        <v>12.01</v>
      </c>
      <c r="BO229" s="340" t="s">
        <v>276</v>
      </c>
      <c r="BP229" s="1385"/>
      <c r="BQ229" s="341">
        <v>32751</v>
      </c>
      <c r="BR229" s="338" t="s">
        <v>338</v>
      </c>
      <c r="BU229" s="858"/>
      <c r="BV229" s="338">
        <v>691</v>
      </c>
      <c r="BW229" s="338" t="s">
        <v>288</v>
      </c>
      <c r="CB229" s="340">
        <v>405.06</v>
      </c>
      <c r="CC229" s="340" t="s">
        <v>289</v>
      </c>
      <c r="CE229" s="341" t="str">
        <f t="array" ref="CE229">IFERROR(IF($CE$11="Metro",INDEX($BV$13:$BV$4972,SMALL(IF((County=$BW$13:$BW$4972),MATCH(ROW($BW$13:$BW$4972),ROW($BW$13:$BW$4972)),""),ROWS($A$13:$A229))),INDEX($BY$13:$BY$212,SMALL(IF((County=$BZ$13:$BZ$212),MATCH(ROW($BZ$13:$BZ$212),ROW($BZ$13:$BZ$212)),""),ROWS($A$13:$A229)))),"")</f>
        <v/>
      </c>
      <c r="CG229" s="341" t="str">
        <f t="array" ref="CG229">IFERROR(IF($CG$11="Yes",INDEX($CB$13:$CB$2950,SMALL(IF((County=$CC$13:$CC$2950),MATCH(ROW($CC$13:$CC$2950),ROW($CC$13:$CC$2950)),""),ROWS($A$13:$A229))),""),"")</f>
        <v/>
      </c>
      <c r="CI229" s="1583">
        <v>33510</v>
      </c>
      <c r="CJ229" s="338" t="s">
        <v>316</v>
      </c>
      <c r="CL229" s="236">
        <v>6</v>
      </c>
      <c r="CM229" s="236" t="s">
        <v>302</v>
      </c>
      <c r="CR229" s="340">
        <v>12.02</v>
      </c>
      <c r="CS229" s="340" t="s">
        <v>328</v>
      </c>
      <c r="CT229" s="1384"/>
      <c r="CU229" s="341">
        <v>32712</v>
      </c>
      <c r="CV229" s="338" t="s">
        <v>338</v>
      </c>
      <c r="CZ229" s="1795">
        <v>9602.01</v>
      </c>
      <c r="DA229" s="338" t="s">
        <v>311</v>
      </c>
      <c r="DF229" s="340">
        <v>418.01</v>
      </c>
      <c r="DG229" s="340" t="s">
        <v>289</v>
      </c>
      <c r="DK229" s="341" t="str">
        <f t="array" ref="DK229">IFERROR(IF($DK$11="Yes",INDEX($DF$13:$DF$2838,SMALL(IF((County=$DG$13:$DG$2838),MATCH(ROW($DG$13:$DG$2838),ROW($DG$13:$DG$2838)),""),ROWS($A$13:$A229))),""),"")</f>
        <v/>
      </c>
      <c r="DM229" s="1387">
        <v>33486</v>
      </c>
      <c r="DN229" s="338" t="s">
        <v>340</v>
      </c>
      <c r="DP229" s="236">
        <v>22</v>
      </c>
      <c r="DQ229" s="236" t="s">
        <v>340</v>
      </c>
      <c r="DV229" s="340">
        <v>12.07</v>
      </c>
      <c r="DW229" s="340" t="s">
        <v>331</v>
      </c>
      <c r="DX229" s="1671"/>
      <c r="EB229" s="618"/>
      <c r="EC229" s="618"/>
      <c r="ED229" s="618"/>
      <c r="EE229" s="618"/>
      <c r="EF229" s="618"/>
      <c r="EG229" s="618"/>
      <c r="EH229" s="618"/>
      <c r="EI229" s="618"/>
      <c r="EJ229" s="618"/>
      <c r="EK229" s="618"/>
      <c r="EL229" s="618"/>
      <c r="EM229" s="618"/>
    </row>
    <row r="230" spans="1:143">
      <c r="A230" s="339">
        <v>33183</v>
      </c>
      <c r="B230" s="338" t="s">
        <v>2579</v>
      </c>
      <c r="E230" s="858"/>
      <c r="F230" s="338">
        <v>9.02</v>
      </c>
      <c r="G230" s="338" t="s">
        <v>316</v>
      </c>
      <c r="L230" s="2481">
        <v>423.01</v>
      </c>
      <c r="M230" s="340" t="s">
        <v>289</v>
      </c>
      <c r="N230" s="1390"/>
      <c r="O230" s="2479"/>
      <c r="P230" s="2282"/>
      <c r="T230" s="341" t="str">
        <f t="array" ref="T230">IFERROR(IF($T$11="Yes",INDEX($L$13:$L$2813,SMALL(IF((County=$M$13:$M$2813),MATCH(ROW($M$13:$M$2813),ROW($M$13:$M$2813)),""),ROWS($A$13:A230))),""),"")</f>
        <v/>
      </c>
      <c r="V230" s="2283" t="str">
        <f t="array" ref="V230">IFERROR(IF($T$11="Yes",INDEX($O$14:$O$2811,SMALL(IF((County=$P$14:$P$2811),MATCH(ROW($P$14:$P$2811),ROW($P$14:$P$2811)),""),ROWS($A$13:A230))),""),"")</f>
        <v/>
      </c>
      <c r="X230" s="339">
        <v>33449</v>
      </c>
      <c r="Y230" s="338" t="s">
        <v>340</v>
      </c>
      <c r="AA230" s="338">
        <v>28.01</v>
      </c>
      <c r="AB230" s="338" t="s">
        <v>302</v>
      </c>
      <c r="AG230" s="2297">
        <v>13.01</v>
      </c>
      <c r="AH230" s="2297" t="s">
        <v>347</v>
      </c>
      <c r="AI230" s="1390"/>
      <c r="AJ230" s="2282"/>
      <c r="AK230" s="2282"/>
      <c r="AL230" s="1037"/>
      <c r="AM230" s="339">
        <v>32835</v>
      </c>
      <c r="AN230" s="338" t="s">
        <v>338</v>
      </c>
      <c r="AQ230" s="858"/>
      <c r="AR230" s="338">
        <v>102.13</v>
      </c>
      <c r="AS230" s="338" t="s">
        <v>316</v>
      </c>
      <c r="AX230" s="340">
        <v>407.02</v>
      </c>
      <c r="AY230" s="340" t="s">
        <v>289</v>
      </c>
      <c r="BA230" s="341" t="str">
        <f t="array" ref="BA230">IFERROR(IF($BA$11="Metro",INDEX($AR$13:$AR$814,SMALL(IF((County=$AS$13:$AS$814),MATCH(ROW($AS$13:$AS$814),ROW($AS$13:$AS$814)),""),ROWS($A$13:$A230))),INDEX($AU$13:$AU$48,SMALL(IF((County=$AV$13:$AV$48),MATCH(ROW($AV$13:$AV$48),ROW($AV$13:$AV$48)),""),ROWS($A$13:$A230)))),"")</f>
        <v/>
      </c>
      <c r="BC230" s="341" t="str">
        <f t="array" ref="BC230">IFERROR(IF($BC$11="Yes",INDEX($AX$13:$AX$2950,SMALL(IF((County=$AY$13:$AY$2950),MATCH(ROW($AY$13:$AY$2950),ROW($AY$13:$AY$2950)),""),ROWS($A$13:$A230))),""),"")</f>
        <v/>
      </c>
      <c r="BE230" s="339">
        <v>33611</v>
      </c>
      <c r="BF230" s="338" t="s">
        <v>316</v>
      </c>
      <c r="BH230" s="338">
        <v>20.010000000000002</v>
      </c>
      <c r="BI230" s="338" t="s">
        <v>331</v>
      </c>
      <c r="BN230" s="340">
        <v>12.01</v>
      </c>
      <c r="BO230" s="340" t="s">
        <v>304</v>
      </c>
      <c r="BP230" s="1385"/>
      <c r="BQ230" s="341">
        <v>32789</v>
      </c>
      <c r="BR230" s="338" t="s">
        <v>338</v>
      </c>
      <c r="BU230" s="858"/>
      <c r="BV230" s="338">
        <v>692</v>
      </c>
      <c r="BW230" s="338" t="s">
        <v>288</v>
      </c>
      <c r="CB230" s="340">
        <v>406.01</v>
      </c>
      <c r="CC230" s="340" t="s">
        <v>289</v>
      </c>
      <c r="CE230" s="341" t="str">
        <f t="array" ref="CE230">IFERROR(IF($CE$11="Metro",INDEX($BV$13:$BV$4972,SMALL(IF((County=$BW$13:$BW$4972),MATCH(ROW($BW$13:$BW$4972),ROW($BW$13:$BW$4972)),""),ROWS($A$13:$A230))),INDEX($BY$13:$BY$212,SMALL(IF((County=$BZ$13:$BZ$212),MATCH(ROW($BZ$13:$BZ$212),ROW($BZ$13:$BZ$212)),""),ROWS($A$13:$A230)))),"")</f>
        <v/>
      </c>
      <c r="CG230" s="341" t="str">
        <f t="array" ref="CG230">IFERROR(IF($CG$11="Yes",INDEX($CB$13:$CB$2950,SMALL(IF((County=$CC$13:$CC$2950),MATCH(ROW($CC$13:$CC$2950),ROW($CC$13:$CC$2950)),""),ROWS($A$13:$A230))),""),"")</f>
        <v/>
      </c>
      <c r="CI230" s="1583">
        <v>33511</v>
      </c>
      <c r="CJ230" s="338" t="s">
        <v>316</v>
      </c>
      <c r="CL230" s="236">
        <v>6</v>
      </c>
      <c r="CM230" s="236" t="s">
        <v>304</v>
      </c>
      <c r="CR230" s="340">
        <v>12.03</v>
      </c>
      <c r="CS230" s="340" t="s">
        <v>276</v>
      </c>
      <c r="CT230" s="1384"/>
      <c r="CU230" s="341">
        <v>32751</v>
      </c>
      <c r="CV230" s="338" t="s">
        <v>338</v>
      </c>
      <c r="CZ230" s="1795">
        <v>9602.02</v>
      </c>
      <c r="DA230" s="338" t="s">
        <v>311</v>
      </c>
      <c r="DF230" s="340">
        <v>418.02</v>
      </c>
      <c r="DG230" s="340" t="s">
        <v>289</v>
      </c>
      <c r="DK230" s="341" t="str">
        <f t="array" ref="DK230">IFERROR(IF($DK$11="Yes",INDEX($DF$13:$DF$2838,SMALL(IF((County=$DG$13:$DG$2838),MATCH(ROW($DG$13:$DG$2838),ROW($DG$13:$DG$2838)),""),ROWS($A$13:$A230))),""),"")</f>
        <v/>
      </c>
      <c r="DM230" s="1387">
        <v>33487</v>
      </c>
      <c r="DN230" s="338" t="s">
        <v>340</v>
      </c>
      <c r="DP230" s="236">
        <v>22.01</v>
      </c>
      <c r="DQ230" s="236" t="s">
        <v>324</v>
      </c>
      <c r="DV230" s="340">
        <v>12.08</v>
      </c>
      <c r="DW230" s="340" t="s">
        <v>323</v>
      </c>
      <c r="DX230" s="1671"/>
      <c r="EB230" s="618"/>
      <c r="EC230" s="618"/>
      <c r="ED230" s="618"/>
      <c r="EE230" s="618"/>
      <c r="EF230" s="618"/>
      <c r="EG230" s="618"/>
      <c r="EH230" s="618"/>
      <c r="EI230" s="618"/>
      <c r="EJ230" s="618"/>
      <c r="EK230" s="618"/>
      <c r="EL230" s="618"/>
      <c r="EM230" s="618"/>
    </row>
    <row r="231" spans="1:143">
      <c r="A231" s="339">
        <v>33184</v>
      </c>
      <c r="B231" s="338" t="s">
        <v>2579</v>
      </c>
      <c r="E231" s="858"/>
      <c r="F231" s="338">
        <v>10.01</v>
      </c>
      <c r="G231" s="338" t="s">
        <v>316</v>
      </c>
      <c r="L231" s="2481">
        <v>423.02</v>
      </c>
      <c r="M231" s="340" t="s">
        <v>289</v>
      </c>
      <c r="N231" s="1390"/>
      <c r="O231" s="2479"/>
      <c r="P231" s="2282"/>
      <c r="T231" s="341" t="str">
        <f t="array" ref="T231">IFERROR(IF($T$11="Yes",INDEX($L$13:$L$2813,SMALL(IF((County=$M$13:$M$2813),MATCH(ROW($M$13:$M$2813),ROW($M$13:$M$2813)),""),ROWS($A$13:A231))),""),"")</f>
        <v/>
      </c>
      <c r="V231" s="2283" t="str">
        <f t="array" ref="V231">IFERROR(IF($T$11="Yes",INDEX($O$14:$O$2811,SMALL(IF((County=$P$14:$P$2811),MATCH(ROW($P$14:$P$2811),ROW($P$14:$P$2811)),""),ROWS($A$13:A231))),""),"")</f>
        <v/>
      </c>
      <c r="X231" s="339">
        <v>33458</v>
      </c>
      <c r="Y231" s="338" t="str">
        <f>IF(County="Palm Beach","Palm Beach","Marion")</f>
        <v>Marion</v>
      </c>
      <c r="AA231" s="338">
        <v>28.02</v>
      </c>
      <c r="AB231" s="338" t="s">
        <v>302</v>
      </c>
      <c r="AG231" s="2297">
        <v>13.02</v>
      </c>
      <c r="AH231" s="2297" t="s">
        <v>285</v>
      </c>
      <c r="AI231" s="1390"/>
      <c r="AJ231" s="2282"/>
      <c r="AK231" s="2282"/>
      <c r="AL231" s="1037"/>
      <c r="AM231" s="339">
        <v>32836</v>
      </c>
      <c r="AN231" s="338" t="s">
        <v>338</v>
      </c>
      <c r="AQ231" s="858"/>
      <c r="AR231" s="338">
        <v>105.01</v>
      </c>
      <c r="AS231" s="338" t="s">
        <v>316</v>
      </c>
      <c r="AX231" s="340">
        <v>408.02</v>
      </c>
      <c r="AY231" s="340" t="s">
        <v>289</v>
      </c>
      <c r="BA231" s="341" t="str">
        <f t="array" ref="BA231">IFERROR(IF($BA$11="Metro",INDEX($AR$13:$AR$814,SMALL(IF((County=$AS$13:$AS$814),MATCH(ROW($AS$13:$AS$814),ROW($AS$13:$AS$814)),""),ROWS($A$13:$A231))),INDEX($AU$13:$AU$48,SMALL(IF((County=$AV$13:$AV$48),MATCH(ROW($AV$13:$AV$48),ROW($AV$13:$AV$48)),""),ROWS($A$13:$A231)))),"")</f>
        <v/>
      </c>
      <c r="BC231" s="341" t="str">
        <f t="array" ref="BC231">IFERROR(IF($BC$11="Yes",INDEX($AX$13:$AX$2950,SMALL(IF((County=$AY$13:$AY$2950),MATCH(ROW($AY$13:$AY$2950),ROW($AY$13:$AY$2950)),""),ROWS($A$13:$A231))),""),"")</f>
        <v/>
      </c>
      <c r="BE231" s="339">
        <v>33615</v>
      </c>
      <c r="BF231" s="338" t="s">
        <v>316</v>
      </c>
      <c r="BH231" s="338">
        <v>20.03</v>
      </c>
      <c r="BI231" s="338" t="s">
        <v>324</v>
      </c>
      <c r="BN231" s="340">
        <v>12.02</v>
      </c>
      <c r="BO231" s="340" t="s">
        <v>276</v>
      </c>
      <c r="BP231" s="1385"/>
      <c r="BQ231" s="341">
        <v>32792</v>
      </c>
      <c r="BR231" s="338" t="s">
        <v>338</v>
      </c>
      <c r="BU231" s="858"/>
      <c r="BV231" s="338">
        <v>693</v>
      </c>
      <c r="BW231" s="338" t="s">
        <v>288</v>
      </c>
      <c r="CB231" s="340">
        <v>406.02</v>
      </c>
      <c r="CC231" s="340" t="s">
        <v>289</v>
      </c>
      <c r="CE231" s="341" t="str">
        <f t="array" ref="CE231">IFERROR(IF($CE$11="Metro",INDEX($BV$13:$BV$4972,SMALL(IF((County=$BW$13:$BW$4972),MATCH(ROW($BW$13:$BW$4972),ROW($BW$13:$BW$4972)),""),ROWS($A$13:$A231))),INDEX($BY$13:$BY$212,SMALL(IF((County=$BZ$13:$BZ$212),MATCH(ROW($BZ$13:$BZ$212),ROW($BZ$13:$BZ$212)),""),ROWS($A$13:$A231)))),"")</f>
        <v/>
      </c>
      <c r="CG231" s="341" t="str">
        <f t="array" ref="CG231">IFERROR(IF($CG$11="Yes",INDEX($CB$13:$CB$2950,SMALL(IF((County=$CC$13:$CC$2950),MATCH(ROW($CC$13:$CC$2950),ROW($CC$13:$CC$2950)),""),ROWS($A$13:$A231))),""),"")</f>
        <v/>
      </c>
      <c r="CI231" s="1583">
        <v>33543</v>
      </c>
      <c r="CJ231" s="338" t="s">
        <v>341</v>
      </c>
      <c r="CL231" s="236">
        <v>6</v>
      </c>
      <c r="CM231" s="236" t="s">
        <v>323</v>
      </c>
      <c r="CR231" s="340">
        <v>12.03</v>
      </c>
      <c r="CS231" s="340" t="s">
        <v>328</v>
      </c>
      <c r="CT231" s="1384"/>
      <c r="CU231" s="341">
        <v>32789</v>
      </c>
      <c r="CV231" s="338" t="s">
        <v>338</v>
      </c>
      <c r="CZ231" s="1795">
        <v>9701.02</v>
      </c>
      <c r="DA231" s="338" t="s">
        <v>312</v>
      </c>
      <c r="DF231" s="340">
        <v>419</v>
      </c>
      <c r="DG231" s="340" t="s">
        <v>289</v>
      </c>
      <c r="DK231" s="341" t="str">
        <f t="array" ref="DK231">IFERROR(IF($DK$11="Yes",INDEX($DF$13:$DF$2838,SMALL(IF((County=$DG$13:$DG$2838),MATCH(ROW($DG$13:$DG$2838),ROW($DG$13:$DG$2838)),""),ROWS($A$13:$A231))),""),"")</f>
        <v/>
      </c>
      <c r="DM231" s="1387">
        <v>33496</v>
      </c>
      <c r="DN231" s="338" t="s">
        <v>340</v>
      </c>
      <c r="DP231" s="236">
        <v>22.02</v>
      </c>
      <c r="DQ231" s="236" t="s">
        <v>331</v>
      </c>
      <c r="DV231" s="340">
        <v>12.08</v>
      </c>
      <c r="DW231" s="340" t="s">
        <v>329</v>
      </c>
      <c r="DX231" s="1671"/>
      <c r="EB231" s="618"/>
      <c r="EC231" s="618"/>
      <c r="ED231" s="618"/>
      <c r="EE231" s="618"/>
      <c r="EF231" s="618"/>
      <c r="EG231" s="618"/>
      <c r="EH231" s="618"/>
      <c r="EI231" s="618"/>
      <c r="EJ231" s="618"/>
      <c r="EK231" s="618"/>
      <c r="EL231" s="618"/>
      <c r="EM231" s="618"/>
    </row>
    <row r="232" spans="1:143">
      <c r="A232" s="339">
        <v>33185</v>
      </c>
      <c r="B232" s="338" t="s">
        <v>2579</v>
      </c>
      <c r="E232" s="858"/>
      <c r="F232" s="338">
        <v>10.02</v>
      </c>
      <c r="G232" s="338" t="s">
        <v>316</v>
      </c>
      <c r="L232" s="2481">
        <v>425.01</v>
      </c>
      <c r="M232" s="340" t="s">
        <v>289</v>
      </c>
      <c r="N232" s="1390"/>
      <c r="O232" s="2479"/>
      <c r="P232" s="2282"/>
      <c r="T232" s="341" t="str">
        <f t="array" ref="T232">IFERROR(IF($T$11="Yes",INDEX($L$13:$L$2813,SMALL(IF((County=$M$13:$M$2813),MATCH(ROW($M$13:$M$2813),ROW($M$13:$M$2813)),""),ROWS($A$13:A232))),""),"")</f>
        <v/>
      </c>
      <c r="V232" s="2283" t="str">
        <f t="array" ref="V232">IFERROR(IF($T$11="Yes",INDEX($O$14:$O$2811,SMALL(IF((County=$P$14:$P$2811),MATCH(ROW($P$14:$P$2811),ROW($P$14:$P$2811)),""),ROWS($A$13:A232))),""),"")</f>
        <v/>
      </c>
      <c r="X232" s="339">
        <v>33458</v>
      </c>
      <c r="Y232" s="338" t="str">
        <f>IF(County="Palm Beach","Marion","Palm Beach")</f>
        <v>Palm Beach</v>
      </c>
      <c r="AA232" s="338">
        <v>28.03</v>
      </c>
      <c r="AB232" s="338" t="s">
        <v>304</v>
      </c>
      <c r="AG232" s="2297">
        <v>13.02</v>
      </c>
      <c r="AH232" s="2297" t="s">
        <v>329</v>
      </c>
      <c r="AI232" s="1390"/>
      <c r="AJ232" s="2282"/>
      <c r="AK232" s="2282"/>
      <c r="AL232" s="1037"/>
      <c r="AM232" s="339">
        <v>32837</v>
      </c>
      <c r="AN232" s="338" t="s">
        <v>338</v>
      </c>
      <c r="AQ232" s="858"/>
      <c r="AR232" s="338">
        <v>108.05</v>
      </c>
      <c r="AS232" s="338" t="s">
        <v>316</v>
      </c>
      <c r="AX232" s="340">
        <v>418.01</v>
      </c>
      <c r="AY232" s="340" t="s">
        <v>289</v>
      </c>
      <c r="BA232" s="341" t="str">
        <f t="array" ref="BA232">IFERROR(IF($BA$11="Metro",INDEX($AR$13:$AR$814,SMALL(IF((County=$AS$13:$AS$814),MATCH(ROW($AS$13:$AS$814),ROW($AS$13:$AS$814)),""),ROWS($A$13:$A232))),INDEX($AU$13:$AU$48,SMALL(IF((County=$AV$13:$AV$48),MATCH(ROW($AV$13:$AV$48),ROW($AV$13:$AV$48)),""),ROWS($A$13:$A232)))),"")</f>
        <v/>
      </c>
      <c r="BC232" s="341" t="str">
        <f t="array" ref="BC232">IFERROR(IF($BC$11="Yes",INDEX($AX$13:$AX$2950,SMALL(IF((County=$AY$13:$AY$2950),MATCH(ROW($AY$13:$AY$2950),ROW($AY$13:$AY$2950)),""),ROWS($A$13:$A232))),""),"")</f>
        <v/>
      </c>
      <c r="BE232" s="339">
        <v>33616</v>
      </c>
      <c r="BF232" s="338" t="s">
        <v>316</v>
      </c>
      <c r="BH232" s="338">
        <v>20.03</v>
      </c>
      <c r="BI232" s="338" t="s">
        <v>331</v>
      </c>
      <c r="BN232" s="340">
        <v>12.02</v>
      </c>
      <c r="BO232" s="340" t="s">
        <v>328</v>
      </c>
      <c r="BP232" s="1385"/>
      <c r="BQ232" s="1583">
        <v>32801</v>
      </c>
      <c r="BR232" s="236" t="s">
        <v>338</v>
      </c>
      <c r="BU232" s="858"/>
      <c r="BV232" s="338">
        <v>694</v>
      </c>
      <c r="BW232" s="338" t="s">
        <v>288</v>
      </c>
      <c r="CB232" s="340">
        <v>407.01</v>
      </c>
      <c r="CC232" s="340" t="s">
        <v>289</v>
      </c>
      <c r="CE232" s="341" t="str">
        <f t="array" ref="CE232">IFERROR(IF($CE$11="Metro",INDEX($BV$13:$BV$4972,SMALL(IF((County=$BW$13:$BW$4972),MATCH(ROW($BW$13:$BW$4972),ROW($BW$13:$BW$4972)),""),ROWS($A$13:$A232))),INDEX($BY$13:$BY$212,SMALL(IF((County=$BZ$13:$BZ$212),MATCH(ROW($BZ$13:$BZ$212),ROW($BZ$13:$BZ$212)),""),ROWS($A$13:$A232)))),"")</f>
        <v/>
      </c>
      <c r="CG232" s="341" t="str">
        <f t="array" ref="CG232">IFERROR(IF($CG$11="Yes",INDEX($CB$13:$CB$2950,SMALL(IF((County=$CC$13:$CC$2950),MATCH(ROW($CC$13:$CC$2950),ROW($CC$13:$CC$2950)),""),ROWS($A$13:$A232))),""),"")</f>
        <v/>
      </c>
      <c r="CI232" s="1583">
        <v>33544</v>
      </c>
      <c r="CJ232" s="338" t="s">
        <v>341</v>
      </c>
      <c r="CL232" s="236">
        <v>6</v>
      </c>
      <c r="CM232" s="236" t="s">
        <v>324</v>
      </c>
      <c r="CR232" s="340">
        <v>12.03</v>
      </c>
      <c r="CS232" s="340" t="s">
        <v>347</v>
      </c>
      <c r="CT232" s="1384"/>
      <c r="CU232" s="341">
        <v>32792</v>
      </c>
      <c r="CV232" s="338" t="s">
        <v>338</v>
      </c>
      <c r="CZ232" s="1795">
        <v>9702.01</v>
      </c>
      <c r="DA232" s="338" t="s">
        <v>312</v>
      </c>
      <c r="DF232" s="340">
        <v>420</v>
      </c>
      <c r="DG232" s="340" t="s">
        <v>289</v>
      </c>
      <c r="DK232" s="341" t="str">
        <f t="array" ref="DK232">IFERROR(IF($DK$11="Yes",INDEX($DF$13:$DF$2838,SMALL(IF((County=$DG$13:$DG$2838),MATCH(ROW($DG$13:$DG$2838),ROW($DG$13:$DG$2838)),""),ROWS($A$13:$A232))),""),"")</f>
        <v/>
      </c>
      <c r="DM232" s="1387">
        <v>33498</v>
      </c>
      <c r="DN232" s="338" t="s">
        <v>340</v>
      </c>
      <c r="DP232" s="236">
        <v>23</v>
      </c>
      <c r="DQ232" s="236" t="s">
        <v>331</v>
      </c>
      <c r="DV232" s="340">
        <v>12.08</v>
      </c>
      <c r="DW232" s="340" t="s">
        <v>331</v>
      </c>
      <c r="DX232" s="1671"/>
      <c r="EB232" s="618"/>
      <c r="EC232" s="618"/>
      <c r="ED232" s="618"/>
      <c r="EE232" s="618"/>
      <c r="EF232" s="618"/>
      <c r="EG232" s="618"/>
      <c r="EH232" s="618"/>
      <c r="EI232" s="618"/>
      <c r="EJ232" s="618"/>
      <c r="EK232" s="618"/>
      <c r="EL232" s="618"/>
      <c r="EM232" s="618"/>
    </row>
    <row r="233" spans="1:143">
      <c r="A233" s="339">
        <v>33186</v>
      </c>
      <c r="B233" s="338" t="s">
        <v>2579</v>
      </c>
      <c r="E233" s="858"/>
      <c r="F233" s="338">
        <v>13</v>
      </c>
      <c r="G233" s="338" t="s">
        <v>316</v>
      </c>
      <c r="L233" s="2481">
        <v>425.02</v>
      </c>
      <c r="M233" s="340" t="s">
        <v>289</v>
      </c>
      <c r="N233" s="1390"/>
      <c r="O233" s="2479"/>
      <c r="P233" s="2282"/>
      <c r="T233" s="341" t="str">
        <f t="array" ref="T233">IFERROR(IF($T$11="Yes",INDEX($L$13:$L$2813,SMALL(IF((County=$M$13:$M$2813),MATCH(ROW($M$13:$M$2813),ROW($M$13:$M$2813)),""),ROWS($A$13:A233))),""),"")</f>
        <v/>
      </c>
      <c r="V233" s="2283" t="str">
        <f t="array" ref="V233">IFERROR(IF($T$11="Yes",INDEX($O$14:$O$2811,SMALL(IF((County=$P$14:$P$2811),MATCH(ROW($P$14:$P$2811),ROW($P$14:$P$2811)),""),ROWS($A$13:A233))),""),"")</f>
        <v/>
      </c>
      <c r="X233" s="339">
        <v>33469</v>
      </c>
      <c r="Y233" s="338" t="str">
        <f>IF(County="Palm Beach","Palm Beach","Marion")</f>
        <v>Marion</v>
      </c>
      <c r="AA233" s="338">
        <v>29</v>
      </c>
      <c r="AB233" s="338" t="s">
        <v>304</v>
      </c>
      <c r="AG233" s="2297">
        <v>13.02</v>
      </c>
      <c r="AH233" s="2297" t="s">
        <v>330</v>
      </c>
      <c r="AI233" s="1390"/>
      <c r="AJ233" s="2282"/>
      <c r="AK233" s="2282"/>
      <c r="AL233" s="1037"/>
      <c r="AM233" s="339">
        <v>34734</v>
      </c>
      <c r="AN233" s="338" t="s">
        <v>338</v>
      </c>
      <c r="AQ233" s="858"/>
      <c r="AR233" s="338">
        <v>108.08</v>
      </c>
      <c r="AS233" s="338" t="s">
        <v>316</v>
      </c>
      <c r="AX233" s="340">
        <v>419</v>
      </c>
      <c r="AY233" s="340" t="s">
        <v>289</v>
      </c>
      <c r="BA233" s="341" t="str">
        <f t="array" ref="BA233">IFERROR(IF($BA$11="Metro",INDEX($AR$13:$AR$814,SMALL(IF((County=$AS$13:$AS$814),MATCH(ROW($AS$13:$AS$814),ROW($AS$13:$AS$814)),""),ROWS($A$13:$A233))),INDEX($AU$13:$AU$48,SMALL(IF((County=$AV$13:$AV$48),MATCH(ROW($AV$13:$AV$48),ROW($AV$13:$AV$48)),""),ROWS($A$13:$A233)))),"")</f>
        <v/>
      </c>
      <c r="BC233" s="341" t="str">
        <f t="array" ref="BC233">IFERROR(IF($BC$11="Yes",INDEX($AX$13:$AX$2950,SMALL(IF((County=$AY$13:$AY$2950),MATCH(ROW($AY$13:$AY$2950),ROW($AY$13:$AY$2950)),""),ROWS($A$13:$A233))),""),"")</f>
        <v/>
      </c>
      <c r="BE233" s="339">
        <v>33621</v>
      </c>
      <c r="BF233" s="338" t="s">
        <v>316</v>
      </c>
      <c r="BH233" s="338">
        <v>20.04</v>
      </c>
      <c r="BI233" s="338" t="s">
        <v>331</v>
      </c>
      <c r="BN233" s="340">
        <v>12.02</v>
      </c>
      <c r="BO233" s="340" t="s">
        <v>347</v>
      </c>
      <c r="BP233" s="1385"/>
      <c r="BQ233" s="341">
        <v>32803</v>
      </c>
      <c r="BR233" s="338" t="s">
        <v>338</v>
      </c>
      <c r="BU233" s="858"/>
      <c r="BV233" s="338">
        <v>697</v>
      </c>
      <c r="BW233" s="338" t="s">
        <v>288</v>
      </c>
      <c r="CB233" s="340">
        <v>407.02</v>
      </c>
      <c r="CC233" s="340" t="s">
        <v>289</v>
      </c>
      <c r="CE233" s="341" t="str">
        <f t="array" ref="CE233">IFERROR(IF($CE$11="Metro",INDEX($BV$13:$BV$4972,SMALL(IF((County=$BW$13:$BW$4972),MATCH(ROW($BW$13:$BW$4972),ROW($BW$13:$BW$4972)),""),ROWS($A$13:$A233))),INDEX($BY$13:$BY$212,SMALL(IF((County=$BZ$13:$BZ$212),MATCH(ROW($BZ$13:$BZ$212),ROW($BZ$13:$BZ$212)),""),ROWS($A$13:$A233)))),"")</f>
        <v/>
      </c>
      <c r="CG233" s="341" t="str">
        <f t="array" ref="CG233">IFERROR(IF($CG$11="Yes",INDEX($CB$13:$CB$2950,SMALL(IF((County=$CC$13:$CC$2950),MATCH(ROW($CC$13:$CC$2950),ROW($CC$13:$CC$2950)),""),ROWS($A$13:$A233))),""),"")</f>
        <v/>
      </c>
      <c r="CI233" s="1583">
        <v>33545</v>
      </c>
      <c r="CJ233" s="338" t="s">
        <v>341</v>
      </c>
      <c r="CL233" s="236">
        <v>6</v>
      </c>
      <c r="CM233" s="236" t="s">
        <v>340</v>
      </c>
      <c r="CR233" s="340">
        <v>12.04</v>
      </c>
      <c r="CS233" s="340" t="s">
        <v>323</v>
      </c>
      <c r="CT233" s="1384"/>
      <c r="CU233" s="341">
        <v>32801</v>
      </c>
      <c r="CV233" s="338" t="s">
        <v>338</v>
      </c>
      <c r="CZ233" s="1795">
        <v>9704.01</v>
      </c>
      <c r="DA233" s="338" t="s">
        <v>312</v>
      </c>
      <c r="DF233" s="340">
        <v>421</v>
      </c>
      <c r="DG233" s="340" t="s">
        <v>289</v>
      </c>
      <c r="DK233" s="341" t="str">
        <f t="array" ref="DK233">IFERROR(IF($DK$11="Yes",INDEX($DF$13:$DF$2838,SMALL(IF((County=$DG$13:$DG$2838),MATCH(ROW($DG$13:$DG$2838),ROW($DG$13:$DG$2838)),""),ROWS($A$13:$A233))),""),"")</f>
        <v/>
      </c>
      <c r="DM233" s="1387">
        <v>33503</v>
      </c>
      <c r="DN233" s="338" t="s">
        <v>340</v>
      </c>
      <c r="DP233" s="236">
        <v>23</v>
      </c>
      <c r="DQ233" s="236" t="s">
        <v>340</v>
      </c>
      <c r="DV233" s="340">
        <v>12.09</v>
      </c>
      <c r="DW233" s="340" t="s">
        <v>323</v>
      </c>
      <c r="DX233" s="1671"/>
      <c r="EB233" s="618"/>
      <c r="EC233" s="618"/>
      <c r="ED233" s="618"/>
      <c r="EE233" s="618"/>
      <c r="EF233" s="618"/>
      <c r="EG233" s="618"/>
      <c r="EH233" s="618"/>
      <c r="EI233" s="618"/>
      <c r="EJ233" s="618"/>
      <c r="EK233" s="618"/>
      <c r="EL233" s="618"/>
      <c r="EM233" s="618"/>
    </row>
    <row r="234" spans="1:143">
      <c r="A234" s="339">
        <v>33187</v>
      </c>
      <c r="B234" s="338" t="s">
        <v>2579</v>
      </c>
      <c r="E234" s="858"/>
      <c r="F234" s="338">
        <v>14</v>
      </c>
      <c r="G234" s="338" t="s">
        <v>316</v>
      </c>
      <c r="L234" s="2481">
        <v>426.01</v>
      </c>
      <c r="M234" s="340" t="s">
        <v>289</v>
      </c>
      <c r="N234" s="1390"/>
      <c r="O234" s="2479"/>
      <c r="P234" s="2282"/>
      <c r="T234" s="341" t="str">
        <f t="array" ref="T234">IFERROR(IF($T$11="Yes",INDEX($L$13:$L$2813,SMALL(IF((County=$M$13:$M$2813),MATCH(ROW($M$13:$M$2813),ROW($M$13:$M$2813)),""),ROWS($A$13:A234))),""),"")</f>
        <v/>
      </c>
      <c r="V234" s="2283" t="str">
        <f t="array" ref="V234">IFERROR(IF($T$11="Yes",INDEX($O$14:$O$2811,SMALL(IF((County=$P$14:$P$2811),MATCH(ROW($P$14:$P$2811),ROW($P$14:$P$2811)),""),ROWS($A$13:A234))),""),"")</f>
        <v/>
      </c>
      <c r="X234" s="339">
        <v>33469</v>
      </c>
      <c r="Y234" s="338" t="str">
        <f>IF(County="Palm Beach","Marion","Palm Beach")</f>
        <v>Palm Beach</v>
      </c>
      <c r="AA234" s="338">
        <v>29</v>
      </c>
      <c r="AB234" s="338" t="s">
        <v>331</v>
      </c>
      <c r="AG234" s="2297">
        <v>13.02</v>
      </c>
      <c r="AH234" s="2297" t="s">
        <v>331</v>
      </c>
      <c r="AI234" s="1390"/>
      <c r="AJ234" s="2282"/>
      <c r="AK234" s="2282"/>
      <c r="AL234" s="1037"/>
      <c r="AM234" s="339">
        <v>34760</v>
      </c>
      <c r="AN234" s="338" t="s">
        <v>338</v>
      </c>
      <c r="AQ234" s="858"/>
      <c r="AR234" s="338">
        <v>108.09</v>
      </c>
      <c r="AS234" s="338" t="s">
        <v>316</v>
      </c>
      <c r="AX234" s="340">
        <v>420</v>
      </c>
      <c r="AY234" s="340" t="s">
        <v>289</v>
      </c>
      <c r="BA234" s="341" t="str">
        <f t="array" ref="BA234">IFERROR(IF($BA$11="Metro",INDEX($AR$13:$AR$814,SMALL(IF((County=$AS$13:$AS$814),MATCH(ROW($AS$13:$AS$814),ROW($AS$13:$AS$814)),""),ROWS($A$13:$A234))),INDEX($AU$13:$AU$48,SMALL(IF((County=$AV$13:$AV$48),MATCH(ROW($AV$13:$AV$48),ROW($AV$13:$AV$48)),""),ROWS($A$13:$A234)))),"")</f>
        <v/>
      </c>
      <c r="BC234" s="341" t="str">
        <f t="array" ref="BC234">IFERROR(IF($BC$11="Yes",INDEX($AX$13:$AX$2950,SMALL(IF((County=$AY$13:$AY$2950),MATCH(ROW($AY$13:$AY$2950),ROW($AY$13:$AY$2950)),""),ROWS($A$13:$A234))),""),"")</f>
        <v/>
      </c>
      <c r="BE234" s="339">
        <v>33624</v>
      </c>
      <c r="BF234" s="338" t="s">
        <v>316</v>
      </c>
      <c r="BH234" s="338">
        <v>20.05</v>
      </c>
      <c r="BI234" s="338" t="s">
        <v>324</v>
      </c>
      <c r="BN234" s="340">
        <v>12.03</v>
      </c>
      <c r="BO234" s="340" t="s">
        <v>276</v>
      </c>
      <c r="BP234" s="1385"/>
      <c r="BQ234" s="341">
        <v>32805</v>
      </c>
      <c r="BR234" s="338" t="s">
        <v>338</v>
      </c>
      <c r="BU234" s="858"/>
      <c r="BV234" s="338">
        <v>698.01</v>
      </c>
      <c r="BW234" s="338" t="s">
        <v>288</v>
      </c>
      <c r="CB234" s="340">
        <v>408.02</v>
      </c>
      <c r="CC234" s="340" t="s">
        <v>289</v>
      </c>
      <c r="CE234" s="341" t="str">
        <f t="array" ref="CE234">IFERROR(IF($CE$11="Metro",INDEX($BV$13:$BV$4972,SMALL(IF((County=$BW$13:$BW$4972),MATCH(ROW($BW$13:$BW$4972),ROW($BW$13:$BW$4972)),""),ROWS($A$13:$A234))),INDEX($BY$13:$BY$212,SMALL(IF((County=$BZ$13:$BZ$212),MATCH(ROW($BZ$13:$BZ$212),ROW($BZ$13:$BZ$212)),""),ROWS($A$13:$A234)))),"")</f>
        <v/>
      </c>
      <c r="CG234" s="341" t="str">
        <f t="array" ref="CG234">IFERROR(IF($CG$11="Yes",INDEX($CB$13:$CB$2950,SMALL(IF((County=$CC$13:$CC$2950),MATCH(ROW($CC$13:$CC$2950),ROW($CC$13:$CC$2950)),""),ROWS($A$13:$A234))),""),"")</f>
        <v/>
      </c>
      <c r="CI234" s="1583">
        <v>33547</v>
      </c>
      <c r="CJ234" s="338" t="s">
        <v>316</v>
      </c>
      <c r="CL234" s="236">
        <v>6.01</v>
      </c>
      <c r="CM234" s="236" t="s">
        <v>316</v>
      </c>
      <c r="CR234" s="340">
        <v>12.04</v>
      </c>
      <c r="CS234" s="340" t="s">
        <v>328</v>
      </c>
      <c r="CT234" s="1384"/>
      <c r="CU234" s="341">
        <v>32803</v>
      </c>
      <c r="CV234" s="338" t="s">
        <v>338</v>
      </c>
      <c r="CZ234" s="1795">
        <v>2</v>
      </c>
      <c r="DA234" s="338" t="s">
        <v>313</v>
      </c>
      <c r="DF234" s="340">
        <v>422</v>
      </c>
      <c r="DG234" s="340" t="s">
        <v>289</v>
      </c>
      <c r="DK234" s="341" t="str">
        <f t="array" ref="DK234">IFERROR(IF($DK$11="Yes",INDEX($DF$13:$DF$2838,SMALL(IF((County=$DG$13:$DG$2838),MATCH(ROW($DG$13:$DG$2838),ROW($DG$13:$DG$2838)),""),ROWS($A$13:$A234))),""),"")</f>
        <v/>
      </c>
      <c r="DM234" s="1387">
        <v>33510</v>
      </c>
      <c r="DN234" s="338" t="s">
        <v>316</v>
      </c>
      <c r="DP234" s="236">
        <v>24</v>
      </c>
      <c r="DQ234" s="236" t="s">
        <v>285</v>
      </c>
      <c r="DV234" s="340">
        <v>12.09</v>
      </c>
      <c r="DW234" s="340" t="s">
        <v>329</v>
      </c>
      <c r="DX234" s="1671"/>
      <c r="EB234" s="618"/>
      <c r="EC234" s="618"/>
      <c r="ED234" s="618"/>
      <c r="EE234" s="618"/>
      <c r="EF234" s="618"/>
      <c r="EG234" s="618"/>
      <c r="EH234" s="618"/>
      <c r="EI234" s="618"/>
      <c r="EJ234" s="618"/>
      <c r="EK234" s="618"/>
      <c r="EL234" s="618"/>
      <c r="EM234" s="618"/>
    </row>
    <row r="235" spans="1:143">
      <c r="A235" s="339">
        <v>33190</v>
      </c>
      <c r="B235" s="338" t="s">
        <v>2579</v>
      </c>
      <c r="E235" s="858"/>
      <c r="F235" s="338">
        <v>18</v>
      </c>
      <c r="G235" s="338" t="s">
        <v>316</v>
      </c>
      <c r="L235" s="2481">
        <v>428.02</v>
      </c>
      <c r="M235" s="340" t="s">
        <v>289</v>
      </c>
      <c r="N235" s="1390"/>
      <c r="O235" s="2479"/>
      <c r="P235" s="2282"/>
      <c r="T235" s="341" t="str">
        <f t="array" ref="T235">IFERROR(IF($T$11="Yes",INDEX($L$13:$L$2813,SMALL(IF((County=$M$13:$M$2813),MATCH(ROW($M$13:$M$2813),ROW($M$13:$M$2813)),""),ROWS($A$13:A235))),""),"")</f>
        <v/>
      </c>
      <c r="V235" s="2283" t="str">
        <f t="array" ref="V235">IFERROR(IF($T$11="Yes",INDEX($O$14:$O$2811,SMALL(IF((County=$P$14:$P$2811),MATCH(ROW($P$14:$P$2811),ROW($P$14:$P$2811)),""),ROWS($A$13:A235))),""),"")</f>
        <v/>
      </c>
      <c r="X235" s="339">
        <v>33470</v>
      </c>
      <c r="Y235" s="338" t="s">
        <v>340</v>
      </c>
      <c r="AA235" s="338">
        <v>29</v>
      </c>
      <c r="AB235" s="338" t="s">
        <v>340</v>
      </c>
      <c r="AG235" s="2297">
        <v>13.03</v>
      </c>
      <c r="AH235" s="2297" t="s">
        <v>347</v>
      </c>
      <c r="AI235" s="1390"/>
      <c r="AJ235" s="2282"/>
      <c r="AK235" s="2282"/>
      <c r="AL235" s="1037"/>
      <c r="AM235" s="339">
        <v>34761</v>
      </c>
      <c r="AN235" s="338" t="s">
        <v>338</v>
      </c>
      <c r="AQ235" s="858"/>
      <c r="AR235" s="338">
        <v>108.11</v>
      </c>
      <c r="AS235" s="338" t="s">
        <v>316</v>
      </c>
      <c r="AX235" s="340">
        <v>421</v>
      </c>
      <c r="AY235" s="340" t="s">
        <v>289</v>
      </c>
      <c r="BA235" s="341" t="str">
        <f t="array" ref="BA235">IFERROR(IF($BA$11="Metro",INDEX($AR$13:$AR$814,SMALL(IF((County=$AS$13:$AS$814),MATCH(ROW($AS$13:$AS$814),ROW($AS$13:$AS$814)),""),ROWS($A$13:$A235))),INDEX($AU$13:$AU$48,SMALL(IF((County=$AV$13:$AV$48),MATCH(ROW($AV$13:$AV$48),ROW($AV$13:$AV$48)),""),ROWS($A$13:$A235)))),"")</f>
        <v/>
      </c>
      <c r="BC235" s="341" t="str">
        <f t="array" ref="BC235">IFERROR(IF($BC$11="Yes",INDEX($AX$13:$AX$2950,SMALL(IF((County=$AY$13:$AY$2950),MATCH(ROW($AY$13:$AY$2950),ROW($AY$13:$AY$2950)),""),ROWS($A$13:$A235))),""),"")</f>
        <v/>
      </c>
      <c r="BE235" s="339">
        <v>33625</v>
      </c>
      <c r="BF235" s="338" t="s">
        <v>316</v>
      </c>
      <c r="BH235" s="338">
        <v>20.059999999999999</v>
      </c>
      <c r="BI235" s="338" t="s">
        <v>324</v>
      </c>
      <c r="BN235" s="340">
        <v>12.03</v>
      </c>
      <c r="BO235" s="340" t="s">
        <v>328</v>
      </c>
      <c r="BP235" s="1385"/>
      <c r="BQ235" s="1583">
        <v>32806</v>
      </c>
      <c r="BR235" s="236" t="s">
        <v>338</v>
      </c>
      <c r="BU235" s="858"/>
      <c r="BV235" s="338">
        <v>698.02</v>
      </c>
      <c r="BW235" s="338" t="s">
        <v>288</v>
      </c>
      <c r="CB235" s="340">
        <v>418.01</v>
      </c>
      <c r="CC235" s="340" t="s">
        <v>289</v>
      </c>
      <c r="CE235" s="341" t="str">
        <f t="array" ref="CE235">IFERROR(IF($CE$11="Metro",INDEX($BV$13:$BV$4972,SMALL(IF((County=$BW$13:$BW$4972),MATCH(ROW($BW$13:$BW$4972),ROW($BW$13:$BW$4972)),""),ROWS($A$13:$A235))),INDEX($BY$13:$BY$212,SMALL(IF((County=$BZ$13:$BZ$212),MATCH(ROW($BZ$13:$BZ$212),ROW($BZ$13:$BZ$212)),""),ROWS($A$13:$A235)))),"")</f>
        <v/>
      </c>
      <c r="CG235" s="341" t="str">
        <f t="array" ref="CG235">IFERROR(IF($CG$11="Yes",INDEX($CB$13:$CB$2950,SMALL(IF((County=$CC$13:$CC$2950),MATCH(ROW($CC$13:$CC$2950),ROW($CC$13:$CC$2950)),""),ROWS($A$13:$A235))),""),"")</f>
        <v/>
      </c>
      <c r="CI235" s="1583">
        <v>33548</v>
      </c>
      <c r="CJ235" s="338" t="s">
        <v>316</v>
      </c>
      <c r="CL235" s="236">
        <v>6.01</v>
      </c>
      <c r="CM235" s="236" t="s">
        <v>328</v>
      </c>
      <c r="CR235" s="340">
        <v>12.04</v>
      </c>
      <c r="CS235" s="340" t="s">
        <v>331</v>
      </c>
      <c r="CT235" s="1384"/>
      <c r="CU235" s="341">
        <v>32804</v>
      </c>
      <c r="CV235" s="338" t="s">
        <v>338</v>
      </c>
      <c r="CZ235" s="1795">
        <v>3</v>
      </c>
      <c r="DA235" s="338" t="s">
        <v>313</v>
      </c>
      <c r="DF235" s="340">
        <v>423.01</v>
      </c>
      <c r="DG235" s="340" t="s">
        <v>289</v>
      </c>
      <c r="DK235" s="341" t="str">
        <f t="array" ref="DK235">IFERROR(IF($DK$11="Yes",INDEX($DF$13:$DF$2838,SMALL(IF((County=$DG$13:$DG$2838),MATCH(ROW($DG$13:$DG$2838),ROW($DG$13:$DG$2838)),""),ROWS($A$13:$A235))),""),"")</f>
        <v/>
      </c>
      <c r="DM235" s="1387">
        <v>33511</v>
      </c>
      <c r="DN235" s="338" t="s">
        <v>316</v>
      </c>
      <c r="DP235" s="236">
        <v>24</v>
      </c>
      <c r="DQ235" s="236" t="s">
        <v>340</v>
      </c>
      <c r="DV235" s="340">
        <v>12.1</v>
      </c>
      <c r="DW235" s="340" t="s">
        <v>329</v>
      </c>
      <c r="DX235" s="1671"/>
      <c r="EB235" s="618"/>
      <c r="EC235" s="618"/>
      <c r="ED235" s="618"/>
      <c r="EE235" s="618"/>
      <c r="EF235" s="618"/>
      <c r="EG235" s="618"/>
      <c r="EH235" s="618"/>
      <c r="EI235" s="618"/>
      <c r="EJ235" s="618"/>
      <c r="EK235" s="618"/>
      <c r="EL235" s="618"/>
      <c r="EM235" s="618"/>
    </row>
    <row r="236" spans="1:143">
      <c r="A236" s="339">
        <v>33193</v>
      </c>
      <c r="B236" s="338" t="s">
        <v>2579</v>
      </c>
      <c r="E236" s="858"/>
      <c r="F236" s="338">
        <v>19</v>
      </c>
      <c r="G236" s="338" t="s">
        <v>316</v>
      </c>
      <c r="L236" s="2481">
        <v>433.02</v>
      </c>
      <c r="M236" s="340" t="s">
        <v>289</v>
      </c>
      <c r="N236" s="1390"/>
      <c r="O236" s="2479"/>
      <c r="P236" s="2282"/>
      <c r="T236" s="341" t="str">
        <f t="array" ref="T236">IFERROR(IF($T$11="Yes",INDEX($L$13:$L$2813,SMALL(IF((County=$M$13:$M$2813),MATCH(ROW($M$13:$M$2813),ROW($M$13:$M$2813)),""),ROWS($A$13:A236))),""),"")</f>
        <v/>
      </c>
      <c r="V236" s="2283" t="str">
        <f t="array" ref="V236">IFERROR(IF($T$11="Yes",INDEX($O$14:$O$2811,SMALL(IF((County=$P$14:$P$2811),MATCH(ROW($P$14:$P$2811),ROW($P$14:$P$2811)),""),ROWS($A$13:A236))),""),"")</f>
        <v/>
      </c>
      <c r="X236" s="339">
        <v>33472</v>
      </c>
      <c r="Y236" s="338" t="s">
        <v>340</v>
      </c>
      <c r="AA236" s="338">
        <v>29.01</v>
      </c>
      <c r="AB236" s="338" t="s">
        <v>302</v>
      </c>
      <c r="AG236" s="2297">
        <v>13.04</v>
      </c>
      <c r="AH236" s="2297" t="s">
        <v>347</v>
      </c>
      <c r="AI236" s="1390"/>
      <c r="AJ236" s="2282"/>
      <c r="AK236" s="2282"/>
      <c r="AL236" s="1037"/>
      <c r="AM236" s="339">
        <v>34786</v>
      </c>
      <c r="AN236" s="338" t="s">
        <v>338</v>
      </c>
      <c r="AQ236" s="858"/>
      <c r="AR236" s="338">
        <v>108.14</v>
      </c>
      <c r="AS236" s="338" t="s">
        <v>316</v>
      </c>
      <c r="AX236" s="340">
        <v>422</v>
      </c>
      <c r="AY236" s="340" t="s">
        <v>289</v>
      </c>
      <c r="BA236" s="1383" t="s">
        <v>2329</v>
      </c>
      <c r="BC236" s="341" t="str">
        <f t="array" ref="BC236">IFERROR(IF($BC$11="Yes",INDEX($AX$13:$AX$2950,SMALL(IF((County=$AY$13:$AY$2950),MATCH(ROW($AY$13:$AY$2950),ROW($AY$13:$AY$2950)),""),ROWS($A$13:$A236))),""),"")</f>
        <v/>
      </c>
      <c r="BE236" s="339">
        <v>33626</v>
      </c>
      <c r="BF236" s="338" t="s">
        <v>316</v>
      </c>
      <c r="BH236" s="338">
        <v>20.07</v>
      </c>
      <c r="BI236" s="338" t="s">
        <v>324</v>
      </c>
      <c r="BN236" s="340">
        <v>12.03</v>
      </c>
      <c r="BO236" s="340" t="s">
        <v>347</v>
      </c>
      <c r="BP236" s="1385"/>
      <c r="BQ236" s="341">
        <v>32811</v>
      </c>
      <c r="BR236" s="338" t="s">
        <v>338</v>
      </c>
      <c r="BU236" s="858"/>
      <c r="BV236" s="338">
        <v>699.03</v>
      </c>
      <c r="BW236" s="338" t="s">
        <v>288</v>
      </c>
      <c r="CB236" s="340">
        <v>418.02</v>
      </c>
      <c r="CC236" s="340" t="s">
        <v>289</v>
      </c>
      <c r="CE236" s="341" t="str">
        <f t="array" ref="CE236">IFERROR(IF($CE$11="Metro",INDEX($BV$13:$BV$4972,SMALL(IF((County=$BW$13:$BW$4972),MATCH(ROW($BW$13:$BW$4972),ROW($BW$13:$BW$4972)),""),ROWS($A$13:$A236))),INDEX($BY$13:$BY$212,SMALL(IF((County=$BZ$13:$BZ$212),MATCH(ROW($BZ$13:$BZ$212),ROW($BZ$13:$BZ$212)),""),ROWS($A$13:$A236)))),"")</f>
        <v/>
      </c>
      <c r="CG236" s="341" t="str">
        <f t="array" ref="CG236">IFERROR(IF($CG$11="Yes",INDEX($CB$13:$CB$2950,SMALL(IF((County=$CC$13:$CC$2950),MATCH(ROW($CC$13:$CC$2950),ROW($CC$13:$CC$2950)),""),ROWS($A$13:$A236))),""),"")</f>
        <v/>
      </c>
      <c r="CI236" s="1583">
        <v>33549</v>
      </c>
      <c r="CJ236" s="338" t="s">
        <v>316</v>
      </c>
      <c r="CL236" s="236">
        <v>6.01</v>
      </c>
      <c r="CM236" s="236" t="s">
        <v>329</v>
      </c>
      <c r="CR236" s="340">
        <v>12.04</v>
      </c>
      <c r="CS236" s="340" t="s">
        <v>347</v>
      </c>
      <c r="CT236" s="1384"/>
      <c r="CU236" s="341">
        <v>32812</v>
      </c>
      <c r="CV236" s="338" t="s">
        <v>338</v>
      </c>
      <c r="CZ236" s="1795">
        <v>4.04</v>
      </c>
      <c r="DA236" s="338" t="s">
        <v>313</v>
      </c>
      <c r="DF236" s="340">
        <v>423.02</v>
      </c>
      <c r="DG236" s="340" t="s">
        <v>289</v>
      </c>
      <c r="DK236" s="341" t="str">
        <f t="array" ref="DK236">IFERROR(IF($DK$11="Yes",INDEX($DF$13:$DF$2838,SMALL(IF((County=$DG$13:$DG$2838),MATCH(ROW($DG$13:$DG$2838),ROW($DG$13:$DG$2838)),""),ROWS($A$13:$A236))),""),"")</f>
        <v/>
      </c>
      <c r="DM236" s="1387">
        <v>33543</v>
      </c>
      <c r="DN236" s="338" t="s">
        <v>341</v>
      </c>
      <c r="DP236" s="236">
        <v>24.02</v>
      </c>
      <c r="DQ236" s="236" t="s">
        <v>331</v>
      </c>
      <c r="DV236" s="340">
        <v>13</v>
      </c>
      <c r="DW236" s="340" t="s">
        <v>328</v>
      </c>
      <c r="DX236" s="1671"/>
      <c r="EB236" s="618"/>
      <c r="EC236" s="618"/>
      <c r="ED236" s="618"/>
      <c r="EE236" s="618"/>
      <c r="EF236" s="618"/>
      <c r="EG236" s="618"/>
      <c r="EH236" s="618"/>
      <c r="EI236" s="618"/>
      <c r="EJ236" s="618"/>
      <c r="EK236" s="618"/>
      <c r="EL236" s="618"/>
      <c r="EM236" s="618"/>
    </row>
    <row r="237" spans="1:143">
      <c r="A237" s="339">
        <v>33194</v>
      </c>
      <c r="B237" s="338" t="s">
        <v>2579</v>
      </c>
      <c r="E237" s="858"/>
      <c r="F237" s="338">
        <v>20</v>
      </c>
      <c r="G237" s="338" t="s">
        <v>316</v>
      </c>
      <c r="L237" s="2481">
        <v>502.04</v>
      </c>
      <c r="M237" s="340" t="s">
        <v>289</v>
      </c>
      <c r="N237" s="1390"/>
      <c r="O237" s="2479"/>
      <c r="P237" s="2282"/>
      <c r="T237" s="341" t="str">
        <f t="array" ref="T237">IFERROR(IF($T$11="Yes",INDEX($L$13:$L$2813,SMALL(IF((County=$M$13:$M$2813),MATCH(ROW($M$13:$M$2813),ROW($M$13:$M$2813)),""),ROWS($A$13:A237))),""),"")</f>
        <v/>
      </c>
      <c r="V237" s="2283" t="str">
        <f t="array" ref="V237">IFERROR(IF($T$11="Yes",INDEX($O$14:$O$2811,SMALL(IF((County=$P$14:$P$2811),MATCH(ROW($P$14:$P$2811),ROW($P$14:$P$2811)),""),ROWS($A$13:A237))),""),"")</f>
        <v/>
      </c>
      <c r="X237" s="339">
        <v>33473</v>
      </c>
      <c r="Y237" s="338" t="s">
        <v>340</v>
      </c>
      <c r="AA237" s="338">
        <v>29.02</v>
      </c>
      <c r="AB237" s="338" t="s">
        <v>302</v>
      </c>
      <c r="AG237" s="2297">
        <v>14.01</v>
      </c>
      <c r="AH237" s="2297" t="s">
        <v>304</v>
      </c>
      <c r="AI237" s="1390"/>
      <c r="AJ237" s="2282"/>
      <c r="AK237" s="2282"/>
      <c r="AL237" s="1037"/>
      <c r="AM237" s="339">
        <v>33848</v>
      </c>
      <c r="AN237" s="338" t="s">
        <v>339</v>
      </c>
      <c r="AQ237" s="858"/>
      <c r="AR237" s="338">
        <v>108.15</v>
      </c>
      <c r="AS237" s="338" t="s">
        <v>316</v>
      </c>
      <c r="AX237" s="340">
        <v>423.01</v>
      </c>
      <c r="AY237" s="340" t="s">
        <v>289</v>
      </c>
      <c r="BC237" s="341" t="str">
        <f t="array" ref="BC237">IFERROR(IF($BC$11="Yes",INDEX($AX$13:$AX$2950,SMALL(IF((County=$AY$13:$AY$2950),MATCH(ROW($AY$13:$AY$2950),ROW($AY$13:$AY$2950)),""),ROWS($A$13:$A237))),""),"")</f>
        <v/>
      </c>
      <c r="BE237" s="339">
        <v>33629</v>
      </c>
      <c r="BF237" s="338" t="s">
        <v>316</v>
      </c>
      <c r="BH237" s="338">
        <v>20.079999999999998</v>
      </c>
      <c r="BI237" s="338" t="s">
        <v>324</v>
      </c>
      <c r="BN237" s="340">
        <v>12.04</v>
      </c>
      <c r="BO237" s="340" t="s">
        <v>323</v>
      </c>
      <c r="BP237" s="1385"/>
      <c r="BQ237" s="341">
        <v>32812</v>
      </c>
      <c r="BR237" s="338" t="s">
        <v>338</v>
      </c>
      <c r="BU237" s="858"/>
      <c r="BV237" s="338">
        <v>699.04</v>
      </c>
      <c r="BW237" s="338" t="s">
        <v>288</v>
      </c>
      <c r="CB237" s="340">
        <v>419</v>
      </c>
      <c r="CC237" s="340" t="s">
        <v>289</v>
      </c>
      <c r="CE237" s="341" t="str">
        <f t="array" ref="CE237">IFERROR(IF($CE$11="Metro",INDEX($BV$13:$BV$4972,SMALL(IF((County=$BW$13:$BW$4972),MATCH(ROW($BW$13:$BW$4972),ROW($BW$13:$BW$4972)),""),ROWS($A$13:$A237))),INDEX($BY$13:$BY$212,SMALL(IF((County=$BZ$13:$BZ$212),MATCH(ROW($BZ$13:$BZ$212),ROW($BZ$13:$BZ$212)),""),ROWS($A$13:$A237)))),"")</f>
        <v/>
      </c>
      <c r="CG237" s="341" t="str">
        <f t="array" ref="CG237">IFERROR(IF($CG$11="Yes",INDEX($CB$13:$CB$2950,SMALL(IF((County=$CC$13:$CC$2950),MATCH(ROW($CC$13:$CC$2950),ROW($CC$13:$CC$2950)),""),ROWS($A$13:$A237))),""),"")</f>
        <v/>
      </c>
      <c r="CI237" s="1583">
        <v>33556</v>
      </c>
      <c r="CJ237" s="338" t="s">
        <v>316</v>
      </c>
      <c r="CL237" s="236">
        <v>6.01</v>
      </c>
      <c r="CM237" s="236" t="s">
        <v>331</v>
      </c>
      <c r="CR237" s="340">
        <v>12.05</v>
      </c>
      <c r="CS237" s="340" t="s">
        <v>323</v>
      </c>
      <c r="CT237" s="1384"/>
      <c r="CU237" s="341">
        <v>32814</v>
      </c>
      <c r="CV237" s="338" t="s">
        <v>338</v>
      </c>
      <c r="CZ237" s="1795">
        <v>404</v>
      </c>
      <c r="DA237" s="338" t="s">
        <v>314</v>
      </c>
      <c r="DF237" s="340">
        <v>424</v>
      </c>
      <c r="DG237" s="340" t="s">
        <v>289</v>
      </c>
      <c r="DK237" s="341" t="str">
        <f t="array" ref="DK237">IFERROR(IF($DK$11="Yes",INDEX($DF$13:$DF$2838,SMALL(IF((County=$DG$13:$DG$2838),MATCH(ROW($DG$13:$DG$2838),ROW($DG$13:$DG$2838)),""),ROWS($A$13:$A237))),""),"")</f>
        <v/>
      </c>
      <c r="DM237" s="1387">
        <v>33544</v>
      </c>
      <c r="DN237" s="338" t="s">
        <v>341</v>
      </c>
      <c r="DP237" s="236">
        <v>24.03</v>
      </c>
      <c r="DQ237" s="236" t="s">
        <v>331</v>
      </c>
      <c r="DV237" s="340">
        <v>13.01</v>
      </c>
      <c r="DW237" s="340" t="s">
        <v>285</v>
      </c>
      <c r="DX237" s="1671"/>
      <c r="EB237" s="618"/>
      <c r="EC237" s="618"/>
      <c r="ED237" s="618"/>
      <c r="EE237" s="618"/>
      <c r="EF237" s="618"/>
      <c r="EG237" s="618"/>
      <c r="EH237" s="618"/>
      <c r="EI237" s="618"/>
      <c r="EJ237" s="618"/>
      <c r="EK237" s="618"/>
      <c r="EL237" s="618"/>
      <c r="EM237" s="618"/>
    </row>
    <row r="238" spans="1:143">
      <c r="A238" s="339">
        <v>33196</v>
      </c>
      <c r="B238" s="338" t="s">
        <v>2579</v>
      </c>
      <c r="E238" s="858"/>
      <c r="F238" s="338">
        <v>25</v>
      </c>
      <c r="G238" s="338" t="s">
        <v>316</v>
      </c>
      <c r="L238" s="2481">
        <v>502.05</v>
      </c>
      <c r="M238" s="340" t="s">
        <v>289</v>
      </c>
      <c r="N238" s="1390"/>
      <c r="O238" s="2479"/>
      <c r="P238" s="2282"/>
      <c r="T238" s="341" t="str">
        <f t="array" ref="T238">IFERROR(IF($T$11="Yes",INDEX($L$13:$L$2813,SMALL(IF((County=$M$13:$M$2813),MATCH(ROW($M$13:$M$2813),ROW($M$13:$M$2813)),""),ROWS($A$13:A238))),""),"")</f>
        <v/>
      </c>
      <c r="V238" s="2283" t="str">
        <f t="array" ref="V238">IFERROR(IF($T$11="Yes",INDEX($O$14:$O$2811,SMALL(IF((County=$P$14:$P$2811),MATCH(ROW($P$14:$P$2811),ROW($P$14:$P$2811)),""),ROWS($A$13:A238))),""),"")</f>
        <v/>
      </c>
      <c r="X238" s="339">
        <v>33477</v>
      </c>
      <c r="Y238" s="338" t="s">
        <v>340</v>
      </c>
      <c r="AA238" s="338">
        <v>30</v>
      </c>
      <c r="AB238" s="338" t="s">
        <v>316</v>
      </c>
      <c r="AG238" s="2297">
        <v>14.02</v>
      </c>
      <c r="AH238" s="2297" t="s">
        <v>285</v>
      </c>
      <c r="AI238" s="1390"/>
      <c r="AJ238" s="2282"/>
      <c r="AK238" s="2282"/>
      <c r="AL238" s="1037"/>
      <c r="AM238" s="339">
        <v>34743</v>
      </c>
      <c r="AN238" s="338" t="s">
        <v>339</v>
      </c>
      <c r="AQ238" s="858"/>
      <c r="AR238" s="338">
        <v>108.16</v>
      </c>
      <c r="AS238" s="338" t="s">
        <v>316</v>
      </c>
      <c r="AX238" s="340">
        <v>423.02</v>
      </c>
      <c r="AY238" s="340" t="s">
        <v>289</v>
      </c>
      <c r="BC238" s="341" t="str">
        <f t="array" ref="BC238">IFERROR(IF($BC$11="Yes",INDEX($AX$13:$AX$2950,SMALL(IF((County=$AY$13:$AY$2950),MATCH(ROW($AY$13:$AY$2950),ROW($AY$13:$AY$2950)),""),ROWS($A$13:$A238))),""),"")</f>
        <v/>
      </c>
      <c r="BE238" s="339">
        <v>33634</v>
      </c>
      <c r="BF238" s="338" t="s">
        <v>316</v>
      </c>
      <c r="BH238" s="338">
        <v>21</v>
      </c>
      <c r="BI238" s="338" t="s">
        <v>304</v>
      </c>
      <c r="BN238" s="340">
        <v>12.04</v>
      </c>
      <c r="BO238" s="340" t="s">
        <v>328</v>
      </c>
      <c r="BP238" s="1385"/>
      <c r="BQ238" s="341">
        <v>32814</v>
      </c>
      <c r="BR238" s="338" t="s">
        <v>338</v>
      </c>
      <c r="BU238" s="858"/>
      <c r="BV238" s="338">
        <v>699.05</v>
      </c>
      <c r="BW238" s="338" t="s">
        <v>288</v>
      </c>
      <c r="CB238" s="340">
        <v>420</v>
      </c>
      <c r="CC238" s="340" t="s">
        <v>289</v>
      </c>
      <c r="CE238" s="341" t="str">
        <f t="array" ref="CE238">IFERROR(IF($CE$11="Metro",INDEX($BV$13:$BV$4972,SMALL(IF((County=$BW$13:$BW$4972),MATCH(ROW($BW$13:$BW$4972),ROW($BW$13:$BW$4972)),""),ROWS($A$13:$A238))),INDEX($BY$13:$BY$212,SMALL(IF((County=$BZ$13:$BZ$212),MATCH(ROW($BZ$13:$BZ$212),ROW($BZ$13:$BZ$212)),""),ROWS($A$13:$A238)))),"")</f>
        <v/>
      </c>
      <c r="CG238" s="341" t="str">
        <f t="array" ref="CG238">IFERROR(IF($CG$11="Yes",INDEX($CB$13:$CB$2950,SMALL(IF((County=$CC$13:$CC$2950),MATCH(ROW($CC$13:$CC$2950),ROW($CC$13:$CC$2950)),""),ROWS($A$13:$A238))),""),"")</f>
        <v/>
      </c>
      <c r="CI238" s="1583">
        <v>33558</v>
      </c>
      <c r="CJ238" s="338" t="s">
        <v>316</v>
      </c>
      <c r="CL238" s="236">
        <v>6.01</v>
      </c>
      <c r="CM238" s="236" t="s">
        <v>347</v>
      </c>
      <c r="CR238" s="340">
        <v>12.05</v>
      </c>
      <c r="CS238" s="340" t="s">
        <v>329</v>
      </c>
      <c r="CT238" s="1384"/>
      <c r="CU238" s="341">
        <v>32816</v>
      </c>
      <c r="CV238" s="338" t="s">
        <v>338</v>
      </c>
      <c r="CZ238" s="1795">
        <v>405.01</v>
      </c>
      <c r="DA238" s="338" t="s">
        <v>314</v>
      </c>
      <c r="DF238" s="340">
        <v>425.01</v>
      </c>
      <c r="DG238" s="340" t="s">
        <v>289</v>
      </c>
      <c r="DK238" s="341" t="str">
        <f t="array" ref="DK238">IFERROR(IF($DK$11="Yes",INDEX($DF$13:$DF$2838,SMALL(IF((County=$DG$13:$DG$2838),MATCH(ROW($DG$13:$DG$2838),ROW($DG$13:$DG$2838)),""),ROWS($A$13:$A238))),""),"")</f>
        <v/>
      </c>
      <c r="DM238" s="1387">
        <v>33545</v>
      </c>
      <c r="DN238" s="338" t="s">
        <v>341</v>
      </c>
      <c r="DP238" s="236">
        <v>24.04</v>
      </c>
      <c r="DQ238" s="236" t="s">
        <v>331</v>
      </c>
      <c r="DV238" s="340">
        <v>13.01</v>
      </c>
      <c r="DW238" s="340" t="s">
        <v>329</v>
      </c>
      <c r="DX238" s="1671"/>
      <c r="EB238" s="618"/>
      <c r="EC238" s="618"/>
      <c r="ED238" s="618"/>
      <c r="EE238" s="618"/>
      <c r="EF238" s="618"/>
      <c r="EG238" s="618"/>
      <c r="EH238" s="618"/>
      <c r="EI238" s="618"/>
      <c r="EJ238" s="618"/>
      <c r="EK238" s="618"/>
      <c r="EL238" s="618"/>
      <c r="EM238" s="618"/>
    </row>
    <row r="239" spans="1:143">
      <c r="A239" s="339">
        <v>32097</v>
      </c>
      <c r="B239" s="338" t="s">
        <v>335</v>
      </c>
      <c r="E239" s="858"/>
      <c r="F239" s="338">
        <v>26</v>
      </c>
      <c r="G239" s="338" t="s">
        <v>316</v>
      </c>
      <c r="L239" s="2481">
        <v>502.07</v>
      </c>
      <c r="M239" s="340" t="s">
        <v>289</v>
      </c>
      <c r="N239" s="1390"/>
      <c r="O239" s="2479"/>
      <c r="P239" s="2282"/>
      <c r="T239" s="341" t="str">
        <f t="array" ref="T239">IFERROR(IF($T$11="Yes",INDEX($L$13:$L$2813,SMALL(IF((County=$M$13:$M$2813),MATCH(ROW($M$13:$M$2813),ROW($M$13:$M$2813)),""),ROWS($A$13:A239))),""),"")</f>
        <v/>
      </c>
      <c r="V239" s="2283" t="str">
        <f t="array" ref="V239">IFERROR(IF($T$11="Yes",INDEX($O$14:$O$2811,SMALL(IF((County=$P$14:$P$2811),MATCH(ROW($P$14:$P$2811),ROW($P$14:$P$2811)),""),ROWS($A$13:A239))),""),"")</f>
        <v/>
      </c>
      <c r="X239" s="339">
        <v>33478</v>
      </c>
      <c r="Y239" s="338" t="str">
        <f>IF(County="Palm Beach","Palm Beach","Marion")</f>
        <v>Marion</v>
      </c>
      <c r="AA239" s="338">
        <v>30.01</v>
      </c>
      <c r="AB239" s="338" t="s">
        <v>304</v>
      </c>
      <c r="AG239" s="2297">
        <v>14.02</v>
      </c>
      <c r="AH239" s="2297" t="s">
        <v>323</v>
      </c>
      <c r="AI239" s="1390"/>
      <c r="AJ239" s="2282"/>
      <c r="AK239" s="2282"/>
      <c r="AL239" s="1037"/>
      <c r="AM239" s="339">
        <v>34744</v>
      </c>
      <c r="AN239" s="338" t="s">
        <v>339</v>
      </c>
      <c r="AQ239" s="858"/>
      <c r="AR239" s="338">
        <v>108.17</v>
      </c>
      <c r="AS239" s="338" t="s">
        <v>316</v>
      </c>
      <c r="AX239" s="340">
        <v>424</v>
      </c>
      <c r="AY239" s="340" t="s">
        <v>289</v>
      </c>
      <c r="BC239" s="341" t="str">
        <f t="array" ref="BC239">IFERROR(IF($BC$11="Yes",INDEX($AX$13:$AX$2950,SMALL(IF((County=$AY$13:$AY$2950),MATCH(ROW($AY$13:$AY$2950),ROW($AY$13:$AY$2950)),""),ROWS($A$13:$A239))),""),"")</f>
        <v/>
      </c>
      <c r="BE239" s="339">
        <v>33635</v>
      </c>
      <c r="BF239" s="338" t="s">
        <v>316</v>
      </c>
      <c r="BH239" s="338">
        <v>21</v>
      </c>
      <c r="BI239" s="338" t="s">
        <v>340</v>
      </c>
      <c r="BN239" s="340">
        <v>12.04</v>
      </c>
      <c r="BO239" s="340" t="s">
        <v>331</v>
      </c>
      <c r="BP239" s="1385"/>
      <c r="BQ239" s="341">
        <v>32817</v>
      </c>
      <c r="BR239" s="338" t="s">
        <v>338</v>
      </c>
      <c r="BU239" s="858"/>
      <c r="BV239" s="338">
        <v>699.06</v>
      </c>
      <c r="BW239" s="338" t="s">
        <v>288</v>
      </c>
      <c r="CB239" s="340">
        <v>421</v>
      </c>
      <c r="CC239" s="340" t="s">
        <v>289</v>
      </c>
      <c r="CE239" s="341" t="str">
        <f t="array" ref="CE239">IFERROR(IF($CE$11="Metro",INDEX($BV$13:$BV$4972,SMALL(IF((County=$BW$13:$BW$4972),MATCH(ROW($BW$13:$BW$4972),ROW($BW$13:$BW$4972)),""),ROWS($A$13:$A239))),INDEX($BY$13:$BY$212,SMALL(IF((County=$BZ$13:$BZ$212),MATCH(ROW($BZ$13:$BZ$212),ROW($BZ$13:$BZ$212)),""),ROWS($A$13:$A239)))),"")</f>
        <v/>
      </c>
      <c r="CG239" s="341" t="str">
        <f t="array" ref="CG239">IFERROR(IF($CG$11="Yes",INDEX($CB$13:$CB$2950,SMALL(IF((County=$CC$13:$CC$2950),MATCH(ROW($CC$13:$CC$2950),ROW($CC$13:$CC$2950)),""),ROWS($A$13:$A239))),""),"")</f>
        <v/>
      </c>
      <c r="CI239" s="1583">
        <v>33559</v>
      </c>
      <c r="CJ239" s="338" t="s">
        <v>316</v>
      </c>
      <c r="CL239" s="236">
        <v>6.02</v>
      </c>
      <c r="CM239" s="236" t="s">
        <v>316</v>
      </c>
      <c r="CR239" s="340">
        <v>12.05</v>
      </c>
      <c r="CS239" s="340" t="s">
        <v>331</v>
      </c>
      <c r="CT239" s="1384"/>
      <c r="CU239" s="341">
        <v>32817</v>
      </c>
      <c r="CV239" s="338" t="s">
        <v>338</v>
      </c>
      <c r="CZ239" s="1795">
        <v>410.03</v>
      </c>
      <c r="DA239" s="338" t="s">
        <v>314</v>
      </c>
      <c r="DF239" s="340">
        <v>425.02</v>
      </c>
      <c r="DG239" s="340" t="s">
        <v>289</v>
      </c>
      <c r="DK239" s="341" t="str">
        <f t="array" ref="DK239">IFERROR(IF($DK$11="Yes",INDEX($DF$13:$DF$2838,SMALL(IF((County=$DG$13:$DG$2838),MATCH(ROW($DG$13:$DG$2838),ROW($DG$13:$DG$2838)),""),ROWS($A$13:$A239))),""),"")</f>
        <v/>
      </c>
      <c r="DM239" s="1387">
        <v>33547</v>
      </c>
      <c r="DN239" s="338" t="str">
        <f>IF(County="Polk","Polk","Hillsborough")</f>
        <v>Hillsborough</v>
      </c>
      <c r="DP239" s="236">
        <v>25</v>
      </c>
      <c r="DQ239" s="236" t="s">
        <v>316</v>
      </c>
      <c r="DV239" s="340">
        <v>13.01</v>
      </c>
      <c r="DW239" s="340" t="s">
        <v>347</v>
      </c>
      <c r="DX239" s="1671"/>
      <c r="EB239" s="618"/>
      <c r="EC239" s="618"/>
      <c r="ED239" s="618"/>
      <c r="EE239" s="618"/>
      <c r="EF239" s="618"/>
      <c r="EG239" s="618"/>
      <c r="EH239" s="618"/>
      <c r="EI239" s="618"/>
      <c r="EJ239" s="618"/>
      <c r="EK239" s="618"/>
      <c r="EL239" s="618"/>
      <c r="EM239" s="618"/>
    </row>
    <row r="240" spans="1:143">
      <c r="A240" s="339">
        <v>32541</v>
      </c>
      <c r="B240" s="338" t="s">
        <v>336</v>
      </c>
      <c r="E240" s="858"/>
      <c r="F240" s="338">
        <v>30</v>
      </c>
      <c r="G240" s="338" t="s">
        <v>316</v>
      </c>
      <c r="L240" s="2481">
        <v>503.16</v>
      </c>
      <c r="M240" s="340" t="s">
        <v>289</v>
      </c>
      <c r="N240" s="1390"/>
      <c r="O240" s="2479"/>
      <c r="P240" s="2282"/>
      <c r="T240" s="341" t="str">
        <f t="array" ref="T240">IFERROR(IF($T$11="Yes",INDEX($L$13:$L$2813,SMALL(IF((County=$M$13:$M$2813),MATCH(ROW($M$13:$M$2813),ROW($M$13:$M$2813)),""),ROWS($A$13:A240))),""),"")</f>
        <v/>
      </c>
      <c r="V240" s="2283" t="str">
        <f t="array" ref="V240">IFERROR(IF($T$11="Yes",INDEX($O$14:$O$2811,SMALL(IF((County=$P$14:$P$2811),MATCH(ROW($P$14:$P$2811),ROW($P$14:$P$2811)),""),ROWS($A$13:A240))),""),"")</f>
        <v/>
      </c>
      <c r="X240" s="339">
        <v>33478</v>
      </c>
      <c r="Y240" s="338" t="str">
        <f>IF(County="Palm Beach","Marion","Palm Beach")</f>
        <v>Palm Beach</v>
      </c>
      <c r="AA240" s="338">
        <v>30.04</v>
      </c>
      <c r="AB240" s="338" t="s">
        <v>331</v>
      </c>
      <c r="AG240" s="2297">
        <v>14.02</v>
      </c>
      <c r="AH240" s="2297" t="s">
        <v>328</v>
      </c>
      <c r="AI240" s="1390"/>
      <c r="AJ240" s="2282"/>
      <c r="AK240" s="2282"/>
      <c r="AL240" s="1037"/>
      <c r="AM240" s="339">
        <v>34746</v>
      </c>
      <c r="AN240" s="338" t="s">
        <v>339</v>
      </c>
      <c r="AQ240" s="858"/>
      <c r="AR240" s="338">
        <v>108.19</v>
      </c>
      <c r="AS240" s="338" t="s">
        <v>316</v>
      </c>
      <c r="AX240" s="340">
        <v>425.01</v>
      </c>
      <c r="AY240" s="340" t="s">
        <v>289</v>
      </c>
      <c r="BC240" s="341" t="str">
        <f t="array" ref="BC240">IFERROR(IF($BC$11="Yes",INDEX($AX$13:$AX$2950,SMALL(IF((County=$AY$13:$AY$2950),MATCH(ROW($AY$13:$AY$2950),ROW($AY$13:$AY$2950)),""),ROWS($A$13:$A240))),""),"")</f>
        <v/>
      </c>
      <c r="BE240" s="339">
        <v>33647</v>
      </c>
      <c r="BF240" s="338" t="s">
        <v>316</v>
      </c>
      <c r="BH240" s="338">
        <v>21.03</v>
      </c>
      <c r="BI240" s="338" t="s">
        <v>324</v>
      </c>
      <c r="BN240" s="340">
        <v>12.04</v>
      </c>
      <c r="BO240" s="340" t="s">
        <v>347</v>
      </c>
      <c r="BP240" s="1385"/>
      <c r="BQ240" s="341">
        <v>32819</v>
      </c>
      <c r="BR240" s="338" t="s">
        <v>338</v>
      </c>
      <c r="BU240" s="858"/>
      <c r="BV240" s="338">
        <v>699.07</v>
      </c>
      <c r="BW240" s="338" t="s">
        <v>288</v>
      </c>
      <c r="CB240" s="340">
        <v>422</v>
      </c>
      <c r="CC240" s="340" t="s">
        <v>289</v>
      </c>
      <c r="CE240" s="341" t="str">
        <f t="array" ref="CE240">IFERROR(IF($CE$11="Metro",INDEX($BV$13:$BV$4972,SMALL(IF((County=$BW$13:$BW$4972),MATCH(ROW($BW$13:$BW$4972),ROW($BW$13:$BW$4972)),""),ROWS($A$13:$A240))),INDEX($BY$13:$BY$212,SMALL(IF((County=$BZ$13:$BZ$212),MATCH(ROW($BZ$13:$BZ$212),ROW($BZ$13:$BZ$212)),""),ROWS($A$13:$A240)))),"")</f>
        <v/>
      </c>
      <c r="CG240" s="341" t="str">
        <f t="array" ref="CG240">IFERROR(IF($CG$11="Yes",INDEX($CB$13:$CB$2950,SMALL(IF((County=$CC$13:$CC$2950),MATCH(ROW($CC$13:$CC$2950),ROW($CC$13:$CC$2950)),""),ROWS($A$13:$A240))),""),"")</f>
        <v/>
      </c>
      <c r="CI240" s="1583">
        <v>33569</v>
      </c>
      <c r="CJ240" s="338" t="s">
        <v>316</v>
      </c>
      <c r="CL240" s="236">
        <v>6.02</v>
      </c>
      <c r="CM240" s="236" t="s">
        <v>331</v>
      </c>
      <c r="CR240" s="340">
        <v>12.05</v>
      </c>
      <c r="CS240" s="340" t="s">
        <v>347</v>
      </c>
      <c r="CT240" s="1384"/>
      <c r="CU240" s="341">
        <v>32819</v>
      </c>
      <c r="CV240" s="338" t="s">
        <v>338</v>
      </c>
      <c r="CZ240" s="1795">
        <v>412.04</v>
      </c>
      <c r="DA240" s="338" t="s">
        <v>314</v>
      </c>
      <c r="DF240" s="340">
        <v>426.01</v>
      </c>
      <c r="DG240" s="340" t="s">
        <v>289</v>
      </c>
      <c r="DK240" s="341" t="str">
        <f t="array" ref="DK240">IFERROR(IF($DK$11="Yes",INDEX($DF$13:$DF$2838,SMALL(IF((County=$DG$13:$DG$2838),MATCH(ROW($DG$13:$DG$2838),ROW($DG$13:$DG$2838)),""),ROWS($A$13:$A240))),""),"")</f>
        <v/>
      </c>
      <c r="DM240" s="1387">
        <v>33547</v>
      </c>
      <c r="DN240" s="338" t="str">
        <f>IF(County="Polk","Hillsborough","Polk")</f>
        <v>Polk</v>
      </c>
      <c r="DP240" s="236">
        <v>25.01</v>
      </c>
      <c r="DQ240" s="236" t="s">
        <v>302</v>
      </c>
      <c r="DV240" s="340">
        <v>13.02</v>
      </c>
      <c r="DW240" s="340" t="s">
        <v>285</v>
      </c>
      <c r="DX240" s="1671"/>
      <c r="EB240" s="618"/>
      <c r="EC240" s="618"/>
      <c r="ED240" s="618"/>
      <c r="EE240" s="618"/>
      <c r="EF240" s="618"/>
      <c r="EG240" s="618"/>
      <c r="EH240" s="618"/>
      <c r="EI240" s="618"/>
      <c r="EJ240" s="618"/>
      <c r="EK240" s="618"/>
      <c r="EL240" s="618"/>
      <c r="EM240" s="618"/>
    </row>
    <row r="241" spans="1:143">
      <c r="A241" s="339">
        <v>32542</v>
      </c>
      <c r="B241" s="338" t="s">
        <v>336</v>
      </c>
      <c r="E241" s="858"/>
      <c r="F241" s="338">
        <v>31</v>
      </c>
      <c r="G241" s="338" t="s">
        <v>316</v>
      </c>
      <c r="L241" s="2481">
        <v>504.01</v>
      </c>
      <c r="M241" s="340" t="s">
        <v>289</v>
      </c>
      <c r="N241" s="1390"/>
      <c r="O241" s="2479"/>
      <c r="P241" s="2282"/>
      <c r="T241" s="341" t="str">
        <f t="array" ref="T241">IFERROR(IF($T$11="Yes",INDEX($L$13:$L$2813,SMALL(IF((County=$M$13:$M$2813),MATCH(ROW($M$13:$M$2813),ROW($M$13:$M$2813)),""),ROWS($A$13:A241))),""),"")</f>
        <v/>
      </c>
      <c r="V241" s="2283" t="str">
        <f t="array" ref="V241">IFERROR(IF($T$11="Yes",INDEX($O$14:$O$2811,SMALL(IF((County=$P$14:$P$2811),MATCH(ROW($P$14:$P$2811),ROW($P$14:$P$2811)),""),ROWS($A$13:A241))),""),"")</f>
        <v/>
      </c>
      <c r="X241" s="339">
        <v>33480</v>
      </c>
      <c r="Y241" s="338" t="s">
        <v>340</v>
      </c>
      <c r="AA241" s="338">
        <v>30.06</v>
      </c>
      <c r="AB241" s="338" t="s">
        <v>331</v>
      </c>
      <c r="AG241" s="2297">
        <v>14.02</v>
      </c>
      <c r="AH241" s="2297" t="s">
        <v>347</v>
      </c>
      <c r="AI241" s="1390"/>
      <c r="AJ241" s="2282"/>
      <c r="AK241" s="2282"/>
      <c r="AL241" s="1037"/>
      <c r="AM241" s="339">
        <v>34747</v>
      </c>
      <c r="AN241" s="338" t="s">
        <v>339</v>
      </c>
      <c r="AQ241" s="858"/>
      <c r="AR241" s="338">
        <v>108.2</v>
      </c>
      <c r="AS241" s="338" t="s">
        <v>316</v>
      </c>
      <c r="AX241" s="340">
        <v>425.02</v>
      </c>
      <c r="AY241" s="340" t="s">
        <v>289</v>
      </c>
      <c r="BC241" s="341" t="str">
        <f t="array" ref="BC241">IFERROR(IF($BC$11="Yes",INDEX($AX$13:$AX$2950,SMALL(IF((County=$AY$13:$AY$2950),MATCH(ROW($AY$13:$AY$2950),ROW($AY$13:$AY$2950)),""),ROWS($A$13:$A241))),""),"")</f>
        <v/>
      </c>
      <c r="BE241" s="339">
        <v>33703</v>
      </c>
      <c r="BF241" s="338" t="s">
        <v>342</v>
      </c>
      <c r="BH241" s="338">
        <v>21.05</v>
      </c>
      <c r="BI241" s="338" t="s">
        <v>324</v>
      </c>
      <c r="BN241" s="340">
        <v>12.05</v>
      </c>
      <c r="BO241" s="340" t="s">
        <v>323</v>
      </c>
      <c r="BP241" s="1385"/>
      <c r="BQ241" s="341">
        <v>32820</v>
      </c>
      <c r="BR241" s="338" t="s">
        <v>338</v>
      </c>
      <c r="BU241" s="858"/>
      <c r="BV241" s="338">
        <v>711</v>
      </c>
      <c r="BW241" s="338" t="s">
        <v>288</v>
      </c>
      <c r="CB241" s="340">
        <v>423.01</v>
      </c>
      <c r="CC241" s="340" t="s">
        <v>289</v>
      </c>
      <c r="CE241" s="341" t="str">
        <f t="array" ref="CE241">IFERROR(IF($CE$11="Metro",INDEX($BV$13:$BV$4972,SMALL(IF((County=$BW$13:$BW$4972),MATCH(ROW($BW$13:$BW$4972),ROW($BW$13:$BW$4972)),""),ROWS($A$13:$A241))),INDEX($BY$13:$BY$212,SMALL(IF((County=$BZ$13:$BZ$212),MATCH(ROW($BZ$13:$BZ$212),ROW($BZ$13:$BZ$212)),""),ROWS($A$13:$A241)))),"")</f>
        <v/>
      </c>
      <c r="CG241" s="341" t="str">
        <f t="array" ref="CG241">IFERROR(IF($CG$11="Yes",INDEX($CB$13:$CB$2950,SMALL(IF((County=$CC$13:$CC$2950),MATCH(ROW($CC$13:$CC$2950),ROW($CC$13:$CC$2950)),""),ROWS($A$13:$A241))),""),"")</f>
        <v/>
      </c>
      <c r="CI241" s="1583">
        <v>33572</v>
      </c>
      <c r="CJ241" s="338" t="s">
        <v>316</v>
      </c>
      <c r="CL241" s="236">
        <v>6.02</v>
      </c>
      <c r="CM241" s="236" t="s">
        <v>347</v>
      </c>
      <c r="CR241" s="340">
        <v>12.06</v>
      </c>
      <c r="CS241" s="340" t="s">
        <v>323</v>
      </c>
      <c r="CT241" s="1384"/>
      <c r="CU241" s="341">
        <v>32820</v>
      </c>
      <c r="CV241" s="338" t="s">
        <v>338</v>
      </c>
      <c r="CZ241" s="1795">
        <v>414.01</v>
      </c>
      <c r="DA241" s="338" t="s">
        <v>314</v>
      </c>
      <c r="DF241" s="340">
        <v>430.01</v>
      </c>
      <c r="DG241" s="340" t="s">
        <v>289</v>
      </c>
      <c r="DK241" s="341" t="str">
        <f t="array" ref="DK241">IFERROR(IF($DK$11="Yes",INDEX($DF$13:$DF$2838,SMALL(IF((County=$DG$13:$DG$2838),MATCH(ROW($DG$13:$DG$2838),ROW($DG$13:$DG$2838)),""),ROWS($A$13:$A241))),""),"")</f>
        <v/>
      </c>
      <c r="DM241" s="1387">
        <v>33548</v>
      </c>
      <c r="DN241" s="338" t="s">
        <v>316</v>
      </c>
      <c r="DP241" s="236">
        <v>25.01</v>
      </c>
      <c r="DQ241" s="236" t="s">
        <v>331</v>
      </c>
      <c r="DV241" s="340">
        <v>13.02</v>
      </c>
      <c r="DW241" s="340" t="s">
        <v>329</v>
      </c>
      <c r="DX241" s="1671"/>
      <c r="EB241" s="618"/>
      <c r="EC241" s="618"/>
      <c r="ED241" s="618"/>
      <c r="EE241" s="618"/>
      <c r="EF241" s="618"/>
      <c r="EG241" s="618"/>
      <c r="EH241" s="618"/>
      <c r="EI241" s="618"/>
      <c r="EJ241" s="618"/>
      <c r="EK241" s="618"/>
      <c r="EL241" s="618"/>
      <c r="EM241" s="618"/>
    </row>
    <row r="242" spans="1:143">
      <c r="A242" s="339">
        <v>32544</v>
      </c>
      <c r="B242" s="338" t="s">
        <v>336</v>
      </c>
      <c r="E242" s="858"/>
      <c r="F242" s="338">
        <v>32</v>
      </c>
      <c r="G242" s="338" t="s">
        <v>316</v>
      </c>
      <c r="L242" s="2481">
        <v>504.02</v>
      </c>
      <c r="M242" s="340" t="s">
        <v>289</v>
      </c>
      <c r="N242" s="1390"/>
      <c r="O242" s="2479"/>
      <c r="P242" s="2282"/>
      <c r="T242" s="341" t="str">
        <f t="array" ref="T242">IFERROR(IF($T$11="Yes",INDEX($L$13:$L$2813,SMALL(IF((County=$M$13:$M$2813),MATCH(ROW($M$13:$M$2813),ROW($M$13:$M$2813)),""),ROWS($A$13:A242))),""),"")</f>
        <v/>
      </c>
      <c r="V242" s="2283" t="str">
        <f t="array" ref="V242">IFERROR(IF($T$11="Yes",INDEX($O$14:$O$2811,SMALL(IF((County=$P$14:$P$2811),MATCH(ROW($P$14:$P$2811),ROW($P$14:$P$2811)),""),ROWS($A$13:A242))),""),"")</f>
        <v/>
      </c>
      <c r="X242" s="339">
        <v>33483</v>
      </c>
      <c r="Y242" s="338" t="s">
        <v>340</v>
      </c>
      <c r="AA242" s="338">
        <v>31</v>
      </c>
      <c r="AB242" s="338" t="s">
        <v>304</v>
      </c>
      <c r="AG242" s="2297">
        <v>14.03</v>
      </c>
      <c r="AH242" s="2297" t="s">
        <v>285</v>
      </c>
      <c r="AI242" s="1390"/>
      <c r="AJ242" s="2282"/>
      <c r="AK242" s="2282"/>
      <c r="AL242" s="1037"/>
      <c r="AM242" s="339">
        <v>34758</v>
      </c>
      <c r="AN242" s="338" t="s">
        <v>339</v>
      </c>
      <c r="AQ242" s="858"/>
      <c r="AR242" s="338">
        <v>108.21</v>
      </c>
      <c r="AS242" s="338" t="s">
        <v>316</v>
      </c>
      <c r="AX242" s="340">
        <v>426.01</v>
      </c>
      <c r="AY242" s="340" t="s">
        <v>289</v>
      </c>
      <c r="BC242" s="341" t="str">
        <f t="array" ref="BC242">IFERROR(IF($BC$11="Yes",INDEX($AX$13:$AX$2950,SMALL(IF((County=$AY$13:$AY$2950),MATCH(ROW($AY$13:$AY$2950),ROW($AY$13:$AY$2950)),""),ROWS($A$13:$A242))),""),"")</f>
        <v/>
      </c>
      <c r="BE242" s="339">
        <v>33705</v>
      </c>
      <c r="BF242" s="338" t="s">
        <v>342</v>
      </c>
      <c r="BH242" s="338">
        <v>21.06</v>
      </c>
      <c r="BI242" s="338" t="s">
        <v>324</v>
      </c>
      <c r="BN242" s="340">
        <v>12.05</v>
      </c>
      <c r="BO242" s="340" t="s">
        <v>329</v>
      </c>
      <c r="BP242" s="1385"/>
      <c r="BQ242" s="341">
        <v>32821</v>
      </c>
      <c r="BR242" s="338" t="s">
        <v>338</v>
      </c>
      <c r="BU242" s="858"/>
      <c r="BV242" s="338">
        <v>712.01</v>
      </c>
      <c r="BW242" s="338" t="s">
        <v>288</v>
      </c>
      <c r="CB242" s="340">
        <v>423.02</v>
      </c>
      <c r="CC242" s="340" t="s">
        <v>289</v>
      </c>
      <c r="CE242" s="341" t="str">
        <f t="array" ref="CE242">IFERROR(IF($CE$11="Metro",INDEX($BV$13:$BV$4972,SMALL(IF((County=$BW$13:$BW$4972),MATCH(ROW($BW$13:$BW$4972),ROW($BW$13:$BW$4972)),""),ROWS($A$13:$A242))),INDEX($BY$13:$BY$212,SMALL(IF((County=$BZ$13:$BZ$212),MATCH(ROW($BZ$13:$BZ$212),ROW($BZ$13:$BZ$212)),""),ROWS($A$13:$A242)))),"")</f>
        <v/>
      </c>
      <c r="CG242" s="341" t="str">
        <f t="array" ref="CG242">IFERROR(IF($CG$11="Yes",INDEX($CB$13:$CB$2950,SMALL(IF((County=$CC$13:$CC$2950),MATCH(ROW($CC$13:$CC$2950),ROW($CC$13:$CC$2950)),""),ROWS($A$13:$A242))),""),"")</f>
        <v/>
      </c>
      <c r="CI242" s="1583">
        <v>33573</v>
      </c>
      <c r="CJ242" s="338" t="s">
        <v>316</v>
      </c>
      <c r="CL242" s="236">
        <v>6.03</v>
      </c>
      <c r="CM242" s="236" t="s">
        <v>328</v>
      </c>
      <c r="CR242" s="340">
        <v>12.06</v>
      </c>
      <c r="CS242" s="340" t="s">
        <v>331</v>
      </c>
      <c r="CT242" s="1384"/>
      <c r="CU242" s="341">
        <v>32821</v>
      </c>
      <c r="CV242" s="338" t="s">
        <v>338</v>
      </c>
      <c r="CZ242" s="1795">
        <v>416.02</v>
      </c>
      <c r="DA242" s="338" t="s">
        <v>314</v>
      </c>
      <c r="DF242" s="340">
        <v>430.02</v>
      </c>
      <c r="DG242" s="340" t="s">
        <v>289</v>
      </c>
      <c r="DK242" s="341" t="str">
        <f t="array" ref="DK242">IFERROR(IF($DK$11="Yes",INDEX($DF$13:$DF$2838,SMALL(IF((County=$DG$13:$DG$2838),MATCH(ROW($DG$13:$DG$2838),ROW($DG$13:$DG$2838)),""),ROWS($A$13:$A242))),""),"")</f>
        <v/>
      </c>
      <c r="DM242" s="1387">
        <v>33549</v>
      </c>
      <c r="DN242" s="338" t="s">
        <v>316</v>
      </c>
      <c r="DP242" s="236">
        <v>25.02</v>
      </c>
      <c r="DQ242" s="236" t="s">
        <v>331</v>
      </c>
      <c r="DV242" s="340">
        <v>13.02</v>
      </c>
      <c r="DW242" s="340" t="s">
        <v>330</v>
      </c>
      <c r="DX242" s="1671"/>
      <c r="EB242" s="618"/>
      <c r="EC242" s="618"/>
      <c r="ED242" s="618"/>
      <c r="EE242" s="618"/>
      <c r="EF242" s="618"/>
      <c r="EG242" s="618"/>
      <c r="EH242" s="618"/>
      <c r="EI242" s="618"/>
      <c r="EJ242" s="618"/>
      <c r="EK242" s="618"/>
      <c r="EL242" s="618"/>
      <c r="EM242" s="618"/>
    </row>
    <row r="243" spans="1:143">
      <c r="A243" s="339">
        <v>32712</v>
      </c>
      <c r="B243" s="338" t="s">
        <v>338</v>
      </c>
      <c r="E243" s="858"/>
      <c r="F243" s="338">
        <v>33</v>
      </c>
      <c r="G243" s="338" t="s">
        <v>316</v>
      </c>
      <c r="L243" s="2481">
        <v>505.01</v>
      </c>
      <c r="M243" s="340" t="s">
        <v>289</v>
      </c>
      <c r="N243" s="1390"/>
      <c r="O243" s="2479"/>
      <c r="P243" s="2282"/>
      <c r="T243" s="341" t="str">
        <f t="array" ref="T243">IFERROR(IF($T$11="Yes",INDEX($L$13:$L$2813,SMALL(IF((County=$M$13:$M$2813),MATCH(ROW($M$13:$M$2813),ROW($M$13:$M$2813)),""),ROWS($A$13:A243))),""),"")</f>
        <v/>
      </c>
      <c r="V243" s="2283" t="str">
        <f t="array" ref="V243">IFERROR(IF($T$11="Yes",INDEX($O$14:$O$2811,SMALL(IF((County=$P$14:$P$2811),MATCH(ROW($P$14:$P$2811),ROW($P$14:$P$2811)),""),ROWS($A$13:A243))),""),"")</f>
        <v/>
      </c>
      <c r="X243" s="339">
        <v>33486</v>
      </c>
      <c r="Y243" s="338" t="s">
        <v>340</v>
      </c>
      <c r="AA243" s="338">
        <v>31</v>
      </c>
      <c r="AB243" s="338" t="s">
        <v>316</v>
      </c>
      <c r="AG243" s="2297">
        <v>14.03</v>
      </c>
      <c r="AH243" s="2297" t="s">
        <v>329</v>
      </c>
      <c r="AI243" s="1390"/>
      <c r="AJ243" s="2282"/>
      <c r="AK243" s="2282"/>
      <c r="AL243" s="1037"/>
      <c r="AM243" s="339">
        <v>34772</v>
      </c>
      <c r="AN243" s="338" t="s">
        <v>339</v>
      </c>
      <c r="AQ243" s="858"/>
      <c r="AR243" s="338">
        <v>108.22</v>
      </c>
      <c r="AS243" s="338" t="s">
        <v>316</v>
      </c>
      <c r="AX243" s="340">
        <v>426.02</v>
      </c>
      <c r="AY243" s="340" t="s">
        <v>289</v>
      </c>
      <c r="BC243" s="341" t="str">
        <f t="array" ref="BC243">IFERROR(IF($BC$11="Yes",INDEX($AX$13:$AX$2950,SMALL(IF((County=$AY$13:$AY$2950),MATCH(ROW($AY$13:$AY$2950),ROW($AY$13:$AY$2950)),""),ROWS($A$13:$A243))),""),"")</f>
        <v/>
      </c>
      <c r="BE243" s="339">
        <v>33706</v>
      </c>
      <c r="BF243" s="338" t="s">
        <v>342</v>
      </c>
      <c r="BH243" s="338">
        <v>22</v>
      </c>
      <c r="BI243" s="338" t="s">
        <v>285</v>
      </c>
      <c r="BN243" s="340">
        <v>12.05</v>
      </c>
      <c r="BO243" s="340" t="s">
        <v>331</v>
      </c>
      <c r="BP243" s="1385"/>
      <c r="BQ243" s="341">
        <v>32822</v>
      </c>
      <c r="BR243" s="338" t="s">
        <v>338</v>
      </c>
      <c r="BU243" s="858"/>
      <c r="BV243" s="338">
        <v>712.02</v>
      </c>
      <c r="BW243" s="338" t="s">
        <v>288</v>
      </c>
      <c r="CB243" s="340">
        <v>424</v>
      </c>
      <c r="CC243" s="340" t="s">
        <v>289</v>
      </c>
      <c r="CE243" s="341" t="str">
        <f t="array" ref="CE243">IFERROR(IF($CE$11="Metro",INDEX($BV$13:$BV$4972,SMALL(IF((County=$BW$13:$BW$4972),MATCH(ROW($BW$13:$BW$4972),ROW($BW$13:$BW$4972)),""),ROWS($A$13:$A243))),INDEX($BY$13:$BY$212,SMALL(IF((County=$BZ$13:$BZ$212),MATCH(ROW($BZ$13:$BZ$212),ROW($BZ$13:$BZ$212)),""),ROWS($A$13:$A243)))),"")</f>
        <v/>
      </c>
      <c r="CG243" s="341" t="str">
        <f t="array" ref="CG243">IFERROR(IF($CG$11="Yes",INDEX($CB$13:$CB$2950,SMALL(IF((County=$CC$13:$CC$2950),MATCH(ROW($CC$13:$CC$2950),ROW($CC$13:$CC$2950)),""),ROWS($A$13:$A243))),""),"")</f>
        <v/>
      </c>
      <c r="CI243" s="1583">
        <v>33578</v>
      </c>
      <c r="CJ243" s="338" t="s">
        <v>316</v>
      </c>
      <c r="CL243" s="236">
        <v>6.03</v>
      </c>
      <c r="CM243" s="236" t="s">
        <v>330</v>
      </c>
      <c r="CR243" s="340">
        <v>12.06</v>
      </c>
      <c r="CS243" s="340" t="s">
        <v>347</v>
      </c>
      <c r="CT243" s="1384"/>
      <c r="CU243" s="341">
        <v>32822</v>
      </c>
      <c r="CV243" s="338" t="s">
        <v>338</v>
      </c>
      <c r="CZ243" s="1795">
        <v>9601.0499999999993</v>
      </c>
      <c r="DA243" s="338" t="s">
        <v>315</v>
      </c>
      <c r="DF243" s="340">
        <v>502.04</v>
      </c>
      <c r="DG243" s="340" t="s">
        <v>289</v>
      </c>
      <c r="DK243" s="341" t="str">
        <f t="array" ref="DK243">IFERROR(IF($DK$11="Yes",INDEX($DF$13:$DF$2838,SMALL(IF((County=$DG$13:$DG$2838),MATCH(ROW($DG$13:$DG$2838),ROW($DG$13:$DG$2838)),""),ROWS($A$13:$A243))),""),"")</f>
        <v/>
      </c>
      <c r="DM243" s="1387">
        <v>33556</v>
      </c>
      <c r="DN243" s="338" t="s">
        <v>316</v>
      </c>
      <c r="DP243" s="236">
        <v>26</v>
      </c>
      <c r="DQ243" s="236" t="s">
        <v>302</v>
      </c>
      <c r="DV243" s="340">
        <v>13.02</v>
      </c>
      <c r="DW243" s="340" t="s">
        <v>331</v>
      </c>
      <c r="DX243" s="1671"/>
      <c r="EB243" s="618"/>
      <c r="EC243" s="618"/>
      <c r="ED243" s="618"/>
      <c r="EE243" s="618"/>
      <c r="EF243" s="618"/>
      <c r="EG243" s="618"/>
      <c r="EH243" s="618"/>
      <c r="EI243" s="618"/>
      <c r="EJ243" s="618"/>
      <c r="EK243" s="618"/>
      <c r="EL243" s="618"/>
      <c r="EM243" s="618"/>
    </row>
    <row r="244" spans="1:143">
      <c r="A244" s="339">
        <v>32751</v>
      </c>
      <c r="B244" s="338" t="s">
        <v>338</v>
      </c>
      <c r="E244" s="858"/>
      <c r="F244" s="338">
        <v>34</v>
      </c>
      <c r="G244" s="338" t="s">
        <v>316</v>
      </c>
      <c r="L244" s="2481">
        <v>506.01</v>
      </c>
      <c r="M244" s="340" t="s">
        <v>289</v>
      </c>
      <c r="N244" s="1390"/>
      <c r="O244" s="2479"/>
      <c r="P244" s="2282"/>
      <c r="T244" s="341" t="str">
        <f t="array" ref="T244">IFERROR(IF($T$11="Yes",INDEX($L$13:$L$2813,SMALL(IF((County=$M$13:$M$2813),MATCH(ROW($M$13:$M$2813),ROW($M$13:$M$2813)),""),ROWS($A$13:A244))),""),"")</f>
        <v/>
      </c>
      <c r="V244" s="2283" t="str">
        <f t="array" ref="V244">IFERROR(IF($T$11="Yes",INDEX($O$14:$O$2811,SMALL(IF((County=$P$14:$P$2811),MATCH(ROW($P$14:$P$2811),ROW($P$14:$P$2811)),""),ROWS($A$13:A244))),""),"")</f>
        <v/>
      </c>
      <c r="X244" s="339">
        <v>33487</v>
      </c>
      <c r="Y244" s="338" t="s">
        <v>340</v>
      </c>
      <c r="AA244" s="338">
        <v>31</v>
      </c>
      <c r="AB244" s="338" t="s">
        <v>331</v>
      </c>
      <c r="AG244" s="2297">
        <v>14.03</v>
      </c>
      <c r="AH244" s="2297" t="s">
        <v>347</v>
      </c>
      <c r="AI244" s="1390"/>
      <c r="AJ244" s="2282"/>
      <c r="AK244" s="2282"/>
      <c r="AL244" s="1037"/>
      <c r="AM244" s="339">
        <v>34773</v>
      </c>
      <c r="AN244" s="338" t="s">
        <v>339</v>
      </c>
      <c r="AQ244" s="858"/>
      <c r="AR244" s="338">
        <v>108.23</v>
      </c>
      <c r="AS244" s="338" t="s">
        <v>316</v>
      </c>
      <c r="AX244" s="340">
        <v>430.01</v>
      </c>
      <c r="AY244" s="340" t="s">
        <v>289</v>
      </c>
      <c r="BC244" s="341" t="str">
        <f t="array" ref="BC244">IFERROR(IF($BC$11="Yes",INDEX($AX$13:$AX$2950,SMALL(IF((County=$AY$13:$AY$2950),MATCH(ROW($AY$13:$AY$2950),ROW($AY$13:$AY$2950)),""),ROWS($A$13:$A244))),""),"")</f>
        <v/>
      </c>
      <c r="BE244" s="339">
        <v>33708</v>
      </c>
      <c r="BF244" s="338" t="s">
        <v>342</v>
      </c>
      <c r="BH244" s="338">
        <v>22</v>
      </c>
      <c r="BI244" s="338" t="s">
        <v>340</v>
      </c>
      <c r="BN244" s="340">
        <v>12.05</v>
      </c>
      <c r="BO244" s="340" t="s">
        <v>347</v>
      </c>
      <c r="BP244" s="1385"/>
      <c r="BQ244" s="341">
        <v>32824</v>
      </c>
      <c r="BR244" s="338" t="s">
        <v>338</v>
      </c>
      <c r="BU244" s="858"/>
      <c r="BV244" s="338">
        <v>712.03</v>
      </c>
      <c r="BW244" s="338" t="s">
        <v>288</v>
      </c>
      <c r="CB244" s="340">
        <v>425.01</v>
      </c>
      <c r="CC244" s="340" t="s">
        <v>289</v>
      </c>
      <c r="CE244" s="341" t="str">
        <f t="array" ref="CE244">IFERROR(IF($CE$11="Metro",INDEX($BV$13:$BV$4972,SMALL(IF((County=$BW$13:$BW$4972),MATCH(ROW($BW$13:$BW$4972),ROW($BW$13:$BW$4972)),""),ROWS($A$13:$A244))),INDEX($BY$13:$BY$212,SMALL(IF((County=$BZ$13:$BZ$212),MATCH(ROW($BZ$13:$BZ$212),ROW($BZ$13:$BZ$212)),""),ROWS($A$13:$A244)))),"")</f>
        <v/>
      </c>
      <c r="CG244" s="341" t="str">
        <f t="array" ref="CG244">IFERROR(IF($CG$11="Yes",INDEX($CB$13:$CB$2950,SMALL(IF((County=$CC$13:$CC$2950),MATCH(ROW($CC$13:$CC$2950),ROW($CC$13:$CC$2950)),""),ROWS($A$13:$A244))),""),"")</f>
        <v/>
      </c>
      <c r="CI244" s="1583">
        <v>33579</v>
      </c>
      <c r="CJ244" s="338" t="s">
        <v>316</v>
      </c>
      <c r="CL244" s="236">
        <v>6.03</v>
      </c>
      <c r="CM244" s="236" t="s">
        <v>331</v>
      </c>
      <c r="CR244" s="340">
        <v>12.07</v>
      </c>
      <c r="CS244" s="340" t="s">
        <v>323</v>
      </c>
      <c r="CT244" s="1384"/>
      <c r="CU244" s="341">
        <v>32824</v>
      </c>
      <c r="CV244" s="338" t="s">
        <v>338</v>
      </c>
      <c r="CZ244" s="1795">
        <v>9603</v>
      </c>
      <c r="DA244" s="338" t="s">
        <v>315</v>
      </c>
      <c r="DF244" s="340">
        <v>502.05</v>
      </c>
      <c r="DG244" s="340" t="s">
        <v>289</v>
      </c>
      <c r="DK244" s="341" t="str">
        <f t="array" ref="DK244">IFERROR(IF($DK$11="Yes",INDEX($DF$13:$DF$2838,SMALL(IF((County=$DG$13:$DG$2838),MATCH(ROW($DG$13:$DG$2838),ROW($DG$13:$DG$2838)),""),ROWS($A$13:$A244))),""),"")</f>
        <v/>
      </c>
      <c r="DM244" s="1387">
        <v>33558</v>
      </c>
      <c r="DN244" s="338" t="s">
        <v>316</v>
      </c>
      <c r="DP244" s="236">
        <v>26</v>
      </c>
      <c r="DQ244" s="236" t="s">
        <v>316</v>
      </c>
      <c r="DV244" s="340">
        <v>13.03</v>
      </c>
      <c r="DW244" s="340" t="s">
        <v>347</v>
      </c>
      <c r="DX244" s="1671"/>
      <c r="EB244" s="618"/>
      <c r="EC244" s="618"/>
      <c r="ED244" s="618"/>
      <c r="EE244" s="618"/>
      <c r="EF244" s="618"/>
      <c r="EG244" s="618"/>
      <c r="EH244" s="618"/>
      <c r="EI244" s="618"/>
      <c r="EJ244" s="618"/>
      <c r="EK244" s="618"/>
      <c r="EL244" s="618"/>
      <c r="EM244" s="618"/>
    </row>
    <row r="245" spans="1:143">
      <c r="A245" s="339">
        <v>32789</v>
      </c>
      <c r="B245" s="338" t="s">
        <v>338</v>
      </c>
      <c r="E245" s="858"/>
      <c r="F245" s="338">
        <v>35</v>
      </c>
      <c r="G245" s="338" t="s">
        <v>316</v>
      </c>
      <c r="L245" s="2481">
        <v>506.02</v>
      </c>
      <c r="M245" s="340" t="s">
        <v>289</v>
      </c>
      <c r="N245" s="1390"/>
      <c r="O245" s="2479"/>
      <c r="P245" s="2282"/>
      <c r="T245" s="341" t="str">
        <f t="array" ref="T245">IFERROR(IF($T$11="Yes",INDEX($L$13:$L$2813,SMALL(IF((County=$M$13:$M$2813),MATCH(ROW($M$13:$M$2813),ROW($M$13:$M$2813)),""),ROWS($A$13:A245))),""),"")</f>
        <v/>
      </c>
      <c r="V245" s="2283" t="str">
        <f t="array" ref="V245">IFERROR(IF($T$11="Yes",INDEX($O$14:$O$2811,SMALL(IF((County=$P$14:$P$2811),MATCH(ROW($P$14:$P$2811),ROW($P$14:$P$2811)),""),ROWS($A$13:A245))),""),"")</f>
        <v/>
      </c>
      <c r="X245" s="339">
        <v>33496</v>
      </c>
      <c r="Y245" s="338" t="s">
        <v>340</v>
      </c>
      <c r="AA245" s="338">
        <v>31.02</v>
      </c>
      <c r="AB245" s="338" t="s">
        <v>340</v>
      </c>
      <c r="AG245" s="2297">
        <v>14.04</v>
      </c>
      <c r="AH245" s="2297" t="s">
        <v>285</v>
      </c>
      <c r="AI245" s="1390"/>
      <c r="AJ245" s="2282"/>
      <c r="AK245" s="2282"/>
      <c r="AL245" s="1037"/>
      <c r="AM245" s="339">
        <v>33410</v>
      </c>
      <c r="AN245" s="338" t="s">
        <v>340</v>
      </c>
      <c r="AQ245" s="858"/>
      <c r="AR245" s="338">
        <v>108.24</v>
      </c>
      <c r="AS245" s="338" t="s">
        <v>316</v>
      </c>
      <c r="AX245" s="340">
        <v>431</v>
      </c>
      <c r="AY245" s="340" t="s">
        <v>289</v>
      </c>
      <c r="BC245" s="341" t="str">
        <f t="array" ref="BC245">IFERROR(IF($BC$11="Yes",INDEX($AX$13:$AX$2950,SMALL(IF((County=$AY$13:$AY$2950),MATCH(ROW($AY$13:$AY$2950),ROW($AY$13:$AY$2950)),""),ROWS($A$13:$A245))),""),"")</f>
        <v/>
      </c>
      <c r="BE245" s="339">
        <v>33711</v>
      </c>
      <c r="BF245" s="338" t="s">
        <v>342</v>
      </c>
      <c r="BH245" s="338">
        <v>22.02</v>
      </c>
      <c r="BI245" s="338" t="s">
        <v>331</v>
      </c>
      <c r="BN245" s="340">
        <v>12.06</v>
      </c>
      <c r="BO245" s="340" t="s">
        <v>323</v>
      </c>
      <c r="BP245" s="1385"/>
      <c r="BQ245" s="341">
        <v>32825</v>
      </c>
      <c r="BR245" s="338" t="s">
        <v>338</v>
      </c>
      <c r="BU245" s="858"/>
      <c r="BV245" s="338">
        <v>712.04</v>
      </c>
      <c r="BW245" s="338" t="s">
        <v>288</v>
      </c>
      <c r="CB245" s="340">
        <v>425.02</v>
      </c>
      <c r="CC245" s="340" t="s">
        <v>289</v>
      </c>
      <c r="CE245" s="341" t="str">
        <f t="array" ref="CE245">IFERROR(IF($CE$11="Metro",INDEX($BV$13:$BV$4972,SMALL(IF((County=$BW$13:$BW$4972),MATCH(ROW($BW$13:$BW$4972),ROW($BW$13:$BW$4972)),""),ROWS($A$13:$A245))),INDEX($BY$13:$BY$212,SMALL(IF((County=$BZ$13:$BZ$212),MATCH(ROW($BZ$13:$BZ$212),ROW($BZ$13:$BZ$212)),""),ROWS($A$13:$A245)))),"")</f>
        <v/>
      </c>
      <c r="CG245" s="341" t="str">
        <f t="array" ref="CG245">IFERROR(IF($CG$11="Yes",INDEX($CB$13:$CB$2950,SMALL(IF((County=$CC$13:$CC$2950),MATCH(ROW($CC$13:$CC$2950),ROW($CC$13:$CC$2950)),""),ROWS($A$13:$A245))),""),"")</f>
        <v/>
      </c>
      <c r="CI245" s="1583">
        <v>33584</v>
      </c>
      <c r="CJ245" s="338" t="s">
        <v>316</v>
      </c>
      <c r="CL245" s="236">
        <v>6.04</v>
      </c>
      <c r="CM245" s="236" t="s">
        <v>328</v>
      </c>
      <c r="CR245" s="340">
        <v>12.07</v>
      </c>
      <c r="CS245" s="340" t="s">
        <v>331</v>
      </c>
      <c r="CT245" s="1384"/>
      <c r="CU245" s="341">
        <v>32825</v>
      </c>
      <c r="CV245" s="338" t="s">
        <v>338</v>
      </c>
      <c r="CZ245" s="1795">
        <v>9609</v>
      </c>
      <c r="DA245" s="338" t="s">
        <v>315</v>
      </c>
      <c r="DF245" s="340">
        <v>502.06</v>
      </c>
      <c r="DG245" s="340" t="s">
        <v>289</v>
      </c>
      <c r="DK245" s="341" t="str">
        <f t="array" ref="DK245">IFERROR(IF($DK$11="Yes",INDEX($DF$13:$DF$2838,SMALL(IF((County=$DG$13:$DG$2838),MATCH(ROW($DG$13:$DG$2838),ROW($DG$13:$DG$2838)),""),ROWS($A$13:$A245))),""),"")</f>
        <v/>
      </c>
      <c r="DM245" s="1387">
        <v>33559</v>
      </c>
      <c r="DN245" s="338" t="s">
        <v>316</v>
      </c>
      <c r="DP245" s="236">
        <v>26.02</v>
      </c>
      <c r="DQ245" s="236" t="s">
        <v>329</v>
      </c>
      <c r="DV245" s="340">
        <v>13.04</v>
      </c>
      <c r="DW245" s="340" t="s">
        <v>347</v>
      </c>
      <c r="DX245" s="1671"/>
      <c r="EB245" s="618"/>
      <c r="EC245" s="618"/>
      <c r="ED245" s="618"/>
      <c r="EE245" s="618"/>
      <c r="EF245" s="618"/>
      <c r="EG245" s="618"/>
      <c r="EH245" s="618"/>
      <c r="EI245" s="618"/>
      <c r="EJ245" s="618"/>
      <c r="EK245" s="618"/>
      <c r="EL245" s="618"/>
      <c r="EM245" s="618"/>
    </row>
    <row r="246" spans="1:143">
      <c r="A246" s="339">
        <v>32792</v>
      </c>
      <c r="B246" s="338" t="s">
        <v>338</v>
      </c>
      <c r="E246" s="858"/>
      <c r="F246" s="338">
        <v>36</v>
      </c>
      <c r="G246" s="338" t="s">
        <v>316</v>
      </c>
      <c r="L246" s="2481">
        <v>509</v>
      </c>
      <c r="M246" s="340" t="s">
        <v>289</v>
      </c>
      <c r="N246" s="1390"/>
      <c r="O246" s="2479"/>
      <c r="P246" s="2282"/>
      <c r="T246" s="341" t="str">
        <f t="array" ref="T246">IFERROR(IF($T$11="Yes",INDEX($L$13:$L$2813,SMALL(IF((County=$M$13:$M$2813),MATCH(ROW($M$13:$M$2813),ROW($M$13:$M$2813)),""),ROWS($A$13:A246))),""),"")</f>
        <v/>
      </c>
      <c r="V246" s="2283" t="str">
        <f t="array" ref="V246">IFERROR(IF($T$11="Yes",INDEX($O$14:$O$2811,SMALL(IF((County=$P$14:$P$2811),MATCH(ROW($P$14:$P$2811),ROW($P$14:$P$2811)),""),ROWS($A$13:A246))),""),"")</f>
        <v/>
      </c>
      <c r="X246" s="339">
        <v>33498</v>
      </c>
      <c r="Y246" s="338" t="s">
        <v>340</v>
      </c>
      <c r="AA246" s="338">
        <v>32</v>
      </c>
      <c r="AB246" s="338" t="s">
        <v>316</v>
      </c>
      <c r="AG246" s="2297">
        <v>14.04</v>
      </c>
      <c r="AH246" s="2297" t="s">
        <v>347</v>
      </c>
      <c r="AI246" s="1390"/>
      <c r="AJ246" s="2282"/>
      <c r="AK246" s="2282"/>
      <c r="AL246" s="1037"/>
      <c r="AM246" s="339">
        <v>33412</v>
      </c>
      <c r="AN246" s="338" t="s">
        <v>340</v>
      </c>
      <c r="AQ246" s="858"/>
      <c r="AR246" s="338">
        <v>110.1</v>
      </c>
      <c r="AS246" s="338" t="s">
        <v>316</v>
      </c>
      <c r="AX246" s="340">
        <v>433.01</v>
      </c>
      <c r="AY246" s="340" t="s">
        <v>289</v>
      </c>
      <c r="BC246" s="341" t="str">
        <f t="array" ref="BC246">IFERROR(IF($BC$11="Yes",INDEX($AX$13:$AX$2950,SMALL(IF((County=$AY$13:$AY$2950),MATCH(ROW($AY$13:$AY$2950),ROW($AY$13:$AY$2950)),""),ROWS($A$13:$A246))),""),"")</f>
        <v/>
      </c>
      <c r="BE246" s="339">
        <v>33713</v>
      </c>
      <c r="BF246" s="338" t="s">
        <v>342</v>
      </c>
      <c r="BH246" s="338">
        <v>22.18</v>
      </c>
      <c r="BI246" s="338" t="s">
        <v>276</v>
      </c>
      <c r="BN246" s="340">
        <v>12.06</v>
      </c>
      <c r="BO246" s="340" t="s">
        <v>331</v>
      </c>
      <c r="BP246" s="1385"/>
      <c r="BQ246" s="341">
        <v>32827</v>
      </c>
      <c r="BR246" s="338" t="s">
        <v>338</v>
      </c>
      <c r="BU246" s="858"/>
      <c r="BV246" s="338">
        <v>712.05</v>
      </c>
      <c r="BW246" s="338" t="s">
        <v>288</v>
      </c>
      <c r="CB246" s="340">
        <v>426.01</v>
      </c>
      <c r="CC246" s="340" t="s">
        <v>289</v>
      </c>
      <c r="CE246" s="341" t="str">
        <f t="array" ref="CE246">IFERROR(IF($CE$11="Metro",INDEX($BV$13:$BV$4972,SMALL(IF((County=$BW$13:$BW$4972),MATCH(ROW($BW$13:$BW$4972),ROW($BW$13:$BW$4972)),""),ROWS($A$13:$A246))),INDEX($BY$13:$BY$212,SMALL(IF((County=$BZ$13:$BZ$212),MATCH(ROW($BZ$13:$BZ$212),ROW($BZ$13:$BZ$212)),""),ROWS($A$13:$A246)))),"")</f>
        <v/>
      </c>
      <c r="CG246" s="341" t="str">
        <f t="array" ref="CG246">IFERROR(IF($CG$11="Yes",INDEX($CB$13:$CB$2950,SMALL(IF((County=$CC$13:$CC$2950),MATCH(ROW($CC$13:$CC$2950),ROW($CC$13:$CC$2950)),""),ROWS($A$13:$A246))),""),"")</f>
        <v/>
      </c>
      <c r="CI246" s="1583">
        <v>33594</v>
      </c>
      <c r="CJ246" s="338" t="s">
        <v>316</v>
      </c>
      <c r="CL246" s="236">
        <v>6.04</v>
      </c>
      <c r="CM246" s="236" t="s">
        <v>329</v>
      </c>
      <c r="CR246" s="340">
        <v>12.08</v>
      </c>
      <c r="CS246" s="340" t="s">
        <v>323</v>
      </c>
      <c r="CT246" s="1384"/>
      <c r="CU246" s="341">
        <v>32827</v>
      </c>
      <c r="CV246" s="338" t="s">
        <v>338</v>
      </c>
      <c r="CZ246" s="1795">
        <v>9611</v>
      </c>
      <c r="DA246" s="338" t="s">
        <v>315</v>
      </c>
      <c r="DF246" s="340">
        <v>502.07</v>
      </c>
      <c r="DG246" s="340" t="s">
        <v>289</v>
      </c>
      <c r="DK246" s="341" t="str">
        <f t="array" ref="DK246">IFERROR(IF($DK$11="Yes",INDEX($DF$13:$DF$2838,SMALL(IF((County=$DG$13:$DG$2838),MATCH(ROW($DG$13:$DG$2838),ROW($DG$13:$DG$2838)),""),ROWS($A$13:$A246))),""),"")</f>
        <v/>
      </c>
      <c r="DM246" s="1387">
        <v>33569</v>
      </c>
      <c r="DN246" s="338" t="s">
        <v>316</v>
      </c>
      <c r="DP246" s="236">
        <v>27.01</v>
      </c>
      <c r="DQ246" s="236" t="s">
        <v>302</v>
      </c>
      <c r="DV246" s="340">
        <v>14.01</v>
      </c>
      <c r="DW246" s="340" t="s">
        <v>304</v>
      </c>
      <c r="DX246" s="1671"/>
      <c r="EB246" s="618"/>
      <c r="EC246" s="618"/>
      <c r="ED246" s="618"/>
      <c r="EE246" s="618"/>
      <c r="EF246" s="618"/>
      <c r="EG246" s="618"/>
      <c r="EH246" s="618"/>
      <c r="EI246" s="618"/>
      <c r="EJ246" s="618"/>
      <c r="EK246" s="618"/>
      <c r="EL246" s="618"/>
      <c r="EM246" s="618"/>
    </row>
    <row r="247" spans="1:143">
      <c r="A247" s="339">
        <v>32801</v>
      </c>
      <c r="B247" s="338" t="s">
        <v>338</v>
      </c>
      <c r="E247" s="858"/>
      <c r="F247" s="338">
        <v>37</v>
      </c>
      <c r="G247" s="338" t="s">
        <v>316</v>
      </c>
      <c r="L247" s="2481">
        <v>510.01</v>
      </c>
      <c r="M247" s="340" t="s">
        <v>289</v>
      </c>
      <c r="N247" s="1390"/>
      <c r="O247" s="2479"/>
      <c r="P247" s="2282"/>
      <c r="T247" s="341" t="str">
        <f t="array" ref="T247">IFERROR(IF($T$11="Yes",INDEX($L$13:$L$2813,SMALL(IF((County=$M$13:$M$2813),MATCH(ROW($M$13:$M$2813),ROW($M$13:$M$2813)),""),ROWS($A$13:A247))),""),"")</f>
        <v/>
      </c>
      <c r="V247" s="2283" t="str">
        <f t="array" ref="V247">IFERROR(IF($T$11="Yes",INDEX($O$14:$O$2811,SMALL(IF((County=$P$14:$P$2811),MATCH(ROW($P$14:$P$2811),ROW($P$14:$P$2811)),""),ROWS($A$13:A247))),""),"")</f>
        <v/>
      </c>
      <c r="X247" s="339">
        <v>33503</v>
      </c>
      <c r="Y247" s="338" t="s">
        <v>340</v>
      </c>
      <c r="AA247" s="338">
        <v>32.01</v>
      </c>
      <c r="AB247" s="338" t="s">
        <v>340</v>
      </c>
      <c r="AG247" s="2297">
        <v>14.05</v>
      </c>
      <c r="AH247" s="2297" t="s">
        <v>347</v>
      </c>
      <c r="AI247" s="1390"/>
      <c r="AJ247" s="2282"/>
      <c r="AK247" s="2282"/>
      <c r="AL247" s="1037"/>
      <c r="AM247" s="339">
        <v>33413</v>
      </c>
      <c r="AN247" s="338" t="s">
        <v>340</v>
      </c>
      <c r="AQ247" s="858"/>
      <c r="AR247" s="338">
        <v>112.06</v>
      </c>
      <c r="AS247" s="338" t="s">
        <v>316</v>
      </c>
      <c r="AX247" s="340">
        <v>502.05</v>
      </c>
      <c r="AY247" s="340" t="s">
        <v>289</v>
      </c>
      <c r="BC247" s="341" t="str">
        <f t="array" ref="BC247">IFERROR(IF($BC$11="Yes",INDEX($AX$13:$AX$2950,SMALL(IF((County=$AY$13:$AY$2950),MATCH(ROW($AY$13:$AY$2950),ROW($AY$13:$AY$2950)),""),ROWS($A$13:$A247))),""),"")</f>
        <v/>
      </c>
      <c r="BE247" s="339">
        <v>33715</v>
      </c>
      <c r="BF247" s="338" t="s">
        <v>342</v>
      </c>
      <c r="BH247" s="338">
        <v>23</v>
      </c>
      <c r="BI247" s="338" t="s">
        <v>331</v>
      </c>
      <c r="BN247" s="340">
        <v>12.06</v>
      </c>
      <c r="BO247" s="340" t="s">
        <v>347</v>
      </c>
      <c r="BP247" s="1385"/>
      <c r="BQ247" s="341">
        <v>32828</v>
      </c>
      <c r="BR247" s="338" t="s">
        <v>338</v>
      </c>
      <c r="BU247" s="858"/>
      <c r="BV247" s="338">
        <v>713.35</v>
      </c>
      <c r="BW247" s="338" t="s">
        <v>288</v>
      </c>
      <c r="CB247" s="340">
        <v>426.02</v>
      </c>
      <c r="CC247" s="340" t="s">
        <v>289</v>
      </c>
      <c r="CE247" s="341" t="str">
        <f t="array" ref="CE247">IFERROR(IF($CE$11="Metro",INDEX($BV$13:$BV$4972,SMALL(IF((County=$BW$13:$BW$4972),MATCH(ROW($BW$13:$BW$4972),ROW($BW$13:$BW$4972)),""),ROWS($A$13:$A247))),INDEX($BY$13:$BY$212,SMALL(IF((County=$BZ$13:$BZ$212),MATCH(ROW($BZ$13:$BZ$212),ROW($BZ$13:$BZ$212)),""),ROWS($A$13:$A247)))),"")</f>
        <v/>
      </c>
      <c r="CG247" s="341" t="str">
        <f t="array" ref="CG247">IFERROR(IF($CG$11="Yes",INDEX($CB$13:$CB$2950,SMALL(IF((County=$CC$13:$CC$2950),MATCH(ROW($CC$13:$CC$2950),ROW($CC$13:$CC$2950)),""),ROWS($A$13:$A247))),""),"")</f>
        <v/>
      </c>
      <c r="CI247" s="1583">
        <v>33596</v>
      </c>
      <c r="CJ247" s="338" t="s">
        <v>316</v>
      </c>
      <c r="CL247" s="236">
        <v>6.04</v>
      </c>
      <c r="CM247" s="236" t="s">
        <v>330</v>
      </c>
      <c r="CR247" s="340">
        <v>12.08</v>
      </c>
      <c r="CS247" s="340" t="s">
        <v>329</v>
      </c>
      <c r="CT247" s="1384"/>
      <c r="CU247" s="341">
        <v>32828</v>
      </c>
      <c r="CV247" s="338" t="s">
        <v>338</v>
      </c>
      <c r="CZ247" s="1795">
        <v>9612.01</v>
      </c>
      <c r="DA247" s="338" t="s">
        <v>315</v>
      </c>
      <c r="DF247" s="340">
        <v>504.01</v>
      </c>
      <c r="DG247" s="340" t="s">
        <v>289</v>
      </c>
      <c r="DK247" s="341" t="str">
        <f t="array" ref="DK247">IFERROR(IF($DK$11="Yes",INDEX($DF$13:$DF$2838,SMALL(IF((County=$DG$13:$DG$2838),MATCH(ROW($DG$13:$DG$2838),ROW($DG$13:$DG$2838)),""),ROWS($A$13:$A247))),""),"")</f>
        <v/>
      </c>
      <c r="DM247" s="1387">
        <v>33572</v>
      </c>
      <c r="DN247" s="338" t="s">
        <v>316</v>
      </c>
      <c r="DP247" s="236">
        <v>27.02</v>
      </c>
      <c r="DQ247" s="236" t="s">
        <v>302</v>
      </c>
      <c r="DV247" s="340">
        <v>14.02</v>
      </c>
      <c r="DW247" s="340" t="s">
        <v>285</v>
      </c>
      <c r="DX247" s="1671"/>
      <c r="EB247" s="618"/>
      <c r="EC247" s="618"/>
      <c r="ED247" s="618"/>
      <c r="EE247" s="618"/>
      <c r="EF247" s="618"/>
      <c r="EG247" s="618"/>
      <c r="EH247" s="618"/>
      <c r="EI247" s="618"/>
      <c r="EJ247" s="618"/>
      <c r="EK247" s="618"/>
      <c r="EL247" s="618"/>
      <c r="EM247" s="618"/>
    </row>
    <row r="248" spans="1:143">
      <c r="A248" s="339">
        <v>32803</v>
      </c>
      <c r="B248" s="338" t="s">
        <v>338</v>
      </c>
      <c r="E248" s="858"/>
      <c r="F248" s="338">
        <v>41</v>
      </c>
      <c r="G248" s="338" t="s">
        <v>316</v>
      </c>
      <c r="L248" s="2481">
        <v>510.02</v>
      </c>
      <c r="M248" s="340" t="s">
        <v>289</v>
      </c>
      <c r="N248" s="1390"/>
      <c r="O248" s="2479"/>
      <c r="P248" s="2282"/>
      <c r="T248" s="341" t="str">
        <f t="array" ref="T248">IFERROR(IF($T$11="Yes",INDEX($L$13:$L$2813,SMALL(IF((County=$M$13:$M$2813),MATCH(ROW($M$13:$M$2813),ROW($M$13:$M$2813)),""),ROWS($A$13:A248))),""),"")</f>
        <v/>
      </c>
      <c r="V248" s="2283" t="str">
        <f t="array" ref="V248">IFERROR(IF($T$11="Yes",INDEX($O$14:$O$2811,SMALL(IF((County=$P$14:$P$2811),MATCH(ROW($P$14:$P$2811),ROW($P$14:$P$2811)),""),ROWS($A$13:A248))),""),"")</f>
        <v/>
      </c>
      <c r="X248" s="339">
        <v>33511</v>
      </c>
      <c r="Y248" s="338" t="s">
        <v>316</v>
      </c>
      <c r="AA248" s="338">
        <v>33</v>
      </c>
      <c r="AB248" s="338" t="s">
        <v>316</v>
      </c>
      <c r="AG248" s="2297">
        <v>14.06</v>
      </c>
      <c r="AH248" s="2297" t="s">
        <v>330</v>
      </c>
      <c r="AI248" s="1390"/>
      <c r="AJ248" s="2282"/>
      <c r="AK248" s="2282"/>
      <c r="AL248" s="1037"/>
      <c r="AM248" s="339">
        <v>33414</v>
      </c>
      <c r="AN248" s="338" t="s">
        <v>340</v>
      </c>
      <c r="AQ248" s="858"/>
      <c r="AR248" s="338">
        <v>116.1</v>
      </c>
      <c r="AS248" s="338" t="s">
        <v>316</v>
      </c>
      <c r="AX248" s="340">
        <v>502.06</v>
      </c>
      <c r="AY248" s="340" t="s">
        <v>289</v>
      </c>
      <c r="BC248" s="341" t="str">
        <f t="array" ref="BC248">IFERROR(IF($BC$11="Yes",INDEX($AX$13:$AX$2950,SMALL(IF((County=$AY$13:$AY$2950),MATCH(ROW($AY$13:$AY$2950),ROW($AY$13:$AY$2950)),""),ROWS($A$13:$A248))),""),"")</f>
        <v/>
      </c>
      <c r="BE248" s="339">
        <v>33716</v>
      </c>
      <c r="BF248" s="338" t="s">
        <v>342</v>
      </c>
      <c r="BH248" s="338">
        <v>24</v>
      </c>
      <c r="BI248" s="338" t="s">
        <v>285</v>
      </c>
      <c r="BN248" s="340">
        <v>12.07</v>
      </c>
      <c r="BO248" s="340" t="s">
        <v>323</v>
      </c>
      <c r="BP248" s="1385"/>
      <c r="BQ248" s="341">
        <v>32829</v>
      </c>
      <c r="BR248" s="338" t="s">
        <v>338</v>
      </c>
      <c r="BU248" s="858"/>
      <c r="BV248" s="338">
        <v>713.37</v>
      </c>
      <c r="BW248" s="338" t="s">
        <v>288</v>
      </c>
      <c r="CB248" s="340">
        <v>430.01</v>
      </c>
      <c r="CC248" s="340" t="s">
        <v>289</v>
      </c>
      <c r="CE248" s="341" t="str">
        <f t="array" ref="CE248">IFERROR(IF($CE$11="Metro",INDEX($BV$13:$BV$4972,SMALL(IF((County=$BW$13:$BW$4972),MATCH(ROW($BW$13:$BW$4972),ROW($BW$13:$BW$4972)),""),ROWS($A$13:$A248))),INDEX($BY$13:$BY$212,SMALL(IF((County=$BZ$13:$BZ$212),MATCH(ROW($BZ$13:$BZ$212),ROW($BZ$13:$BZ$212)),""),ROWS($A$13:$A248)))),"")</f>
        <v/>
      </c>
      <c r="CG248" s="341" t="str">
        <f t="array" ref="CG248">IFERROR(IF($CG$11="Yes",INDEX($CB$13:$CB$2950,SMALL(IF((County=$CC$13:$CC$2950),MATCH(ROW($CC$13:$CC$2950),ROW($CC$13:$CC$2950)),""),ROWS($A$13:$A248))),""),"")</f>
        <v/>
      </c>
      <c r="CI248" s="1583">
        <v>33602</v>
      </c>
      <c r="CJ248" s="338" t="s">
        <v>316</v>
      </c>
      <c r="CL248" s="236">
        <v>6.05</v>
      </c>
      <c r="CM248" s="236" t="s">
        <v>329</v>
      </c>
      <c r="CR248" s="340">
        <v>12.08</v>
      </c>
      <c r="CS248" s="340" t="s">
        <v>331</v>
      </c>
      <c r="CT248" s="1384"/>
      <c r="CU248" s="341">
        <v>32829</v>
      </c>
      <c r="CV248" s="338" t="s">
        <v>338</v>
      </c>
      <c r="CZ248" s="1795">
        <v>1.01</v>
      </c>
      <c r="DA248" s="338" t="s">
        <v>316</v>
      </c>
      <c r="DF248" s="340">
        <v>504.02</v>
      </c>
      <c r="DG248" s="340" t="s">
        <v>289</v>
      </c>
      <c r="DK248" s="341" t="str">
        <f t="array" ref="DK248">IFERROR(IF($DK$11="Yes",INDEX($DF$13:$DF$2838,SMALL(IF((County=$DG$13:$DG$2838),MATCH(ROW($DG$13:$DG$2838),ROW($DG$13:$DG$2838)),""),ROWS($A$13:$A248))),""),"")</f>
        <v/>
      </c>
      <c r="DM248" s="1387">
        <v>33573</v>
      </c>
      <c r="DN248" s="338" t="s">
        <v>316</v>
      </c>
      <c r="DP248" s="236">
        <v>27.03</v>
      </c>
      <c r="DQ248" s="236" t="s">
        <v>304</v>
      </c>
      <c r="DV248" s="340">
        <v>14.02</v>
      </c>
      <c r="DW248" s="340" t="s">
        <v>323</v>
      </c>
      <c r="DX248" s="1671"/>
      <c r="EB248" s="618"/>
      <c r="EC248" s="618"/>
      <c r="ED248" s="618"/>
      <c r="EE248" s="618"/>
      <c r="EF248" s="618"/>
      <c r="EG248" s="618"/>
      <c r="EH248" s="618"/>
      <c r="EI248" s="618"/>
      <c r="EJ248" s="618"/>
      <c r="EK248" s="618"/>
      <c r="EL248" s="618"/>
      <c r="EM248" s="618"/>
    </row>
    <row r="249" spans="1:143">
      <c r="A249" s="339">
        <v>32804</v>
      </c>
      <c r="B249" s="338" t="s">
        <v>338</v>
      </c>
      <c r="E249" s="858"/>
      <c r="F249" s="338">
        <v>43</v>
      </c>
      <c r="G249" s="338" t="s">
        <v>316</v>
      </c>
      <c r="L249" s="2481">
        <v>601.09</v>
      </c>
      <c r="M249" s="340" t="s">
        <v>289</v>
      </c>
      <c r="N249" s="1390"/>
      <c r="O249" s="2479"/>
      <c r="P249" s="2282"/>
      <c r="T249" s="341" t="str">
        <f t="array" ref="T249">IFERROR(IF($T$11="Yes",INDEX($L$13:$L$2813,SMALL(IF((County=$M$13:$M$2813),MATCH(ROW($M$13:$M$2813),ROW($M$13:$M$2813)),""),ROWS($A$13:A249))),""),"")</f>
        <v/>
      </c>
      <c r="V249" s="2283" t="str">
        <f t="array" ref="V249">IFERROR(IF($T$11="Yes",INDEX($O$14:$O$2811,SMALL(IF((County=$P$14:$P$2811),MATCH(ROW($P$14:$P$2811),ROW($P$14:$P$2811)),""),ROWS($A$13:A249))),""),"")</f>
        <v/>
      </c>
      <c r="X249" s="339">
        <v>33543</v>
      </c>
      <c r="Y249" s="338" t="s">
        <v>341</v>
      </c>
      <c r="AA249" s="338">
        <v>34</v>
      </c>
      <c r="AB249" s="338" t="s">
        <v>316</v>
      </c>
      <c r="AG249" s="2297">
        <v>14.09</v>
      </c>
      <c r="AH249" s="2297" t="s">
        <v>330</v>
      </c>
      <c r="AI249" s="1390"/>
      <c r="AJ249" s="2282"/>
      <c r="AK249" s="2282"/>
      <c r="AL249" s="1037"/>
      <c r="AM249" s="339">
        <v>33418</v>
      </c>
      <c r="AN249" s="338" t="s">
        <v>340</v>
      </c>
      <c r="AQ249" s="858"/>
      <c r="AR249" s="338">
        <v>116.14</v>
      </c>
      <c r="AS249" s="338" t="s">
        <v>316</v>
      </c>
      <c r="AX249" s="340">
        <v>504.01</v>
      </c>
      <c r="AY249" s="340" t="s">
        <v>289</v>
      </c>
      <c r="BC249" s="341" t="str">
        <f t="array" ref="BC249">IFERROR(IF($BC$11="Yes",INDEX($AX$13:$AX$2950,SMALL(IF((County=$AY$13:$AY$2950),MATCH(ROW($AY$13:$AY$2950),ROW($AY$13:$AY$2950)),""),ROWS($A$13:$A249))),""),"")</f>
        <v/>
      </c>
      <c r="BE249" s="339">
        <v>33744</v>
      </c>
      <c r="BF249" s="338" t="s">
        <v>342</v>
      </c>
      <c r="BH249" s="338">
        <v>24</v>
      </c>
      <c r="BI249" s="338" t="s">
        <v>340</v>
      </c>
      <c r="BN249" s="340">
        <v>12.07</v>
      </c>
      <c r="BO249" s="340" t="s">
        <v>331</v>
      </c>
      <c r="BP249" s="1385"/>
      <c r="BQ249" s="341">
        <v>32831</v>
      </c>
      <c r="BR249" s="338" t="s">
        <v>338</v>
      </c>
      <c r="BU249" s="858"/>
      <c r="BV249" s="338">
        <v>713.39</v>
      </c>
      <c r="BW249" s="338" t="s">
        <v>288</v>
      </c>
      <c r="CB249" s="340">
        <v>430.02</v>
      </c>
      <c r="CC249" s="340" t="s">
        <v>289</v>
      </c>
      <c r="CE249" s="341" t="str">
        <f t="array" ref="CE249">IFERROR(IF($CE$11="Metro",INDEX($BV$13:$BV$4972,SMALL(IF((County=$BW$13:$BW$4972),MATCH(ROW($BW$13:$BW$4972),ROW($BW$13:$BW$4972)),""),ROWS($A$13:$A249))),INDEX($BY$13:$BY$212,SMALL(IF((County=$BZ$13:$BZ$212),MATCH(ROW($BZ$13:$BZ$212),ROW($BZ$13:$BZ$212)),""),ROWS($A$13:$A249)))),"")</f>
        <v/>
      </c>
      <c r="CG249" s="341" t="str">
        <f t="array" ref="CG249">IFERROR(IF($CG$11="Yes",INDEX($CB$13:$CB$2950,SMALL(IF((County=$CC$13:$CC$2950),MATCH(ROW($CC$13:$CC$2950),ROW($CC$13:$CC$2950)),""),ROWS($A$13:$A249))),""),"")</f>
        <v/>
      </c>
      <c r="CI249" s="1583">
        <v>33606</v>
      </c>
      <c r="CJ249" s="338" t="s">
        <v>316</v>
      </c>
      <c r="CL249" s="236">
        <v>6.05</v>
      </c>
      <c r="CM249" s="236" t="s">
        <v>331</v>
      </c>
      <c r="CR249" s="340">
        <v>12.09</v>
      </c>
      <c r="CS249" s="340" t="s">
        <v>323</v>
      </c>
      <c r="CT249" s="1384"/>
      <c r="CU249" s="341">
        <v>32831</v>
      </c>
      <c r="CV249" s="338" t="s">
        <v>338</v>
      </c>
      <c r="CZ249" s="1795">
        <v>1.02</v>
      </c>
      <c r="DA249" s="338" t="s">
        <v>316</v>
      </c>
      <c r="DF249" s="340">
        <v>505.01</v>
      </c>
      <c r="DG249" s="340" t="s">
        <v>289</v>
      </c>
      <c r="DK249" s="341" t="str">
        <f t="array" ref="DK249">IFERROR(IF($DK$11="Yes",INDEX($DF$13:$DF$2838,SMALL(IF((County=$DG$13:$DG$2838),MATCH(ROW($DG$13:$DG$2838),ROW($DG$13:$DG$2838)),""),ROWS($A$13:$A249))),""),"")</f>
        <v/>
      </c>
      <c r="DM249" s="1387">
        <v>33578</v>
      </c>
      <c r="DN249" s="338" t="s">
        <v>316</v>
      </c>
      <c r="DP249" s="236">
        <v>27.21</v>
      </c>
      <c r="DQ249" s="236" t="s">
        <v>347</v>
      </c>
      <c r="DV249" s="340">
        <v>14.02</v>
      </c>
      <c r="DW249" s="340" t="s">
        <v>347</v>
      </c>
      <c r="DX249" s="1671"/>
      <c r="EB249" s="618"/>
      <c r="EC249" s="618"/>
      <c r="ED249" s="618"/>
      <c r="EE249" s="618"/>
      <c r="EF249" s="618"/>
      <c r="EG249" s="618"/>
      <c r="EH249" s="618"/>
      <c r="EI249" s="618"/>
      <c r="EJ249" s="618"/>
      <c r="EK249" s="618"/>
      <c r="EL249" s="618"/>
      <c r="EM249" s="618"/>
    </row>
    <row r="250" spans="1:143">
      <c r="A250" s="339">
        <v>32814</v>
      </c>
      <c r="B250" s="338" t="s">
        <v>338</v>
      </c>
      <c r="E250" s="858"/>
      <c r="F250" s="338">
        <v>44</v>
      </c>
      <c r="G250" s="338" t="s">
        <v>316</v>
      </c>
      <c r="L250" s="2481">
        <v>601.13</v>
      </c>
      <c r="M250" s="340" t="s">
        <v>289</v>
      </c>
      <c r="N250" s="1390"/>
      <c r="O250" s="2479"/>
      <c r="P250" s="2282"/>
      <c r="T250" s="341" t="str">
        <f t="array" ref="T250">IFERROR(IF($T$11="Yes",INDEX($L$13:$L$2813,SMALL(IF((County=$M$13:$M$2813),MATCH(ROW($M$13:$M$2813),ROW($M$13:$M$2813)),""),ROWS($A$13:A250))),""),"")</f>
        <v/>
      </c>
      <c r="V250" s="2283" t="str">
        <f t="array" ref="V250">IFERROR(IF($T$11="Yes",INDEX($O$14:$O$2811,SMALL(IF((County=$P$14:$P$2811),MATCH(ROW($P$14:$P$2811),ROW($P$14:$P$2811)),""),ROWS($A$13:A250))),""),"")</f>
        <v/>
      </c>
      <c r="X250" s="339">
        <v>33544</v>
      </c>
      <c r="Y250" s="338" t="s">
        <v>341</v>
      </c>
      <c r="AA250" s="338">
        <v>34</v>
      </c>
      <c r="AB250" s="338" t="s">
        <v>331</v>
      </c>
      <c r="AG250" s="2297">
        <v>14.1</v>
      </c>
      <c r="AH250" s="2297" t="s">
        <v>330</v>
      </c>
      <c r="AI250" s="1390"/>
      <c r="AJ250" s="2282"/>
      <c r="AK250" s="2282"/>
      <c r="AL250" s="1037"/>
      <c r="AM250" s="339">
        <v>33426</v>
      </c>
      <c r="AN250" s="338" t="s">
        <v>340</v>
      </c>
      <c r="AQ250" s="858"/>
      <c r="AR250" s="338">
        <v>119.05</v>
      </c>
      <c r="AS250" s="338" t="s">
        <v>316</v>
      </c>
      <c r="AX250" s="340">
        <v>506.01</v>
      </c>
      <c r="AY250" s="340" t="s">
        <v>289</v>
      </c>
      <c r="BC250" s="341" t="str">
        <f t="array" ref="BC250">IFERROR(IF($BC$11="Yes",INDEX($AX$13:$AX$2950,SMALL(IF((County=$AY$13:$AY$2950),MATCH(ROW($AY$13:$AY$2950),ROW($AY$13:$AY$2950)),""),ROWS($A$13:$A250))),""),"")</f>
        <v/>
      </c>
      <c r="BE250" s="339">
        <v>33759</v>
      </c>
      <c r="BF250" s="338" t="s">
        <v>342</v>
      </c>
      <c r="BH250" s="338">
        <v>24.02</v>
      </c>
      <c r="BI250" s="338" t="s">
        <v>331</v>
      </c>
      <c r="BN250" s="340">
        <v>12.08</v>
      </c>
      <c r="BO250" s="340" t="s">
        <v>323</v>
      </c>
      <c r="BP250" s="1385"/>
      <c r="BQ250" s="341">
        <v>32832</v>
      </c>
      <c r="BR250" s="338" t="s">
        <v>338</v>
      </c>
      <c r="BU250" s="858"/>
      <c r="BV250" s="338">
        <v>713.41</v>
      </c>
      <c r="BW250" s="338" t="s">
        <v>288</v>
      </c>
      <c r="CB250" s="340">
        <v>433.01</v>
      </c>
      <c r="CC250" s="340" t="s">
        <v>289</v>
      </c>
      <c r="CE250" s="341" t="str">
        <f t="array" ref="CE250">IFERROR(IF($CE$11="Metro",INDEX($BV$13:$BV$4972,SMALL(IF((County=$BW$13:$BW$4972),MATCH(ROW($BW$13:$BW$4972),ROW($BW$13:$BW$4972)),""),ROWS($A$13:$A250))),INDEX($BY$13:$BY$212,SMALL(IF((County=$BZ$13:$BZ$212),MATCH(ROW($BZ$13:$BZ$212),ROW($BZ$13:$BZ$212)),""),ROWS($A$13:$A250)))),"")</f>
        <v/>
      </c>
      <c r="CG250" s="341" t="str">
        <f t="array" ref="CG250">IFERROR(IF($CG$11="Yes",INDEX($CB$13:$CB$2950,SMALL(IF((County=$CC$13:$CC$2950),MATCH(ROW($CC$13:$CC$2950),ROW($CC$13:$CC$2950)),""),ROWS($A$13:$A250))),""),"")</f>
        <v/>
      </c>
      <c r="CI250" s="1583">
        <v>33607</v>
      </c>
      <c r="CJ250" s="338" t="s">
        <v>316</v>
      </c>
      <c r="CL250" s="236">
        <v>6.06</v>
      </c>
      <c r="CM250" s="236" t="s">
        <v>329</v>
      </c>
      <c r="CR250" s="340">
        <v>12.09</v>
      </c>
      <c r="CS250" s="340" t="s">
        <v>329</v>
      </c>
      <c r="CT250" s="1384"/>
      <c r="CU250" s="341">
        <v>32832</v>
      </c>
      <c r="CV250" s="338" t="s">
        <v>338</v>
      </c>
      <c r="CZ250" s="1795">
        <v>2.0099999999999998</v>
      </c>
      <c r="DA250" s="338" t="s">
        <v>316</v>
      </c>
      <c r="DF250" s="340">
        <v>505.02</v>
      </c>
      <c r="DG250" s="340" t="s">
        <v>289</v>
      </c>
      <c r="DK250" s="341" t="str">
        <f t="array" ref="DK250">IFERROR(IF($DK$11="Yes",INDEX($DF$13:$DF$2838,SMALL(IF((County=$DG$13:$DG$2838),MATCH(ROW($DG$13:$DG$2838),ROW($DG$13:$DG$2838)),""),ROWS($A$13:$A250))),""),"")</f>
        <v/>
      </c>
      <c r="DM250" s="1387">
        <v>33579</v>
      </c>
      <c r="DN250" s="338" t="s">
        <v>316</v>
      </c>
      <c r="DP250" s="236">
        <v>27.23</v>
      </c>
      <c r="DQ250" s="236" t="s">
        <v>347</v>
      </c>
      <c r="DV250" s="340">
        <v>14.03</v>
      </c>
      <c r="DW250" s="340" t="s">
        <v>285</v>
      </c>
      <c r="DX250" s="1671"/>
      <c r="EB250" s="618"/>
      <c r="EC250" s="618"/>
      <c r="ED250" s="618"/>
      <c r="EE250" s="618"/>
      <c r="EF250" s="618"/>
      <c r="EG250" s="618"/>
      <c r="EH250" s="618"/>
      <c r="EI250" s="618"/>
      <c r="EJ250" s="618"/>
      <c r="EK250" s="618"/>
      <c r="EL250" s="618"/>
      <c r="EM250" s="618"/>
    </row>
    <row r="251" spans="1:143">
      <c r="A251" s="339">
        <v>32817</v>
      </c>
      <c r="B251" s="338" t="s">
        <v>338</v>
      </c>
      <c r="E251" s="858"/>
      <c r="F251" s="338">
        <v>50</v>
      </c>
      <c r="G251" s="338" t="s">
        <v>316</v>
      </c>
      <c r="L251" s="2481">
        <v>601.14</v>
      </c>
      <c r="M251" s="340" t="s">
        <v>289</v>
      </c>
      <c r="N251" s="1390"/>
      <c r="O251" s="2479"/>
      <c r="P251" s="2282"/>
      <c r="T251" s="341" t="str">
        <f t="array" ref="T251">IFERROR(IF($T$11="Yes",INDEX($L$13:$L$2813,SMALL(IF((County=$M$13:$M$2813),MATCH(ROW($M$13:$M$2813),ROW($M$13:$M$2813)),""),ROWS($A$13:A251))),""),"")</f>
        <v/>
      </c>
      <c r="V251" s="2283" t="str">
        <f t="array" ref="V251">IFERROR(IF($T$11="Yes",INDEX($O$14:$O$2811,SMALL(IF((County=$P$14:$P$2811),MATCH(ROW($P$14:$P$2811),ROW($P$14:$P$2811)),""),ROWS($A$13:A251))),""),"")</f>
        <v/>
      </c>
      <c r="X251" s="339">
        <v>33545</v>
      </c>
      <c r="Y251" s="338" t="s">
        <v>341</v>
      </c>
      <c r="AA251" s="338">
        <v>35</v>
      </c>
      <c r="AB251" s="338" t="s">
        <v>316</v>
      </c>
      <c r="AG251" s="2297">
        <v>15.01</v>
      </c>
      <c r="AH251" s="2297" t="s">
        <v>285</v>
      </c>
      <c r="AI251" s="1390"/>
      <c r="AJ251" s="2282"/>
      <c r="AK251" s="2282"/>
      <c r="AL251" s="1037"/>
      <c r="AM251" s="339">
        <v>33428</v>
      </c>
      <c r="AN251" s="338" t="s">
        <v>340</v>
      </c>
      <c r="AQ251" s="858"/>
      <c r="AR251" s="338">
        <v>120.02</v>
      </c>
      <c r="AS251" s="338" t="s">
        <v>316</v>
      </c>
      <c r="AX251" s="340">
        <v>509</v>
      </c>
      <c r="AY251" s="340" t="s">
        <v>289</v>
      </c>
      <c r="BC251" s="341" t="str">
        <f t="array" ref="BC251">IFERROR(IF($BC$11="Yes",INDEX($AX$13:$AX$2950,SMALL(IF((County=$AY$13:$AY$2950),MATCH(ROW($AY$13:$AY$2950),ROW($AY$13:$AY$2950)),""),ROWS($A$13:$A251))),""),"")</f>
        <v/>
      </c>
      <c r="BE251" s="339">
        <v>33762</v>
      </c>
      <c r="BF251" s="338" t="s">
        <v>342</v>
      </c>
      <c r="BH251" s="338">
        <v>24.03</v>
      </c>
      <c r="BI251" s="338" t="s">
        <v>331</v>
      </c>
      <c r="BN251" s="340">
        <v>12.08</v>
      </c>
      <c r="BO251" s="340" t="s">
        <v>329</v>
      </c>
      <c r="BP251" s="1385"/>
      <c r="BQ251" s="341">
        <v>32835</v>
      </c>
      <c r="BR251" s="338" t="s">
        <v>338</v>
      </c>
      <c r="BU251" s="858"/>
      <c r="BV251" s="338">
        <v>713.42</v>
      </c>
      <c r="BW251" s="338" t="s">
        <v>288</v>
      </c>
      <c r="CB251" s="340">
        <v>502.05</v>
      </c>
      <c r="CC251" s="340" t="s">
        <v>289</v>
      </c>
      <c r="CE251" s="341" t="str">
        <f t="array" ref="CE251">IFERROR(IF($CE$11="Metro",INDEX($BV$13:$BV$4972,SMALL(IF((County=$BW$13:$BW$4972),MATCH(ROW($BW$13:$BW$4972),ROW($BW$13:$BW$4972)),""),ROWS($A$13:$A251))),INDEX($BY$13:$BY$212,SMALL(IF((County=$BZ$13:$BZ$212),MATCH(ROW($BZ$13:$BZ$212),ROW($BZ$13:$BZ$212)),""),ROWS($A$13:$A251)))),"")</f>
        <v/>
      </c>
      <c r="CG251" s="341" t="str">
        <f t="array" ref="CG251">IFERROR(IF($CG$11="Yes",INDEX($CB$13:$CB$2950,SMALL(IF((County=$CC$13:$CC$2950),MATCH(ROW($CC$13:$CC$2950),ROW($CC$13:$CC$2950)),""),ROWS($A$13:$A251))),""),"")</f>
        <v/>
      </c>
      <c r="CI251" s="1583">
        <v>33609</v>
      </c>
      <c r="CJ251" s="338" t="s">
        <v>316</v>
      </c>
      <c r="CL251" s="236">
        <v>6.06</v>
      </c>
      <c r="CM251" s="236" t="s">
        <v>330</v>
      </c>
      <c r="CR251" s="340">
        <v>12.1</v>
      </c>
      <c r="CS251" s="340" t="s">
        <v>329</v>
      </c>
      <c r="CT251" s="1384"/>
      <c r="CU251" s="341">
        <v>32835</v>
      </c>
      <c r="CV251" s="338" t="s">
        <v>338</v>
      </c>
      <c r="CZ251" s="1795">
        <v>2.02</v>
      </c>
      <c r="DA251" s="338" t="s">
        <v>316</v>
      </c>
      <c r="DF251" s="340">
        <v>506.01</v>
      </c>
      <c r="DG251" s="340" t="s">
        <v>289</v>
      </c>
      <c r="DK251" s="341" t="str">
        <f t="array" ref="DK251">IFERROR(IF($DK$11="Yes",INDEX($DF$13:$DF$2838,SMALL(IF((County=$DG$13:$DG$2838),MATCH(ROW($DG$13:$DG$2838),ROW($DG$13:$DG$2838)),""),ROWS($A$13:$A251))),""),"")</f>
        <v/>
      </c>
      <c r="DM251" s="1387">
        <v>33584</v>
      </c>
      <c r="DN251" s="338" t="s">
        <v>316</v>
      </c>
      <c r="DP251" s="236">
        <v>27.39</v>
      </c>
      <c r="DQ251" s="236" t="s">
        <v>347</v>
      </c>
      <c r="DV251" s="340">
        <v>14.03</v>
      </c>
      <c r="DW251" s="340" t="s">
        <v>329</v>
      </c>
      <c r="DX251" s="1671"/>
      <c r="EB251" s="618"/>
      <c r="EC251" s="618"/>
      <c r="ED251" s="618"/>
      <c r="EE251" s="618"/>
      <c r="EF251" s="618"/>
      <c r="EG251" s="618"/>
      <c r="EH251" s="618"/>
      <c r="EI251" s="618"/>
      <c r="EJ251" s="618"/>
      <c r="EK251" s="618"/>
      <c r="EL251" s="618"/>
      <c r="EM251" s="618"/>
    </row>
    <row r="252" spans="1:143">
      <c r="A252" s="339">
        <v>32819</v>
      </c>
      <c r="B252" s="338" t="s">
        <v>338</v>
      </c>
      <c r="E252" s="858"/>
      <c r="F252" s="338">
        <v>53.02</v>
      </c>
      <c r="G252" s="338" t="s">
        <v>316</v>
      </c>
      <c r="L252" s="2481">
        <v>601.15</v>
      </c>
      <c r="M252" s="340" t="s">
        <v>289</v>
      </c>
      <c r="N252" s="1390"/>
      <c r="O252" s="2479"/>
      <c r="P252" s="2282"/>
      <c r="T252" s="341" t="str">
        <f t="array" ref="T252">IFERROR(IF($T$11="Yes",INDEX($L$13:$L$2813,SMALL(IF((County=$M$13:$M$2813),MATCH(ROW($M$13:$M$2813),ROW($M$13:$M$2813)),""),ROWS($A$13:A252))),""),"")</f>
        <v/>
      </c>
      <c r="V252" s="2283" t="str">
        <f t="array" ref="V252">IFERROR(IF($T$11="Yes",INDEX($O$14:$O$2811,SMALL(IF((County=$P$14:$P$2811),MATCH(ROW($P$14:$P$2811),ROW($P$14:$P$2811)),""),ROWS($A$13:A252))),""),"")</f>
        <v/>
      </c>
      <c r="X252" s="339">
        <v>33547</v>
      </c>
      <c r="Y252" s="338" t="str">
        <f>IF(County="Polk","Polk","Hillsborough")</f>
        <v>Hillsborough</v>
      </c>
      <c r="AA252" s="338">
        <v>36</v>
      </c>
      <c r="AB252" s="338" t="s">
        <v>316</v>
      </c>
      <c r="AG252" s="2297">
        <v>15.01</v>
      </c>
      <c r="AH252" s="2297" t="s">
        <v>323</v>
      </c>
      <c r="AI252" s="1390"/>
      <c r="AJ252" s="2282"/>
      <c r="AK252" s="2282"/>
      <c r="AL252" s="1037"/>
      <c r="AM252" s="339">
        <v>33431</v>
      </c>
      <c r="AN252" s="338" t="s">
        <v>340</v>
      </c>
      <c r="AQ252" s="858"/>
      <c r="AR252" s="338">
        <v>122.11</v>
      </c>
      <c r="AS252" s="338" t="s">
        <v>316</v>
      </c>
      <c r="AX252" s="340">
        <v>510.01</v>
      </c>
      <c r="AY252" s="340" t="s">
        <v>289</v>
      </c>
      <c r="BC252" s="341" t="str">
        <f t="array" ref="BC252">IFERROR(IF($BC$11="Yes",INDEX($AX$13:$AX$2950,SMALL(IF((County=$AY$13:$AY$2950),MATCH(ROW($AY$13:$AY$2950),ROW($AY$13:$AY$2950)),""),ROWS($A$13:$A252))),""),"")</f>
        <v/>
      </c>
      <c r="BE252" s="339">
        <v>33767</v>
      </c>
      <c r="BF252" s="338" t="s">
        <v>342</v>
      </c>
      <c r="BH252" s="338">
        <v>24.04</v>
      </c>
      <c r="BI252" s="338" t="s">
        <v>331</v>
      </c>
      <c r="BN252" s="340">
        <v>12.09</v>
      </c>
      <c r="BO252" s="340" t="s">
        <v>323</v>
      </c>
      <c r="BP252" s="1385"/>
      <c r="BQ252" s="341">
        <v>32836</v>
      </c>
      <c r="BR252" s="338" t="s">
        <v>338</v>
      </c>
      <c r="BU252" s="858"/>
      <c r="BV252" s="338">
        <v>713.43</v>
      </c>
      <c r="BW252" s="338" t="s">
        <v>288</v>
      </c>
      <c r="CB252" s="340">
        <v>502.06</v>
      </c>
      <c r="CC252" s="340" t="s">
        <v>289</v>
      </c>
      <c r="CE252" s="341" t="str">
        <f t="array" ref="CE252">IFERROR(IF($CE$11="Metro",INDEX($BV$13:$BV$4972,SMALL(IF((County=$BW$13:$BW$4972),MATCH(ROW($BW$13:$BW$4972),ROW($BW$13:$BW$4972)),""),ROWS($A$13:$A252))),INDEX($BY$13:$BY$212,SMALL(IF((County=$BZ$13:$BZ$212),MATCH(ROW($BZ$13:$BZ$212),ROW($BZ$13:$BZ$212)),""),ROWS($A$13:$A252)))),"")</f>
        <v/>
      </c>
      <c r="CG252" s="341" t="str">
        <f t="array" ref="CG252">IFERROR(IF($CG$11="Yes",INDEX($CB$13:$CB$2950,SMALL(IF((County=$CC$13:$CC$2950),MATCH(ROW($CC$13:$CC$2950),ROW($CC$13:$CC$2950)),""),ROWS($A$13:$A252))),""),"")</f>
        <v/>
      </c>
      <c r="CI252" s="1583">
        <v>33611</v>
      </c>
      <c r="CJ252" s="338" t="s">
        <v>316</v>
      </c>
      <c r="CL252" s="236">
        <v>6.07</v>
      </c>
      <c r="CM252" s="236" t="s">
        <v>329</v>
      </c>
      <c r="CR252" s="340">
        <v>13.01</v>
      </c>
      <c r="CS252" s="340" t="s">
        <v>285</v>
      </c>
      <c r="CT252" s="1384"/>
      <c r="CU252" s="341">
        <v>32836</v>
      </c>
      <c r="CV252" s="338" t="s">
        <v>338</v>
      </c>
      <c r="CZ252" s="1795">
        <v>3.01</v>
      </c>
      <c r="DA252" s="338" t="s">
        <v>316</v>
      </c>
      <c r="DF252" s="340">
        <v>509</v>
      </c>
      <c r="DG252" s="340" t="s">
        <v>289</v>
      </c>
      <c r="DK252" s="341" t="str">
        <f t="array" ref="DK252">IFERROR(IF($DK$11="Yes",INDEX($DF$13:$DF$2838,SMALL(IF((County=$DG$13:$DG$2838),MATCH(ROW($DG$13:$DG$2838),ROW($DG$13:$DG$2838)),""),ROWS($A$13:$A252))),""),"")</f>
        <v/>
      </c>
      <c r="DM252" s="1387">
        <v>33594</v>
      </c>
      <c r="DN252" s="338" t="s">
        <v>316</v>
      </c>
      <c r="DP252" s="236">
        <v>28</v>
      </c>
      <c r="DQ252" s="236" t="s">
        <v>331</v>
      </c>
      <c r="DV252" s="340">
        <v>14.03</v>
      </c>
      <c r="DW252" s="340" t="s">
        <v>347</v>
      </c>
      <c r="DX252" s="1671"/>
      <c r="EB252" s="618"/>
      <c r="EC252" s="618"/>
      <c r="ED252" s="618"/>
      <c r="EE252" s="618"/>
      <c r="EF252" s="618"/>
      <c r="EG252" s="618"/>
      <c r="EH252" s="618"/>
      <c r="EI252" s="618"/>
      <c r="EJ252" s="618"/>
      <c r="EK252" s="618"/>
      <c r="EL252" s="618"/>
      <c r="EM252" s="618"/>
    </row>
    <row r="253" spans="1:143">
      <c r="A253" s="339">
        <v>32820</v>
      </c>
      <c r="B253" s="338" t="s">
        <v>338</v>
      </c>
      <c r="E253" s="858"/>
      <c r="F253" s="338">
        <v>101.07</v>
      </c>
      <c r="G253" s="338" t="s">
        <v>316</v>
      </c>
      <c r="L253" s="2481">
        <v>601.16</v>
      </c>
      <c r="M253" s="340" t="s">
        <v>289</v>
      </c>
      <c r="N253" s="1390"/>
      <c r="O253" s="2479"/>
      <c r="P253" s="2282"/>
      <c r="T253" s="341" t="str">
        <f t="array" ref="T253">IFERROR(IF($T$11="Yes",INDEX($L$13:$L$2813,SMALL(IF((County=$M$13:$M$2813),MATCH(ROW($M$13:$M$2813),ROW($M$13:$M$2813)),""),ROWS($A$13:A253))),""),"")</f>
        <v/>
      </c>
      <c r="V253" s="2283" t="str">
        <f t="array" ref="V253">IFERROR(IF($T$11="Yes",INDEX($O$14:$O$2811,SMALL(IF((County=$P$14:$P$2811),MATCH(ROW($P$14:$P$2811),ROW($P$14:$P$2811)),""),ROWS($A$13:A253))),""),"")</f>
        <v/>
      </c>
      <c r="X253" s="339">
        <v>33547</v>
      </c>
      <c r="Y253" s="338" t="str">
        <f>IF(County="Polk","Hillsborough","Polk")</f>
        <v>Polk</v>
      </c>
      <c r="AA253" s="338">
        <v>36.03</v>
      </c>
      <c r="AB253" s="338" t="s">
        <v>331</v>
      </c>
      <c r="AG253" s="2297">
        <v>15.02</v>
      </c>
      <c r="AH253" s="2297" t="s">
        <v>285</v>
      </c>
      <c r="AI253" s="1390"/>
      <c r="AJ253" s="2282"/>
      <c r="AK253" s="2282"/>
      <c r="AL253" s="1037"/>
      <c r="AM253" s="339">
        <v>33432</v>
      </c>
      <c r="AN253" s="338" t="s">
        <v>340</v>
      </c>
      <c r="AQ253" s="858"/>
      <c r="AR253" s="338">
        <v>124.01</v>
      </c>
      <c r="AS253" s="338" t="s">
        <v>316</v>
      </c>
      <c r="AX253" s="340">
        <v>510.02</v>
      </c>
      <c r="AY253" s="340" t="s">
        <v>289</v>
      </c>
      <c r="BC253" s="341" t="str">
        <f t="array" ref="BC253">IFERROR(IF($BC$11="Yes",INDEX($AX$13:$AX$2950,SMALL(IF((County=$AY$13:$AY$2950),MATCH(ROW($AY$13:$AY$2950),ROW($AY$13:$AY$2950)),""),ROWS($A$13:$A253))),""),"")</f>
        <v/>
      </c>
      <c r="BE253" s="339">
        <v>33772</v>
      </c>
      <c r="BF253" s="338" t="s">
        <v>342</v>
      </c>
      <c r="BH253" s="338">
        <v>25</v>
      </c>
      <c r="BI253" s="338" t="s">
        <v>316</v>
      </c>
      <c r="BN253" s="340">
        <v>12.09</v>
      </c>
      <c r="BO253" s="340" t="s">
        <v>329</v>
      </c>
      <c r="BP253" s="1385"/>
      <c r="BQ253" s="341">
        <v>32837</v>
      </c>
      <c r="BR253" s="338" t="s">
        <v>338</v>
      </c>
      <c r="BU253" s="858"/>
      <c r="BV253" s="338">
        <v>713.44</v>
      </c>
      <c r="BW253" s="338" t="s">
        <v>288</v>
      </c>
      <c r="CB253" s="340">
        <v>504.01</v>
      </c>
      <c r="CC253" s="340" t="s">
        <v>289</v>
      </c>
      <c r="CE253" s="341" t="str">
        <f t="array" ref="CE253">IFERROR(IF($CE$11="Metro",INDEX($BV$13:$BV$4972,SMALL(IF((County=$BW$13:$BW$4972),MATCH(ROW($BW$13:$BW$4972),ROW($BW$13:$BW$4972)),""),ROWS($A$13:$A253))),INDEX($BY$13:$BY$212,SMALL(IF((County=$BZ$13:$BZ$212),MATCH(ROW($BZ$13:$BZ$212),ROW($BZ$13:$BZ$212)),""),ROWS($A$13:$A253)))),"")</f>
        <v/>
      </c>
      <c r="CG253" s="341" t="str">
        <f t="array" ref="CG253">IFERROR(IF($CG$11="Yes",INDEX($CB$13:$CB$2950,SMALL(IF((County=$CC$13:$CC$2950),MATCH(ROW($CC$13:$CC$2950),ROW($CC$13:$CC$2950)),""),ROWS($A$13:$A253))),""),"")</f>
        <v/>
      </c>
      <c r="CI253" s="1583">
        <v>33614</v>
      </c>
      <c r="CJ253" s="338" t="s">
        <v>316</v>
      </c>
      <c r="CL253" s="236">
        <v>6.07</v>
      </c>
      <c r="CM253" s="236" t="s">
        <v>330</v>
      </c>
      <c r="CR253" s="340">
        <v>13.01</v>
      </c>
      <c r="CS253" s="340" t="s">
        <v>329</v>
      </c>
      <c r="CT253" s="1384"/>
      <c r="CU253" s="341">
        <v>32837</v>
      </c>
      <c r="CV253" s="338" t="s">
        <v>338</v>
      </c>
      <c r="CZ253" s="1795">
        <v>3.02</v>
      </c>
      <c r="DA253" s="338" t="s">
        <v>316</v>
      </c>
      <c r="DF253" s="340">
        <v>510.01</v>
      </c>
      <c r="DG253" s="340" t="s">
        <v>289</v>
      </c>
      <c r="DK253" s="341" t="str">
        <f t="array" ref="DK253">IFERROR(IF($DK$11="Yes",INDEX($DF$13:$DF$2838,SMALL(IF((County=$DG$13:$DG$2838),MATCH(ROW($DG$13:$DG$2838),ROW($DG$13:$DG$2838)),""),ROWS($A$13:$A253))),""),"")</f>
        <v/>
      </c>
      <c r="DM253" s="1387">
        <v>33596</v>
      </c>
      <c r="DN253" s="338" t="s">
        <v>316</v>
      </c>
      <c r="DP253" s="236">
        <v>28.01</v>
      </c>
      <c r="DQ253" s="236" t="s">
        <v>302</v>
      </c>
      <c r="DV253" s="340">
        <v>14.04</v>
      </c>
      <c r="DW253" s="340" t="s">
        <v>285</v>
      </c>
      <c r="DX253" s="1671"/>
      <c r="EB253" s="618"/>
      <c r="EC253" s="618"/>
      <c r="ED253" s="618"/>
      <c r="EE253" s="618"/>
      <c r="EF253" s="618"/>
      <c r="EG253" s="618"/>
      <c r="EH253" s="618"/>
      <c r="EI253" s="618"/>
      <c r="EJ253" s="618"/>
      <c r="EK253" s="618"/>
      <c r="EL253" s="618"/>
      <c r="EM253" s="618"/>
    </row>
    <row r="254" spans="1:143">
      <c r="A254" s="339">
        <v>32821</v>
      </c>
      <c r="B254" s="338" t="s">
        <v>338</v>
      </c>
      <c r="E254" s="858"/>
      <c r="F254" s="338">
        <v>102.04</v>
      </c>
      <c r="G254" s="338" t="s">
        <v>316</v>
      </c>
      <c r="L254" s="2481">
        <v>601.17999999999995</v>
      </c>
      <c r="M254" s="340" t="s">
        <v>289</v>
      </c>
      <c r="N254" s="1390"/>
      <c r="O254" s="2479"/>
      <c r="P254" s="2282"/>
      <c r="T254" s="341" t="str">
        <f t="array" ref="T254">IFERROR(IF($T$11="Yes",INDEX($L$13:$L$2813,SMALL(IF((County=$M$13:$M$2813),MATCH(ROW($M$13:$M$2813),ROW($M$13:$M$2813)),""),ROWS($A$13:A254))),""),"")</f>
        <v/>
      </c>
      <c r="V254" s="2283" t="str">
        <f t="array" ref="V254">IFERROR(IF($T$11="Yes",INDEX($O$14:$O$2811,SMALL(IF((County=$P$14:$P$2811),MATCH(ROW($P$14:$P$2811),ROW($P$14:$P$2811)),""),ROWS($A$13:A254))),""),"")</f>
        <v/>
      </c>
      <c r="X254" s="339">
        <v>33548</v>
      </c>
      <c r="Y254" s="338" t="str">
        <f>IF(County="Pasco","Pasco","Hillsborough")</f>
        <v>Hillsborough</v>
      </c>
      <c r="AA254" s="338">
        <v>36.049999999999997</v>
      </c>
      <c r="AB254" s="338" t="s">
        <v>331</v>
      </c>
      <c r="AG254" s="2297">
        <v>15.03</v>
      </c>
      <c r="AH254" s="2297" t="s">
        <v>347</v>
      </c>
      <c r="AI254" s="1390"/>
      <c r="AJ254" s="2282"/>
      <c r="AK254" s="2282"/>
      <c r="AL254" s="1037"/>
      <c r="AM254" s="339">
        <v>33433</v>
      </c>
      <c r="AN254" s="338" t="s">
        <v>340</v>
      </c>
      <c r="AQ254" s="858"/>
      <c r="AR254" s="338">
        <v>124.03</v>
      </c>
      <c r="AS254" s="338" t="s">
        <v>316</v>
      </c>
      <c r="AX254" s="340">
        <v>601.09</v>
      </c>
      <c r="AY254" s="340" t="s">
        <v>289</v>
      </c>
      <c r="BC254" s="341" t="str">
        <f t="array" ref="BC254">IFERROR(IF($BC$11="Yes",INDEX($AX$13:$AX$2950,SMALL(IF((County=$AY$13:$AY$2950),MATCH(ROW($AY$13:$AY$2950),ROW($AY$13:$AY$2950)),""),ROWS($A$13:$A254))),""),"")</f>
        <v/>
      </c>
      <c r="BE254" s="339">
        <v>33776</v>
      </c>
      <c r="BF254" s="338" t="s">
        <v>342</v>
      </c>
      <c r="BH254" s="338">
        <v>25.01</v>
      </c>
      <c r="BI254" s="338" t="s">
        <v>302</v>
      </c>
      <c r="BN254" s="340">
        <v>12.1</v>
      </c>
      <c r="BO254" s="340" t="s">
        <v>329</v>
      </c>
      <c r="BP254" s="1385"/>
      <c r="BQ254" s="341">
        <v>34734</v>
      </c>
      <c r="BR254" s="338" t="s">
        <v>338</v>
      </c>
      <c r="BU254" s="858"/>
      <c r="BV254" s="338">
        <v>713.45</v>
      </c>
      <c r="BW254" s="338" t="s">
        <v>288</v>
      </c>
      <c r="CB254" s="340">
        <v>505.02</v>
      </c>
      <c r="CC254" s="340" t="s">
        <v>289</v>
      </c>
      <c r="CE254" s="341" t="str">
        <f t="array" ref="CE254">IFERROR(IF($CE$11="Metro",INDEX($BV$13:$BV$4972,SMALL(IF((County=$BW$13:$BW$4972),MATCH(ROW($BW$13:$BW$4972),ROW($BW$13:$BW$4972)),""),ROWS($A$13:$A254))),INDEX($BY$13:$BY$212,SMALL(IF((County=$BZ$13:$BZ$212),MATCH(ROW($BZ$13:$BZ$212),ROW($BZ$13:$BZ$212)),""),ROWS($A$13:$A254)))),"")</f>
        <v/>
      </c>
      <c r="CG254" s="341" t="str">
        <f t="array" ref="CG254">IFERROR(IF($CG$11="Yes",INDEX($CB$13:$CB$2950,SMALL(IF((County=$CC$13:$CC$2950),MATCH(ROW($CC$13:$CC$2950),ROW($CC$13:$CC$2950)),""),ROWS($A$13:$A254))),""),"")</f>
        <v/>
      </c>
      <c r="CI254" s="1583">
        <v>33615</v>
      </c>
      <c r="CJ254" s="338" t="s">
        <v>316</v>
      </c>
      <c r="CL254" s="236">
        <v>6.07</v>
      </c>
      <c r="CM254" s="236" t="s">
        <v>331</v>
      </c>
      <c r="CR254" s="340">
        <v>13.01</v>
      </c>
      <c r="CS254" s="340" t="s">
        <v>331</v>
      </c>
      <c r="CT254" s="1384"/>
      <c r="CU254" s="341">
        <v>33896</v>
      </c>
      <c r="CV254" s="338" t="s">
        <v>338</v>
      </c>
      <c r="CZ254" s="1795">
        <v>4.0199999999999996</v>
      </c>
      <c r="DA254" s="338" t="s">
        <v>316</v>
      </c>
      <c r="DF254" s="340">
        <v>510.02</v>
      </c>
      <c r="DG254" s="340" t="s">
        <v>289</v>
      </c>
      <c r="DK254" s="341" t="str">
        <f t="array" ref="DK254">IFERROR(IF($DK$11="Yes",INDEX($DF$13:$DF$2838,SMALL(IF((County=$DG$13:$DG$2838),MATCH(ROW($DG$13:$DG$2838),ROW($DG$13:$DG$2838)),""),ROWS($A$13:$A254))),""),"")</f>
        <v/>
      </c>
      <c r="DM254" s="1387">
        <v>33602</v>
      </c>
      <c r="DN254" s="338" t="s">
        <v>316</v>
      </c>
      <c r="DP254" s="236">
        <v>28.02</v>
      </c>
      <c r="DQ254" s="236" t="s">
        <v>302</v>
      </c>
      <c r="DV254" s="340">
        <v>14.04</v>
      </c>
      <c r="DW254" s="340" t="s">
        <v>328</v>
      </c>
      <c r="DX254" s="1671"/>
      <c r="EB254" s="618"/>
      <c r="EC254" s="618"/>
      <c r="ED254" s="618"/>
      <c r="EE254" s="618"/>
      <c r="EF254" s="618"/>
      <c r="EG254" s="618"/>
      <c r="EH254" s="618"/>
      <c r="EI254" s="618"/>
      <c r="EJ254" s="618"/>
      <c r="EK254" s="618"/>
      <c r="EL254" s="618"/>
      <c r="EM254" s="618"/>
    </row>
    <row r="255" spans="1:143">
      <c r="A255" s="339">
        <v>32824</v>
      </c>
      <c r="B255" s="338" t="s">
        <v>338</v>
      </c>
      <c r="E255" s="858"/>
      <c r="F255" s="338">
        <v>104.01</v>
      </c>
      <c r="G255" s="338" t="s">
        <v>316</v>
      </c>
      <c r="L255" s="2481">
        <v>601.19000000000005</v>
      </c>
      <c r="M255" s="340" t="s">
        <v>289</v>
      </c>
      <c r="N255" s="1390"/>
      <c r="O255" s="2479"/>
      <c r="P255" s="2282"/>
      <c r="T255" s="341" t="str">
        <f t="array" ref="T255">IFERROR(IF($T$11="Yes",INDEX($L$13:$L$2813,SMALL(IF((County=$M$13:$M$2813),MATCH(ROW($M$13:$M$2813),ROW($M$13:$M$2813)),""),ROWS($A$13:A255))),""),"")</f>
        <v/>
      </c>
      <c r="V255" s="2283" t="str">
        <f t="array" ref="V255">IFERROR(IF($T$11="Yes",INDEX($O$14:$O$2811,SMALL(IF((County=$P$14:$P$2811),MATCH(ROW($P$14:$P$2811),ROW($P$14:$P$2811)),""),ROWS($A$13:A255))),""),"")</f>
        <v/>
      </c>
      <c r="X255" s="339">
        <v>33548</v>
      </c>
      <c r="Y255" s="338" t="str">
        <f>IF(County="Pasco","Hillsborough","Pasco")</f>
        <v>Pasco</v>
      </c>
      <c r="AA255" s="338">
        <v>36.06</v>
      </c>
      <c r="AB255" s="338" t="s">
        <v>331</v>
      </c>
      <c r="AG255" s="2297">
        <v>15.04</v>
      </c>
      <c r="AH255" s="2297" t="s">
        <v>347</v>
      </c>
      <c r="AI255" s="1390"/>
      <c r="AJ255" s="2282"/>
      <c r="AK255" s="2282"/>
      <c r="AL255" s="1037"/>
      <c r="AM255" s="339">
        <v>33435</v>
      </c>
      <c r="AN255" s="338" t="s">
        <v>340</v>
      </c>
      <c r="AQ255" s="858"/>
      <c r="AR255" s="338">
        <v>129</v>
      </c>
      <c r="AS255" s="338" t="s">
        <v>316</v>
      </c>
      <c r="AX255" s="340">
        <v>601.11</v>
      </c>
      <c r="AY255" s="340" t="s">
        <v>289</v>
      </c>
      <c r="BC255" s="341" t="str">
        <f t="array" ref="BC255">IFERROR(IF($BC$11="Yes",INDEX($AX$13:$AX$2950,SMALL(IF((County=$AY$13:$AY$2950),MATCH(ROW($AY$13:$AY$2950),ROW($AY$13:$AY$2950)),""),ROWS($A$13:$A255))),""),"")</f>
        <v/>
      </c>
      <c r="BE255" s="339">
        <v>33777</v>
      </c>
      <c r="BF255" s="338" t="s">
        <v>342</v>
      </c>
      <c r="BH255" s="338">
        <v>25.01</v>
      </c>
      <c r="BI255" s="338" t="s">
        <v>331</v>
      </c>
      <c r="BN255" s="340">
        <v>13.01</v>
      </c>
      <c r="BO255" s="340" t="s">
        <v>285</v>
      </c>
      <c r="BP255" s="1385"/>
      <c r="BQ255" s="341">
        <v>34760</v>
      </c>
      <c r="BR255" s="338" t="s">
        <v>338</v>
      </c>
      <c r="BU255" s="858"/>
      <c r="BV255" s="338">
        <v>713.46</v>
      </c>
      <c r="BW255" s="338" t="s">
        <v>288</v>
      </c>
      <c r="CB255" s="340">
        <v>506.01</v>
      </c>
      <c r="CC255" s="340" t="s">
        <v>289</v>
      </c>
      <c r="CE255" s="341" t="str">
        <f t="array" ref="CE255">IFERROR(IF($CE$11="Metro",INDEX($BV$13:$BV$4972,SMALL(IF((County=$BW$13:$BW$4972),MATCH(ROW($BW$13:$BW$4972),ROW($BW$13:$BW$4972)),""),ROWS($A$13:$A255))),INDEX($BY$13:$BY$212,SMALL(IF((County=$BZ$13:$BZ$212),MATCH(ROW($BZ$13:$BZ$212),ROW($BZ$13:$BZ$212)),""),ROWS($A$13:$A255)))),"")</f>
        <v/>
      </c>
      <c r="CG255" s="341" t="str">
        <f t="array" ref="CG255">IFERROR(IF($CG$11="Yes",INDEX($CB$13:$CB$2950,SMALL(IF((County=$CC$13:$CC$2950),MATCH(ROW($CC$13:$CC$2950),ROW($CC$13:$CC$2950)),""),ROWS($A$13:$A255))),""),"")</f>
        <v/>
      </c>
      <c r="CI255" s="1583">
        <v>33616</v>
      </c>
      <c r="CJ255" s="338" t="s">
        <v>316</v>
      </c>
      <c r="CL255" s="236">
        <v>6.09</v>
      </c>
      <c r="CM255" s="236" t="s">
        <v>331</v>
      </c>
      <c r="CR255" s="340">
        <v>13.01</v>
      </c>
      <c r="CS255" s="340" t="s">
        <v>347</v>
      </c>
      <c r="CT255" s="1384"/>
      <c r="CU255" s="341">
        <v>33897</v>
      </c>
      <c r="CV255" s="338" t="s">
        <v>338</v>
      </c>
      <c r="CZ255" s="1795">
        <v>6.02</v>
      </c>
      <c r="DA255" s="338" t="s">
        <v>316</v>
      </c>
      <c r="DF255" s="340">
        <v>601.09</v>
      </c>
      <c r="DG255" s="340" t="s">
        <v>289</v>
      </c>
      <c r="DK255" s="341" t="str">
        <f t="array" ref="DK255">IFERROR(IF($DK$11="Yes",INDEX($DF$13:$DF$2838,SMALL(IF((County=$DG$13:$DG$2838),MATCH(ROW($DG$13:$DG$2838),ROW($DG$13:$DG$2838)),""),ROWS($A$13:$A255))),""),"")</f>
        <v/>
      </c>
      <c r="DM255" s="1387">
        <v>33606</v>
      </c>
      <c r="DN255" s="338" t="s">
        <v>316</v>
      </c>
      <c r="DP255" s="236">
        <v>28.03</v>
      </c>
      <c r="DQ255" s="236" t="s">
        <v>304</v>
      </c>
      <c r="DV255" s="340">
        <v>14.04</v>
      </c>
      <c r="DW255" s="340" t="s">
        <v>330</v>
      </c>
      <c r="DX255" s="1671"/>
      <c r="EB255" s="618"/>
      <c r="EC255" s="618"/>
      <c r="ED255" s="618"/>
      <c r="EE255" s="618"/>
      <c r="EF255" s="618"/>
      <c r="EG255" s="618"/>
      <c r="EH255" s="618"/>
      <c r="EI255" s="618"/>
      <c r="EJ255" s="618"/>
      <c r="EK255" s="618"/>
      <c r="EL255" s="618"/>
      <c r="EM255" s="618"/>
    </row>
    <row r="256" spans="1:143">
      <c r="A256" s="339">
        <v>32825</v>
      </c>
      <c r="B256" s="338" t="s">
        <v>338</v>
      </c>
      <c r="E256" s="858"/>
      <c r="F256" s="338">
        <v>104.02</v>
      </c>
      <c r="G256" s="338" t="s">
        <v>316</v>
      </c>
      <c r="L256" s="2481">
        <v>601.20000000000005</v>
      </c>
      <c r="M256" s="340" t="s">
        <v>289</v>
      </c>
      <c r="N256" s="1390"/>
      <c r="O256" s="2479"/>
      <c r="P256" s="2282"/>
      <c r="T256" s="341" t="str">
        <f t="array" ref="T256">IFERROR(IF($T$11="Yes",INDEX($L$13:$L$2813,SMALL(IF((County=$M$13:$M$2813),MATCH(ROW($M$13:$M$2813),ROW($M$13:$M$2813)),""),ROWS($A$13:A256))),""),"")</f>
        <v/>
      </c>
      <c r="V256" s="2283" t="str">
        <f t="array" ref="V256">IFERROR(IF($T$11="Yes",INDEX($O$14:$O$2811,SMALL(IF((County=$P$14:$P$2811),MATCH(ROW($P$14:$P$2811),ROW($P$14:$P$2811)),""),ROWS($A$13:A256))),""),"")</f>
        <v/>
      </c>
      <c r="X256" s="339">
        <v>33549</v>
      </c>
      <c r="Y256" s="338" t="s">
        <v>316</v>
      </c>
      <c r="AA256" s="338">
        <v>36.07</v>
      </c>
      <c r="AB256" s="338" t="s">
        <v>304</v>
      </c>
      <c r="AG256" s="2297">
        <v>15.05</v>
      </c>
      <c r="AH256" s="2297" t="s">
        <v>347</v>
      </c>
      <c r="AI256" s="1390"/>
      <c r="AJ256" s="2282"/>
      <c r="AK256" s="2282"/>
      <c r="AL256" s="1037"/>
      <c r="AM256" s="339">
        <v>33436</v>
      </c>
      <c r="AN256" s="338" t="s">
        <v>340</v>
      </c>
      <c r="AQ256" s="858"/>
      <c r="AR256" s="338">
        <v>133.16999999999999</v>
      </c>
      <c r="AS256" s="338" t="s">
        <v>316</v>
      </c>
      <c r="AX256" s="340">
        <v>601.14</v>
      </c>
      <c r="AY256" s="340" t="s">
        <v>289</v>
      </c>
      <c r="BC256" s="341" t="str">
        <f t="array" ref="BC256">IFERROR(IF($BC$11="Yes",INDEX($AX$13:$AX$2950,SMALL(IF((County=$AY$13:$AY$2950),MATCH(ROW($AY$13:$AY$2950),ROW($AY$13:$AY$2950)),""),ROWS($A$13:$A256))),""),"")</f>
        <v/>
      </c>
      <c r="BE256" s="339">
        <v>33782</v>
      </c>
      <c r="BF256" s="338" t="s">
        <v>342</v>
      </c>
      <c r="BH256" s="338">
        <v>25.02</v>
      </c>
      <c r="BI256" s="338" t="s">
        <v>331</v>
      </c>
      <c r="BN256" s="340">
        <v>13.01</v>
      </c>
      <c r="BO256" s="340" t="s">
        <v>329</v>
      </c>
      <c r="BP256" s="1385"/>
      <c r="BQ256" s="341">
        <v>34761</v>
      </c>
      <c r="BR256" s="338" t="s">
        <v>338</v>
      </c>
      <c r="BU256" s="858"/>
      <c r="BV256" s="338">
        <v>713.47</v>
      </c>
      <c r="BW256" s="338" t="s">
        <v>288</v>
      </c>
      <c r="CB256" s="340">
        <v>509</v>
      </c>
      <c r="CC256" s="340" t="s">
        <v>289</v>
      </c>
      <c r="CE256" s="341" t="str">
        <f t="array" ref="CE256">IFERROR(IF($CE$11="Metro",INDEX($BV$13:$BV$4972,SMALL(IF((County=$BW$13:$BW$4972),MATCH(ROW($BW$13:$BW$4972),ROW($BW$13:$BW$4972)),""),ROWS($A$13:$A256))),INDEX($BY$13:$BY$212,SMALL(IF((County=$BZ$13:$BZ$212),MATCH(ROW($BZ$13:$BZ$212),ROW($BZ$13:$BZ$212)),""),ROWS($A$13:$A256)))),"")</f>
        <v/>
      </c>
      <c r="CG256" s="341" t="str">
        <f t="array" ref="CG256">IFERROR(IF($CG$11="Yes",INDEX($CB$13:$CB$2950,SMALL(IF((County=$CC$13:$CC$2950),MATCH(ROW($CC$13:$CC$2950),ROW($CC$13:$CC$2950)),""),ROWS($A$13:$A256))),""),"")</f>
        <v/>
      </c>
      <c r="CI256" s="1583">
        <v>33617</v>
      </c>
      <c r="CJ256" s="338" t="s">
        <v>316</v>
      </c>
      <c r="CL256" s="236">
        <v>6.1</v>
      </c>
      <c r="CM256" s="236" t="s">
        <v>330</v>
      </c>
      <c r="CR256" s="340">
        <v>13.02</v>
      </c>
      <c r="CS256" s="340" t="s">
        <v>285</v>
      </c>
      <c r="CT256" s="1384"/>
      <c r="CU256" s="341">
        <v>34714</v>
      </c>
      <c r="CV256" s="338" t="s">
        <v>338</v>
      </c>
      <c r="CZ256" s="1795">
        <v>7.01</v>
      </c>
      <c r="DA256" s="338" t="s">
        <v>316</v>
      </c>
      <c r="DF256" s="340">
        <v>601.13</v>
      </c>
      <c r="DG256" s="340" t="s">
        <v>289</v>
      </c>
      <c r="DK256" s="341" t="str">
        <f t="array" ref="DK256">IFERROR(IF($DK$11="Yes",INDEX($DF$13:$DF$2838,SMALL(IF((County=$DG$13:$DG$2838),MATCH(ROW($DG$13:$DG$2838),ROW($DG$13:$DG$2838)),""),ROWS($A$13:$A256))),""),"")</f>
        <v/>
      </c>
      <c r="DM256" s="1387">
        <v>33607</v>
      </c>
      <c r="DN256" s="338" t="s">
        <v>316</v>
      </c>
      <c r="DP256" s="236">
        <v>29</v>
      </c>
      <c r="DQ256" s="236" t="s">
        <v>304</v>
      </c>
      <c r="DV256" s="340">
        <v>14.04</v>
      </c>
      <c r="DW256" s="340" t="s">
        <v>347</v>
      </c>
      <c r="DX256" s="1671"/>
      <c r="EB256" s="618"/>
      <c r="EC256" s="618"/>
      <c r="ED256" s="618"/>
      <c r="EE256" s="618"/>
      <c r="EF256" s="618"/>
      <c r="EG256" s="618"/>
      <c r="EH256" s="618"/>
      <c r="EI256" s="618"/>
      <c r="EJ256" s="618"/>
      <c r="EK256" s="618"/>
      <c r="EL256" s="618"/>
      <c r="EM256" s="618"/>
    </row>
    <row r="257" spans="1:143">
      <c r="A257" s="339">
        <v>32827</v>
      </c>
      <c r="B257" s="338" t="s">
        <v>338</v>
      </c>
      <c r="E257" s="858"/>
      <c r="F257" s="338">
        <v>105.01</v>
      </c>
      <c r="G257" s="338" t="s">
        <v>316</v>
      </c>
      <c r="L257" s="2481">
        <v>601.21</v>
      </c>
      <c r="M257" s="340" t="s">
        <v>289</v>
      </c>
      <c r="N257" s="1390"/>
      <c r="O257" s="2479"/>
      <c r="P257" s="2282"/>
      <c r="T257" s="341" t="str">
        <f t="array" ref="T257">IFERROR(IF($T$11="Yes",INDEX($L$13:$L$2813,SMALL(IF((County=$M$13:$M$2813),MATCH(ROW($M$13:$M$2813),ROW($M$13:$M$2813)),""),ROWS($A$13:A257))),""),"")</f>
        <v/>
      </c>
      <c r="V257" s="2283" t="str">
        <f t="array" ref="V257">IFERROR(IF($T$11="Yes",INDEX($O$14:$O$2811,SMALL(IF((County=$P$14:$P$2811),MATCH(ROW($P$14:$P$2811),ROW($P$14:$P$2811)),""),ROWS($A$13:A257))),""),"")</f>
        <v/>
      </c>
      <c r="X257" s="339">
        <v>33556</v>
      </c>
      <c r="Y257" s="338" t="s">
        <v>316</v>
      </c>
      <c r="AA257" s="338">
        <v>36.07</v>
      </c>
      <c r="AB257" s="338" t="s">
        <v>331</v>
      </c>
      <c r="AG257" s="2297">
        <v>15.08</v>
      </c>
      <c r="AH257" s="2297" t="s">
        <v>347</v>
      </c>
      <c r="AI257" s="1390"/>
      <c r="AJ257" s="2282"/>
      <c r="AK257" s="2282"/>
      <c r="AL257" s="1037"/>
      <c r="AM257" s="339">
        <v>33437</v>
      </c>
      <c r="AN257" s="338" t="s">
        <v>340</v>
      </c>
      <c r="AQ257" s="858"/>
      <c r="AR257" s="338">
        <v>135.04</v>
      </c>
      <c r="AS257" s="338" t="s">
        <v>316</v>
      </c>
      <c r="AX257" s="340">
        <v>601.15</v>
      </c>
      <c r="AY257" s="340" t="s">
        <v>289</v>
      </c>
      <c r="BC257" s="341" t="str">
        <f t="array" ref="BC257">IFERROR(IF($BC$11="Yes",INDEX($AX$13:$AX$2950,SMALL(IF((County=$AY$13:$AY$2950),MATCH(ROW($AY$13:$AY$2950),ROW($AY$13:$AY$2950)),""),ROWS($A$13:$A257))),""),"")</f>
        <v/>
      </c>
      <c r="BE257" s="339">
        <v>33785</v>
      </c>
      <c r="BF257" s="338" t="s">
        <v>342</v>
      </c>
      <c r="BH257" s="338">
        <v>25.04</v>
      </c>
      <c r="BI257" s="338" t="s">
        <v>329</v>
      </c>
      <c r="BN257" s="340">
        <v>13.01</v>
      </c>
      <c r="BO257" s="340" t="s">
        <v>331</v>
      </c>
      <c r="BP257" s="1385"/>
      <c r="BQ257" s="341">
        <v>34786</v>
      </c>
      <c r="BR257" s="338" t="s">
        <v>338</v>
      </c>
      <c r="BU257" s="858"/>
      <c r="BV257" s="338">
        <v>713.48</v>
      </c>
      <c r="BW257" s="338" t="s">
        <v>288</v>
      </c>
      <c r="CB257" s="340">
        <v>510.01</v>
      </c>
      <c r="CC257" s="340" t="s">
        <v>289</v>
      </c>
      <c r="CE257" s="341" t="str">
        <f t="array" ref="CE257">IFERROR(IF($CE$11="Metro",INDEX($BV$13:$BV$4972,SMALL(IF((County=$BW$13:$BW$4972),MATCH(ROW($BW$13:$BW$4972),ROW($BW$13:$BW$4972)),""),ROWS($A$13:$A257))),INDEX($BY$13:$BY$212,SMALL(IF((County=$BZ$13:$BZ$212),MATCH(ROW($BZ$13:$BZ$212),ROW($BZ$13:$BZ$212)),""),ROWS($A$13:$A257)))),"")</f>
        <v/>
      </c>
      <c r="CG257" s="341" t="str">
        <f t="array" ref="CG257">IFERROR(IF($CG$11="Yes",INDEX($CB$13:$CB$2950,SMALL(IF((County=$CC$13:$CC$2950),MATCH(ROW($CC$13:$CC$2950),ROW($CC$13:$CC$2950)),""),ROWS($A$13:$A257))),""),"")</f>
        <v/>
      </c>
      <c r="CI257" s="1583">
        <v>33618</v>
      </c>
      <c r="CJ257" s="338" t="s">
        <v>316</v>
      </c>
      <c r="CL257" s="236">
        <v>6.1</v>
      </c>
      <c r="CM257" s="236" t="s">
        <v>331</v>
      </c>
      <c r="CR257" s="340">
        <v>13.02</v>
      </c>
      <c r="CS257" s="340" t="s">
        <v>330</v>
      </c>
      <c r="CT257" s="1384"/>
      <c r="CU257" s="341">
        <v>34734</v>
      </c>
      <c r="CV257" s="338" t="s">
        <v>338</v>
      </c>
      <c r="CZ257" s="1795">
        <v>7.02</v>
      </c>
      <c r="DA257" s="338" t="s">
        <v>316</v>
      </c>
      <c r="DF257" s="340">
        <v>601.14</v>
      </c>
      <c r="DG257" s="340" t="s">
        <v>289</v>
      </c>
      <c r="DK257" s="341" t="str">
        <f t="array" ref="DK257">IFERROR(IF($DK$11="Yes",INDEX($DF$13:$DF$2838,SMALL(IF((County=$DG$13:$DG$2838),MATCH(ROW($DG$13:$DG$2838),ROW($DG$13:$DG$2838)),""),ROWS($A$13:$A257))),""),"")</f>
        <v/>
      </c>
      <c r="DM257" s="1387">
        <v>33609</v>
      </c>
      <c r="DN257" s="338" t="s">
        <v>316</v>
      </c>
      <c r="DP257" s="236">
        <v>29</v>
      </c>
      <c r="DQ257" s="236" t="s">
        <v>331</v>
      </c>
      <c r="DV257" s="340">
        <v>14.05</v>
      </c>
      <c r="DW257" s="340" t="s">
        <v>347</v>
      </c>
      <c r="DX257" s="1671"/>
      <c r="EB257" s="618"/>
      <c r="EC257" s="618"/>
      <c r="ED257" s="618"/>
      <c r="EE257" s="618"/>
      <c r="EF257" s="618"/>
      <c r="EG257" s="618"/>
      <c r="EH257" s="618"/>
      <c r="EI257" s="618"/>
      <c r="EJ257" s="618"/>
      <c r="EK257" s="618"/>
      <c r="EL257" s="618"/>
      <c r="EM257" s="618"/>
    </row>
    <row r="258" spans="1:143">
      <c r="A258" s="339">
        <v>32828</v>
      </c>
      <c r="B258" s="338" t="s">
        <v>338</v>
      </c>
      <c r="E258" s="858"/>
      <c r="F258" s="338">
        <v>108.05</v>
      </c>
      <c r="G258" s="338" t="s">
        <v>316</v>
      </c>
      <c r="L258" s="2481">
        <v>601.22</v>
      </c>
      <c r="M258" s="340" t="s">
        <v>289</v>
      </c>
      <c r="N258" s="1390"/>
      <c r="O258" s="2479"/>
      <c r="P258" s="2282"/>
      <c r="T258" s="341" t="str">
        <f t="array" ref="T258">IFERROR(IF($T$11="Yes",INDEX($L$13:$L$2813,SMALL(IF((County=$M$13:$M$2813),MATCH(ROW($M$13:$M$2813),ROW($M$13:$M$2813)),""),ROWS($A$13:A258))),""),"")</f>
        <v/>
      </c>
      <c r="V258" s="2283" t="str">
        <f t="array" ref="V258">IFERROR(IF($T$11="Yes",INDEX($O$14:$O$2811,SMALL(IF((County=$P$14:$P$2811),MATCH(ROW($P$14:$P$2811),ROW($P$14:$P$2811)),""),ROWS($A$13:A258))),""),"")</f>
        <v/>
      </c>
      <c r="X258" s="339">
        <v>33559</v>
      </c>
      <c r="Y258" s="338" t="s">
        <v>316</v>
      </c>
      <c r="AA258" s="338">
        <v>37</v>
      </c>
      <c r="AB258" s="338" t="s">
        <v>316</v>
      </c>
      <c r="AG258" s="2297">
        <v>15.09</v>
      </c>
      <c r="AH258" s="2297" t="s">
        <v>347</v>
      </c>
      <c r="AI258" s="1390"/>
      <c r="AJ258" s="2282"/>
      <c r="AK258" s="2282"/>
      <c r="AL258" s="1037"/>
      <c r="AM258" s="339">
        <v>33444</v>
      </c>
      <c r="AN258" s="338" t="s">
        <v>340</v>
      </c>
      <c r="AQ258" s="858"/>
      <c r="AR258" s="338">
        <v>138.01</v>
      </c>
      <c r="AS258" s="338" t="s">
        <v>316</v>
      </c>
      <c r="AX258" s="340">
        <v>601.16</v>
      </c>
      <c r="AY258" s="340" t="s">
        <v>289</v>
      </c>
      <c r="BC258" s="341" t="str">
        <f t="array" ref="BC258">IFERROR(IF($BC$11="Yes",INDEX($AX$13:$AX$2950,SMALL(IF((County=$AY$13:$AY$2950),MATCH(ROW($AY$13:$AY$2950),ROW($AY$13:$AY$2950)),""),ROWS($A$13:$A258))),""),"")</f>
        <v/>
      </c>
      <c r="BE258" s="339">
        <v>33786</v>
      </c>
      <c r="BF258" s="338" t="s">
        <v>342</v>
      </c>
      <c r="BH258" s="338">
        <v>26</v>
      </c>
      <c r="BI258" s="338" t="s">
        <v>302</v>
      </c>
      <c r="BN258" s="340">
        <v>13.01</v>
      </c>
      <c r="BO258" s="340" t="s">
        <v>347</v>
      </c>
      <c r="BP258" s="1385"/>
      <c r="BQ258" s="341">
        <v>34787</v>
      </c>
      <c r="BR258" s="338" t="s">
        <v>338</v>
      </c>
      <c r="BU258" s="858"/>
      <c r="BV258" s="338">
        <v>713.49</v>
      </c>
      <c r="BW258" s="338" t="s">
        <v>288</v>
      </c>
      <c r="CB258" s="340">
        <v>510.02</v>
      </c>
      <c r="CC258" s="340" t="s">
        <v>289</v>
      </c>
      <c r="CE258" s="341" t="str">
        <f t="array" ref="CE258">IFERROR(IF($CE$11="Metro",INDEX($BV$13:$BV$4972,SMALL(IF((County=$BW$13:$BW$4972),MATCH(ROW($BW$13:$BW$4972),ROW($BW$13:$BW$4972)),""),ROWS($A$13:$A258))),INDEX($BY$13:$BY$212,SMALL(IF((County=$BZ$13:$BZ$212),MATCH(ROW($BZ$13:$BZ$212),ROW($BZ$13:$BZ$212)),""),ROWS($A$13:$A258)))),"")</f>
        <v/>
      </c>
      <c r="CG258" s="341" t="str">
        <f t="array" ref="CG258">IFERROR(IF($CG$11="Yes",INDEX($CB$13:$CB$2950,SMALL(IF((County=$CC$13:$CC$2950),MATCH(ROW($CC$13:$CC$2950),ROW($CC$13:$CC$2950)),""),ROWS($A$13:$A258))),""),"")</f>
        <v/>
      </c>
      <c r="CI258" s="1583">
        <v>33619</v>
      </c>
      <c r="CJ258" s="338" t="s">
        <v>316</v>
      </c>
      <c r="CL258" s="236">
        <v>6.11</v>
      </c>
      <c r="CM258" s="236" t="s">
        <v>331</v>
      </c>
      <c r="CR258" s="340">
        <v>13.02</v>
      </c>
      <c r="CS258" s="340" t="s">
        <v>331</v>
      </c>
      <c r="CT258" s="1384"/>
      <c r="CU258" s="341">
        <v>34761</v>
      </c>
      <c r="CV258" s="338" t="s">
        <v>338</v>
      </c>
      <c r="CZ258" s="1795">
        <v>9.01</v>
      </c>
      <c r="DA258" s="338" t="s">
        <v>316</v>
      </c>
      <c r="DF258" s="340">
        <v>601.16</v>
      </c>
      <c r="DG258" s="340" t="s">
        <v>289</v>
      </c>
      <c r="DK258" s="341" t="str">
        <f t="array" ref="DK258">IFERROR(IF($DK$11="Yes",INDEX($DF$13:$DF$2838,SMALL(IF((County=$DG$13:$DG$2838),MATCH(ROW($DG$13:$DG$2838),ROW($DG$13:$DG$2838)),""),ROWS($A$13:$A258))),""),"")</f>
        <v/>
      </c>
      <c r="DM258" s="1387">
        <v>33611</v>
      </c>
      <c r="DN258" s="338" t="s">
        <v>316</v>
      </c>
      <c r="DP258" s="236">
        <v>29</v>
      </c>
      <c r="DQ258" s="236" t="s">
        <v>340</v>
      </c>
      <c r="DV258" s="340">
        <v>14.06</v>
      </c>
      <c r="DW258" s="340" t="s">
        <v>330</v>
      </c>
      <c r="DX258" s="1671"/>
      <c r="EB258" s="618"/>
      <c r="EC258" s="618"/>
      <c r="ED258" s="618"/>
      <c r="EE258" s="618"/>
      <c r="EF258" s="618"/>
      <c r="EG258" s="618"/>
      <c r="EH258" s="618"/>
      <c r="EI258" s="618"/>
      <c r="EJ258" s="618"/>
      <c r="EK258" s="618"/>
      <c r="EL258" s="618"/>
      <c r="EM258" s="618"/>
    </row>
    <row r="259" spans="1:143">
      <c r="A259" s="339">
        <v>32829</v>
      </c>
      <c r="B259" s="338" t="s">
        <v>338</v>
      </c>
      <c r="E259" s="858"/>
      <c r="F259" s="338">
        <v>108.08</v>
      </c>
      <c r="G259" s="338" t="s">
        <v>316</v>
      </c>
      <c r="L259" s="2481">
        <v>601.25</v>
      </c>
      <c r="M259" s="340" t="s">
        <v>289</v>
      </c>
      <c r="N259" s="1390"/>
      <c r="O259" s="2479"/>
      <c r="P259" s="2282"/>
      <c r="T259" s="341" t="str">
        <f t="array" ref="T259">IFERROR(IF($T$11="Yes",INDEX($L$13:$L$2813,SMALL(IF((County=$M$13:$M$2813),MATCH(ROW($M$13:$M$2813),ROW($M$13:$M$2813)),""),ROWS($A$13:A259))),""),"")</f>
        <v/>
      </c>
      <c r="V259" s="2283" t="str">
        <f t="array" ref="V259">IFERROR(IF($T$11="Yes",INDEX($O$14:$O$2811,SMALL(IF((County=$P$14:$P$2811),MATCH(ROW($P$14:$P$2811),ROW($P$14:$P$2811)),""),ROWS($A$13:A259))),""),"")</f>
        <v/>
      </c>
      <c r="X259" s="339">
        <v>33569</v>
      </c>
      <c r="Y259" s="338" t="s">
        <v>316</v>
      </c>
      <c r="AA259" s="338">
        <v>39.090000000000003</v>
      </c>
      <c r="AB259" s="338" t="s">
        <v>331</v>
      </c>
      <c r="AG259" s="2297">
        <v>15.1</v>
      </c>
      <c r="AH259" s="2297" t="s">
        <v>347</v>
      </c>
      <c r="AI259" s="1390"/>
      <c r="AJ259" s="2282"/>
      <c r="AK259" s="2282"/>
      <c r="AL259" s="1037"/>
      <c r="AM259" s="339">
        <v>33445</v>
      </c>
      <c r="AN259" s="338" t="s">
        <v>340</v>
      </c>
      <c r="AQ259" s="858"/>
      <c r="AR259" s="338">
        <v>138.03</v>
      </c>
      <c r="AS259" s="338" t="s">
        <v>316</v>
      </c>
      <c r="AX259" s="340">
        <v>601.19000000000005</v>
      </c>
      <c r="AY259" s="340" t="s">
        <v>289</v>
      </c>
      <c r="BC259" s="341" t="str">
        <f t="array" ref="BC259">IFERROR(IF($BC$11="Yes",INDEX($AX$13:$AX$2950,SMALL(IF((County=$AY$13:$AY$2950),MATCH(ROW($AY$13:$AY$2950),ROW($AY$13:$AY$2950)),""),ROWS($A$13:$A259))),""),"")</f>
        <v/>
      </c>
      <c r="BE259" s="339">
        <v>33803</v>
      </c>
      <c r="BF259" s="338" t="s">
        <v>344</v>
      </c>
      <c r="BH259" s="338">
        <v>26</v>
      </c>
      <c r="BI259" s="338" t="s">
        <v>316</v>
      </c>
      <c r="BN259" s="340">
        <v>13.02</v>
      </c>
      <c r="BO259" s="340" t="s">
        <v>329</v>
      </c>
      <c r="BP259" s="1385"/>
      <c r="BQ259" s="341">
        <v>33848</v>
      </c>
      <c r="BR259" s="338" t="s">
        <v>339</v>
      </c>
      <c r="BU259" s="858"/>
      <c r="BV259" s="338">
        <v>713.5</v>
      </c>
      <c r="BW259" s="338" t="s">
        <v>288</v>
      </c>
      <c r="CB259" s="340">
        <v>601.09</v>
      </c>
      <c r="CC259" s="340" t="s">
        <v>289</v>
      </c>
      <c r="CE259" s="341" t="str">
        <f t="array" ref="CE259">IFERROR(IF($CE$11="Metro",INDEX($BV$13:$BV$4972,SMALL(IF((County=$BW$13:$BW$4972),MATCH(ROW($BW$13:$BW$4972),ROW($BW$13:$BW$4972)),""),ROWS($A$13:$A259))),INDEX($BY$13:$BY$212,SMALL(IF((County=$BZ$13:$BZ$212),MATCH(ROW($BZ$13:$BZ$212),ROW($BZ$13:$BZ$212)),""),ROWS($A$13:$A259)))),"")</f>
        <v/>
      </c>
      <c r="CG259" s="341" t="str">
        <f t="array" ref="CG259">IFERROR(IF($CG$11="Yes",INDEX($CB$13:$CB$2950,SMALL(IF((County=$CC$13:$CC$2950),MATCH(ROW($CC$13:$CC$2950),ROW($CC$13:$CC$2950)),""),ROWS($A$13:$A259))),""),"")</f>
        <v/>
      </c>
      <c r="CI259" s="1583">
        <v>33621</v>
      </c>
      <c r="CJ259" s="338" t="s">
        <v>316</v>
      </c>
      <c r="CL259" s="236">
        <v>6.12</v>
      </c>
      <c r="CM259" s="236" t="s">
        <v>331</v>
      </c>
      <c r="CR259" s="340">
        <v>13.02</v>
      </c>
      <c r="CS259" s="340" t="s">
        <v>347</v>
      </c>
      <c r="CT259" s="1384"/>
      <c r="CU259" s="341">
        <v>34786</v>
      </c>
      <c r="CV259" s="338" t="s">
        <v>338</v>
      </c>
      <c r="CZ259" s="1795">
        <v>9.02</v>
      </c>
      <c r="DA259" s="338" t="s">
        <v>316</v>
      </c>
      <c r="DF259" s="340">
        <v>601.17999999999995</v>
      </c>
      <c r="DG259" s="340" t="s">
        <v>289</v>
      </c>
      <c r="DK259" s="341" t="str">
        <f t="array" ref="DK259">IFERROR(IF($DK$11="Yes",INDEX($DF$13:$DF$2838,SMALL(IF((County=$DG$13:$DG$2838),MATCH(ROW($DG$13:$DG$2838),ROW($DG$13:$DG$2838)),""),ROWS($A$13:$A259))),""),"")</f>
        <v/>
      </c>
      <c r="DM259" s="1387">
        <v>33614</v>
      </c>
      <c r="DN259" s="338" t="s">
        <v>316</v>
      </c>
      <c r="DP259" s="236">
        <v>29.01</v>
      </c>
      <c r="DQ259" s="236" t="s">
        <v>302</v>
      </c>
      <c r="DV259" s="340">
        <v>14.09</v>
      </c>
      <c r="DW259" s="340" t="s">
        <v>330</v>
      </c>
      <c r="DX259" s="1671"/>
      <c r="EB259" s="618"/>
      <c r="EC259" s="618"/>
      <c r="ED259" s="618"/>
      <c r="EE259" s="618"/>
      <c r="EF259" s="618"/>
      <c r="EG259" s="618"/>
      <c r="EH259" s="618"/>
      <c r="EI259" s="618"/>
      <c r="EJ259" s="618"/>
      <c r="EK259" s="618"/>
      <c r="EL259" s="618"/>
      <c r="EM259" s="618"/>
    </row>
    <row r="260" spans="1:143">
      <c r="A260" s="339">
        <v>32831</v>
      </c>
      <c r="B260" s="338" t="s">
        <v>338</v>
      </c>
      <c r="E260" s="858"/>
      <c r="F260" s="338">
        <v>108.09</v>
      </c>
      <c r="G260" s="338" t="s">
        <v>316</v>
      </c>
      <c r="L260" s="2481">
        <v>601.27</v>
      </c>
      <c r="M260" s="340" t="s">
        <v>289</v>
      </c>
      <c r="N260" s="1390"/>
      <c r="O260" s="2479"/>
      <c r="P260" s="2282"/>
      <c r="T260" s="341" t="str">
        <f t="array" ref="T260">IFERROR(IF($T$11="Yes",INDEX($L$13:$L$2813,SMALL(IF((County=$M$13:$M$2813),MATCH(ROW($M$13:$M$2813),ROW($M$13:$M$2813)),""),ROWS($A$13:A260))),""),"")</f>
        <v/>
      </c>
      <c r="V260" s="2283" t="str">
        <f t="array" ref="V260">IFERROR(IF($T$11="Yes",INDEX($O$14:$O$2811,SMALL(IF((County=$P$14:$P$2811),MATCH(ROW($P$14:$P$2811),ROW($P$14:$P$2811)),""),ROWS($A$13:A260))),""),"")</f>
        <v/>
      </c>
      <c r="X260" s="339">
        <v>33572</v>
      </c>
      <c r="Y260" s="338" t="s">
        <v>316</v>
      </c>
      <c r="AA260" s="338">
        <v>39.11</v>
      </c>
      <c r="AB260" s="338" t="s">
        <v>331</v>
      </c>
      <c r="AG260" s="2297">
        <v>15.11</v>
      </c>
      <c r="AH260" s="2297" t="s">
        <v>347</v>
      </c>
      <c r="AI260" s="1390"/>
      <c r="AJ260" s="2282"/>
      <c r="AK260" s="2282"/>
      <c r="AL260" s="1037"/>
      <c r="AM260" s="339">
        <v>33449</v>
      </c>
      <c r="AN260" s="338" t="s">
        <v>340</v>
      </c>
      <c r="AQ260" s="858"/>
      <c r="AR260" s="338">
        <v>140.02000000000001</v>
      </c>
      <c r="AS260" s="338" t="s">
        <v>316</v>
      </c>
      <c r="AX260" s="340">
        <v>601.20000000000005</v>
      </c>
      <c r="AY260" s="340" t="s">
        <v>289</v>
      </c>
      <c r="BC260" s="341" t="str">
        <f t="array" ref="BC260">IFERROR(IF($BC$11="Yes",INDEX($AX$13:$AX$2950,SMALL(IF((County=$AY$13:$AY$2950),MATCH(ROW($AY$13:$AY$2950),ROW($AY$13:$AY$2950)),""),ROWS($A$13:$A260))),""),"")</f>
        <v/>
      </c>
      <c r="BE260" s="339">
        <v>33805</v>
      </c>
      <c r="BF260" s="338" t="s">
        <v>344</v>
      </c>
      <c r="BH260" s="338">
        <v>27.01</v>
      </c>
      <c r="BI260" s="338" t="s">
        <v>302</v>
      </c>
      <c r="BN260" s="340">
        <v>13.02</v>
      </c>
      <c r="BO260" s="340" t="s">
        <v>330</v>
      </c>
      <c r="BP260" s="1385"/>
      <c r="BQ260" s="341">
        <v>34743</v>
      </c>
      <c r="BR260" s="338" t="s">
        <v>339</v>
      </c>
      <c r="BU260" s="858"/>
      <c r="BV260" s="338">
        <v>713.51</v>
      </c>
      <c r="BW260" s="338" t="s">
        <v>288</v>
      </c>
      <c r="CB260" s="340">
        <v>601.13</v>
      </c>
      <c r="CC260" s="340" t="s">
        <v>289</v>
      </c>
      <c r="CE260" s="341" t="str">
        <f t="array" ref="CE260">IFERROR(IF($CE$11="Metro",INDEX($BV$13:$BV$4972,SMALL(IF((County=$BW$13:$BW$4972),MATCH(ROW($BW$13:$BW$4972),ROW($BW$13:$BW$4972)),""),ROWS($A$13:$A260))),INDEX($BY$13:$BY$212,SMALL(IF((County=$BZ$13:$BZ$212),MATCH(ROW($BZ$13:$BZ$212),ROW($BZ$13:$BZ$212)),""),ROWS($A$13:$A260)))),"")</f>
        <v/>
      </c>
      <c r="CG260" s="341" t="str">
        <f t="array" ref="CG260">IFERROR(IF($CG$11="Yes",INDEX($CB$13:$CB$2950,SMALL(IF((County=$CC$13:$CC$2950),MATCH(ROW($CC$13:$CC$2950),ROW($CC$13:$CC$2950)),""),ROWS($A$13:$A260))),""),"")</f>
        <v/>
      </c>
      <c r="CI260" s="1583">
        <v>33624</v>
      </c>
      <c r="CJ260" s="338" t="s">
        <v>316</v>
      </c>
      <c r="CL260" s="338">
        <v>7</v>
      </c>
      <c r="CM260" s="338" t="s">
        <v>276</v>
      </c>
      <c r="CR260" s="340">
        <v>13.03</v>
      </c>
      <c r="CS260" s="340" t="s">
        <v>347</v>
      </c>
      <c r="CT260" s="1384"/>
      <c r="CU260" s="341">
        <v>34787</v>
      </c>
      <c r="CV260" s="338" t="s">
        <v>338</v>
      </c>
      <c r="CZ260" s="1795">
        <v>10.01</v>
      </c>
      <c r="DA260" s="338" t="s">
        <v>316</v>
      </c>
      <c r="DF260" s="340">
        <v>601.19000000000005</v>
      </c>
      <c r="DG260" s="340" t="s">
        <v>289</v>
      </c>
      <c r="DK260" s="341" t="str">
        <f t="array" ref="DK260">IFERROR(IF($DK$11="Yes",INDEX($DF$13:$DF$2838,SMALL(IF((County=$DG$13:$DG$2838),MATCH(ROW($DG$13:$DG$2838),ROW($DG$13:$DG$2838)),""),ROWS($A$13:$A260))),""),"")</f>
        <v/>
      </c>
      <c r="DM260" s="1387">
        <v>33615</v>
      </c>
      <c r="DN260" s="338" t="s">
        <v>316</v>
      </c>
      <c r="DP260" s="236">
        <v>29.02</v>
      </c>
      <c r="DQ260" s="236" t="s">
        <v>302</v>
      </c>
      <c r="DV260" s="340">
        <v>15</v>
      </c>
      <c r="DW260" s="340" t="s">
        <v>316</v>
      </c>
      <c r="DX260" s="1671"/>
      <c r="EB260" s="618"/>
      <c r="EC260" s="618"/>
      <c r="ED260" s="618"/>
      <c r="EE260" s="618"/>
      <c r="EF260" s="618"/>
      <c r="EG260" s="618"/>
      <c r="EH260" s="618"/>
      <c r="EI260" s="618"/>
      <c r="EJ260" s="618"/>
      <c r="EK260" s="618"/>
      <c r="EL260" s="618"/>
      <c r="EM260" s="618"/>
    </row>
    <row r="261" spans="1:143">
      <c r="A261" s="339">
        <v>32832</v>
      </c>
      <c r="B261" s="338" t="s">
        <v>338</v>
      </c>
      <c r="E261" s="858"/>
      <c r="F261" s="338">
        <v>108.11</v>
      </c>
      <c r="G261" s="338" t="s">
        <v>316</v>
      </c>
      <c r="L261" s="2481">
        <v>602.09</v>
      </c>
      <c r="M261" s="340" t="s">
        <v>289</v>
      </c>
      <c r="N261" s="1390"/>
      <c r="O261" s="2479"/>
      <c r="P261" s="2282"/>
      <c r="T261" s="341" t="str">
        <f t="array" ref="T261">IFERROR(IF($T$11="Yes",INDEX($L$13:$L$2813,SMALL(IF((County=$M$13:$M$2813),MATCH(ROW($M$13:$M$2813),ROW($M$13:$M$2813)),""),ROWS($A$13:A261))),""),"")</f>
        <v/>
      </c>
      <c r="V261" s="2283" t="str">
        <f t="array" ref="V261">IFERROR(IF($T$11="Yes",INDEX($O$14:$O$2811,SMALL(IF((County=$P$14:$P$2811),MATCH(ROW($P$14:$P$2811),ROW($P$14:$P$2811)),""),ROWS($A$13:A261))),""),"")</f>
        <v/>
      </c>
      <c r="X261" s="339">
        <v>33573</v>
      </c>
      <c r="Y261" s="338" t="s">
        <v>316</v>
      </c>
      <c r="AA261" s="338">
        <v>39.130000000000003</v>
      </c>
      <c r="AB261" s="338" t="s">
        <v>331</v>
      </c>
      <c r="AG261" s="2297">
        <v>15.17</v>
      </c>
      <c r="AH261" s="2297" t="s">
        <v>276</v>
      </c>
      <c r="AI261" s="1390"/>
      <c r="AJ261" s="2282"/>
      <c r="AK261" s="2282"/>
      <c r="AL261" s="1037"/>
      <c r="AM261" s="339">
        <v>33458</v>
      </c>
      <c r="AN261" s="338" t="s">
        <v>340</v>
      </c>
      <c r="AQ261" s="858"/>
      <c r="AR261" s="338">
        <v>140.13</v>
      </c>
      <c r="AS261" s="338" t="s">
        <v>316</v>
      </c>
      <c r="AX261" s="340">
        <v>601.21</v>
      </c>
      <c r="AY261" s="340" t="s">
        <v>289</v>
      </c>
      <c r="BC261" s="341" t="str">
        <f t="array" ref="BC261">IFERROR(IF($BC$11="Yes",INDEX($AX$13:$AX$2950,SMALL(IF((County=$AY$13:$AY$2950),MATCH(ROW($AY$13:$AY$2950),ROW($AY$13:$AY$2950)),""),ROWS($A$13:$A261))),""),"")</f>
        <v/>
      </c>
      <c r="BE261" s="339">
        <v>33809</v>
      </c>
      <c r="BF261" s="338" t="s">
        <v>344</v>
      </c>
      <c r="BH261" s="338">
        <v>27.02</v>
      </c>
      <c r="BI261" s="338" t="s">
        <v>302</v>
      </c>
      <c r="BN261" s="340">
        <v>13.02</v>
      </c>
      <c r="BO261" s="340" t="s">
        <v>331</v>
      </c>
      <c r="BP261" s="1385"/>
      <c r="BQ261" s="341">
        <v>34744</v>
      </c>
      <c r="BR261" s="338" t="s">
        <v>339</v>
      </c>
      <c r="BU261" s="858"/>
      <c r="BV261" s="338">
        <v>713.52</v>
      </c>
      <c r="BW261" s="338" t="s">
        <v>288</v>
      </c>
      <c r="CB261" s="340">
        <v>601.14</v>
      </c>
      <c r="CC261" s="340" t="s">
        <v>289</v>
      </c>
      <c r="CE261" s="341" t="str">
        <f t="array" ref="CE261">IFERROR(IF($CE$11="Metro",INDEX($BV$13:$BV$4972,SMALL(IF((County=$BW$13:$BW$4972),MATCH(ROW($BW$13:$BW$4972),ROW($BW$13:$BW$4972)),""),ROWS($A$13:$A261))),INDEX($BY$13:$BY$212,SMALL(IF((County=$BZ$13:$BZ$212),MATCH(ROW($BZ$13:$BZ$212),ROW($BZ$13:$BZ$212)),""),ROWS($A$13:$A261)))),"")</f>
        <v/>
      </c>
      <c r="CG261" s="341" t="str">
        <f t="array" ref="CG261">IFERROR(IF($CG$11="Yes",INDEX($CB$13:$CB$2950,SMALL(IF((County=$CC$13:$CC$2950),MATCH(ROW($CC$13:$CC$2950),ROW($CC$13:$CC$2950)),""),ROWS($A$13:$A261))),""),"")</f>
        <v/>
      </c>
      <c r="CI261" s="1583">
        <v>33625</v>
      </c>
      <c r="CJ261" s="338" t="s">
        <v>316</v>
      </c>
      <c r="CL261" s="338">
        <v>7</v>
      </c>
      <c r="CM261" s="338" t="s">
        <v>285</v>
      </c>
      <c r="CR261" s="340">
        <v>13.04</v>
      </c>
      <c r="CS261" s="340" t="s">
        <v>347</v>
      </c>
      <c r="CT261" s="1384"/>
      <c r="CU261" s="341">
        <v>34743</v>
      </c>
      <c r="CV261" s="338" t="s">
        <v>339</v>
      </c>
      <c r="CZ261" s="1795">
        <v>10.02</v>
      </c>
      <c r="DA261" s="338" t="s">
        <v>316</v>
      </c>
      <c r="DF261" s="340">
        <v>601.20000000000005</v>
      </c>
      <c r="DG261" s="340" t="s">
        <v>289</v>
      </c>
      <c r="DK261" s="341" t="str">
        <f t="array" ref="DK261">IFERROR(IF($DK$11="Yes",INDEX($DF$13:$DF$2838,SMALL(IF((County=$DG$13:$DG$2838),MATCH(ROW($DG$13:$DG$2838),ROW($DG$13:$DG$2838)),""),ROWS($A$13:$A261))),""),"")</f>
        <v/>
      </c>
      <c r="DM261" s="1387">
        <v>33616</v>
      </c>
      <c r="DN261" s="338" t="s">
        <v>316</v>
      </c>
      <c r="DP261" s="236">
        <v>30</v>
      </c>
      <c r="DQ261" s="236" t="s">
        <v>316</v>
      </c>
      <c r="DV261" s="340">
        <v>15</v>
      </c>
      <c r="DW261" s="340" t="s">
        <v>330</v>
      </c>
      <c r="DX261" s="1671"/>
      <c r="EB261" s="618"/>
      <c r="EC261" s="618"/>
      <c r="ED261" s="618"/>
      <c r="EE261" s="618"/>
      <c r="EF261" s="618"/>
      <c r="EG261" s="618"/>
      <c r="EH261" s="618"/>
      <c r="EI261" s="618"/>
      <c r="EJ261" s="618"/>
      <c r="EK261" s="618"/>
      <c r="EL261" s="618"/>
      <c r="EM261" s="618"/>
    </row>
    <row r="262" spans="1:143">
      <c r="A262" s="339">
        <v>32835</v>
      </c>
      <c r="B262" s="338" t="s">
        <v>338</v>
      </c>
      <c r="E262" s="858"/>
      <c r="F262" s="338">
        <v>108.14</v>
      </c>
      <c r="G262" s="338" t="s">
        <v>316</v>
      </c>
      <c r="L262" s="2481">
        <v>602.1</v>
      </c>
      <c r="M262" s="340" t="s">
        <v>289</v>
      </c>
      <c r="N262" s="1390"/>
      <c r="O262" s="2479"/>
      <c r="P262" s="2282"/>
      <c r="T262" s="341" t="str">
        <f t="array" ref="T262">IFERROR(IF($T$11="Yes",INDEX($L$13:$L$2813,SMALL(IF((County=$M$13:$M$2813),MATCH(ROW($M$13:$M$2813),ROW($M$13:$M$2813)),""),ROWS($A$13:A262))),""),"")</f>
        <v/>
      </c>
      <c r="V262" s="2283" t="str">
        <f t="array" ref="V262">IFERROR(IF($T$11="Yes",INDEX($O$14:$O$2811,SMALL(IF((County=$P$14:$P$2811),MATCH(ROW($P$14:$P$2811),ROW($P$14:$P$2811)),""),ROWS($A$13:A262))),""),"")</f>
        <v/>
      </c>
      <c r="X262" s="339">
        <v>33578</v>
      </c>
      <c r="Y262" s="338" t="s">
        <v>316</v>
      </c>
      <c r="AA262" s="338">
        <v>39.14</v>
      </c>
      <c r="AB262" s="338" t="s">
        <v>331</v>
      </c>
      <c r="AG262" s="2297">
        <v>16</v>
      </c>
      <c r="AH262" s="2297" t="s">
        <v>316</v>
      </c>
      <c r="AI262" s="1390"/>
      <c r="AJ262" s="2282"/>
      <c r="AK262" s="2282"/>
      <c r="AL262" s="1037"/>
      <c r="AM262" s="339">
        <v>33469</v>
      </c>
      <c r="AN262" s="338" t="s">
        <v>340</v>
      </c>
      <c r="AQ262" s="858"/>
      <c r="AR262" s="338">
        <v>141.08000000000001</v>
      </c>
      <c r="AS262" s="338" t="s">
        <v>316</v>
      </c>
      <c r="AX262" s="340">
        <v>601.22</v>
      </c>
      <c r="AY262" s="340" t="s">
        <v>289</v>
      </c>
      <c r="BC262" s="341" t="str">
        <f t="array" ref="BC262">IFERROR(IF($BC$11="Yes",INDEX($AX$13:$AX$2950,SMALL(IF((County=$AY$13:$AY$2950),MATCH(ROW($AY$13:$AY$2950),ROW($AY$13:$AY$2950)),""),ROWS($A$13:$A262))),""),"")</f>
        <v/>
      </c>
      <c r="BE262" s="339">
        <v>33810</v>
      </c>
      <c r="BF262" s="338" t="s">
        <v>344</v>
      </c>
      <c r="BH262" s="338">
        <v>27.03</v>
      </c>
      <c r="BI262" s="338" t="s">
        <v>304</v>
      </c>
      <c r="BN262" s="340">
        <v>13.02</v>
      </c>
      <c r="BO262" s="340" t="s">
        <v>347</v>
      </c>
      <c r="BP262" s="1385"/>
      <c r="BQ262" s="341">
        <v>34746</v>
      </c>
      <c r="BR262" s="338" t="s">
        <v>339</v>
      </c>
      <c r="BU262" s="858"/>
      <c r="BV262" s="338">
        <v>713.53</v>
      </c>
      <c r="BW262" s="338" t="s">
        <v>288</v>
      </c>
      <c r="CB262" s="340">
        <v>601.16</v>
      </c>
      <c r="CC262" s="340" t="s">
        <v>289</v>
      </c>
      <c r="CE262" s="341" t="str">
        <f t="array" ref="CE262">IFERROR(IF($CE$11="Metro",INDEX($BV$13:$BV$4972,SMALL(IF((County=$BW$13:$BW$4972),MATCH(ROW($BW$13:$BW$4972),ROW($BW$13:$BW$4972)),""),ROWS($A$13:$A262))),INDEX($BY$13:$BY$212,SMALL(IF((County=$BZ$13:$BZ$212),MATCH(ROW($BZ$13:$BZ$212),ROW($BZ$13:$BZ$212)),""),ROWS($A$13:$A262)))),"")</f>
        <v/>
      </c>
      <c r="CG262" s="341" t="str">
        <f t="array" ref="CG262">IFERROR(IF($CG$11="Yes",INDEX($CB$13:$CB$2950,SMALL(IF((County=$CC$13:$CC$2950),MATCH(ROW($CC$13:$CC$2950),ROW($CC$13:$CC$2950)),""),ROWS($A$13:$A262))),""),"")</f>
        <v/>
      </c>
      <c r="CI262" s="1583">
        <v>33626</v>
      </c>
      <c r="CJ262" s="338" t="s">
        <v>316</v>
      </c>
      <c r="CL262" s="236">
        <v>7</v>
      </c>
      <c r="CM262" s="236" t="s">
        <v>297</v>
      </c>
      <c r="CR262" s="340">
        <v>14.01</v>
      </c>
      <c r="CS262" s="340" t="s">
        <v>304</v>
      </c>
      <c r="CT262" s="1384"/>
      <c r="CU262" s="341">
        <v>34746</v>
      </c>
      <c r="CV262" s="338" t="s">
        <v>339</v>
      </c>
      <c r="CZ262" s="1795">
        <v>13</v>
      </c>
      <c r="DA262" s="338" t="s">
        <v>316</v>
      </c>
      <c r="DF262" s="340">
        <v>601.21</v>
      </c>
      <c r="DG262" s="340" t="s">
        <v>289</v>
      </c>
      <c r="DK262" s="341" t="str">
        <f t="array" ref="DK262">IFERROR(IF($DK$11="Yes",INDEX($DF$13:$DF$2838,SMALL(IF((County=$DG$13:$DG$2838),MATCH(ROW($DG$13:$DG$2838),ROW($DG$13:$DG$2838)),""),ROWS($A$13:$A262))),""),"")</f>
        <v/>
      </c>
      <c r="DM262" s="1387">
        <v>33617</v>
      </c>
      <c r="DN262" s="338" t="s">
        <v>316</v>
      </c>
      <c r="DP262" s="236">
        <v>30.04</v>
      </c>
      <c r="DQ262" s="236" t="s">
        <v>331</v>
      </c>
      <c r="DV262" s="340">
        <v>15.01</v>
      </c>
      <c r="DW262" s="340" t="s">
        <v>285</v>
      </c>
      <c r="DX262" s="1671"/>
      <c r="EB262" s="618"/>
      <c r="EC262" s="618"/>
      <c r="ED262" s="618"/>
      <c r="EE262" s="618"/>
      <c r="EF262" s="618"/>
      <c r="EG262" s="618"/>
      <c r="EH262" s="618"/>
      <c r="EI262" s="618"/>
      <c r="EJ262" s="618"/>
      <c r="EK262" s="618"/>
      <c r="EL262" s="618"/>
      <c r="EM262" s="618"/>
    </row>
    <row r="263" spans="1:143">
      <c r="A263" s="339">
        <v>32836</v>
      </c>
      <c r="B263" s="338" t="s">
        <v>338</v>
      </c>
      <c r="E263" s="858"/>
      <c r="F263" s="338">
        <v>108.15</v>
      </c>
      <c r="G263" s="338" t="s">
        <v>316</v>
      </c>
      <c r="L263" s="2481">
        <v>602.12</v>
      </c>
      <c r="M263" s="340" t="s">
        <v>289</v>
      </c>
      <c r="N263" s="1390"/>
      <c r="O263" s="2479"/>
      <c r="P263" s="2282"/>
      <c r="T263" s="341" t="str">
        <f t="array" ref="T263">IFERROR(IF($T$11="Yes",INDEX($L$13:$L$2813,SMALL(IF((County=$M$13:$M$2813),MATCH(ROW($M$13:$M$2813),ROW($M$13:$M$2813)),""),ROWS($A$13:A263))),""),"")</f>
        <v/>
      </c>
      <c r="V263" s="2283" t="str">
        <f t="array" ref="V263">IFERROR(IF($T$11="Yes",INDEX($O$14:$O$2811,SMALL(IF((County=$P$14:$P$2811),MATCH(ROW($P$14:$P$2811),ROW($P$14:$P$2811)),""),ROWS($A$13:A263))),""),"")</f>
        <v/>
      </c>
      <c r="X263" s="339">
        <v>33579</v>
      </c>
      <c r="Y263" s="338" t="s">
        <v>316</v>
      </c>
      <c r="AA263" s="338">
        <v>40</v>
      </c>
      <c r="AB263" s="338" t="s">
        <v>304</v>
      </c>
      <c r="AG263" s="2297">
        <v>16</v>
      </c>
      <c r="AH263" s="2297" t="s">
        <v>329</v>
      </c>
      <c r="AI263" s="1390"/>
      <c r="AJ263" s="2282"/>
      <c r="AK263" s="2282"/>
      <c r="AL263" s="1037"/>
      <c r="AM263" s="339">
        <v>33470</v>
      </c>
      <c r="AN263" s="338" t="s">
        <v>340</v>
      </c>
      <c r="AQ263" s="858"/>
      <c r="AR263" s="338">
        <v>142</v>
      </c>
      <c r="AS263" s="338" t="s">
        <v>316</v>
      </c>
      <c r="AX263" s="340">
        <v>601.23</v>
      </c>
      <c r="AY263" s="340" t="s">
        <v>289</v>
      </c>
      <c r="BC263" s="341" t="str">
        <f t="array" ref="BC263">IFERROR(IF($BC$11="Yes",INDEX($AX$13:$AX$2950,SMALL(IF((County=$AY$13:$AY$2950),MATCH(ROW($AY$13:$AY$2950),ROW($AY$13:$AY$2950)),""),ROWS($A$13:$A263))),""),"")</f>
        <v/>
      </c>
      <c r="BE263" s="339">
        <v>33811</v>
      </c>
      <c r="BF263" s="338" t="s">
        <v>344</v>
      </c>
      <c r="BH263" s="338">
        <v>28</v>
      </c>
      <c r="BI263" s="338" t="s">
        <v>331</v>
      </c>
      <c r="BN263" s="340">
        <v>13.03</v>
      </c>
      <c r="BO263" s="340" t="s">
        <v>347</v>
      </c>
      <c r="BP263" s="1385"/>
      <c r="BQ263" s="341">
        <v>34747</v>
      </c>
      <c r="BR263" s="338" t="s">
        <v>339</v>
      </c>
      <c r="BU263" s="858"/>
      <c r="BV263" s="338">
        <v>713.54</v>
      </c>
      <c r="BW263" s="338" t="s">
        <v>288</v>
      </c>
      <c r="CB263" s="340">
        <v>601.17999999999995</v>
      </c>
      <c r="CC263" s="340" t="s">
        <v>289</v>
      </c>
      <c r="CE263" s="341" t="str">
        <f t="array" ref="CE263">IFERROR(IF($CE$11="Metro",INDEX($BV$13:$BV$4972,SMALL(IF((County=$BW$13:$BW$4972),MATCH(ROW($BW$13:$BW$4972),ROW($BW$13:$BW$4972)),""),ROWS($A$13:$A263))),INDEX($BY$13:$BY$212,SMALL(IF((County=$BZ$13:$BZ$212),MATCH(ROW($BZ$13:$BZ$212),ROW($BZ$13:$BZ$212)),""),ROWS($A$13:$A263)))),"")</f>
        <v/>
      </c>
      <c r="CG263" s="341" t="str">
        <f t="array" ref="CG263">IFERROR(IF($CG$11="Yes",INDEX($CB$13:$CB$2950,SMALL(IF((County=$CC$13:$CC$2950),MATCH(ROW($CC$13:$CC$2950),ROW($CC$13:$CC$2950)),""),ROWS($A$13:$A263))),""),"")</f>
        <v/>
      </c>
      <c r="CI263" s="1583">
        <v>33629</v>
      </c>
      <c r="CJ263" s="338" t="s">
        <v>316</v>
      </c>
      <c r="CL263" s="236">
        <v>7</v>
      </c>
      <c r="CM263" s="236" t="s">
        <v>302</v>
      </c>
      <c r="CR263" s="340">
        <v>14.02</v>
      </c>
      <c r="CS263" s="340" t="s">
        <v>285</v>
      </c>
      <c r="CT263" s="1384"/>
      <c r="CU263" s="341">
        <v>34747</v>
      </c>
      <c r="CV263" s="338" t="s">
        <v>339</v>
      </c>
      <c r="CZ263" s="1795">
        <v>14</v>
      </c>
      <c r="DA263" s="338" t="s">
        <v>316</v>
      </c>
      <c r="DF263" s="340">
        <v>601.22</v>
      </c>
      <c r="DG263" s="340" t="s">
        <v>289</v>
      </c>
      <c r="DK263" s="341" t="str">
        <f t="array" ref="DK263">IFERROR(IF($DK$11="Yes",INDEX($DF$13:$DF$2838,SMALL(IF((County=$DG$13:$DG$2838),MATCH(ROW($DG$13:$DG$2838),ROW($DG$13:$DG$2838)),""),ROWS($A$13:$A263))),""),"")</f>
        <v/>
      </c>
      <c r="DM263" s="1387">
        <v>33618</v>
      </c>
      <c r="DN263" s="338" t="s">
        <v>316</v>
      </c>
      <c r="DP263" s="236">
        <v>30.06</v>
      </c>
      <c r="DQ263" s="236" t="s">
        <v>331</v>
      </c>
      <c r="DV263" s="340">
        <v>15.01</v>
      </c>
      <c r="DW263" s="340" t="s">
        <v>323</v>
      </c>
      <c r="DX263" s="1671"/>
      <c r="EB263" s="618"/>
      <c r="EC263" s="618"/>
      <c r="ED263" s="618"/>
      <c r="EE263" s="618"/>
      <c r="EF263" s="618"/>
      <c r="EG263" s="618"/>
      <c r="EH263" s="618"/>
      <c r="EI263" s="618"/>
      <c r="EJ263" s="618"/>
      <c r="EK263" s="618"/>
      <c r="EL263" s="618"/>
      <c r="EM263" s="618"/>
    </row>
    <row r="264" spans="1:143">
      <c r="A264" s="339">
        <v>32837</v>
      </c>
      <c r="B264" s="338" t="s">
        <v>338</v>
      </c>
      <c r="E264" s="858"/>
      <c r="F264" s="338">
        <v>108.16</v>
      </c>
      <c r="G264" s="338" t="s">
        <v>316</v>
      </c>
      <c r="L264" s="2481">
        <v>605.01</v>
      </c>
      <c r="M264" s="340" t="s">
        <v>289</v>
      </c>
      <c r="N264" s="1390"/>
      <c r="O264" s="2479"/>
      <c r="P264" s="2282"/>
      <c r="T264" s="341" t="str">
        <f t="array" ref="T264">IFERROR(IF($T$11="Yes",INDEX($L$13:$L$2813,SMALL(IF((County=$M$13:$M$2813),MATCH(ROW($M$13:$M$2813),ROW($M$13:$M$2813)),""),ROWS($A$13:A264))),""),"")</f>
        <v/>
      </c>
      <c r="V264" s="2283" t="str">
        <f t="array" ref="V264">IFERROR(IF($T$11="Yes",INDEX($O$14:$O$2811,SMALL(IF((County=$P$14:$P$2811),MATCH(ROW($P$14:$P$2811),ROW($P$14:$P$2811)),""),ROWS($A$13:A264))),""),"")</f>
        <v/>
      </c>
      <c r="X264" s="339">
        <v>33594</v>
      </c>
      <c r="Y264" s="338" t="s">
        <v>316</v>
      </c>
      <c r="AA264" s="338">
        <v>40.07</v>
      </c>
      <c r="AB264" s="338" t="s">
        <v>340</v>
      </c>
      <c r="AG264" s="2297">
        <v>16.010000000000002</v>
      </c>
      <c r="AH264" s="2297" t="s">
        <v>324</v>
      </c>
      <c r="AI264" s="1390"/>
      <c r="AJ264" s="2282"/>
      <c r="AK264" s="2282"/>
      <c r="AL264" s="1037"/>
      <c r="AM264" s="339">
        <v>33472</v>
      </c>
      <c r="AN264" s="338" t="s">
        <v>340</v>
      </c>
      <c r="AQ264" s="858"/>
      <c r="AR264" s="338">
        <v>503.03</v>
      </c>
      <c r="AS264" s="338" t="s">
        <v>318</v>
      </c>
      <c r="AX264" s="340">
        <v>601.26</v>
      </c>
      <c r="AY264" s="340" t="s">
        <v>289</v>
      </c>
      <c r="BC264" s="341" t="str">
        <f t="array" ref="BC264">IFERROR(IF($BC$11="Yes",INDEX($AX$13:$AX$2950,SMALL(IF((County=$AY$13:$AY$2950),MATCH(ROW($AY$13:$AY$2950),ROW($AY$13:$AY$2950)),""),ROWS($A$13:$A264))),""),"")</f>
        <v/>
      </c>
      <c r="BE264" s="339">
        <v>33812</v>
      </c>
      <c r="BF264" s="338" t="s">
        <v>344</v>
      </c>
      <c r="BH264" s="338">
        <v>28.01</v>
      </c>
      <c r="BI264" s="338" t="s">
        <v>302</v>
      </c>
      <c r="BN264" s="340">
        <v>13.04</v>
      </c>
      <c r="BO264" s="340" t="s">
        <v>347</v>
      </c>
      <c r="BP264" s="1385"/>
      <c r="BQ264" s="341">
        <v>34758</v>
      </c>
      <c r="BR264" s="338" t="s">
        <v>339</v>
      </c>
      <c r="BU264" s="858"/>
      <c r="BV264" s="338">
        <v>714.01</v>
      </c>
      <c r="BW264" s="338" t="s">
        <v>288</v>
      </c>
      <c r="CB264" s="340">
        <v>601.19000000000005</v>
      </c>
      <c r="CC264" s="340" t="s">
        <v>289</v>
      </c>
      <c r="CE264" s="341" t="str">
        <f t="array" ref="CE264">IFERROR(IF($CE$11="Metro",INDEX($BV$13:$BV$4972,SMALL(IF((County=$BW$13:$BW$4972),MATCH(ROW($BW$13:$BW$4972),ROW($BW$13:$BW$4972)),""),ROWS($A$13:$A264))),INDEX($BY$13:$BY$212,SMALL(IF((County=$BZ$13:$BZ$212),MATCH(ROW($BZ$13:$BZ$212),ROW($BZ$13:$BZ$212)),""),ROWS($A$13:$A264)))),"")</f>
        <v/>
      </c>
      <c r="CG264" s="341" t="str">
        <f t="array" ref="CG264">IFERROR(IF($CG$11="Yes",INDEX($CB$13:$CB$2950,SMALL(IF((County=$CC$13:$CC$2950),MATCH(ROW($CC$13:$CC$2950),ROW($CC$13:$CC$2950)),""),ROWS($A$13:$A264))),""),"")</f>
        <v/>
      </c>
      <c r="CI264" s="1583">
        <v>33634</v>
      </c>
      <c r="CJ264" s="338" t="s">
        <v>316</v>
      </c>
      <c r="CL264" s="236">
        <v>7</v>
      </c>
      <c r="CM264" s="236" t="s">
        <v>323</v>
      </c>
      <c r="CR264" s="340">
        <v>14.02</v>
      </c>
      <c r="CS264" s="340" t="s">
        <v>323</v>
      </c>
      <c r="CT264" s="1384"/>
      <c r="CU264" s="341">
        <v>34758</v>
      </c>
      <c r="CV264" s="338" t="s">
        <v>339</v>
      </c>
      <c r="CZ264" s="1795">
        <v>18</v>
      </c>
      <c r="DA264" s="338" t="s">
        <v>316</v>
      </c>
      <c r="DF264" s="340">
        <v>601.23</v>
      </c>
      <c r="DG264" s="340" t="s">
        <v>289</v>
      </c>
      <c r="DK264" s="341" t="str">
        <f t="array" ref="DK264">IFERROR(IF($DK$11="Yes",INDEX($DF$13:$DF$2838,SMALL(IF((County=$DG$13:$DG$2838),MATCH(ROW($DG$13:$DG$2838),ROW($DG$13:$DG$2838)),""),ROWS($A$13:$A264))),""),"")</f>
        <v/>
      </c>
      <c r="DM264" s="1387">
        <v>33619</v>
      </c>
      <c r="DN264" s="338" t="s">
        <v>316</v>
      </c>
      <c r="DP264" s="236">
        <v>31</v>
      </c>
      <c r="DQ264" s="236" t="s">
        <v>304</v>
      </c>
      <c r="DV264" s="340">
        <v>15.02</v>
      </c>
      <c r="DW264" s="340" t="s">
        <v>285</v>
      </c>
      <c r="DX264" s="1671"/>
      <c r="EB264" s="618"/>
      <c r="EC264" s="618"/>
      <c r="ED264" s="618"/>
      <c r="EE264" s="618"/>
      <c r="EF264" s="618"/>
      <c r="EG264" s="618"/>
      <c r="EH264" s="618"/>
      <c r="EI264" s="618"/>
      <c r="EJ264" s="618"/>
      <c r="EK264" s="618"/>
      <c r="EL264" s="618"/>
      <c r="EM264" s="618"/>
    </row>
    <row r="265" spans="1:143">
      <c r="A265" s="339">
        <v>34734</v>
      </c>
      <c r="B265" s="338" t="s">
        <v>338</v>
      </c>
      <c r="E265" s="858"/>
      <c r="F265" s="338">
        <v>108.17</v>
      </c>
      <c r="G265" s="338" t="s">
        <v>316</v>
      </c>
      <c r="L265" s="2481">
        <v>605.03</v>
      </c>
      <c r="M265" s="340" t="s">
        <v>289</v>
      </c>
      <c r="N265" s="1390"/>
      <c r="O265" s="2479"/>
      <c r="P265" s="2282"/>
      <c r="T265" s="341" t="str">
        <f t="array" ref="T265">IFERROR(IF($T$11="Yes",INDEX($L$13:$L$2813,SMALL(IF((County=$M$13:$M$2813),MATCH(ROW($M$13:$M$2813),ROW($M$13:$M$2813)),""),ROWS($A$13:A265))),""),"")</f>
        <v/>
      </c>
      <c r="V265" s="2283" t="str">
        <f t="array" ref="V265">IFERROR(IF($T$11="Yes",INDEX($O$14:$O$2811,SMALL(IF((County=$P$14:$P$2811),MATCH(ROW($P$14:$P$2811),ROW($P$14:$P$2811)),""),ROWS($A$13:A265))),""),"")</f>
        <v/>
      </c>
      <c r="X265" s="339">
        <v>33596</v>
      </c>
      <c r="Y265" s="338" t="s">
        <v>316</v>
      </c>
      <c r="AA265" s="338">
        <v>40.08</v>
      </c>
      <c r="AB265" s="338" t="s">
        <v>340</v>
      </c>
      <c r="AG265" s="2297">
        <v>16.010000000000002</v>
      </c>
      <c r="AH265" s="2297" t="s">
        <v>330</v>
      </c>
      <c r="AI265" s="1390"/>
      <c r="AJ265" s="2282"/>
      <c r="AK265" s="2282"/>
      <c r="AL265" s="1037"/>
      <c r="AM265" s="339">
        <v>33473</v>
      </c>
      <c r="AN265" s="338" t="s">
        <v>340</v>
      </c>
      <c r="AQ265" s="858"/>
      <c r="AR265" s="338">
        <v>503.04</v>
      </c>
      <c r="AS265" s="338" t="s">
        <v>318</v>
      </c>
      <c r="AX265" s="340">
        <v>601.29</v>
      </c>
      <c r="AY265" s="340" t="s">
        <v>289</v>
      </c>
      <c r="BC265" s="341" t="str">
        <f t="array" ref="BC265">IFERROR(IF($BC$11="Yes",INDEX($AX$13:$AX$2950,SMALL(IF((County=$AY$13:$AY$2950),MATCH(ROW($AY$13:$AY$2950),ROW($AY$13:$AY$2950)),""),ROWS($A$13:$A265))),""),"")</f>
        <v/>
      </c>
      <c r="BE265" s="339">
        <v>33813</v>
      </c>
      <c r="BF265" s="338" t="s">
        <v>344</v>
      </c>
      <c r="BH265" s="338">
        <v>28.02</v>
      </c>
      <c r="BI265" s="338" t="s">
        <v>302</v>
      </c>
      <c r="BN265" s="340">
        <v>14</v>
      </c>
      <c r="BO265" s="340" t="s">
        <v>276</v>
      </c>
      <c r="BP265" s="1385"/>
      <c r="BQ265" s="341">
        <v>34772</v>
      </c>
      <c r="BR265" s="338" t="s">
        <v>339</v>
      </c>
      <c r="BU265" s="858"/>
      <c r="BV265" s="338">
        <v>714.02</v>
      </c>
      <c r="BW265" s="338" t="s">
        <v>288</v>
      </c>
      <c r="CB265" s="340">
        <v>601.20000000000005</v>
      </c>
      <c r="CC265" s="340" t="s">
        <v>289</v>
      </c>
      <c r="CE265" s="341" t="str">
        <f t="array" ref="CE265">IFERROR(IF($CE$11="Metro",INDEX($BV$13:$BV$4972,SMALL(IF((County=$BW$13:$BW$4972),MATCH(ROW($BW$13:$BW$4972),ROW($BW$13:$BW$4972)),""),ROWS($A$13:$A265))),INDEX($BY$13:$BY$212,SMALL(IF((County=$BZ$13:$BZ$212),MATCH(ROW($BZ$13:$BZ$212),ROW($BZ$13:$BZ$212)),""),ROWS($A$13:$A265)))),"")</f>
        <v/>
      </c>
      <c r="CG265" s="341" t="str">
        <f t="array" ref="CG265">IFERROR(IF($CG$11="Yes",INDEX($CB$13:$CB$2950,SMALL(IF((County=$CC$13:$CC$2950),MATCH(ROW($CC$13:$CC$2950),ROW($CC$13:$CC$2950)),""),ROWS($A$13:$A265))),""),"")</f>
        <v/>
      </c>
      <c r="CI265" s="1583">
        <v>33635</v>
      </c>
      <c r="CJ265" s="338" t="s">
        <v>316</v>
      </c>
      <c r="CL265" s="236">
        <v>7</v>
      </c>
      <c r="CM265" s="236" t="s">
        <v>324</v>
      </c>
      <c r="CR265" s="340">
        <v>14.02</v>
      </c>
      <c r="CS265" s="340" t="s">
        <v>328</v>
      </c>
      <c r="CT265" s="1384"/>
      <c r="CU265" s="341">
        <v>34772</v>
      </c>
      <c r="CV265" s="338" t="s">
        <v>339</v>
      </c>
      <c r="CZ265" s="1795">
        <v>19</v>
      </c>
      <c r="DA265" s="338" t="s">
        <v>316</v>
      </c>
      <c r="DF265" s="340">
        <v>601.25</v>
      </c>
      <c r="DG265" s="340" t="s">
        <v>289</v>
      </c>
      <c r="DK265" s="341" t="str">
        <f t="array" ref="DK265">IFERROR(IF($DK$11="Yes",INDEX($DF$13:$DF$2838,SMALL(IF((County=$DG$13:$DG$2838),MATCH(ROW($DG$13:$DG$2838),ROW($DG$13:$DG$2838)),""),ROWS($A$13:$A265))),""),"")</f>
        <v/>
      </c>
      <c r="DM265" s="1387">
        <v>33621</v>
      </c>
      <c r="DN265" s="338" t="s">
        <v>316</v>
      </c>
      <c r="DP265" s="236">
        <v>31</v>
      </c>
      <c r="DQ265" s="236" t="s">
        <v>331</v>
      </c>
      <c r="DV265" s="340">
        <v>15.04</v>
      </c>
      <c r="DW265" s="340" t="s">
        <v>347</v>
      </c>
      <c r="DX265" s="1671"/>
      <c r="EB265" s="618"/>
      <c r="EC265" s="618"/>
      <c r="ED265" s="618"/>
      <c r="EE265" s="618"/>
      <c r="EF265" s="618"/>
      <c r="EG265" s="618"/>
      <c r="EH265" s="618"/>
      <c r="EI265" s="618"/>
      <c r="EJ265" s="618"/>
      <c r="EK265" s="618"/>
      <c r="EL265" s="618"/>
      <c r="EM265" s="618"/>
    </row>
    <row r="266" spans="1:143">
      <c r="A266" s="339">
        <v>34761</v>
      </c>
      <c r="B266" s="338" t="s">
        <v>338</v>
      </c>
      <c r="E266" s="858"/>
      <c r="F266" s="338">
        <v>108.19</v>
      </c>
      <c r="G266" s="338" t="s">
        <v>316</v>
      </c>
      <c r="L266" s="2481">
        <v>605.04</v>
      </c>
      <c r="M266" s="340" t="s">
        <v>289</v>
      </c>
      <c r="N266" s="1390"/>
      <c r="O266" s="2479"/>
      <c r="P266" s="2282"/>
      <c r="T266" s="341" t="str">
        <f t="array" ref="T266">IFERROR(IF($T$11="Yes",INDEX($L$13:$L$2813,SMALL(IF((County=$M$13:$M$2813),MATCH(ROW($M$13:$M$2813),ROW($M$13:$M$2813)),""),ROWS($A$13:A266))),""),"")</f>
        <v/>
      </c>
      <c r="V266" s="2283" t="str">
        <f t="array" ref="V266">IFERROR(IF($T$11="Yes",INDEX($O$14:$O$2811,SMALL(IF((County=$P$14:$P$2811),MATCH(ROW($P$14:$P$2811),ROW($P$14:$P$2811)),""),ROWS($A$13:A266))),""),"")</f>
        <v/>
      </c>
      <c r="X266" s="339">
        <v>33602</v>
      </c>
      <c r="Y266" s="338" t="s">
        <v>316</v>
      </c>
      <c r="AA266" s="338">
        <v>40.090000000000003</v>
      </c>
      <c r="AB266" s="338" t="s">
        <v>340</v>
      </c>
      <c r="AG266" s="2297">
        <v>16.010000000000002</v>
      </c>
      <c r="AH266" s="2297" t="s">
        <v>347</v>
      </c>
      <c r="AI266" s="1390"/>
      <c r="AJ266" s="2282"/>
      <c r="AK266" s="2282"/>
      <c r="AL266" s="1037"/>
      <c r="AM266" s="339">
        <v>33477</v>
      </c>
      <c r="AN266" s="338" t="s">
        <v>340</v>
      </c>
      <c r="AQ266" s="858"/>
      <c r="AR266" s="338">
        <v>504.01</v>
      </c>
      <c r="AS266" s="338" t="s">
        <v>318</v>
      </c>
      <c r="AX266" s="340">
        <v>602.1</v>
      </c>
      <c r="AY266" s="340" t="s">
        <v>289</v>
      </c>
      <c r="BC266" s="341" t="str">
        <f t="array" ref="BC266">IFERROR(IF($BC$11="Yes",INDEX($AX$13:$AX$2950,SMALL(IF((County=$AY$13:$AY$2950),MATCH(ROW($AY$13:$AY$2950),ROW($AY$13:$AY$2950)),""),ROWS($A$13:$A266))),""),"")</f>
        <v/>
      </c>
      <c r="BE266" s="339">
        <v>33827</v>
      </c>
      <c r="BF266" s="338" t="s">
        <v>344</v>
      </c>
      <c r="BH266" s="338">
        <v>29</v>
      </c>
      <c r="BI266" s="338" t="s">
        <v>304</v>
      </c>
      <c r="BN266" s="340">
        <v>14.01</v>
      </c>
      <c r="BO266" s="340" t="s">
        <v>304</v>
      </c>
      <c r="BP266" s="1385"/>
      <c r="BQ266" s="341">
        <v>34773</v>
      </c>
      <c r="BR266" s="338" t="s">
        <v>339</v>
      </c>
      <c r="BU266" s="858"/>
      <c r="BV266" s="338">
        <v>715</v>
      </c>
      <c r="BW266" s="338" t="s">
        <v>288</v>
      </c>
      <c r="CB266" s="340">
        <v>601.21</v>
      </c>
      <c r="CC266" s="340" t="s">
        <v>289</v>
      </c>
      <c r="CE266" s="341" t="str">
        <f t="array" ref="CE266">IFERROR(IF($CE$11="Metro",INDEX($BV$13:$BV$4972,SMALL(IF((County=$BW$13:$BW$4972),MATCH(ROW($BW$13:$BW$4972),ROW($BW$13:$BW$4972)),""),ROWS($A$13:$A266))),INDEX($BY$13:$BY$212,SMALL(IF((County=$BZ$13:$BZ$212),MATCH(ROW($BZ$13:$BZ$212),ROW($BZ$13:$BZ$212)),""),ROWS($A$13:$A266)))),"")</f>
        <v/>
      </c>
      <c r="CG266" s="341" t="str">
        <f t="array" ref="CG266">IFERROR(IF($CG$11="Yes",INDEX($CB$13:$CB$2950,SMALL(IF((County=$CC$13:$CC$2950),MATCH(ROW($CC$13:$CC$2950),ROW($CC$13:$CC$2950)),""),ROWS($A$13:$A266))),""),"")</f>
        <v/>
      </c>
      <c r="CI266" s="1583">
        <v>33637</v>
      </c>
      <c r="CJ266" s="338" t="s">
        <v>316</v>
      </c>
      <c r="CL266" s="236">
        <v>7</v>
      </c>
      <c r="CM266" s="236" t="s">
        <v>347</v>
      </c>
      <c r="CR266" s="340">
        <v>14.02</v>
      </c>
      <c r="CS266" s="340" t="s">
        <v>347</v>
      </c>
      <c r="CT266" s="1384"/>
      <c r="CU266" s="341">
        <v>34773</v>
      </c>
      <c r="CV266" s="338" t="s">
        <v>339</v>
      </c>
      <c r="CZ266" s="1795">
        <v>20</v>
      </c>
      <c r="DA266" s="338" t="s">
        <v>316</v>
      </c>
      <c r="DF266" s="340">
        <v>601.26</v>
      </c>
      <c r="DG266" s="340" t="s">
        <v>289</v>
      </c>
      <c r="DK266" s="341" t="str">
        <f t="array" ref="DK266">IFERROR(IF($DK$11="Yes",INDEX($DF$13:$DF$2838,SMALL(IF((County=$DG$13:$DG$2838),MATCH(ROW($DG$13:$DG$2838),ROW($DG$13:$DG$2838)),""),ROWS($A$13:$A266))),""),"")</f>
        <v/>
      </c>
      <c r="DM266" s="1387">
        <v>33624</v>
      </c>
      <c r="DN266" s="338" t="s">
        <v>316</v>
      </c>
      <c r="DP266" s="236">
        <v>31.02</v>
      </c>
      <c r="DQ266" s="236" t="s">
        <v>340</v>
      </c>
      <c r="DV266" s="340">
        <v>15.05</v>
      </c>
      <c r="DW266" s="340" t="s">
        <v>347</v>
      </c>
      <c r="DX266" s="1671"/>
      <c r="EB266" s="618"/>
      <c r="EC266" s="618"/>
      <c r="ED266" s="618"/>
      <c r="EE266" s="618"/>
      <c r="EF266" s="618"/>
      <c r="EG266" s="618"/>
      <c r="EH266" s="618"/>
      <c r="EI266" s="618"/>
      <c r="EJ266" s="618"/>
      <c r="EK266" s="618"/>
      <c r="EL266" s="618"/>
      <c r="EM266" s="618"/>
    </row>
    <row r="267" spans="1:143">
      <c r="A267" s="339">
        <v>34786</v>
      </c>
      <c r="B267" s="338" t="s">
        <v>338</v>
      </c>
      <c r="E267" s="858"/>
      <c r="F267" s="338">
        <v>108.2</v>
      </c>
      <c r="G267" s="338" t="s">
        <v>316</v>
      </c>
      <c r="L267" s="2481">
        <v>606.03</v>
      </c>
      <c r="M267" s="340" t="s">
        <v>289</v>
      </c>
      <c r="N267" s="1390"/>
      <c r="O267" s="2479"/>
      <c r="P267" s="2282"/>
      <c r="T267" s="341" t="str">
        <f t="array" ref="T267">IFERROR(IF($T$11="Yes",INDEX($L$13:$L$2813,SMALL(IF((County=$M$13:$M$2813),MATCH(ROW($M$13:$M$2813),ROW($M$13:$M$2813)),""),ROWS($A$13:A267))),""),"")</f>
        <v/>
      </c>
      <c r="V267" s="2283" t="str">
        <f t="array" ref="V267">IFERROR(IF($T$11="Yes",INDEX($O$14:$O$2811,SMALL(IF((County=$P$14:$P$2811),MATCH(ROW($P$14:$P$2811),ROW($P$14:$P$2811)),""),ROWS($A$13:A267))),""),"")</f>
        <v/>
      </c>
      <c r="X267" s="339">
        <v>33606</v>
      </c>
      <c r="Y267" s="338" t="s">
        <v>316</v>
      </c>
      <c r="AA267" s="338">
        <v>40.1</v>
      </c>
      <c r="AB267" s="338" t="s">
        <v>340</v>
      </c>
      <c r="AG267" s="2297">
        <v>16.02</v>
      </c>
      <c r="AH267" s="2297" t="s">
        <v>324</v>
      </c>
      <c r="AI267" s="1390"/>
      <c r="AJ267" s="2282"/>
      <c r="AK267" s="2282"/>
      <c r="AL267" s="1037"/>
      <c r="AM267" s="339">
        <v>33478</v>
      </c>
      <c r="AN267" s="338" t="s">
        <v>340</v>
      </c>
      <c r="AQ267" s="858"/>
      <c r="AR267" s="338">
        <v>301.06</v>
      </c>
      <c r="AS267" s="338" t="s">
        <v>322</v>
      </c>
      <c r="AX267" s="340">
        <v>602.12</v>
      </c>
      <c r="AY267" s="340" t="s">
        <v>289</v>
      </c>
      <c r="BC267" s="341" t="str">
        <f t="array" ref="BC267">IFERROR(IF($BC$11="Yes",INDEX($AX$13:$AX$2950,SMALL(IF((County=$AY$13:$AY$2950),MATCH(ROW($AY$13:$AY$2950),ROW($AY$13:$AY$2950)),""),ROWS($A$13:$A267))),""),"")</f>
        <v/>
      </c>
      <c r="BE267" s="339">
        <v>33837</v>
      </c>
      <c r="BF267" s="338" t="s">
        <v>344</v>
      </c>
      <c r="BH267" s="338">
        <v>29</v>
      </c>
      <c r="BI267" s="338" t="s">
        <v>331</v>
      </c>
      <c r="BN267" s="340">
        <v>14.02</v>
      </c>
      <c r="BO267" s="340" t="s">
        <v>285</v>
      </c>
      <c r="BP267" s="1385"/>
      <c r="BQ267" s="1386">
        <v>33401</v>
      </c>
      <c r="BR267" s="338" t="s">
        <v>340</v>
      </c>
      <c r="BU267" s="858"/>
      <c r="BV267" s="338">
        <v>716.01</v>
      </c>
      <c r="BW267" s="338" t="s">
        <v>288</v>
      </c>
      <c r="CB267" s="340">
        <v>601.22</v>
      </c>
      <c r="CC267" s="340" t="s">
        <v>289</v>
      </c>
      <c r="CE267" s="341" t="str">
        <f t="array" ref="CE267">IFERROR(IF($CE$11="Metro",INDEX($BV$13:$BV$4972,SMALL(IF((County=$BW$13:$BW$4972),MATCH(ROW($BW$13:$BW$4972),ROW($BW$13:$BW$4972)),""),ROWS($A$13:$A267))),INDEX($BY$13:$BY$212,SMALL(IF((County=$BZ$13:$BZ$212),MATCH(ROW($BZ$13:$BZ$212),ROW($BZ$13:$BZ$212)),""),ROWS($A$13:$A267)))),"")</f>
        <v/>
      </c>
      <c r="CG267" s="341" t="str">
        <f t="array" ref="CG267">IFERROR(IF($CG$11="Yes",INDEX($CB$13:$CB$2950,SMALL(IF((County=$CC$13:$CC$2950),MATCH(ROW($CC$13:$CC$2950),ROW($CC$13:$CC$2950)),""),ROWS($A$13:$A267))),""),"")</f>
        <v/>
      </c>
      <c r="CI267" s="1583">
        <v>33647</v>
      </c>
      <c r="CJ267" s="338" t="s">
        <v>316</v>
      </c>
      <c r="CL267" s="236">
        <v>7.01</v>
      </c>
      <c r="CM267" s="236" t="s">
        <v>316</v>
      </c>
      <c r="CR267" s="340">
        <v>14.03</v>
      </c>
      <c r="CS267" s="340" t="s">
        <v>285</v>
      </c>
      <c r="CT267" s="1384"/>
      <c r="CU267" s="341">
        <v>33401</v>
      </c>
      <c r="CV267" s="338" t="s">
        <v>340</v>
      </c>
      <c r="CZ267" s="1795">
        <v>25</v>
      </c>
      <c r="DA267" s="338" t="s">
        <v>316</v>
      </c>
      <c r="DF267" s="340">
        <v>602.09</v>
      </c>
      <c r="DG267" s="340" t="s">
        <v>289</v>
      </c>
      <c r="DK267" s="341" t="str">
        <f t="array" ref="DK267">IFERROR(IF($DK$11="Yes",INDEX($DF$13:$DF$2838,SMALL(IF((County=$DG$13:$DG$2838),MATCH(ROW($DG$13:$DG$2838),ROW($DG$13:$DG$2838)),""),ROWS($A$13:$A267))),""),"")</f>
        <v/>
      </c>
      <c r="DM267" s="1387">
        <v>33625</v>
      </c>
      <c r="DN267" s="338" t="s">
        <v>316</v>
      </c>
      <c r="DP267" s="236">
        <v>32</v>
      </c>
      <c r="DQ267" s="236" t="s">
        <v>316</v>
      </c>
      <c r="DV267" s="340">
        <v>15.08</v>
      </c>
      <c r="DW267" s="340" t="s">
        <v>347</v>
      </c>
      <c r="DX267" s="1671"/>
      <c r="EB267" s="618"/>
      <c r="EC267" s="618"/>
      <c r="ED267" s="618"/>
      <c r="EE267" s="618"/>
      <c r="EF267" s="618"/>
      <c r="EG267" s="618"/>
      <c r="EH267" s="618"/>
      <c r="EI267" s="618"/>
      <c r="EJ267" s="618"/>
      <c r="EK267" s="618"/>
      <c r="EL267" s="618"/>
      <c r="EM267" s="618"/>
    </row>
    <row r="268" spans="1:143">
      <c r="A268" s="339">
        <v>34787</v>
      </c>
      <c r="B268" s="338" t="s">
        <v>338</v>
      </c>
      <c r="E268" s="858"/>
      <c r="F268" s="338">
        <v>108.21</v>
      </c>
      <c r="G268" s="338" t="s">
        <v>316</v>
      </c>
      <c r="L268" s="2481">
        <v>606.04999999999995</v>
      </c>
      <c r="M268" s="340" t="s">
        <v>289</v>
      </c>
      <c r="N268" s="1390"/>
      <c r="O268" s="2479"/>
      <c r="P268" s="2282"/>
      <c r="T268" s="341" t="str">
        <f t="array" ref="T268">IFERROR(IF($T$11="Yes",INDEX($L$13:$L$2813,SMALL(IF((County=$M$13:$M$2813),MATCH(ROW($M$13:$M$2813),ROW($M$13:$M$2813)),""),ROWS($A$13:A268))),""),"")</f>
        <v/>
      </c>
      <c r="V268" s="2283" t="str">
        <f t="array" ref="V268">IFERROR(IF($T$11="Yes",INDEX($O$14:$O$2811,SMALL(IF((County=$P$14:$P$2811),MATCH(ROW($P$14:$P$2811),ROW($P$14:$P$2811)),""),ROWS($A$13:A268))),""),"")</f>
        <v/>
      </c>
      <c r="X268" s="339">
        <v>33607</v>
      </c>
      <c r="Y268" s="338" t="s">
        <v>316</v>
      </c>
      <c r="AA268" s="338">
        <v>40.11</v>
      </c>
      <c r="AB268" s="338" t="s">
        <v>340</v>
      </c>
      <c r="AG268" s="2297">
        <v>16.02</v>
      </c>
      <c r="AH268" s="2297" t="s">
        <v>328</v>
      </c>
      <c r="AI268" s="1390"/>
      <c r="AJ268" s="2282"/>
      <c r="AK268" s="2282"/>
      <c r="AL268" s="1037"/>
      <c r="AM268" s="339">
        <v>33480</v>
      </c>
      <c r="AN268" s="338" t="s">
        <v>340</v>
      </c>
      <c r="AQ268" s="858"/>
      <c r="AR268" s="338">
        <v>302.06</v>
      </c>
      <c r="AS268" s="338" t="s">
        <v>322</v>
      </c>
      <c r="AX268" s="340">
        <v>603.05999999999995</v>
      </c>
      <c r="AY268" s="340" t="s">
        <v>289</v>
      </c>
      <c r="BC268" s="341" t="str">
        <f t="array" ref="BC268">IFERROR(IF($BC$11="Yes",INDEX($AX$13:$AX$2950,SMALL(IF((County=$AY$13:$AY$2950),MATCH(ROW($AY$13:$AY$2950),ROW($AY$13:$AY$2950)),""),ROWS($A$13:$A268))),""),"")</f>
        <v/>
      </c>
      <c r="BE268" s="339">
        <v>33848</v>
      </c>
      <c r="BF268" s="338" t="s">
        <v>339</v>
      </c>
      <c r="BH268" s="338">
        <v>29</v>
      </c>
      <c r="BI268" s="338" t="s">
        <v>340</v>
      </c>
      <c r="BN268" s="340">
        <v>14.02</v>
      </c>
      <c r="BO268" s="340" t="s">
        <v>323</v>
      </c>
      <c r="BP268" s="1385"/>
      <c r="BQ268" s="1386">
        <v>33408</v>
      </c>
      <c r="BR268" s="338" t="s">
        <v>340</v>
      </c>
      <c r="BU268" s="858"/>
      <c r="BV268" s="338">
        <v>716.02</v>
      </c>
      <c r="BW268" s="338" t="s">
        <v>288</v>
      </c>
      <c r="CB268" s="340">
        <v>601.23</v>
      </c>
      <c r="CC268" s="340" t="s">
        <v>289</v>
      </c>
      <c r="CE268" s="341" t="str">
        <f t="array" ref="CE268">IFERROR(IF($CE$11="Metro",INDEX($BV$13:$BV$4972,SMALL(IF((County=$BW$13:$BW$4972),MATCH(ROW($BW$13:$BW$4972),ROW($BW$13:$BW$4972)),""),ROWS($A$13:$A268))),INDEX($BY$13:$BY$212,SMALL(IF((County=$BZ$13:$BZ$212),MATCH(ROW($BZ$13:$BZ$212),ROW($BZ$13:$BZ$212)),""),ROWS($A$13:$A268)))),"")</f>
        <v/>
      </c>
      <c r="CG268" s="341" t="str">
        <f t="array" ref="CG268">IFERROR(IF($CG$11="Yes",INDEX($CB$13:$CB$2950,SMALL(IF((County=$CC$13:$CC$2950),MATCH(ROW($CC$13:$CC$2950),ROW($CC$13:$CC$2950)),""),ROWS($A$13:$A268))),""),"")</f>
        <v/>
      </c>
      <c r="CI268" s="1583">
        <v>33701</v>
      </c>
      <c r="CJ268" s="338" t="s">
        <v>342</v>
      </c>
      <c r="CL268" s="236">
        <v>7.01</v>
      </c>
      <c r="CM268" s="236" t="s">
        <v>330</v>
      </c>
      <c r="CR268" s="340">
        <v>14.03</v>
      </c>
      <c r="CS268" s="340" t="s">
        <v>329</v>
      </c>
      <c r="CT268" s="1384"/>
      <c r="CU268" s="341">
        <v>33406</v>
      </c>
      <c r="CV268" s="338" t="s">
        <v>340</v>
      </c>
      <c r="CZ268" s="1795">
        <v>26</v>
      </c>
      <c r="DA268" s="338" t="s">
        <v>316</v>
      </c>
      <c r="DF268" s="340">
        <v>602.1</v>
      </c>
      <c r="DG268" s="340" t="s">
        <v>289</v>
      </c>
      <c r="DK268" s="341" t="str">
        <f t="array" ref="DK268">IFERROR(IF($DK$11="Yes",INDEX($DF$13:$DF$2838,SMALL(IF((County=$DG$13:$DG$2838),MATCH(ROW($DG$13:$DG$2838),ROW($DG$13:$DG$2838)),""),ROWS($A$13:$A268))),""),"")</f>
        <v/>
      </c>
      <c r="DM268" s="1387">
        <v>33626</v>
      </c>
      <c r="DN268" s="338" t="s">
        <v>316</v>
      </c>
      <c r="DP268" s="236">
        <v>32.01</v>
      </c>
      <c r="DQ268" s="236" t="s">
        <v>340</v>
      </c>
      <c r="DV268" s="340">
        <v>15.1</v>
      </c>
      <c r="DW268" s="340" t="s">
        <v>347</v>
      </c>
      <c r="DX268" s="1671"/>
      <c r="EB268" s="618"/>
      <c r="EC268" s="618"/>
      <c r="ED268" s="618"/>
      <c r="EE268" s="618"/>
      <c r="EF268" s="618"/>
      <c r="EG268" s="618"/>
      <c r="EH268" s="618"/>
      <c r="EI268" s="618"/>
      <c r="EJ268" s="618"/>
      <c r="EK268" s="618"/>
      <c r="EL268" s="618"/>
      <c r="EM268" s="618"/>
    </row>
    <row r="269" spans="1:143">
      <c r="A269" s="339">
        <v>33896</v>
      </c>
      <c r="B269" s="338" t="s">
        <v>339</v>
      </c>
      <c r="E269" s="858"/>
      <c r="F269" s="338">
        <v>108.22</v>
      </c>
      <c r="G269" s="338" t="s">
        <v>316</v>
      </c>
      <c r="L269" s="2481">
        <v>606.05999999999995</v>
      </c>
      <c r="M269" s="340" t="s">
        <v>289</v>
      </c>
      <c r="N269" s="1390"/>
      <c r="O269" s="2479"/>
      <c r="P269" s="2282"/>
      <c r="T269" s="341" t="str">
        <f t="array" ref="T269">IFERROR(IF($T$11="Yes",INDEX($L$13:$L$2813,SMALL(IF((County=$M$13:$M$2813),MATCH(ROW($M$13:$M$2813),ROW($M$13:$M$2813)),""),ROWS($A$13:A269))),""),"")</f>
        <v/>
      </c>
      <c r="V269" s="2283" t="str">
        <f t="array" ref="V269">IFERROR(IF($T$11="Yes",INDEX($O$14:$O$2811,SMALL(IF((County=$P$14:$P$2811),MATCH(ROW($P$14:$P$2811),ROW($P$14:$P$2811)),""),ROWS($A$13:A269))),""),"")</f>
        <v/>
      </c>
      <c r="X269" s="339">
        <v>33609</v>
      </c>
      <c r="Y269" s="338" t="s">
        <v>316</v>
      </c>
      <c r="AA269" s="338">
        <v>40.130000000000003</v>
      </c>
      <c r="AB269" s="338" t="s">
        <v>340</v>
      </c>
      <c r="AG269" s="2297">
        <v>16.02</v>
      </c>
      <c r="AH269" s="2297" t="s">
        <v>330</v>
      </c>
      <c r="AI269" s="1390"/>
      <c r="AJ269" s="2282"/>
      <c r="AK269" s="2282"/>
      <c r="AL269" s="1037"/>
      <c r="AM269" s="339">
        <v>33483</v>
      </c>
      <c r="AN269" s="338" t="s">
        <v>340</v>
      </c>
      <c r="AQ269" s="858"/>
      <c r="AR269" s="338">
        <v>302.08999999999997</v>
      </c>
      <c r="AS269" s="338" t="s">
        <v>322</v>
      </c>
      <c r="AX269" s="340">
        <v>605.01</v>
      </c>
      <c r="AY269" s="340" t="s">
        <v>289</v>
      </c>
      <c r="BC269" s="341" t="str">
        <f t="array" ref="BC269">IFERROR(IF($BC$11="Yes",INDEX($AX$13:$AX$2950,SMALL(IF((County=$AY$13:$AY$2950),MATCH(ROW($AY$13:$AY$2950),ROW($AY$13:$AY$2950)),""),ROWS($A$13:$A269))),""),"")</f>
        <v/>
      </c>
      <c r="BE269" s="339">
        <v>33851</v>
      </c>
      <c r="BF269" s="338" t="s">
        <v>344</v>
      </c>
      <c r="BH269" s="338">
        <v>29.01</v>
      </c>
      <c r="BI269" s="338" t="s">
        <v>302</v>
      </c>
      <c r="BN269" s="340">
        <v>14.02</v>
      </c>
      <c r="BO269" s="340" t="s">
        <v>328</v>
      </c>
      <c r="BP269" s="1385"/>
      <c r="BQ269" s="1386">
        <v>33409</v>
      </c>
      <c r="BR269" s="338" t="s">
        <v>340</v>
      </c>
      <c r="BU269" s="858"/>
      <c r="BV269" s="338">
        <v>717</v>
      </c>
      <c r="BW269" s="338" t="s">
        <v>288</v>
      </c>
      <c r="CB269" s="340">
        <v>601.26</v>
      </c>
      <c r="CC269" s="340" t="s">
        <v>289</v>
      </c>
      <c r="CE269" s="341" t="str">
        <f t="array" ref="CE269">IFERROR(IF($CE$11="Metro",INDEX($BV$13:$BV$4972,SMALL(IF((County=$BW$13:$BW$4972),MATCH(ROW($BW$13:$BW$4972),ROW($BW$13:$BW$4972)),""),ROWS($A$13:$A269))),INDEX($BY$13:$BY$212,SMALL(IF((County=$BZ$13:$BZ$212),MATCH(ROW($BZ$13:$BZ$212),ROW($BZ$13:$BZ$212)),""),ROWS($A$13:$A269)))),"")</f>
        <v/>
      </c>
      <c r="CG269" s="341" t="str">
        <f t="array" ref="CG269">IFERROR(IF($CG$11="Yes",INDEX($CB$13:$CB$2950,SMALL(IF((County=$CC$13:$CC$2950),MATCH(ROW($CC$13:$CC$2950),ROW($CC$13:$CC$2950)),""),ROWS($A$13:$A269))),""),"")</f>
        <v/>
      </c>
      <c r="CI269" s="1583">
        <v>33702</v>
      </c>
      <c r="CJ269" s="338" t="s">
        <v>342</v>
      </c>
      <c r="CL269" s="236">
        <v>7.02</v>
      </c>
      <c r="CM269" s="236" t="s">
        <v>316</v>
      </c>
      <c r="CR269" s="340">
        <v>14.03</v>
      </c>
      <c r="CS269" s="340" t="s">
        <v>347</v>
      </c>
      <c r="CT269" s="1384"/>
      <c r="CU269" s="341">
        <v>33408</v>
      </c>
      <c r="CV269" s="338" t="s">
        <v>340</v>
      </c>
      <c r="CZ269" s="1795">
        <v>30</v>
      </c>
      <c r="DA269" s="338" t="s">
        <v>316</v>
      </c>
      <c r="DF269" s="340">
        <v>602.11</v>
      </c>
      <c r="DG269" s="340" t="s">
        <v>289</v>
      </c>
      <c r="DK269" s="341" t="str">
        <f t="array" ref="DK269">IFERROR(IF($DK$11="Yes",INDEX($DF$13:$DF$2838,SMALL(IF((County=$DG$13:$DG$2838),MATCH(ROW($DG$13:$DG$2838),ROW($DG$13:$DG$2838)),""),ROWS($A$13:$A269))),""),"")</f>
        <v/>
      </c>
      <c r="DM269" s="1387">
        <v>33629</v>
      </c>
      <c r="DN269" s="338" t="s">
        <v>316</v>
      </c>
      <c r="DP269" s="236">
        <v>33</v>
      </c>
      <c r="DQ269" s="236" t="s">
        <v>316</v>
      </c>
      <c r="DV269" s="340">
        <v>15.11</v>
      </c>
      <c r="DW269" s="340" t="s">
        <v>347</v>
      </c>
      <c r="DX269" s="1671"/>
      <c r="EB269" s="618"/>
      <c r="EC269" s="618"/>
      <c r="ED269" s="618"/>
      <c r="EE269" s="618"/>
      <c r="EF269" s="618"/>
      <c r="EG269" s="618"/>
      <c r="EH269" s="618"/>
      <c r="EI269" s="618"/>
      <c r="EJ269" s="618"/>
      <c r="EK269" s="618"/>
      <c r="EL269" s="618"/>
      <c r="EM269" s="618"/>
    </row>
    <row r="270" spans="1:143">
      <c r="A270" s="339">
        <v>33897</v>
      </c>
      <c r="B270" s="338" t="s">
        <v>339</v>
      </c>
      <c r="E270" s="858"/>
      <c r="F270" s="338">
        <v>108.23</v>
      </c>
      <c r="G270" s="338" t="s">
        <v>316</v>
      </c>
      <c r="L270" s="2481">
        <v>606.07000000000005</v>
      </c>
      <c r="M270" s="340" t="s">
        <v>289</v>
      </c>
      <c r="N270" s="1390"/>
      <c r="O270" s="2479"/>
      <c r="P270" s="2282"/>
      <c r="T270" s="341" t="str">
        <f t="array" ref="T270">IFERROR(IF($T$11="Yes",INDEX($L$13:$L$2813,SMALL(IF((County=$M$13:$M$2813),MATCH(ROW($M$13:$M$2813),ROW($M$13:$M$2813)),""),ROWS($A$13:A270))),""),"")</f>
        <v/>
      </c>
      <c r="V270" s="2283" t="str">
        <f t="array" ref="V270">IFERROR(IF($T$11="Yes",INDEX($O$14:$O$2811,SMALL(IF((County=$P$14:$P$2811),MATCH(ROW($P$14:$P$2811),ROW($P$14:$P$2811)),""),ROWS($A$13:A270))),""),"")</f>
        <v/>
      </c>
      <c r="X270" s="339">
        <v>33611</v>
      </c>
      <c r="Y270" s="338" t="s">
        <v>316</v>
      </c>
      <c r="AA270" s="338">
        <v>41</v>
      </c>
      <c r="AB270" s="338" t="s">
        <v>316</v>
      </c>
      <c r="AG270" s="2297">
        <v>16.02</v>
      </c>
      <c r="AH270" s="2297" t="s">
        <v>347</v>
      </c>
      <c r="AI270" s="1390"/>
      <c r="AJ270" s="2282"/>
      <c r="AK270" s="2282"/>
      <c r="AL270" s="1037"/>
      <c r="AM270" s="339">
        <v>33484</v>
      </c>
      <c r="AN270" s="338" t="s">
        <v>340</v>
      </c>
      <c r="AQ270" s="858"/>
      <c r="AR270" s="338">
        <v>305.07</v>
      </c>
      <c r="AS270" s="338" t="s">
        <v>322</v>
      </c>
      <c r="AX270" s="340">
        <v>605.03</v>
      </c>
      <c r="AY270" s="340" t="s">
        <v>289</v>
      </c>
      <c r="BC270" s="341" t="str">
        <f t="array" ref="BC270">IFERROR(IF($BC$11="Yes",INDEX($AX$13:$AX$2950,SMALL(IF((County=$AY$13:$AY$2950),MATCH(ROW($AY$13:$AY$2950),ROW($AY$13:$AY$2950)),""),ROWS($A$13:$A270))),""),"")</f>
        <v/>
      </c>
      <c r="BE270" s="339">
        <v>33875</v>
      </c>
      <c r="BF270" s="338" t="s">
        <v>315</v>
      </c>
      <c r="BH270" s="338">
        <v>29.02</v>
      </c>
      <c r="BI270" s="338" t="s">
        <v>302</v>
      </c>
      <c r="BN270" s="340">
        <v>14.02</v>
      </c>
      <c r="BO270" s="340" t="s">
        <v>347</v>
      </c>
      <c r="BP270" s="1385"/>
      <c r="BQ270" s="1386">
        <v>33410</v>
      </c>
      <c r="BR270" s="338" t="s">
        <v>340</v>
      </c>
      <c r="BU270" s="858"/>
      <c r="BV270" s="338">
        <v>9800</v>
      </c>
      <c r="BW270" s="338" t="s">
        <v>288</v>
      </c>
      <c r="CB270" s="340">
        <v>602.1</v>
      </c>
      <c r="CC270" s="340" t="s">
        <v>289</v>
      </c>
      <c r="CE270" s="341" t="str">
        <f t="array" ref="CE270">IFERROR(IF($CE$11="Metro",INDEX($BV$13:$BV$4972,SMALL(IF((County=$BW$13:$BW$4972),MATCH(ROW($BW$13:$BW$4972),ROW($BW$13:$BW$4972)),""),ROWS($A$13:$A270))),INDEX($BY$13:$BY$212,SMALL(IF((County=$BZ$13:$BZ$212),MATCH(ROW($BZ$13:$BZ$212),ROW($BZ$13:$BZ$212)),""),ROWS($A$13:$A270)))),"")</f>
        <v/>
      </c>
      <c r="CG270" s="341" t="str">
        <f t="array" ref="CG270">IFERROR(IF($CG$11="Yes",INDEX($CB$13:$CB$2950,SMALL(IF((County=$CC$13:$CC$2950),MATCH(ROW($CC$13:$CC$2950),ROW($CC$13:$CC$2950)),""),ROWS($A$13:$A270))),""),"")</f>
        <v/>
      </c>
      <c r="CI270" s="1583">
        <v>33703</v>
      </c>
      <c r="CJ270" s="338" t="s">
        <v>342</v>
      </c>
      <c r="CL270" s="236">
        <v>7.02</v>
      </c>
      <c r="CM270" s="236" t="s">
        <v>330</v>
      </c>
      <c r="CR270" s="340">
        <v>14.04</v>
      </c>
      <c r="CS270" s="340" t="s">
        <v>285</v>
      </c>
      <c r="CT270" s="1384"/>
      <c r="CU270" s="341">
        <v>33409</v>
      </c>
      <c r="CV270" s="338" t="s">
        <v>340</v>
      </c>
      <c r="CZ270" s="1795">
        <v>32</v>
      </c>
      <c r="DA270" s="338" t="s">
        <v>316</v>
      </c>
      <c r="DF270" s="340">
        <v>602.12</v>
      </c>
      <c r="DG270" s="340" t="s">
        <v>289</v>
      </c>
      <c r="DK270" s="341" t="str">
        <f t="array" ref="DK270">IFERROR(IF($DK$11="Yes",INDEX($DF$13:$DF$2838,SMALL(IF((County=$DG$13:$DG$2838),MATCH(ROW($DG$13:$DG$2838),ROW($DG$13:$DG$2838)),""),ROWS($A$13:$A270))),""),"")</f>
        <v/>
      </c>
      <c r="DM270" s="1387">
        <v>33634</v>
      </c>
      <c r="DN270" s="338" t="s">
        <v>316</v>
      </c>
      <c r="DP270" s="236">
        <v>34</v>
      </c>
      <c r="DQ270" s="236" t="s">
        <v>316</v>
      </c>
      <c r="DV270" s="340">
        <v>15.14</v>
      </c>
      <c r="DW270" s="340" t="s">
        <v>276</v>
      </c>
      <c r="DX270" s="1671"/>
      <c r="EB270" s="618"/>
      <c r="EC270" s="618"/>
      <c r="ED270" s="618"/>
      <c r="EE270" s="618"/>
      <c r="EF270" s="618"/>
      <c r="EG270" s="618"/>
      <c r="EH270" s="618"/>
      <c r="EI270" s="618"/>
      <c r="EJ270" s="618"/>
      <c r="EK270" s="618"/>
      <c r="EL270" s="618"/>
      <c r="EM270" s="618"/>
    </row>
    <row r="271" spans="1:143">
      <c r="A271" s="339">
        <v>34743</v>
      </c>
      <c r="B271" s="338" t="s">
        <v>339</v>
      </c>
      <c r="E271" s="858"/>
      <c r="F271" s="338">
        <v>108.24</v>
      </c>
      <c r="G271" s="338" t="s">
        <v>316</v>
      </c>
      <c r="L271" s="2481">
        <v>606.08000000000004</v>
      </c>
      <c r="M271" s="340" t="s">
        <v>289</v>
      </c>
      <c r="N271" s="1390"/>
      <c r="O271" s="2479"/>
      <c r="P271" s="2282"/>
      <c r="T271" s="341" t="str">
        <f t="array" ref="T271">IFERROR(IF($T$11="Yes",INDEX($L$13:$L$2813,SMALL(IF((County=$M$13:$M$2813),MATCH(ROW($M$13:$M$2813),ROW($M$13:$M$2813)),""),ROWS($A$13:A271))),""),"")</f>
        <v/>
      </c>
      <c r="V271" s="2283" t="str">
        <f t="array" ref="V271">IFERROR(IF($T$11="Yes",INDEX($O$14:$O$2811,SMALL(IF((County=$P$14:$P$2811),MATCH(ROW($P$14:$P$2811),ROW($P$14:$P$2811)),""),ROWS($A$13:A271))),""),"")</f>
        <v/>
      </c>
      <c r="X271" s="339">
        <v>33614</v>
      </c>
      <c r="Y271" s="338" t="s">
        <v>316</v>
      </c>
      <c r="AA271" s="338">
        <v>41.03</v>
      </c>
      <c r="AB271" s="338" t="s">
        <v>331</v>
      </c>
      <c r="AG271" s="2297">
        <v>16.03</v>
      </c>
      <c r="AH271" s="2297" t="s">
        <v>328</v>
      </c>
      <c r="AI271" s="1390"/>
      <c r="AJ271" s="2282"/>
      <c r="AK271" s="2282"/>
      <c r="AL271" s="1037"/>
      <c r="AM271" s="339">
        <v>33486</v>
      </c>
      <c r="AN271" s="338" t="s">
        <v>340</v>
      </c>
      <c r="AQ271" s="858"/>
      <c r="AR271" s="338">
        <v>306.01</v>
      </c>
      <c r="AS271" s="338" t="s">
        <v>322</v>
      </c>
      <c r="AX271" s="340">
        <v>605.04</v>
      </c>
      <c r="AY271" s="340" t="s">
        <v>289</v>
      </c>
      <c r="BC271" s="341" t="str">
        <f t="array" ref="BC271">IFERROR(IF($BC$11="Yes",INDEX($AX$13:$AX$2950,SMALL(IF((County=$AY$13:$AY$2950),MATCH(ROW($AY$13:$AY$2950),ROW($AY$13:$AY$2950)),""),ROWS($A$13:$A271))),""),"")</f>
        <v/>
      </c>
      <c r="BE271" s="339">
        <v>33876</v>
      </c>
      <c r="BF271" s="338" t="s">
        <v>315</v>
      </c>
      <c r="BH271" s="338">
        <v>30</v>
      </c>
      <c r="BI271" s="338" t="s">
        <v>316</v>
      </c>
      <c r="BN271" s="340">
        <v>14.03</v>
      </c>
      <c r="BO271" s="340" t="s">
        <v>285</v>
      </c>
      <c r="BP271" s="1385"/>
      <c r="BQ271" s="1386">
        <v>33411</v>
      </c>
      <c r="BR271" s="338" t="s">
        <v>340</v>
      </c>
      <c r="BU271" s="858"/>
      <c r="BV271" s="338">
        <v>9801</v>
      </c>
      <c r="BW271" s="338" t="s">
        <v>288</v>
      </c>
      <c r="CB271" s="340">
        <v>602.12</v>
      </c>
      <c r="CC271" s="340" t="s">
        <v>289</v>
      </c>
      <c r="CE271" s="341" t="str">
        <f t="array" ref="CE271">IFERROR(IF($CE$11="Metro",INDEX($BV$13:$BV$4972,SMALL(IF((County=$BW$13:$BW$4972),MATCH(ROW($BW$13:$BW$4972),ROW($BW$13:$BW$4972)),""),ROWS($A$13:$A271))),INDEX($BY$13:$BY$212,SMALL(IF((County=$BZ$13:$BZ$212),MATCH(ROW($BZ$13:$BZ$212),ROW($BZ$13:$BZ$212)),""),ROWS($A$13:$A271)))),"")</f>
        <v/>
      </c>
      <c r="CG271" s="341" t="str">
        <f t="array" ref="CG271">IFERROR(IF($CG$11="Yes",INDEX($CB$13:$CB$2950,SMALL(IF((County=$CC$13:$CC$2950),MATCH(ROW($CC$13:$CC$2950),ROW($CC$13:$CC$2950)),""),ROWS($A$13:$A271))),""),"")</f>
        <v/>
      </c>
      <c r="CI271" s="1583">
        <v>33705</v>
      </c>
      <c r="CJ271" s="338" t="s">
        <v>342</v>
      </c>
      <c r="CL271" s="236">
        <v>7.02</v>
      </c>
      <c r="CM271" s="236" t="s">
        <v>340</v>
      </c>
      <c r="CR271" s="340">
        <v>14.04</v>
      </c>
      <c r="CS271" s="340" t="s">
        <v>328</v>
      </c>
      <c r="CT271" s="1384"/>
      <c r="CU271" s="341">
        <v>33410</v>
      </c>
      <c r="CV271" s="338" t="s">
        <v>340</v>
      </c>
      <c r="CZ271" s="1795">
        <v>33</v>
      </c>
      <c r="DA271" s="338" t="s">
        <v>316</v>
      </c>
      <c r="DF271" s="340">
        <v>605.03</v>
      </c>
      <c r="DG271" s="340" t="s">
        <v>289</v>
      </c>
      <c r="DK271" s="341" t="str">
        <f t="array" ref="DK271">IFERROR(IF($DK$11="Yes",INDEX($DF$13:$DF$2838,SMALL(IF((County=$DG$13:$DG$2838),MATCH(ROW($DG$13:$DG$2838),ROW($DG$13:$DG$2838)),""),ROWS($A$13:$A271))),""),"")</f>
        <v/>
      </c>
      <c r="DM271" s="1387">
        <v>33635</v>
      </c>
      <c r="DN271" s="338" t="s">
        <v>316</v>
      </c>
      <c r="DP271" s="236">
        <v>34</v>
      </c>
      <c r="DQ271" s="236" t="s">
        <v>331</v>
      </c>
      <c r="DV271" s="340">
        <v>15.17</v>
      </c>
      <c r="DW271" s="340" t="s">
        <v>276</v>
      </c>
      <c r="DX271" s="1671"/>
      <c r="EB271" s="618"/>
      <c r="EC271" s="618"/>
      <c r="ED271" s="618"/>
      <c r="EE271" s="618"/>
      <c r="EF271" s="618"/>
      <c r="EG271" s="618"/>
      <c r="EH271" s="618"/>
      <c r="EI271" s="618"/>
      <c r="EJ271" s="618"/>
      <c r="EK271" s="618"/>
      <c r="EL271" s="618"/>
      <c r="EM271" s="618"/>
    </row>
    <row r="272" spans="1:143">
      <c r="A272" s="339">
        <v>34746</v>
      </c>
      <c r="B272" s="338" t="s">
        <v>339</v>
      </c>
      <c r="E272" s="858"/>
      <c r="F272" s="338">
        <v>110.03</v>
      </c>
      <c r="G272" s="338" t="s">
        <v>316</v>
      </c>
      <c r="L272" s="2481">
        <v>606.09</v>
      </c>
      <c r="M272" s="340" t="s">
        <v>289</v>
      </c>
      <c r="N272" s="1390"/>
      <c r="O272" s="2479"/>
      <c r="P272" s="2282"/>
      <c r="T272" s="341" t="str">
        <f t="array" ref="T272">IFERROR(IF($T$11="Yes",INDEX($L$13:$L$2813,SMALL(IF((County=$M$13:$M$2813),MATCH(ROW($M$13:$M$2813),ROW($M$13:$M$2813)),""),ROWS($A$13:A272))),""),"")</f>
        <v/>
      </c>
      <c r="V272" s="2283" t="str">
        <f t="array" ref="V272">IFERROR(IF($T$11="Yes",INDEX($O$14:$O$2811,SMALL(IF((County=$P$14:$P$2811),MATCH(ROW($P$14:$P$2811),ROW($P$14:$P$2811)),""),ROWS($A$13:A272))),""),"")</f>
        <v/>
      </c>
      <c r="X272" s="339">
        <v>33615</v>
      </c>
      <c r="Y272" s="338" t="s">
        <v>316</v>
      </c>
      <c r="AA272" s="338">
        <v>43</v>
      </c>
      <c r="AB272" s="338" t="s">
        <v>316</v>
      </c>
      <c r="AG272" s="2297">
        <v>16.07</v>
      </c>
      <c r="AH272" s="2297" t="s">
        <v>331</v>
      </c>
      <c r="AI272" s="1390"/>
      <c r="AJ272" s="2282"/>
      <c r="AK272" s="2282"/>
      <c r="AL272" s="1037"/>
      <c r="AM272" s="339">
        <v>33487</v>
      </c>
      <c r="AN272" s="338" t="s">
        <v>340</v>
      </c>
      <c r="AQ272" s="858"/>
      <c r="AR272" s="338">
        <v>306.02</v>
      </c>
      <c r="AS272" s="338" t="s">
        <v>322</v>
      </c>
      <c r="AX272" s="340">
        <v>606.03</v>
      </c>
      <c r="AY272" s="340" t="s">
        <v>289</v>
      </c>
      <c r="BC272" s="341" t="str">
        <f t="array" ref="BC272">IFERROR(IF($BC$11="Yes",INDEX($AX$13:$AX$2950,SMALL(IF((County=$AY$13:$AY$2950),MATCH(ROW($AY$13:$AY$2950),ROW($AY$13:$AY$2950)),""),ROWS($A$13:$A272))),""),"")</f>
        <v/>
      </c>
      <c r="BE272" s="339">
        <v>33884</v>
      </c>
      <c r="BF272" s="338" t="s">
        <v>344</v>
      </c>
      <c r="BH272" s="338">
        <v>30</v>
      </c>
      <c r="BI272" s="338" t="s">
        <v>340</v>
      </c>
      <c r="BN272" s="340">
        <v>14.03</v>
      </c>
      <c r="BO272" s="340" t="s">
        <v>329</v>
      </c>
      <c r="BP272" s="1385"/>
      <c r="BQ272" s="1386">
        <v>33412</v>
      </c>
      <c r="BR272" s="338" t="s">
        <v>340</v>
      </c>
      <c r="BU272" s="858"/>
      <c r="BV272" s="338">
        <v>9900</v>
      </c>
      <c r="BW272" s="338" t="s">
        <v>288</v>
      </c>
      <c r="CB272" s="340">
        <v>605.03</v>
      </c>
      <c r="CC272" s="340" t="s">
        <v>289</v>
      </c>
      <c r="CE272" s="341" t="str">
        <f t="array" ref="CE272">IFERROR(IF($CE$11="Metro",INDEX($BV$13:$BV$4972,SMALL(IF((County=$BW$13:$BW$4972),MATCH(ROW($BW$13:$BW$4972),ROW($BW$13:$BW$4972)),""),ROWS($A$13:$A272))),INDEX($BY$13:$BY$212,SMALL(IF((County=$BZ$13:$BZ$212),MATCH(ROW($BZ$13:$BZ$212),ROW($BZ$13:$BZ$212)),""),ROWS($A$13:$A272)))),"")</f>
        <v/>
      </c>
      <c r="CG272" s="341" t="str">
        <f t="array" ref="CG272">IFERROR(IF($CG$11="Yes",INDEX($CB$13:$CB$2950,SMALL(IF((County=$CC$13:$CC$2950),MATCH(ROW($CC$13:$CC$2950),ROW($CC$13:$CC$2950)),""),ROWS($A$13:$A272))),""),"")</f>
        <v/>
      </c>
      <c r="CI272" s="1583">
        <v>33706</v>
      </c>
      <c r="CJ272" s="338" t="s">
        <v>342</v>
      </c>
      <c r="CL272" s="236">
        <v>7.03</v>
      </c>
      <c r="CM272" s="236" t="s">
        <v>328</v>
      </c>
      <c r="CR272" s="340">
        <v>14.04</v>
      </c>
      <c r="CS272" s="340" t="s">
        <v>330</v>
      </c>
      <c r="CT272" s="1384"/>
      <c r="CU272" s="341">
        <v>33411</v>
      </c>
      <c r="CV272" s="338" t="s">
        <v>340</v>
      </c>
      <c r="CZ272" s="1795">
        <v>34</v>
      </c>
      <c r="DA272" s="338" t="s">
        <v>316</v>
      </c>
      <c r="DF272" s="340">
        <v>605.04</v>
      </c>
      <c r="DG272" s="340" t="s">
        <v>289</v>
      </c>
      <c r="DK272" s="341" t="str">
        <f t="array" ref="DK272">IFERROR(IF($DK$11="Yes",INDEX($DF$13:$DF$2838,SMALL(IF((County=$DG$13:$DG$2838),MATCH(ROW($DG$13:$DG$2838),ROW($DG$13:$DG$2838)),""),ROWS($A$13:$A272))),""),"")</f>
        <v/>
      </c>
      <c r="DM272" s="1387">
        <v>33637</v>
      </c>
      <c r="DN272" s="338" t="s">
        <v>316</v>
      </c>
      <c r="DP272" s="236">
        <v>35</v>
      </c>
      <c r="DQ272" s="236" t="s">
        <v>316</v>
      </c>
      <c r="DV272" s="340">
        <v>16</v>
      </c>
      <c r="DW272" s="340" t="s">
        <v>316</v>
      </c>
      <c r="DX272" s="1671"/>
      <c r="EB272" s="618"/>
      <c r="EC272" s="618"/>
      <c r="ED272" s="618"/>
      <c r="EE272" s="618"/>
      <c r="EF272" s="618"/>
      <c r="EG272" s="618"/>
      <c r="EH272" s="618"/>
      <c r="EI272" s="618"/>
      <c r="EJ272" s="618"/>
      <c r="EK272" s="618"/>
      <c r="EL272" s="618"/>
      <c r="EM272" s="618"/>
    </row>
    <row r="273" spans="1:143">
      <c r="A273" s="339">
        <v>34747</v>
      </c>
      <c r="B273" s="338" t="s">
        <v>339</v>
      </c>
      <c r="E273" s="858"/>
      <c r="F273" s="338">
        <v>110.1</v>
      </c>
      <c r="G273" s="338" t="s">
        <v>316</v>
      </c>
      <c r="L273" s="2481">
        <v>607</v>
      </c>
      <c r="M273" s="340" t="s">
        <v>289</v>
      </c>
      <c r="N273" s="1390"/>
      <c r="O273" s="2479"/>
      <c r="P273" s="2282"/>
      <c r="T273" s="341" t="str">
        <f t="array" ref="T273">IFERROR(IF($T$11="Yes",INDEX($L$13:$L$2813,SMALL(IF((County=$M$13:$M$2813),MATCH(ROW($M$13:$M$2813),ROW($M$13:$M$2813)),""),ROWS($A$13:A273))),""),"")</f>
        <v/>
      </c>
      <c r="V273" s="2283" t="str">
        <f t="array" ref="V273">IFERROR(IF($T$11="Yes",INDEX($O$14:$O$2811,SMALL(IF((County=$P$14:$P$2811),MATCH(ROW($P$14:$P$2811),ROW($P$14:$P$2811)),""),ROWS($A$13:A273))),""),"")</f>
        <v/>
      </c>
      <c r="X273" s="339">
        <v>33616</v>
      </c>
      <c r="Y273" s="338" t="s">
        <v>316</v>
      </c>
      <c r="AA273" s="338">
        <v>44</v>
      </c>
      <c r="AB273" s="338" t="s">
        <v>316</v>
      </c>
      <c r="AG273" s="2297">
        <v>16.079999999999998</v>
      </c>
      <c r="AH273" s="2297" t="s">
        <v>331</v>
      </c>
      <c r="AI273" s="1390"/>
      <c r="AJ273" s="2282"/>
      <c r="AK273" s="2282"/>
      <c r="AL273" s="1037"/>
      <c r="AM273" s="339">
        <v>33496</v>
      </c>
      <c r="AN273" s="338" t="s">
        <v>340</v>
      </c>
      <c r="AQ273" s="858"/>
      <c r="AR273" s="338">
        <v>3.05</v>
      </c>
      <c r="AS273" s="338" t="s">
        <v>323</v>
      </c>
      <c r="AX273" s="340">
        <v>606.04999999999995</v>
      </c>
      <c r="AY273" s="340" t="s">
        <v>289</v>
      </c>
      <c r="BC273" s="341" t="str">
        <f t="array" ref="BC273">IFERROR(IF($BC$11="Yes",INDEX($AX$13:$AX$2950,SMALL(IF((County=$AY$13:$AY$2950),MATCH(ROW($AY$13:$AY$2950),ROW($AY$13:$AY$2950)),""),ROWS($A$13:$A273))),""),"")</f>
        <v/>
      </c>
      <c r="BE273" s="339">
        <v>33896</v>
      </c>
      <c r="BF273" s="338" t="s">
        <v>344</v>
      </c>
      <c r="BH273" s="338">
        <v>30.01</v>
      </c>
      <c r="BI273" s="338" t="s">
        <v>331</v>
      </c>
      <c r="BN273" s="340">
        <v>14.03</v>
      </c>
      <c r="BO273" s="340" t="s">
        <v>347</v>
      </c>
      <c r="BP273" s="1385"/>
      <c r="BQ273" s="1386">
        <v>33413</v>
      </c>
      <c r="BR273" s="338" t="s">
        <v>340</v>
      </c>
      <c r="BU273" s="858"/>
      <c r="BV273" s="338">
        <v>101.02</v>
      </c>
      <c r="BW273" s="338" t="s">
        <v>289</v>
      </c>
      <c r="CB273" s="340">
        <v>605.04</v>
      </c>
      <c r="CC273" s="340" t="s">
        <v>289</v>
      </c>
      <c r="CE273" s="341" t="str">
        <f t="array" ref="CE273">IFERROR(IF($CE$11="Metro",INDEX($BV$13:$BV$4972,SMALL(IF((County=$BW$13:$BW$4972),MATCH(ROW($BW$13:$BW$4972),ROW($BW$13:$BW$4972)),""),ROWS($A$13:$A273))),INDEX($BY$13:$BY$212,SMALL(IF((County=$BZ$13:$BZ$212),MATCH(ROW($BZ$13:$BZ$212),ROW($BZ$13:$BZ$212)),""),ROWS($A$13:$A273)))),"")</f>
        <v/>
      </c>
      <c r="CG273" s="341" t="str">
        <f t="array" ref="CG273">IFERROR(IF($CG$11="Yes",INDEX($CB$13:$CB$2950,SMALL(IF((County=$CC$13:$CC$2950),MATCH(ROW($CC$13:$CC$2950),ROW($CC$13:$CC$2950)),""),ROWS($A$13:$A273))),""),"")</f>
        <v/>
      </c>
      <c r="CI273" s="1583">
        <v>33707</v>
      </c>
      <c r="CJ273" s="338" t="s">
        <v>342</v>
      </c>
      <c r="CL273" s="236">
        <v>7.03</v>
      </c>
      <c r="CM273" s="236" t="s">
        <v>329</v>
      </c>
      <c r="CR273" s="340">
        <v>14.04</v>
      </c>
      <c r="CS273" s="340" t="s">
        <v>347</v>
      </c>
      <c r="CT273" s="1384"/>
      <c r="CU273" s="341">
        <v>33412</v>
      </c>
      <c r="CV273" s="338" t="s">
        <v>340</v>
      </c>
      <c r="CZ273" s="1795">
        <v>35</v>
      </c>
      <c r="DA273" s="338" t="s">
        <v>316</v>
      </c>
      <c r="DF273" s="340">
        <v>605.04999999999995</v>
      </c>
      <c r="DG273" s="340" t="s">
        <v>289</v>
      </c>
      <c r="DK273" s="341" t="str">
        <f t="array" ref="DK273">IFERROR(IF($DK$11="Yes",INDEX($DF$13:$DF$2838,SMALL(IF((County=$DG$13:$DG$2838),MATCH(ROW($DG$13:$DG$2838),ROW($DG$13:$DG$2838)),""),ROWS($A$13:$A273))),""),"")</f>
        <v/>
      </c>
      <c r="DM273" s="1387">
        <v>33647</v>
      </c>
      <c r="DN273" s="338" t="s">
        <v>316</v>
      </c>
      <c r="DP273" s="236">
        <v>36</v>
      </c>
      <c r="DQ273" s="236" t="s">
        <v>316</v>
      </c>
      <c r="DV273" s="340">
        <v>16.010000000000002</v>
      </c>
      <c r="DW273" s="340" t="s">
        <v>330</v>
      </c>
      <c r="DX273" s="1671"/>
      <c r="EB273" s="618"/>
      <c r="EC273" s="618"/>
      <c r="ED273" s="618"/>
      <c r="EE273" s="618"/>
      <c r="EF273" s="618"/>
      <c r="EG273" s="618"/>
      <c r="EH273" s="618"/>
      <c r="EI273" s="618"/>
      <c r="EJ273" s="618"/>
      <c r="EK273" s="618"/>
      <c r="EL273" s="618"/>
      <c r="EM273" s="618"/>
    </row>
    <row r="274" spans="1:143">
      <c r="A274" s="339">
        <v>34758</v>
      </c>
      <c r="B274" s="338" t="s">
        <v>339</v>
      </c>
      <c r="E274" s="858"/>
      <c r="F274" s="338">
        <v>110.18</v>
      </c>
      <c r="G274" s="338" t="s">
        <v>316</v>
      </c>
      <c r="L274" s="2481">
        <v>608.01</v>
      </c>
      <c r="M274" s="340" t="s">
        <v>289</v>
      </c>
      <c r="N274" s="1390"/>
      <c r="O274" s="2479"/>
      <c r="P274" s="2282"/>
      <c r="T274" s="341" t="str">
        <f t="array" ref="T274">IFERROR(IF($T$11="Yes",INDEX($L$13:$L$2813,SMALL(IF((County=$M$13:$M$2813),MATCH(ROW($M$13:$M$2813),ROW($M$13:$M$2813)),""),ROWS($A$13:A274))),""),"")</f>
        <v/>
      </c>
      <c r="V274" s="2283" t="str">
        <f t="array" ref="V274">IFERROR(IF($T$11="Yes",INDEX($O$14:$O$2811,SMALL(IF((County=$P$14:$P$2811),MATCH(ROW($P$14:$P$2811),ROW($P$14:$P$2811)),""),ROWS($A$13:A274))),""),"")</f>
        <v/>
      </c>
      <c r="X274" s="339">
        <v>33617</v>
      </c>
      <c r="Y274" s="338" t="s">
        <v>316</v>
      </c>
      <c r="AA274" s="338">
        <v>44.02</v>
      </c>
      <c r="AB274" s="338" t="s">
        <v>340</v>
      </c>
      <c r="AG274" s="2297">
        <v>17</v>
      </c>
      <c r="AH274" s="2297" t="s">
        <v>316</v>
      </c>
      <c r="AI274" s="1390"/>
      <c r="AJ274" s="2282"/>
      <c r="AK274" s="2282"/>
      <c r="AL274" s="1037"/>
      <c r="AM274" s="339">
        <v>33498</v>
      </c>
      <c r="AN274" s="338" t="s">
        <v>340</v>
      </c>
      <c r="AQ274" s="858"/>
      <c r="AR274" s="338">
        <v>3.06</v>
      </c>
      <c r="AS274" s="338" t="s">
        <v>323</v>
      </c>
      <c r="AX274" s="340">
        <v>606.07000000000005</v>
      </c>
      <c r="AY274" s="340" t="s">
        <v>289</v>
      </c>
      <c r="BC274" s="341" t="str">
        <f t="array" ref="BC274">IFERROR(IF($BC$11="Yes",INDEX($AX$13:$AX$2950,SMALL(IF((County=$AY$13:$AY$2950),MATCH(ROW($AY$13:$AY$2950),ROW($AY$13:$AY$2950)),""),ROWS($A$13:$A274))),""),"")</f>
        <v/>
      </c>
      <c r="BE274" s="339">
        <v>33897</v>
      </c>
      <c r="BF274" s="338" t="s">
        <v>344</v>
      </c>
      <c r="BH274" s="338">
        <v>30.04</v>
      </c>
      <c r="BI274" s="338" t="s">
        <v>331</v>
      </c>
      <c r="BN274" s="340">
        <v>14.04</v>
      </c>
      <c r="BO274" s="340" t="s">
        <v>285</v>
      </c>
      <c r="BP274" s="1385"/>
      <c r="BQ274" s="1386">
        <v>33414</v>
      </c>
      <c r="BR274" s="338" t="s">
        <v>340</v>
      </c>
      <c r="BU274" s="858"/>
      <c r="BV274" s="338">
        <v>101.03</v>
      </c>
      <c r="BW274" s="338" t="s">
        <v>289</v>
      </c>
      <c r="CB274" s="340">
        <v>605.04999999999995</v>
      </c>
      <c r="CC274" s="340" t="s">
        <v>289</v>
      </c>
      <c r="CE274" s="341" t="str">
        <f t="array" ref="CE274">IFERROR(IF($CE$11="Metro",INDEX($BV$13:$BV$4972,SMALL(IF((County=$BW$13:$BW$4972),MATCH(ROW($BW$13:$BW$4972),ROW($BW$13:$BW$4972)),""),ROWS($A$13:$A274))),INDEX($BY$13:$BY$212,SMALL(IF((County=$BZ$13:$BZ$212),MATCH(ROW($BZ$13:$BZ$212),ROW($BZ$13:$BZ$212)),""),ROWS($A$13:$A274)))),"")</f>
        <v/>
      </c>
      <c r="CG274" s="341" t="str">
        <f t="array" ref="CG274">IFERROR(IF($CG$11="Yes",INDEX($CB$13:$CB$2950,SMALL(IF((County=$CC$13:$CC$2950),MATCH(ROW($CC$13:$CC$2950),ROW($CC$13:$CC$2950)),""),ROWS($A$13:$A274))),""),"")</f>
        <v/>
      </c>
      <c r="CI274" s="1583">
        <v>33708</v>
      </c>
      <c r="CJ274" s="338" t="s">
        <v>342</v>
      </c>
      <c r="CL274" s="236">
        <v>7.03</v>
      </c>
      <c r="CM274" s="236" t="s">
        <v>340</v>
      </c>
      <c r="CR274" s="340">
        <v>14.05</v>
      </c>
      <c r="CS274" s="340" t="s">
        <v>347</v>
      </c>
      <c r="CT274" s="1384"/>
      <c r="CU274" s="341">
        <v>33413</v>
      </c>
      <c r="CV274" s="338" t="s">
        <v>340</v>
      </c>
      <c r="CZ274" s="1795">
        <v>36</v>
      </c>
      <c r="DA274" s="338" t="s">
        <v>316</v>
      </c>
      <c r="DF274" s="340">
        <v>606.03</v>
      </c>
      <c r="DG274" s="340" t="s">
        <v>289</v>
      </c>
      <c r="DK274" s="341" t="str">
        <f t="array" ref="DK274">IFERROR(IF($DK$11="Yes",INDEX($DF$13:$DF$2838,SMALL(IF((County=$DG$13:$DG$2838),MATCH(ROW($DG$13:$DG$2838),ROW($DG$13:$DG$2838)),""),ROWS($A$13:$A274))),""),"")</f>
        <v/>
      </c>
      <c r="DM274" s="1387">
        <v>33701</v>
      </c>
      <c r="DN274" s="338" t="s">
        <v>342</v>
      </c>
      <c r="DP274" s="236">
        <v>36.03</v>
      </c>
      <c r="DQ274" s="236" t="s">
        <v>331</v>
      </c>
      <c r="DV274" s="340">
        <v>16.010000000000002</v>
      </c>
      <c r="DW274" s="340" t="s">
        <v>347</v>
      </c>
      <c r="DX274" s="1671"/>
      <c r="EB274" s="618"/>
      <c r="EC274" s="618"/>
      <c r="ED274" s="618"/>
      <c r="EE274" s="618"/>
      <c r="EF274" s="618"/>
      <c r="EG274" s="618"/>
      <c r="EH274" s="618"/>
      <c r="EI274" s="618"/>
      <c r="EJ274" s="618"/>
      <c r="EK274" s="618"/>
      <c r="EL274" s="618"/>
      <c r="EM274" s="618"/>
    </row>
    <row r="275" spans="1:143">
      <c r="A275" s="339">
        <v>34772</v>
      </c>
      <c r="B275" s="338" t="s">
        <v>339</v>
      </c>
      <c r="E275" s="858"/>
      <c r="F275" s="338">
        <v>116.1</v>
      </c>
      <c r="G275" s="338" t="s">
        <v>316</v>
      </c>
      <c r="L275" s="2481">
        <v>608.02</v>
      </c>
      <c r="M275" s="340" t="s">
        <v>289</v>
      </c>
      <c r="N275" s="1390"/>
      <c r="O275" s="2479"/>
      <c r="P275" s="2282"/>
      <c r="T275" s="341" t="str">
        <f t="array" ref="T275">IFERROR(IF($T$11="Yes",INDEX($L$13:$L$2813,SMALL(IF((County=$M$13:$M$2813),MATCH(ROW($M$13:$M$2813),ROW($M$13:$M$2813)),""),ROWS($A$13:A275))),""),"")</f>
        <v/>
      </c>
      <c r="V275" s="2283" t="str">
        <f t="array" ref="V275">IFERROR(IF($T$11="Yes",INDEX($O$14:$O$2811,SMALL(IF((County=$P$14:$P$2811),MATCH(ROW($P$14:$P$2811),ROW($P$14:$P$2811)),""),ROWS($A$13:A275))),""),"")</f>
        <v/>
      </c>
      <c r="X275" s="339">
        <v>33619</v>
      </c>
      <c r="Y275" s="338" t="s">
        <v>316</v>
      </c>
      <c r="AA275" s="338">
        <v>44.03</v>
      </c>
      <c r="AB275" s="338" t="s">
        <v>331</v>
      </c>
      <c r="AG275" s="2297">
        <v>17.010000000000002</v>
      </c>
      <c r="AH275" s="2297" t="s">
        <v>276</v>
      </c>
      <c r="AI275" s="1390"/>
      <c r="AJ275" s="2282"/>
      <c r="AK275" s="2282"/>
      <c r="AL275" s="1037"/>
      <c r="AM275" s="339">
        <v>33543</v>
      </c>
      <c r="AN275" s="338" t="s">
        <v>341</v>
      </c>
      <c r="AQ275" s="858"/>
      <c r="AR275" s="338">
        <v>5.0199999999999996</v>
      </c>
      <c r="AS275" s="338" t="s">
        <v>323</v>
      </c>
      <c r="AX275" s="340">
        <v>606.08000000000004</v>
      </c>
      <c r="AY275" s="340" t="s">
        <v>289</v>
      </c>
      <c r="BC275" s="341" t="str">
        <f t="array" ref="BC275">IFERROR(IF($BC$11="Yes",INDEX($AX$13:$AX$2950,SMALL(IF((County=$AY$13:$AY$2950),MATCH(ROW($AY$13:$AY$2950),ROW($AY$13:$AY$2950)),""),ROWS($A$13:$A275))),""),"")</f>
        <v/>
      </c>
      <c r="BE275" s="339">
        <v>33908</v>
      </c>
      <c r="BF275" s="338" t="s">
        <v>323</v>
      </c>
      <c r="BH275" s="338">
        <v>30.05</v>
      </c>
      <c r="BI275" s="338" t="s">
        <v>331</v>
      </c>
      <c r="BN275" s="340">
        <v>14.04</v>
      </c>
      <c r="BO275" s="340" t="s">
        <v>328</v>
      </c>
      <c r="BP275" s="1385"/>
      <c r="BQ275" s="1386">
        <v>33418</v>
      </c>
      <c r="BR275" s="338" t="s">
        <v>340</v>
      </c>
      <c r="BU275" s="858"/>
      <c r="BV275" s="338">
        <v>101.04</v>
      </c>
      <c r="BW275" s="338" t="s">
        <v>289</v>
      </c>
      <c r="CB275" s="340">
        <v>606.03</v>
      </c>
      <c r="CC275" s="340" t="s">
        <v>289</v>
      </c>
      <c r="CE275" s="341" t="str">
        <f t="array" ref="CE275">IFERROR(IF($CE$11="Metro",INDEX($BV$13:$BV$4972,SMALL(IF((County=$BW$13:$BW$4972),MATCH(ROW($BW$13:$BW$4972),ROW($BW$13:$BW$4972)),""),ROWS($A$13:$A275))),INDEX($BY$13:$BY$212,SMALL(IF((County=$BZ$13:$BZ$212),MATCH(ROW($BZ$13:$BZ$212),ROW($BZ$13:$BZ$212)),""),ROWS($A$13:$A275)))),"")</f>
        <v/>
      </c>
      <c r="CG275" s="341" t="str">
        <f t="array" ref="CG275">IFERROR(IF($CG$11="Yes",INDEX($CB$13:$CB$2950,SMALL(IF((County=$CC$13:$CC$2950),MATCH(ROW($CC$13:$CC$2950),ROW($CC$13:$CC$2950)),""),ROWS($A$13:$A275))),""),"")</f>
        <v/>
      </c>
      <c r="CI275" s="1583">
        <v>33710</v>
      </c>
      <c r="CJ275" s="338" t="s">
        <v>342</v>
      </c>
      <c r="CL275" s="236">
        <v>7.04</v>
      </c>
      <c r="CM275" s="236" t="s">
        <v>328</v>
      </c>
      <c r="CR275" s="340">
        <v>14.06</v>
      </c>
      <c r="CS275" s="340" t="s">
        <v>330</v>
      </c>
      <c r="CT275" s="1384"/>
      <c r="CU275" s="341">
        <v>33414</v>
      </c>
      <c r="CV275" s="338" t="s">
        <v>340</v>
      </c>
      <c r="CZ275" s="1795">
        <v>37</v>
      </c>
      <c r="DA275" s="338" t="s">
        <v>316</v>
      </c>
      <c r="DF275" s="340">
        <v>606.04999999999995</v>
      </c>
      <c r="DG275" s="340" t="s">
        <v>289</v>
      </c>
      <c r="DK275" s="341" t="str">
        <f t="array" ref="DK275">IFERROR(IF($DK$11="Yes",INDEX($DF$13:$DF$2838,SMALL(IF((County=$DG$13:$DG$2838),MATCH(ROW($DG$13:$DG$2838),ROW($DG$13:$DG$2838)),""),ROWS($A$13:$A275))),""),"")</f>
        <v/>
      </c>
      <c r="DM275" s="1387">
        <v>33702</v>
      </c>
      <c r="DN275" s="338" t="s">
        <v>342</v>
      </c>
      <c r="DP275" s="236">
        <v>36.049999999999997</v>
      </c>
      <c r="DQ275" s="236" t="s">
        <v>331</v>
      </c>
      <c r="DV275" s="340">
        <v>16.02</v>
      </c>
      <c r="DW275" s="340" t="s">
        <v>324</v>
      </c>
      <c r="DX275" s="1671"/>
      <c r="EB275" s="618"/>
      <c r="EC275" s="618"/>
      <c r="ED275" s="618"/>
      <c r="EE275" s="618"/>
      <c r="EF275" s="618"/>
      <c r="EG275" s="618"/>
      <c r="EH275" s="618"/>
      <c r="EI275" s="618"/>
      <c r="EJ275" s="618"/>
      <c r="EK275" s="618"/>
      <c r="EL275" s="618"/>
      <c r="EM275" s="618"/>
    </row>
    <row r="276" spans="1:143">
      <c r="A276" s="339">
        <v>34773</v>
      </c>
      <c r="B276" s="338" t="s">
        <v>339</v>
      </c>
      <c r="E276" s="858"/>
      <c r="F276" s="338">
        <v>118.02</v>
      </c>
      <c r="G276" s="338" t="s">
        <v>316</v>
      </c>
      <c r="L276" s="2481">
        <v>609</v>
      </c>
      <c r="M276" s="340" t="s">
        <v>289</v>
      </c>
      <c r="N276" s="1390"/>
      <c r="O276" s="2479"/>
      <c r="P276" s="2282"/>
      <c r="T276" s="341" t="str">
        <f t="array" ref="T276">IFERROR(IF($T$11="Yes",INDEX($L$13:$L$2813,SMALL(IF((County=$M$13:$M$2813),MATCH(ROW($M$13:$M$2813),ROW($M$13:$M$2813)),""),ROWS($A$13:A276))),""),"")</f>
        <v/>
      </c>
      <c r="V276" s="2283" t="str">
        <f t="array" ref="V276">IFERROR(IF($T$11="Yes",INDEX($O$14:$O$2811,SMALL(IF((County=$P$14:$P$2811),MATCH(ROW($P$14:$P$2811),ROW($P$14:$P$2811)),""),ROWS($A$13:A276))),""),"")</f>
        <v/>
      </c>
      <c r="X276" s="339">
        <v>33621</v>
      </c>
      <c r="Y276" s="338" t="s">
        <v>316</v>
      </c>
      <c r="AA276" s="338">
        <v>44.04</v>
      </c>
      <c r="AB276" s="338" t="s">
        <v>331</v>
      </c>
      <c r="AG276" s="2297">
        <v>17.010000000000002</v>
      </c>
      <c r="AH276" s="2297" t="s">
        <v>323</v>
      </c>
      <c r="AI276" s="1390"/>
      <c r="AJ276" s="2282"/>
      <c r="AK276" s="2282"/>
      <c r="AL276" s="1037"/>
      <c r="AM276" s="339">
        <v>33544</v>
      </c>
      <c r="AN276" s="338" t="s">
        <v>341</v>
      </c>
      <c r="AQ276" s="858"/>
      <c r="AR276" s="338">
        <v>5.04</v>
      </c>
      <c r="AS276" s="338" t="s">
        <v>323</v>
      </c>
      <c r="AX276" s="340">
        <v>606.09</v>
      </c>
      <c r="AY276" s="340" t="s">
        <v>289</v>
      </c>
      <c r="BC276" s="341" t="str">
        <f t="array" ref="BC276">IFERROR(IF($BC$11="Yes",INDEX($AX$13:$AX$2950,SMALL(IF((County=$AY$13:$AY$2950),MATCH(ROW($AY$13:$AY$2950),ROW($AY$13:$AY$2950)),""),ROWS($A$13:$A276))),""),"")</f>
        <v/>
      </c>
      <c r="BE276" s="339">
        <v>33912</v>
      </c>
      <c r="BF276" s="338" t="s">
        <v>323</v>
      </c>
      <c r="BH276" s="338">
        <v>30.06</v>
      </c>
      <c r="BI276" s="338" t="s">
        <v>331</v>
      </c>
      <c r="BN276" s="340">
        <v>14.04</v>
      </c>
      <c r="BO276" s="340" t="s">
        <v>330</v>
      </c>
      <c r="BP276" s="1385"/>
      <c r="BQ276" s="1386">
        <v>33426</v>
      </c>
      <c r="BR276" s="338" t="s">
        <v>340</v>
      </c>
      <c r="BU276" s="858"/>
      <c r="BV276" s="338">
        <v>102.01</v>
      </c>
      <c r="BW276" s="338" t="s">
        <v>289</v>
      </c>
      <c r="CB276" s="340">
        <v>606.04999999999995</v>
      </c>
      <c r="CC276" s="340" t="s">
        <v>289</v>
      </c>
      <c r="CE276" s="341" t="str">
        <f t="array" ref="CE276">IFERROR(IF($CE$11="Metro",INDEX($BV$13:$BV$4972,SMALL(IF((County=$BW$13:$BW$4972),MATCH(ROW($BW$13:$BW$4972),ROW($BW$13:$BW$4972)),""),ROWS($A$13:$A276))),INDEX($BY$13:$BY$212,SMALL(IF((County=$BZ$13:$BZ$212),MATCH(ROW($BZ$13:$BZ$212),ROW($BZ$13:$BZ$212)),""),ROWS($A$13:$A276)))),"")</f>
        <v/>
      </c>
      <c r="CG276" s="341" t="str">
        <f t="array" ref="CG276">IFERROR(IF($CG$11="Yes",INDEX($CB$13:$CB$2950,SMALL(IF((County=$CC$13:$CC$2950),MATCH(ROW($CC$13:$CC$2950),ROW($CC$13:$CC$2950)),""),ROWS($A$13:$A276))),""),"")</f>
        <v/>
      </c>
      <c r="CI276" s="1583">
        <v>33711</v>
      </c>
      <c r="CJ276" s="338" t="s">
        <v>342</v>
      </c>
      <c r="CL276" s="236">
        <v>7.04</v>
      </c>
      <c r="CM276" s="236" t="s">
        <v>329</v>
      </c>
      <c r="CR276" s="340">
        <v>14.09</v>
      </c>
      <c r="CS276" s="340" t="s">
        <v>330</v>
      </c>
      <c r="CT276" s="1384"/>
      <c r="CU276" s="341">
        <v>33417</v>
      </c>
      <c r="CV276" s="338" t="s">
        <v>340</v>
      </c>
      <c r="CZ276" s="1795">
        <v>38</v>
      </c>
      <c r="DA276" s="338" t="s">
        <v>316</v>
      </c>
      <c r="DF276" s="340">
        <v>606.05999999999995</v>
      </c>
      <c r="DG276" s="340" t="s">
        <v>289</v>
      </c>
      <c r="DK276" s="341" t="str">
        <f t="array" ref="DK276">IFERROR(IF($DK$11="Yes",INDEX($DF$13:$DF$2838,SMALL(IF((County=$DG$13:$DG$2838),MATCH(ROW($DG$13:$DG$2838),ROW($DG$13:$DG$2838)),""),ROWS($A$13:$A276))),""),"")</f>
        <v/>
      </c>
      <c r="DM276" s="1387">
        <v>33703</v>
      </c>
      <c r="DN276" s="338" t="s">
        <v>342</v>
      </c>
      <c r="DP276" s="236">
        <v>36.06</v>
      </c>
      <c r="DQ276" s="236" t="s">
        <v>331</v>
      </c>
      <c r="DV276" s="340">
        <v>16.02</v>
      </c>
      <c r="DW276" s="340" t="s">
        <v>330</v>
      </c>
      <c r="DX276" s="1671"/>
      <c r="EB276" s="618"/>
      <c r="EC276" s="618"/>
      <c r="ED276" s="618"/>
      <c r="EE276" s="618"/>
      <c r="EF276" s="618"/>
      <c r="EG276" s="618"/>
      <c r="EH276" s="618"/>
      <c r="EI276" s="618"/>
      <c r="EJ276" s="618"/>
      <c r="EK276" s="618"/>
      <c r="EL276" s="618"/>
      <c r="EM276" s="618"/>
    </row>
    <row r="277" spans="1:143">
      <c r="A277" s="339">
        <v>33408</v>
      </c>
      <c r="B277" s="338" t="s">
        <v>340</v>
      </c>
      <c r="E277" s="858"/>
      <c r="F277" s="338">
        <v>118.06</v>
      </c>
      <c r="G277" s="338" t="s">
        <v>316</v>
      </c>
      <c r="L277" s="2481">
        <v>610.01</v>
      </c>
      <c r="M277" s="340" t="s">
        <v>289</v>
      </c>
      <c r="N277" s="1390"/>
      <c r="O277" s="2479"/>
      <c r="P277" s="2282"/>
      <c r="T277" s="341" t="str">
        <f t="array" ref="T277">IFERROR(IF($T$11="Yes",INDEX($L$13:$L$2813,SMALL(IF((County=$M$13:$M$2813),MATCH(ROW($M$13:$M$2813),ROW($M$13:$M$2813)),""),ROWS($A$13:A277))),""),"")</f>
        <v/>
      </c>
      <c r="V277" s="2283" t="str">
        <f t="array" ref="V277">IFERROR(IF($T$11="Yes",INDEX($O$14:$O$2811,SMALL(IF((County=$P$14:$P$2811),MATCH(ROW($P$14:$P$2811),ROW($P$14:$P$2811)),""),ROWS($A$13:A277))),""),"")</f>
        <v/>
      </c>
      <c r="X277" s="339">
        <v>33624</v>
      </c>
      <c r="Y277" s="338" t="s">
        <v>316</v>
      </c>
      <c r="AA277" s="338">
        <v>44.05</v>
      </c>
      <c r="AB277" s="338" t="s">
        <v>331</v>
      </c>
      <c r="AG277" s="2297">
        <v>17.010000000000002</v>
      </c>
      <c r="AH277" s="2297" t="s">
        <v>324</v>
      </c>
      <c r="AI277" s="1390"/>
      <c r="AJ277" s="2282"/>
      <c r="AK277" s="2282"/>
      <c r="AL277" s="1037"/>
      <c r="AM277" s="339">
        <v>33545</v>
      </c>
      <c r="AN277" s="338" t="s">
        <v>341</v>
      </c>
      <c r="AQ277" s="858"/>
      <c r="AR277" s="338">
        <v>6</v>
      </c>
      <c r="AS277" s="338" t="s">
        <v>323</v>
      </c>
      <c r="AX277" s="340">
        <v>607</v>
      </c>
      <c r="AY277" s="340" t="s">
        <v>289</v>
      </c>
      <c r="BC277" s="341" t="str">
        <f t="array" ref="BC277">IFERROR(IF($BC$11="Yes",INDEX($AX$13:$AX$2950,SMALL(IF((County=$AY$13:$AY$2950),MATCH(ROW($AY$13:$AY$2950),ROW($AY$13:$AY$2950)),""),ROWS($A$13:$A277))),""),"")</f>
        <v/>
      </c>
      <c r="BE277" s="339">
        <v>33913</v>
      </c>
      <c r="BF277" s="338" t="s">
        <v>323</v>
      </c>
      <c r="BH277" s="338">
        <v>31</v>
      </c>
      <c r="BI277" s="338" t="s">
        <v>304</v>
      </c>
      <c r="BN277" s="340">
        <v>14.04</v>
      </c>
      <c r="BO277" s="340" t="s">
        <v>347</v>
      </c>
      <c r="BP277" s="1385"/>
      <c r="BQ277" s="1386">
        <v>33428</v>
      </c>
      <c r="BR277" s="338" t="s">
        <v>340</v>
      </c>
      <c r="BU277" s="858"/>
      <c r="BV277" s="338">
        <v>102.02</v>
      </c>
      <c r="BW277" s="338" t="s">
        <v>289</v>
      </c>
      <c r="CB277" s="340">
        <v>606.05999999999995</v>
      </c>
      <c r="CC277" s="340" t="s">
        <v>289</v>
      </c>
      <c r="CE277" s="341" t="str">
        <f t="array" ref="CE277">IFERROR(IF($CE$11="Metro",INDEX($BV$13:$BV$4972,SMALL(IF((County=$BW$13:$BW$4972),MATCH(ROW($BW$13:$BW$4972),ROW($BW$13:$BW$4972)),""),ROWS($A$13:$A277))),INDEX($BY$13:$BY$212,SMALL(IF((County=$BZ$13:$BZ$212),MATCH(ROW($BZ$13:$BZ$212),ROW($BZ$13:$BZ$212)),""),ROWS($A$13:$A277)))),"")</f>
        <v/>
      </c>
      <c r="CG277" s="341" t="str">
        <f t="array" ref="CG277">IFERROR(IF($CG$11="Yes",INDEX($CB$13:$CB$2950,SMALL(IF((County=$CC$13:$CC$2950),MATCH(ROW($CC$13:$CC$2950),ROW($CC$13:$CC$2950)),""),ROWS($A$13:$A277))),""),"")</f>
        <v/>
      </c>
      <c r="CI277" s="1583">
        <v>33712</v>
      </c>
      <c r="CJ277" s="338" t="s">
        <v>342</v>
      </c>
      <c r="CL277" s="236">
        <v>7.05</v>
      </c>
      <c r="CM277" s="236" t="s">
        <v>328</v>
      </c>
      <c r="CR277" s="340">
        <v>15</v>
      </c>
      <c r="CS277" s="340" t="s">
        <v>316</v>
      </c>
      <c r="CT277" s="1384"/>
      <c r="CU277" s="341">
        <v>33418</v>
      </c>
      <c r="CV277" s="338" t="s">
        <v>340</v>
      </c>
      <c r="CZ277" s="1795">
        <v>41</v>
      </c>
      <c r="DA277" s="338" t="s">
        <v>316</v>
      </c>
      <c r="DF277" s="340">
        <v>606.07000000000005</v>
      </c>
      <c r="DG277" s="340" t="s">
        <v>289</v>
      </c>
      <c r="DK277" s="341" t="str">
        <f t="array" ref="DK277">IFERROR(IF($DK$11="Yes",INDEX($DF$13:$DF$2838,SMALL(IF((County=$DG$13:$DG$2838),MATCH(ROW($DG$13:$DG$2838),ROW($DG$13:$DG$2838)),""),ROWS($A$13:$A277))),""),"")</f>
        <v/>
      </c>
      <c r="DM277" s="1387">
        <v>33705</v>
      </c>
      <c r="DN277" s="338" t="s">
        <v>342</v>
      </c>
      <c r="DP277" s="236">
        <v>36.07</v>
      </c>
      <c r="DQ277" s="236" t="s">
        <v>304</v>
      </c>
      <c r="DV277" s="340">
        <v>16.03</v>
      </c>
      <c r="DW277" s="340" t="s">
        <v>328</v>
      </c>
      <c r="DX277" s="1671"/>
      <c r="EB277" s="618"/>
      <c r="EC277" s="618"/>
      <c r="ED277" s="618"/>
      <c r="EE277" s="618"/>
      <c r="EF277" s="618"/>
      <c r="EG277" s="618"/>
      <c r="EH277" s="618"/>
      <c r="EI277" s="618"/>
      <c r="EJ277" s="618"/>
      <c r="EK277" s="618"/>
      <c r="EL277" s="618"/>
      <c r="EM277" s="618"/>
    </row>
    <row r="278" spans="1:143">
      <c r="A278" s="339">
        <v>33410</v>
      </c>
      <c r="B278" s="338" t="s">
        <v>340</v>
      </c>
      <c r="E278" s="858"/>
      <c r="F278" s="338">
        <v>119.08</v>
      </c>
      <c r="G278" s="338" t="s">
        <v>316</v>
      </c>
      <c r="L278" s="2481">
        <v>610.03</v>
      </c>
      <c r="M278" s="340" t="s">
        <v>289</v>
      </c>
      <c r="N278" s="1390"/>
      <c r="O278" s="2479"/>
      <c r="P278" s="2282"/>
      <c r="T278" s="341" t="str">
        <f t="array" ref="T278">IFERROR(IF($T$11="Yes",INDEX($L$13:$L$2813,SMALL(IF((County=$M$13:$M$2813),MATCH(ROW($M$13:$M$2813),ROW($M$13:$M$2813)),""),ROWS($A$13:A278))),""),"")</f>
        <v/>
      </c>
      <c r="V278" s="2283" t="str">
        <f t="array" ref="V278">IFERROR(IF($T$11="Yes",INDEX($O$14:$O$2811,SMALL(IF((County=$P$14:$P$2811),MATCH(ROW($P$14:$P$2811),ROW($P$14:$P$2811)),""),ROWS($A$13:A278))),""),"")</f>
        <v/>
      </c>
      <c r="X278" s="339">
        <v>33625</v>
      </c>
      <c r="Y278" s="338" t="s">
        <v>316</v>
      </c>
      <c r="AA278" s="338">
        <v>45</v>
      </c>
      <c r="AB278" s="338" t="s">
        <v>340</v>
      </c>
      <c r="AG278" s="2297">
        <v>17.010000000000002</v>
      </c>
      <c r="AH278" s="2297" t="s">
        <v>328</v>
      </c>
      <c r="AI278" s="1390"/>
      <c r="AJ278" s="2282"/>
      <c r="AK278" s="2282"/>
      <c r="AL278" s="1037"/>
      <c r="AM278" s="339">
        <v>34637</v>
      </c>
      <c r="AN278" s="338" t="s">
        <v>341</v>
      </c>
      <c r="AQ278" s="858"/>
      <c r="AR278" s="338">
        <v>7</v>
      </c>
      <c r="AS278" s="338" t="s">
        <v>323</v>
      </c>
      <c r="AX278" s="340">
        <v>608.01</v>
      </c>
      <c r="AY278" s="340" t="s">
        <v>289</v>
      </c>
      <c r="BC278" s="341" t="str">
        <f t="array" ref="BC278">IFERROR(IF($BC$11="Yes",INDEX($AX$13:$AX$2950,SMALL(IF((County=$AY$13:$AY$2950),MATCH(ROW($AY$13:$AY$2950),ROW($AY$13:$AY$2950)),""),ROWS($A$13:$A278))),""),"")</f>
        <v/>
      </c>
      <c r="BE278" s="339">
        <v>33921</v>
      </c>
      <c r="BF278" s="338" t="s">
        <v>323</v>
      </c>
      <c r="BH278" s="338">
        <v>31</v>
      </c>
      <c r="BI278" s="338" t="s">
        <v>316</v>
      </c>
      <c r="BN278" s="340">
        <v>14.05</v>
      </c>
      <c r="BO278" s="340" t="s">
        <v>347</v>
      </c>
      <c r="BP278" s="1385"/>
      <c r="BQ278" s="1386">
        <v>33431</v>
      </c>
      <c r="BR278" s="338" t="s">
        <v>340</v>
      </c>
      <c r="BU278" s="858"/>
      <c r="BV278" s="338">
        <v>103.04</v>
      </c>
      <c r="BW278" s="338" t="s">
        <v>289</v>
      </c>
      <c r="CB278" s="340">
        <v>606.07000000000005</v>
      </c>
      <c r="CC278" s="340" t="s">
        <v>289</v>
      </c>
      <c r="CE278" s="341" t="str">
        <f t="array" ref="CE278">IFERROR(IF($CE$11="Metro",INDEX($BV$13:$BV$4972,SMALL(IF((County=$BW$13:$BW$4972),MATCH(ROW($BW$13:$BW$4972),ROW($BW$13:$BW$4972)),""),ROWS($A$13:$A278))),INDEX($BY$13:$BY$212,SMALL(IF((County=$BZ$13:$BZ$212),MATCH(ROW($BZ$13:$BZ$212),ROW($BZ$13:$BZ$212)),""),ROWS($A$13:$A278)))),"")</f>
        <v/>
      </c>
      <c r="CG278" s="341" t="str">
        <f t="array" ref="CG278">IFERROR(IF($CG$11="Yes",INDEX($CB$13:$CB$2950,SMALL(IF((County=$CC$13:$CC$2950),MATCH(ROW($CC$13:$CC$2950),ROW($CC$13:$CC$2950)),""),ROWS($A$13:$A278))),""),"")</f>
        <v/>
      </c>
      <c r="CI278" s="1583">
        <v>33713</v>
      </c>
      <c r="CJ278" s="338" t="s">
        <v>342</v>
      </c>
      <c r="CL278" s="236">
        <v>7.05</v>
      </c>
      <c r="CM278" s="236" t="s">
        <v>329</v>
      </c>
      <c r="CR278" s="340">
        <v>15</v>
      </c>
      <c r="CS278" s="340" t="s">
        <v>324</v>
      </c>
      <c r="CT278" s="1384"/>
      <c r="CU278" s="341">
        <v>33426</v>
      </c>
      <c r="CV278" s="338" t="s">
        <v>340</v>
      </c>
      <c r="CZ278" s="1795">
        <v>43</v>
      </c>
      <c r="DA278" s="338" t="s">
        <v>316</v>
      </c>
      <c r="DF278" s="340">
        <v>606.09</v>
      </c>
      <c r="DG278" s="340" t="s">
        <v>289</v>
      </c>
      <c r="DK278" s="341" t="str">
        <f t="array" ref="DK278">IFERROR(IF($DK$11="Yes",INDEX($DF$13:$DF$2838,SMALL(IF((County=$DG$13:$DG$2838),MATCH(ROW($DG$13:$DG$2838),ROW($DG$13:$DG$2838)),""),ROWS($A$13:$A278))),""),"")</f>
        <v/>
      </c>
      <c r="DM278" s="1387">
        <v>33706</v>
      </c>
      <c r="DN278" s="338" t="s">
        <v>342</v>
      </c>
      <c r="DP278" s="236">
        <v>36.07</v>
      </c>
      <c r="DQ278" s="236" t="s">
        <v>331</v>
      </c>
      <c r="DV278" s="340">
        <v>16.03</v>
      </c>
      <c r="DW278" s="340" t="s">
        <v>331</v>
      </c>
      <c r="DX278" s="1671"/>
      <c r="EB278" s="618"/>
      <c r="EC278" s="618"/>
      <c r="ED278" s="618"/>
      <c r="EE278" s="618"/>
      <c r="EF278" s="618"/>
      <c r="EG278" s="618"/>
      <c r="EH278" s="618"/>
      <c r="EI278" s="618"/>
      <c r="EJ278" s="618"/>
      <c r="EK278" s="618"/>
      <c r="EL278" s="618"/>
      <c r="EM278" s="618"/>
    </row>
    <row r="279" spans="1:143">
      <c r="A279" s="339">
        <v>33411</v>
      </c>
      <c r="B279" s="338" t="s">
        <v>340</v>
      </c>
      <c r="E279" s="858"/>
      <c r="F279" s="338">
        <v>119.11</v>
      </c>
      <c r="G279" s="338" t="s">
        <v>316</v>
      </c>
      <c r="L279" s="2481">
        <v>610.04</v>
      </c>
      <c r="M279" s="340" t="s">
        <v>289</v>
      </c>
      <c r="N279" s="1390"/>
      <c r="O279" s="2479"/>
      <c r="P279" s="2282"/>
      <c r="T279" s="341" t="str">
        <f t="array" ref="T279">IFERROR(IF($T$11="Yes",INDEX($L$13:$L$2813,SMALL(IF((County=$M$13:$M$2813),MATCH(ROW($M$13:$M$2813),ROW($M$13:$M$2813)),""),ROWS($A$13:A279))),""),"")</f>
        <v/>
      </c>
      <c r="V279" s="2283" t="str">
        <f t="array" ref="V279">IFERROR(IF($T$11="Yes",INDEX($O$14:$O$2811,SMALL(IF((County=$P$14:$P$2811),MATCH(ROW($P$14:$P$2811),ROW($P$14:$P$2811)),""),ROWS($A$13:A279))),""),"")</f>
        <v/>
      </c>
      <c r="X279" s="339">
        <v>33626</v>
      </c>
      <c r="Y279" s="338" t="s">
        <v>316</v>
      </c>
      <c r="AA279" s="338">
        <v>47.04</v>
      </c>
      <c r="AB279" s="338" t="s">
        <v>340</v>
      </c>
      <c r="AG279" s="2297">
        <v>17.010000000000002</v>
      </c>
      <c r="AH279" s="2297" t="s">
        <v>330</v>
      </c>
      <c r="AI279" s="1390"/>
      <c r="AJ279" s="2282"/>
      <c r="AK279" s="2282"/>
      <c r="AL279" s="1037"/>
      <c r="AM279" s="339">
        <v>34638</v>
      </c>
      <c r="AN279" s="338" t="s">
        <v>341</v>
      </c>
      <c r="AQ279" s="858"/>
      <c r="AR279" s="338">
        <v>11.01</v>
      </c>
      <c r="AS279" s="338" t="s">
        <v>323</v>
      </c>
      <c r="AX279" s="340">
        <v>609</v>
      </c>
      <c r="AY279" s="340" t="s">
        <v>289</v>
      </c>
      <c r="BC279" s="341" t="str">
        <f t="array" ref="BC279">IFERROR(IF($BC$11="Yes",INDEX($AX$13:$AX$2950,SMALL(IF((County=$AY$13:$AY$2950),MATCH(ROW($AY$13:$AY$2950),ROW($AY$13:$AY$2950)),""),ROWS($A$13:$A279))),""),"")</f>
        <v/>
      </c>
      <c r="BE279" s="339">
        <v>33924</v>
      </c>
      <c r="BF279" s="338" t="s">
        <v>323</v>
      </c>
      <c r="BH279" s="338">
        <v>31</v>
      </c>
      <c r="BI279" s="338" t="s">
        <v>331</v>
      </c>
      <c r="BN279" s="340">
        <v>14.06</v>
      </c>
      <c r="BO279" s="340" t="s">
        <v>330</v>
      </c>
      <c r="BP279" s="1385"/>
      <c r="BQ279" s="1386">
        <v>33432</v>
      </c>
      <c r="BR279" s="338" t="s">
        <v>340</v>
      </c>
      <c r="BU279" s="858"/>
      <c r="BV279" s="338">
        <v>103.05</v>
      </c>
      <c r="BW279" s="338" t="s">
        <v>289</v>
      </c>
      <c r="CB279" s="340">
        <v>606.08000000000004</v>
      </c>
      <c r="CC279" s="340" t="s">
        <v>289</v>
      </c>
      <c r="CE279" s="341" t="str">
        <f t="array" ref="CE279">IFERROR(IF($CE$11="Metro",INDEX($BV$13:$BV$4972,SMALL(IF((County=$BW$13:$BW$4972),MATCH(ROW($BW$13:$BW$4972),ROW($BW$13:$BW$4972)),""),ROWS($A$13:$A279))),INDEX($BY$13:$BY$212,SMALL(IF((County=$BZ$13:$BZ$212),MATCH(ROW($BZ$13:$BZ$212),ROW($BZ$13:$BZ$212)),""),ROWS($A$13:$A279)))),"")</f>
        <v/>
      </c>
      <c r="CG279" s="341" t="str">
        <f t="array" ref="CG279">IFERROR(IF($CG$11="Yes",INDEX($CB$13:$CB$2950,SMALL(IF((County=$CC$13:$CC$2950),MATCH(ROW($CC$13:$CC$2950),ROW($CC$13:$CC$2950)),""),ROWS($A$13:$A279))),""),"")</f>
        <v/>
      </c>
      <c r="CI279" s="1583">
        <v>33715</v>
      </c>
      <c r="CJ279" s="338" t="s">
        <v>342</v>
      </c>
      <c r="CL279" s="236">
        <v>7.05</v>
      </c>
      <c r="CM279" s="236" t="s">
        <v>331</v>
      </c>
      <c r="CR279" s="340">
        <v>15</v>
      </c>
      <c r="CS279" s="340" t="s">
        <v>330</v>
      </c>
      <c r="CT279" s="1384"/>
      <c r="CU279" s="341">
        <v>33428</v>
      </c>
      <c r="CV279" s="338" t="s">
        <v>340</v>
      </c>
      <c r="CZ279" s="1795">
        <v>44</v>
      </c>
      <c r="DA279" s="338" t="s">
        <v>316</v>
      </c>
      <c r="DF279" s="340">
        <v>607</v>
      </c>
      <c r="DG279" s="340" t="s">
        <v>289</v>
      </c>
      <c r="DK279" s="341" t="str">
        <f t="array" ref="DK279">IFERROR(IF($DK$11="Yes",INDEX($DF$13:$DF$2838,SMALL(IF((County=$DG$13:$DG$2838),MATCH(ROW($DG$13:$DG$2838),ROW($DG$13:$DG$2838)),""),ROWS($A$13:$A279))),""),"")</f>
        <v/>
      </c>
      <c r="DM279" s="1387">
        <v>33708</v>
      </c>
      <c r="DN279" s="338" t="s">
        <v>342</v>
      </c>
      <c r="DP279" s="236">
        <v>37</v>
      </c>
      <c r="DQ279" s="236" t="s">
        <v>316</v>
      </c>
      <c r="DV279" s="340">
        <v>16.07</v>
      </c>
      <c r="DW279" s="340" t="s">
        <v>331</v>
      </c>
      <c r="DX279" s="1671"/>
      <c r="EB279" s="618"/>
      <c r="EC279" s="618"/>
      <c r="ED279" s="618"/>
      <c r="EE279" s="618"/>
      <c r="EF279" s="618"/>
      <c r="EG279" s="618"/>
      <c r="EH279" s="618"/>
      <c r="EI279" s="618"/>
      <c r="EJ279" s="618"/>
      <c r="EK279" s="618"/>
      <c r="EL279" s="618"/>
      <c r="EM279" s="618"/>
    </row>
    <row r="280" spans="1:143">
      <c r="A280" s="339">
        <v>33412</v>
      </c>
      <c r="B280" s="338" t="s">
        <v>340</v>
      </c>
      <c r="E280" s="858"/>
      <c r="F280" s="338">
        <v>120.02</v>
      </c>
      <c r="G280" s="338" t="s">
        <v>316</v>
      </c>
      <c r="L280" s="2481">
        <v>611</v>
      </c>
      <c r="M280" s="340" t="s">
        <v>289</v>
      </c>
      <c r="N280" s="1390"/>
      <c r="O280" s="2479"/>
      <c r="P280" s="2282"/>
      <c r="T280" s="341" t="str">
        <f t="array" ref="T280">IFERROR(IF($T$11="Yes",INDEX($L$13:$L$2813,SMALL(IF((County=$M$13:$M$2813),MATCH(ROW($M$13:$M$2813),ROW($M$13:$M$2813)),""),ROWS($A$13:A280))),""),"")</f>
        <v/>
      </c>
      <c r="V280" s="2283" t="str">
        <f t="array" ref="V280">IFERROR(IF($T$11="Yes",INDEX($O$14:$O$2811,SMALL(IF((County=$P$14:$P$2811),MATCH(ROW($P$14:$P$2811),ROW($P$14:$P$2811)),""),ROWS($A$13:A280))),""),"")</f>
        <v/>
      </c>
      <c r="X280" s="339">
        <v>33629</v>
      </c>
      <c r="Y280" s="338" t="s">
        <v>316</v>
      </c>
      <c r="AA280" s="338">
        <v>47.05</v>
      </c>
      <c r="AB280" s="338" t="s">
        <v>340</v>
      </c>
      <c r="AG280" s="2297">
        <v>17.02</v>
      </c>
      <c r="AH280" s="2297" t="s">
        <v>276</v>
      </c>
      <c r="AI280" s="1390"/>
      <c r="AJ280" s="2282"/>
      <c r="AK280" s="2282"/>
      <c r="AL280" s="1037"/>
      <c r="AM280" s="339">
        <v>34639</v>
      </c>
      <c r="AN280" s="338" t="s">
        <v>341</v>
      </c>
      <c r="AQ280" s="858"/>
      <c r="AR280" s="338">
        <v>11.03</v>
      </c>
      <c r="AS280" s="338" t="s">
        <v>323</v>
      </c>
      <c r="AX280" s="340">
        <v>610.01</v>
      </c>
      <c r="AY280" s="340" t="s">
        <v>289</v>
      </c>
      <c r="BC280" s="341" t="str">
        <f t="array" ref="BC280">IFERROR(IF($BC$11="Yes",INDEX($AX$13:$AX$2950,SMALL(IF((County=$AY$13:$AY$2950),MATCH(ROW($AY$13:$AY$2950),ROW($AY$13:$AY$2950)),""),ROWS($A$13:$A280))),""),"")</f>
        <v/>
      </c>
      <c r="BE280" s="339">
        <v>33928</v>
      </c>
      <c r="BF280" s="338" t="s">
        <v>323</v>
      </c>
      <c r="BH280" s="338">
        <v>31.02</v>
      </c>
      <c r="BI280" s="338" t="s">
        <v>340</v>
      </c>
      <c r="BN280" s="340">
        <v>14.09</v>
      </c>
      <c r="BO280" s="340" t="s">
        <v>330</v>
      </c>
      <c r="BP280" s="1385"/>
      <c r="BQ280" s="1386">
        <v>33433</v>
      </c>
      <c r="BR280" s="338" t="s">
        <v>340</v>
      </c>
      <c r="BU280" s="858"/>
      <c r="BV280" s="338">
        <v>103.06</v>
      </c>
      <c r="BW280" s="338" t="s">
        <v>289</v>
      </c>
      <c r="CB280" s="340">
        <v>606.09</v>
      </c>
      <c r="CC280" s="340" t="s">
        <v>289</v>
      </c>
      <c r="CE280" s="341" t="str">
        <f t="array" ref="CE280">IFERROR(IF($CE$11="Metro",INDEX($BV$13:$BV$4972,SMALL(IF((County=$BW$13:$BW$4972),MATCH(ROW($BW$13:$BW$4972),ROW($BW$13:$BW$4972)),""),ROWS($A$13:$A280))),INDEX($BY$13:$BY$212,SMALL(IF((County=$BZ$13:$BZ$212),MATCH(ROW($BZ$13:$BZ$212),ROW($BZ$13:$BZ$212)),""),ROWS($A$13:$A280)))),"")</f>
        <v/>
      </c>
      <c r="CG280" s="341" t="str">
        <f t="array" ref="CG280">IFERROR(IF($CG$11="Yes",INDEX($CB$13:$CB$2950,SMALL(IF((County=$CC$13:$CC$2950),MATCH(ROW($CC$13:$CC$2950),ROW($CC$13:$CC$2950)),""),ROWS($A$13:$A280))),""),"")</f>
        <v/>
      </c>
      <c r="CI280" s="1583">
        <v>33716</v>
      </c>
      <c r="CJ280" s="338" t="s">
        <v>342</v>
      </c>
      <c r="CL280" s="236">
        <v>7.06</v>
      </c>
      <c r="CM280" s="236" t="s">
        <v>329</v>
      </c>
      <c r="CR280" s="340">
        <v>15.01</v>
      </c>
      <c r="CS280" s="340" t="s">
        <v>285</v>
      </c>
      <c r="CT280" s="1384"/>
      <c r="CU280" s="341">
        <v>33431</v>
      </c>
      <c r="CV280" s="338" t="s">
        <v>340</v>
      </c>
      <c r="CZ280" s="1795">
        <v>50</v>
      </c>
      <c r="DA280" s="338" t="s">
        <v>316</v>
      </c>
      <c r="DF280" s="340">
        <v>609</v>
      </c>
      <c r="DG280" s="340" t="s">
        <v>289</v>
      </c>
      <c r="DK280" s="341" t="str">
        <f t="array" ref="DK280">IFERROR(IF($DK$11="Yes",INDEX($DF$13:$DF$2838,SMALL(IF((County=$DG$13:$DG$2838),MATCH(ROW($DG$13:$DG$2838),ROW($DG$13:$DG$2838)),""),ROWS($A$13:$A280))),""),"")</f>
        <v/>
      </c>
      <c r="DM280" s="1387">
        <v>33710</v>
      </c>
      <c r="DN280" s="338" t="s">
        <v>342</v>
      </c>
      <c r="DP280" s="236">
        <v>37</v>
      </c>
      <c r="DQ280" s="236" t="s">
        <v>340</v>
      </c>
      <c r="DV280" s="340">
        <v>16.079999999999998</v>
      </c>
      <c r="DW280" s="340" t="s">
        <v>331</v>
      </c>
      <c r="DX280" s="1671"/>
      <c r="EB280" s="618"/>
      <c r="EC280" s="618"/>
      <c r="ED280" s="618"/>
      <c r="EE280" s="618"/>
      <c r="EF280" s="618"/>
      <c r="EG280" s="618"/>
      <c r="EH280" s="618"/>
      <c r="EI280" s="618"/>
      <c r="EJ280" s="618"/>
      <c r="EK280" s="618"/>
      <c r="EL280" s="618"/>
      <c r="EM280" s="618"/>
    </row>
    <row r="281" spans="1:143">
      <c r="A281" s="339">
        <v>33413</v>
      </c>
      <c r="B281" s="338" t="s">
        <v>340</v>
      </c>
      <c r="E281" s="858"/>
      <c r="F281" s="338">
        <v>121.07</v>
      </c>
      <c r="G281" s="338" t="s">
        <v>316</v>
      </c>
      <c r="L281" s="2481">
        <v>701.02</v>
      </c>
      <c r="M281" s="340" t="s">
        <v>289</v>
      </c>
      <c r="N281" s="1390"/>
      <c r="O281" s="2479"/>
      <c r="P281" s="2282"/>
      <c r="T281" s="341" t="str">
        <f t="array" ref="T281">IFERROR(IF($T$11="Yes",INDEX($L$13:$L$2813,SMALL(IF((County=$M$13:$M$2813),MATCH(ROW($M$13:$M$2813),ROW($M$13:$M$2813)),""),ROWS($A$13:A281))),""),"")</f>
        <v/>
      </c>
      <c r="V281" s="2283" t="str">
        <f t="array" ref="V281">IFERROR(IF($T$11="Yes",INDEX($O$14:$O$2811,SMALL(IF((County=$P$14:$P$2811),MATCH(ROW($P$14:$P$2811),ROW($P$14:$P$2811)),""),ROWS($A$13:A281))),""),"")</f>
        <v/>
      </c>
      <c r="X281" s="339">
        <v>33634</v>
      </c>
      <c r="Y281" s="338" t="s">
        <v>316</v>
      </c>
      <c r="AA281" s="338">
        <v>47.06</v>
      </c>
      <c r="AB281" s="338" t="s">
        <v>340</v>
      </c>
      <c r="AG281" s="2297">
        <v>17.02</v>
      </c>
      <c r="AH281" s="2297" t="s">
        <v>324</v>
      </c>
      <c r="AI281" s="1390"/>
      <c r="AJ281" s="2282"/>
      <c r="AK281" s="2282"/>
      <c r="AL281" s="1037"/>
      <c r="AM281" s="339">
        <v>34655</v>
      </c>
      <c r="AN281" s="338" t="s">
        <v>341</v>
      </c>
      <c r="AQ281" s="858"/>
      <c r="AR281" s="338">
        <v>11.04</v>
      </c>
      <c r="AS281" s="338" t="s">
        <v>323</v>
      </c>
      <c r="AX281" s="340">
        <v>610.04</v>
      </c>
      <c r="AY281" s="340" t="s">
        <v>289</v>
      </c>
      <c r="BC281" s="341" t="str">
        <f t="array" ref="BC281">IFERROR(IF($BC$11="Yes",INDEX($AX$13:$AX$2950,SMALL(IF((County=$AY$13:$AY$2950),MATCH(ROW($AY$13:$AY$2950),ROW($AY$13:$AY$2950)),""),ROWS($A$13:$A281))),""),"")</f>
        <v/>
      </c>
      <c r="BE281" s="339">
        <v>33946</v>
      </c>
      <c r="BF281" s="338" t="s">
        <v>294</v>
      </c>
      <c r="BH281" s="338">
        <v>32</v>
      </c>
      <c r="BI281" s="338" t="s">
        <v>316</v>
      </c>
      <c r="BN281" s="340">
        <v>15</v>
      </c>
      <c r="BO281" s="340" t="s">
        <v>316</v>
      </c>
      <c r="BP281" s="1385"/>
      <c r="BQ281" s="1386">
        <v>33435</v>
      </c>
      <c r="BR281" s="338" t="s">
        <v>340</v>
      </c>
      <c r="BU281" s="858"/>
      <c r="BV281" s="338">
        <v>103.07</v>
      </c>
      <c r="BW281" s="338" t="s">
        <v>289</v>
      </c>
      <c r="CB281" s="340">
        <v>607</v>
      </c>
      <c r="CC281" s="340" t="s">
        <v>289</v>
      </c>
      <c r="CE281" s="341" t="str">
        <f t="array" ref="CE281">IFERROR(IF($CE$11="Metro",INDEX($BV$13:$BV$4972,SMALL(IF((County=$BW$13:$BW$4972),MATCH(ROW($BW$13:$BW$4972),ROW($BW$13:$BW$4972)),""),ROWS($A$13:$A281))),INDEX($BY$13:$BY$212,SMALL(IF((County=$BZ$13:$BZ$212),MATCH(ROW($BZ$13:$BZ$212),ROW($BZ$13:$BZ$212)),""),ROWS($A$13:$A281)))),"")</f>
        <v/>
      </c>
      <c r="CG281" s="341" t="str">
        <f t="array" ref="CG281">IFERROR(IF($CG$11="Yes",INDEX($CB$13:$CB$2950,SMALL(IF((County=$CC$13:$CC$2950),MATCH(ROW($CC$13:$CC$2950),ROW($CC$13:$CC$2950)),""),ROWS($A$13:$A281))),""),"")</f>
        <v/>
      </c>
      <c r="CI281" s="1583">
        <v>33744</v>
      </c>
      <c r="CJ281" s="338" t="s">
        <v>342</v>
      </c>
      <c r="CL281" s="236">
        <v>7.07</v>
      </c>
      <c r="CM281" s="236" t="s">
        <v>329</v>
      </c>
      <c r="CR281" s="340">
        <v>15.01</v>
      </c>
      <c r="CS281" s="340" t="s">
        <v>323</v>
      </c>
      <c r="CT281" s="1384"/>
      <c r="CU281" s="341">
        <v>33432</v>
      </c>
      <c r="CV281" s="338" t="s">
        <v>340</v>
      </c>
      <c r="CZ281" s="1795">
        <v>53.02</v>
      </c>
      <c r="DA281" s="338" t="s">
        <v>316</v>
      </c>
      <c r="DF281" s="340">
        <v>610.01</v>
      </c>
      <c r="DG281" s="340" t="s">
        <v>289</v>
      </c>
      <c r="DK281" s="341" t="str">
        <f t="array" ref="DK281">IFERROR(IF($DK$11="Yes",INDEX($DF$13:$DF$2838,SMALL(IF((County=$DG$13:$DG$2838),MATCH(ROW($DG$13:$DG$2838),ROW($DG$13:$DG$2838)),""),ROWS($A$13:$A281))),""),"")</f>
        <v/>
      </c>
      <c r="DM281" s="1387">
        <v>33711</v>
      </c>
      <c r="DN281" s="338" t="s">
        <v>342</v>
      </c>
      <c r="DP281" s="236">
        <v>38</v>
      </c>
      <c r="DQ281" s="236" t="s">
        <v>316</v>
      </c>
      <c r="DV281" s="340">
        <v>17</v>
      </c>
      <c r="DW281" s="340" t="s">
        <v>316</v>
      </c>
      <c r="DX281" s="1671"/>
      <c r="EB281" s="618"/>
      <c r="EC281" s="618"/>
      <c r="ED281" s="618"/>
      <c r="EE281" s="618"/>
      <c r="EF281" s="618"/>
      <c r="EG281" s="618"/>
      <c r="EH281" s="618"/>
      <c r="EI281" s="618"/>
      <c r="EJ281" s="618"/>
      <c r="EK281" s="618"/>
      <c r="EL281" s="618"/>
      <c r="EM281" s="618"/>
    </row>
    <row r="282" spans="1:143">
      <c r="A282" s="339">
        <v>33414</v>
      </c>
      <c r="B282" s="338" t="s">
        <v>340</v>
      </c>
      <c r="E282" s="858"/>
      <c r="F282" s="338">
        <v>121.09</v>
      </c>
      <c r="G282" s="338" t="s">
        <v>316</v>
      </c>
      <c r="L282" s="2481">
        <v>702.08</v>
      </c>
      <c r="M282" s="340" t="s">
        <v>289</v>
      </c>
      <c r="N282" s="1390"/>
      <c r="O282" s="2479"/>
      <c r="P282" s="2282"/>
      <c r="T282" s="341" t="str">
        <f t="array" ref="T282">IFERROR(IF($T$11="Yes",INDEX($L$13:$L$2813,SMALL(IF((County=$M$13:$M$2813),MATCH(ROW($M$13:$M$2813),ROW($M$13:$M$2813)),""),ROWS($A$13:A282))),""),"")</f>
        <v/>
      </c>
      <c r="V282" s="2283" t="str">
        <f t="array" ref="V282">IFERROR(IF($T$11="Yes",INDEX($O$14:$O$2811,SMALL(IF((County=$P$14:$P$2811),MATCH(ROW($P$14:$P$2811),ROW($P$14:$P$2811)),""),ROWS($A$13:A282))),""),"")</f>
        <v/>
      </c>
      <c r="X282" s="339">
        <v>33635</v>
      </c>
      <c r="Y282" s="338" t="s">
        <v>316</v>
      </c>
      <c r="AA282" s="338">
        <v>48.17</v>
      </c>
      <c r="AB282" s="338" t="s">
        <v>340</v>
      </c>
      <c r="AG282" s="2297">
        <v>17.02</v>
      </c>
      <c r="AH282" s="2297" t="s">
        <v>330</v>
      </c>
      <c r="AI282" s="1390"/>
      <c r="AJ282" s="2282"/>
      <c r="AK282" s="2282"/>
      <c r="AL282" s="1037"/>
      <c r="AM282" s="339">
        <v>33703</v>
      </c>
      <c r="AN282" s="338" t="s">
        <v>342</v>
      </c>
      <c r="AQ282" s="858"/>
      <c r="AR282" s="338">
        <v>15.02</v>
      </c>
      <c r="AS282" s="338" t="s">
        <v>323</v>
      </c>
      <c r="AX282" s="340">
        <v>701.02</v>
      </c>
      <c r="AY282" s="340" t="s">
        <v>289</v>
      </c>
      <c r="BC282" s="341" t="str">
        <f t="array" ref="BC282">IFERROR(IF($BC$11="Yes",INDEX($AX$13:$AX$2950,SMALL(IF((County=$AY$13:$AY$2950),MATCH(ROW($AY$13:$AY$2950),ROW($AY$13:$AY$2950)),""),ROWS($A$13:$A282))),""),"")</f>
        <v/>
      </c>
      <c r="BE282" s="339">
        <v>33947</v>
      </c>
      <c r="BF282" s="338" t="s">
        <v>294</v>
      </c>
      <c r="BH282" s="338">
        <v>33</v>
      </c>
      <c r="BI282" s="338" t="s">
        <v>316</v>
      </c>
      <c r="BN282" s="340">
        <v>15</v>
      </c>
      <c r="BO282" s="340" t="s">
        <v>324</v>
      </c>
      <c r="BP282" s="1385"/>
      <c r="BQ282" s="1386">
        <v>33436</v>
      </c>
      <c r="BR282" s="338" t="s">
        <v>340</v>
      </c>
      <c r="BU282" s="858"/>
      <c r="BV282" s="338">
        <v>103.08</v>
      </c>
      <c r="BW282" s="338" t="s">
        <v>289</v>
      </c>
      <c r="CB282" s="340">
        <v>608.01</v>
      </c>
      <c r="CC282" s="340" t="s">
        <v>289</v>
      </c>
      <c r="CE282" s="341" t="str">
        <f t="array" ref="CE282">IFERROR(IF($CE$11="Metro",INDEX($BV$13:$BV$4972,SMALL(IF((County=$BW$13:$BW$4972),MATCH(ROW($BW$13:$BW$4972),ROW($BW$13:$BW$4972)),""),ROWS($A$13:$A282))),INDEX($BY$13:$BY$212,SMALL(IF((County=$BZ$13:$BZ$212),MATCH(ROW($BZ$13:$BZ$212),ROW($BZ$13:$BZ$212)),""),ROWS($A$13:$A282)))),"")</f>
        <v/>
      </c>
      <c r="CG282" s="341" t="str">
        <f t="array" ref="CG282">IFERROR(IF($CG$11="Yes",INDEX($CB$13:$CB$2950,SMALL(IF((County=$CC$13:$CC$2950),MATCH(ROW($CC$13:$CC$2950),ROW($CC$13:$CC$2950)),""),ROWS($A$13:$A282))),""),"")</f>
        <v/>
      </c>
      <c r="CI282" s="1583">
        <v>33756</v>
      </c>
      <c r="CJ282" s="338" t="s">
        <v>342</v>
      </c>
      <c r="CL282" s="236">
        <v>7.1</v>
      </c>
      <c r="CM282" s="236" t="s">
        <v>331</v>
      </c>
      <c r="CR282" s="340">
        <v>15.02</v>
      </c>
      <c r="CS282" s="340" t="s">
        <v>285</v>
      </c>
      <c r="CT282" s="1384"/>
      <c r="CU282" s="341">
        <v>33433</v>
      </c>
      <c r="CV282" s="338" t="s">
        <v>340</v>
      </c>
      <c r="CZ282" s="1795">
        <v>70.02</v>
      </c>
      <c r="DA282" s="338" t="s">
        <v>316</v>
      </c>
      <c r="DF282" s="340">
        <v>610.03</v>
      </c>
      <c r="DG282" s="340" t="s">
        <v>289</v>
      </c>
      <c r="DK282" s="341" t="str">
        <f t="array" ref="DK282">IFERROR(IF($DK$11="Yes",INDEX($DF$13:$DF$2838,SMALL(IF((County=$DG$13:$DG$2838),MATCH(ROW($DG$13:$DG$2838),ROW($DG$13:$DG$2838)),""),ROWS($A$13:$A282))),""),"")</f>
        <v/>
      </c>
      <c r="DM282" s="1387">
        <v>33712</v>
      </c>
      <c r="DN282" s="338" t="s">
        <v>342</v>
      </c>
      <c r="DP282" s="236">
        <v>39.090000000000003</v>
      </c>
      <c r="DQ282" s="236" t="s">
        <v>331</v>
      </c>
      <c r="DV282" s="340">
        <v>17.010000000000002</v>
      </c>
      <c r="DW282" s="340" t="s">
        <v>276</v>
      </c>
      <c r="DX282" s="1671"/>
      <c r="EB282" s="618"/>
      <c r="EC282" s="618"/>
      <c r="ED282" s="618"/>
      <c r="EE282" s="618"/>
      <c r="EF282" s="618"/>
      <c r="EG282" s="618"/>
      <c r="EH282" s="618"/>
      <c r="EI282" s="618"/>
      <c r="EJ282" s="618"/>
      <c r="EK282" s="618"/>
      <c r="EL282" s="618"/>
      <c r="EM282" s="618"/>
    </row>
    <row r="283" spans="1:143">
      <c r="A283" s="339">
        <v>33418</v>
      </c>
      <c r="B283" s="338" t="s">
        <v>340</v>
      </c>
      <c r="E283" s="858"/>
      <c r="F283" s="338">
        <v>121.1</v>
      </c>
      <c r="G283" s="338" t="s">
        <v>316</v>
      </c>
      <c r="L283" s="2481">
        <v>702.09</v>
      </c>
      <c r="M283" s="340" t="s">
        <v>289</v>
      </c>
      <c r="N283" s="1390"/>
      <c r="O283" s="2479"/>
      <c r="P283" s="2282"/>
      <c r="T283" s="341" t="str">
        <f t="array" ref="T283">IFERROR(IF($T$11="Yes",INDEX($L$13:$L$2813,SMALL(IF((County=$M$13:$M$2813),MATCH(ROW($M$13:$M$2813),ROW($M$13:$M$2813)),""),ROWS($A$13:A283))),""),"")</f>
        <v/>
      </c>
      <c r="V283" s="2283" t="str">
        <f t="array" ref="V283">IFERROR(IF($T$11="Yes",INDEX($O$14:$O$2811,SMALL(IF((County=$P$14:$P$2811),MATCH(ROW($P$14:$P$2811),ROW($P$14:$P$2811)),""),ROWS($A$13:A283))),""),"")</f>
        <v/>
      </c>
      <c r="X283" s="339">
        <v>33637</v>
      </c>
      <c r="Y283" s="338" t="s">
        <v>316</v>
      </c>
      <c r="AA283" s="338">
        <v>48.19</v>
      </c>
      <c r="AB283" s="338" t="s">
        <v>340</v>
      </c>
      <c r="AG283" s="2297">
        <v>17.03</v>
      </c>
      <c r="AH283" s="2297" t="s">
        <v>330</v>
      </c>
      <c r="AI283" s="1390"/>
      <c r="AJ283" s="2282"/>
      <c r="AK283" s="2282"/>
      <c r="AL283" s="1037"/>
      <c r="AM283" s="339">
        <v>33705</v>
      </c>
      <c r="AN283" s="338" t="s">
        <v>342</v>
      </c>
      <c r="AQ283" s="858"/>
      <c r="AR283" s="338">
        <v>108.02</v>
      </c>
      <c r="AS283" s="338" t="s">
        <v>323</v>
      </c>
      <c r="AX283" s="340">
        <v>701.03</v>
      </c>
      <c r="AY283" s="340" t="s">
        <v>289</v>
      </c>
      <c r="BC283" s="341" t="str">
        <f t="array" ref="BC283">IFERROR(IF($BC$11="Yes",INDEX($AX$13:$AX$2950,SMALL(IF((County=$AY$13:$AY$2950),MATCH(ROW($AY$13:$AY$2950),ROW($AY$13:$AY$2950)),""),ROWS($A$13:$A283))),""),"")</f>
        <v/>
      </c>
      <c r="BE283" s="339">
        <v>33953</v>
      </c>
      <c r="BF283" s="338" t="s">
        <v>294</v>
      </c>
      <c r="BH283" s="338">
        <v>34</v>
      </c>
      <c r="BI283" s="338" t="s">
        <v>316</v>
      </c>
      <c r="BN283" s="340">
        <v>15</v>
      </c>
      <c r="BO283" s="340" t="s">
        <v>330</v>
      </c>
      <c r="BP283" s="1385"/>
      <c r="BQ283" s="1386">
        <v>33437</v>
      </c>
      <c r="BR283" s="338" t="s">
        <v>340</v>
      </c>
      <c r="BU283" s="858"/>
      <c r="BV283" s="338">
        <v>104.01</v>
      </c>
      <c r="BW283" s="338" t="s">
        <v>289</v>
      </c>
      <c r="CB283" s="340">
        <v>609</v>
      </c>
      <c r="CC283" s="340" t="s">
        <v>289</v>
      </c>
      <c r="CE283" s="341" t="str">
        <f t="array" ref="CE283">IFERROR(IF($CE$11="Metro",INDEX($BV$13:$BV$4972,SMALL(IF((County=$BW$13:$BW$4972),MATCH(ROW($BW$13:$BW$4972),ROW($BW$13:$BW$4972)),""),ROWS($A$13:$A283))),INDEX($BY$13:$BY$212,SMALL(IF((County=$BZ$13:$BZ$212),MATCH(ROW($BZ$13:$BZ$212),ROW($BZ$13:$BZ$212)),""),ROWS($A$13:$A283)))),"")</f>
        <v/>
      </c>
      <c r="CG283" s="341" t="str">
        <f t="array" ref="CG283">IFERROR(IF($CG$11="Yes",INDEX($CB$13:$CB$2950,SMALL(IF((County=$CC$13:$CC$2950),MATCH(ROW($CC$13:$CC$2950),ROW($CC$13:$CC$2950)),""),ROWS($A$13:$A283))),""),"")</f>
        <v/>
      </c>
      <c r="CI283" s="1583">
        <v>33759</v>
      </c>
      <c r="CJ283" s="338" t="s">
        <v>342</v>
      </c>
      <c r="CL283" s="236">
        <v>7.11</v>
      </c>
      <c r="CM283" s="236" t="s">
        <v>331</v>
      </c>
      <c r="CR283" s="340">
        <v>15.04</v>
      </c>
      <c r="CS283" s="340" t="s">
        <v>347</v>
      </c>
      <c r="CT283" s="1384"/>
      <c r="CU283" s="341">
        <v>33435</v>
      </c>
      <c r="CV283" s="338" t="s">
        <v>340</v>
      </c>
      <c r="CZ283" s="1795">
        <v>101.07</v>
      </c>
      <c r="DA283" s="338" t="s">
        <v>316</v>
      </c>
      <c r="DF283" s="340">
        <v>610.04</v>
      </c>
      <c r="DG283" s="340" t="s">
        <v>289</v>
      </c>
      <c r="DK283" s="341" t="str">
        <f t="array" ref="DK283">IFERROR(IF($DK$11="Yes",INDEX($DF$13:$DF$2838,SMALL(IF((County=$DG$13:$DG$2838),MATCH(ROW($DG$13:$DG$2838),ROW($DG$13:$DG$2838)),""),ROWS($A$13:$A283))),""),"")</f>
        <v/>
      </c>
      <c r="DM283" s="1387">
        <v>33713</v>
      </c>
      <c r="DN283" s="338" t="s">
        <v>342</v>
      </c>
      <c r="DP283" s="236">
        <v>39.11</v>
      </c>
      <c r="DQ283" s="236" t="s">
        <v>331</v>
      </c>
      <c r="DV283" s="340">
        <v>17.010000000000002</v>
      </c>
      <c r="DW283" s="340" t="s">
        <v>323</v>
      </c>
      <c r="DX283" s="1671"/>
      <c r="EB283" s="618"/>
      <c r="EC283" s="618"/>
      <c r="ED283" s="618"/>
      <c r="EE283" s="618"/>
      <c r="EF283" s="618"/>
      <c r="EG283" s="618"/>
      <c r="EH283" s="618"/>
      <c r="EI283" s="618"/>
      <c r="EJ283" s="618"/>
      <c r="EK283" s="618"/>
      <c r="EL283" s="618"/>
      <c r="EM283" s="618"/>
    </row>
    <row r="284" spans="1:143">
      <c r="A284" s="339">
        <v>33426</v>
      </c>
      <c r="B284" s="338" t="s">
        <v>340</v>
      </c>
      <c r="E284" s="858"/>
      <c r="F284" s="338">
        <v>122.12</v>
      </c>
      <c r="G284" s="338" t="s">
        <v>316</v>
      </c>
      <c r="L284" s="2481">
        <v>702.1</v>
      </c>
      <c r="M284" s="340" t="s">
        <v>289</v>
      </c>
      <c r="N284" s="1390"/>
      <c r="O284" s="2479"/>
      <c r="P284" s="2282"/>
      <c r="T284" s="341" t="str">
        <f t="array" ref="T284">IFERROR(IF($T$11="Yes",INDEX($L$13:$L$2813,SMALL(IF((County=$M$13:$M$2813),MATCH(ROW($M$13:$M$2813),ROW($M$13:$M$2813)),""),ROWS($A$13:A284))),""),"")</f>
        <v/>
      </c>
      <c r="V284" s="2283" t="str">
        <f t="array" ref="V284">IFERROR(IF($T$11="Yes",INDEX($O$14:$O$2811,SMALL(IF((County=$P$14:$P$2811),MATCH(ROW($P$14:$P$2811),ROW($P$14:$P$2811)),""),ROWS($A$13:A284))),""),"")</f>
        <v/>
      </c>
      <c r="X284" s="339">
        <v>33647</v>
      </c>
      <c r="Y284" s="338" t="s">
        <v>316</v>
      </c>
      <c r="AA284" s="338">
        <v>49.01</v>
      </c>
      <c r="AB284" s="338" t="s">
        <v>331</v>
      </c>
      <c r="AG284" s="2297">
        <v>17.05</v>
      </c>
      <c r="AH284" s="2297" t="s">
        <v>323</v>
      </c>
      <c r="AI284" s="1390"/>
      <c r="AJ284" s="2282"/>
      <c r="AK284" s="2282"/>
      <c r="AL284" s="1037"/>
      <c r="AM284" s="339">
        <v>33706</v>
      </c>
      <c r="AN284" s="338" t="s">
        <v>342</v>
      </c>
      <c r="AQ284" s="858"/>
      <c r="AR284" s="338">
        <v>203.01</v>
      </c>
      <c r="AS284" s="338" t="s">
        <v>323</v>
      </c>
      <c r="AX284" s="340">
        <v>702.05</v>
      </c>
      <c r="AY284" s="340" t="s">
        <v>289</v>
      </c>
      <c r="BC284" s="341" t="str">
        <f t="array" ref="BC284">IFERROR(IF($BC$11="Yes",INDEX($AX$13:$AX$2950,SMALL(IF((County=$AY$13:$AY$2950),MATCH(ROW($AY$13:$AY$2950),ROW($AY$13:$AY$2950)),""),ROWS($A$13:$A284))),""),"")</f>
        <v/>
      </c>
      <c r="BE284" s="339">
        <v>33954</v>
      </c>
      <c r="BF284" s="338" t="s">
        <v>294</v>
      </c>
      <c r="BH284" s="338">
        <v>34</v>
      </c>
      <c r="BI284" s="338" t="s">
        <v>331</v>
      </c>
      <c r="BN284" s="340">
        <v>15.01</v>
      </c>
      <c r="BO284" s="340" t="s">
        <v>285</v>
      </c>
      <c r="BP284" s="1385"/>
      <c r="BQ284" s="1386">
        <v>33444</v>
      </c>
      <c r="BR284" s="338" t="s">
        <v>340</v>
      </c>
      <c r="BU284" s="858"/>
      <c r="BV284" s="338">
        <v>104.02</v>
      </c>
      <c r="BW284" s="338" t="s">
        <v>289</v>
      </c>
      <c r="CB284" s="340">
        <v>610.01</v>
      </c>
      <c r="CC284" s="340" t="s">
        <v>289</v>
      </c>
      <c r="CE284" s="341" t="str">
        <f t="array" ref="CE284">IFERROR(IF($CE$11="Metro",INDEX($BV$13:$BV$4972,SMALL(IF((County=$BW$13:$BW$4972),MATCH(ROW($BW$13:$BW$4972),ROW($BW$13:$BW$4972)),""),ROWS($A$13:$A284))),INDEX($BY$13:$BY$212,SMALL(IF((County=$BZ$13:$BZ$212),MATCH(ROW($BZ$13:$BZ$212),ROW($BZ$13:$BZ$212)),""),ROWS($A$13:$A284)))),"")</f>
        <v/>
      </c>
      <c r="CG284" s="341" t="str">
        <f t="array" ref="CG284">IFERROR(IF($CG$11="Yes",INDEX($CB$13:$CB$2950,SMALL(IF((County=$CC$13:$CC$2950),MATCH(ROW($CC$13:$CC$2950),ROW($CC$13:$CC$2950)),""),ROWS($A$13:$A284))),""),"")</f>
        <v/>
      </c>
      <c r="CI284" s="1583">
        <v>33760</v>
      </c>
      <c r="CJ284" s="338" t="s">
        <v>342</v>
      </c>
      <c r="CL284" s="236">
        <v>7.12</v>
      </c>
      <c r="CM284" s="236" t="s">
        <v>331</v>
      </c>
      <c r="CR284" s="340">
        <v>15.05</v>
      </c>
      <c r="CS284" s="340" t="s">
        <v>347</v>
      </c>
      <c r="CT284" s="1384"/>
      <c r="CU284" s="341">
        <v>33436</v>
      </c>
      <c r="CV284" s="338" t="s">
        <v>340</v>
      </c>
      <c r="CZ284" s="1795">
        <v>102.03</v>
      </c>
      <c r="DA284" s="338" t="s">
        <v>316</v>
      </c>
      <c r="DF284" s="340">
        <v>701.03</v>
      </c>
      <c r="DG284" s="340" t="s">
        <v>289</v>
      </c>
      <c r="DK284" s="341" t="str">
        <f t="array" ref="DK284">IFERROR(IF($DK$11="Yes",INDEX($DF$13:$DF$2838,SMALL(IF((County=$DG$13:$DG$2838),MATCH(ROW($DG$13:$DG$2838),ROW($DG$13:$DG$2838)),""),ROWS($A$13:$A284))),""),"")</f>
        <v/>
      </c>
      <c r="DM284" s="1387">
        <v>33715</v>
      </c>
      <c r="DN284" s="338" t="s">
        <v>342</v>
      </c>
      <c r="DP284" s="236">
        <v>39.130000000000003</v>
      </c>
      <c r="DQ284" s="236" t="s">
        <v>331</v>
      </c>
      <c r="DV284" s="340">
        <v>17.010000000000002</v>
      </c>
      <c r="DW284" s="340" t="s">
        <v>324</v>
      </c>
      <c r="DX284" s="1671"/>
      <c r="EB284" s="618"/>
      <c r="EC284" s="618"/>
      <c r="ED284" s="618"/>
      <c r="EE284" s="618"/>
      <c r="EF284" s="618"/>
      <c r="EG284" s="618"/>
      <c r="EH284" s="618"/>
      <c r="EI284" s="618"/>
      <c r="EJ284" s="618"/>
      <c r="EK284" s="618"/>
      <c r="EL284" s="618"/>
      <c r="EM284" s="618"/>
    </row>
    <row r="285" spans="1:143">
      <c r="A285" s="339">
        <v>33428</v>
      </c>
      <c r="B285" s="338" t="s">
        <v>340</v>
      </c>
      <c r="E285" s="858"/>
      <c r="F285" s="338">
        <v>124.01</v>
      </c>
      <c r="G285" s="338" t="s">
        <v>316</v>
      </c>
      <c r="L285" s="2481">
        <v>702.11</v>
      </c>
      <c r="M285" s="340" t="s">
        <v>289</v>
      </c>
      <c r="N285" s="1390"/>
      <c r="O285" s="2479"/>
      <c r="P285" s="2282"/>
      <c r="T285" s="341" t="str">
        <f t="array" ref="T285">IFERROR(IF($T$11="Yes",INDEX($L$13:$L$2813,SMALL(IF((County=$M$13:$M$2813),MATCH(ROW($M$13:$M$2813),ROW($M$13:$M$2813)),""),ROWS($A$13:A285))),""),"")</f>
        <v/>
      </c>
      <c r="V285" s="2283" t="str">
        <f t="array" ref="V285">IFERROR(IF($T$11="Yes",INDEX($O$14:$O$2811,SMALL(IF((County=$P$14:$P$2811),MATCH(ROW($P$14:$P$2811),ROW($P$14:$P$2811)),""),ROWS($A$13:A285))),""),"")</f>
        <v/>
      </c>
      <c r="X285" s="339">
        <v>33701</v>
      </c>
      <c r="Y285" s="338" t="s">
        <v>342</v>
      </c>
      <c r="AA285" s="338">
        <v>49.03</v>
      </c>
      <c r="AB285" s="338" t="s">
        <v>340</v>
      </c>
      <c r="AG285" s="2297">
        <v>17.05</v>
      </c>
      <c r="AH285" s="2297" t="s">
        <v>328</v>
      </c>
      <c r="AI285" s="1390"/>
      <c r="AJ285" s="2282"/>
      <c r="AK285" s="2282"/>
      <c r="AL285" s="1037"/>
      <c r="AM285" s="339">
        <v>33708</v>
      </c>
      <c r="AN285" s="338" t="s">
        <v>342</v>
      </c>
      <c r="AQ285" s="858"/>
      <c r="AR285" s="338">
        <v>203.02</v>
      </c>
      <c r="AS285" s="338" t="s">
        <v>323</v>
      </c>
      <c r="AX285" s="340">
        <v>702.08</v>
      </c>
      <c r="AY285" s="340" t="s">
        <v>289</v>
      </c>
      <c r="BC285" s="341" t="str">
        <f t="array" ref="BC285">IFERROR(IF($BC$11="Yes",INDEX($AX$13:$AX$2950,SMALL(IF((County=$AY$13:$AY$2950),MATCH(ROW($AY$13:$AY$2950),ROW($AY$13:$AY$2950)),""),ROWS($A$13:$A285))),""),"")</f>
        <v/>
      </c>
      <c r="BE285" s="339">
        <v>33955</v>
      </c>
      <c r="BF285" s="338" t="s">
        <v>294</v>
      </c>
      <c r="BH285" s="338">
        <v>35</v>
      </c>
      <c r="BI285" s="338" t="s">
        <v>316</v>
      </c>
      <c r="BN285" s="340">
        <v>15.01</v>
      </c>
      <c r="BO285" s="340" t="s">
        <v>323</v>
      </c>
      <c r="BP285" s="1385"/>
      <c r="BQ285" s="1386">
        <v>33445</v>
      </c>
      <c r="BR285" s="338" t="s">
        <v>340</v>
      </c>
      <c r="BU285" s="858"/>
      <c r="BV285" s="338">
        <v>104.03</v>
      </c>
      <c r="BW285" s="338" t="s">
        <v>289</v>
      </c>
      <c r="CB285" s="340">
        <v>610.03</v>
      </c>
      <c r="CC285" s="340" t="s">
        <v>289</v>
      </c>
      <c r="CE285" s="341" t="str">
        <f t="array" ref="CE285">IFERROR(IF($CE$11="Metro",INDEX($BV$13:$BV$4972,SMALL(IF((County=$BW$13:$BW$4972),MATCH(ROW($BW$13:$BW$4972),ROW($BW$13:$BW$4972)),""),ROWS($A$13:$A285))),INDEX($BY$13:$BY$212,SMALL(IF((County=$BZ$13:$BZ$212),MATCH(ROW($BZ$13:$BZ$212),ROW($BZ$13:$BZ$212)),""),ROWS($A$13:$A285)))),"")</f>
        <v/>
      </c>
      <c r="CG285" s="341" t="str">
        <f t="array" ref="CG285">IFERROR(IF($CG$11="Yes",INDEX($CB$13:$CB$2950,SMALL(IF((County=$CC$13:$CC$2950),MATCH(ROW($CC$13:$CC$2950),ROW($CC$13:$CC$2950)),""),ROWS($A$13:$A285))),""),"")</f>
        <v/>
      </c>
      <c r="CI285" s="1583">
        <v>33761</v>
      </c>
      <c r="CJ285" s="338" t="s">
        <v>342</v>
      </c>
      <c r="CL285" s="236">
        <v>7.13</v>
      </c>
      <c r="CM285" s="236" t="s">
        <v>331</v>
      </c>
      <c r="CR285" s="340">
        <v>15.08</v>
      </c>
      <c r="CS285" s="340" t="s">
        <v>347</v>
      </c>
      <c r="CT285" s="1384"/>
      <c r="CU285" s="341">
        <v>33437</v>
      </c>
      <c r="CV285" s="338" t="s">
        <v>340</v>
      </c>
      <c r="CZ285" s="1795">
        <v>102.04</v>
      </c>
      <c r="DA285" s="338" t="s">
        <v>316</v>
      </c>
      <c r="DF285" s="340">
        <v>702.05</v>
      </c>
      <c r="DG285" s="340" t="s">
        <v>289</v>
      </c>
      <c r="DK285" s="341" t="str">
        <f t="array" ref="DK285">IFERROR(IF($DK$11="Yes",INDEX($DF$13:$DF$2838,SMALL(IF((County=$DG$13:$DG$2838),MATCH(ROW($DG$13:$DG$2838),ROW($DG$13:$DG$2838)),""),ROWS($A$13:$A285))),""),"")</f>
        <v/>
      </c>
      <c r="DM285" s="1387">
        <v>33716</v>
      </c>
      <c r="DN285" s="338" t="s">
        <v>342</v>
      </c>
      <c r="DP285" s="236">
        <v>39.14</v>
      </c>
      <c r="DQ285" s="236" t="s">
        <v>331</v>
      </c>
      <c r="DV285" s="340">
        <v>17.010000000000002</v>
      </c>
      <c r="DW285" s="340" t="s">
        <v>328</v>
      </c>
      <c r="DX285" s="1671"/>
      <c r="EB285" s="618"/>
      <c r="EC285" s="618"/>
      <c r="ED285" s="618"/>
      <c r="EE285" s="618"/>
      <c r="EF285" s="618"/>
      <c r="EG285" s="618"/>
      <c r="EH285" s="618"/>
      <c r="EI285" s="618"/>
      <c r="EJ285" s="618"/>
      <c r="EK285" s="618"/>
      <c r="EL285" s="618"/>
      <c r="EM285" s="618"/>
    </row>
    <row r="286" spans="1:143">
      <c r="A286" s="339">
        <v>33431</v>
      </c>
      <c r="B286" s="338" t="s">
        <v>340</v>
      </c>
      <c r="E286" s="858"/>
      <c r="F286" s="338">
        <v>126</v>
      </c>
      <c r="G286" s="338" t="s">
        <v>316</v>
      </c>
      <c r="L286" s="2481">
        <v>702.12</v>
      </c>
      <c r="M286" s="340" t="s">
        <v>289</v>
      </c>
      <c r="N286" s="1390"/>
      <c r="O286" s="2479"/>
      <c r="P286" s="2282"/>
      <c r="T286" s="341" t="str">
        <f t="array" ref="T286">IFERROR(IF($T$11="Yes",INDEX($L$13:$L$2813,SMALL(IF((County=$M$13:$M$2813),MATCH(ROW($M$13:$M$2813),ROW($M$13:$M$2813)),""),ROWS($A$13:A286))),""),"")</f>
        <v/>
      </c>
      <c r="V286" s="2283" t="str">
        <f t="array" ref="V286">IFERROR(IF($T$11="Yes",INDEX($O$14:$O$2811,SMALL(IF((County=$P$14:$P$2811),MATCH(ROW($P$14:$P$2811),ROW($P$14:$P$2811)),""),ROWS($A$13:A286))),""),"")</f>
        <v/>
      </c>
      <c r="X286" s="339">
        <v>33702</v>
      </c>
      <c r="Y286" s="338" t="s">
        <v>342</v>
      </c>
      <c r="AA286" s="338">
        <v>50</v>
      </c>
      <c r="AB286" s="338" t="s">
        <v>316</v>
      </c>
      <c r="AG286" s="2297">
        <v>17.059999999999999</v>
      </c>
      <c r="AH286" s="2297" t="s">
        <v>323</v>
      </c>
      <c r="AI286" s="1390"/>
      <c r="AJ286" s="2282"/>
      <c r="AK286" s="2282"/>
      <c r="AL286" s="1037"/>
      <c r="AM286" s="339">
        <v>33711</v>
      </c>
      <c r="AN286" s="338" t="s">
        <v>342</v>
      </c>
      <c r="AQ286" s="858"/>
      <c r="AR286" s="338">
        <v>205.01</v>
      </c>
      <c r="AS286" s="338" t="s">
        <v>323</v>
      </c>
      <c r="AX286" s="340">
        <v>702.09</v>
      </c>
      <c r="AY286" s="340" t="s">
        <v>289</v>
      </c>
      <c r="BC286" s="341" t="str">
        <f t="array" ref="BC286">IFERROR(IF($BC$11="Yes",INDEX($AX$13:$AX$2950,SMALL(IF((County=$AY$13:$AY$2950),MATCH(ROW($AY$13:$AY$2950),ROW($AY$13:$AY$2950)),""),ROWS($A$13:$A286))),""),"")</f>
        <v/>
      </c>
      <c r="BE286" s="339">
        <v>33957</v>
      </c>
      <c r="BF286" s="338" t="s">
        <v>323</v>
      </c>
      <c r="BH286" s="338">
        <v>35.06</v>
      </c>
      <c r="BI286" s="338" t="s">
        <v>304</v>
      </c>
      <c r="BN286" s="340">
        <v>15.02</v>
      </c>
      <c r="BO286" s="340" t="s">
        <v>285</v>
      </c>
      <c r="BP286" s="1385"/>
      <c r="BQ286" s="1386">
        <v>33449</v>
      </c>
      <c r="BR286" s="338" t="s">
        <v>340</v>
      </c>
      <c r="BU286" s="858"/>
      <c r="BV286" s="338">
        <v>104.05</v>
      </c>
      <c r="BW286" s="338" t="s">
        <v>289</v>
      </c>
      <c r="CB286" s="340">
        <v>610.04</v>
      </c>
      <c r="CC286" s="340" t="s">
        <v>289</v>
      </c>
      <c r="CE286" s="341" t="str">
        <f t="array" ref="CE286">IFERROR(IF($CE$11="Metro",INDEX($BV$13:$BV$4972,SMALL(IF((County=$BW$13:$BW$4972),MATCH(ROW($BW$13:$BW$4972),ROW($BW$13:$BW$4972)),""),ROWS($A$13:$A286))),INDEX($BY$13:$BY$212,SMALL(IF((County=$BZ$13:$BZ$212),MATCH(ROW($BZ$13:$BZ$212),ROW($BZ$13:$BZ$212)),""),ROWS($A$13:$A286)))),"")</f>
        <v/>
      </c>
      <c r="CG286" s="341" t="str">
        <f t="array" ref="CG286">IFERROR(IF($CG$11="Yes",INDEX($CB$13:$CB$2950,SMALL(IF((County=$CC$13:$CC$2950),MATCH(ROW($CC$13:$CC$2950),ROW($CC$13:$CC$2950)),""),ROWS($A$13:$A286))),""),"")</f>
        <v/>
      </c>
      <c r="CI286" s="1583">
        <v>33762</v>
      </c>
      <c r="CJ286" s="338" t="s">
        <v>342</v>
      </c>
      <c r="CL286" s="236">
        <v>7.14</v>
      </c>
      <c r="CM286" s="236" t="s">
        <v>331</v>
      </c>
      <c r="CR286" s="340">
        <v>15.09</v>
      </c>
      <c r="CS286" s="340" t="s">
        <v>347</v>
      </c>
      <c r="CT286" s="1384"/>
      <c r="CU286" s="341">
        <v>33444</v>
      </c>
      <c r="CV286" s="338" t="s">
        <v>340</v>
      </c>
      <c r="CZ286" s="1795">
        <v>103.03</v>
      </c>
      <c r="DA286" s="338" t="s">
        <v>316</v>
      </c>
      <c r="DF286" s="340">
        <v>702.08</v>
      </c>
      <c r="DG286" s="340" t="s">
        <v>289</v>
      </c>
      <c r="DK286" s="341" t="str">
        <f t="array" ref="DK286">IFERROR(IF($DK$11="Yes",INDEX($DF$13:$DF$2838,SMALL(IF((County=$DG$13:$DG$2838),MATCH(ROW($DG$13:$DG$2838),ROW($DG$13:$DG$2838)),""),ROWS($A$13:$A286))),""),"")</f>
        <v/>
      </c>
      <c r="DM286" s="1387">
        <v>33759</v>
      </c>
      <c r="DN286" s="338" t="s">
        <v>342</v>
      </c>
      <c r="DP286" s="236">
        <v>40</v>
      </c>
      <c r="DQ286" s="236" t="s">
        <v>304</v>
      </c>
      <c r="DV286" s="340">
        <v>17.010000000000002</v>
      </c>
      <c r="DW286" s="340" t="s">
        <v>330</v>
      </c>
      <c r="DX286" s="1671"/>
      <c r="EB286" s="618"/>
      <c r="EC286" s="618"/>
      <c r="ED286" s="618"/>
      <c r="EE286" s="618"/>
      <c r="EF286" s="618"/>
      <c r="EG286" s="618"/>
      <c r="EH286" s="618"/>
      <c r="EI286" s="618"/>
      <c r="EJ286" s="618"/>
      <c r="EK286" s="618"/>
      <c r="EL286" s="618"/>
      <c r="EM286" s="618"/>
    </row>
    <row r="287" spans="1:143">
      <c r="A287" s="339">
        <v>33432</v>
      </c>
      <c r="B287" s="338" t="s">
        <v>340</v>
      </c>
      <c r="E287" s="858"/>
      <c r="F287" s="338">
        <v>129</v>
      </c>
      <c r="G287" s="338" t="s">
        <v>316</v>
      </c>
      <c r="L287" s="2481">
        <v>703.04</v>
      </c>
      <c r="M287" s="340" t="s">
        <v>289</v>
      </c>
      <c r="N287" s="1390"/>
      <c r="O287" s="2479"/>
      <c r="P287" s="2282"/>
      <c r="T287" s="341" t="str">
        <f t="array" ref="T287">IFERROR(IF($T$11="Yes",INDEX($L$13:$L$2813,SMALL(IF((County=$M$13:$M$2813),MATCH(ROW($M$13:$M$2813),ROW($M$13:$M$2813)),""),ROWS($A$13:A287))),""),"")</f>
        <v/>
      </c>
      <c r="V287" s="2283" t="str">
        <f t="array" ref="V287">IFERROR(IF($T$11="Yes",INDEX($O$14:$O$2811,SMALL(IF((County=$P$14:$P$2811),MATCH(ROW($P$14:$P$2811),ROW($P$14:$P$2811)),""),ROWS($A$13:A287))),""),"")</f>
        <v/>
      </c>
      <c r="X287" s="339">
        <v>33703</v>
      </c>
      <c r="Y287" s="338" t="s">
        <v>342</v>
      </c>
      <c r="AA287" s="338">
        <v>51.01</v>
      </c>
      <c r="AB287" s="338" t="s">
        <v>340</v>
      </c>
      <c r="AG287" s="2297">
        <v>17.09</v>
      </c>
      <c r="AH287" s="2297" t="s">
        <v>323</v>
      </c>
      <c r="AI287" s="1390"/>
      <c r="AJ287" s="2282"/>
      <c r="AK287" s="2282"/>
      <c r="AL287" s="1037"/>
      <c r="AM287" s="339">
        <v>33713</v>
      </c>
      <c r="AN287" s="338" t="s">
        <v>342</v>
      </c>
      <c r="AQ287" s="858"/>
      <c r="AR287" s="338">
        <v>208.01</v>
      </c>
      <c r="AS287" s="338" t="s">
        <v>323</v>
      </c>
      <c r="AX287" s="340">
        <v>702.1</v>
      </c>
      <c r="AY287" s="340" t="s">
        <v>289</v>
      </c>
      <c r="BC287" s="341" t="str">
        <f t="array" ref="BC287">IFERROR(IF($BC$11="Yes",INDEX($AX$13:$AX$2950,SMALL(IF((County=$AY$13:$AY$2950),MATCH(ROW($AY$13:$AY$2950),ROW($AY$13:$AY$2950)),""),ROWS($A$13:$A287))),""),"")</f>
        <v/>
      </c>
      <c r="BE287" s="339">
        <v>33965</v>
      </c>
      <c r="BF287" s="338" t="s">
        <v>323</v>
      </c>
      <c r="BH287" s="338">
        <v>36</v>
      </c>
      <c r="BI287" s="338" t="s">
        <v>316</v>
      </c>
      <c r="BN287" s="340">
        <v>15.04</v>
      </c>
      <c r="BO287" s="340" t="s">
        <v>347</v>
      </c>
      <c r="BP287" s="1385"/>
      <c r="BQ287" s="341">
        <v>33458</v>
      </c>
      <c r="BR287" s="338" t="s">
        <v>340</v>
      </c>
      <c r="BU287" s="858"/>
      <c r="BV287" s="338">
        <v>104.06</v>
      </c>
      <c r="BW287" s="338" t="s">
        <v>289</v>
      </c>
      <c r="CB287" s="340">
        <v>701.02</v>
      </c>
      <c r="CC287" s="340" t="s">
        <v>289</v>
      </c>
      <c r="CE287" s="341" t="str">
        <f t="array" ref="CE287">IFERROR(IF($CE$11="Metro",INDEX($BV$13:$BV$4972,SMALL(IF((County=$BW$13:$BW$4972),MATCH(ROW($BW$13:$BW$4972),ROW($BW$13:$BW$4972)),""),ROWS($A$13:$A287))),INDEX($BY$13:$BY$212,SMALL(IF((County=$BZ$13:$BZ$212),MATCH(ROW($BZ$13:$BZ$212),ROW($BZ$13:$BZ$212)),""),ROWS($A$13:$A287)))),"")</f>
        <v/>
      </c>
      <c r="CG287" s="341" t="str">
        <f t="array" ref="CG287">IFERROR(IF($CG$11="Yes",INDEX($CB$13:$CB$2950,SMALL(IF((County=$CC$13:$CC$2950),MATCH(ROW($CC$13:$CC$2950),ROW($CC$13:$CC$2950)),""),ROWS($A$13:$A287))),""),"")</f>
        <v/>
      </c>
      <c r="CI287" s="1583">
        <v>33763</v>
      </c>
      <c r="CJ287" s="338" t="s">
        <v>342</v>
      </c>
      <c r="CL287" s="236">
        <v>7.15</v>
      </c>
      <c r="CM287" s="236" t="s">
        <v>331</v>
      </c>
      <c r="CR287" s="340">
        <v>15.1</v>
      </c>
      <c r="CS287" s="340" t="s">
        <v>347</v>
      </c>
      <c r="CT287" s="1384"/>
      <c r="CU287" s="341">
        <v>33445</v>
      </c>
      <c r="CV287" s="338" t="s">
        <v>340</v>
      </c>
      <c r="CZ287" s="1795">
        <v>104.01</v>
      </c>
      <c r="DA287" s="338" t="s">
        <v>316</v>
      </c>
      <c r="DF287" s="340">
        <v>702.09</v>
      </c>
      <c r="DG287" s="340" t="s">
        <v>289</v>
      </c>
      <c r="DK287" s="341" t="str">
        <f t="array" ref="DK287">IFERROR(IF($DK$11="Yes",INDEX($DF$13:$DF$2838,SMALL(IF((County=$DG$13:$DG$2838),MATCH(ROW($DG$13:$DG$2838),ROW($DG$13:$DG$2838)),""),ROWS($A$13:$A287))),""),"")</f>
        <v/>
      </c>
      <c r="DM287" s="1387">
        <v>33760</v>
      </c>
      <c r="DN287" s="338" t="s">
        <v>342</v>
      </c>
      <c r="DP287" s="236">
        <v>40.07</v>
      </c>
      <c r="DQ287" s="236" t="s">
        <v>340</v>
      </c>
      <c r="DV287" s="340">
        <v>17.02</v>
      </c>
      <c r="DW287" s="340" t="s">
        <v>276</v>
      </c>
      <c r="DX287" s="1671"/>
      <c r="EB287" s="618"/>
      <c r="EC287" s="618"/>
      <c r="ED287" s="618"/>
      <c r="EE287" s="618"/>
      <c r="EF287" s="618"/>
      <c r="EG287" s="618"/>
      <c r="EH287" s="618"/>
      <c r="EI287" s="618"/>
      <c r="EJ287" s="618"/>
      <c r="EK287" s="618"/>
      <c r="EL287" s="618"/>
      <c r="EM287" s="618"/>
    </row>
    <row r="288" spans="1:143">
      <c r="A288" s="339">
        <v>33433</v>
      </c>
      <c r="B288" s="338" t="s">
        <v>340</v>
      </c>
      <c r="E288" s="858"/>
      <c r="F288" s="338">
        <v>133.11000000000001</v>
      </c>
      <c r="G288" s="338" t="s">
        <v>316</v>
      </c>
      <c r="L288" s="2481">
        <v>703.06</v>
      </c>
      <c r="M288" s="340" t="s">
        <v>289</v>
      </c>
      <c r="N288" s="1390"/>
      <c r="O288" s="2479"/>
      <c r="P288" s="2282"/>
      <c r="T288" s="341" t="str">
        <f t="array" ref="T288">IFERROR(IF($T$11="Yes",INDEX($L$13:$L$2813,SMALL(IF((County=$M$13:$M$2813),MATCH(ROW($M$13:$M$2813),ROW($M$13:$M$2813)),""),ROWS($A$13:A288))),""),"")</f>
        <v/>
      </c>
      <c r="V288" s="2283" t="str">
        <f t="array" ref="V288">IFERROR(IF($T$11="Yes",INDEX($O$14:$O$2811,SMALL(IF((County=$P$14:$P$2811),MATCH(ROW($P$14:$P$2811),ROW($P$14:$P$2811)),""),ROWS($A$13:A288))),""),"")</f>
        <v/>
      </c>
      <c r="X288" s="339">
        <v>33705</v>
      </c>
      <c r="Y288" s="338" t="s">
        <v>342</v>
      </c>
      <c r="AA288" s="338">
        <v>51.02</v>
      </c>
      <c r="AB288" s="338" t="s">
        <v>331</v>
      </c>
      <c r="AG288" s="2297">
        <v>18.010000000000002</v>
      </c>
      <c r="AH288" s="2297" t="s">
        <v>323</v>
      </c>
      <c r="AI288" s="1390"/>
      <c r="AJ288" s="2282"/>
      <c r="AK288" s="2282"/>
      <c r="AL288" s="1037"/>
      <c r="AM288" s="339">
        <v>33715</v>
      </c>
      <c r="AN288" s="338" t="s">
        <v>342</v>
      </c>
      <c r="AQ288" s="858"/>
      <c r="AR288" s="338">
        <v>208.02</v>
      </c>
      <c r="AS288" s="338" t="s">
        <v>323</v>
      </c>
      <c r="AX288" s="340">
        <v>702.11</v>
      </c>
      <c r="AY288" s="340" t="s">
        <v>289</v>
      </c>
      <c r="BC288" s="341" t="str">
        <f t="array" ref="BC288">IFERROR(IF($BC$11="Yes",INDEX($AX$13:$AX$2950,SMALL(IF((County=$AY$13:$AY$2950),MATCH(ROW($AY$13:$AY$2950),ROW($AY$13:$AY$2950)),""),ROWS($A$13:$A288))),""),"")</f>
        <v/>
      </c>
      <c r="BE288" s="339">
        <v>33967</v>
      </c>
      <c r="BF288" s="338" t="s">
        <v>323</v>
      </c>
      <c r="BH288" s="338">
        <v>36.03</v>
      </c>
      <c r="BI288" s="338" t="s">
        <v>331</v>
      </c>
      <c r="BN288" s="340">
        <v>15.05</v>
      </c>
      <c r="BO288" s="340" t="s">
        <v>347</v>
      </c>
      <c r="BP288" s="1385"/>
      <c r="BQ288" s="1386">
        <v>33462</v>
      </c>
      <c r="BR288" s="338" t="s">
        <v>340</v>
      </c>
      <c r="BU288" s="858"/>
      <c r="BV288" s="338">
        <v>104.07</v>
      </c>
      <c r="BW288" s="338" t="s">
        <v>289</v>
      </c>
      <c r="CB288" s="340">
        <v>701.03</v>
      </c>
      <c r="CC288" s="340" t="s">
        <v>289</v>
      </c>
      <c r="CE288" s="341" t="str">
        <f t="array" ref="CE288">IFERROR(IF($CE$11="Metro",INDEX($BV$13:$BV$4972,SMALL(IF((County=$BW$13:$BW$4972),MATCH(ROW($BW$13:$BW$4972),ROW($BW$13:$BW$4972)),""),ROWS($A$13:$A288))),INDEX($BY$13:$BY$212,SMALL(IF((County=$BZ$13:$BZ$212),MATCH(ROW($BZ$13:$BZ$212),ROW($BZ$13:$BZ$212)),""),ROWS($A$13:$A288)))),"")</f>
        <v/>
      </c>
      <c r="CG288" s="341" t="str">
        <f t="array" ref="CG288">IFERROR(IF($CG$11="Yes",INDEX($CB$13:$CB$2950,SMALL(IF((County=$CC$13:$CC$2950),MATCH(ROW($CC$13:$CC$2950),ROW($CC$13:$CC$2950)),""),ROWS($A$13:$A288))),""),"")</f>
        <v/>
      </c>
      <c r="CI288" s="1583">
        <v>33764</v>
      </c>
      <c r="CJ288" s="338" t="s">
        <v>342</v>
      </c>
      <c r="CL288" s="236">
        <v>7.16</v>
      </c>
      <c r="CM288" s="236" t="s">
        <v>331</v>
      </c>
      <c r="CR288" s="340">
        <v>15.11</v>
      </c>
      <c r="CS288" s="340" t="s">
        <v>347</v>
      </c>
      <c r="CT288" s="1384"/>
      <c r="CU288" s="341">
        <v>33449</v>
      </c>
      <c r="CV288" s="338" t="s">
        <v>340</v>
      </c>
      <c r="CZ288" s="1795">
        <v>104.02</v>
      </c>
      <c r="DA288" s="338" t="s">
        <v>316</v>
      </c>
      <c r="DF288" s="340">
        <v>702.1</v>
      </c>
      <c r="DG288" s="340" t="s">
        <v>289</v>
      </c>
      <c r="DK288" s="341" t="str">
        <f t="array" ref="DK288">IFERROR(IF($DK$11="Yes",INDEX($DF$13:$DF$2838,SMALL(IF((County=$DG$13:$DG$2838),MATCH(ROW($DG$13:$DG$2838),ROW($DG$13:$DG$2838)),""),ROWS($A$13:$A288))),""),"")</f>
        <v/>
      </c>
      <c r="DM288" s="1387">
        <v>33761</v>
      </c>
      <c r="DN288" s="338" t="s">
        <v>342</v>
      </c>
      <c r="DP288" s="236">
        <v>40.08</v>
      </c>
      <c r="DQ288" s="236" t="s">
        <v>340</v>
      </c>
      <c r="DV288" s="340">
        <v>17.02</v>
      </c>
      <c r="DW288" s="340" t="s">
        <v>324</v>
      </c>
      <c r="DX288" s="1671"/>
      <c r="EB288" s="618"/>
      <c r="EC288" s="618"/>
      <c r="ED288" s="618"/>
      <c r="EE288" s="618"/>
      <c r="EF288" s="618"/>
      <c r="EG288" s="618"/>
      <c r="EH288" s="618"/>
      <c r="EI288" s="618"/>
      <c r="EJ288" s="618"/>
      <c r="EK288" s="618"/>
      <c r="EL288" s="618"/>
      <c r="EM288" s="618"/>
    </row>
    <row r="289" spans="1:143">
      <c r="A289" s="339">
        <v>33435</v>
      </c>
      <c r="B289" s="338" t="s">
        <v>340</v>
      </c>
      <c r="E289" s="858"/>
      <c r="F289" s="338">
        <v>133.16999999999999</v>
      </c>
      <c r="G289" s="338" t="s">
        <v>316</v>
      </c>
      <c r="L289" s="2481">
        <v>703.1</v>
      </c>
      <c r="M289" s="340" t="s">
        <v>289</v>
      </c>
      <c r="N289" s="1390"/>
      <c r="O289" s="2479"/>
      <c r="P289" s="2282"/>
      <c r="T289" s="341" t="str">
        <f t="array" ref="T289">IFERROR(IF($T$11="Yes",INDEX($L$13:$L$2813,SMALL(IF((County=$M$13:$M$2813),MATCH(ROW($M$13:$M$2813),ROW($M$13:$M$2813)),""),ROWS($A$13:A289))),""),"")</f>
        <v/>
      </c>
      <c r="V289" s="2283" t="str">
        <f t="array" ref="V289">IFERROR(IF($T$11="Yes",INDEX($O$14:$O$2811,SMALL(IF((County=$P$14:$P$2811),MATCH(ROW($P$14:$P$2811),ROW($P$14:$P$2811)),""),ROWS($A$13:A289))),""),"")</f>
        <v/>
      </c>
      <c r="X289" s="339">
        <v>33706</v>
      </c>
      <c r="Y289" s="338" t="s">
        <v>342</v>
      </c>
      <c r="AA289" s="338">
        <v>51.02</v>
      </c>
      <c r="AB289" s="338" t="s">
        <v>340</v>
      </c>
      <c r="AG289" s="2297">
        <v>18.010000000000002</v>
      </c>
      <c r="AH289" s="2297" t="s">
        <v>328</v>
      </c>
      <c r="AI289" s="1390"/>
      <c r="AJ289" s="2282"/>
      <c r="AK289" s="2282"/>
      <c r="AL289" s="1037"/>
      <c r="AM289" s="339">
        <v>33716</v>
      </c>
      <c r="AN289" s="338" t="s">
        <v>342</v>
      </c>
      <c r="AQ289" s="858"/>
      <c r="AR289" s="338">
        <v>401.09</v>
      </c>
      <c r="AS289" s="338" t="s">
        <v>323</v>
      </c>
      <c r="AX289" s="340">
        <v>702.12</v>
      </c>
      <c r="AY289" s="340" t="s">
        <v>289</v>
      </c>
      <c r="BC289" s="341" t="str">
        <f t="array" ref="BC289">IFERROR(IF($BC$11="Yes",INDEX($AX$13:$AX$2950,SMALL(IF((County=$AY$13:$AY$2950),MATCH(ROW($AY$13:$AY$2950),ROW($AY$13:$AY$2950)),""),ROWS($A$13:$A289))),""),"")</f>
        <v/>
      </c>
      <c r="BE289" s="339">
        <v>33981</v>
      </c>
      <c r="BF289" s="338" t="s">
        <v>294</v>
      </c>
      <c r="BH289" s="338">
        <v>36.04</v>
      </c>
      <c r="BI289" s="338" t="s">
        <v>331</v>
      </c>
      <c r="BN289" s="340">
        <v>15.08</v>
      </c>
      <c r="BO289" s="340" t="s">
        <v>347</v>
      </c>
      <c r="BP289" s="1385"/>
      <c r="BQ289" s="1386">
        <v>33467</v>
      </c>
      <c r="BR289" s="338" t="s">
        <v>340</v>
      </c>
      <c r="BU289" s="858"/>
      <c r="BV289" s="338">
        <v>105.02</v>
      </c>
      <c r="BW289" s="338" t="s">
        <v>289</v>
      </c>
      <c r="CB289" s="340">
        <v>702.05</v>
      </c>
      <c r="CC289" s="340" t="s">
        <v>289</v>
      </c>
      <c r="CE289" s="341" t="str">
        <f t="array" ref="CE289">IFERROR(IF($CE$11="Metro",INDEX($BV$13:$BV$4972,SMALL(IF((County=$BW$13:$BW$4972),MATCH(ROW($BW$13:$BW$4972),ROW($BW$13:$BW$4972)),""),ROWS($A$13:$A289))),INDEX($BY$13:$BY$212,SMALL(IF((County=$BZ$13:$BZ$212),MATCH(ROW($BZ$13:$BZ$212),ROW($BZ$13:$BZ$212)),""),ROWS($A$13:$A289)))),"")</f>
        <v/>
      </c>
      <c r="CG289" s="341" t="str">
        <f t="array" ref="CG289">IFERROR(IF($CG$11="Yes",INDEX($CB$13:$CB$2950,SMALL(IF((County=$CC$13:$CC$2950),MATCH(ROW($CC$13:$CC$2950),ROW($CC$13:$CC$2950)),""),ROWS($A$13:$A289))),""),"")</f>
        <v/>
      </c>
      <c r="CI289" s="1583">
        <v>33765</v>
      </c>
      <c r="CJ289" s="338" t="s">
        <v>342</v>
      </c>
      <c r="CL289" s="236">
        <v>7.17</v>
      </c>
      <c r="CM289" s="236" t="s">
        <v>331</v>
      </c>
      <c r="CR289" s="340">
        <v>15.14</v>
      </c>
      <c r="CS289" s="340" t="s">
        <v>276</v>
      </c>
      <c r="CT289" s="1384"/>
      <c r="CU289" s="341">
        <v>33458</v>
      </c>
      <c r="CV289" s="338" t="s">
        <v>340</v>
      </c>
      <c r="CZ289" s="1795">
        <v>105.01</v>
      </c>
      <c r="DA289" s="338" t="s">
        <v>316</v>
      </c>
      <c r="DF289" s="340">
        <v>702.11</v>
      </c>
      <c r="DG289" s="340" t="s">
        <v>289</v>
      </c>
      <c r="DK289" s="341" t="str">
        <f t="array" ref="DK289">IFERROR(IF($DK$11="Yes",INDEX($DF$13:$DF$2838,SMALL(IF((County=$DG$13:$DG$2838),MATCH(ROW($DG$13:$DG$2838),ROW($DG$13:$DG$2838)),""),ROWS($A$13:$A289))),""),"")</f>
        <v/>
      </c>
      <c r="DM289" s="1387">
        <v>33762</v>
      </c>
      <c r="DN289" s="338" t="s">
        <v>342</v>
      </c>
      <c r="DP289" s="236">
        <v>40.11</v>
      </c>
      <c r="DQ289" s="236" t="s">
        <v>340</v>
      </c>
      <c r="DV289" s="340">
        <v>17.02</v>
      </c>
      <c r="DW289" s="340" t="s">
        <v>330</v>
      </c>
      <c r="DX289" s="1671"/>
      <c r="EB289" s="618"/>
      <c r="EC289" s="618"/>
      <c r="ED289" s="618"/>
      <c r="EE289" s="618"/>
      <c r="EF289" s="618"/>
      <c r="EG289" s="618"/>
      <c r="EH289" s="618"/>
      <c r="EI289" s="618"/>
      <c r="EJ289" s="618"/>
      <c r="EK289" s="618"/>
      <c r="EL289" s="618"/>
      <c r="EM289" s="618"/>
    </row>
    <row r="290" spans="1:143">
      <c r="A290" s="339">
        <v>33436</v>
      </c>
      <c r="B290" s="338" t="s">
        <v>340</v>
      </c>
      <c r="E290" s="858"/>
      <c r="F290" s="338">
        <v>135.03</v>
      </c>
      <c r="G290" s="338" t="s">
        <v>316</v>
      </c>
      <c r="L290" s="2481">
        <v>703.11</v>
      </c>
      <c r="M290" s="340" t="s">
        <v>289</v>
      </c>
      <c r="N290" s="1390"/>
      <c r="O290" s="2479"/>
      <c r="P290" s="2282"/>
      <c r="T290" s="341" t="str">
        <f t="array" ref="T290">IFERROR(IF($T$11="Yes",INDEX($L$13:$L$2813,SMALL(IF((County=$M$13:$M$2813),MATCH(ROW($M$13:$M$2813),ROW($M$13:$M$2813)),""),ROWS($A$13:A290))),""),"")</f>
        <v/>
      </c>
      <c r="V290" s="2283" t="str">
        <f t="array" ref="V290">IFERROR(IF($T$11="Yes",INDEX($O$14:$O$2811,SMALL(IF((County=$P$14:$P$2811),MATCH(ROW($P$14:$P$2811),ROW($P$14:$P$2811)),""),ROWS($A$13:A290))),""),"")</f>
        <v/>
      </c>
      <c r="X290" s="339">
        <v>33708</v>
      </c>
      <c r="Y290" s="338" t="s">
        <v>342</v>
      </c>
      <c r="AA290" s="338">
        <v>51.03</v>
      </c>
      <c r="AB290" s="338" t="s">
        <v>331</v>
      </c>
      <c r="AG290" s="2297">
        <v>18.010000000000002</v>
      </c>
      <c r="AH290" s="2297" t="s">
        <v>347</v>
      </c>
      <c r="AI290" s="1390"/>
      <c r="AJ290" s="2282"/>
      <c r="AK290" s="2282"/>
      <c r="AL290" s="1037"/>
      <c r="AM290" s="339">
        <v>33744</v>
      </c>
      <c r="AN290" s="338" t="s">
        <v>342</v>
      </c>
      <c r="AQ290" s="858"/>
      <c r="AR290" s="338">
        <v>401.22</v>
      </c>
      <c r="AS290" s="338" t="s">
        <v>323</v>
      </c>
      <c r="AX290" s="340">
        <v>702.13</v>
      </c>
      <c r="AY290" s="340" t="s">
        <v>289</v>
      </c>
      <c r="BC290" s="341" t="str">
        <f t="array" ref="BC290">IFERROR(IF($BC$11="Yes",INDEX($AX$13:$AX$2950,SMALL(IF((County=$AY$13:$AY$2950),MATCH(ROW($AY$13:$AY$2950),ROW($AY$13:$AY$2950)),""),ROWS($A$13:$A290))),""),"")</f>
        <v/>
      </c>
      <c r="BE290" s="339">
        <v>33991</v>
      </c>
      <c r="BF290" s="338" t="s">
        <v>323</v>
      </c>
      <c r="BH290" s="338">
        <v>36.049999999999997</v>
      </c>
      <c r="BI290" s="338" t="s">
        <v>331</v>
      </c>
      <c r="BN290" s="340">
        <v>15.09</v>
      </c>
      <c r="BO290" s="340" t="s">
        <v>347</v>
      </c>
      <c r="BP290" s="1385"/>
      <c r="BQ290" s="341">
        <v>33469</v>
      </c>
      <c r="BR290" s="338" t="s">
        <v>340</v>
      </c>
      <c r="BU290" s="858"/>
      <c r="BV290" s="338">
        <v>105.03</v>
      </c>
      <c r="BW290" s="338" t="s">
        <v>289</v>
      </c>
      <c r="CB290" s="340">
        <v>702.08</v>
      </c>
      <c r="CC290" s="340" t="s">
        <v>289</v>
      </c>
      <c r="CE290" s="341" t="str">
        <f t="array" ref="CE290">IFERROR(IF($CE$11="Metro",INDEX($BV$13:$BV$4972,SMALL(IF((County=$BW$13:$BW$4972),MATCH(ROW($BW$13:$BW$4972),ROW($BW$13:$BW$4972)),""),ROWS($A$13:$A290))),INDEX($BY$13:$BY$212,SMALL(IF((County=$BZ$13:$BZ$212),MATCH(ROW($BZ$13:$BZ$212),ROW($BZ$13:$BZ$212)),""),ROWS($A$13:$A290)))),"")</f>
        <v/>
      </c>
      <c r="CG290" s="341" t="str">
        <f t="array" ref="CG290">IFERROR(IF($CG$11="Yes",INDEX($CB$13:$CB$2950,SMALL(IF((County=$CC$13:$CC$2950),MATCH(ROW($CC$13:$CC$2950),ROW($CC$13:$CC$2950)),""),ROWS($A$13:$A290))),""),"")</f>
        <v/>
      </c>
      <c r="CI290" s="1583">
        <v>33767</v>
      </c>
      <c r="CJ290" s="338" t="s">
        <v>342</v>
      </c>
      <c r="CL290" s="236">
        <v>7.18</v>
      </c>
      <c r="CM290" s="236" t="s">
        <v>331</v>
      </c>
      <c r="CR290" s="340">
        <v>15.22</v>
      </c>
      <c r="CS290" s="340" t="s">
        <v>276</v>
      </c>
      <c r="CT290" s="1384"/>
      <c r="CU290" s="341">
        <v>33462</v>
      </c>
      <c r="CV290" s="338" t="s">
        <v>340</v>
      </c>
      <c r="CZ290" s="1795">
        <v>108.05</v>
      </c>
      <c r="DA290" s="338" t="s">
        <v>316</v>
      </c>
      <c r="DF290" s="340">
        <v>702.12</v>
      </c>
      <c r="DG290" s="340" t="s">
        <v>289</v>
      </c>
      <c r="DK290" s="341" t="str">
        <f t="array" ref="DK290">IFERROR(IF($DK$11="Yes",INDEX($DF$13:$DF$2838,SMALL(IF((County=$DG$13:$DG$2838),MATCH(ROW($DG$13:$DG$2838),ROW($DG$13:$DG$2838)),""),ROWS($A$13:$A290))),""),"")</f>
        <v/>
      </c>
      <c r="DM290" s="1387">
        <v>33763</v>
      </c>
      <c r="DN290" s="338" t="s">
        <v>342</v>
      </c>
      <c r="DP290" s="236">
        <v>40.130000000000003</v>
      </c>
      <c r="DQ290" s="236" t="s">
        <v>340</v>
      </c>
      <c r="DV290" s="340">
        <v>17.02</v>
      </c>
      <c r="DW290" s="340" t="s">
        <v>347</v>
      </c>
      <c r="DX290" s="1671"/>
      <c r="EB290" s="618"/>
      <c r="EC290" s="618"/>
      <c r="ED290" s="618"/>
      <c r="EE290" s="618"/>
      <c r="EF290" s="618"/>
      <c r="EG290" s="618"/>
      <c r="EH290" s="618"/>
      <c r="EI290" s="618"/>
      <c r="EJ290" s="618"/>
      <c r="EK290" s="618"/>
      <c r="EL290" s="618"/>
      <c r="EM290" s="618"/>
    </row>
    <row r="291" spans="1:143">
      <c r="A291" s="339">
        <v>33437</v>
      </c>
      <c r="B291" s="338" t="s">
        <v>340</v>
      </c>
      <c r="E291" s="858"/>
      <c r="F291" s="338">
        <v>135.05000000000001</v>
      </c>
      <c r="G291" s="338" t="s">
        <v>316</v>
      </c>
      <c r="L291" s="2481">
        <v>703.12</v>
      </c>
      <c r="M291" s="340" t="s">
        <v>289</v>
      </c>
      <c r="N291" s="1390"/>
      <c r="O291" s="2479"/>
      <c r="P291" s="2282"/>
      <c r="T291" s="341" t="str">
        <f t="array" ref="T291">IFERROR(IF($T$11="Yes",INDEX($L$13:$L$2813,SMALL(IF((County=$M$13:$M$2813),MATCH(ROW($M$13:$M$2813),ROW($M$13:$M$2813)),""),ROWS($A$13:A291))),""),"")</f>
        <v/>
      </c>
      <c r="V291" s="2283" t="str">
        <f t="array" ref="V291">IFERROR(IF($T$11="Yes",INDEX($O$14:$O$2811,SMALL(IF((County=$P$14:$P$2811),MATCH(ROW($P$14:$P$2811),ROW($P$14:$P$2811)),""),ROWS($A$13:A291))),""),"")</f>
        <v/>
      </c>
      <c r="X291" s="339">
        <v>33710</v>
      </c>
      <c r="Y291" s="338" t="s">
        <v>342</v>
      </c>
      <c r="AA291" s="338">
        <v>51.04</v>
      </c>
      <c r="AB291" s="338" t="s">
        <v>331</v>
      </c>
      <c r="AG291" s="2297">
        <v>18.02</v>
      </c>
      <c r="AH291" s="2297" t="s">
        <v>276</v>
      </c>
      <c r="AI291" s="1390"/>
      <c r="AJ291" s="2282"/>
      <c r="AK291" s="2282"/>
      <c r="AL291" s="1037"/>
      <c r="AM291" s="339">
        <v>33759</v>
      </c>
      <c r="AN291" s="338" t="s">
        <v>342</v>
      </c>
      <c r="AQ291" s="858"/>
      <c r="AR291" s="338">
        <v>403.04</v>
      </c>
      <c r="AS291" s="338" t="s">
        <v>323</v>
      </c>
      <c r="AX291" s="340">
        <v>703.04</v>
      </c>
      <c r="AY291" s="340" t="s">
        <v>289</v>
      </c>
      <c r="BC291" s="341" t="str">
        <f t="array" ref="BC291">IFERROR(IF($BC$11="Yes",INDEX($AX$13:$AX$2950,SMALL(IF((County=$AY$13:$AY$2950),MATCH(ROW($AY$13:$AY$2950),ROW($AY$13:$AY$2950)),""),ROWS($A$13:$A291))),""),"")</f>
        <v/>
      </c>
      <c r="BE291" s="339">
        <v>33993</v>
      </c>
      <c r="BF291" s="338" t="s">
        <v>323</v>
      </c>
      <c r="BH291" s="338">
        <v>36.06</v>
      </c>
      <c r="BI291" s="338" t="s">
        <v>331</v>
      </c>
      <c r="BN291" s="340">
        <v>15.11</v>
      </c>
      <c r="BO291" s="340" t="s">
        <v>347</v>
      </c>
      <c r="BP291" s="1385"/>
      <c r="BQ291" s="1386">
        <v>33470</v>
      </c>
      <c r="BR291" s="338" t="s">
        <v>340</v>
      </c>
      <c r="BU291" s="858"/>
      <c r="BV291" s="338">
        <v>105.04</v>
      </c>
      <c r="BW291" s="338" t="s">
        <v>289</v>
      </c>
      <c r="CB291" s="340">
        <v>702.09</v>
      </c>
      <c r="CC291" s="340" t="s">
        <v>289</v>
      </c>
      <c r="CE291" s="341" t="str">
        <f t="array" ref="CE291">IFERROR(IF($CE$11="Metro",INDEX($BV$13:$BV$4972,SMALL(IF((County=$BW$13:$BW$4972),MATCH(ROW($BW$13:$BW$4972),ROW($BW$13:$BW$4972)),""),ROWS($A$13:$A291))),INDEX($BY$13:$BY$212,SMALL(IF((County=$BZ$13:$BZ$212),MATCH(ROW($BZ$13:$BZ$212),ROW($BZ$13:$BZ$212)),""),ROWS($A$13:$A291)))),"")</f>
        <v/>
      </c>
      <c r="CG291" s="341" t="str">
        <f t="array" ref="CG291">IFERROR(IF($CG$11="Yes",INDEX($CB$13:$CB$2950,SMALL(IF((County=$CC$13:$CC$2950),MATCH(ROW($CC$13:$CC$2950),ROW($CC$13:$CC$2950)),""),ROWS($A$13:$A291))),""),"")</f>
        <v/>
      </c>
      <c r="CI291" s="1583">
        <v>33770</v>
      </c>
      <c r="CJ291" s="338" t="s">
        <v>342</v>
      </c>
      <c r="CL291" s="236">
        <v>7.19</v>
      </c>
      <c r="CM291" s="236" t="s">
        <v>331</v>
      </c>
      <c r="CR291" s="340">
        <v>16</v>
      </c>
      <c r="CS291" s="340" t="s">
        <v>316</v>
      </c>
      <c r="CT291" s="1384"/>
      <c r="CU291" s="341">
        <v>33467</v>
      </c>
      <c r="CV291" s="338" t="s">
        <v>340</v>
      </c>
      <c r="CZ291" s="1795">
        <v>108.08</v>
      </c>
      <c r="DA291" s="338" t="s">
        <v>316</v>
      </c>
      <c r="DF291" s="340">
        <v>702.13</v>
      </c>
      <c r="DG291" s="340" t="s">
        <v>289</v>
      </c>
      <c r="DK291" s="341" t="str">
        <f t="array" ref="DK291">IFERROR(IF($DK$11="Yes",INDEX($DF$13:$DF$2838,SMALL(IF((County=$DG$13:$DG$2838),MATCH(ROW($DG$13:$DG$2838),ROW($DG$13:$DG$2838)),""),ROWS($A$13:$A291))),""),"")</f>
        <v/>
      </c>
      <c r="DM291" s="1387">
        <v>33764</v>
      </c>
      <c r="DN291" s="338" t="s">
        <v>342</v>
      </c>
      <c r="DP291" s="236">
        <v>41</v>
      </c>
      <c r="DQ291" s="236" t="s">
        <v>316</v>
      </c>
      <c r="DV291" s="340">
        <v>17.03</v>
      </c>
      <c r="DW291" s="340" t="s">
        <v>330</v>
      </c>
      <c r="DX291" s="1671"/>
      <c r="EB291" s="618"/>
      <c r="EC291" s="618"/>
      <c r="ED291" s="618"/>
      <c r="EE291" s="618"/>
      <c r="EF291" s="618"/>
      <c r="EG291" s="618"/>
      <c r="EH291" s="618"/>
      <c r="EI291" s="618"/>
      <c r="EJ291" s="618"/>
      <c r="EK291" s="618"/>
      <c r="EL291" s="618"/>
      <c r="EM291" s="618"/>
    </row>
    <row r="292" spans="1:143">
      <c r="A292" s="339">
        <v>33444</v>
      </c>
      <c r="B292" s="338" t="s">
        <v>340</v>
      </c>
      <c r="E292" s="858"/>
      <c r="F292" s="338">
        <v>136.04</v>
      </c>
      <c r="G292" s="338" t="s">
        <v>316</v>
      </c>
      <c r="L292" s="2481">
        <v>703.14</v>
      </c>
      <c r="M292" s="340" t="s">
        <v>289</v>
      </c>
      <c r="N292" s="1390"/>
      <c r="O292" s="2479"/>
      <c r="P292" s="2282"/>
      <c r="T292" s="341" t="str">
        <f t="array" ref="T292">IFERROR(IF($T$11="Yes",INDEX($L$13:$L$2813,SMALL(IF((County=$M$13:$M$2813),MATCH(ROW($M$13:$M$2813),ROW($M$13:$M$2813)),""),ROWS($A$13:A292))),""),"")</f>
        <v/>
      </c>
      <c r="V292" s="2283" t="str">
        <f t="array" ref="V292">IFERROR(IF($T$11="Yes",INDEX($O$14:$O$2811,SMALL(IF((County=$P$14:$P$2811),MATCH(ROW($P$14:$P$2811),ROW($P$14:$P$2811)),""),ROWS($A$13:A292))),""),"")</f>
        <v/>
      </c>
      <c r="X292" s="339">
        <v>33711</v>
      </c>
      <c r="Y292" s="338" t="s">
        <v>342</v>
      </c>
      <c r="AA292" s="338">
        <v>52.01</v>
      </c>
      <c r="AB292" s="338" t="s">
        <v>331</v>
      </c>
      <c r="AG292" s="2297">
        <v>18.02</v>
      </c>
      <c r="AH292" s="2297" t="s">
        <v>323</v>
      </c>
      <c r="AI292" s="1390"/>
      <c r="AJ292" s="2282"/>
      <c r="AK292" s="2282"/>
      <c r="AL292" s="1037"/>
      <c r="AM292" s="339">
        <v>33762</v>
      </c>
      <c r="AN292" s="338" t="s">
        <v>342</v>
      </c>
      <c r="AQ292" s="858"/>
      <c r="AR292" s="338">
        <v>403.05</v>
      </c>
      <c r="AS292" s="338" t="s">
        <v>323</v>
      </c>
      <c r="AX292" s="340">
        <v>703.06</v>
      </c>
      <c r="AY292" s="340" t="s">
        <v>289</v>
      </c>
      <c r="BC292" s="341" t="str">
        <f t="array" ref="BC292">IFERROR(IF($BC$11="Yes",INDEX($AX$13:$AX$2950,SMALL(IF((County=$AY$13:$AY$2950),MATCH(ROW($AY$13:$AY$2950),ROW($AY$13:$AY$2950)),""),ROWS($A$13:$A292))),""),"")</f>
        <v/>
      </c>
      <c r="BE292" s="339">
        <v>34103</v>
      </c>
      <c r="BF292" s="338" t="s">
        <v>297</v>
      </c>
      <c r="BH292" s="338">
        <v>36.07</v>
      </c>
      <c r="BI292" s="338" t="s">
        <v>304</v>
      </c>
      <c r="BN292" s="340">
        <v>15.17</v>
      </c>
      <c r="BO292" s="340" t="s">
        <v>276</v>
      </c>
      <c r="BP292" s="1385"/>
      <c r="BQ292" s="1386">
        <v>33472</v>
      </c>
      <c r="BR292" s="338" t="s">
        <v>340</v>
      </c>
      <c r="BU292" s="858"/>
      <c r="BV292" s="338">
        <v>106.01</v>
      </c>
      <c r="BW292" s="338" t="s">
        <v>289</v>
      </c>
      <c r="CB292" s="340">
        <v>702.11</v>
      </c>
      <c r="CC292" s="340" t="s">
        <v>289</v>
      </c>
      <c r="CE292" s="341" t="str">
        <f t="array" ref="CE292">IFERROR(IF($CE$11="Metro",INDEX($BV$13:$BV$4972,SMALL(IF((County=$BW$13:$BW$4972),MATCH(ROW($BW$13:$BW$4972),ROW($BW$13:$BW$4972)),""),ROWS($A$13:$A292))),INDEX($BY$13:$BY$212,SMALL(IF((County=$BZ$13:$BZ$212),MATCH(ROW($BZ$13:$BZ$212),ROW($BZ$13:$BZ$212)),""),ROWS($A$13:$A292)))),"")</f>
        <v/>
      </c>
      <c r="CG292" s="341" t="str">
        <f t="array" ref="CG292">IFERROR(IF($CG$11="Yes",INDEX($CB$13:$CB$2950,SMALL(IF((County=$CC$13:$CC$2950),MATCH(ROW($CC$13:$CC$2950),ROW($CC$13:$CC$2950)),""),ROWS($A$13:$A292))),""),"")</f>
        <v/>
      </c>
      <c r="CI292" s="1583">
        <v>33771</v>
      </c>
      <c r="CJ292" s="338" t="s">
        <v>342</v>
      </c>
      <c r="CL292" s="236">
        <v>7.2</v>
      </c>
      <c r="CM292" s="236" t="s">
        <v>331</v>
      </c>
      <c r="CR292" s="340">
        <v>16.010000000000002</v>
      </c>
      <c r="CS292" s="340" t="s">
        <v>323</v>
      </c>
      <c r="CT292" s="1384"/>
      <c r="CU292" s="341">
        <v>33469</v>
      </c>
      <c r="CV292" s="338" t="s">
        <v>340</v>
      </c>
      <c r="CZ292" s="1795">
        <v>108.09</v>
      </c>
      <c r="DA292" s="338" t="s">
        <v>316</v>
      </c>
      <c r="DF292" s="340">
        <v>703.04</v>
      </c>
      <c r="DG292" s="340" t="s">
        <v>289</v>
      </c>
      <c r="DK292" s="341" t="str">
        <f t="array" ref="DK292">IFERROR(IF($DK$11="Yes",INDEX($DF$13:$DF$2838,SMALL(IF((County=$DG$13:$DG$2838),MATCH(ROW($DG$13:$DG$2838),ROW($DG$13:$DG$2838)),""),ROWS($A$13:$A292))),""),"")</f>
        <v/>
      </c>
      <c r="DM292" s="1387">
        <v>33765</v>
      </c>
      <c r="DN292" s="338" t="s">
        <v>342</v>
      </c>
      <c r="DP292" s="236">
        <v>41.03</v>
      </c>
      <c r="DQ292" s="236" t="s">
        <v>331</v>
      </c>
      <c r="DV292" s="340">
        <v>17.05</v>
      </c>
      <c r="DW292" s="340" t="s">
        <v>323</v>
      </c>
      <c r="DX292" s="1671"/>
      <c r="EB292" s="618"/>
      <c r="EC292" s="618"/>
      <c r="ED292" s="618"/>
      <c r="EE292" s="618"/>
      <c r="EF292" s="618"/>
      <c r="EG292" s="618"/>
      <c r="EH292" s="618"/>
      <c r="EI292" s="618"/>
      <c r="EJ292" s="618"/>
      <c r="EK292" s="618"/>
      <c r="EL292" s="618"/>
      <c r="EM292" s="618"/>
    </row>
    <row r="293" spans="1:143">
      <c r="A293" s="339">
        <v>33445</v>
      </c>
      <c r="B293" s="338" t="s">
        <v>340</v>
      </c>
      <c r="E293" s="858"/>
      <c r="F293" s="338">
        <v>138.01</v>
      </c>
      <c r="G293" s="338" t="s">
        <v>316</v>
      </c>
      <c r="L293" s="2481">
        <v>703.15</v>
      </c>
      <c r="M293" s="340" t="s">
        <v>289</v>
      </c>
      <c r="N293" s="1390"/>
      <c r="O293" s="2479"/>
      <c r="P293" s="2282"/>
      <c r="T293" s="341" t="str">
        <f t="array" ref="T293">IFERROR(IF($T$11="Yes",INDEX($L$13:$L$2813,SMALL(IF((County=$M$13:$M$2813),MATCH(ROW($M$13:$M$2813),ROW($M$13:$M$2813)),""),ROWS($A$13:A293))),""),"")</f>
        <v/>
      </c>
      <c r="V293" s="2283" t="str">
        <f t="array" ref="V293">IFERROR(IF($T$11="Yes",INDEX($O$14:$O$2811,SMALL(IF((County=$P$14:$P$2811),MATCH(ROW($P$14:$P$2811),ROW($P$14:$P$2811)),""),ROWS($A$13:A293))),""),"")</f>
        <v/>
      </c>
      <c r="X293" s="339">
        <v>33712</v>
      </c>
      <c r="Y293" s="338" t="s">
        <v>342</v>
      </c>
      <c r="AA293" s="338">
        <v>52.02</v>
      </c>
      <c r="AB293" s="338" t="s">
        <v>331</v>
      </c>
      <c r="AG293" s="2297">
        <v>18.02</v>
      </c>
      <c r="AH293" s="2297" t="s">
        <v>328</v>
      </c>
      <c r="AI293" s="1390"/>
      <c r="AJ293" s="2282"/>
      <c r="AK293" s="2282"/>
      <c r="AL293" s="1037"/>
      <c r="AM293" s="339">
        <v>33767</v>
      </c>
      <c r="AN293" s="338" t="s">
        <v>342</v>
      </c>
      <c r="AQ293" s="858"/>
      <c r="AR293" s="338">
        <v>403.11</v>
      </c>
      <c r="AS293" s="338" t="s">
        <v>323</v>
      </c>
      <c r="AX293" s="340">
        <v>703.1</v>
      </c>
      <c r="AY293" s="340" t="s">
        <v>289</v>
      </c>
      <c r="BC293" s="341" t="str">
        <f t="array" ref="BC293">IFERROR(IF($BC$11="Yes",INDEX($AX$13:$AX$2950,SMALL(IF((County=$AY$13:$AY$2950),MATCH(ROW($AY$13:$AY$2950),ROW($AY$13:$AY$2950)),""),ROWS($A$13:$A293))),""),"")</f>
        <v/>
      </c>
      <c r="BE293" s="339">
        <v>34105</v>
      </c>
      <c r="BF293" s="338" t="s">
        <v>297</v>
      </c>
      <c r="BH293" s="338">
        <v>36.07</v>
      </c>
      <c r="BI293" s="338" t="s">
        <v>331</v>
      </c>
      <c r="BN293" s="340">
        <v>16</v>
      </c>
      <c r="BO293" s="340" t="s">
        <v>316</v>
      </c>
      <c r="BP293" s="1385"/>
      <c r="BQ293" s="1386">
        <v>33473</v>
      </c>
      <c r="BR293" s="338" t="s">
        <v>340</v>
      </c>
      <c r="BU293" s="858"/>
      <c r="BV293" s="338">
        <v>106.03</v>
      </c>
      <c r="BW293" s="338" t="s">
        <v>289</v>
      </c>
      <c r="CB293" s="340">
        <v>702.12</v>
      </c>
      <c r="CC293" s="340" t="s">
        <v>289</v>
      </c>
      <c r="CE293" s="341" t="str">
        <f t="array" ref="CE293">IFERROR(IF($CE$11="Metro",INDEX($BV$13:$BV$4972,SMALL(IF((County=$BW$13:$BW$4972),MATCH(ROW($BW$13:$BW$4972),ROW($BW$13:$BW$4972)),""),ROWS($A$13:$A293))),INDEX($BY$13:$BY$212,SMALL(IF((County=$BZ$13:$BZ$212),MATCH(ROW($BZ$13:$BZ$212),ROW($BZ$13:$BZ$212)),""),ROWS($A$13:$A293)))),"")</f>
        <v/>
      </c>
      <c r="CG293" s="341" t="str">
        <f t="array" ref="CG293">IFERROR(IF($CG$11="Yes",INDEX($CB$13:$CB$2950,SMALL(IF((County=$CC$13:$CC$2950),MATCH(ROW($CC$13:$CC$2950),ROW($CC$13:$CC$2950)),""),ROWS($A$13:$A293))),""),"")</f>
        <v/>
      </c>
      <c r="CI293" s="1583">
        <v>33772</v>
      </c>
      <c r="CJ293" s="338" t="s">
        <v>342</v>
      </c>
      <c r="CL293" s="236">
        <v>8</v>
      </c>
      <c r="CM293" s="236" t="s">
        <v>302</v>
      </c>
      <c r="CR293" s="340">
        <v>16.010000000000002</v>
      </c>
      <c r="CS293" s="340" t="s">
        <v>324</v>
      </c>
      <c r="CT293" s="1384"/>
      <c r="CU293" s="341">
        <v>33470</v>
      </c>
      <c r="CV293" s="338" t="s">
        <v>340</v>
      </c>
      <c r="CZ293" s="1795">
        <v>108.14</v>
      </c>
      <c r="DA293" s="338" t="s">
        <v>316</v>
      </c>
      <c r="DF293" s="340">
        <v>703.06</v>
      </c>
      <c r="DG293" s="340" t="s">
        <v>289</v>
      </c>
      <c r="DK293" s="341" t="str">
        <f t="array" ref="DK293">IFERROR(IF($DK$11="Yes",INDEX($DF$13:$DF$2838,SMALL(IF((County=$DG$13:$DG$2838),MATCH(ROW($DG$13:$DG$2838),ROW($DG$13:$DG$2838)),""),ROWS($A$13:$A293))),""),"")</f>
        <v/>
      </c>
      <c r="DM293" s="1387">
        <v>33767</v>
      </c>
      <c r="DN293" s="338" t="s">
        <v>342</v>
      </c>
      <c r="DP293" s="236">
        <v>43</v>
      </c>
      <c r="DQ293" s="236" t="s">
        <v>316</v>
      </c>
      <c r="DV293" s="340">
        <v>17.05</v>
      </c>
      <c r="DW293" s="340" t="s">
        <v>328</v>
      </c>
      <c r="DX293" s="1671"/>
      <c r="EB293" s="618"/>
      <c r="EC293" s="618"/>
      <c r="ED293" s="618"/>
      <c r="EE293" s="618"/>
      <c r="EF293" s="618"/>
      <c r="EG293" s="618"/>
      <c r="EH293" s="618"/>
      <c r="EI293" s="618"/>
      <c r="EJ293" s="618"/>
      <c r="EK293" s="618"/>
      <c r="EL293" s="618"/>
      <c r="EM293" s="618"/>
    </row>
    <row r="294" spans="1:143">
      <c r="A294" s="339">
        <v>33449</v>
      </c>
      <c r="B294" s="338" t="s">
        <v>340</v>
      </c>
      <c r="E294" s="858"/>
      <c r="F294" s="338">
        <v>138.02000000000001</v>
      </c>
      <c r="G294" s="338" t="s">
        <v>316</v>
      </c>
      <c r="L294" s="2481">
        <v>703.16</v>
      </c>
      <c r="M294" s="340" t="s">
        <v>289</v>
      </c>
      <c r="N294" s="1390"/>
      <c r="O294" s="2479"/>
      <c r="P294" s="2282"/>
      <c r="T294" s="341" t="str">
        <f t="array" ref="T294">IFERROR(IF($T$11="Yes",INDEX($L$13:$L$2813,SMALL(IF((County=$M$13:$M$2813),MATCH(ROW($M$13:$M$2813),ROW($M$13:$M$2813)),""),ROWS($A$13:A294))),""),"")</f>
        <v/>
      </c>
      <c r="V294" s="2283" t="str">
        <f t="array" ref="V294">IFERROR(IF($T$11="Yes",INDEX($O$14:$O$2811,SMALL(IF((County=$P$14:$P$2811),MATCH(ROW($P$14:$P$2811),ROW($P$14:$P$2811)),""),ROWS($A$13:A294))),""),"")</f>
        <v/>
      </c>
      <c r="X294" s="339">
        <v>33715</v>
      </c>
      <c r="Y294" s="338" t="s">
        <v>342</v>
      </c>
      <c r="AA294" s="338">
        <v>52.02</v>
      </c>
      <c r="AB294" s="338" t="s">
        <v>340</v>
      </c>
      <c r="AG294" s="2297">
        <v>18.03</v>
      </c>
      <c r="AH294" s="2297" t="s">
        <v>276</v>
      </c>
      <c r="AI294" s="1390"/>
      <c r="AJ294" s="2282"/>
      <c r="AK294" s="2282"/>
      <c r="AL294" s="1037"/>
      <c r="AM294" s="339">
        <v>33772</v>
      </c>
      <c r="AN294" s="338" t="s">
        <v>342</v>
      </c>
      <c r="AQ294" s="858"/>
      <c r="AR294" s="338">
        <v>4</v>
      </c>
      <c r="AS294" s="338" t="s">
        <v>324</v>
      </c>
      <c r="AX294" s="340">
        <v>703.11</v>
      </c>
      <c r="AY294" s="340" t="s">
        <v>289</v>
      </c>
      <c r="BC294" s="341" t="str">
        <f t="array" ref="BC294">IFERROR(IF($BC$11="Yes",INDEX($AX$13:$AX$2950,SMALL(IF((County=$AY$13:$AY$2950),MATCH(ROW($AY$13:$AY$2950),ROW($AY$13:$AY$2950)),""),ROWS($A$13:$A294))),""),"")</f>
        <v/>
      </c>
      <c r="BE294" s="339">
        <v>34108</v>
      </c>
      <c r="BF294" s="338" t="s">
        <v>297</v>
      </c>
      <c r="BH294" s="338">
        <v>37</v>
      </c>
      <c r="BI294" s="338" t="s">
        <v>316</v>
      </c>
      <c r="BN294" s="340">
        <v>16.010000000000002</v>
      </c>
      <c r="BO294" s="340" t="s">
        <v>323</v>
      </c>
      <c r="BP294" s="1385"/>
      <c r="BQ294" s="1386">
        <v>33477</v>
      </c>
      <c r="BR294" s="338" t="s">
        <v>340</v>
      </c>
      <c r="BU294" s="858"/>
      <c r="BV294" s="338">
        <v>106.04</v>
      </c>
      <c r="BW294" s="338" t="s">
        <v>289</v>
      </c>
      <c r="CB294" s="340">
        <v>703.04</v>
      </c>
      <c r="CC294" s="340" t="s">
        <v>289</v>
      </c>
      <c r="CE294" s="341" t="str">
        <f t="array" ref="CE294">IFERROR(IF($CE$11="Metro",INDEX($BV$13:$BV$4972,SMALL(IF((County=$BW$13:$BW$4972),MATCH(ROW($BW$13:$BW$4972),ROW($BW$13:$BW$4972)),""),ROWS($A$13:$A294))),INDEX($BY$13:$BY$212,SMALL(IF((County=$BZ$13:$BZ$212),MATCH(ROW($BZ$13:$BZ$212),ROW($BZ$13:$BZ$212)),""),ROWS($A$13:$A294)))),"")</f>
        <v/>
      </c>
      <c r="CG294" s="341" t="str">
        <f t="array" ref="CG294">IFERROR(IF($CG$11="Yes",INDEX($CB$13:$CB$2950,SMALL(IF((County=$CC$13:$CC$2950),MATCH(ROW($CC$13:$CC$2950),ROW($CC$13:$CC$2950)),""),ROWS($A$13:$A294))),""),"")</f>
        <v/>
      </c>
      <c r="CI294" s="1583">
        <v>33776</v>
      </c>
      <c r="CJ294" s="338" t="s">
        <v>342</v>
      </c>
      <c r="CL294" s="236">
        <v>8</v>
      </c>
      <c r="CM294" s="236" t="s">
        <v>316</v>
      </c>
      <c r="CR294" s="340">
        <v>16.010000000000002</v>
      </c>
      <c r="CS294" s="340" t="s">
        <v>330</v>
      </c>
      <c r="CT294" s="1384"/>
      <c r="CU294" s="341">
        <v>33472</v>
      </c>
      <c r="CV294" s="338" t="s">
        <v>340</v>
      </c>
      <c r="CZ294" s="1795">
        <v>108.15</v>
      </c>
      <c r="DA294" s="338" t="s">
        <v>316</v>
      </c>
      <c r="DF294" s="340">
        <v>703.1</v>
      </c>
      <c r="DG294" s="340" t="s">
        <v>289</v>
      </c>
      <c r="DK294" s="341" t="str">
        <f t="array" ref="DK294">IFERROR(IF($DK$11="Yes",INDEX($DF$13:$DF$2838,SMALL(IF((County=$DG$13:$DG$2838),MATCH(ROW($DG$13:$DG$2838),ROW($DG$13:$DG$2838)),""),ROWS($A$13:$A294))),""),"")</f>
        <v/>
      </c>
      <c r="DM294" s="1387">
        <v>33770</v>
      </c>
      <c r="DN294" s="338" t="s">
        <v>342</v>
      </c>
      <c r="DP294" s="236">
        <v>44</v>
      </c>
      <c r="DQ294" s="236" t="s">
        <v>316</v>
      </c>
      <c r="DV294" s="340">
        <v>17.059999999999999</v>
      </c>
      <c r="DW294" s="340" t="s">
        <v>323</v>
      </c>
      <c r="DX294" s="1671"/>
      <c r="EB294" s="618"/>
      <c r="EC294" s="618"/>
      <c r="ED294" s="618"/>
      <c r="EE294" s="618"/>
      <c r="EF294" s="618"/>
      <c r="EG294" s="618"/>
      <c r="EH294" s="618"/>
      <c r="EI294" s="618"/>
      <c r="EJ294" s="618"/>
      <c r="EK294" s="618"/>
      <c r="EL294" s="618"/>
      <c r="EM294" s="618"/>
    </row>
    <row r="295" spans="1:143">
      <c r="A295" s="339">
        <v>33458</v>
      </c>
      <c r="B295" s="338" t="s">
        <v>340</v>
      </c>
      <c r="E295" s="858"/>
      <c r="F295" s="338">
        <v>138.03</v>
      </c>
      <c r="G295" s="338" t="s">
        <v>316</v>
      </c>
      <c r="L295" s="2481">
        <v>703.18</v>
      </c>
      <c r="M295" s="340" t="s">
        <v>289</v>
      </c>
      <c r="N295" s="1390"/>
      <c r="O295" s="2479"/>
      <c r="P295" s="2282"/>
      <c r="T295" s="341" t="str">
        <f t="array" ref="T295">IFERROR(IF($T$11="Yes",INDEX($L$13:$L$2813,SMALL(IF((County=$M$13:$M$2813),MATCH(ROW($M$13:$M$2813),ROW($M$13:$M$2813)),""),ROWS($A$13:A295))),""),"")</f>
        <v/>
      </c>
      <c r="V295" s="2283" t="str">
        <f t="array" ref="V295">IFERROR(IF($T$11="Yes",INDEX($O$14:$O$2811,SMALL(IF((County=$P$14:$P$2811),MATCH(ROW($P$14:$P$2811),ROW($P$14:$P$2811)),""),ROWS($A$13:A295))),""),"")</f>
        <v/>
      </c>
      <c r="X295" s="339">
        <v>33716</v>
      </c>
      <c r="Y295" s="338" t="s">
        <v>342</v>
      </c>
      <c r="AA295" s="338">
        <v>53.02</v>
      </c>
      <c r="AB295" s="338" t="s">
        <v>316</v>
      </c>
      <c r="AG295" s="2297">
        <v>18.11</v>
      </c>
      <c r="AH295" s="2297" t="s">
        <v>276</v>
      </c>
      <c r="AI295" s="1390"/>
      <c r="AJ295" s="2282"/>
      <c r="AK295" s="2282"/>
      <c r="AL295" s="1037"/>
      <c r="AM295" s="339">
        <v>33776</v>
      </c>
      <c r="AN295" s="338" t="s">
        <v>342</v>
      </c>
      <c r="AQ295" s="858"/>
      <c r="AR295" s="338">
        <v>5.01</v>
      </c>
      <c r="AS295" s="338" t="s">
        <v>324</v>
      </c>
      <c r="AX295" s="340">
        <v>703.12</v>
      </c>
      <c r="AY295" s="340" t="s">
        <v>289</v>
      </c>
      <c r="BC295" s="341" t="str">
        <f t="array" ref="BC295">IFERROR(IF($BC$11="Yes",INDEX($AX$13:$AX$2950,SMALL(IF((County=$AY$13:$AY$2950),MATCH(ROW($AY$13:$AY$2950),ROW($AY$13:$AY$2950)),""),ROWS($A$13:$A295))),""),"")</f>
        <v/>
      </c>
      <c r="BE295" s="339">
        <v>34109</v>
      </c>
      <c r="BF295" s="338" t="s">
        <v>297</v>
      </c>
      <c r="BH295" s="338">
        <v>38</v>
      </c>
      <c r="BI295" s="338" t="s">
        <v>316</v>
      </c>
      <c r="BN295" s="340">
        <v>16.010000000000002</v>
      </c>
      <c r="BO295" s="340" t="s">
        <v>324</v>
      </c>
      <c r="BP295" s="1385"/>
      <c r="BQ295" s="341">
        <v>33478</v>
      </c>
      <c r="BR295" s="338" t="s">
        <v>340</v>
      </c>
      <c r="BU295" s="858"/>
      <c r="BV295" s="338">
        <v>106.05</v>
      </c>
      <c r="BW295" s="338" t="s">
        <v>289</v>
      </c>
      <c r="CB295" s="340">
        <v>703.06</v>
      </c>
      <c r="CC295" s="340" t="s">
        <v>289</v>
      </c>
      <c r="CE295" s="341" t="str">
        <f t="array" ref="CE295">IFERROR(IF($CE$11="Metro",INDEX($BV$13:$BV$4972,SMALL(IF((County=$BW$13:$BW$4972),MATCH(ROW($BW$13:$BW$4972),ROW($BW$13:$BW$4972)),""),ROWS($A$13:$A295))),INDEX($BY$13:$BY$212,SMALL(IF((County=$BZ$13:$BZ$212),MATCH(ROW($BZ$13:$BZ$212),ROW($BZ$13:$BZ$212)),""),ROWS($A$13:$A295)))),"")</f>
        <v/>
      </c>
      <c r="CG295" s="341" t="str">
        <f t="array" ref="CG295">IFERROR(IF($CG$11="Yes",INDEX($CB$13:$CB$2950,SMALL(IF((County=$CC$13:$CC$2950),MATCH(ROW($CC$13:$CC$2950),ROW($CC$13:$CC$2950)),""),ROWS($A$13:$A295))),""),"")</f>
        <v/>
      </c>
      <c r="CI295" s="1583">
        <v>33777</v>
      </c>
      <c r="CJ295" s="338" t="s">
        <v>342</v>
      </c>
      <c r="CL295" s="236">
        <v>8</v>
      </c>
      <c r="CM295" s="236" t="s">
        <v>323</v>
      </c>
      <c r="CR295" s="340">
        <v>16.02</v>
      </c>
      <c r="CS295" s="340" t="s">
        <v>323</v>
      </c>
      <c r="CT295" s="1384"/>
      <c r="CU295" s="341">
        <v>33473</v>
      </c>
      <c r="CV295" s="338" t="s">
        <v>340</v>
      </c>
      <c r="CZ295" s="1795">
        <v>108.16</v>
      </c>
      <c r="DA295" s="338" t="s">
        <v>316</v>
      </c>
      <c r="DF295" s="340">
        <v>703.11</v>
      </c>
      <c r="DG295" s="340" t="s">
        <v>289</v>
      </c>
      <c r="DK295" s="341" t="str">
        <f t="array" ref="DK295">IFERROR(IF($DK$11="Yes",INDEX($DF$13:$DF$2838,SMALL(IF((County=$DG$13:$DG$2838),MATCH(ROW($DG$13:$DG$2838),ROW($DG$13:$DG$2838)),""),ROWS($A$13:$A295))),""),"")</f>
        <v/>
      </c>
      <c r="DM295" s="1387">
        <v>33771</v>
      </c>
      <c r="DN295" s="338" t="s">
        <v>342</v>
      </c>
      <c r="DP295" s="236">
        <v>44.02</v>
      </c>
      <c r="DQ295" s="236" t="s">
        <v>340</v>
      </c>
      <c r="DV295" s="340">
        <v>17.09</v>
      </c>
      <c r="DW295" s="340" t="s">
        <v>323</v>
      </c>
      <c r="DX295" s="1671"/>
      <c r="EB295" s="618"/>
      <c r="EC295" s="618"/>
      <c r="ED295" s="618"/>
      <c r="EE295" s="618"/>
      <c r="EF295" s="618"/>
      <c r="EG295" s="618"/>
      <c r="EH295" s="618"/>
      <c r="EI295" s="618"/>
      <c r="EJ295" s="618"/>
      <c r="EK295" s="618"/>
      <c r="EL295" s="618"/>
      <c r="EM295" s="618"/>
    </row>
    <row r="296" spans="1:143">
      <c r="A296" s="339">
        <v>33469</v>
      </c>
      <c r="B296" s="338" t="s">
        <v>340</v>
      </c>
      <c r="E296" s="858"/>
      <c r="F296" s="338">
        <v>140.13999999999999</v>
      </c>
      <c r="G296" s="338" t="s">
        <v>316</v>
      </c>
      <c r="L296" s="2481">
        <v>703.19</v>
      </c>
      <c r="M296" s="340" t="s">
        <v>289</v>
      </c>
      <c r="N296" s="1390"/>
      <c r="O296" s="2479"/>
      <c r="P296" s="2282"/>
      <c r="T296" s="341" t="str">
        <f t="array" ref="T296">IFERROR(IF($T$11="Yes",INDEX($L$13:$L$2813,SMALL(IF((County=$M$13:$M$2813),MATCH(ROW($M$13:$M$2813),ROW($M$13:$M$2813)),""),ROWS($A$13:A296))),""),"")</f>
        <v/>
      </c>
      <c r="V296" s="2283" t="str">
        <f t="array" ref="V296">IFERROR(IF($T$11="Yes",INDEX($O$14:$O$2811,SMALL(IF((County=$P$14:$P$2811),MATCH(ROW($P$14:$P$2811),ROW($P$14:$P$2811)),""),ROWS($A$13:A296))),""),"")</f>
        <v/>
      </c>
      <c r="X296" s="339">
        <v>33759</v>
      </c>
      <c r="Y296" s="338" t="s">
        <v>342</v>
      </c>
      <c r="AA296" s="338">
        <v>53.03</v>
      </c>
      <c r="AB296" s="338" t="s">
        <v>331</v>
      </c>
      <c r="AG296" s="2297">
        <v>18.13</v>
      </c>
      <c r="AH296" s="2297" t="s">
        <v>276</v>
      </c>
      <c r="AI296" s="1390"/>
      <c r="AJ296" s="2282"/>
      <c r="AK296" s="2282"/>
      <c r="AL296" s="1037"/>
      <c r="AM296" s="339">
        <v>33777</v>
      </c>
      <c r="AN296" s="338" t="s">
        <v>342</v>
      </c>
      <c r="AQ296" s="858"/>
      <c r="AR296" s="338">
        <v>5.0199999999999996</v>
      </c>
      <c r="AS296" s="338" t="s">
        <v>324</v>
      </c>
      <c r="AX296" s="340">
        <v>703.14</v>
      </c>
      <c r="AY296" s="340" t="s">
        <v>289</v>
      </c>
      <c r="BC296" s="341" t="str">
        <f t="array" ref="BC296">IFERROR(IF($BC$11="Yes",INDEX($AX$13:$AX$2950,SMALL(IF((County=$AY$13:$AY$2950),MATCH(ROW($AY$13:$AY$2950),ROW($AY$13:$AY$2950)),""),ROWS($A$13:$A296))),""),"")</f>
        <v/>
      </c>
      <c r="BE296" s="339">
        <v>34110</v>
      </c>
      <c r="BF296" s="338" t="s">
        <v>297</v>
      </c>
      <c r="BH296" s="338">
        <v>39.090000000000003</v>
      </c>
      <c r="BI296" s="338" t="s">
        <v>331</v>
      </c>
      <c r="BN296" s="340">
        <v>16.010000000000002</v>
      </c>
      <c r="BO296" s="340" t="s">
        <v>330</v>
      </c>
      <c r="BP296" s="1385"/>
      <c r="BQ296" s="1386">
        <v>33480</v>
      </c>
      <c r="BR296" s="338" t="s">
        <v>340</v>
      </c>
      <c r="BU296" s="858"/>
      <c r="BV296" s="338">
        <v>106.06</v>
      </c>
      <c r="BW296" s="338" t="s">
        <v>289</v>
      </c>
      <c r="CB296" s="340">
        <v>703.1</v>
      </c>
      <c r="CC296" s="340" t="s">
        <v>289</v>
      </c>
      <c r="CE296" s="341" t="str">
        <f t="array" ref="CE296">IFERROR(IF($CE$11="Metro",INDEX($BV$13:$BV$4972,SMALL(IF((County=$BW$13:$BW$4972),MATCH(ROW($BW$13:$BW$4972),ROW($BW$13:$BW$4972)),""),ROWS($A$13:$A296))),INDEX($BY$13:$BY$212,SMALL(IF((County=$BZ$13:$BZ$212),MATCH(ROW($BZ$13:$BZ$212),ROW($BZ$13:$BZ$212)),""),ROWS($A$13:$A296)))),"")</f>
        <v/>
      </c>
      <c r="CG296" s="341" t="str">
        <f t="array" ref="CG296">IFERROR(IF($CG$11="Yes",INDEX($CB$13:$CB$2950,SMALL(IF((County=$CC$13:$CC$2950),MATCH(ROW($CC$13:$CC$2950),ROW($CC$13:$CC$2950)),""),ROWS($A$13:$A296))),""),"")</f>
        <v/>
      </c>
      <c r="CI296" s="1583">
        <v>33778</v>
      </c>
      <c r="CJ296" s="338" t="s">
        <v>342</v>
      </c>
      <c r="CL296" s="236">
        <v>8</v>
      </c>
      <c r="CM296" s="236" t="s">
        <v>324</v>
      </c>
      <c r="CR296" s="340">
        <v>16.02</v>
      </c>
      <c r="CS296" s="340" t="s">
        <v>324</v>
      </c>
      <c r="CT296" s="1384"/>
      <c r="CU296" s="341">
        <v>33477</v>
      </c>
      <c r="CV296" s="338" t="s">
        <v>340</v>
      </c>
      <c r="CZ296" s="1795">
        <v>108.17</v>
      </c>
      <c r="DA296" s="338" t="s">
        <v>316</v>
      </c>
      <c r="DF296" s="340">
        <v>703.12</v>
      </c>
      <c r="DG296" s="340" t="s">
        <v>289</v>
      </c>
      <c r="DK296" s="341" t="str">
        <f t="array" ref="DK296">IFERROR(IF($DK$11="Yes",INDEX($DF$13:$DF$2838,SMALL(IF((County=$DG$13:$DG$2838),MATCH(ROW($DG$13:$DG$2838),ROW($DG$13:$DG$2838)),""),ROWS($A$13:$A296))),""),"")</f>
        <v/>
      </c>
      <c r="DM296" s="1387">
        <v>33772</v>
      </c>
      <c r="DN296" s="338" t="s">
        <v>342</v>
      </c>
      <c r="DP296" s="236">
        <v>44.03</v>
      </c>
      <c r="DQ296" s="236" t="s">
        <v>331</v>
      </c>
      <c r="DV296" s="340">
        <v>18.010000000000002</v>
      </c>
      <c r="DW296" s="340" t="s">
        <v>323</v>
      </c>
      <c r="DX296" s="1671"/>
      <c r="EB296" s="618"/>
      <c r="EC296" s="618"/>
      <c r="ED296" s="618"/>
      <c r="EE296" s="618"/>
      <c r="EF296" s="618"/>
      <c r="EG296" s="618"/>
      <c r="EH296" s="618"/>
      <c r="EI296" s="618"/>
      <c r="EJ296" s="618"/>
      <c r="EK296" s="618"/>
      <c r="EL296" s="618"/>
      <c r="EM296" s="618"/>
    </row>
    <row r="297" spans="1:143">
      <c r="A297" s="339">
        <v>33470</v>
      </c>
      <c r="B297" s="338" t="s">
        <v>340</v>
      </c>
      <c r="E297" s="858"/>
      <c r="F297" s="338">
        <v>142</v>
      </c>
      <c r="G297" s="338" t="s">
        <v>316</v>
      </c>
      <c r="L297" s="2481">
        <v>703.2</v>
      </c>
      <c r="M297" s="340" t="s">
        <v>289</v>
      </c>
      <c r="N297" s="1390"/>
      <c r="O297" s="2479"/>
      <c r="P297" s="2282"/>
      <c r="T297" s="341" t="str">
        <f t="array" ref="T297">IFERROR(IF($T$11="Yes",INDEX($L$13:$L$2813,SMALL(IF((County=$M$13:$M$2813),MATCH(ROW($M$13:$M$2813),ROW($M$13:$M$2813)),""),ROWS($A$13:A297))),""),"")</f>
        <v/>
      </c>
      <c r="V297" s="2283" t="str">
        <f t="array" ref="V297">IFERROR(IF($T$11="Yes",INDEX($O$14:$O$2811,SMALL(IF((County=$P$14:$P$2811),MATCH(ROW($P$14:$P$2811),ROW($P$14:$P$2811)),""),ROWS($A$13:A297))),""),"")</f>
        <v/>
      </c>
      <c r="X297" s="339">
        <v>33760</v>
      </c>
      <c r="Y297" s="338" t="s">
        <v>342</v>
      </c>
      <c r="AA297" s="338">
        <v>53.04</v>
      </c>
      <c r="AB297" s="338" t="s">
        <v>331</v>
      </c>
      <c r="AG297" s="2297">
        <v>18.149999999999999</v>
      </c>
      <c r="AH297" s="2297" t="s">
        <v>276</v>
      </c>
      <c r="AI297" s="1390"/>
      <c r="AJ297" s="2282"/>
      <c r="AK297" s="2282"/>
      <c r="AL297" s="1037"/>
      <c r="AM297" s="339">
        <v>33782</v>
      </c>
      <c r="AN297" s="338" t="s">
        <v>342</v>
      </c>
      <c r="AQ297" s="858"/>
      <c r="AR297" s="338">
        <v>6</v>
      </c>
      <c r="AS297" s="338" t="s">
        <v>324</v>
      </c>
      <c r="AX297" s="340">
        <v>703.15</v>
      </c>
      <c r="AY297" s="340" t="s">
        <v>289</v>
      </c>
      <c r="BC297" s="341" t="str">
        <f t="array" ref="BC297">IFERROR(IF($BC$11="Yes",INDEX($AX$13:$AX$2950,SMALL(IF((County=$AY$13:$AY$2950),MATCH(ROW($AY$13:$AY$2950),ROW($AY$13:$AY$2950)),""),ROWS($A$13:$A297))),""),"")</f>
        <v/>
      </c>
      <c r="BE297" s="339">
        <v>34117</v>
      </c>
      <c r="BF297" s="338" t="s">
        <v>297</v>
      </c>
      <c r="BH297" s="338">
        <v>39.11</v>
      </c>
      <c r="BI297" s="338" t="s">
        <v>331</v>
      </c>
      <c r="BN297" s="340">
        <v>16.02</v>
      </c>
      <c r="BO297" s="340" t="s">
        <v>323</v>
      </c>
      <c r="BP297" s="1385"/>
      <c r="BQ297" s="1386">
        <v>33483</v>
      </c>
      <c r="BR297" s="338" t="s">
        <v>340</v>
      </c>
      <c r="BU297" s="858"/>
      <c r="BV297" s="338">
        <v>106.09</v>
      </c>
      <c r="BW297" s="338" t="s">
        <v>289</v>
      </c>
      <c r="CB297" s="340">
        <v>703.11</v>
      </c>
      <c r="CC297" s="340" t="s">
        <v>289</v>
      </c>
      <c r="CE297" s="341" t="str">
        <f t="array" ref="CE297">IFERROR(IF($CE$11="Metro",INDEX($BV$13:$BV$4972,SMALL(IF((County=$BW$13:$BW$4972),MATCH(ROW($BW$13:$BW$4972),ROW($BW$13:$BW$4972)),""),ROWS($A$13:$A297))),INDEX($BY$13:$BY$212,SMALL(IF((County=$BZ$13:$BZ$212),MATCH(ROW($BZ$13:$BZ$212),ROW($BZ$13:$BZ$212)),""),ROWS($A$13:$A297)))),"")</f>
        <v/>
      </c>
      <c r="CG297" s="341" t="str">
        <f t="array" ref="CG297">IFERROR(IF($CG$11="Yes",INDEX($CB$13:$CB$2950,SMALL(IF((County=$CC$13:$CC$2950),MATCH(ROW($CC$13:$CC$2950),ROW($CC$13:$CC$2950)),""),ROWS($A$13:$A297))),""),"")</f>
        <v/>
      </c>
      <c r="CI297" s="1583">
        <v>33782</v>
      </c>
      <c r="CJ297" s="338" t="s">
        <v>342</v>
      </c>
      <c r="CL297" s="236">
        <v>8</v>
      </c>
      <c r="CM297" s="236" t="s">
        <v>330</v>
      </c>
      <c r="CR297" s="340">
        <v>16.02</v>
      </c>
      <c r="CS297" s="340" t="s">
        <v>330</v>
      </c>
      <c r="CT297" s="1384"/>
      <c r="CU297" s="341">
        <v>33478</v>
      </c>
      <c r="CV297" s="338" t="s">
        <v>340</v>
      </c>
      <c r="CZ297" s="1795">
        <v>108.19</v>
      </c>
      <c r="DA297" s="338" t="s">
        <v>316</v>
      </c>
      <c r="DF297" s="340">
        <v>703.14</v>
      </c>
      <c r="DG297" s="340" t="s">
        <v>289</v>
      </c>
      <c r="DK297" s="341" t="str">
        <f t="array" ref="DK297">IFERROR(IF($DK$11="Yes",INDEX($DF$13:$DF$2838,SMALL(IF((County=$DG$13:$DG$2838),MATCH(ROW($DG$13:$DG$2838),ROW($DG$13:$DG$2838)),""),ROWS($A$13:$A297))),""),"")</f>
        <v/>
      </c>
      <c r="DM297" s="1387">
        <v>33773</v>
      </c>
      <c r="DN297" s="338" t="s">
        <v>342</v>
      </c>
      <c r="DP297" s="236">
        <v>44.04</v>
      </c>
      <c r="DQ297" s="236" t="s">
        <v>331</v>
      </c>
      <c r="DV297" s="340">
        <v>18.010000000000002</v>
      </c>
      <c r="DW297" s="340" t="s">
        <v>328</v>
      </c>
      <c r="DX297" s="1671"/>
      <c r="EB297" s="618"/>
      <c r="EC297" s="618"/>
      <c r="ED297" s="618"/>
      <c r="EE297" s="618"/>
      <c r="EF297" s="618"/>
      <c r="EG297" s="618"/>
      <c r="EH297" s="618"/>
      <c r="EI297" s="618"/>
      <c r="EJ297" s="618"/>
      <c r="EK297" s="618"/>
      <c r="EL297" s="618"/>
      <c r="EM297" s="618"/>
    </row>
    <row r="298" spans="1:143">
      <c r="A298" s="339">
        <v>33472</v>
      </c>
      <c r="B298" s="338" t="s">
        <v>340</v>
      </c>
      <c r="E298" s="858"/>
      <c r="F298" s="338">
        <v>503.03</v>
      </c>
      <c r="G298" s="338" t="s">
        <v>318</v>
      </c>
      <c r="L298" s="2481">
        <v>703.21</v>
      </c>
      <c r="M298" s="340" t="s">
        <v>289</v>
      </c>
      <c r="N298" s="1390"/>
      <c r="O298" s="2479"/>
      <c r="P298" s="2282"/>
      <c r="T298" s="341" t="str">
        <f t="array" ref="T298">IFERROR(IF($T$11="Yes",INDEX($L$13:$L$2813,SMALL(IF((County=$M$13:$M$2813),MATCH(ROW($M$13:$M$2813),ROW($M$13:$M$2813)),""),ROWS($A$13:A298))),""),"")</f>
        <v/>
      </c>
      <c r="V298" s="2283" t="str">
        <f t="array" ref="V298">IFERROR(IF($T$11="Yes",INDEX($O$14:$O$2811,SMALL(IF((County=$P$14:$P$2811),MATCH(ROW($P$14:$P$2811),ROW($P$14:$P$2811)),""),ROWS($A$13:A298))),""),"")</f>
        <v/>
      </c>
      <c r="X298" s="339">
        <v>33761</v>
      </c>
      <c r="Y298" s="338" t="s">
        <v>342</v>
      </c>
      <c r="AA298" s="338">
        <v>53.05</v>
      </c>
      <c r="AB298" s="338" t="s">
        <v>331</v>
      </c>
      <c r="AG298" s="2297">
        <v>18.16</v>
      </c>
      <c r="AH298" s="2297" t="s">
        <v>276</v>
      </c>
      <c r="AI298" s="1390"/>
      <c r="AJ298" s="2282"/>
      <c r="AK298" s="2282"/>
      <c r="AL298" s="1037"/>
      <c r="AM298" s="339">
        <v>33785</v>
      </c>
      <c r="AN298" s="338" t="s">
        <v>342</v>
      </c>
      <c r="AQ298" s="858"/>
      <c r="AR298" s="338">
        <v>10.01</v>
      </c>
      <c r="AS298" s="338" t="s">
        <v>324</v>
      </c>
      <c r="AX298" s="340">
        <v>703.16</v>
      </c>
      <c r="AY298" s="340" t="s">
        <v>289</v>
      </c>
      <c r="BC298" s="341" t="str">
        <f t="array" ref="BC298">IFERROR(IF($BC$11="Yes",INDEX($AX$13:$AX$2950,SMALL(IF((County=$AY$13:$AY$2950),MATCH(ROW($AY$13:$AY$2950),ROW($AY$13:$AY$2950)),""),ROWS($A$13:$A298))),""),"")</f>
        <v/>
      </c>
      <c r="BE298" s="339">
        <v>34119</v>
      </c>
      <c r="BF298" s="338" t="s">
        <v>297</v>
      </c>
      <c r="BH298" s="338">
        <v>40.07</v>
      </c>
      <c r="BI298" s="338" t="s">
        <v>340</v>
      </c>
      <c r="BN298" s="340">
        <v>16.02</v>
      </c>
      <c r="BO298" s="340" t="s">
        <v>324</v>
      </c>
      <c r="BP298" s="1385"/>
      <c r="BQ298" s="1386">
        <v>33484</v>
      </c>
      <c r="BR298" s="338" t="s">
        <v>340</v>
      </c>
      <c r="BU298" s="858"/>
      <c r="BV298" s="338">
        <v>106.1</v>
      </c>
      <c r="BW298" s="338" t="s">
        <v>289</v>
      </c>
      <c r="CB298" s="340">
        <v>703.12</v>
      </c>
      <c r="CC298" s="340" t="s">
        <v>289</v>
      </c>
      <c r="CE298" s="341" t="str">
        <f t="array" ref="CE298">IFERROR(IF($CE$11="Metro",INDEX($BV$13:$BV$4972,SMALL(IF((County=$BW$13:$BW$4972),MATCH(ROW($BW$13:$BW$4972),ROW($BW$13:$BW$4972)),""),ROWS($A$13:$A298))),INDEX($BY$13:$BY$212,SMALL(IF((County=$BZ$13:$BZ$212),MATCH(ROW($BZ$13:$BZ$212),ROW($BZ$13:$BZ$212)),""),ROWS($A$13:$A298)))),"")</f>
        <v/>
      </c>
      <c r="CG298" s="341" t="str">
        <f t="array" ref="CG298">IFERROR(IF($CG$11="Yes",INDEX($CB$13:$CB$2950,SMALL(IF((County=$CC$13:$CC$2950),MATCH(ROW($CC$13:$CC$2950),ROW($CC$13:$CC$2950)),""),ROWS($A$13:$A298))),""),"")</f>
        <v/>
      </c>
      <c r="CI298" s="1583">
        <v>33785</v>
      </c>
      <c r="CJ298" s="338" t="s">
        <v>342</v>
      </c>
      <c r="CL298" s="236">
        <v>8.01</v>
      </c>
      <c r="CM298" s="236" t="s">
        <v>304</v>
      </c>
      <c r="CR298" s="340">
        <v>16.02</v>
      </c>
      <c r="CS298" s="340" t="s">
        <v>347</v>
      </c>
      <c r="CT298" s="1384"/>
      <c r="CU298" s="341">
        <v>33480</v>
      </c>
      <c r="CV298" s="338" t="s">
        <v>340</v>
      </c>
      <c r="CZ298" s="1795">
        <v>108.2</v>
      </c>
      <c r="DA298" s="338" t="s">
        <v>316</v>
      </c>
      <c r="DF298" s="340">
        <v>703.15</v>
      </c>
      <c r="DG298" s="340" t="s">
        <v>289</v>
      </c>
      <c r="DK298" s="341" t="str">
        <f t="array" ref="DK298">IFERROR(IF($DK$11="Yes",INDEX($DF$13:$DF$2838,SMALL(IF((County=$DG$13:$DG$2838),MATCH(ROW($DG$13:$DG$2838),ROW($DG$13:$DG$2838)),""),ROWS($A$13:$A298))),""),"")</f>
        <v/>
      </c>
      <c r="DM298" s="1387">
        <v>33776</v>
      </c>
      <c r="DN298" s="338" t="s">
        <v>342</v>
      </c>
      <c r="DP298" s="236">
        <v>44.05</v>
      </c>
      <c r="DQ298" s="236" t="s">
        <v>331</v>
      </c>
      <c r="DV298" s="340">
        <v>18.010000000000002</v>
      </c>
      <c r="DW298" s="340" t="s">
        <v>347</v>
      </c>
      <c r="DX298" s="1671"/>
      <c r="EB298" s="618"/>
      <c r="EC298" s="618"/>
      <c r="ED298" s="618"/>
      <c r="EE298" s="618"/>
      <c r="EF298" s="618"/>
      <c r="EG298" s="618"/>
      <c r="EH298" s="618"/>
      <c r="EI298" s="618"/>
      <c r="EJ298" s="618"/>
      <c r="EK298" s="618"/>
      <c r="EL298" s="618"/>
      <c r="EM298" s="618"/>
    </row>
    <row r="299" spans="1:143">
      <c r="A299" s="339">
        <v>33473</v>
      </c>
      <c r="B299" s="338" t="s">
        <v>340</v>
      </c>
      <c r="E299" s="858"/>
      <c r="F299" s="338">
        <v>504.01</v>
      </c>
      <c r="G299" s="338" t="s">
        <v>318</v>
      </c>
      <c r="L299" s="2481">
        <v>703.23</v>
      </c>
      <c r="M299" s="340" t="s">
        <v>289</v>
      </c>
      <c r="N299" s="1390"/>
      <c r="O299" s="2479"/>
      <c r="P299" s="2282"/>
      <c r="T299" s="341" t="str">
        <f t="array" ref="T299">IFERROR(IF($T$11="Yes",INDEX($L$13:$L$2813,SMALL(IF((County=$M$13:$M$2813),MATCH(ROW($M$13:$M$2813),ROW($M$13:$M$2813)),""),ROWS($A$13:A299))),""),"")</f>
        <v/>
      </c>
      <c r="V299" s="2283" t="str">
        <f t="array" ref="V299">IFERROR(IF($T$11="Yes",INDEX($O$14:$O$2811,SMALL(IF((County=$P$14:$P$2811),MATCH(ROW($P$14:$P$2811),ROW($P$14:$P$2811)),""),ROWS($A$13:A299))),""),"")</f>
        <v/>
      </c>
      <c r="X299" s="339">
        <v>33762</v>
      </c>
      <c r="Y299" s="338" t="s">
        <v>342</v>
      </c>
      <c r="AA299" s="338">
        <v>54.05</v>
      </c>
      <c r="AB299" s="338" t="s">
        <v>331</v>
      </c>
      <c r="AG299" s="2297">
        <v>18.170000000000002</v>
      </c>
      <c r="AH299" s="2297" t="s">
        <v>276</v>
      </c>
      <c r="AI299" s="1390"/>
      <c r="AJ299" s="2282"/>
      <c r="AK299" s="2282"/>
      <c r="AL299" s="1037"/>
      <c r="AM299" s="339">
        <v>33786</v>
      </c>
      <c r="AN299" s="338" t="s">
        <v>342</v>
      </c>
      <c r="AQ299" s="858"/>
      <c r="AR299" s="338">
        <v>11.01</v>
      </c>
      <c r="AS299" s="338" t="s">
        <v>324</v>
      </c>
      <c r="AX299" s="340">
        <v>703.18</v>
      </c>
      <c r="AY299" s="340" t="s">
        <v>289</v>
      </c>
      <c r="BC299" s="341" t="str">
        <f t="array" ref="BC299">IFERROR(IF($BC$11="Yes",INDEX($AX$13:$AX$2950,SMALL(IF((County=$AY$13:$AY$2950),MATCH(ROW($AY$13:$AY$2950),ROW($AY$13:$AY$2950)),""),ROWS($A$13:$A299))),""),"")</f>
        <v/>
      </c>
      <c r="BE299" s="339">
        <v>34120</v>
      </c>
      <c r="BF299" s="338" t="s">
        <v>297</v>
      </c>
      <c r="BH299" s="338">
        <v>40.090000000000003</v>
      </c>
      <c r="BI299" s="338" t="s">
        <v>340</v>
      </c>
      <c r="BN299" s="340">
        <v>16.02</v>
      </c>
      <c r="BO299" s="340" t="s">
        <v>330</v>
      </c>
      <c r="BP299" s="1385"/>
      <c r="BQ299" s="1386">
        <v>33486</v>
      </c>
      <c r="BR299" s="338" t="s">
        <v>340</v>
      </c>
      <c r="BU299" s="858"/>
      <c r="BV299" s="338">
        <v>106.11</v>
      </c>
      <c r="BW299" s="338" t="s">
        <v>289</v>
      </c>
      <c r="CB299" s="340">
        <v>703.14</v>
      </c>
      <c r="CC299" s="340" t="s">
        <v>289</v>
      </c>
      <c r="CE299" s="341" t="str">
        <f t="array" ref="CE299">IFERROR(IF($CE$11="Metro",INDEX($BV$13:$BV$4972,SMALL(IF((County=$BW$13:$BW$4972),MATCH(ROW($BW$13:$BW$4972),ROW($BW$13:$BW$4972)),""),ROWS($A$13:$A299))),INDEX($BY$13:$BY$212,SMALL(IF((County=$BZ$13:$BZ$212),MATCH(ROW($BZ$13:$BZ$212),ROW($BZ$13:$BZ$212)),""),ROWS($A$13:$A299)))),"")</f>
        <v/>
      </c>
      <c r="CG299" s="341" t="str">
        <f t="array" ref="CG299">IFERROR(IF($CG$11="Yes",INDEX($CB$13:$CB$2950,SMALL(IF((County=$CC$13:$CC$2950),MATCH(ROW($CC$13:$CC$2950),ROW($CC$13:$CC$2950)),""),ROWS($A$13:$A299))),""),"")</f>
        <v/>
      </c>
      <c r="CI299" s="1583">
        <v>33786</v>
      </c>
      <c r="CJ299" s="338" t="s">
        <v>342</v>
      </c>
      <c r="CL299" s="236">
        <v>8.01</v>
      </c>
      <c r="CM299" s="236" t="s">
        <v>347</v>
      </c>
      <c r="CR299" s="340">
        <v>16.03</v>
      </c>
      <c r="CS299" s="340" t="s">
        <v>328</v>
      </c>
      <c r="CT299" s="1384"/>
      <c r="CU299" s="341">
        <v>33483</v>
      </c>
      <c r="CV299" s="338" t="s">
        <v>340</v>
      </c>
      <c r="CZ299" s="1795">
        <v>108.21</v>
      </c>
      <c r="DA299" s="338" t="s">
        <v>316</v>
      </c>
      <c r="DF299" s="340">
        <v>703.16</v>
      </c>
      <c r="DG299" s="340" t="s">
        <v>289</v>
      </c>
      <c r="DK299" s="341" t="str">
        <f t="array" ref="DK299">IFERROR(IF($DK$11="Yes",INDEX($DF$13:$DF$2838,SMALL(IF((County=$DG$13:$DG$2838),MATCH(ROW($DG$13:$DG$2838),ROW($DG$13:$DG$2838)),""),ROWS($A$13:$A299))),""),"")</f>
        <v/>
      </c>
      <c r="DM299" s="1387">
        <v>33777</v>
      </c>
      <c r="DN299" s="338" t="s">
        <v>342</v>
      </c>
      <c r="DP299" s="236">
        <v>45</v>
      </c>
      <c r="DQ299" s="236" t="s">
        <v>340</v>
      </c>
      <c r="DV299" s="340">
        <v>18.02</v>
      </c>
      <c r="DW299" s="340" t="s">
        <v>323</v>
      </c>
      <c r="DX299" s="1671"/>
      <c r="EB299" s="618"/>
      <c r="EC299" s="618"/>
      <c r="ED299" s="618"/>
      <c r="EE299" s="618"/>
      <c r="EF299" s="618"/>
      <c r="EG299" s="618"/>
      <c r="EH299" s="618"/>
      <c r="EI299" s="618"/>
      <c r="EJ299" s="618"/>
      <c r="EK299" s="618"/>
      <c r="EL299" s="618"/>
      <c r="EM299" s="618"/>
    </row>
    <row r="300" spans="1:143">
      <c r="A300" s="339">
        <v>33477</v>
      </c>
      <c r="B300" s="338" t="s">
        <v>340</v>
      </c>
      <c r="E300" s="858"/>
      <c r="F300" s="338">
        <v>506.04</v>
      </c>
      <c r="G300" s="338" t="s">
        <v>318</v>
      </c>
      <c r="L300" s="2481">
        <v>703.25</v>
      </c>
      <c r="M300" s="340" t="s">
        <v>289</v>
      </c>
      <c r="N300" s="1390"/>
      <c r="O300" s="2479"/>
      <c r="P300" s="2282"/>
      <c r="T300" s="341" t="str">
        <f t="array" ref="T300">IFERROR(IF($T$11="Yes",INDEX($L$13:$L$2813,SMALL(IF((County=$M$13:$M$2813),MATCH(ROW($M$13:$M$2813),ROW($M$13:$M$2813)),""),ROWS($A$13:A300))),""),"")</f>
        <v/>
      </c>
      <c r="V300" s="2283" t="str">
        <f t="array" ref="V300">IFERROR(IF($T$11="Yes",INDEX($O$14:$O$2811,SMALL(IF((County=$P$14:$P$2811),MATCH(ROW($P$14:$P$2811),ROW($P$14:$P$2811)),""),ROWS($A$13:A300))),""),"")</f>
        <v/>
      </c>
      <c r="X300" s="339">
        <v>33764</v>
      </c>
      <c r="Y300" s="338" t="s">
        <v>342</v>
      </c>
      <c r="AA300" s="338">
        <v>54.07</v>
      </c>
      <c r="AB300" s="338" t="s">
        <v>331</v>
      </c>
      <c r="AG300" s="2297">
        <v>18.18</v>
      </c>
      <c r="AH300" s="2297" t="s">
        <v>276</v>
      </c>
      <c r="AI300" s="1390"/>
      <c r="AJ300" s="2282"/>
      <c r="AK300" s="2282"/>
      <c r="AL300" s="1037"/>
      <c r="AM300" s="339">
        <v>34677</v>
      </c>
      <c r="AN300" s="338" t="s">
        <v>342</v>
      </c>
      <c r="AQ300" s="858"/>
      <c r="AR300" s="338">
        <v>12</v>
      </c>
      <c r="AS300" s="338" t="s">
        <v>324</v>
      </c>
      <c r="AX300" s="340">
        <v>703.19</v>
      </c>
      <c r="AY300" s="340" t="s">
        <v>289</v>
      </c>
      <c r="BC300" s="341" t="str">
        <f t="array" ref="BC300">IFERROR(IF($BC$11="Yes",INDEX($AX$13:$AX$2950,SMALL(IF((County=$AY$13:$AY$2950),MATCH(ROW($AY$13:$AY$2950),ROW($AY$13:$AY$2950)),""),ROWS($A$13:$A300))),""),"")</f>
        <v/>
      </c>
      <c r="BE300" s="339">
        <v>34140</v>
      </c>
      <c r="BF300" s="338" t="s">
        <v>297</v>
      </c>
      <c r="BH300" s="338">
        <v>40.130000000000003</v>
      </c>
      <c r="BI300" s="338" t="s">
        <v>340</v>
      </c>
      <c r="BN300" s="340">
        <v>16.02</v>
      </c>
      <c r="BO300" s="340" t="s">
        <v>347</v>
      </c>
      <c r="BP300" s="1385"/>
      <c r="BQ300" s="1387">
        <v>33487</v>
      </c>
      <c r="BR300" s="236" t="s">
        <v>340</v>
      </c>
      <c r="BU300" s="858"/>
      <c r="BV300" s="338">
        <v>106.12</v>
      </c>
      <c r="BW300" s="338" t="s">
        <v>289</v>
      </c>
      <c r="CB300" s="340">
        <v>703.15</v>
      </c>
      <c r="CC300" s="340" t="s">
        <v>289</v>
      </c>
      <c r="CE300" s="341" t="str">
        <f t="array" ref="CE300">IFERROR(IF($CE$11="Metro",INDEX($BV$13:$BV$4972,SMALL(IF((County=$BW$13:$BW$4972),MATCH(ROW($BW$13:$BW$4972),ROW($BW$13:$BW$4972)),""),ROWS($A$13:$A300))),INDEX($BY$13:$BY$212,SMALL(IF((County=$BZ$13:$BZ$212),MATCH(ROW($BZ$13:$BZ$212),ROW($BZ$13:$BZ$212)),""),ROWS($A$13:$A300)))),"")</f>
        <v/>
      </c>
      <c r="CG300" s="341" t="str">
        <f t="array" ref="CG300">IFERROR(IF($CG$11="Yes",INDEX($CB$13:$CB$2950,SMALL(IF((County=$CC$13:$CC$2950),MATCH(ROW($CC$13:$CC$2950),ROW($CC$13:$CC$2950)),""),ROWS($A$13:$A300))),""),"")</f>
        <v/>
      </c>
      <c r="CI300" s="1583">
        <v>33803</v>
      </c>
      <c r="CJ300" s="338" t="s">
        <v>344</v>
      </c>
      <c r="CL300" s="236">
        <v>8.02</v>
      </c>
      <c r="CM300" s="236" t="s">
        <v>304</v>
      </c>
      <c r="CR300" s="340">
        <v>16.05</v>
      </c>
      <c r="CS300" s="340" t="s">
        <v>276</v>
      </c>
      <c r="CT300" s="1384"/>
      <c r="CU300" s="341">
        <v>33484</v>
      </c>
      <c r="CV300" s="338" t="s">
        <v>340</v>
      </c>
      <c r="CZ300" s="1795">
        <v>108.22</v>
      </c>
      <c r="DA300" s="338" t="s">
        <v>316</v>
      </c>
      <c r="DF300" s="340">
        <v>703.18</v>
      </c>
      <c r="DG300" s="340" t="s">
        <v>289</v>
      </c>
      <c r="DK300" s="341" t="str">
        <f t="array" ref="DK300">IFERROR(IF($DK$11="Yes",INDEX($DF$13:$DF$2838,SMALL(IF((County=$DG$13:$DG$2838),MATCH(ROW($DG$13:$DG$2838),ROW($DG$13:$DG$2838)),""),ROWS($A$13:$A300))),""),"")</f>
        <v/>
      </c>
      <c r="DM300" s="1387">
        <v>33778</v>
      </c>
      <c r="DN300" s="338" t="s">
        <v>342</v>
      </c>
      <c r="DP300" s="236">
        <v>46.02</v>
      </c>
      <c r="DQ300" s="236" t="s">
        <v>340</v>
      </c>
      <c r="DV300" s="340">
        <v>18.02</v>
      </c>
      <c r="DW300" s="340" t="s">
        <v>328</v>
      </c>
      <c r="DX300" s="1671"/>
      <c r="EB300" s="618"/>
      <c r="EC300" s="618"/>
      <c r="ED300" s="618"/>
      <c r="EE300" s="618"/>
      <c r="EF300" s="618"/>
      <c r="EG300" s="618"/>
      <c r="EH300" s="618"/>
      <c r="EI300" s="618"/>
      <c r="EJ300" s="618"/>
      <c r="EK300" s="618"/>
      <c r="EL300" s="618"/>
      <c r="EM300" s="618"/>
    </row>
    <row r="301" spans="1:143">
      <c r="A301" s="339">
        <v>33478</v>
      </c>
      <c r="B301" s="338" t="s">
        <v>340</v>
      </c>
      <c r="E301" s="858"/>
      <c r="F301" s="338">
        <v>509.07</v>
      </c>
      <c r="G301" s="338" t="s">
        <v>318</v>
      </c>
      <c r="L301" s="2481">
        <v>703.26</v>
      </c>
      <c r="M301" s="340" t="s">
        <v>289</v>
      </c>
      <c r="N301" s="1390"/>
      <c r="O301" s="2479"/>
      <c r="P301" s="2282"/>
      <c r="T301" s="341" t="str">
        <f t="array" ref="T301">IFERROR(IF($T$11="Yes",INDEX($L$13:$L$2813,SMALL(IF((County=$M$13:$M$2813),MATCH(ROW($M$13:$M$2813),ROW($M$13:$M$2813)),""),ROWS($A$13:A301))),""),"")</f>
        <v/>
      </c>
      <c r="V301" s="2283" t="str">
        <f t="array" ref="V301">IFERROR(IF($T$11="Yes",INDEX($O$14:$O$2811,SMALL(IF((County=$P$14:$P$2811),MATCH(ROW($P$14:$P$2811),ROW($P$14:$P$2811)),""),ROWS($A$13:A301))),""),"")</f>
        <v/>
      </c>
      <c r="X301" s="339">
        <v>33765</v>
      </c>
      <c r="Y301" s="338" t="s">
        <v>342</v>
      </c>
      <c r="AA301" s="338">
        <v>54.09</v>
      </c>
      <c r="AB301" s="338" t="s">
        <v>331</v>
      </c>
      <c r="AG301" s="2297">
        <v>18.190000000000001</v>
      </c>
      <c r="AH301" s="2297" t="s">
        <v>276</v>
      </c>
      <c r="AI301" s="1390"/>
      <c r="AJ301" s="2282"/>
      <c r="AK301" s="2282"/>
      <c r="AL301" s="1037"/>
      <c r="AM301" s="339">
        <v>34681</v>
      </c>
      <c r="AN301" s="338" t="s">
        <v>342</v>
      </c>
      <c r="AQ301" s="858"/>
      <c r="AR301" s="338">
        <v>14.01</v>
      </c>
      <c r="AS301" s="338" t="s">
        <v>324</v>
      </c>
      <c r="AX301" s="340">
        <v>703.2</v>
      </c>
      <c r="AY301" s="340" t="s">
        <v>289</v>
      </c>
      <c r="BC301" s="341" t="str">
        <f t="array" ref="BC301">IFERROR(IF($BC$11="Yes",INDEX($AX$13:$AX$2950,SMALL(IF((County=$AY$13:$AY$2950),MATCH(ROW($AY$13:$AY$2950),ROW($AY$13:$AY$2950)),""),ROWS($A$13:$A301))),""),"")</f>
        <v/>
      </c>
      <c r="BE301" s="339">
        <v>34145</v>
      </c>
      <c r="BF301" s="338" t="s">
        <v>297</v>
      </c>
      <c r="BH301" s="338">
        <v>41</v>
      </c>
      <c r="BI301" s="338" t="s">
        <v>316</v>
      </c>
      <c r="BN301" s="340">
        <v>16.03</v>
      </c>
      <c r="BO301" s="340" t="s">
        <v>328</v>
      </c>
      <c r="BP301" s="1385"/>
      <c r="BQ301" s="1387">
        <v>33496</v>
      </c>
      <c r="BR301" s="236" t="s">
        <v>340</v>
      </c>
      <c r="BU301" s="858"/>
      <c r="BV301" s="338">
        <v>106.13</v>
      </c>
      <c r="BW301" s="338" t="s">
        <v>289</v>
      </c>
      <c r="CB301" s="340">
        <v>703.16</v>
      </c>
      <c r="CC301" s="340" t="s">
        <v>289</v>
      </c>
      <c r="CE301" s="341" t="str">
        <f t="array" ref="CE301">IFERROR(IF($CE$11="Metro",INDEX($BV$13:$BV$4972,SMALL(IF((County=$BW$13:$BW$4972),MATCH(ROW($BW$13:$BW$4972),ROW($BW$13:$BW$4972)),""),ROWS($A$13:$A301))),INDEX($BY$13:$BY$212,SMALL(IF((County=$BZ$13:$BZ$212),MATCH(ROW($BZ$13:$BZ$212),ROW($BZ$13:$BZ$212)),""),ROWS($A$13:$A301)))),"")</f>
        <v/>
      </c>
      <c r="CG301" s="341" t="str">
        <f t="array" ref="CG301">IFERROR(IF($CG$11="Yes",INDEX($CB$13:$CB$2950,SMALL(IF((County=$CC$13:$CC$2950),MATCH(ROW($CC$13:$CC$2950),ROW($CC$13:$CC$2950)),""),ROWS($A$13:$A301))),""),"")</f>
        <v/>
      </c>
      <c r="CI301" s="1583">
        <v>33810</v>
      </c>
      <c r="CJ301" s="338" t="s">
        <v>344</v>
      </c>
      <c r="CL301" s="236">
        <v>8.02</v>
      </c>
      <c r="CM301" s="236" t="s">
        <v>347</v>
      </c>
      <c r="CR301" s="340">
        <v>16.07</v>
      </c>
      <c r="CS301" s="340" t="s">
        <v>331</v>
      </c>
      <c r="CT301" s="1384"/>
      <c r="CU301" s="341">
        <v>33486</v>
      </c>
      <c r="CV301" s="338" t="s">
        <v>340</v>
      </c>
      <c r="CZ301" s="1795">
        <v>108.24</v>
      </c>
      <c r="DA301" s="338" t="s">
        <v>316</v>
      </c>
      <c r="DF301" s="340">
        <v>703.19</v>
      </c>
      <c r="DG301" s="340" t="s">
        <v>289</v>
      </c>
      <c r="DK301" s="341" t="str">
        <f t="array" ref="DK301">IFERROR(IF($DK$11="Yes",INDEX($DF$13:$DF$2838,SMALL(IF((County=$DG$13:$DG$2838),MATCH(ROW($DG$13:$DG$2838),ROW($DG$13:$DG$2838)),""),ROWS($A$13:$A301))),""),"")</f>
        <v/>
      </c>
      <c r="DM301" s="1387">
        <v>33782</v>
      </c>
      <c r="DN301" s="338" t="s">
        <v>342</v>
      </c>
      <c r="DP301" s="236">
        <v>47.04</v>
      </c>
      <c r="DQ301" s="236" t="s">
        <v>340</v>
      </c>
      <c r="DV301" s="340">
        <v>18.03</v>
      </c>
      <c r="DW301" s="340" t="s">
        <v>276</v>
      </c>
      <c r="DX301" s="1671"/>
      <c r="EB301" s="618"/>
      <c r="EC301" s="618"/>
      <c r="ED301" s="618"/>
      <c r="EE301" s="618"/>
      <c r="EF301" s="618"/>
      <c r="EG301" s="618"/>
      <c r="EH301" s="618"/>
      <c r="EI301" s="618"/>
      <c r="EJ301" s="618"/>
      <c r="EK301" s="618"/>
      <c r="EL301" s="618"/>
      <c r="EM301" s="618"/>
    </row>
    <row r="302" spans="1:143">
      <c r="A302" s="339">
        <v>33480</v>
      </c>
      <c r="B302" s="338" t="s">
        <v>340</v>
      </c>
      <c r="E302" s="858"/>
      <c r="F302" s="338">
        <v>2501.0300000000002</v>
      </c>
      <c r="G302" s="338" t="s">
        <v>320</v>
      </c>
      <c r="L302" s="2481">
        <v>703.27</v>
      </c>
      <c r="M302" s="340" t="s">
        <v>289</v>
      </c>
      <c r="N302" s="1390"/>
      <c r="O302" s="2479"/>
      <c r="P302" s="2282"/>
      <c r="T302" s="341" t="str">
        <f t="array" ref="T302">IFERROR(IF($T$11="Yes",INDEX($L$13:$L$2813,SMALL(IF((County=$M$13:$M$2813),MATCH(ROW($M$13:$M$2813),ROW($M$13:$M$2813)),""),ROWS($A$13:A302))),""),"")</f>
        <v/>
      </c>
      <c r="V302" s="2283" t="str">
        <f t="array" ref="V302">IFERROR(IF($T$11="Yes",INDEX($O$14:$O$2811,SMALL(IF((County=$P$14:$P$2811),MATCH(ROW($P$14:$P$2811),ROW($P$14:$P$2811)),""),ROWS($A$13:A302))),""),"")</f>
        <v/>
      </c>
      <c r="X302" s="339">
        <v>33767</v>
      </c>
      <c r="Y302" s="338" t="s">
        <v>342</v>
      </c>
      <c r="AA302" s="338">
        <v>54.1</v>
      </c>
      <c r="AB302" s="338" t="s">
        <v>331</v>
      </c>
      <c r="AG302" s="2297">
        <v>19</v>
      </c>
      <c r="AH302" s="2297" t="s">
        <v>285</v>
      </c>
      <c r="AI302" s="1390"/>
      <c r="AJ302" s="2282"/>
      <c r="AK302" s="2282"/>
      <c r="AL302" s="1037"/>
      <c r="AM302" s="339">
        <v>34683</v>
      </c>
      <c r="AN302" s="338" t="s">
        <v>342</v>
      </c>
      <c r="AQ302" s="858"/>
      <c r="AR302" s="338">
        <v>14.02</v>
      </c>
      <c r="AS302" s="338" t="s">
        <v>324</v>
      </c>
      <c r="AX302" s="340">
        <v>703.21</v>
      </c>
      <c r="AY302" s="340" t="s">
        <v>289</v>
      </c>
      <c r="BC302" s="341" t="str">
        <f t="array" ref="BC302">IFERROR(IF($BC$11="Yes",INDEX($AX$13:$AX$2950,SMALL(IF((County=$AY$13:$AY$2950),MATCH(ROW($AY$13:$AY$2950),ROW($AY$13:$AY$2950)),""),ROWS($A$13:$A302))),""),"")</f>
        <v/>
      </c>
      <c r="BE302" s="339">
        <v>34201</v>
      </c>
      <c r="BF302" s="338" t="s">
        <v>328</v>
      </c>
      <c r="BH302" s="338">
        <v>41.03</v>
      </c>
      <c r="BI302" s="338" t="s">
        <v>331</v>
      </c>
      <c r="BN302" s="340">
        <v>16.03</v>
      </c>
      <c r="BO302" s="340" t="s">
        <v>331</v>
      </c>
      <c r="BP302" s="1385"/>
      <c r="BQ302" s="1387">
        <v>33498</v>
      </c>
      <c r="BR302" s="236" t="s">
        <v>340</v>
      </c>
      <c r="BU302" s="858"/>
      <c r="BV302" s="338">
        <v>106.14</v>
      </c>
      <c r="BW302" s="338" t="s">
        <v>289</v>
      </c>
      <c r="CB302" s="340">
        <v>703.18</v>
      </c>
      <c r="CC302" s="340" t="s">
        <v>289</v>
      </c>
      <c r="CE302" s="341" t="str">
        <f t="array" ref="CE302">IFERROR(IF($CE$11="Metro",INDEX($BV$13:$BV$4972,SMALL(IF((County=$BW$13:$BW$4972),MATCH(ROW($BW$13:$BW$4972),ROW($BW$13:$BW$4972)),""),ROWS($A$13:$A302))),INDEX($BY$13:$BY$212,SMALL(IF((County=$BZ$13:$BZ$212),MATCH(ROW($BZ$13:$BZ$212),ROW($BZ$13:$BZ$212)),""),ROWS($A$13:$A302)))),"")</f>
        <v/>
      </c>
      <c r="CG302" s="341" t="str">
        <f t="array" ref="CG302">IFERROR(IF($CG$11="Yes",INDEX($CB$13:$CB$2950,SMALL(IF((County=$CC$13:$CC$2950),MATCH(ROW($CC$13:$CC$2950),ROW($CC$13:$CC$2950)),""),ROWS($A$13:$A302))),""),"")</f>
        <v/>
      </c>
      <c r="CI302" s="1583">
        <v>33812</v>
      </c>
      <c r="CJ302" s="338" t="s">
        <v>344</v>
      </c>
      <c r="CL302" s="338">
        <v>8.0299999999999994</v>
      </c>
      <c r="CM302" s="338" t="s">
        <v>285</v>
      </c>
      <c r="CR302" s="340">
        <v>17</v>
      </c>
      <c r="CS302" s="340" t="s">
        <v>316</v>
      </c>
      <c r="CT302" s="1384"/>
      <c r="CU302" s="341">
        <v>33487</v>
      </c>
      <c r="CV302" s="338" t="s">
        <v>340</v>
      </c>
      <c r="CZ302" s="1795">
        <v>110.03</v>
      </c>
      <c r="DA302" s="338" t="s">
        <v>316</v>
      </c>
      <c r="DF302" s="340">
        <v>703.2</v>
      </c>
      <c r="DG302" s="340" t="s">
        <v>289</v>
      </c>
      <c r="DK302" s="341" t="str">
        <f t="array" ref="DK302">IFERROR(IF($DK$11="Yes",INDEX($DF$13:$DF$2838,SMALL(IF((County=$DG$13:$DG$2838),MATCH(ROW($DG$13:$DG$2838),ROW($DG$13:$DG$2838)),""),ROWS($A$13:$A302))),""),"")</f>
        <v/>
      </c>
      <c r="DM302" s="1387">
        <v>33785</v>
      </c>
      <c r="DN302" s="338" t="s">
        <v>342</v>
      </c>
      <c r="DP302" s="236">
        <v>47.05</v>
      </c>
      <c r="DQ302" s="236" t="s">
        <v>340</v>
      </c>
      <c r="DV302" s="340">
        <v>18.03</v>
      </c>
      <c r="DW302" s="340" t="s">
        <v>324</v>
      </c>
      <c r="DX302" s="1671"/>
      <c r="EB302" s="618"/>
      <c r="EC302" s="618"/>
      <c r="ED302" s="618"/>
      <c r="EE302" s="618"/>
      <c r="EF302" s="618"/>
      <c r="EG302" s="618"/>
      <c r="EH302" s="618"/>
      <c r="EI302" s="618"/>
      <c r="EJ302" s="618"/>
      <c r="EK302" s="618"/>
      <c r="EL302" s="618"/>
      <c r="EM302" s="618"/>
    </row>
    <row r="303" spans="1:143">
      <c r="A303" s="339">
        <v>33483</v>
      </c>
      <c r="B303" s="338" t="s">
        <v>340</v>
      </c>
      <c r="E303" s="858"/>
      <c r="F303" s="338">
        <v>301.06</v>
      </c>
      <c r="G303" s="338" t="s">
        <v>322</v>
      </c>
      <c r="L303" s="2481">
        <v>703.28</v>
      </c>
      <c r="M303" s="340" t="s">
        <v>289</v>
      </c>
      <c r="N303" s="1390"/>
      <c r="O303" s="2479"/>
      <c r="P303" s="2282"/>
      <c r="T303" s="341" t="str">
        <f t="array" ref="T303">IFERROR(IF($T$11="Yes",INDEX($L$13:$L$2813,SMALL(IF((County=$M$13:$M$2813),MATCH(ROW($M$13:$M$2813),ROW($M$13:$M$2813)),""),ROWS($A$13:A303))),""),"")</f>
        <v/>
      </c>
      <c r="V303" s="2283" t="str">
        <f t="array" ref="V303">IFERROR(IF($T$11="Yes",INDEX($O$14:$O$2811,SMALL(IF((County=$P$14:$P$2811),MATCH(ROW($P$14:$P$2811),ROW($P$14:$P$2811)),""),ROWS($A$13:A303))),""),"")</f>
        <v/>
      </c>
      <c r="X303" s="339">
        <v>33772</v>
      </c>
      <c r="Y303" s="338" t="s">
        <v>342</v>
      </c>
      <c r="AA303" s="338">
        <v>55.06</v>
      </c>
      <c r="AB303" s="338" t="s">
        <v>331</v>
      </c>
      <c r="AG303" s="2297">
        <v>19</v>
      </c>
      <c r="AH303" s="2297" t="s">
        <v>329</v>
      </c>
      <c r="AI303" s="1390"/>
      <c r="AJ303" s="2282"/>
      <c r="AK303" s="2282"/>
      <c r="AL303" s="1037"/>
      <c r="AM303" s="339">
        <v>34684</v>
      </c>
      <c r="AN303" s="338" t="s">
        <v>342</v>
      </c>
      <c r="AQ303" s="858"/>
      <c r="AR303" s="338">
        <v>18.010000000000002</v>
      </c>
      <c r="AS303" s="338" t="s">
        <v>324</v>
      </c>
      <c r="AX303" s="340">
        <v>703.23</v>
      </c>
      <c r="AY303" s="340" t="s">
        <v>289</v>
      </c>
      <c r="BC303" s="341" t="str">
        <f t="array" ref="BC303">IFERROR(IF($BC$11="Yes",INDEX($AX$13:$AX$2950,SMALL(IF((County=$AY$13:$AY$2950),MATCH(ROW($AY$13:$AY$2950),ROW($AY$13:$AY$2950)),""),ROWS($A$13:$A303))),""),"")</f>
        <v/>
      </c>
      <c r="BE303" s="339">
        <v>34202</v>
      </c>
      <c r="BF303" s="338" t="s">
        <v>328</v>
      </c>
      <c r="BH303" s="338">
        <v>42</v>
      </c>
      <c r="BI303" s="338" t="s">
        <v>316</v>
      </c>
      <c r="BN303" s="340">
        <v>16.05</v>
      </c>
      <c r="BO303" s="340" t="s">
        <v>276</v>
      </c>
      <c r="BP303" s="1385"/>
      <c r="BQ303" s="1583">
        <v>33543</v>
      </c>
      <c r="BR303" s="236" t="s">
        <v>341</v>
      </c>
      <c r="BU303" s="858"/>
      <c r="BV303" s="338">
        <v>106.15</v>
      </c>
      <c r="BW303" s="338" t="s">
        <v>289</v>
      </c>
      <c r="CB303" s="340">
        <v>703.19</v>
      </c>
      <c r="CC303" s="340" t="s">
        <v>289</v>
      </c>
      <c r="CE303" s="341" t="str">
        <f t="array" ref="CE303">IFERROR(IF($CE$11="Metro",INDEX($BV$13:$BV$4972,SMALL(IF((County=$BW$13:$BW$4972),MATCH(ROW($BW$13:$BW$4972),ROW($BW$13:$BW$4972)),""),ROWS($A$13:$A303))),INDEX($BY$13:$BY$212,SMALL(IF((County=$BZ$13:$BZ$212),MATCH(ROW($BZ$13:$BZ$212),ROW($BZ$13:$BZ$212)),""),ROWS($A$13:$A303)))),"")</f>
        <v/>
      </c>
      <c r="CG303" s="341" t="str">
        <f t="array" ref="CG303">IFERROR(IF($CG$11="Yes",INDEX($CB$13:$CB$2950,SMALL(IF((County=$CC$13:$CC$2950),MATCH(ROW($CC$13:$CC$2950),ROW($CC$13:$CC$2950)),""),ROWS($A$13:$A303))),""),"")</f>
        <v/>
      </c>
      <c r="CI303" s="1583">
        <v>33813</v>
      </c>
      <c r="CJ303" s="338" t="s">
        <v>344</v>
      </c>
      <c r="CL303" s="236">
        <v>8.0299999999999994</v>
      </c>
      <c r="CM303" s="236" t="s">
        <v>329</v>
      </c>
      <c r="CR303" s="340">
        <v>17.010000000000002</v>
      </c>
      <c r="CS303" s="340" t="s">
        <v>276</v>
      </c>
      <c r="CT303" s="1384"/>
      <c r="CU303" s="341">
        <v>33496</v>
      </c>
      <c r="CV303" s="338" t="s">
        <v>340</v>
      </c>
      <c r="CZ303" s="1795">
        <v>110.1</v>
      </c>
      <c r="DA303" s="338" t="s">
        <v>316</v>
      </c>
      <c r="DF303" s="340">
        <v>703.21</v>
      </c>
      <c r="DG303" s="340" t="s">
        <v>289</v>
      </c>
      <c r="DK303" s="341" t="str">
        <f t="array" ref="DK303">IFERROR(IF($DK$11="Yes",INDEX($DF$13:$DF$2838,SMALL(IF((County=$DG$13:$DG$2838),MATCH(ROW($DG$13:$DG$2838),ROW($DG$13:$DG$2838)),""),ROWS($A$13:$A303))),""),"")</f>
        <v/>
      </c>
      <c r="DM303" s="1387">
        <v>33786</v>
      </c>
      <c r="DN303" s="338" t="s">
        <v>342</v>
      </c>
      <c r="DP303" s="236">
        <v>47.06</v>
      </c>
      <c r="DQ303" s="236" t="s">
        <v>340</v>
      </c>
      <c r="DV303" s="340">
        <v>18.11</v>
      </c>
      <c r="DW303" s="340" t="s">
        <v>276</v>
      </c>
      <c r="DX303" s="1671"/>
      <c r="EB303" s="618"/>
      <c r="EC303" s="618"/>
      <c r="ED303" s="618"/>
      <c r="EE303" s="618"/>
      <c r="EF303" s="618"/>
      <c r="EG303" s="618"/>
      <c r="EH303" s="618"/>
      <c r="EI303" s="618"/>
      <c r="EJ303" s="618"/>
      <c r="EK303" s="618"/>
      <c r="EL303" s="618"/>
      <c r="EM303" s="618"/>
    </row>
    <row r="304" spans="1:143">
      <c r="A304" s="339">
        <v>33486</v>
      </c>
      <c r="B304" s="338" t="s">
        <v>340</v>
      </c>
      <c r="E304" s="858"/>
      <c r="F304" s="338">
        <v>302.06</v>
      </c>
      <c r="G304" s="338" t="s">
        <v>322</v>
      </c>
      <c r="L304" s="2481">
        <v>703.3</v>
      </c>
      <c r="M304" s="340" t="s">
        <v>289</v>
      </c>
      <c r="N304" s="1390"/>
      <c r="O304" s="2479"/>
      <c r="P304" s="2282"/>
      <c r="T304" s="341" t="str">
        <f t="array" ref="T304">IFERROR(IF($T$11="Yes",INDEX($L$13:$L$2813,SMALL(IF((County=$M$13:$M$2813),MATCH(ROW($M$13:$M$2813),ROW($M$13:$M$2813)),""),ROWS($A$13:A304))),""),"")</f>
        <v/>
      </c>
      <c r="V304" s="2283" t="str">
        <f t="array" ref="V304">IFERROR(IF($T$11="Yes",INDEX($O$14:$O$2811,SMALL(IF((County=$P$14:$P$2811),MATCH(ROW($P$14:$P$2811),ROW($P$14:$P$2811)),""),ROWS($A$13:A304))),""),"")</f>
        <v/>
      </c>
      <c r="X304" s="339">
        <v>33773</v>
      </c>
      <c r="Y304" s="338" t="s">
        <v>342</v>
      </c>
      <c r="AA304" s="338">
        <v>57.01</v>
      </c>
      <c r="AB304" s="338" t="s">
        <v>331</v>
      </c>
      <c r="AG304" s="2297">
        <v>19.03</v>
      </c>
      <c r="AH304" s="2297" t="s">
        <v>323</v>
      </c>
      <c r="AI304" s="1390"/>
      <c r="AJ304" s="2282"/>
      <c r="AK304" s="2282"/>
      <c r="AL304" s="1037"/>
      <c r="AM304" s="339">
        <v>34685</v>
      </c>
      <c r="AN304" s="338" t="s">
        <v>342</v>
      </c>
      <c r="AQ304" s="858"/>
      <c r="AR304" s="338">
        <v>19.010000000000002</v>
      </c>
      <c r="AS304" s="338" t="s">
        <v>324</v>
      </c>
      <c r="AX304" s="340">
        <v>703.25</v>
      </c>
      <c r="AY304" s="340" t="s">
        <v>289</v>
      </c>
      <c r="BC304" s="341" t="str">
        <f t="array" ref="BC304">IFERROR(IF($BC$11="Yes",INDEX($AX$13:$AX$2950,SMALL(IF((County=$AY$13:$AY$2950),MATCH(ROW($AY$13:$AY$2950),ROW($AY$13:$AY$2950)),""),ROWS($A$13:$A304))),""),"")</f>
        <v/>
      </c>
      <c r="BE304" s="339">
        <v>34211</v>
      </c>
      <c r="BF304" s="338" t="s">
        <v>328</v>
      </c>
      <c r="BH304" s="338">
        <v>43</v>
      </c>
      <c r="BI304" s="338" t="s">
        <v>316</v>
      </c>
      <c r="BN304" s="340">
        <v>16.07</v>
      </c>
      <c r="BO304" s="340" t="s">
        <v>331</v>
      </c>
      <c r="BP304" s="1385"/>
      <c r="BQ304" s="1583">
        <v>33544</v>
      </c>
      <c r="BR304" s="236" t="s">
        <v>341</v>
      </c>
      <c r="BU304" s="858"/>
      <c r="BV304" s="338">
        <v>107.01</v>
      </c>
      <c r="BW304" s="338" t="s">
        <v>289</v>
      </c>
      <c r="CB304" s="340">
        <v>703.2</v>
      </c>
      <c r="CC304" s="340" t="s">
        <v>289</v>
      </c>
      <c r="CE304" s="341" t="str">
        <f t="array" ref="CE304">IFERROR(IF($CE$11="Metro",INDEX($BV$13:$BV$4972,SMALL(IF((County=$BW$13:$BW$4972),MATCH(ROW($BW$13:$BW$4972),ROW($BW$13:$BW$4972)),""),ROWS($A$13:$A304))),INDEX($BY$13:$BY$212,SMALL(IF((County=$BZ$13:$BZ$212),MATCH(ROW($BZ$13:$BZ$212),ROW($BZ$13:$BZ$212)),""),ROWS($A$13:$A304)))),"")</f>
        <v/>
      </c>
      <c r="CG304" s="341" t="str">
        <f t="array" ref="CG304">IFERROR(IF($CG$11="Yes",INDEX($CB$13:$CB$2950,SMALL(IF((County=$CC$13:$CC$2950),MATCH(ROW($CC$13:$CC$2950),ROW($CC$13:$CC$2950)),""),ROWS($A$13:$A304))),""),"")</f>
        <v/>
      </c>
      <c r="CI304" s="1583">
        <v>33827</v>
      </c>
      <c r="CJ304" s="338" t="s">
        <v>344</v>
      </c>
      <c r="CL304" s="236">
        <v>8.0299999999999994</v>
      </c>
      <c r="CM304" s="236" t="s">
        <v>340</v>
      </c>
      <c r="CR304" s="340">
        <v>17.010000000000002</v>
      </c>
      <c r="CS304" s="340" t="s">
        <v>323</v>
      </c>
      <c r="CT304" s="1384"/>
      <c r="CU304" s="341">
        <v>33498</v>
      </c>
      <c r="CV304" s="338" t="s">
        <v>340</v>
      </c>
      <c r="CZ304" s="1795">
        <v>110.18</v>
      </c>
      <c r="DA304" s="338" t="s">
        <v>316</v>
      </c>
      <c r="DF304" s="340">
        <v>703.23</v>
      </c>
      <c r="DG304" s="340" t="s">
        <v>289</v>
      </c>
      <c r="DK304" s="341" t="str">
        <f t="array" ref="DK304">IFERROR(IF($DK$11="Yes",INDEX($DF$13:$DF$2838,SMALL(IF((County=$DG$13:$DG$2838),MATCH(ROW($DG$13:$DG$2838),ROW($DG$13:$DG$2838)),""),ROWS($A$13:$A304))),""),"")</f>
        <v/>
      </c>
      <c r="DM304" s="1387">
        <v>33812</v>
      </c>
      <c r="DN304" s="338" t="s">
        <v>344</v>
      </c>
      <c r="DP304" s="236">
        <v>48.17</v>
      </c>
      <c r="DQ304" s="236" t="s">
        <v>340</v>
      </c>
      <c r="DV304" s="340">
        <v>18.13</v>
      </c>
      <c r="DW304" s="340" t="s">
        <v>276</v>
      </c>
      <c r="DX304" s="1671"/>
      <c r="EB304" s="618"/>
      <c r="EC304" s="618"/>
      <c r="ED304" s="618"/>
      <c r="EE304" s="618"/>
      <c r="EF304" s="618"/>
      <c r="EG304" s="618"/>
      <c r="EH304" s="618"/>
      <c r="EI304" s="618"/>
      <c r="EJ304" s="618"/>
      <c r="EK304" s="618"/>
      <c r="EL304" s="618"/>
      <c r="EM304" s="618"/>
    </row>
    <row r="305" spans="1:143">
      <c r="A305" s="339">
        <v>33487</v>
      </c>
      <c r="B305" s="338" t="s">
        <v>340</v>
      </c>
      <c r="E305" s="858"/>
      <c r="F305" s="338">
        <v>302.08999999999997</v>
      </c>
      <c r="G305" s="338" t="s">
        <v>322</v>
      </c>
      <c r="L305" s="2481">
        <v>703.31</v>
      </c>
      <c r="M305" s="340" t="s">
        <v>289</v>
      </c>
      <c r="N305" s="1390"/>
      <c r="O305" s="2479"/>
      <c r="P305" s="2282"/>
      <c r="T305" s="341" t="str">
        <f t="array" ref="T305">IFERROR(IF($T$11="Yes",INDEX($L$13:$L$2813,SMALL(IF((County=$M$13:$M$2813),MATCH(ROW($M$13:$M$2813),ROW($M$13:$M$2813)),""),ROWS($A$13:A305))),""),"")</f>
        <v/>
      </c>
      <c r="V305" s="2283" t="str">
        <f t="array" ref="V305">IFERROR(IF($T$11="Yes",INDEX($O$14:$O$2811,SMALL(IF((County=$P$14:$P$2811),MATCH(ROW($P$14:$P$2811),ROW($P$14:$P$2811)),""),ROWS($A$13:A305))),""),"")</f>
        <v/>
      </c>
      <c r="X305" s="339">
        <v>33776</v>
      </c>
      <c r="Y305" s="338" t="s">
        <v>342</v>
      </c>
      <c r="AA305" s="338">
        <v>57.05</v>
      </c>
      <c r="AB305" s="338" t="s">
        <v>331</v>
      </c>
      <c r="AG305" s="2297">
        <v>19.03</v>
      </c>
      <c r="AH305" s="2297" t="s">
        <v>347</v>
      </c>
      <c r="AI305" s="1390"/>
      <c r="AJ305" s="2282"/>
      <c r="AK305" s="2282"/>
      <c r="AL305" s="1037"/>
      <c r="AM305" s="339">
        <v>34688</v>
      </c>
      <c r="AN305" s="338" t="s">
        <v>342</v>
      </c>
      <c r="AQ305" s="858"/>
      <c r="AR305" s="338">
        <v>19.02</v>
      </c>
      <c r="AS305" s="338" t="s">
        <v>324</v>
      </c>
      <c r="AX305" s="340">
        <v>703.26</v>
      </c>
      <c r="AY305" s="340" t="s">
        <v>289</v>
      </c>
      <c r="BC305" s="341" t="str">
        <f t="array" ref="BC305">IFERROR(IF($BC$11="Yes",INDEX($AX$13:$AX$2950,SMALL(IF((County=$AY$13:$AY$2950),MATCH(ROW($AY$13:$AY$2950),ROW($AY$13:$AY$2950)),""),ROWS($A$13:$A305))),""),"")</f>
        <v/>
      </c>
      <c r="BE305" s="339">
        <v>34212</v>
      </c>
      <c r="BF305" s="338" t="s">
        <v>328</v>
      </c>
      <c r="BH305" s="338">
        <v>44</v>
      </c>
      <c r="BI305" s="338" t="s">
        <v>316</v>
      </c>
      <c r="BN305" s="340">
        <v>16.079999999999998</v>
      </c>
      <c r="BO305" s="340" t="s">
        <v>331</v>
      </c>
      <c r="BP305" s="1385"/>
      <c r="BQ305" s="1583">
        <v>33545</v>
      </c>
      <c r="BR305" s="236" t="s">
        <v>341</v>
      </c>
      <c r="BU305" s="858"/>
      <c r="BV305" s="338">
        <v>107.02</v>
      </c>
      <c r="BW305" s="338" t="s">
        <v>289</v>
      </c>
      <c r="CB305" s="340">
        <v>703.21</v>
      </c>
      <c r="CC305" s="340" t="s">
        <v>289</v>
      </c>
      <c r="CE305" s="341" t="str">
        <f t="array" ref="CE305">IFERROR(IF($CE$11="Metro",INDEX($BV$13:$BV$4972,SMALL(IF((County=$BW$13:$BW$4972),MATCH(ROW($BW$13:$BW$4972),ROW($BW$13:$BW$4972)),""),ROWS($A$13:$A305))),INDEX($BY$13:$BY$212,SMALL(IF((County=$BZ$13:$BZ$212),MATCH(ROW($BZ$13:$BZ$212),ROW($BZ$13:$BZ$212)),""),ROWS($A$13:$A305)))),"")</f>
        <v/>
      </c>
      <c r="CG305" s="341" t="str">
        <f t="array" ref="CG305">IFERROR(IF($CG$11="Yes",INDEX($CB$13:$CB$2950,SMALL(IF((County=$CC$13:$CC$2950),MATCH(ROW($CC$13:$CC$2950),ROW($CC$13:$CC$2950)),""),ROWS($A$13:$A305))),""),"")</f>
        <v/>
      </c>
      <c r="CI305" s="1583">
        <v>33837</v>
      </c>
      <c r="CJ305" s="338" t="s">
        <v>344</v>
      </c>
      <c r="CL305" s="338">
        <v>8.0399999999999991</v>
      </c>
      <c r="CM305" s="338" t="s">
        <v>285</v>
      </c>
      <c r="CR305" s="340">
        <v>17.010000000000002</v>
      </c>
      <c r="CS305" s="340" t="s">
        <v>324</v>
      </c>
      <c r="CT305" s="1384"/>
      <c r="CU305" s="341">
        <v>33503</v>
      </c>
      <c r="CV305" s="338" t="s">
        <v>340</v>
      </c>
      <c r="CZ305" s="1795">
        <v>116.05</v>
      </c>
      <c r="DA305" s="338" t="s">
        <v>316</v>
      </c>
      <c r="DF305" s="340">
        <v>703.25</v>
      </c>
      <c r="DG305" s="340" t="s">
        <v>289</v>
      </c>
      <c r="DK305" s="341" t="str">
        <f t="array" ref="DK305">IFERROR(IF($DK$11="Yes",INDEX($DF$13:$DF$2838,SMALL(IF((County=$DG$13:$DG$2838),MATCH(ROW($DG$13:$DG$2838),ROW($DG$13:$DG$2838)),""),ROWS($A$13:$A305))),""),"")</f>
        <v/>
      </c>
      <c r="DM305" s="1387">
        <v>33813</v>
      </c>
      <c r="DN305" s="338" t="s">
        <v>344</v>
      </c>
      <c r="DP305" s="236">
        <v>48.19</v>
      </c>
      <c r="DQ305" s="236" t="s">
        <v>340</v>
      </c>
      <c r="DV305" s="340">
        <v>18.149999999999999</v>
      </c>
      <c r="DW305" s="340" t="s">
        <v>276</v>
      </c>
      <c r="DX305" s="1671"/>
      <c r="EB305" s="618"/>
      <c r="EC305" s="618"/>
      <c r="ED305" s="618"/>
      <c r="EE305" s="618"/>
      <c r="EF305" s="618"/>
      <c r="EG305" s="618"/>
      <c r="EH305" s="618"/>
      <c r="EI305" s="618"/>
      <c r="EJ305" s="618"/>
      <c r="EK305" s="618"/>
      <c r="EL305" s="618"/>
      <c r="EM305" s="618"/>
    </row>
    <row r="306" spans="1:143">
      <c r="A306" s="339">
        <v>33496</v>
      </c>
      <c r="B306" s="338" t="s">
        <v>340</v>
      </c>
      <c r="E306" s="858"/>
      <c r="F306" s="338">
        <v>303.07</v>
      </c>
      <c r="G306" s="338" t="s">
        <v>322</v>
      </c>
      <c r="L306" s="2481">
        <v>704.01</v>
      </c>
      <c r="M306" s="340" t="s">
        <v>289</v>
      </c>
      <c r="N306" s="1390"/>
      <c r="O306" s="2479"/>
      <c r="P306" s="2282"/>
      <c r="T306" s="341" t="str">
        <f t="array" ref="T306">IFERROR(IF($T$11="Yes",INDEX($L$13:$L$2813,SMALL(IF((County=$M$13:$M$2813),MATCH(ROW($M$13:$M$2813),ROW($M$13:$M$2813)),""),ROWS($A$13:A306))),""),"")</f>
        <v/>
      </c>
      <c r="V306" s="2283" t="str">
        <f t="array" ref="V306">IFERROR(IF($T$11="Yes",INDEX($O$14:$O$2811,SMALL(IF((County=$P$14:$P$2811),MATCH(ROW($P$14:$P$2811),ROW($P$14:$P$2811)),""),ROWS($A$13:A306))),""),"")</f>
        <v/>
      </c>
      <c r="X306" s="339">
        <v>33777</v>
      </c>
      <c r="Y306" s="338" t="s">
        <v>342</v>
      </c>
      <c r="AA306" s="338">
        <v>57.08</v>
      </c>
      <c r="AB306" s="338" t="s">
        <v>331</v>
      </c>
      <c r="AG306" s="2297">
        <v>19.04</v>
      </c>
      <c r="AH306" s="2297" t="s">
        <v>328</v>
      </c>
      <c r="AI306" s="1390"/>
      <c r="AJ306" s="2282"/>
      <c r="AK306" s="2282"/>
      <c r="AL306" s="1037"/>
      <c r="AM306" s="339">
        <v>34695</v>
      </c>
      <c r="AN306" s="338" t="s">
        <v>342</v>
      </c>
      <c r="AQ306" s="858"/>
      <c r="AR306" s="338">
        <v>20.03</v>
      </c>
      <c r="AS306" s="338" t="s">
        <v>324</v>
      </c>
      <c r="AX306" s="340">
        <v>703.27</v>
      </c>
      <c r="AY306" s="340" t="s">
        <v>289</v>
      </c>
      <c r="BC306" s="341" t="str">
        <f t="array" ref="BC306">IFERROR(IF($BC$11="Yes",INDEX($AX$13:$AX$2950,SMALL(IF((County=$AY$13:$AY$2950),MATCH(ROW($AY$13:$AY$2950),ROW($AY$13:$AY$2950)),""),ROWS($A$13:$A306))),""),"")</f>
        <v/>
      </c>
      <c r="BE306" s="339">
        <v>34216</v>
      </c>
      <c r="BF306" s="338" t="s">
        <v>328</v>
      </c>
      <c r="BH306" s="338">
        <v>44.02</v>
      </c>
      <c r="BI306" s="338" t="s">
        <v>340</v>
      </c>
      <c r="BN306" s="340">
        <v>17</v>
      </c>
      <c r="BO306" s="340" t="s">
        <v>316</v>
      </c>
      <c r="BP306" s="1385"/>
      <c r="BQ306" s="1583">
        <v>34637</v>
      </c>
      <c r="BR306" s="236" t="s">
        <v>341</v>
      </c>
      <c r="BU306" s="858"/>
      <c r="BV306" s="338">
        <v>108</v>
      </c>
      <c r="BW306" s="338" t="s">
        <v>289</v>
      </c>
      <c r="CB306" s="340">
        <v>703.23</v>
      </c>
      <c r="CC306" s="340" t="s">
        <v>289</v>
      </c>
      <c r="CE306" s="341" t="str">
        <f t="array" ref="CE306">IFERROR(IF($CE$11="Metro",INDEX($BV$13:$BV$4972,SMALL(IF((County=$BW$13:$BW$4972),MATCH(ROW($BW$13:$BW$4972),ROW($BW$13:$BW$4972)),""),ROWS($A$13:$A306))),INDEX($BY$13:$BY$212,SMALL(IF((County=$BZ$13:$BZ$212),MATCH(ROW($BZ$13:$BZ$212),ROW($BZ$13:$BZ$212)),""),ROWS($A$13:$A306)))),"")</f>
        <v/>
      </c>
      <c r="CG306" s="341" t="str">
        <f t="array" ref="CG306">IFERROR(IF($CG$11="Yes",INDEX($CB$13:$CB$2950,SMALL(IF((County=$CC$13:$CC$2950),MATCH(ROW($CC$13:$CC$2950),ROW($CC$13:$CC$2950)),""),ROWS($A$13:$A306))),""),"")</f>
        <v/>
      </c>
      <c r="CI306" s="1583">
        <v>33848</v>
      </c>
      <c r="CJ306" s="338" t="s">
        <v>339</v>
      </c>
      <c r="CL306" s="236">
        <v>8.0399999999999991</v>
      </c>
      <c r="CM306" s="236" t="s">
        <v>328</v>
      </c>
      <c r="CR306" s="340">
        <v>17.010000000000002</v>
      </c>
      <c r="CS306" s="340" t="s">
        <v>328</v>
      </c>
      <c r="CT306" s="1384"/>
      <c r="CU306" s="341">
        <v>33543</v>
      </c>
      <c r="CV306" s="338" t="s">
        <v>341</v>
      </c>
      <c r="CZ306" s="1795">
        <v>116.1</v>
      </c>
      <c r="DA306" s="338" t="s">
        <v>316</v>
      </c>
      <c r="DF306" s="340">
        <v>703.26</v>
      </c>
      <c r="DG306" s="340" t="s">
        <v>289</v>
      </c>
      <c r="DK306" s="341" t="str">
        <f t="array" ref="DK306">IFERROR(IF($DK$11="Yes",INDEX($DF$13:$DF$2838,SMALL(IF((County=$DG$13:$DG$2838),MATCH(ROW($DG$13:$DG$2838),ROW($DG$13:$DG$2838)),""),ROWS($A$13:$A306))),""),"")</f>
        <v/>
      </c>
      <c r="DM306" s="1387">
        <v>33827</v>
      </c>
      <c r="DN306" s="338" t="s">
        <v>344</v>
      </c>
      <c r="DP306" s="236">
        <v>49.01</v>
      </c>
      <c r="DQ306" s="236" t="s">
        <v>331</v>
      </c>
      <c r="DV306" s="340">
        <v>18.170000000000002</v>
      </c>
      <c r="DW306" s="340" t="s">
        <v>276</v>
      </c>
      <c r="DX306" s="1671"/>
      <c r="EB306" s="618"/>
      <c r="EC306" s="618"/>
      <c r="ED306" s="618"/>
      <c r="EE306" s="618"/>
      <c r="EF306" s="618"/>
      <c r="EG306" s="618"/>
      <c r="EH306" s="618"/>
      <c r="EI306" s="618"/>
      <c r="EJ306" s="618"/>
      <c r="EK306" s="618"/>
      <c r="EL306" s="618"/>
      <c r="EM306" s="618"/>
    </row>
    <row r="307" spans="1:143">
      <c r="A307" s="339">
        <v>33498</v>
      </c>
      <c r="B307" s="338" t="s">
        <v>340</v>
      </c>
      <c r="E307" s="858"/>
      <c r="F307" s="338">
        <v>304.08999999999997</v>
      </c>
      <c r="G307" s="338" t="s">
        <v>322</v>
      </c>
      <c r="L307" s="2481">
        <v>704.02</v>
      </c>
      <c r="M307" s="340" t="s">
        <v>289</v>
      </c>
      <c r="N307" s="1390"/>
      <c r="O307" s="2479"/>
      <c r="P307" s="2282"/>
      <c r="T307" s="341" t="str">
        <f t="array" ref="T307">IFERROR(IF($T$11="Yes",INDEX($L$13:$L$2813,SMALL(IF((County=$M$13:$M$2813),MATCH(ROW($M$13:$M$2813),ROW($M$13:$M$2813)),""),ROWS($A$13:A307))),""),"")</f>
        <v/>
      </c>
      <c r="V307" s="2283" t="str">
        <f t="array" ref="V307">IFERROR(IF($T$11="Yes",INDEX($O$14:$O$2811,SMALL(IF((County=$P$14:$P$2811),MATCH(ROW($P$14:$P$2811),ROW($P$14:$P$2811)),""),ROWS($A$13:A307))),""),"")</f>
        <v/>
      </c>
      <c r="X307" s="339">
        <v>33778</v>
      </c>
      <c r="Y307" s="338" t="s">
        <v>342</v>
      </c>
      <c r="AA307" s="338">
        <v>58.1</v>
      </c>
      <c r="AB307" s="338" t="s">
        <v>340</v>
      </c>
      <c r="AG307" s="2297">
        <v>19.04</v>
      </c>
      <c r="AH307" s="2297" t="s">
        <v>340</v>
      </c>
      <c r="AI307" s="1390"/>
      <c r="AJ307" s="2282"/>
      <c r="AK307" s="2282"/>
      <c r="AL307" s="1037"/>
      <c r="AM307" s="339">
        <v>34698</v>
      </c>
      <c r="AN307" s="338" t="s">
        <v>342</v>
      </c>
      <c r="AQ307" s="858"/>
      <c r="AR307" s="338">
        <v>20.05</v>
      </c>
      <c r="AS307" s="338" t="s">
        <v>324</v>
      </c>
      <c r="AX307" s="340">
        <v>703.29</v>
      </c>
      <c r="AY307" s="340" t="s">
        <v>289</v>
      </c>
      <c r="BC307" s="341" t="str">
        <f t="array" ref="BC307">IFERROR(IF($BC$11="Yes",INDEX($AX$13:$AX$2950,SMALL(IF((County=$AY$13:$AY$2950),MATCH(ROW($AY$13:$AY$2950),ROW($AY$13:$AY$2950)),""),ROWS($A$13:$A307))),""),"")</f>
        <v/>
      </c>
      <c r="BE307" s="339">
        <v>34217</v>
      </c>
      <c r="BF307" s="338" t="s">
        <v>328</v>
      </c>
      <c r="BH307" s="338">
        <v>44.04</v>
      </c>
      <c r="BI307" s="338" t="s">
        <v>331</v>
      </c>
      <c r="BN307" s="340">
        <v>17.010000000000002</v>
      </c>
      <c r="BO307" s="340" t="s">
        <v>276</v>
      </c>
      <c r="BP307" s="1385"/>
      <c r="BQ307" s="1583">
        <v>34638</v>
      </c>
      <c r="BR307" s="236" t="s">
        <v>341</v>
      </c>
      <c r="BU307" s="858"/>
      <c r="BV307" s="338">
        <v>109.01</v>
      </c>
      <c r="BW307" s="338" t="s">
        <v>289</v>
      </c>
      <c r="CB307" s="340">
        <v>703.25</v>
      </c>
      <c r="CC307" s="340" t="s">
        <v>289</v>
      </c>
      <c r="CE307" s="341" t="str">
        <f t="array" ref="CE307">IFERROR(IF($CE$11="Metro",INDEX($BV$13:$BV$4972,SMALL(IF((County=$BW$13:$BW$4972),MATCH(ROW($BW$13:$BW$4972),ROW($BW$13:$BW$4972)),""),ROWS($A$13:$A307))),INDEX($BY$13:$BY$212,SMALL(IF((County=$BZ$13:$BZ$212),MATCH(ROW($BZ$13:$BZ$212),ROW($BZ$13:$BZ$212)),""),ROWS($A$13:$A307)))),"")</f>
        <v/>
      </c>
      <c r="CG307" s="341" t="str">
        <f t="array" ref="CG307">IFERROR(IF($CG$11="Yes",INDEX($CB$13:$CB$2950,SMALL(IF((County=$CC$13:$CC$2950),MATCH(ROW($CC$13:$CC$2950),ROW($CC$13:$CC$2950)),""),ROWS($A$13:$A307))),""),"")</f>
        <v/>
      </c>
      <c r="CI307" s="1583">
        <v>33876</v>
      </c>
      <c r="CJ307" s="338" t="s">
        <v>315</v>
      </c>
      <c r="CL307" s="236">
        <v>8.0399999999999991</v>
      </c>
      <c r="CM307" s="236" t="s">
        <v>329</v>
      </c>
      <c r="CR307" s="340">
        <v>17.010000000000002</v>
      </c>
      <c r="CS307" s="340" t="s">
        <v>330</v>
      </c>
      <c r="CT307" s="1384"/>
      <c r="CU307" s="341">
        <v>33544</v>
      </c>
      <c r="CV307" s="338" t="s">
        <v>341</v>
      </c>
      <c r="CZ307" s="1795">
        <v>118.06</v>
      </c>
      <c r="DA307" s="338" t="s">
        <v>316</v>
      </c>
      <c r="DF307" s="340">
        <v>703.27</v>
      </c>
      <c r="DG307" s="340" t="s">
        <v>289</v>
      </c>
      <c r="DK307" s="341" t="str">
        <f t="array" ref="DK307">IFERROR(IF($DK$11="Yes",INDEX($DF$13:$DF$2838,SMALL(IF((County=$DG$13:$DG$2838),MATCH(ROW($DG$13:$DG$2838),ROW($DG$13:$DG$2838)),""),ROWS($A$13:$A307))),""),"")</f>
        <v/>
      </c>
      <c r="DM307" s="1387">
        <v>33837</v>
      </c>
      <c r="DN307" s="338" t="s">
        <v>344</v>
      </c>
      <c r="DP307" s="236">
        <v>49.03</v>
      </c>
      <c r="DQ307" s="236" t="s">
        <v>340</v>
      </c>
      <c r="DV307" s="340">
        <v>18.190000000000001</v>
      </c>
      <c r="DW307" s="340" t="s">
        <v>276</v>
      </c>
      <c r="DX307" s="1671"/>
      <c r="EB307" s="618"/>
      <c r="EC307" s="618"/>
      <c r="ED307" s="618"/>
      <c r="EE307" s="618"/>
      <c r="EF307" s="618"/>
      <c r="EG307" s="618"/>
      <c r="EH307" s="618"/>
      <c r="EI307" s="618"/>
      <c r="EJ307" s="618"/>
      <c r="EK307" s="618"/>
      <c r="EL307" s="618"/>
      <c r="EM307" s="618"/>
    </row>
    <row r="308" spans="1:143">
      <c r="A308" s="339">
        <v>33503</v>
      </c>
      <c r="B308" s="338" t="s">
        <v>340</v>
      </c>
      <c r="E308" s="858"/>
      <c r="F308" s="338">
        <v>304.11</v>
      </c>
      <c r="G308" s="338" t="s">
        <v>322</v>
      </c>
      <c r="L308" s="2481">
        <v>704.03</v>
      </c>
      <c r="M308" s="340" t="s">
        <v>289</v>
      </c>
      <c r="N308" s="1390"/>
      <c r="O308" s="2479"/>
      <c r="P308" s="2282"/>
      <c r="T308" s="341" t="str">
        <f t="array" ref="T308">IFERROR(IF($T$11="Yes",INDEX($L$13:$L$2813,SMALL(IF((County=$M$13:$M$2813),MATCH(ROW($M$13:$M$2813),ROW($M$13:$M$2813)),""),ROWS($A$13:A308))),""),"")</f>
        <v/>
      </c>
      <c r="V308" s="2283" t="str">
        <f t="array" ref="V308">IFERROR(IF($T$11="Yes",INDEX($O$14:$O$2811,SMALL(IF((County=$P$14:$P$2811),MATCH(ROW($P$14:$P$2811),ROW($P$14:$P$2811)),""),ROWS($A$13:A308))),""),"")</f>
        <v/>
      </c>
      <c r="X308" s="339">
        <v>33782</v>
      </c>
      <c r="Y308" s="338" t="s">
        <v>342</v>
      </c>
      <c r="AA308" s="338">
        <v>59.03</v>
      </c>
      <c r="AB308" s="338" t="s">
        <v>331</v>
      </c>
      <c r="AG308" s="2297">
        <v>19.04</v>
      </c>
      <c r="AH308" s="2297" t="s">
        <v>347</v>
      </c>
      <c r="AI308" s="1390"/>
      <c r="AJ308" s="2282"/>
      <c r="AK308" s="2282"/>
      <c r="AL308" s="1037"/>
      <c r="AM308" s="339">
        <v>33803</v>
      </c>
      <c r="AN308" s="338" t="s">
        <v>344</v>
      </c>
      <c r="AQ308" s="858"/>
      <c r="AR308" s="338">
        <v>20.059999999999999</v>
      </c>
      <c r="AS308" s="338" t="s">
        <v>324</v>
      </c>
      <c r="AX308" s="340">
        <v>703.3</v>
      </c>
      <c r="AY308" s="340" t="s">
        <v>289</v>
      </c>
      <c r="BC308" s="341" t="str">
        <f t="array" ref="BC308">IFERROR(IF($BC$11="Yes",INDEX($AX$13:$AX$2950,SMALL(IF((County=$AY$13:$AY$2950),MATCH(ROW($AY$13:$AY$2950),ROW($AY$13:$AY$2950)),""),ROWS($A$13:$A308))),""),"")</f>
        <v/>
      </c>
      <c r="BE308" s="339">
        <v>34219</v>
      </c>
      <c r="BF308" s="338" t="s">
        <v>328</v>
      </c>
      <c r="BH308" s="338">
        <v>44.05</v>
      </c>
      <c r="BI308" s="338" t="s">
        <v>331</v>
      </c>
      <c r="BN308" s="340">
        <v>17.010000000000002</v>
      </c>
      <c r="BO308" s="340" t="s">
        <v>323</v>
      </c>
      <c r="BP308" s="1385"/>
      <c r="BQ308" s="341">
        <v>34639</v>
      </c>
      <c r="BR308" s="338" t="s">
        <v>341</v>
      </c>
      <c r="BU308" s="858"/>
      <c r="BV308" s="338">
        <v>109.02</v>
      </c>
      <c r="BW308" s="338" t="s">
        <v>289</v>
      </c>
      <c r="CB308" s="340">
        <v>703.26</v>
      </c>
      <c r="CC308" s="340" t="s">
        <v>289</v>
      </c>
      <c r="CE308" s="341" t="str">
        <f t="array" ref="CE308">IFERROR(IF($CE$11="Metro",INDEX($BV$13:$BV$4972,SMALL(IF((County=$BW$13:$BW$4972),MATCH(ROW($BW$13:$BW$4972),ROW($BW$13:$BW$4972)),""),ROWS($A$13:$A308))),INDEX($BY$13:$BY$212,SMALL(IF((County=$BZ$13:$BZ$212),MATCH(ROW($BZ$13:$BZ$212),ROW($BZ$13:$BZ$212)),""),ROWS($A$13:$A308)))),"")</f>
        <v/>
      </c>
      <c r="CG308" s="341" t="str">
        <f t="array" ref="CG308">IFERROR(IF($CG$11="Yes",INDEX($CB$13:$CB$2950,SMALL(IF((County=$CC$13:$CC$2950),MATCH(ROW($CC$13:$CC$2950),ROW($CC$13:$CC$2950)),""),ROWS($A$13:$A308))),""),"")</f>
        <v/>
      </c>
      <c r="CI308" s="1583">
        <v>33884</v>
      </c>
      <c r="CJ308" s="338" t="s">
        <v>344</v>
      </c>
      <c r="CL308" s="236">
        <v>8.0399999999999991</v>
      </c>
      <c r="CM308" s="236" t="s">
        <v>331</v>
      </c>
      <c r="CR308" s="340">
        <v>17.02</v>
      </c>
      <c r="CS308" s="340" t="s">
        <v>276</v>
      </c>
      <c r="CT308" s="1384"/>
      <c r="CU308" s="341">
        <v>33545</v>
      </c>
      <c r="CV308" s="338" t="s">
        <v>341</v>
      </c>
      <c r="CZ308" s="1795">
        <v>119.08</v>
      </c>
      <c r="DA308" s="338" t="s">
        <v>316</v>
      </c>
      <c r="DF308" s="340">
        <v>703.28</v>
      </c>
      <c r="DG308" s="340" t="s">
        <v>289</v>
      </c>
      <c r="DK308" s="341" t="str">
        <f t="array" ref="DK308">IFERROR(IF($DK$11="Yes",INDEX($DF$13:$DF$2838,SMALL(IF((County=$DG$13:$DG$2838),MATCH(ROW($DG$13:$DG$2838),ROW($DG$13:$DG$2838)),""),ROWS($A$13:$A308))),""),"")</f>
        <v/>
      </c>
      <c r="DM308" s="1387">
        <v>33884</v>
      </c>
      <c r="DN308" s="338" t="s">
        <v>344</v>
      </c>
      <c r="DP308" s="236">
        <v>50</v>
      </c>
      <c r="DQ308" s="236" t="s">
        <v>316</v>
      </c>
      <c r="DV308" s="340">
        <v>19</v>
      </c>
      <c r="DW308" s="340" t="s">
        <v>285</v>
      </c>
      <c r="DX308" s="1671"/>
      <c r="EB308" s="618"/>
      <c r="EC308" s="618"/>
      <c r="ED308" s="618"/>
      <c r="EE308" s="618"/>
      <c r="EF308" s="618"/>
      <c r="EG308" s="618"/>
      <c r="EH308" s="618"/>
      <c r="EI308" s="618"/>
      <c r="EJ308" s="618"/>
      <c r="EK308" s="618"/>
      <c r="EL308" s="618"/>
      <c r="EM308" s="618"/>
    </row>
    <row r="309" spans="1:143">
      <c r="A309" s="339">
        <v>33543</v>
      </c>
      <c r="B309" s="338" t="s">
        <v>341</v>
      </c>
      <c r="E309" s="858"/>
      <c r="F309" s="338">
        <v>305.05</v>
      </c>
      <c r="G309" s="338" t="s">
        <v>322</v>
      </c>
      <c r="L309" s="2481">
        <v>704.04</v>
      </c>
      <c r="M309" s="340" t="s">
        <v>289</v>
      </c>
      <c r="N309" s="1390"/>
      <c r="O309" s="2479"/>
      <c r="P309" s="2282"/>
      <c r="T309" s="341" t="str">
        <f t="array" ref="T309">IFERROR(IF($T$11="Yes",INDEX($L$13:$L$2813,SMALL(IF((County=$M$13:$M$2813),MATCH(ROW($M$13:$M$2813),ROW($M$13:$M$2813)),""),ROWS($A$13:A309))),""),"")</f>
        <v/>
      </c>
      <c r="V309" s="2283" t="str">
        <f t="array" ref="V309">IFERROR(IF($T$11="Yes",INDEX($O$14:$O$2811,SMALL(IF((County=$P$14:$P$2811),MATCH(ROW($P$14:$P$2811),ROW($P$14:$P$2811)),""),ROWS($A$13:A309))),""),"")</f>
        <v/>
      </c>
      <c r="X309" s="339">
        <v>33785</v>
      </c>
      <c r="Y309" s="338" t="s">
        <v>342</v>
      </c>
      <c r="AA309" s="338">
        <v>59.04</v>
      </c>
      <c r="AB309" s="338" t="s">
        <v>331</v>
      </c>
      <c r="AG309" s="2297">
        <v>19.05</v>
      </c>
      <c r="AH309" s="2297" t="s">
        <v>347</v>
      </c>
      <c r="AI309" s="1390"/>
      <c r="AJ309" s="2282"/>
      <c r="AK309" s="2282"/>
      <c r="AL309" s="1037"/>
      <c r="AM309" s="339">
        <v>33805</v>
      </c>
      <c r="AN309" s="338" t="s">
        <v>344</v>
      </c>
      <c r="AQ309" s="858"/>
      <c r="AR309" s="338">
        <v>20.07</v>
      </c>
      <c r="AS309" s="338" t="s">
        <v>324</v>
      </c>
      <c r="AX309" s="340">
        <v>703.31</v>
      </c>
      <c r="AY309" s="340" t="s">
        <v>289</v>
      </c>
      <c r="BC309" s="341" t="str">
        <f t="array" ref="BC309">IFERROR(IF($BC$11="Yes",INDEX($AX$13:$AX$2950,SMALL(IF((County=$AY$13:$AY$2950),MATCH(ROW($AY$13:$AY$2950),ROW($AY$13:$AY$2950)),""),ROWS($A$13:$A309))),""),"")</f>
        <v/>
      </c>
      <c r="BE309" s="339">
        <v>34232</v>
      </c>
      <c r="BF309" s="338" t="s">
        <v>347</v>
      </c>
      <c r="BH309" s="338">
        <v>45</v>
      </c>
      <c r="BI309" s="338" t="s">
        <v>340</v>
      </c>
      <c r="BN309" s="340">
        <v>17.010000000000002</v>
      </c>
      <c r="BO309" s="340" t="s">
        <v>324</v>
      </c>
      <c r="BP309" s="1385"/>
      <c r="BQ309" s="1583">
        <v>34654</v>
      </c>
      <c r="BR309" s="236" t="s">
        <v>341</v>
      </c>
      <c r="BU309" s="858"/>
      <c r="BV309" s="338">
        <v>110</v>
      </c>
      <c r="BW309" s="338" t="s">
        <v>289</v>
      </c>
      <c r="CB309" s="340">
        <v>703.27</v>
      </c>
      <c r="CC309" s="340" t="s">
        <v>289</v>
      </c>
      <c r="CE309" s="341" t="str">
        <f t="array" ref="CE309">IFERROR(IF($CE$11="Metro",INDEX($BV$13:$BV$4972,SMALL(IF((County=$BW$13:$BW$4972),MATCH(ROW($BW$13:$BW$4972),ROW($BW$13:$BW$4972)),""),ROWS($A$13:$A309))),INDEX($BY$13:$BY$212,SMALL(IF((County=$BZ$13:$BZ$212),MATCH(ROW($BZ$13:$BZ$212),ROW($BZ$13:$BZ$212)),""),ROWS($A$13:$A309)))),"")</f>
        <v/>
      </c>
      <c r="CG309" s="341" t="str">
        <f t="array" ref="CG309">IFERROR(IF($CG$11="Yes",INDEX($CB$13:$CB$2950,SMALL(IF((County=$CC$13:$CC$2950),MATCH(ROW($CC$13:$CC$2950),ROW($CC$13:$CC$2950)),""),ROWS($A$13:$A309))),""),"")</f>
        <v/>
      </c>
      <c r="CI309" s="1583">
        <v>33896</v>
      </c>
      <c r="CJ309" s="338" t="s">
        <v>344</v>
      </c>
      <c r="CL309" s="338">
        <v>8.0500000000000007</v>
      </c>
      <c r="CM309" s="338" t="s">
        <v>285</v>
      </c>
      <c r="CR309" s="340">
        <v>17.02</v>
      </c>
      <c r="CS309" s="340" t="s">
        <v>324</v>
      </c>
      <c r="CT309" s="1384"/>
      <c r="CU309" s="341">
        <v>34637</v>
      </c>
      <c r="CV309" s="338" t="s">
        <v>341</v>
      </c>
      <c r="CZ309" s="1795">
        <v>119.11</v>
      </c>
      <c r="DA309" s="338" t="s">
        <v>316</v>
      </c>
      <c r="DF309" s="340">
        <v>703.3</v>
      </c>
      <c r="DG309" s="340" t="s">
        <v>289</v>
      </c>
      <c r="DK309" s="341" t="str">
        <f t="array" ref="DK309">IFERROR(IF($DK$11="Yes",INDEX($DF$13:$DF$2838,SMALL(IF((County=$DG$13:$DG$2838),MATCH(ROW($DG$13:$DG$2838),ROW($DG$13:$DG$2838)),""),ROWS($A$13:$A309))),""),"")</f>
        <v/>
      </c>
      <c r="DM309" s="1387">
        <v>33896</v>
      </c>
      <c r="DN309" s="338" t="str">
        <f>IF(County="Polk","Polk","Orange")</f>
        <v>Orange</v>
      </c>
      <c r="DP309" s="236">
        <v>50.02</v>
      </c>
      <c r="DQ309" s="236" t="s">
        <v>331</v>
      </c>
      <c r="DV309" s="340">
        <v>19</v>
      </c>
      <c r="DW309" s="340" t="s">
        <v>329</v>
      </c>
      <c r="DX309" s="1671"/>
      <c r="EB309" s="618"/>
      <c r="EC309" s="618"/>
      <c r="ED309" s="618"/>
      <c r="EE309" s="618"/>
      <c r="EF309" s="618"/>
      <c r="EG309" s="618"/>
      <c r="EH309" s="618"/>
      <c r="EI309" s="618"/>
      <c r="EJ309" s="618"/>
      <c r="EK309" s="618"/>
      <c r="EL309" s="618"/>
      <c r="EM309" s="618"/>
    </row>
    <row r="310" spans="1:143">
      <c r="A310" s="339">
        <v>33544</v>
      </c>
      <c r="B310" s="338" t="s">
        <v>341</v>
      </c>
      <c r="E310" s="858"/>
      <c r="F310" s="338">
        <v>305.07</v>
      </c>
      <c r="G310" s="338" t="s">
        <v>322</v>
      </c>
      <c r="L310" s="2481">
        <v>704.05</v>
      </c>
      <c r="M310" s="340" t="s">
        <v>289</v>
      </c>
      <c r="N310" s="1390"/>
      <c r="O310" s="2479"/>
      <c r="P310" s="2282"/>
      <c r="T310" s="341" t="str">
        <f t="array" ref="T310">IFERROR(IF($T$11="Yes",INDEX($L$13:$L$2813,SMALL(IF((County=$M$13:$M$2813),MATCH(ROW($M$13:$M$2813),ROW($M$13:$M$2813)),""),ROWS($A$13:A310))),""),"")</f>
        <v/>
      </c>
      <c r="V310" s="2283" t="str">
        <f t="array" ref="V310">IFERROR(IF($T$11="Yes",INDEX($O$14:$O$2811,SMALL(IF((County=$P$14:$P$2811),MATCH(ROW($P$14:$P$2811),ROW($P$14:$P$2811)),""),ROWS($A$13:A310))),""),"")</f>
        <v/>
      </c>
      <c r="X310" s="339">
        <v>33786</v>
      </c>
      <c r="Y310" s="338" t="s">
        <v>342</v>
      </c>
      <c r="AA310" s="338">
        <v>59.33</v>
      </c>
      <c r="AB310" s="338" t="s">
        <v>340</v>
      </c>
      <c r="AG310" s="2297">
        <v>19.07</v>
      </c>
      <c r="AH310" s="2297" t="s">
        <v>328</v>
      </c>
      <c r="AI310" s="1390"/>
      <c r="AJ310" s="2282"/>
      <c r="AK310" s="2282"/>
      <c r="AL310" s="1037"/>
      <c r="AM310" s="339">
        <v>33809</v>
      </c>
      <c r="AN310" s="338" t="s">
        <v>344</v>
      </c>
      <c r="AQ310" s="858"/>
      <c r="AR310" s="338">
        <v>20.079999999999998</v>
      </c>
      <c r="AS310" s="338" t="s">
        <v>324</v>
      </c>
      <c r="AX310" s="340">
        <v>704.01</v>
      </c>
      <c r="AY310" s="340" t="s">
        <v>289</v>
      </c>
      <c r="BC310" s="341" t="str">
        <f t="array" ref="BC310">IFERROR(IF($BC$11="Yes",INDEX($AX$13:$AX$2950,SMALL(IF((County=$AY$13:$AY$2950),MATCH(ROW($AY$13:$AY$2950),ROW($AY$13:$AY$2950)),""),ROWS($A$13:$A310))),""),"")</f>
        <v/>
      </c>
      <c r="BE310" s="339">
        <v>34233</v>
      </c>
      <c r="BF310" s="338" t="s">
        <v>347</v>
      </c>
      <c r="BH310" s="338">
        <v>46.02</v>
      </c>
      <c r="BI310" s="338" t="s">
        <v>340</v>
      </c>
      <c r="BN310" s="340">
        <v>17.010000000000002</v>
      </c>
      <c r="BO310" s="340" t="s">
        <v>328</v>
      </c>
      <c r="BP310" s="1385"/>
      <c r="BQ310" s="1583">
        <v>34655</v>
      </c>
      <c r="BR310" s="236" t="s">
        <v>341</v>
      </c>
      <c r="BU310" s="858"/>
      <c r="BV310" s="338">
        <v>201.01</v>
      </c>
      <c r="BW310" s="338" t="s">
        <v>289</v>
      </c>
      <c r="CB310" s="340">
        <v>703.28</v>
      </c>
      <c r="CC310" s="340" t="s">
        <v>289</v>
      </c>
      <c r="CE310" s="341" t="str">
        <f t="array" ref="CE310">IFERROR(IF($CE$11="Metro",INDEX($BV$13:$BV$4972,SMALL(IF((County=$BW$13:$BW$4972),MATCH(ROW($BW$13:$BW$4972),ROW($BW$13:$BW$4972)),""),ROWS($A$13:$A310))),INDEX($BY$13:$BY$212,SMALL(IF((County=$BZ$13:$BZ$212),MATCH(ROW($BZ$13:$BZ$212),ROW($BZ$13:$BZ$212)),""),ROWS($A$13:$A310)))),"")</f>
        <v/>
      </c>
      <c r="CG310" s="341" t="str">
        <f t="array" ref="CG310">IFERROR(IF($CG$11="Yes",INDEX($CB$13:$CB$2950,SMALL(IF((County=$CC$13:$CC$2950),MATCH(ROW($CC$13:$CC$2950),ROW($CC$13:$CC$2950)),""),ROWS($A$13:$A310))),""),"")</f>
        <v/>
      </c>
      <c r="CI310" s="1583">
        <v>33897</v>
      </c>
      <c r="CJ310" s="338" t="s">
        <v>344</v>
      </c>
      <c r="CL310" s="236">
        <v>8.0500000000000007</v>
      </c>
      <c r="CM310" s="236" t="s">
        <v>328</v>
      </c>
      <c r="CR310" s="340">
        <v>17.02</v>
      </c>
      <c r="CS310" s="340" t="s">
        <v>330</v>
      </c>
      <c r="CT310" s="1384"/>
      <c r="CU310" s="341">
        <v>34638</v>
      </c>
      <c r="CV310" s="338" t="s">
        <v>341</v>
      </c>
      <c r="CZ310" s="1795">
        <v>120.02</v>
      </c>
      <c r="DA310" s="338" t="s">
        <v>316</v>
      </c>
      <c r="DF310" s="340">
        <v>703.31</v>
      </c>
      <c r="DG310" s="340" t="s">
        <v>289</v>
      </c>
      <c r="DK310" s="341" t="str">
        <f t="array" ref="DK310">IFERROR(IF($DK$11="Yes",INDEX($DF$13:$DF$2838,SMALL(IF((County=$DG$13:$DG$2838),MATCH(ROW($DG$13:$DG$2838),ROW($DG$13:$DG$2838)),""),ROWS($A$13:$A310))),""),"")</f>
        <v/>
      </c>
      <c r="DM310" s="1387">
        <v>33896</v>
      </c>
      <c r="DN310" s="338" t="str">
        <f>IF(County="Polk","Orange","Polk")</f>
        <v>Polk</v>
      </c>
      <c r="DP310" s="236">
        <v>51.01</v>
      </c>
      <c r="DQ310" s="236" t="s">
        <v>340</v>
      </c>
      <c r="DV310" s="340">
        <v>19.03</v>
      </c>
      <c r="DW310" s="340" t="s">
        <v>323</v>
      </c>
      <c r="DX310" s="1671"/>
      <c r="EB310" s="618"/>
      <c r="EC310" s="618"/>
      <c r="ED310" s="618"/>
      <c r="EE310" s="618"/>
      <c r="EF310" s="618"/>
      <c r="EG310" s="618"/>
      <c r="EH310" s="618"/>
      <c r="EI310" s="618"/>
      <c r="EJ310" s="618"/>
      <c r="EK310" s="618"/>
      <c r="EL310" s="618"/>
      <c r="EM310" s="618"/>
    </row>
    <row r="311" spans="1:143">
      <c r="A311" s="339">
        <v>33545</v>
      </c>
      <c r="B311" s="338" t="s">
        <v>341</v>
      </c>
      <c r="E311" s="858"/>
      <c r="F311" s="338">
        <v>306.01</v>
      </c>
      <c r="G311" s="338" t="s">
        <v>322</v>
      </c>
      <c r="L311" s="2481">
        <v>705.01</v>
      </c>
      <c r="M311" s="340" t="s">
        <v>289</v>
      </c>
      <c r="N311" s="1390"/>
      <c r="O311" s="2479"/>
      <c r="P311" s="2282"/>
      <c r="T311" s="341" t="str">
        <f t="array" ref="T311">IFERROR(IF($T$11="Yes",INDEX($L$13:$L$2813,SMALL(IF((County=$M$13:$M$2813),MATCH(ROW($M$13:$M$2813),ROW($M$13:$M$2813)),""),ROWS($A$13:A311))),""),"")</f>
        <v/>
      </c>
      <c r="V311" s="2283" t="str">
        <f t="array" ref="V311">IFERROR(IF($T$11="Yes",INDEX($O$14:$O$2811,SMALL(IF((County=$P$14:$P$2811),MATCH(ROW($P$14:$P$2811),ROW($P$14:$P$2811)),""),ROWS($A$13:A311))),""),"")</f>
        <v/>
      </c>
      <c r="X311" s="339">
        <v>33812</v>
      </c>
      <c r="Y311" s="338" t="s">
        <v>344</v>
      </c>
      <c r="AA311" s="338">
        <v>59.39</v>
      </c>
      <c r="AB311" s="338" t="s">
        <v>340</v>
      </c>
      <c r="AG311" s="2297">
        <v>19.07</v>
      </c>
      <c r="AH311" s="2297" t="s">
        <v>340</v>
      </c>
      <c r="AI311" s="1390"/>
      <c r="AJ311" s="2282"/>
      <c r="AK311" s="2282"/>
      <c r="AL311" s="1037"/>
      <c r="AM311" s="339">
        <v>33810</v>
      </c>
      <c r="AN311" s="338" t="s">
        <v>344</v>
      </c>
      <c r="AQ311" s="858"/>
      <c r="AR311" s="338">
        <v>21.03</v>
      </c>
      <c r="AS311" s="338" t="s">
        <v>324</v>
      </c>
      <c r="AX311" s="340">
        <v>704.02</v>
      </c>
      <c r="AY311" s="340" t="s">
        <v>289</v>
      </c>
      <c r="BC311" s="341" t="str">
        <f t="array" ref="BC311">IFERROR(IF($BC$11="Yes",INDEX($AX$13:$AX$2950,SMALL(IF((County=$AY$13:$AY$2950),MATCH(ROW($AY$13:$AY$2950),ROW($AY$13:$AY$2950)),""),ROWS($A$13:$A311))),""),"")</f>
        <v/>
      </c>
      <c r="BE311" s="339">
        <v>34235</v>
      </c>
      <c r="BF311" s="338" t="s">
        <v>347</v>
      </c>
      <c r="BH311" s="338">
        <v>47.04</v>
      </c>
      <c r="BI311" s="338" t="s">
        <v>340</v>
      </c>
      <c r="BN311" s="340">
        <v>17.010000000000002</v>
      </c>
      <c r="BO311" s="340" t="s">
        <v>330</v>
      </c>
      <c r="BP311" s="1385"/>
      <c r="BQ311" s="341">
        <v>33701</v>
      </c>
      <c r="BR311" s="338" t="s">
        <v>342</v>
      </c>
      <c r="BU311" s="858"/>
      <c r="BV311" s="338">
        <v>201.03</v>
      </c>
      <c r="BW311" s="338" t="s">
        <v>289</v>
      </c>
      <c r="CB311" s="340">
        <v>703.29</v>
      </c>
      <c r="CC311" s="340" t="s">
        <v>289</v>
      </c>
      <c r="CE311" s="341" t="str">
        <f t="array" ref="CE311">IFERROR(IF($CE$11="Metro",INDEX($BV$13:$BV$4972,SMALL(IF((County=$BW$13:$BW$4972),MATCH(ROW($BW$13:$BW$4972),ROW($BW$13:$BW$4972)),""),ROWS($A$13:$A311))),INDEX($BY$13:$BY$212,SMALL(IF((County=$BZ$13:$BZ$212),MATCH(ROW($BZ$13:$BZ$212),ROW($BZ$13:$BZ$212)),""),ROWS($A$13:$A311)))),"")</f>
        <v/>
      </c>
      <c r="CG311" s="341" t="str">
        <f t="array" ref="CG311">IFERROR(IF($CG$11="Yes",INDEX($CB$13:$CB$2950,SMALL(IF((County=$CC$13:$CC$2950),MATCH(ROW($CC$13:$CC$2950),ROW($CC$13:$CC$2950)),""),ROWS($A$13:$A311))),""),"")</f>
        <v/>
      </c>
      <c r="CI311" s="1583">
        <v>33908</v>
      </c>
      <c r="CJ311" s="338" t="s">
        <v>323</v>
      </c>
      <c r="CL311" s="236">
        <v>8.0500000000000007</v>
      </c>
      <c r="CM311" s="236" t="s">
        <v>329</v>
      </c>
      <c r="CR311" s="340">
        <v>17.02</v>
      </c>
      <c r="CS311" s="340" t="s">
        <v>347</v>
      </c>
      <c r="CT311" s="1384"/>
      <c r="CU311" s="341">
        <v>34639</v>
      </c>
      <c r="CV311" s="338" t="s">
        <v>341</v>
      </c>
      <c r="CZ311" s="1795">
        <v>121.07</v>
      </c>
      <c r="DA311" s="338" t="s">
        <v>316</v>
      </c>
      <c r="DF311" s="340">
        <v>704.01</v>
      </c>
      <c r="DG311" s="340" t="s">
        <v>289</v>
      </c>
      <c r="DK311" s="341" t="str">
        <f t="array" ref="DK311">IFERROR(IF($DK$11="Yes",INDEX($DF$13:$DF$2838,SMALL(IF((County=$DG$13:$DG$2838),MATCH(ROW($DG$13:$DG$2838),ROW($DG$13:$DG$2838)),""),ROWS($A$13:$A311))),""),"")</f>
        <v/>
      </c>
      <c r="DM311" s="1387">
        <v>33897</v>
      </c>
      <c r="DN311" s="338" t="str">
        <f>IF(County="Polk","Polk","Orange")</f>
        <v>Orange</v>
      </c>
      <c r="DP311" s="236">
        <v>51.02</v>
      </c>
      <c r="DQ311" s="236" t="s">
        <v>331</v>
      </c>
      <c r="DV311" s="340">
        <v>19.03</v>
      </c>
      <c r="DW311" s="340" t="s">
        <v>347</v>
      </c>
      <c r="DX311" s="1671"/>
      <c r="EB311" s="618"/>
      <c r="EC311" s="618"/>
      <c r="ED311" s="618"/>
      <c r="EE311" s="618"/>
      <c r="EF311" s="618"/>
      <c r="EG311" s="618"/>
      <c r="EH311" s="618"/>
      <c r="EI311" s="618"/>
      <c r="EJ311" s="618"/>
      <c r="EK311" s="618"/>
      <c r="EL311" s="618"/>
      <c r="EM311" s="618"/>
    </row>
    <row r="312" spans="1:143">
      <c r="A312" s="339">
        <v>33548</v>
      </c>
      <c r="B312" s="338" t="s">
        <v>341</v>
      </c>
      <c r="E312" s="858"/>
      <c r="F312" s="338">
        <v>306.02</v>
      </c>
      <c r="G312" s="338" t="s">
        <v>322</v>
      </c>
      <c r="L312" s="2481">
        <v>705.03</v>
      </c>
      <c r="M312" s="340" t="s">
        <v>289</v>
      </c>
      <c r="N312" s="1390"/>
      <c r="O312" s="2479"/>
      <c r="P312" s="2282"/>
      <c r="T312" s="341" t="str">
        <f t="array" ref="T312">IFERROR(IF($T$11="Yes",INDEX($L$13:$L$2813,SMALL(IF((County=$M$13:$M$2813),MATCH(ROW($M$13:$M$2813),ROW($M$13:$M$2813)),""),ROWS($A$13:A312))),""),"")</f>
        <v/>
      </c>
      <c r="V312" s="2283" t="str">
        <f t="array" ref="V312">IFERROR(IF($T$11="Yes",INDEX($O$14:$O$2811,SMALL(IF((County=$P$14:$P$2811),MATCH(ROW($P$14:$P$2811),ROW($P$14:$P$2811)),""),ROWS($A$13:A312))),""),"")</f>
        <v/>
      </c>
      <c r="X312" s="339">
        <v>33813</v>
      </c>
      <c r="Y312" s="338" t="s">
        <v>344</v>
      </c>
      <c r="AA312" s="338">
        <v>59.4</v>
      </c>
      <c r="AB312" s="338" t="s">
        <v>340</v>
      </c>
      <c r="AG312" s="2297">
        <v>19.09</v>
      </c>
      <c r="AH312" s="2297" t="s">
        <v>328</v>
      </c>
      <c r="AI312" s="1390"/>
      <c r="AJ312" s="2282"/>
      <c r="AK312" s="2282"/>
      <c r="AL312" s="1037"/>
      <c r="AM312" s="339">
        <v>33811</v>
      </c>
      <c r="AN312" s="338" t="s">
        <v>344</v>
      </c>
      <c r="AQ312" s="858"/>
      <c r="AR312" s="338">
        <v>21.05</v>
      </c>
      <c r="AS312" s="338" t="s">
        <v>324</v>
      </c>
      <c r="AX312" s="340">
        <v>704.03</v>
      </c>
      <c r="AY312" s="340" t="s">
        <v>289</v>
      </c>
      <c r="BC312" s="341" t="str">
        <f t="array" ref="BC312">IFERROR(IF($BC$11="Yes",INDEX($AX$13:$AX$2950,SMALL(IF((County=$AY$13:$AY$2950),MATCH(ROW($AY$13:$AY$2950),ROW($AY$13:$AY$2950)),""),ROWS($A$13:$A312))),""),"")</f>
        <v/>
      </c>
      <c r="BE312" s="339">
        <v>34238</v>
      </c>
      <c r="BF312" s="338" t="s">
        <v>347</v>
      </c>
      <c r="BH312" s="338">
        <v>49.01</v>
      </c>
      <c r="BI312" s="338" t="s">
        <v>331</v>
      </c>
      <c r="BN312" s="340">
        <v>17.02</v>
      </c>
      <c r="BO312" s="340" t="s">
        <v>276</v>
      </c>
      <c r="BP312" s="1385"/>
      <c r="BQ312" s="341">
        <v>33702</v>
      </c>
      <c r="BR312" s="338" t="s">
        <v>342</v>
      </c>
      <c r="BU312" s="858"/>
      <c r="BV312" s="338">
        <v>201.04</v>
      </c>
      <c r="BW312" s="338" t="s">
        <v>289</v>
      </c>
      <c r="CB312" s="340">
        <v>703.3</v>
      </c>
      <c r="CC312" s="340" t="s">
        <v>289</v>
      </c>
      <c r="CE312" s="341" t="str">
        <f t="array" ref="CE312">IFERROR(IF($CE$11="Metro",INDEX($BV$13:$BV$4972,SMALL(IF((County=$BW$13:$BW$4972),MATCH(ROW($BW$13:$BW$4972),ROW($BW$13:$BW$4972)),""),ROWS($A$13:$A312))),INDEX($BY$13:$BY$212,SMALL(IF((County=$BZ$13:$BZ$212),MATCH(ROW($BZ$13:$BZ$212),ROW($BZ$13:$BZ$212)),""),ROWS($A$13:$A312)))),"")</f>
        <v/>
      </c>
      <c r="CG312" s="341" t="str">
        <f t="array" ref="CG312">IFERROR(IF($CG$11="Yes",INDEX($CB$13:$CB$2950,SMALL(IF((County=$CC$13:$CC$2950),MATCH(ROW($CC$13:$CC$2950),ROW($CC$13:$CC$2950)),""),ROWS($A$13:$A312))),""),"")</f>
        <v/>
      </c>
      <c r="CI312" s="1583">
        <v>33909</v>
      </c>
      <c r="CJ312" s="338" t="s">
        <v>323</v>
      </c>
      <c r="CL312" s="236">
        <v>8.0500000000000007</v>
      </c>
      <c r="CM312" s="236" t="s">
        <v>331</v>
      </c>
      <c r="CR312" s="340">
        <v>17.03</v>
      </c>
      <c r="CS312" s="340" t="s">
        <v>330</v>
      </c>
      <c r="CT312" s="1384"/>
      <c r="CU312" s="341">
        <v>34654</v>
      </c>
      <c r="CV312" s="338" t="s">
        <v>341</v>
      </c>
      <c r="CZ312" s="1795">
        <v>121.09</v>
      </c>
      <c r="DA312" s="338" t="s">
        <v>316</v>
      </c>
      <c r="DF312" s="340">
        <v>704.02</v>
      </c>
      <c r="DG312" s="340" t="s">
        <v>289</v>
      </c>
      <c r="DK312" s="341" t="str">
        <f t="array" ref="DK312">IFERROR(IF($DK$11="Yes",INDEX($DF$13:$DF$2838,SMALL(IF((County=$DG$13:$DG$2838),MATCH(ROW($DG$13:$DG$2838),ROW($DG$13:$DG$2838)),""),ROWS($A$13:$A312))),""),"")</f>
        <v/>
      </c>
      <c r="DM312" s="1387">
        <v>33897</v>
      </c>
      <c r="DN312" s="338" t="str">
        <f>IF(County="Polk","Orange","Polk")</f>
        <v>Polk</v>
      </c>
      <c r="DP312" s="236">
        <v>51.02</v>
      </c>
      <c r="DQ312" s="236" t="s">
        <v>340</v>
      </c>
      <c r="DV312" s="340">
        <v>19.04</v>
      </c>
      <c r="DW312" s="340" t="s">
        <v>328</v>
      </c>
      <c r="DX312" s="1671"/>
      <c r="EB312" s="618"/>
      <c r="EC312" s="618"/>
      <c r="ED312" s="618"/>
      <c r="EE312" s="618"/>
      <c r="EF312" s="618"/>
      <c r="EG312" s="618"/>
      <c r="EH312" s="618"/>
      <c r="EI312" s="618"/>
      <c r="EJ312" s="618"/>
      <c r="EK312" s="618"/>
      <c r="EL312" s="618"/>
      <c r="EM312" s="618"/>
    </row>
    <row r="313" spans="1:143">
      <c r="A313" s="339">
        <v>34637</v>
      </c>
      <c r="B313" s="338" t="s">
        <v>341</v>
      </c>
      <c r="E313" s="858"/>
      <c r="F313" s="338">
        <v>308.04000000000002</v>
      </c>
      <c r="G313" s="338" t="s">
        <v>322</v>
      </c>
      <c r="L313" s="2481">
        <v>706.02</v>
      </c>
      <c r="M313" s="340" t="s">
        <v>289</v>
      </c>
      <c r="N313" s="1390"/>
      <c r="O313" s="2479"/>
      <c r="P313" s="2282"/>
      <c r="T313" s="341" t="str">
        <f t="array" ref="T313">IFERROR(IF($T$11="Yes",INDEX($L$13:$L$2813,SMALL(IF((County=$M$13:$M$2813),MATCH(ROW($M$13:$M$2813),ROW($M$13:$M$2813)),""),ROWS($A$13:A313))),""),"")</f>
        <v/>
      </c>
      <c r="V313" s="2283" t="str">
        <f t="array" ref="V313">IFERROR(IF($T$11="Yes",INDEX($O$14:$O$2811,SMALL(IF((County=$P$14:$P$2811),MATCH(ROW($P$14:$P$2811),ROW($P$14:$P$2811)),""),ROWS($A$13:A313))),""),"")</f>
        <v/>
      </c>
      <c r="X313" s="339">
        <v>33827</v>
      </c>
      <c r="Y313" s="338" t="s">
        <v>344</v>
      </c>
      <c r="AA313" s="338">
        <v>59.43</v>
      </c>
      <c r="AB313" s="338" t="s">
        <v>340</v>
      </c>
      <c r="AG313" s="2297">
        <v>19.09</v>
      </c>
      <c r="AH313" s="2297" t="s">
        <v>347</v>
      </c>
      <c r="AI313" s="1390"/>
      <c r="AJ313" s="2282"/>
      <c r="AK313" s="2282"/>
      <c r="AL313" s="1037"/>
      <c r="AM313" s="339">
        <v>33812</v>
      </c>
      <c r="AN313" s="338" t="s">
        <v>344</v>
      </c>
      <c r="AQ313" s="858"/>
      <c r="AR313" s="338">
        <v>21.06</v>
      </c>
      <c r="AS313" s="338" t="s">
        <v>324</v>
      </c>
      <c r="AX313" s="340">
        <v>704.04</v>
      </c>
      <c r="AY313" s="340" t="s">
        <v>289</v>
      </c>
      <c r="BC313" s="341" t="str">
        <f t="array" ref="BC313">IFERROR(IF($BC$11="Yes",INDEX($AX$13:$AX$2950,SMALL(IF((County=$AY$13:$AY$2950),MATCH(ROW($AY$13:$AY$2950),ROW($AY$13:$AY$2950)),""),ROWS($A$13:$A313))),""),"")</f>
        <v/>
      </c>
      <c r="BE313" s="339">
        <v>34239</v>
      </c>
      <c r="BF313" s="338" t="s">
        <v>347</v>
      </c>
      <c r="BH313" s="338">
        <v>49.03</v>
      </c>
      <c r="BI313" s="338" t="s">
        <v>331</v>
      </c>
      <c r="BN313" s="340">
        <v>17.02</v>
      </c>
      <c r="BO313" s="340" t="s">
        <v>324</v>
      </c>
      <c r="BP313" s="1385"/>
      <c r="BQ313" s="341">
        <v>33703</v>
      </c>
      <c r="BR313" s="338" t="s">
        <v>342</v>
      </c>
      <c r="BU313" s="858"/>
      <c r="BV313" s="338">
        <v>202.04</v>
      </c>
      <c r="BW313" s="338" t="s">
        <v>289</v>
      </c>
      <c r="CB313" s="340">
        <v>703.31</v>
      </c>
      <c r="CC313" s="340" t="s">
        <v>289</v>
      </c>
      <c r="CE313" s="341" t="str">
        <f t="array" ref="CE313">IFERROR(IF($CE$11="Metro",INDEX($BV$13:$BV$4972,SMALL(IF((County=$BW$13:$BW$4972),MATCH(ROW($BW$13:$BW$4972),ROW($BW$13:$BW$4972)),""),ROWS($A$13:$A313))),INDEX($BY$13:$BY$212,SMALL(IF((County=$BZ$13:$BZ$212),MATCH(ROW($BZ$13:$BZ$212),ROW($BZ$13:$BZ$212)),""),ROWS($A$13:$A313)))),"")</f>
        <v/>
      </c>
      <c r="CG313" s="341" t="str">
        <f t="array" ref="CG313">IFERROR(IF($CG$11="Yes",INDEX($CB$13:$CB$2950,SMALL(IF((County=$CC$13:$CC$2950),MATCH(ROW($CC$13:$CC$2950),ROW($CC$13:$CC$2950)),""),ROWS($A$13:$A313))),""),"")</f>
        <v/>
      </c>
      <c r="CI313" s="1583">
        <v>33912</v>
      </c>
      <c r="CJ313" s="338" t="s">
        <v>323</v>
      </c>
      <c r="CL313" s="236">
        <v>8.0500000000000007</v>
      </c>
      <c r="CM313" s="236" t="s">
        <v>340</v>
      </c>
      <c r="CR313" s="340">
        <v>17.04</v>
      </c>
      <c r="CS313" s="340" t="s">
        <v>347</v>
      </c>
      <c r="CT313" s="1384"/>
      <c r="CU313" s="341">
        <v>34655</v>
      </c>
      <c r="CV313" s="338" t="s">
        <v>341</v>
      </c>
      <c r="CZ313" s="1795">
        <v>122.12</v>
      </c>
      <c r="DA313" s="338" t="s">
        <v>316</v>
      </c>
      <c r="DF313" s="340">
        <v>704.03</v>
      </c>
      <c r="DG313" s="340" t="s">
        <v>289</v>
      </c>
      <c r="DK313" s="341" t="str">
        <f t="array" ref="DK313">IFERROR(IF($DK$11="Yes",INDEX($DF$13:$DF$2838,SMALL(IF((County=$DG$13:$DG$2838),MATCH(ROW($DG$13:$DG$2838),ROW($DG$13:$DG$2838)),""),ROWS($A$13:$A313))),""),"")</f>
        <v/>
      </c>
      <c r="DM313" s="1387">
        <v>33908</v>
      </c>
      <c r="DN313" s="338" t="s">
        <v>323</v>
      </c>
      <c r="DP313" s="236">
        <v>51.03</v>
      </c>
      <c r="DQ313" s="236" t="s">
        <v>331</v>
      </c>
      <c r="DV313" s="340">
        <v>19.04</v>
      </c>
      <c r="DW313" s="340" t="s">
        <v>340</v>
      </c>
      <c r="DX313" s="1671"/>
      <c r="EB313" s="618"/>
      <c r="EC313" s="618"/>
      <c r="ED313" s="618"/>
      <c r="EE313" s="618"/>
      <c r="EF313" s="618"/>
      <c r="EG313" s="618"/>
      <c r="EH313" s="618"/>
      <c r="EI313" s="618"/>
      <c r="EJ313" s="618"/>
      <c r="EK313" s="618"/>
      <c r="EL313" s="618"/>
      <c r="EM313" s="618"/>
    </row>
    <row r="314" spans="1:143">
      <c r="A314" s="339">
        <v>34638</v>
      </c>
      <c r="B314" s="338" t="s">
        <v>341</v>
      </c>
      <c r="E314" s="858"/>
      <c r="F314" s="338">
        <v>308.07</v>
      </c>
      <c r="G314" s="338" t="s">
        <v>322</v>
      </c>
      <c r="L314" s="2481">
        <v>801.04</v>
      </c>
      <c r="M314" s="340" t="s">
        <v>289</v>
      </c>
      <c r="N314" s="1390"/>
      <c r="O314" s="2479"/>
      <c r="P314" s="2282"/>
      <c r="T314" s="341" t="str">
        <f t="array" ref="T314">IFERROR(IF($T$11="Yes",INDEX($L$13:$L$2813,SMALL(IF((County=$M$13:$M$2813),MATCH(ROW($M$13:$M$2813),ROW($M$13:$M$2813)),""),ROWS($A$13:A314))),""),"")</f>
        <v/>
      </c>
      <c r="V314" s="2283" t="str">
        <f t="array" ref="V314">IFERROR(IF($T$11="Yes",INDEX($O$14:$O$2811,SMALL(IF((County=$P$14:$P$2811),MATCH(ROW($P$14:$P$2811),ROW($P$14:$P$2811)),""),ROWS($A$13:A314))),""),"")</f>
        <v/>
      </c>
      <c r="X314" s="339">
        <v>33837</v>
      </c>
      <c r="Y314" s="338" t="s">
        <v>344</v>
      </c>
      <c r="AA314" s="338">
        <v>59.44</v>
      </c>
      <c r="AB314" s="338" t="s">
        <v>340</v>
      </c>
      <c r="AG314" s="2297">
        <v>19.100000000000001</v>
      </c>
      <c r="AH314" s="2297" t="s">
        <v>323</v>
      </c>
      <c r="AI314" s="1390"/>
      <c r="AJ314" s="2282"/>
      <c r="AK314" s="2282"/>
      <c r="AL314" s="1037"/>
      <c r="AM314" s="339">
        <v>33813</v>
      </c>
      <c r="AN314" s="338" t="s">
        <v>344</v>
      </c>
      <c r="AQ314" s="858"/>
      <c r="AR314" s="338">
        <v>1.03</v>
      </c>
      <c r="AS314" s="338" t="s">
        <v>328</v>
      </c>
      <c r="AX314" s="340">
        <v>704.05</v>
      </c>
      <c r="AY314" s="340" t="s">
        <v>289</v>
      </c>
      <c r="BC314" s="341" t="str">
        <f t="array" ref="BC314">IFERROR(IF($BC$11="Yes",INDEX($AX$13:$AX$2950,SMALL(IF((County=$AY$13:$AY$2950),MATCH(ROW($AY$13:$AY$2950),ROW($AY$13:$AY$2950)),""),ROWS($A$13:$A314))),""),"")</f>
        <v/>
      </c>
      <c r="BE314" s="339">
        <v>34240</v>
      </c>
      <c r="BF314" s="338" t="s">
        <v>347</v>
      </c>
      <c r="BH314" s="338">
        <v>49.03</v>
      </c>
      <c r="BI314" s="338" t="s">
        <v>340</v>
      </c>
      <c r="BN314" s="340">
        <v>17.02</v>
      </c>
      <c r="BO314" s="340" t="s">
        <v>330</v>
      </c>
      <c r="BP314" s="1385"/>
      <c r="BQ314" s="341">
        <v>33705</v>
      </c>
      <c r="BR314" s="338" t="s">
        <v>342</v>
      </c>
      <c r="BU314" s="858"/>
      <c r="BV314" s="338">
        <v>202.05</v>
      </c>
      <c r="BW314" s="338" t="s">
        <v>289</v>
      </c>
      <c r="CB314" s="340">
        <v>704.01</v>
      </c>
      <c r="CC314" s="340" t="s">
        <v>289</v>
      </c>
      <c r="CE314" s="341" t="str">
        <f t="array" ref="CE314">IFERROR(IF($CE$11="Metro",INDEX($BV$13:$BV$4972,SMALL(IF((County=$BW$13:$BW$4972),MATCH(ROW($BW$13:$BW$4972),ROW($BW$13:$BW$4972)),""),ROWS($A$13:$A314))),INDEX($BY$13:$BY$212,SMALL(IF((County=$BZ$13:$BZ$212),MATCH(ROW($BZ$13:$BZ$212),ROW($BZ$13:$BZ$212)),""),ROWS($A$13:$A314)))),"")</f>
        <v/>
      </c>
      <c r="CG314" s="341" t="str">
        <f t="array" ref="CG314">IFERROR(IF($CG$11="Yes",INDEX($CB$13:$CB$2950,SMALL(IF((County=$CC$13:$CC$2950),MATCH(ROW($CC$13:$CC$2950),ROW($CC$13:$CC$2950)),""),ROWS($A$13:$A314))),""),"")</f>
        <v/>
      </c>
      <c r="CI314" s="1583">
        <v>33913</v>
      </c>
      <c r="CJ314" s="338" t="s">
        <v>323</v>
      </c>
      <c r="CL314" s="338">
        <v>8.06</v>
      </c>
      <c r="CM314" s="338" t="s">
        <v>276</v>
      </c>
      <c r="CR314" s="340">
        <v>17.05</v>
      </c>
      <c r="CS314" s="340" t="s">
        <v>323</v>
      </c>
      <c r="CT314" s="1384"/>
      <c r="CU314" s="341">
        <v>33701</v>
      </c>
      <c r="CV314" s="338" t="s">
        <v>342</v>
      </c>
      <c r="CZ314" s="1795">
        <v>124.01</v>
      </c>
      <c r="DA314" s="338" t="s">
        <v>316</v>
      </c>
      <c r="DF314" s="340">
        <v>704.04</v>
      </c>
      <c r="DG314" s="340" t="s">
        <v>289</v>
      </c>
      <c r="DK314" s="341" t="str">
        <f t="array" ref="DK314">IFERROR(IF($DK$11="Yes",INDEX($DF$13:$DF$2838,SMALL(IF((County=$DG$13:$DG$2838),MATCH(ROW($DG$13:$DG$2838),ROW($DG$13:$DG$2838)),""),ROWS($A$13:$A314))),""),"")</f>
        <v/>
      </c>
      <c r="DM314" s="1387">
        <v>33909</v>
      </c>
      <c r="DN314" s="338" t="s">
        <v>323</v>
      </c>
      <c r="DP314" s="236">
        <v>51.04</v>
      </c>
      <c r="DQ314" s="236" t="s">
        <v>331</v>
      </c>
      <c r="DV314" s="340">
        <v>19.04</v>
      </c>
      <c r="DW314" s="340" t="s">
        <v>347</v>
      </c>
      <c r="DX314" s="1671"/>
      <c r="EB314" s="618"/>
      <c r="EC314" s="618"/>
      <c r="ED314" s="618"/>
      <c r="EE314" s="618"/>
      <c r="EF314" s="618"/>
      <c r="EG314" s="618"/>
      <c r="EH314" s="618"/>
      <c r="EI314" s="618"/>
      <c r="EJ314" s="618"/>
      <c r="EK314" s="618"/>
      <c r="EL314" s="618"/>
      <c r="EM314" s="618"/>
    </row>
    <row r="315" spans="1:143">
      <c r="A315" s="339">
        <v>34639</v>
      </c>
      <c r="B315" s="338" t="s">
        <v>341</v>
      </c>
      <c r="E315" s="858"/>
      <c r="F315" s="338">
        <v>3.03</v>
      </c>
      <c r="G315" s="338" t="s">
        <v>323</v>
      </c>
      <c r="L315" s="2481">
        <v>802</v>
      </c>
      <c r="M315" s="340" t="s">
        <v>289</v>
      </c>
      <c r="N315" s="1390"/>
      <c r="O315" s="2479"/>
      <c r="P315" s="2282"/>
      <c r="T315" s="341" t="str">
        <f t="array" ref="T315">IFERROR(IF($T$11="Yes",INDEX($L$13:$L$2813,SMALL(IF((County=$M$13:$M$2813),MATCH(ROW($M$13:$M$2813),ROW($M$13:$M$2813)),""),ROWS($A$13:A315))),""),"")</f>
        <v/>
      </c>
      <c r="V315" s="2283" t="str">
        <f t="array" ref="V315">IFERROR(IF($T$11="Yes",INDEX($O$14:$O$2811,SMALL(IF((County=$P$14:$P$2811),MATCH(ROW($P$14:$P$2811),ROW($P$14:$P$2811)),""),ROWS($A$13:A315))),""),"")</f>
        <v/>
      </c>
      <c r="X315" s="339">
        <v>33872</v>
      </c>
      <c r="Y315" s="338" t="s">
        <v>315</v>
      </c>
      <c r="AA315" s="338">
        <v>63.03</v>
      </c>
      <c r="AB315" s="338" t="s">
        <v>331</v>
      </c>
      <c r="AG315" s="2297">
        <v>19.100000000000001</v>
      </c>
      <c r="AH315" s="2297" t="s">
        <v>328</v>
      </c>
      <c r="AI315" s="1390"/>
      <c r="AJ315" s="2282"/>
      <c r="AK315" s="2282"/>
      <c r="AL315" s="1037"/>
      <c r="AM315" s="339">
        <v>33827</v>
      </c>
      <c r="AN315" s="338" t="s">
        <v>344</v>
      </c>
      <c r="AQ315" s="858"/>
      <c r="AR315" s="338">
        <v>1.05</v>
      </c>
      <c r="AS315" s="338" t="s">
        <v>328</v>
      </c>
      <c r="AX315" s="340">
        <v>705.01</v>
      </c>
      <c r="AY315" s="340" t="s">
        <v>289</v>
      </c>
      <c r="BC315" s="341" t="str">
        <f t="array" ref="BC315">IFERROR(IF($BC$11="Yes",INDEX($AX$13:$AX$2950,SMALL(IF((County=$AY$13:$AY$2950),MATCH(ROW($AY$13:$AY$2950),ROW($AY$13:$AY$2950)),""),ROWS($A$13:$A315))),""),"")</f>
        <v/>
      </c>
      <c r="BE315" s="339">
        <v>34241</v>
      </c>
      <c r="BF315" s="338" t="s">
        <v>347</v>
      </c>
      <c r="BH315" s="338">
        <v>49.04</v>
      </c>
      <c r="BI315" s="338" t="s">
        <v>331</v>
      </c>
      <c r="BN315" s="340">
        <v>17.02</v>
      </c>
      <c r="BO315" s="340" t="s">
        <v>347</v>
      </c>
      <c r="BP315" s="1385"/>
      <c r="BQ315" s="341">
        <v>33706</v>
      </c>
      <c r="BR315" s="338" t="s">
        <v>342</v>
      </c>
      <c r="BU315" s="858"/>
      <c r="BV315" s="338">
        <v>202.06</v>
      </c>
      <c r="BW315" s="338" t="s">
        <v>289</v>
      </c>
      <c r="CB315" s="340">
        <v>704.02</v>
      </c>
      <c r="CC315" s="340" t="s">
        <v>289</v>
      </c>
      <c r="CE315" s="341" t="str">
        <f t="array" ref="CE315">IFERROR(IF($CE$11="Metro",INDEX($BV$13:$BV$4972,SMALL(IF((County=$BW$13:$BW$4972),MATCH(ROW($BW$13:$BW$4972),ROW($BW$13:$BW$4972)),""),ROWS($A$13:$A315))),INDEX($BY$13:$BY$212,SMALL(IF((County=$BZ$13:$BZ$212),MATCH(ROW($BZ$13:$BZ$212),ROW($BZ$13:$BZ$212)),""),ROWS($A$13:$A315)))),"")</f>
        <v/>
      </c>
      <c r="CG315" s="341" t="str">
        <f t="array" ref="CG315">IFERROR(IF($CG$11="Yes",INDEX($CB$13:$CB$2950,SMALL(IF((County=$CC$13:$CC$2950),MATCH(ROW($CC$13:$CC$2950),ROW($CC$13:$CC$2950)),""),ROWS($A$13:$A315))),""),"")</f>
        <v/>
      </c>
      <c r="CI315" s="1583">
        <v>33921</v>
      </c>
      <c r="CJ315" s="338" t="s">
        <v>323</v>
      </c>
      <c r="CL315" s="338">
        <v>8.06</v>
      </c>
      <c r="CM315" s="338" t="s">
        <v>285</v>
      </c>
      <c r="CR315" s="340">
        <v>17.05</v>
      </c>
      <c r="CS315" s="340" t="s">
        <v>328</v>
      </c>
      <c r="CT315" s="1384"/>
      <c r="CU315" s="341">
        <v>33702</v>
      </c>
      <c r="CV315" s="338" t="s">
        <v>342</v>
      </c>
      <c r="CZ315" s="1795">
        <v>124.03</v>
      </c>
      <c r="DA315" s="338" t="s">
        <v>316</v>
      </c>
      <c r="DF315" s="340">
        <v>704.05</v>
      </c>
      <c r="DG315" s="340" t="s">
        <v>289</v>
      </c>
      <c r="DK315" s="341" t="str">
        <f t="array" ref="DK315">IFERROR(IF($DK$11="Yes",INDEX($DF$13:$DF$2838,SMALL(IF((County=$DG$13:$DG$2838),MATCH(ROW($DG$13:$DG$2838),ROW($DG$13:$DG$2838)),""),ROWS($A$13:$A315))),""),"")</f>
        <v/>
      </c>
      <c r="DM315" s="1387">
        <v>33912</v>
      </c>
      <c r="DN315" s="338" t="s">
        <v>323</v>
      </c>
      <c r="DP315" s="236">
        <v>52.01</v>
      </c>
      <c r="DQ315" s="236" t="s">
        <v>331</v>
      </c>
      <c r="DV315" s="340">
        <v>19.05</v>
      </c>
      <c r="DW315" s="340" t="s">
        <v>347</v>
      </c>
      <c r="DX315" s="1671"/>
      <c r="EB315" s="618"/>
      <c r="EC315" s="618"/>
      <c r="ED315" s="618"/>
      <c r="EE315" s="618"/>
      <c r="EF315" s="618"/>
      <c r="EG315" s="618"/>
      <c r="EH315" s="618"/>
      <c r="EI315" s="618"/>
      <c r="EJ315" s="618"/>
      <c r="EK315" s="618"/>
      <c r="EL315" s="618"/>
      <c r="EM315" s="618"/>
    </row>
    <row r="316" spans="1:143">
      <c r="A316" s="339">
        <v>34654</v>
      </c>
      <c r="B316" s="338" t="s">
        <v>341</v>
      </c>
      <c r="E316" s="858"/>
      <c r="F316" s="338">
        <v>3.05</v>
      </c>
      <c r="G316" s="338" t="s">
        <v>323</v>
      </c>
      <c r="L316" s="2481">
        <v>902</v>
      </c>
      <c r="M316" s="340" t="s">
        <v>289</v>
      </c>
      <c r="N316" s="1390"/>
      <c r="O316" s="2479"/>
      <c r="P316" s="2282"/>
      <c r="T316" s="341" t="str">
        <f t="array" ref="T316">IFERROR(IF($T$11="Yes",INDEX($L$13:$L$2813,SMALL(IF((County=$M$13:$M$2813),MATCH(ROW($M$13:$M$2813),ROW($M$13:$M$2813)),""),ROWS($A$13:A316))),""),"")</f>
        <v/>
      </c>
      <c r="V316" s="2283" t="str">
        <f t="array" ref="V316">IFERROR(IF($T$11="Yes",INDEX($O$14:$O$2811,SMALL(IF((County=$P$14:$P$2811),MATCH(ROW($P$14:$P$2811),ROW($P$14:$P$2811)),""),ROWS($A$13:A316))),""),"")</f>
        <v/>
      </c>
      <c r="X316" s="339">
        <v>33896</v>
      </c>
      <c r="Y316" s="338" t="str">
        <f>IF(County="Polk","Polk","Osceola")</f>
        <v>Osceola</v>
      </c>
      <c r="AA316" s="338">
        <v>63.04</v>
      </c>
      <c r="AB316" s="338" t="s">
        <v>331</v>
      </c>
      <c r="AG316" s="2297">
        <v>19.11</v>
      </c>
      <c r="AH316" s="2297" t="s">
        <v>328</v>
      </c>
      <c r="AI316" s="1390"/>
      <c r="AJ316" s="2282"/>
      <c r="AK316" s="2282"/>
      <c r="AL316" s="1037"/>
      <c r="AM316" s="339">
        <v>33837</v>
      </c>
      <c r="AN316" s="338" t="s">
        <v>344</v>
      </c>
      <c r="AQ316" s="858"/>
      <c r="AR316" s="338">
        <v>1.06</v>
      </c>
      <c r="AS316" s="338" t="s">
        <v>328</v>
      </c>
      <c r="AX316" s="340">
        <v>705.03</v>
      </c>
      <c r="AY316" s="340" t="s">
        <v>289</v>
      </c>
      <c r="BC316" s="341" t="str">
        <f t="array" ref="BC316">IFERROR(IF($BC$11="Yes",INDEX($AX$13:$AX$2950,SMALL(IF((County=$AY$13:$AY$2950),MATCH(ROW($AY$13:$AY$2950),ROW($AY$13:$AY$2950)),""),ROWS($A$13:$A316))),""),"")</f>
        <v/>
      </c>
      <c r="BE316" s="339">
        <v>34242</v>
      </c>
      <c r="BF316" s="338" t="s">
        <v>347</v>
      </c>
      <c r="BH316" s="338">
        <v>50</v>
      </c>
      <c r="BI316" s="338" t="s">
        <v>316</v>
      </c>
      <c r="BN316" s="340">
        <v>17.03</v>
      </c>
      <c r="BO316" s="340" t="s">
        <v>330</v>
      </c>
      <c r="BP316" s="1385"/>
      <c r="BQ316" s="341">
        <v>33707</v>
      </c>
      <c r="BR316" s="338" t="s">
        <v>342</v>
      </c>
      <c r="BU316" s="858"/>
      <c r="BV316" s="338">
        <v>202.09</v>
      </c>
      <c r="BW316" s="338" t="s">
        <v>289</v>
      </c>
      <c r="CB316" s="340">
        <v>704.03</v>
      </c>
      <c r="CC316" s="340" t="s">
        <v>289</v>
      </c>
      <c r="CE316" s="341" t="str">
        <f t="array" ref="CE316">IFERROR(IF($CE$11="Metro",INDEX($BV$13:$BV$4972,SMALL(IF((County=$BW$13:$BW$4972),MATCH(ROW($BW$13:$BW$4972),ROW($BW$13:$BW$4972)),""),ROWS($A$13:$A316))),INDEX($BY$13:$BY$212,SMALL(IF((County=$BZ$13:$BZ$212),MATCH(ROW($BZ$13:$BZ$212),ROW($BZ$13:$BZ$212)),""),ROWS($A$13:$A316)))),"")</f>
        <v/>
      </c>
      <c r="CG316" s="341" t="str">
        <f t="array" ref="CG316">IFERROR(IF($CG$11="Yes",INDEX($CB$13:$CB$2950,SMALL(IF((County=$CC$13:$CC$2950),MATCH(ROW($CC$13:$CC$2950),ROW($CC$13:$CC$2950)),""),ROWS($A$13:$A316))),""),"")</f>
        <v/>
      </c>
      <c r="CI316" s="1583">
        <v>33924</v>
      </c>
      <c r="CJ316" s="338" t="s">
        <v>323</v>
      </c>
      <c r="CL316" s="236">
        <v>8.06</v>
      </c>
      <c r="CM316" s="236" t="s">
        <v>329</v>
      </c>
      <c r="CR316" s="340">
        <v>17.059999999999999</v>
      </c>
      <c r="CS316" s="340" t="s">
        <v>323</v>
      </c>
      <c r="CT316" s="1384"/>
      <c r="CU316" s="341">
        <v>33703</v>
      </c>
      <c r="CV316" s="338" t="s">
        <v>342</v>
      </c>
      <c r="CZ316" s="1795">
        <v>125.01</v>
      </c>
      <c r="DA316" s="338" t="s">
        <v>316</v>
      </c>
      <c r="DF316" s="340">
        <v>705.01</v>
      </c>
      <c r="DG316" s="340" t="s">
        <v>289</v>
      </c>
      <c r="DK316" s="341" t="str">
        <f t="array" ref="DK316">IFERROR(IF($DK$11="Yes",INDEX($DF$13:$DF$2838,SMALL(IF((County=$DG$13:$DG$2838),MATCH(ROW($DG$13:$DG$2838),ROW($DG$13:$DG$2838)),""),ROWS($A$13:$A316))),""),"")</f>
        <v/>
      </c>
      <c r="DM316" s="1387">
        <v>33913</v>
      </c>
      <c r="DN316" s="338" t="s">
        <v>323</v>
      </c>
      <c r="DP316" s="236">
        <v>52.02</v>
      </c>
      <c r="DQ316" s="236" t="s">
        <v>331</v>
      </c>
      <c r="DV316" s="340">
        <v>19.07</v>
      </c>
      <c r="DW316" s="340" t="s">
        <v>276</v>
      </c>
      <c r="DX316" s="1671"/>
      <c r="EB316" s="618"/>
      <c r="EC316" s="618"/>
      <c r="ED316" s="618"/>
      <c r="EE316" s="618"/>
      <c r="EF316" s="618"/>
      <c r="EG316" s="618"/>
      <c r="EH316" s="618"/>
      <c r="EI316" s="618"/>
      <c r="EJ316" s="618"/>
      <c r="EK316" s="618"/>
      <c r="EL316" s="618"/>
      <c r="EM316" s="618"/>
    </row>
    <row r="317" spans="1:143">
      <c r="A317" s="339">
        <v>34655</v>
      </c>
      <c r="B317" s="338" t="s">
        <v>341</v>
      </c>
      <c r="E317" s="858"/>
      <c r="F317" s="338">
        <v>3.06</v>
      </c>
      <c r="G317" s="338" t="s">
        <v>323</v>
      </c>
      <c r="L317" s="2481">
        <v>905.02</v>
      </c>
      <c r="M317" s="340" t="s">
        <v>289</v>
      </c>
      <c r="N317" s="1390"/>
      <c r="O317" s="2479"/>
      <c r="P317" s="2282"/>
      <c r="T317" s="341" t="str">
        <f t="array" ref="T317">IFERROR(IF($T$11="Yes",INDEX($L$13:$L$2813,SMALL(IF((County=$M$13:$M$2813),MATCH(ROW($M$13:$M$2813),ROW($M$13:$M$2813)),""),ROWS($A$13:A317))),""),"")</f>
        <v/>
      </c>
      <c r="V317" s="2283" t="str">
        <f t="array" ref="V317">IFERROR(IF($T$11="Yes",INDEX($O$14:$O$2811,SMALL(IF((County=$P$14:$P$2811),MATCH(ROW($P$14:$P$2811),ROW($P$14:$P$2811)),""),ROWS($A$13:A317))),""),"")</f>
        <v/>
      </c>
      <c r="X317" s="339">
        <v>33896</v>
      </c>
      <c r="Y317" s="338" t="str">
        <f>IF(County="Polk","Osceola","Polk")</f>
        <v>Polk</v>
      </c>
      <c r="AA317" s="338">
        <v>64.010000000000005</v>
      </c>
      <c r="AB317" s="338" t="s">
        <v>331</v>
      </c>
      <c r="AG317" s="2297">
        <v>19.13</v>
      </c>
      <c r="AH317" s="2297" t="s">
        <v>328</v>
      </c>
      <c r="AI317" s="1390"/>
      <c r="AJ317" s="2282"/>
      <c r="AK317" s="2282"/>
      <c r="AL317" s="1037"/>
      <c r="AM317" s="339">
        <v>33851</v>
      </c>
      <c r="AN317" s="338" t="s">
        <v>344</v>
      </c>
      <c r="AQ317" s="858"/>
      <c r="AR317" s="338">
        <v>2.0099999999999998</v>
      </c>
      <c r="AS317" s="338" t="s">
        <v>328</v>
      </c>
      <c r="AX317" s="340">
        <v>706.02</v>
      </c>
      <c r="AY317" s="340" t="s">
        <v>289</v>
      </c>
      <c r="BC317" s="341" t="str">
        <f t="array" ref="BC317">IFERROR(IF($BC$11="Yes",INDEX($AX$13:$AX$2950,SMALL(IF((County=$AY$13:$AY$2950),MATCH(ROW($AY$13:$AY$2950),ROW($AY$13:$AY$2950)),""),ROWS($A$13:$A317))),""),"")</f>
        <v/>
      </c>
      <c r="BE317" s="339">
        <v>34243</v>
      </c>
      <c r="BF317" s="338" t="s">
        <v>328</v>
      </c>
      <c r="BH317" s="338">
        <v>50.02</v>
      </c>
      <c r="BI317" s="338" t="s">
        <v>331</v>
      </c>
      <c r="BN317" s="340">
        <v>17.05</v>
      </c>
      <c r="BO317" s="340" t="s">
        <v>323</v>
      </c>
      <c r="BP317" s="1385"/>
      <c r="BQ317" s="341">
        <v>33708</v>
      </c>
      <c r="BR317" s="338" t="s">
        <v>342</v>
      </c>
      <c r="BU317" s="858"/>
      <c r="BV317" s="338">
        <v>202.1</v>
      </c>
      <c r="BW317" s="338" t="s">
        <v>289</v>
      </c>
      <c r="CB317" s="340">
        <v>704.04</v>
      </c>
      <c r="CC317" s="340" t="s">
        <v>289</v>
      </c>
      <c r="CE317" s="341" t="str">
        <f t="array" ref="CE317">IFERROR(IF($CE$11="Metro",INDEX($BV$13:$BV$4972,SMALL(IF((County=$BW$13:$BW$4972),MATCH(ROW($BW$13:$BW$4972),ROW($BW$13:$BW$4972)),""),ROWS($A$13:$A317))),INDEX($BY$13:$BY$212,SMALL(IF((County=$BZ$13:$BZ$212),MATCH(ROW($BZ$13:$BZ$212),ROW($BZ$13:$BZ$212)),""),ROWS($A$13:$A317)))),"")</f>
        <v/>
      </c>
      <c r="CG317" s="341" t="str">
        <f t="array" ref="CG317">IFERROR(IF($CG$11="Yes",INDEX($CB$13:$CB$2950,SMALL(IF((County=$CC$13:$CC$2950),MATCH(ROW($CC$13:$CC$2950),ROW($CC$13:$CC$2950)),""),ROWS($A$13:$A317))),""),"")</f>
        <v/>
      </c>
      <c r="CI317" s="1583">
        <v>33928</v>
      </c>
      <c r="CJ317" s="338" t="s">
        <v>323</v>
      </c>
      <c r="CL317" s="236">
        <v>8.06</v>
      </c>
      <c r="CM317" s="236" t="s">
        <v>331</v>
      </c>
      <c r="CR317" s="340">
        <v>17.09</v>
      </c>
      <c r="CS317" s="340" t="s">
        <v>323</v>
      </c>
      <c r="CT317" s="1384"/>
      <c r="CU317" s="341">
        <v>33705</v>
      </c>
      <c r="CV317" s="338" t="s">
        <v>342</v>
      </c>
      <c r="CZ317" s="1795">
        <v>126</v>
      </c>
      <c r="DA317" s="338" t="s">
        <v>316</v>
      </c>
      <c r="DF317" s="340">
        <v>705.03</v>
      </c>
      <c r="DG317" s="340" t="s">
        <v>289</v>
      </c>
      <c r="DK317" s="341" t="str">
        <f t="array" ref="DK317">IFERROR(IF($DK$11="Yes",INDEX($DF$13:$DF$2838,SMALL(IF((County=$DG$13:$DG$2838),MATCH(ROW($DG$13:$DG$2838),ROW($DG$13:$DG$2838)),""),ROWS($A$13:$A317))),""),"")</f>
        <v/>
      </c>
      <c r="DM317" s="1387">
        <v>33921</v>
      </c>
      <c r="DN317" s="338" t="s">
        <v>323</v>
      </c>
      <c r="DP317" s="236">
        <v>52.02</v>
      </c>
      <c r="DQ317" s="236" t="s">
        <v>340</v>
      </c>
      <c r="DV317" s="340">
        <v>19.07</v>
      </c>
      <c r="DW317" s="340" t="s">
        <v>328</v>
      </c>
      <c r="DX317" s="1671"/>
      <c r="EB317" s="618"/>
      <c r="EC317" s="618"/>
      <c r="ED317" s="618"/>
      <c r="EE317" s="618"/>
      <c r="EF317" s="618"/>
      <c r="EG317" s="618"/>
      <c r="EH317" s="618"/>
      <c r="EI317" s="618"/>
      <c r="EJ317" s="618"/>
      <c r="EK317" s="618"/>
      <c r="EL317" s="618"/>
      <c r="EM317" s="618"/>
    </row>
    <row r="318" spans="1:143">
      <c r="A318" s="339">
        <v>33701</v>
      </c>
      <c r="B318" s="338" t="s">
        <v>342</v>
      </c>
      <c r="E318" s="858"/>
      <c r="F318" s="338">
        <v>5.0199999999999996</v>
      </c>
      <c r="G318" s="338" t="s">
        <v>323</v>
      </c>
      <c r="L318" s="2481">
        <v>905.03</v>
      </c>
      <c r="M318" s="340" t="s">
        <v>289</v>
      </c>
      <c r="N318" s="1390"/>
      <c r="O318" s="2479"/>
      <c r="P318" s="2282"/>
      <c r="T318" s="341" t="str">
        <f t="array" ref="T318">IFERROR(IF($T$11="Yes",INDEX($L$13:$L$2813,SMALL(IF((County=$M$13:$M$2813),MATCH(ROW($M$13:$M$2813),ROW($M$13:$M$2813)),""),ROWS($A$13:A318))),""),"")</f>
        <v/>
      </c>
      <c r="V318" s="2283" t="str">
        <f t="array" ref="V318">IFERROR(IF($T$11="Yes",INDEX($O$14:$O$2811,SMALL(IF((County=$P$14:$P$2811),MATCH(ROW($P$14:$P$2811),ROW($P$14:$P$2811)),""),ROWS($A$13:A318))),""),"")</f>
        <v/>
      </c>
      <c r="X318" s="339">
        <v>33897</v>
      </c>
      <c r="Y318" s="338" t="str">
        <f>IF(County="Polk","Polk","Osceola")</f>
        <v>Osceola</v>
      </c>
      <c r="AA318" s="338">
        <v>66.03</v>
      </c>
      <c r="AB318" s="338" t="s">
        <v>331</v>
      </c>
      <c r="AG318" s="2297">
        <v>19.14</v>
      </c>
      <c r="AH318" s="2297" t="s">
        <v>328</v>
      </c>
      <c r="AI318" s="1390"/>
      <c r="AJ318" s="2282"/>
      <c r="AK318" s="2282"/>
      <c r="AL318" s="1037"/>
      <c r="AM318" s="339">
        <v>33884</v>
      </c>
      <c r="AN318" s="338" t="s">
        <v>344</v>
      </c>
      <c r="AQ318" s="858"/>
      <c r="AR318" s="338">
        <v>2.0299999999999998</v>
      </c>
      <c r="AS318" s="338" t="s">
        <v>328</v>
      </c>
      <c r="AX318" s="340">
        <v>801.03</v>
      </c>
      <c r="AY318" s="340" t="s">
        <v>289</v>
      </c>
      <c r="BC318" s="341" t="str">
        <f t="array" ref="BC318">IFERROR(IF($BC$11="Yes",INDEX($AX$13:$AX$2950,SMALL(IF((County=$AY$13:$AY$2950),MATCH(ROW($AY$13:$AY$2950),ROW($AY$13:$AY$2950)),""),ROWS($A$13:$A318))),""),"")</f>
        <v/>
      </c>
      <c r="BE318" s="339">
        <v>34251</v>
      </c>
      <c r="BF318" s="338" t="s">
        <v>328</v>
      </c>
      <c r="BH318" s="338">
        <v>51.01</v>
      </c>
      <c r="BI318" s="338" t="s">
        <v>340</v>
      </c>
      <c r="BN318" s="340">
        <v>17.05</v>
      </c>
      <c r="BO318" s="340" t="s">
        <v>328</v>
      </c>
      <c r="BP318" s="1385"/>
      <c r="BQ318" s="341">
        <v>33710</v>
      </c>
      <c r="BR318" s="338" t="s">
        <v>342</v>
      </c>
      <c r="BU318" s="858"/>
      <c r="BV318" s="338">
        <v>202.11</v>
      </c>
      <c r="BW318" s="338" t="s">
        <v>289</v>
      </c>
      <c r="CB318" s="340">
        <v>704.05</v>
      </c>
      <c r="CC318" s="340" t="s">
        <v>289</v>
      </c>
      <c r="CE318" s="341" t="str">
        <f t="array" ref="CE318">IFERROR(IF($CE$11="Metro",INDEX($BV$13:$BV$4972,SMALL(IF((County=$BW$13:$BW$4972),MATCH(ROW($BW$13:$BW$4972),ROW($BW$13:$BW$4972)),""),ROWS($A$13:$A318))),INDEX($BY$13:$BY$212,SMALL(IF((County=$BZ$13:$BZ$212),MATCH(ROW($BZ$13:$BZ$212),ROW($BZ$13:$BZ$212)),""),ROWS($A$13:$A318)))),"")</f>
        <v/>
      </c>
      <c r="CG318" s="341" t="str">
        <f t="array" ref="CG318">IFERROR(IF($CG$11="Yes",INDEX($CB$13:$CB$2950,SMALL(IF((County=$CC$13:$CC$2950),MATCH(ROW($CC$13:$CC$2950),ROW($CC$13:$CC$2950)),""),ROWS($A$13:$A318))),""),"")</f>
        <v/>
      </c>
      <c r="CI318" s="1583">
        <v>33946</v>
      </c>
      <c r="CJ318" s="338" t="s">
        <v>294</v>
      </c>
      <c r="CL318" s="236">
        <v>8.07</v>
      </c>
      <c r="CM318" s="236" t="s">
        <v>329</v>
      </c>
      <c r="CR318" s="340">
        <v>18.010000000000002</v>
      </c>
      <c r="CS318" s="340" t="s">
        <v>323</v>
      </c>
      <c r="CT318" s="1384"/>
      <c r="CU318" s="341">
        <v>33706</v>
      </c>
      <c r="CV318" s="338" t="s">
        <v>342</v>
      </c>
      <c r="CZ318" s="1795">
        <v>127.02</v>
      </c>
      <c r="DA318" s="338" t="s">
        <v>316</v>
      </c>
      <c r="DF318" s="340">
        <v>706.02</v>
      </c>
      <c r="DG318" s="340" t="s">
        <v>289</v>
      </c>
      <c r="DK318" s="341" t="str">
        <f t="array" ref="DK318">IFERROR(IF($DK$11="Yes",INDEX($DF$13:$DF$2838,SMALL(IF((County=$DG$13:$DG$2838),MATCH(ROW($DG$13:$DG$2838),ROW($DG$13:$DG$2838)),""),ROWS($A$13:$A318))),""),"")</f>
        <v/>
      </c>
      <c r="DM318" s="1387">
        <v>33928</v>
      </c>
      <c r="DN318" s="338" t="s">
        <v>323</v>
      </c>
      <c r="DP318" s="236">
        <v>52.03</v>
      </c>
      <c r="DQ318" s="236" t="s">
        <v>340</v>
      </c>
      <c r="DV318" s="340">
        <v>19.07</v>
      </c>
      <c r="DW318" s="340" t="s">
        <v>340</v>
      </c>
      <c r="DX318" s="1671"/>
      <c r="EB318" s="618"/>
      <c r="EC318" s="618"/>
      <c r="ED318" s="618"/>
      <c r="EE318" s="618"/>
      <c r="EF318" s="618"/>
      <c r="EG318" s="618"/>
      <c r="EH318" s="618"/>
      <c r="EI318" s="618"/>
      <c r="EJ318" s="618"/>
      <c r="EK318" s="618"/>
      <c r="EL318" s="618"/>
      <c r="EM318" s="618"/>
    </row>
    <row r="319" spans="1:143">
      <c r="A319" s="339">
        <v>33702</v>
      </c>
      <c r="B319" s="338" t="s">
        <v>342</v>
      </c>
      <c r="E319" s="858"/>
      <c r="F319" s="338">
        <v>5.04</v>
      </c>
      <c r="G319" s="338" t="s">
        <v>323</v>
      </c>
      <c r="L319" s="2481">
        <v>906.02</v>
      </c>
      <c r="M319" s="340" t="s">
        <v>289</v>
      </c>
      <c r="N319" s="1390"/>
      <c r="O319" s="2479"/>
      <c r="P319" s="2282"/>
      <c r="T319" s="341" t="str">
        <f t="array" ref="T319">IFERROR(IF($T$11="Yes",INDEX($L$13:$L$2813,SMALL(IF((County=$M$13:$M$2813),MATCH(ROW($M$13:$M$2813),ROW($M$13:$M$2813)),""),ROWS($A$13:A319))),""),"")</f>
        <v/>
      </c>
      <c r="V319" s="2283" t="str">
        <f t="array" ref="V319">IFERROR(IF($T$11="Yes",INDEX($O$14:$O$2811,SMALL(IF((County=$P$14:$P$2811),MATCH(ROW($P$14:$P$2811),ROW($P$14:$P$2811)),""),ROWS($A$13:A319))),""),"")</f>
        <v/>
      </c>
      <c r="X319" s="339">
        <v>33897</v>
      </c>
      <c r="Y319" s="338" t="str">
        <f>IF(County="Polk","Osceola","Polk")</f>
        <v>Polk</v>
      </c>
      <c r="AA319" s="338">
        <v>68.02</v>
      </c>
      <c r="AB319" s="338" t="s">
        <v>340</v>
      </c>
      <c r="AG319" s="2297">
        <v>19.149999999999999</v>
      </c>
      <c r="AH319" s="2297" t="s">
        <v>328</v>
      </c>
      <c r="AI319" s="1390"/>
      <c r="AJ319" s="2282"/>
      <c r="AK319" s="2282"/>
      <c r="AL319" s="1037"/>
      <c r="AM319" s="339">
        <v>33896</v>
      </c>
      <c r="AN319" s="338" t="s">
        <v>344</v>
      </c>
      <c r="AQ319" s="858"/>
      <c r="AR319" s="338">
        <v>2.04</v>
      </c>
      <c r="AS319" s="338" t="s">
        <v>328</v>
      </c>
      <c r="AX319" s="340">
        <v>801.04</v>
      </c>
      <c r="AY319" s="340" t="s">
        <v>289</v>
      </c>
      <c r="BC319" s="341" t="str">
        <f t="array" ref="BC319">IFERROR(IF($BC$11="Yes",INDEX($AX$13:$AX$2950,SMALL(IF((County=$AY$13:$AY$2950),MATCH(ROW($AY$13:$AY$2950),ROW($AY$13:$AY$2950)),""),ROWS($A$13:$A319))),""),"")</f>
        <v/>
      </c>
      <c r="BE319" s="339">
        <v>34286</v>
      </c>
      <c r="BF319" s="338" t="s">
        <v>347</v>
      </c>
      <c r="BH319" s="338">
        <v>51.02</v>
      </c>
      <c r="BI319" s="338" t="s">
        <v>331</v>
      </c>
      <c r="BN319" s="340">
        <v>17.059999999999999</v>
      </c>
      <c r="BO319" s="340" t="s">
        <v>323</v>
      </c>
      <c r="BP319" s="1385"/>
      <c r="BQ319" s="341">
        <v>33711</v>
      </c>
      <c r="BR319" s="338" t="s">
        <v>342</v>
      </c>
      <c r="BU319" s="858"/>
      <c r="BV319" s="338">
        <v>202.12</v>
      </c>
      <c r="BW319" s="338" t="s">
        <v>289</v>
      </c>
      <c r="CB319" s="340">
        <v>705.01</v>
      </c>
      <c r="CC319" s="340" t="s">
        <v>289</v>
      </c>
      <c r="CE319" s="341" t="str">
        <f t="array" ref="CE319">IFERROR(IF($CE$11="Metro",INDEX($BV$13:$BV$4972,SMALL(IF((County=$BW$13:$BW$4972),MATCH(ROW($BW$13:$BW$4972),ROW($BW$13:$BW$4972)),""),ROWS($A$13:$A319))),INDEX($BY$13:$BY$212,SMALL(IF((County=$BZ$13:$BZ$212),MATCH(ROW($BZ$13:$BZ$212),ROW($BZ$13:$BZ$212)),""),ROWS($A$13:$A319)))),"")</f>
        <v/>
      </c>
      <c r="CG319" s="341" t="str">
        <f t="array" ref="CG319">IFERROR(IF($CG$11="Yes",INDEX($CB$13:$CB$2950,SMALL(IF((County=$CC$13:$CC$2950),MATCH(ROW($CC$13:$CC$2950),ROW($CC$13:$CC$2950)),""),ROWS($A$13:$A319))),""),"")</f>
        <v/>
      </c>
      <c r="CI319" s="1583">
        <v>33947</v>
      </c>
      <c r="CJ319" s="338" t="s">
        <v>294</v>
      </c>
      <c r="CL319" s="236">
        <v>8.07</v>
      </c>
      <c r="CM319" s="236" t="s">
        <v>331</v>
      </c>
      <c r="CR319" s="340">
        <v>18.010000000000002</v>
      </c>
      <c r="CS319" s="340" t="s">
        <v>328</v>
      </c>
      <c r="CT319" s="1384"/>
      <c r="CU319" s="341">
        <v>33708</v>
      </c>
      <c r="CV319" s="338" t="s">
        <v>342</v>
      </c>
      <c r="CZ319" s="1795">
        <v>129</v>
      </c>
      <c r="DA319" s="338" t="s">
        <v>316</v>
      </c>
      <c r="DF319" s="340">
        <v>801.03</v>
      </c>
      <c r="DG319" s="340" t="s">
        <v>289</v>
      </c>
      <c r="DK319" s="341" t="str">
        <f t="array" ref="DK319">IFERROR(IF($DK$11="Yes",INDEX($DF$13:$DF$2838,SMALL(IF((County=$DG$13:$DG$2838),MATCH(ROW($DG$13:$DG$2838),ROW($DG$13:$DG$2838)),""),ROWS($A$13:$A319))),""),"")</f>
        <v/>
      </c>
      <c r="DM319" s="1387">
        <v>33947</v>
      </c>
      <c r="DN319" s="338" t="s">
        <v>294</v>
      </c>
      <c r="DP319" s="236">
        <v>53.02</v>
      </c>
      <c r="DQ319" s="236" t="s">
        <v>316</v>
      </c>
      <c r="DV319" s="340">
        <v>19.09</v>
      </c>
      <c r="DW319" s="340" t="s">
        <v>328</v>
      </c>
      <c r="DX319" s="1671"/>
      <c r="EB319" s="618"/>
      <c r="EC319" s="618"/>
      <c r="ED319" s="618"/>
      <c r="EE319" s="618"/>
      <c r="EF319" s="618"/>
      <c r="EG319" s="618"/>
      <c r="EH319" s="618"/>
      <c r="EI319" s="618"/>
      <c r="EJ319" s="618"/>
      <c r="EK319" s="618"/>
      <c r="EL319" s="618"/>
      <c r="EM319" s="618"/>
    </row>
    <row r="320" spans="1:143">
      <c r="A320" s="339">
        <v>33703</v>
      </c>
      <c r="B320" s="338" t="s">
        <v>342</v>
      </c>
      <c r="E320" s="858"/>
      <c r="F320" s="338">
        <v>6</v>
      </c>
      <c r="G320" s="338" t="s">
        <v>323</v>
      </c>
      <c r="L320" s="2481">
        <v>907</v>
      </c>
      <c r="M320" s="340" t="s">
        <v>289</v>
      </c>
      <c r="N320" s="1390"/>
      <c r="O320" s="2479"/>
      <c r="P320" s="2282"/>
      <c r="T320" s="341" t="str">
        <f t="array" ref="T320">IFERROR(IF($T$11="Yes",INDEX($L$13:$L$2813,SMALL(IF((County=$M$13:$M$2813),MATCH(ROW($M$13:$M$2813),ROW($M$13:$M$2813)),""),ROWS($A$13:A320))),""),"")</f>
        <v/>
      </c>
      <c r="V320" s="2283" t="str">
        <f t="array" ref="V320">IFERROR(IF($T$11="Yes",INDEX($O$14:$O$2811,SMALL(IF((County=$P$14:$P$2811),MATCH(ROW($P$14:$P$2811),ROW($P$14:$P$2811)),""),ROWS($A$13:A320))),""),"")</f>
        <v/>
      </c>
      <c r="X320" s="339">
        <v>33908</v>
      </c>
      <c r="Y320" s="338" t="s">
        <v>323</v>
      </c>
      <c r="AA320" s="338">
        <v>70.06</v>
      </c>
      <c r="AB320" s="338" t="s">
        <v>331</v>
      </c>
      <c r="AG320" s="2297">
        <v>19.16</v>
      </c>
      <c r="AH320" s="2297" t="s">
        <v>323</v>
      </c>
      <c r="AI320" s="1390"/>
      <c r="AJ320" s="2282"/>
      <c r="AK320" s="2282"/>
      <c r="AL320" s="1037"/>
      <c r="AM320" s="339">
        <v>33897</v>
      </c>
      <c r="AN320" s="338" t="s">
        <v>344</v>
      </c>
      <c r="AQ320" s="858"/>
      <c r="AR320" s="338">
        <v>3.05</v>
      </c>
      <c r="AS320" s="338" t="s">
        <v>328</v>
      </c>
      <c r="AX320" s="340">
        <v>804.06</v>
      </c>
      <c r="AY320" s="340" t="s">
        <v>289</v>
      </c>
      <c r="BC320" s="341" t="str">
        <f t="array" ref="BC320">IFERROR(IF($BC$11="Yes",INDEX($AX$13:$AX$2950,SMALL(IF((County=$AY$13:$AY$2950),MATCH(ROW($AY$13:$AY$2950),ROW($AY$13:$AY$2950)),""),ROWS($A$13:$A320))),""),"")</f>
        <v/>
      </c>
      <c r="BE320" s="339">
        <v>34288</v>
      </c>
      <c r="BF320" s="338" t="s">
        <v>347</v>
      </c>
      <c r="BH320" s="338">
        <v>51.02</v>
      </c>
      <c r="BI320" s="338" t="s">
        <v>340</v>
      </c>
      <c r="BN320" s="340">
        <v>17.09</v>
      </c>
      <c r="BO320" s="340" t="s">
        <v>323</v>
      </c>
      <c r="BP320" s="1385"/>
      <c r="BQ320" s="341">
        <v>33712</v>
      </c>
      <c r="BR320" s="338" t="s">
        <v>342</v>
      </c>
      <c r="BU320" s="858"/>
      <c r="BV320" s="338">
        <v>202.13</v>
      </c>
      <c r="BW320" s="338" t="s">
        <v>289</v>
      </c>
      <c r="CB320" s="340">
        <v>705.03</v>
      </c>
      <c r="CC320" s="340" t="s">
        <v>289</v>
      </c>
      <c r="CE320" s="341" t="str">
        <f t="array" ref="CE320">IFERROR(IF($CE$11="Metro",INDEX($BV$13:$BV$4972,SMALL(IF((County=$BW$13:$BW$4972),MATCH(ROW($BW$13:$BW$4972),ROW($BW$13:$BW$4972)),""),ROWS($A$13:$A320))),INDEX($BY$13:$BY$212,SMALL(IF((County=$BZ$13:$BZ$212),MATCH(ROW($BZ$13:$BZ$212),ROW($BZ$13:$BZ$212)),""),ROWS($A$13:$A320)))),"")</f>
        <v/>
      </c>
      <c r="CG320" s="341" t="str">
        <f t="array" ref="CG320">IFERROR(IF($CG$11="Yes",INDEX($CB$13:$CB$2950,SMALL(IF((County=$CC$13:$CC$2950),MATCH(ROW($CC$13:$CC$2950),ROW($CC$13:$CC$2950)),""),ROWS($A$13:$A320))),""),"")</f>
        <v/>
      </c>
      <c r="CI320" s="1583">
        <v>33953</v>
      </c>
      <c r="CJ320" s="338" t="s">
        <v>294</v>
      </c>
      <c r="CL320" s="338">
        <v>8.08</v>
      </c>
      <c r="CM320" s="338" t="s">
        <v>276</v>
      </c>
      <c r="CR320" s="340">
        <v>18.010000000000002</v>
      </c>
      <c r="CS320" s="340" t="s">
        <v>347</v>
      </c>
      <c r="CT320" s="1384"/>
      <c r="CU320" s="341">
        <v>33710</v>
      </c>
      <c r="CV320" s="338" t="s">
        <v>342</v>
      </c>
      <c r="CZ320" s="1795">
        <v>133.16999999999999</v>
      </c>
      <c r="DA320" s="338" t="s">
        <v>316</v>
      </c>
      <c r="DF320" s="340">
        <v>801.04</v>
      </c>
      <c r="DG320" s="340" t="s">
        <v>289</v>
      </c>
      <c r="DK320" s="341" t="str">
        <f t="array" ref="DK320">IFERROR(IF($DK$11="Yes",INDEX($DF$13:$DF$2838,SMALL(IF((County=$DG$13:$DG$2838),MATCH(ROW($DG$13:$DG$2838),ROW($DG$13:$DG$2838)),""),ROWS($A$13:$A320))),""),"")</f>
        <v/>
      </c>
      <c r="DM320" s="1387">
        <v>33953</v>
      </c>
      <c r="DN320" s="338" t="s">
        <v>294</v>
      </c>
      <c r="DP320" s="236">
        <v>53.03</v>
      </c>
      <c r="DQ320" s="236" t="s">
        <v>331</v>
      </c>
      <c r="DV320" s="340">
        <v>19.09</v>
      </c>
      <c r="DW320" s="340" t="s">
        <v>347</v>
      </c>
      <c r="DX320" s="1671"/>
      <c r="EB320" s="618"/>
      <c r="EC320" s="618"/>
      <c r="ED320" s="618"/>
      <c r="EE320" s="618"/>
      <c r="EF320" s="618"/>
      <c r="EG320" s="618"/>
      <c r="EH320" s="618"/>
      <c r="EI320" s="618"/>
      <c r="EJ320" s="618"/>
      <c r="EK320" s="618"/>
      <c r="EL320" s="618"/>
      <c r="EM320" s="618"/>
    </row>
    <row r="321" spans="1:143">
      <c r="A321" s="339">
        <v>33705</v>
      </c>
      <c r="B321" s="338" t="s">
        <v>342</v>
      </c>
      <c r="E321" s="858"/>
      <c r="F321" s="338">
        <v>7</v>
      </c>
      <c r="G321" s="338" t="s">
        <v>323</v>
      </c>
      <c r="L321" s="2481">
        <v>908.01</v>
      </c>
      <c r="M321" s="340" t="s">
        <v>289</v>
      </c>
      <c r="N321" s="1390"/>
      <c r="O321" s="2479"/>
      <c r="P321" s="2282"/>
      <c r="T321" s="341" t="str">
        <f t="array" ref="T321">IFERROR(IF($T$11="Yes",INDEX($L$13:$L$2813,SMALL(IF((County=$M$13:$M$2813),MATCH(ROW($M$13:$M$2813),ROW($M$13:$M$2813)),""),ROWS($A$13:A321))),""),"")</f>
        <v/>
      </c>
      <c r="V321" s="2283" t="str">
        <f t="array" ref="V321">IFERROR(IF($T$11="Yes",INDEX($O$14:$O$2811,SMALL(IF((County=$P$14:$P$2811),MATCH(ROW($P$14:$P$2811),ROW($P$14:$P$2811)),""),ROWS($A$13:A321))),""),"")</f>
        <v/>
      </c>
      <c r="X321" s="339">
        <v>33909</v>
      </c>
      <c r="Y321" s="338" t="s">
        <v>323</v>
      </c>
      <c r="AA321" s="338">
        <v>72.08</v>
      </c>
      <c r="AB321" s="338" t="s">
        <v>340</v>
      </c>
      <c r="AG321" s="2297">
        <v>19.16</v>
      </c>
      <c r="AH321" s="2297" t="s">
        <v>328</v>
      </c>
      <c r="AI321" s="1390"/>
      <c r="AJ321" s="2282"/>
      <c r="AK321" s="2282"/>
      <c r="AL321" s="1037"/>
      <c r="AM321" s="339">
        <v>34759</v>
      </c>
      <c r="AN321" s="338" t="s">
        <v>344</v>
      </c>
      <c r="AQ321" s="858"/>
      <c r="AR321" s="338">
        <v>3.07</v>
      </c>
      <c r="AS321" s="338" t="s">
        <v>328</v>
      </c>
      <c r="AX321" s="340">
        <v>901.02</v>
      </c>
      <c r="AY321" s="340" t="s">
        <v>289</v>
      </c>
      <c r="BC321" s="341" t="str">
        <f t="array" ref="BC321">IFERROR(IF($BC$11="Yes",INDEX($AX$13:$AX$2950,SMALL(IF((County=$AY$13:$AY$2950),MATCH(ROW($AY$13:$AY$2950),ROW($AY$13:$AY$2950)),""),ROWS($A$13:$A321))),""),"")</f>
        <v/>
      </c>
      <c r="BE321" s="339">
        <v>34291</v>
      </c>
      <c r="BF321" s="338" t="s">
        <v>347</v>
      </c>
      <c r="BH321" s="338">
        <v>51.03</v>
      </c>
      <c r="BI321" s="338" t="s">
        <v>331</v>
      </c>
      <c r="BN321" s="340">
        <v>17.100000000000001</v>
      </c>
      <c r="BO321" s="340" t="s">
        <v>323</v>
      </c>
      <c r="BP321" s="1385"/>
      <c r="BQ321" s="341">
        <v>33713</v>
      </c>
      <c r="BR321" s="338" t="s">
        <v>342</v>
      </c>
      <c r="BU321" s="858"/>
      <c r="BV321" s="338">
        <v>202.14</v>
      </c>
      <c r="BW321" s="338" t="s">
        <v>289</v>
      </c>
      <c r="CB321" s="340">
        <v>706.02</v>
      </c>
      <c r="CC321" s="340" t="s">
        <v>289</v>
      </c>
      <c r="CE321" s="341" t="str">
        <f t="array" ref="CE321">IFERROR(IF($CE$11="Metro",INDEX($BV$13:$BV$4972,SMALL(IF((County=$BW$13:$BW$4972),MATCH(ROW($BW$13:$BW$4972),ROW($BW$13:$BW$4972)),""),ROWS($A$13:$A321))),INDEX($BY$13:$BY$212,SMALL(IF((County=$BZ$13:$BZ$212),MATCH(ROW($BZ$13:$BZ$212),ROW($BZ$13:$BZ$212)),""),ROWS($A$13:$A321)))),"")</f>
        <v/>
      </c>
      <c r="CG321" s="341" t="str">
        <f t="array" ref="CG321">IFERROR(IF($CG$11="Yes",INDEX($CB$13:$CB$2950,SMALL(IF((County=$CC$13:$CC$2950),MATCH(ROW($CC$13:$CC$2950),ROW($CC$13:$CC$2950)),""),ROWS($A$13:$A321))),""),"")</f>
        <v/>
      </c>
      <c r="CI321" s="1583">
        <v>33954</v>
      </c>
      <c r="CJ321" s="338" t="s">
        <v>294</v>
      </c>
      <c r="CL321" s="236">
        <v>8.08</v>
      </c>
      <c r="CM321" s="236" t="s">
        <v>328</v>
      </c>
      <c r="CR321" s="340">
        <v>18.02</v>
      </c>
      <c r="CS321" s="340" t="s">
        <v>323</v>
      </c>
      <c r="CT321" s="1384"/>
      <c r="CU321" s="341">
        <v>33711</v>
      </c>
      <c r="CV321" s="338" t="s">
        <v>342</v>
      </c>
      <c r="CZ321" s="1795">
        <v>135.03</v>
      </c>
      <c r="DA321" s="338" t="s">
        <v>316</v>
      </c>
      <c r="DF321" s="340">
        <v>802</v>
      </c>
      <c r="DG321" s="340" t="s">
        <v>289</v>
      </c>
      <c r="DK321" s="341" t="str">
        <f t="array" ref="DK321">IFERROR(IF($DK$11="Yes",INDEX($DF$13:$DF$2838,SMALL(IF((County=$DG$13:$DG$2838),MATCH(ROW($DG$13:$DG$2838),ROW($DG$13:$DG$2838)),""),ROWS($A$13:$A321))),""),"")</f>
        <v/>
      </c>
      <c r="DM321" s="1387">
        <v>33954</v>
      </c>
      <c r="DN321" s="338" t="s">
        <v>294</v>
      </c>
      <c r="DP321" s="236">
        <v>53.04</v>
      </c>
      <c r="DQ321" s="236" t="s">
        <v>331</v>
      </c>
      <c r="DV321" s="340">
        <v>19.100000000000001</v>
      </c>
      <c r="DW321" s="340" t="s">
        <v>328</v>
      </c>
      <c r="DX321" s="1671"/>
      <c r="EB321" s="618"/>
      <c r="EC321" s="618"/>
      <c r="ED321" s="618"/>
      <c r="EE321" s="618"/>
      <c r="EF321" s="618"/>
      <c r="EG321" s="618"/>
      <c r="EH321" s="618"/>
      <c r="EI321" s="618"/>
      <c r="EJ321" s="618"/>
      <c r="EK321" s="618"/>
      <c r="EL321" s="618"/>
      <c r="EM321" s="618"/>
    </row>
    <row r="322" spans="1:143">
      <c r="A322" s="339">
        <v>33706</v>
      </c>
      <c r="B322" s="338" t="s">
        <v>342</v>
      </c>
      <c r="E322" s="858"/>
      <c r="F322" s="338">
        <v>10.02</v>
      </c>
      <c r="G322" s="338" t="s">
        <v>323</v>
      </c>
      <c r="L322" s="2481">
        <v>909</v>
      </c>
      <c r="M322" s="340" t="s">
        <v>289</v>
      </c>
      <c r="N322" s="1390"/>
      <c r="O322" s="2479"/>
      <c r="P322" s="2282"/>
      <c r="T322" s="341" t="str">
        <f t="array" ref="T322">IFERROR(IF($T$11="Yes",INDEX($L$13:$L$2813,SMALL(IF((County=$M$13:$M$2813),MATCH(ROW($M$13:$M$2813),ROW($M$13:$M$2813)),""),ROWS($A$13:A322))),""),"")</f>
        <v/>
      </c>
      <c r="V322" s="2283" t="str">
        <f t="array" ref="V322">IFERROR(IF($T$11="Yes",INDEX($O$14:$O$2811,SMALL(IF((County=$P$14:$P$2811),MATCH(ROW($P$14:$P$2811),ROW($P$14:$P$2811)),""),ROWS($A$13:A322))),""),"")</f>
        <v/>
      </c>
      <c r="X322" s="339">
        <v>33912</v>
      </c>
      <c r="Y322" s="338" t="s">
        <v>323</v>
      </c>
      <c r="AA322" s="338">
        <v>76.03</v>
      </c>
      <c r="AB322" s="338" t="s">
        <v>331</v>
      </c>
      <c r="AG322" s="2297">
        <v>19.18</v>
      </c>
      <c r="AH322" s="2297" t="s">
        <v>340</v>
      </c>
      <c r="AI322" s="1390"/>
      <c r="AJ322" s="2282"/>
      <c r="AK322" s="2282"/>
      <c r="AL322" s="1037"/>
      <c r="AM322" s="339">
        <v>32561</v>
      </c>
      <c r="AN322" s="338" t="s">
        <v>346</v>
      </c>
      <c r="AQ322" s="858"/>
      <c r="AR322" s="338">
        <v>3.09</v>
      </c>
      <c r="AS322" s="338" t="s">
        <v>328</v>
      </c>
      <c r="AX322" s="340">
        <v>901.03</v>
      </c>
      <c r="AY322" s="340" t="s">
        <v>289</v>
      </c>
      <c r="BC322" s="341" t="str">
        <f t="array" ref="BC322">IFERROR(IF($BC$11="Yes",INDEX($AX$13:$AX$2950,SMALL(IF((County=$AY$13:$AY$2950),MATCH(ROW($AY$13:$AY$2950),ROW($AY$13:$AY$2950)),""),ROWS($A$13:$A322))),""),"")</f>
        <v/>
      </c>
      <c r="BE322" s="339">
        <v>34292</v>
      </c>
      <c r="BF322" s="338" t="s">
        <v>347</v>
      </c>
      <c r="BH322" s="338">
        <v>51.04</v>
      </c>
      <c r="BI322" s="338" t="s">
        <v>331</v>
      </c>
      <c r="BN322" s="340">
        <v>18.010000000000002</v>
      </c>
      <c r="BO322" s="340" t="s">
        <v>323</v>
      </c>
      <c r="BP322" s="1385"/>
      <c r="BQ322" s="341">
        <v>33715</v>
      </c>
      <c r="BR322" s="338" t="s">
        <v>342</v>
      </c>
      <c r="BU322" s="858"/>
      <c r="BV322" s="338">
        <v>203.02</v>
      </c>
      <c r="BW322" s="338" t="s">
        <v>289</v>
      </c>
      <c r="CB322" s="340">
        <v>801.03</v>
      </c>
      <c r="CC322" s="340" t="s">
        <v>289</v>
      </c>
      <c r="CE322" s="341" t="str">
        <f t="array" ref="CE322">IFERROR(IF($CE$11="Metro",INDEX($BV$13:$BV$4972,SMALL(IF((County=$BW$13:$BW$4972),MATCH(ROW($BW$13:$BW$4972),ROW($BW$13:$BW$4972)),""),ROWS($A$13:$A322))),INDEX($BY$13:$BY$212,SMALL(IF((County=$BZ$13:$BZ$212),MATCH(ROW($BZ$13:$BZ$212),ROW($BZ$13:$BZ$212)),""),ROWS($A$13:$A322)))),"")</f>
        <v/>
      </c>
      <c r="CG322" s="341" t="str">
        <f t="array" ref="CG322">IFERROR(IF($CG$11="Yes",INDEX($CB$13:$CB$2950,SMALL(IF((County=$CC$13:$CC$2950),MATCH(ROW($CC$13:$CC$2950),ROW($CC$13:$CC$2950)),""),ROWS($A$13:$A322))),""),"")</f>
        <v/>
      </c>
      <c r="CI322" s="1583">
        <v>33955</v>
      </c>
      <c r="CJ322" s="338" t="s">
        <v>294</v>
      </c>
      <c r="CL322" s="236">
        <v>8.08</v>
      </c>
      <c r="CM322" s="236" t="s">
        <v>329</v>
      </c>
      <c r="CR322" s="340">
        <v>18.02</v>
      </c>
      <c r="CS322" s="340" t="s">
        <v>328</v>
      </c>
      <c r="CT322" s="1384"/>
      <c r="CU322" s="341">
        <v>33712</v>
      </c>
      <c r="CV322" s="338" t="s">
        <v>342</v>
      </c>
      <c r="CZ322" s="1795">
        <v>135.05000000000001</v>
      </c>
      <c r="DA322" s="338" t="s">
        <v>316</v>
      </c>
      <c r="DF322" s="340">
        <v>804.06</v>
      </c>
      <c r="DG322" s="340" t="s">
        <v>289</v>
      </c>
      <c r="DK322" s="341" t="str">
        <f t="array" ref="DK322">IFERROR(IF($DK$11="Yes",INDEX($DF$13:$DF$2838,SMALL(IF((County=$DG$13:$DG$2838),MATCH(ROW($DG$13:$DG$2838),ROW($DG$13:$DG$2838)),""),ROWS($A$13:$A322))),""),"")</f>
        <v/>
      </c>
      <c r="DM322" s="1387">
        <v>33955</v>
      </c>
      <c r="DN322" s="338" t="s">
        <v>294</v>
      </c>
      <c r="DP322" s="236">
        <v>54.05</v>
      </c>
      <c r="DQ322" s="236" t="s">
        <v>331</v>
      </c>
      <c r="DV322" s="340">
        <v>19.11</v>
      </c>
      <c r="DW322" s="340" t="s">
        <v>328</v>
      </c>
      <c r="DX322" s="1671"/>
      <c r="EB322" s="618"/>
      <c r="EC322" s="618"/>
      <c r="ED322" s="618"/>
      <c r="EE322" s="618"/>
      <c r="EF322" s="618"/>
      <c r="EG322" s="618"/>
      <c r="EH322" s="618"/>
      <c r="EI322" s="618"/>
      <c r="EJ322" s="618"/>
      <c r="EK322" s="618"/>
      <c r="EL322" s="618"/>
      <c r="EM322" s="618"/>
    </row>
    <row r="323" spans="1:143">
      <c r="A323" s="339">
        <v>33708</v>
      </c>
      <c r="B323" s="338" t="s">
        <v>342</v>
      </c>
      <c r="E323" s="858"/>
      <c r="F323" s="338">
        <v>11.01</v>
      </c>
      <c r="G323" s="338" t="s">
        <v>323</v>
      </c>
      <c r="L323" s="2481">
        <v>910</v>
      </c>
      <c r="M323" s="340" t="s">
        <v>289</v>
      </c>
      <c r="N323" s="1390"/>
      <c r="O323" s="2479"/>
      <c r="P323" s="2282"/>
      <c r="T323" s="341" t="str">
        <f t="array" ref="T323">IFERROR(IF($T$11="Yes",INDEX($L$13:$L$2813,SMALL(IF((County=$M$13:$M$2813),MATCH(ROW($M$13:$M$2813),ROW($M$13:$M$2813)),""),ROWS($A$13:A323))),""),"")</f>
        <v/>
      </c>
      <c r="V323" s="2283" t="str">
        <f t="array" ref="V323">IFERROR(IF($T$11="Yes",INDEX($O$14:$O$2811,SMALL(IF((County=$P$14:$P$2811),MATCH(ROW($P$14:$P$2811),ROW($P$14:$P$2811)),""),ROWS($A$13:A323))),""),"")</f>
        <v/>
      </c>
      <c r="X323" s="339">
        <v>33913</v>
      </c>
      <c r="Y323" s="338" t="s">
        <v>323</v>
      </c>
      <c r="AA323" s="338">
        <v>76.2</v>
      </c>
      <c r="AB323" s="338" t="s">
        <v>340</v>
      </c>
      <c r="AG323" s="2297">
        <v>19.190000000000001</v>
      </c>
      <c r="AH323" s="2297" t="s">
        <v>323</v>
      </c>
      <c r="AI323" s="1390"/>
      <c r="AJ323" s="2282"/>
      <c r="AK323" s="2282"/>
      <c r="AL323" s="1037"/>
      <c r="AM323" s="339">
        <v>32566</v>
      </c>
      <c r="AN323" s="338" t="s">
        <v>346</v>
      </c>
      <c r="AQ323" s="858"/>
      <c r="AR323" s="338">
        <v>3.1</v>
      </c>
      <c r="AS323" s="338" t="s">
        <v>328</v>
      </c>
      <c r="AX323" s="340">
        <v>901.04</v>
      </c>
      <c r="AY323" s="340" t="s">
        <v>289</v>
      </c>
      <c r="BC323" s="341" t="str">
        <f t="array" ref="BC323">IFERROR(IF($BC$11="Yes",INDEX($AX$13:$AX$2950,SMALL(IF((County=$AY$13:$AY$2950),MATCH(ROW($AY$13:$AY$2950),ROW($AY$13:$AY$2950)),""),ROWS($A$13:$A323))),""),"")</f>
        <v/>
      </c>
      <c r="BE323" s="339">
        <v>34293</v>
      </c>
      <c r="BF323" s="338" t="s">
        <v>347</v>
      </c>
      <c r="BH323" s="338">
        <v>52.01</v>
      </c>
      <c r="BI323" s="338" t="s">
        <v>331</v>
      </c>
      <c r="BN323" s="340">
        <v>18.010000000000002</v>
      </c>
      <c r="BO323" s="340" t="s">
        <v>328</v>
      </c>
      <c r="BP323" s="1385"/>
      <c r="BQ323" s="341">
        <v>33716</v>
      </c>
      <c r="BR323" s="338" t="s">
        <v>342</v>
      </c>
      <c r="BU323" s="858"/>
      <c r="BV323" s="338">
        <v>203.08</v>
      </c>
      <c r="BW323" s="338" t="s">
        <v>289</v>
      </c>
      <c r="CB323" s="340">
        <v>801.04</v>
      </c>
      <c r="CC323" s="340" t="s">
        <v>289</v>
      </c>
      <c r="CE323" s="341" t="str">
        <f t="array" ref="CE323">IFERROR(IF($CE$11="Metro",INDEX($BV$13:$BV$4972,SMALL(IF((County=$BW$13:$BW$4972),MATCH(ROW($BW$13:$BW$4972),ROW($BW$13:$BW$4972)),""),ROWS($A$13:$A323))),INDEX($BY$13:$BY$212,SMALL(IF((County=$BZ$13:$BZ$212),MATCH(ROW($BZ$13:$BZ$212),ROW($BZ$13:$BZ$212)),""),ROWS($A$13:$A323)))),"")</f>
        <v/>
      </c>
      <c r="CG323" s="341" t="str">
        <f t="array" ref="CG323">IFERROR(IF($CG$11="Yes",INDEX($CB$13:$CB$2950,SMALL(IF((County=$CC$13:$CC$2950),MATCH(ROW($CC$13:$CC$2950),ROW($CC$13:$CC$2950)),""),ROWS($A$13:$A323))),""),"")</f>
        <v/>
      </c>
      <c r="CI323" s="1583">
        <v>33957</v>
      </c>
      <c r="CJ323" s="338" t="s">
        <v>323</v>
      </c>
      <c r="CL323" s="236">
        <v>8.08</v>
      </c>
      <c r="CM323" s="236" t="s">
        <v>331</v>
      </c>
      <c r="CR323" s="340">
        <v>18.03</v>
      </c>
      <c r="CS323" s="340" t="s">
        <v>276</v>
      </c>
      <c r="CT323" s="1384"/>
      <c r="CU323" s="341">
        <v>33713</v>
      </c>
      <c r="CV323" s="338" t="s">
        <v>342</v>
      </c>
      <c r="CZ323" s="1795">
        <v>136.04</v>
      </c>
      <c r="DA323" s="338" t="s">
        <v>316</v>
      </c>
      <c r="DF323" s="340">
        <v>901.02</v>
      </c>
      <c r="DG323" s="340" t="s">
        <v>289</v>
      </c>
      <c r="DK323" s="341" t="str">
        <f t="array" ref="DK323">IFERROR(IF($DK$11="Yes",INDEX($DF$13:$DF$2838,SMALL(IF((County=$DG$13:$DG$2838),MATCH(ROW($DG$13:$DG$2838),ROW($DG$13:$DG$2838)),""),ROWS($A$13:$A323))),""),"")</f>
        <v/>
      </c>
      <c r="DM323" s="1387">
        <v>33956</v>
      </c>
      <c r="DN323" s="338" t="s">
        <v>323</v>
      </c>
      <c r="DP323" s="236">
        <v>54.07</v>
      </c>
      <c r="DQ323" s="236" t="s">
        <v>331</v>
      </c>
      <c r="DV323" s="340">
        <v>19.13</v>
      </c>
      <c r="DW323" s="340" t="s">
        <v>323</v>
      </c>
      <c r="DX323" s="1671"/>
      <c r="EB323" s="618"/>
      <c r="EC323" s="618"/>
      <c r="ED323" s="618"/>
      <c r="EE323" s="618"/>
      <c r="EF323" s="618"/>
      <c r="EG323" s="618"/>
      <c r="EH323" s="618"/>
      <c r="EI323" s="618"/>
      <c r="EJ323" s="618"/>
      <c r="EK323" s="618"/>
      <c r="EL323" s="618"/>
      <c r="EM323" s="618"/>
    </row>
    <row r="324" spans="1:143">
      <c r="A324" s="339">
        <v>33710</v>
      </c>
      <c r="B324" s="338" t="s">
        <v>342</v>
      </c>
      <c r="E324" s="858"/>
      <c r="F324" s="338">
        <v>11.03</v>
      </c>
      <c r="G324" s="338" t="s">
        <v>323</v>
      </c>
      <c r="L324" s="2481">
        <v>917.01</v>
      </c>
      <c r="M324" s="340" t="s">
        <v>289</v>
      </c>
      <c r="N324" s="1390"/>
      <c r="O324" s="2479"/>
      <c r="P324" s="2282"/>
      <c r="T324" s="341" t="str">
        <f t="array" ref="T324">IFERROR(IF($T$11="Yes",INDEX($L$13:$L$2813,SMALL(IF((County=$M$13:$M$2813),MATCH(ROW($M$13:$M$2813),ROW($M$13:$M$2813)),""),ROWS($A$13:A324))),""),"")</f>
        <v/>
      </c>
      <c r="V324" s="2283" t="str">
        <f t="array" ref="V324">IFERROR(IF($T$11="Yes",INDEX($O$14:$O$2811,SMALL(IF((County=$P$14:$P$2811),MATCH(ROW($P$14:$P$2811),ROW($P$14:$P$2811)),""),ROWS($A$13:A324))),""),"")</f>
        <v/>
      </c>
      <c r="X324" s="339">
        <v>33914</v>
      </c>
      <c r="Y324" s="338" t="s">
        <v>323</v>
      </c>
      <c r="AA324" s="338">
        <v>77.69</v>
      </c>
      <c r="AB324" s="338" t="s">
        <v>340</v>
      </c>
      <c r="AG324" s="2297">
        <v>19.190000000000001</v>
      </c>
      <c r="AH324" s="2297" t="s">
        <v>340</v>
      </c>
      <c r="AI324" s="1390"/>
      <c r="AJ324" s="2282"/>
      <c r="AK324" s="2282"/>
      <c r="AL324" s="1037"/>
      <c r="AM324" s="339">
        <v>34232</v>
      </c>
      <c r="AN324" s="338" t="s">
        <v>347</v>
      </c>
      <c r="AQ324" s="858"/>
      <c r="AR324" s="338">
        <v>3.11</v>
      </c>
      <c r="AS324" s="338" t="s">
        <v>328</v>
      </c>
      <c r="AX324" s="340">
        <v>902</v>
      </c>
      <c r="AY324" s="340" t="s">
        <v>289</v>
      </c>
      <c r="BC324" s="341" t="str">
        <f t="array" ref="BC324">IFERROR(IF($BC$11="Yes",INDEX($AX$13:$AX$2950,SMALL(IF((County=$AY$13:$AY$2950),MATCH(ROW($AY$13:$AY$2950),ROW($AY$13:$AY$2950)),""),ROWS($A$13:$A324))),""),"")</f>
        <v/>
      </c>
      <c r="BE324" s="339">
        <v>34429</v>
      </c>
      <c r="BF324" s="338" t="s">
        <v>295</v>
      </c>
      <c r="BH324" s="338">
        <v>52.02</v>
      </c>
      <c r="BI324" s="338" t="s">
        <v>331</v>
      </c>
      <c r="BN324" s="340">
        <v>18.010000000000002</v>
      </c>
      <c r="BO324" s="340" t="s">
        <v>347</v>
      </c>
      <c r="BP324" s="1385"/>
      <c r="BQ324" s="341">
        <v>33744</v>
      </c>
      <c r="BR324" s="338" t="s">
        <v>342</v>
      </c>
      <c r="BU324" s="858"/>
      <c r="BV324" s="338">
        <v>203.09</v>
      </c>
      <c r="BW324" s="338" t="s">
        <v>289</v>
      </c>
      <c r="CB324" s="340">
        <v>802</v>
      </c>
      <c r="CC324" s="340" t="s">
        <v>289</v>
      </c>
      <c r="CE324" s="341" t="str">
        <f t="array" ref="CE324">IFERROR(IF($CE$11="Metro",INDEX($BV$13:$BV$4972,SMALL(IF((County=$BW$13:$BW$4972),MATCH(ROW($BW$13:$BW$4972),ROW($BW$13:$BW$4972)),""),ROWS($A$13:$A324))),INDEX($BY$13:$BY$212,SMALL(IF((County=$BZ$13:$BZ$212),MATCH(ROW($BZ$13:$BZ$212),ROW($BZ$13:$BZ$212)),""),ROWS($A$13:$A324)))),"")</f>
        <v/>
      </c>
      <c r="CG324" s="341" t="str">
        <f t="array" ref="CG324">IFERROR(IF($CG$11="Yes",INDEX($CB$13:$CB$2950,SMALL(IF((County=$CC$13:$CC$2950),MATCH(ROW($CC$13:$CC$2950),ROW($CC$13:$CC$2950)),""),ROWS($A$13:$A324))),""),"")</f>
        <v/>
      </c>
      <c r="CI324" s="1583">
        <v>33967</v>
      </c>
      <c r="CJ324" s="338" t="s">
        <v>323</v>
      </c>
      <c r="CL324" s="338">
        <v>8.09</v>
      </c>
      <c r="CM324" s="338" t="s">
        <v>276</v>
      </c>
      <c r="CR324" s="340">
        <v>18.03</v>
      </c>
      <c r="CS324" s="340" t="s">
        <v>324</v>
      </c>
      <c r="CT324" s="1384"/>
      <c r="CU324" s="341">
        <v>33715</v>
      </c>
      <c r="CV324" s="338" t="s">
        <v>342</v>
      </c>
      <c r="CZ324" s="1795">
        <v>138.01</v>
      </c>
      <c r="DA324" s="338" t="s">
        <v>316</v>
      </c>
      <c r="DF324" s="340">
        <v>901.03</v>
      </c>
      <c r="DG324" s="340" t="s">
        <v>289</v>
      </c>
      <c r="DK324" s="341" t="str">
        <f t="array" ref="DK324">IFERROR(IF($DK$11="Yes",INDEX($DF$13:$DF$2838,SMALL(IF((County=$DG$13:$DG$2838),MATCH(ROW($DG$13:$DG$2838),ROW($DG$13:$DG$2838)),""),ROWS($A$13:$A324))),""),"")</f>
        <v/>
      </c>
      <c r="DM324" s="1387">
        <v>33965</v>
      </c>
      <c r="DN324" s="338" t="s">
        <v>323</v>
      </c>
      <c r="DP324" s="236">
        <v>54.09</v>
      </c>
      <c r="DQ324" s="236" t="s">
        <v>331</v>
      </c>
      <c r="DV324" s="340">
        <v>19.13</v>
      </c>
      <c r="DW324" s="340" t="s">
        <v>328</v>
      </c>
      <c r="DX324" s="1671"/>
      <c r="EB324" s="618"/>
      <c r="EC324" s="618"/>
      <c r="ED324" s="618"/>
      <c r="EE324" s="618"/>
      <c r="EF324" s="618"/>
      <c r="EG324" s="618"/>
      <c r="EH324" s="618"/>
      <c r="EI324" s="618"/>
      <c r="EJ324" s="618"/>
      <c r="EK324" s="618"/>
      <c r="EL324" s="618"/>
      <c r="EM324" s="618"/>
    </row>
    <row r="325" spans="1:143">
      <c r="A325" s="339">
        <v>33711</v>
      </c>
      <c r="B325" s="338" t="s">
        <v>342</v>
      </c>
      <c r="E325" s="858"/>
      <c r="F325" s="338">
        <v>11.04</v>
      </c>
      <c r="G325" s="338" t="s">
        <v>323</v>
      </c>
      <c r="L325" s="2481">
        <v>917.02</v>
      </c>
      <c r="M325" s="340" t="s">
        <v>289</v>
      </c>
      <c r="N325" s="1390"/>
      <c r="O325" s="2479"/>
      <c r="P325" s="2282"/>
      <c r="T325" s="341" t="str">
        <f t="array" ref="T325">IFERROR(IF($T$11="Yes",INDEX($L$13:$L$2813,SMALL(IF((County=$M$13:$M$2813),MATCH(ROW($M$13:$M$2813),ROW($M$13:$M$2813)),""),ROWS($A$13:A325))),""),"")</f>
        <v/>
      </c>
      <c r="V325" s="2283" t="str">
        <f t="array" ref="V325">IFERROR(IF($T$11="Yes",INDEX($O$14:$O$2811,SMALL(IF((County=$P$14:$P$2811),MATCH(ROW($P$14:$P$2811),ROW($P$14:$P$2811)),""),ROWS($A$13:A325))),""),"")</f>
        <v/>
      </c>
      <c r="X325" s="339">
        <v>33921</v>
      </c>
      <c r="Y325" s="338" t="s">
        <v>294</v>
      </c>
      <c r="AA325" s="338">
        <v>78.319999999999993</v>
      </c>
      <c r="AB325" s="338" t="s">
        <v>340</v>
      </c>
      <c r="AG325" s="2297">
        <v>19.2</v>
      </c>
      <c r="AH325" s="2297" t="s">
        <v>323</v>
      </c>
      <c r="AI325" s="1390"/>
      <c r="AJ325" s="2282"/>
      <c r="AK325" s="2282"/>
      <c r="AL325" s="1037"/>
      <c r="AM325" s="339">
        <v>34233</v>
      </c>
      <c r="AN325" s="338" t="s">
        <v>347</v>
      </c>
      <c r="AQ325" s="858"/>
      <c r="AR325" s="338">
        <v>3.13</v>
      </c>
      <c r="AS325" s="338" t="s">
        <v>328</v>
      </c>
      <c r="AX325" s="340">
        <v>903.03</v>
      </c>
      <c r="AY325" s="340" t="s">
        <v>289</v>
      </c>
      <c r="BC325" s="341" t="str">
        <f t="array" ref="BC325">IFERROR(IF($BC$11="Yes",INDEX($AX$13:$AX$2950,SMALL(IF((County=$AY$13:$AY$2950),MATCH(ROW($AY$13:$AY$2950),ROW($AY$13:$AY$2950)),""),ROWS($A$13:$A325))),""),"")</f>
        <v/>
      </c>
      <c r="BE325" s="339">
        <v>34434</v>
      </c>
      <c r="BF325" s="338" t="s">
        <v>295</v>
      </c>
      <c r="BH325" s="338">
        <v>52.02</v>
      </c>
      <c r="BI325" s="338" t="s">
        <v>340</v>
      </c>
      <c r="BN325" s="340">
        <v>18.02</v>
      </c>
      <c r="BO325" s="340" t="s">
        <v>323</v>
      </c>
      <c r="BP325" s="1385"/>
      <c r="BQ325" s="341">
        <v>33756</v>
      </c>
      <c r="BR325" s="338" t="s">
        <v>342</v>
      </c>
      <c r="BU325" s="858"/>
      <c r="BV325" s="338">
        <v>203.11</v>
      </c>
      <c r="BW325" s="338" t="s">
        <v>289</v>
      </c>
      <c r="CB325" s="340">
        <v>804.05</v>
      </c>
      <c r="CC325" s="340" t="s">
        <v>289</v>
      </c>
      <c r="CE325" s="341" t="str">
        <f t="array" ref="CE325">IFERROR(IF($CE$11="Metro",INDEX($BV$13:$BV$4972,SMALL(IF((County=$BW$13:$BW$4972),MATCH(ROW($BW$13:$BW$4972),ROW($BW$13:$BW$4972)),""),ROWS($A$13:$A325))),INDEX($BY$13:$BY$212,SMALL(IF((County=$BZ$13:$BZ$212),MATCH(ROW($BZ$13:$BZ$212),ROW($BZ$13:$BZ$212)),""),ROWS($A$13:$A325)))),"")</f>
        <v/>
      </c>
      <c r="CG325" s="341" t="str">
        <f t="array" ref="CG325">IFERROR(IF($CG$11="Yes",INDEX($CB$13:$CB$2950,SMALL(IF((County=$CC$13:$CC$2950),MATCH(ROW($CC$13:$CC$2950),ROW($CC$13:$CC$2950)),""),ROWS($A$13:$A325))),""),"")</f>
        <v/>
      </c>
      <c r="CI325" s="1583">
        <v>33981</v>
      </c>
      <c r="CJ325" s="338" t="s">
        <v>294</v>
      </c>
      <c r="CL325" s="236">
        <v>8.09</v>
      </c>
      <c r="CM325" s="236" t="s">
        <v>328</v>
      </c>
      <c r="CR325" s="340">
        <v>18.05</v>
      </c>
      <c r="CS325" s="340" t="s">
        <v>347</v>
      </c>
      <c r="CT325" s="1384"/>
      <c r="CU325" s="341">
        <v>33716</v>
      </c>
      <c r="CV325" s="338" t="s">
        <v>342</v>
      </c>
      <c r="CZ325" s="1795">
        <v>138.02000000000001</v>
      </c>
      <c r="DA325" s="338" t="s">
        <v>316</v>
      </c>
      <c r="DF325" s="340">
        <v>901.04</v>
      </c>
      <c r="DG325" s="340" t="s">
        <v>289</v>
      </c>
      <c r="DK325" s="341" t="str">
        <f t="array" ref="DK325">IFERROR(IF($DK$11="Yes",INDEX($DF$13:$DF$2838,SMALL(IF((County=$DG$13:$DG$2838),MATCH(ROW($DG$13:$DG$2838),ROW($DG$13:$DG$2838)),""),ROWS($A$13:$A325))),""),"")</f>
        <v/>
      </c>
      <c r="DM325" s="1387">
        <v>33967</v>
      </c>
      <c r="DN325" s="338" t="s">
        <v>323</v>
      </c>
      <c r="DP325" s="236">
        <v>54.1</v>
      </c>
      <c r="DQ325" s="236" t="s">
        <v>331</v>
      </c>
      <c r="DV325" s="340">
        <v>19.14</v>
      </c>
      <c r="DW325" s="340" t="s">
        <v>328</v>
      </c>
      <c r="DX325" s="1671"/>
      <c r="EB325" s="618"/>
      <c r="EC325" s="618"/>
      <c r="ED325" s="618"/>
      <c r="EE325" s="618"/>
      <c r="EF325" s="618"/>
      <c r="EG325" s="618"/>
      <c r="EH325" s="618"/>
      <c r="EI325" s="618"/>
      <c r="EJ325" s="618"/>
      <c r="EK325" s="618"/>
      <c r="EL325" s="618"/>
      <c r="EM325" s="618"/>
    </row>
    <row r="326" spans="1:143">
      <c r="A326" s="339">
        <v>33712</v>
      </c>
      <c r="B326" s="338" t="s">
        <v>342</v>
      </c>
      <c r="E326" s="858"/>
      <c r="F326" s="338">
        <v>12.03</v>
      </c>
      <c r="G326" s="338" t="s">
        <v>323</v>
      </c>
      <c r="L326" s="2481">
        <v>919.01</v>
      </c>
      <c r="M326" s="340" t="s">
        <v>289</v>
      </c>
      <c r="N326" s="1390"/>
      <c r="O326" s="2479"/>
      <c r="P326" s="2282"/>
      <c r="T326" s="341" t="str">
        <f t="array" ref="T326">IFERROR(IF($T$11="Yes",INDEX($L$13:$L$2813,SMALL(IF((County=$M$13:$M$2813),MATCH(ROW($M$13:$M$2813),ROW($M$13:$M$2813)),""),ROWS($A$13:A326))),""),"")</f>
        <v/>
      </c>
      <c r="V326" s="2283" t="str">
        <f t="array" ref="V326">IFERROR(IF($T$11="Yes",INDEX($O$14:$O$2811,SMALL(IF((County=$P$14:$P$2811),MATCH(ROW($P$14:$P$2811),ROW($P$14:$P$2811)),""),ROWS($A$13:A326))),""),"")</f>
        <v/>
      </c>
      <c r="X326" s="339">
        <v>33924</v>
      </c>
      <c r="Y326" s="338" t="s">
        <v>323</v>
      </c>
      <c r="AA326" s="338">
        <v>78.33</v>
      </c>
      <c r="AB326" s="338" t="s">
        <v>340</v>
      </c>
      <c r="AG326" s="2297">
        <v>19.21</v>
      </c>
      <c r="AH326" s="2297" t="s">
        <v>323</v>
      </c>
      <c r="AI326" s="1390"/>
      <c r="AJ326" s="2282"/>
      <c r="AK326" s="2282"/>
      <c r="AL326" s="1037"/>
      <c r="AM326" s="339">
        <v>34235</v>
      </c>
      <c r="AN326" s="338" t="s">
        <v>347</v>
      </c>
      <c r="AQ326" s="858"/>
      <c r="AR326" s="338">
        <v>3.14</v>
      </c>
      <c r="AS326" s="338" t="s">
        <v>328</v>
      </c>
      <c r="AX326" s="340">
        <v>903.04</v>
      </c>
      <c r="AY326" s="340" t="s">
        <v>289</v>
      </c>
      <c r="BC326" s="341" t="str">
        <f t="array" ref="BC326">IFERROR(IF($BC$11="Yes",INDEX($AX$13:$AX$2950,SMALL(IF((County=$AY$13:$AY$2950),MATCH(ROW($AY$13:$AY$2950),ROW($AY$13:$AY$2950)),""),ROWS($A$13:$A326))),""),"")</f>
        <v/>
      </c>
      <c r="BE326" s="339">
        <v>34446</v>
      </c>
      <c r="BF326" s="338" t="s">
        <v>295</v>
      </c>
      <c r="BH326" s="338">
        <v>53.02</v>
      </c>
      <c r="BI326" s="338" t="s">
        <v>316</v>
      </c>
      <c r="BN326" s="340">
        <v>18.02</v>
      </c>
      <c r="BO326" s="340" t="s">
        <v>328</v>
      </c>
      <c r="BP326" s="1385"/>
      <c r="BQ326" s="341">
        <v>33759</v>
      </c>
      <c r="BR326" s="338" t="s">
        <v>342</v>
      </c>
      <c r="BU326" s="858"/>
      <c r="BV326" s="338">
        <v>203.12</v>
      </c>
      <c r="BW326" s="338" t="s">
        <v>289</v>
      </c>
      <c r="CB326" s="340">
        <v>804.06</v>
      </c>
      <c r="CC326" s="340" t="s">
        <v>289</v>
      </c>
      <c r="CE326" s="341" t="str">
        <f t="array" ref="CE326">IFERROR(IF($CE$11="Metro",INDEX($BV$13:$BV$4972,SMALL(IF((County=$BW$13:$BW$4972),MATCH(ROW($BW$13:$BW$4972),ROW($BW$13:$BW$4972)),""),ROWS($A$13:$A326))),INDEX($BY$13:$BY$212,SMALL(IF((County=$BZ$13:$BZ$212),MATCH(ROW($BZ$13:$BZ$212),ROW($BZ$13:$BZ$212)),""),ROWS($A$13:$A326)))),"")</f>
        <v/>
      </c>
      <c r="CG326" s="341" t="str">
        <f t="array" ref="CG326">IFERROR(IF($CG$11="Yes",INDEX($CB$13:$CB$2950,SMALL(IF((County=$CC$13:$CC$2950),MATCH(ROW($CC$13:$CC$2950),ROW($CC$13:$CC$2950)),""),ROWS($A$13:$A326))),""),"")</f>
        <v/>
      </c>
      <c r="CI326" s="1583">
        <v>33991</v>
      </c>
      <c r="CJ326" s="338" t="s">
        <v>323</v>
      </c>
      <c r="CL326" s="236">
        <v>8.09</v>
      </c>
      <c r="CM326" s="236" t="s">
        <v>329</v>
      </c>
      <c r="CR326" s="340">
        <v>18.11</v>
      </c>
      <c r="CS326" s="340" t="s">
        <v>276</v>
      </c>
      <c r="CT326" s="1384"/>
      <c r="CU326" s="341">
        <v>33759</v>
      </c>
      <c r="CV326" s="338" t="s">
        <v>342</v>
      </c>
      <c r="CZ326" s="1795">
        <v>138.03</v>
      </c>
      <c r="DA326" s="338" t="s">
        <v>316</v>
      </c>
      <c r="DF326" s="340">
        <v>902</v>
      </c>
      <c r="DG326" s="340" t="s">
        <v>289</v>
      </c>
      <c r="DK326" s="341" t="str">
        <f t="array" ref="DK326">IFERROR(IF($DK$11="Yes",INDEX($DF$13:$DF$2838,SMALL(IF((County=$DG$13:$DG$2838),MATCH(ROW($DG$13:$DG$2838),ROW($DG$13:$DG$2838)),""),ROWS($A$13:$A326))),""),"")</f>
        <v/>
      </c>
      <c r="DM326" s="1387">
        <v>33976</v>
      </c>
      <c r="DN326" s="338" t="s">
        <v>323</v>
      </c>
      <c r="DP326" s="236">
        <v>55.06</v>
      </c>
      <c r="DQ326" s="236" t="s">
        <v>331</v>
      </c>
      <c r="DV326" s="340">
        <v>19.149999999999999</v>
      </c>
      <c r="DW326" s="340" t="s">
        <v>323</v>
      </c>
      <c r="DX326" s="1671"/>
      <c r="EB326" s="618"/>
      <c r="EC326" s="618"/>
      <c r="ED326" s="618"/>
      <c r="EE326" s="618"/>
      <c r="EF326" s="618"/>
      <c r="EG326" s="618"/>
      <c r="EH326" s="618"/>
      <c r="EI326" s="618"/>
      <c r="EJ326" s="618"/>
      <c r="EK326" s="618"/>
      <c r="EL326" s="618"/>
      <c r="EM326" s="618"/>
    </row>
    <row r="327" spans="1:143">
      <c r="A327" s="339">
        <v>33715</v>
      </c>
      <c r="B327" s="338" t="s">
        <v>342</v>
      </c>
      <c r="E327" s="858"/>
      <c r="F327" s="338">
        <v>14.01</v>
      </c>
      <c r="G327" s="338" t="s">
        <v>323</v>
      </c>
      <c r="L327" s="2481">
        <v>1001.05</v>
      </c>
      <c r="M327" s="340" t="s">
        <v>289</v>
      </c>
      <c r="N327" s="1390"/>
      <c r="O327" s="2479"/>
      <c r="P327" s="2282"/>
      <c r="T327" s="341" t="str">
        <f t="array" ref="T327">IFERROR(IF($T$11="Yes",INDEX($L$13:$L$2813,SMALL(IF((County=$M$13:$M$2813),MATCH(ROW($M$13:$M$2813),ROW($M$13:$M$2813)),""),ROWS($A$13:A327))),""),"")</f>
        <v/>
      </c>
      <c r="V327" s="2283" t="str">
        <f t="array" ref="V327">IFERROR(IF($T$11="Yes",INDEX($O$14:$O$2811,SMALL(IF((County=$P$14:$P$2811),MATCH(ROW($P$14:$P$2811),ROW($P$14:$P$2811)),""),ROWS($A$13:A327))),""),"")</f>
        <v/>
      </c>
      <c r="X327" s="339">
        <v>33928</v>
      </c>
      <c r="Y327" s="338" t="s">
        <v>323</v>
      </c>
      <c r="AA327" s="338">
        <v>80.010000000000005</v>
      </c>
      <c r="AB327" s="338" t="s">
        <v>340</v>
      </c>
      <c r="AG327" s="2297">
        <v>19.21</v>
      </c>
      <c r="AH327" s="2297" t="s">
        <v>340</v>
      </c>
      <c r="AI327" s="1390"/>
      <c r="AJ327" s="2282"/>
      <c r="AK327" s="2282"/>
      <c r="AL327" s="1037"/>
      <c r="AM327" s="339">
        <v>34238</v>
      </c>
      <c r="AN327" s="338" t="s">
        <v>347</v>
      </c>
      <c r="AQ327" s="858"/>
      <c r="AR327" s="338">
        <v>6.03</v>
      </c>
      <c r="AS327" s="338" t="s">
        <v>328</v>
      </c>
      <c r="AX327" s="340">
        <v>904.01</v>
      </c>
      <c r="AY327" s="340" t="s">
        <v>289</v>
      </c>
      <c r="BC327" s="341" t="str">
        <f t="array" ref="BC327">IFERROR(IF($BC$11="Yes",INDEX($AX$13:$AX$2950,SMALL(IF((County=$AY$13:$AY$2950),MATCH(ROW($AY$13:$AY$2950),ROW($AY$13:$AY$2950)),""),ROWS($A$13:$A327))),""),"")</f>
        <v/>
      </c>
      <c r="BE327" s="339">
        <v>34472</v>
      </c>
      <c r="BF327" s="338" t="s">
        <v>329</v>
      </c>
      <c r="BH327" s="338">
        <v>53.03</v>
      </c>
      <c r="BI327" s="338" t="s">
        <v>331</v>
      </c>
      <c r="BN327" s="340">
        <v>18.03</v>
      </c>
      <c r="BO327" s="340" t="s">
        <v>276</v>
      </c>
      <c r="BP327" s="1385"/>
      <c r="BQ327" s="341">
        <v>33760</v>
      </c>
      <c r="BR327" s="338" t="s">
        <v>342</v>
      </c>
      <c r="BU327" s="858"/>
      <c r="BV327" s="338">
        <v>203.13</v>
      </c>
      <c r="BW327" s="338" t="s">
        <v>289</v>
      </c>
      <c r="CB327" s="340">
        <v>901.02</v>
      </c>
      <c r="CC327" s="340" t="s">
        <v>289</v>
      </c>
      <c r="CE327" s="341" t="str">
        <f t="array" ref="CE327">IFERROR(IF($CE$11="Metro",INDEX($BV$13:$BV$4972,SMALL(IF((County=$BW$13:$BW$4972),MATCH(ROW($BW$13:$BW$4972),ROW($BW$13:$BW$4972)),""),ROWS($A$13:$A327))),INDEX($BY$13:$BY$212,SMALL(IF((County=$BZ$13:$BZ$212),MATCH(ROW($BZ$13:$BZ$212),ROW($BZ$13:$BZ$212)),""),ROWS($A$13:$A327)))),"")</f>
        <v/>
      </c>
      <c r="CG327" s="341" t="str">
        <f t="array" ref="CG327">IFERROR(IF($CG$11="Yes",INDEX($CB$13:$CB$2950,SMALL(IF((County=$CC$13:$CC$2950),MATCH(ROW($CC$13:$CC$2950),ROW($CC$13:$CC$2950)),""),ROWS($A$13:$A327))),""),"")</f>
        <v/>
      </c>
      <c r="CI327" s="1583">
        <v>33993</v>
      </c>
      <c r="CJ327" s="338" t="s">
        <v>323</v>
      </c>
      <c r="CL327" s="236">
        <v>8.1</v>
      </c>
      <c r="CM327" s="236" t="s">
        <v>328</v>
      </c>
      <c r="CR327" s="340">
        <v>18.13</v>
      </c>
      <c r="CS327" s="340" t="s">
        <v>276</v>
      </c>
      <c r="CT327" s="1384"/>
      <c r="CU327" s="341">
        <v>33760</v>
      </c>
      <c r="CV327" s="338" t="s">
        <v>342</v>
      </c>
      <c r="CZ327" s="1795">
        <v>140.13999999999999</v>
      </c>
      <c r="DA327" s="338" t="s">
        <v>316</v>
      </c>
      <c r="DF327" s="340">
        <v>904.01</v>
      </c>
      <c r="DG327" s="340" t="s">
        <v>289</v>
      </c>
      <c r="DK327" s="341" t="str">
        <f t="array" ref="DK327">IFERROR(IF($DK$11="Yes",INDEX($DF$13:$DF$2838,SMALL(IF((County=$DG$13:$DG$2838),MATCH(ROW($DG$13:$DG$2838),ROW($DG$13:$DG$2838)),""),ROWS($A$13:$A327))),""),"")</f>
        <v/>
      </c>
      <c r="DM327" s="1387">
        <v>33981</v>
      </c>
      <c r="DN327" s="338" t="s">
        <v>294</v>
      </c>
      <c r="DP327" s="236">
        <v>56.01</v>
      </c>
      <c r="DQ327" s="236" t="s">
        <v>340</v>
      </c>
      <c r="DV327" s="340">
        <v>19.149999999999999</v>
      </c>
      <c r="DW327" s="340" t="s">
        <v>328</v>
      </c>
      <c r="DX327" s="1671"/>
      <c r="EB327" s="618"/>
      <c r="EC327" s="618"/>
      <c r="ED327" s="618"/>
      <c r="EE327" s="618"/>
      <c r="EF327" s="618"/>
      <c r="EG327" s="618"/>
      <c r="EH327" s="618"/>
      <c r="EI327" s="618"/>
      <c r="EJ327" s="618"/>
      <c r="EK327" s="618"/>
      <c r="EL327" s="618"/>
      <c r="EM327" s="618"/>
    </row>
    <row r="328" spans="1:143">
      <c r="A328" s="339">
        <v>33716</v>
      </c>
      <c r="B328" s="338" t="s">
        <v>342</v>
      </c>
      <c r="E328" s="858"/>
      <c r="F328" s="338">
        <v>15.02</v>
      </c>
      <c r="G328" s="338" t="s">
        <v>323</v>
      </c>
      <c r="L328" s="2481">
        <v>1001.07</v>
      </c>
      <c r="M328" s="340" t="s">
        <v>289</v>
      </c>
      <c r="N328" s="1390"/>
      <c r="O328" s="2479"/>
      <c r="P328" s="2282"/>
      <c r="T328" s="341" t="str">
        <f t="array" ref="T328">IFERROR(IF($T$11="Yes",INDEX($L$13:$L$2813,SMALL(IF((County=$M$13:$M$2813),MATCH(ROW($M$13:$M$2813),ROW($M$13:$M$2813)),""),ROWS($A$13:A328))),""),"")</f>
        <v/>
      </c>
      <c r="V328" s="2283" t="str">
        <f t="array" ref="V328">IFERROR(IF($T$11="Yes",INDEX($O$14:$O$2811,SMALL(IF((County=$P$14:$P$2811),MATCH(ROW($P$14:$P$2811),ROW($P$14:$P$2811)),""),ROWS($A$13:A328))),""),"")</f>
        <v/>
      </c>
      <c r="X328" s="339">
        <v>33953</v>
      </c>
      <c r="Y328" s="338" t="s">
        <v>294</v>
      </c>
      <c r="AA328" s="338">
        <v>80.02</v>
      </c>
      <c r="AB328" s="338" t="s">
        <v>340</v>
      </c>
      <c r="AG328" s="2297">
        <v>20.010000000000002</v>
      </c>
      <c r="AH328" s="2297" t="s">
        <v>276</v>
      </c>
      <c r="AI328" s="1390"/>
      <c r="AJ328" s="2282"/>
      <c r="AK328" s="2282"/>
      <c r="AL328" s="1037"/>
      <c r="AM328" s="339">
        <v>34239</v>
      </c>
      <c r="AN328" s="338" t="s">
        <v>347</v>
      </c>
      <c r="AQ328" s="858"/>
      <c r="AR328" s="338">
        <v>6.04</v>
      </c>
      <c r="AS328" s="338" t="s">
        <v>328</v>
      </c>
      <c r="AX328" s="340">
        <v>905.02</v>
      </c>
      <c r="AY328" s="340" t="s">
        <v>289</v>
      </c>
      <c r="BC328" s="341" t="str">
        <f t="array" ref="BC328">IFERROR(IF($BC$11="Yes",INDEX($AX$13:$AX$2950,SMALL(IF((County=$AY$13:$AY$2950),MATCH(ROW($AY$13:$AY$2950),ROW($AY$13:$AY$2950)),""),ROWS($A$13:$A328))),""),"")</f>
        <v/>
      </c>
      <c r="BE328" s="339">
        <v>34473</v>
      </c>
      <c r="BF328" s="338" t="s">
        <v>329</v>
      </c>
      <c r="BH328" s="338">
        <v>53.04</v>
      </c>
      <c r="BI328" s="338" t="s">
        <v>331</v>
      </c>
      <c r="BN328" s="340">
        <v>18.05</v>
      </c>
      <c r="BO328" s="340" t="s">
        <v>347</v>
      </c>
      <c r="BP328" s="1385"/>
      <c r="BQ328" s="341">
        <v>33761</v>
      </c>
      <c r="BR328" s="338" t="s">
        <v>342</v>
      </c>
      <c r="BU328" s="858"/>
      <c r="BV328" s="338">
        <v>203.14</v>
      </c>
      <c r="BW328" s="338" t="s">
        <v>289</v>
      </c>
      <c r="CB328" s="340">
        <v>901.03</v>
      </c>
      <c r="CC328" s="340" t="s">
        <v>289</v>
      </c>
      <c r="CE328" s="341" t="str">
        <f t="array" ref="CE328">IFERROR(IF($CE$11="Metro",INDEX($BV$13:$BV$4972,SMALL(IF((County=$BW$13:$BW$4972),MATCH(ROW($BW$13:$BW$4972),ROW($BW$13:$BW$4972)),""),ROWS($A$13:$A328))),INDEX($BY$13:$BY$212,SMALL(IF((County=$BZ$13:$BZ$212),MATCH(ROW($BZ$13:$BZ$212),ROW($BZ$13:$BZ$212)),""),ROWS($A$13:$A328)))),"")</f>
        <v/>
      </c>
      <c r="CG328" s="341" t="str">
        <f t="array" ref="CG328">IFERROR(IF($CG$11="Yes",INDEX($CB$13:$CB$2950,SMALL(IF((County=$CC$13:$CC$2950),MATCH(ROW($CC$13:$CC$2950),ROW($CC$13:$CC$2950)),""),ROWS($A$13:$A328))),""),"")</f>
        <v/>
      </c>
      <c r="CI328" s="1583">
        <v>34102</v>
      </c>
      <c r="CJ328" s="338" t="s">
        <v>297</v>
      </c>
      <c r="CL328" s="236">
        <v>8.1</v>
      </c>
      <c r="CM328" s="236" t="s">
        <v>329</v>
      </c>
      <c r="CR328" s="340">
        <v>18.149999999999999</v>
      </c>
      <c r="CS328" s="340" t="s">
        <v>276</v>
      </c>
      <c r="CT328" s="1384"/>
      <c r="CU328" s="341">
        <v>33761</v>
      </c>
      <c r="CV328" s="338" t="s">
        <v>342</v>
      </c>
      <c r="CZ328" s="1795">
        <v>141.04</v>
      </c>
      <c r="DA328" s="338" t="s">
        <v>316</v>
      </c>
      <c r="DF328" s="340">
        <v>905.02</v>
      </c>
      <c r="DG328" s="340" t="s">
        <v>289</v>
      </c>
      <c r="DK328" s="341" t="str">
        <f t="array" ref="DK328">IFERROR(IF($DK$11="Yes",INDEX($DF$13:$DF$2838,SMALL(IF((County=$DG$13:$DG$2838),MATCH(ROW($DG$13:$DG$2838),ROW($DG$13:$DG$2838)),""),ROWS($A$13:$A328))),""),"")</f>
        <v/>
      </c>
      <c r="DM328" s="1387">
        <v>33990</v>
      </c>
      <c r="DN328" s="338" t="s">
        <v>294</v>
      </c>
      <c r="DP328" s="236">
        <v>57.04</v>
      </c>
      <c r="DQ328" s="236" t="s">
        <v>340</v>
      </c>
      <c r="DV328" s="340">
        <v>19.16</v>
      </c>
      <c r="DW328" s="340" t="s">
        <v>323</v>
      </c>
      <c r="DX328" s="1671"/>
      <c r="EB328" s="618"/>
      <c r="EC328" s="618"/>
      <c r="ED328" s="618"/>
      <c r="EE328" s="618"/>
      <c r="EF328" s="618"/>
      <c r="EG328" s="618"/>
      <c r="EH328" s="618"/>
      <c r="EI328" s="618"/>
      <c r="EJ328" s="618"/>
      <c r="EK328" s="618"/>
      <c r="EL328" s="618"/>
      <c r="EM328" s="618"/>
    </row>
    <row r="329" spans="1:143">
      <c r="A329" s="339">
        <v>33759</v>
      </c>
      <c r="B329" s="338" t="s">
        <v>342</v>
      </c>
      <c r="E329" s="858"/>
      <c r="F329" s="338">
        <v>203.02</v>
      </c>
      <c r="G329" s="338" t="s">
        <v>323</v>
      </c>
      <c r="L329" s="2481">
        <v>1008.03</v>
      </c>
      <c r="M329" s="340" t="s">
        <v>289</v>
      </c>
      <c r="N329" s="1390"/>
      <c r="O329" s="2479"/>
      <c r="P329" s="2282"/>
      <c r="T329" s="341" t="str">
        <f t="array" ref="T329">IFERROR(IF($T$11="Yes",INDEX($L$13:$L$2813,SMALL(IF((County=$M$13:$M$2813),MATCH(ROW($M$13:$M$2813),ROW($M$13:$M$2813)),""),ROWS($A$13:A329))),""),"")</f>
        <v/>
      </c>
      <c r="V329" s="2283" t="str">
        <f t="array" ref="V329">IFERROR(IF($T$11="Yes",INDEX($O$14:$O$2811,SMALL(IF((County=$P$14:$P$2811),MATCH(ROW($P$14:$P$2811),ROW($P$14:$P$2811)),""),ROWS($A$13:A329))),""),"")</f>
        <v/>
      </c>
      <c r="X329" s="339">
        <v>33954</v>
      </c>
      <c r="Y329" s="338" t="s">
        <v>294</v>
      </c>
      <c r="AA329" s="338">
        <v>82.01</v>
      </c>
      <c r="AB329" s="338" t="s">
        <v>340</v>
      </c>
      <c r="AG329" s="2297">
        <v>20.03</v>
      </c>
      <c r="AH329" s="2297" t="s">
        <v>328</v>
      </c>
      <c r="AI329" s="1390"/>
      <c r="AJ329" s="2282"/>
      <c r="AK329" s="2282"/>
      <c r="AL329" s="1037"/>
      <c r="AM329" s="339">
        <v>34240</v>
      </c>
      <c r="AN329" s="338" t="s">
        <v>347</v>
      </c>
      <c r="AQ329" s="858"/>
      <c r="AR329" s="338">
        <v>7.04</v>
      </c>
      <c r="AS329" s="338" t="s">
        <v>328</v>
      </c>
      <c r="AX329" s="340">
        <v>905.03</v>
      </c>
      <c r="AY329" s="340" t="s">
        <v>289</v>
      </c>
      <c r="BC329" s="341" t="str">
        <f t="array" ref="BC329">IFERROR(IF($BC$11="Yes",INDEX($AX$13:$AX$2950,SMALL(IF((County=$AY$13:$AY$2950),MATCH(ROW($AY$13:$AY$2950),ROW($AY$13:$AY$2950)),""),ROWS($A$13:$A329))),""),"")</f>
        <v/>
      </c>
      <c r="BE329" s="339">
        <v>34474</v>
      </c>
      <c r="BF329" s="338" t="s">
        <v>329</v>
      </c>
      <c r="BH329" s="338">
        <v>53.05</v>
      </c>
      <c r="BI329" s="338" t="s">
        <v>331</v>
      </c>
      <c r="BN329" s="340">
        <v>18.11</v>
      </c>
      <c r="BO329" s="340" t="s">
        <v>276</v>
      </c>
      <c r="BP329" s="1385"/>
      <c r="BQ329" s="341">
        <v>33762</v>
      </c>
      <c r="BR329" s="338" t="s">
        <v>342</v>
      </c>
      <c r="BU329" s="858"/>
      <c r="BV329" s="338">
        <v>203.15</v>
      </c>
      <c r="BW329" s="338" t="s">
        <v>289</v>
      </c>
      <c r="CB329" s="340">
        <v>901.04</v>
      </c>
      <c r="CC329" s="340" t="s">
        <v>289</v>
      </c>
      <c r="CE329" s="341" t="str">
        <f t="array" ref="CE329">IFERROR(IF($CE$11="Metro",INDEX($BV$13:$BV$4972,SMALL(IF((County=$BW$13:$BW$4972),MATCH(ROW($BW$13:$BW$4972),ROW($BW$13:$BW$4972)),""),ROWS($A$13:$A329))),INDEX($BY$13:$BY$212,SMALL(IF((County=$BZ$13:$BZ$212),MATCH(ROW($BZ$13:$BZ$212),ROW($BZ$13:$BZ$212)),""),ROWS($A$13:$A329)))),"")</f>
        <v/>
      </c>
      <c r="CG329" s="341" t="str">
        <f t="array" ref="CG329">IFERROR(IF($CG$11="Yes",INDEX($CB$13:$CB$2950,SMALL(IF((County=$CC$13:$CC$2950),MATCH(ROW($CC$13:$CC$2950),ROW($CC$13:$CC$2950)),""),ROWS($A$13:$A329))),""),"")</f>
        <v/>
      </c>
      <c r="CI329" s="1583">
        <v>34103</v>
      </c>
      <c r="CJ329" s="338" t="s">
        <v>297</v>
      </c>
      <c r="CL329" s="236">
        <v>8.11</v>
      </c>
      <c r="CM329" s="236" t="s">
        <v>328</v>
      </c>
      <c r="CR329" s="340">
        <v>18.170000000000002</v>
      </c>
      <c r="CS329" s="340" t="s">
        <v>276</v>
      </c>
      <c r="CT329" s="1384"/>
      <c r="CU329" s="341">
        <v>33762</v>
      </c>
      <c r="CV329" s="338" t="s">
        <v>342</v>
      </c>
      <c r="CZ329" s="1795">
        <v>141.08000000000001</v>
      </c>
      <c r="DA329" s="338" t="s">
        <v>316</v>
      </c>
      <c r="DF329" s="340">
        <v>905.03</v>
      </c>
      <c r="DG329" s="340" t="s">
        <v>289</v>
      </c>
      <c r="DK329" s="341" t="str">
        <f t="array" ref="DK329">IFERROR(IF($DK$11="Yes",INDEX($DF$13:$DF$2838,SMALL(IF((County=$DG$13:$DG$2838),MATCH(ROW($DG$13:$DG$2838),ROW($DG$13:$DG$2838)),""),ROWS($A$13:$A329))),""),"")</f>
        <v/>
      </c>
      <c r="DM329" s="1387">
        <v>33991</v>
      </c>
      <c r="DN329" s="338" t="s">
        <v>323</v>
      </c>
      <c r="DP329" s="236">
        <v>57.05</v>
      </c>
      <c r="DQ329" s="236" t="s">
        <v>331</v>
      </c>
      <c r="DV329" s="340">
        <v>19.16</v>
      </c>
      <c r="DW329" s="340" t="s">
        <v>328</v>
      </c>
      <c r="DX329" s="1671"/>
      <c r="EB329" s="618"/>
      <c r="EC329" s="618"/>
      <c r="ED329" s="618"/>
      <c r="EE329" s="618"/>
      <c r="EF329" s="618"/>
      <c r="EG329" s="618"/>
      <c r="EH329" s="618"/>
      <c r="EI329" s="618"/>
      <c r="EJ329" s="618"/>
      <c r="EK329" s="618"/>
      <c r="EL329" s="618"/>
      <c r="EM329" s="618"/>
    </row>
    <row r="330" spans="1:143">
      <c r="A330" s="339">
        <v>33760</v>
      </c>
      <c r="B330" s="338" t="s">
        <v>342</v>
      </c>
      <c r="E330" s="858"/>
      <c r="F330" s="338">
        <v>205.01</v>
      </c>
      <c r="G330" s="338" t="s">
        <v>323</v>
      </c>
      <c r="L330" s="2481">
        <v>1103.03</v>
      </c>
      <c r="M330" s="340" t="s">
        <v>289</v>
      </c>
      <c r="N330" s="1390"/>
      <c r="O330" s="2479"/>
      <c r="P330" s="2282"/>
      <c r="T330" s="341" t="str">
        <f t="array" ref="T330">IFERROR(IF($T$11="Yes",INDEX($L$13:$L$2813,SMALL(IF((County=$M$13:$M$2813),MATCH(ROW($M$13:$M$2813),ROW($M$13:$M$2813)),""),ROWS($A$13:A330))),""),"")</f>
        <v/>
      </c>
      <c r="V330" s="2283" t="str">
        <f t="array" ref="V330">IFERROR(IF($T$11="Yes",INDEX($O$14:$O$2811,SMALL(IF((County=$P$14:$P$2811),MATCH(ROW($P$14:$P$2811),ROW($P$14:$P$2811)),""),ROWS($A$13:A330))),""),"")</f>
        <v/>
      </c>
      <c r="X330" s="339">
        <v>33955</v>
      </c>
      <c r="Y330" s="338" t="s">
        <v>294</v>
      </c>
      <c r="AA330" s="338">
        <v>82.02</v>
      </c>
      <c r="AB330" s="338" t="s">
        <v>340</v>
      </c>
      <c r="AG330" s="2297">
        <v>20.05</v>
      </c>
      <c r="AH330" s="2297" t="s">
        <v>328</v>
      </c>
      <c r="AI330" s="1390"/>
      <c r="AJ330" s="2282"/>
      <c r="AK330" s="2282"/>
      <c r="AL330" s="1037"/>
      <c r="AM330" s="339">
        <v>34241</v>
      </c>
      <c r="AN330" s="338" t="s">
        <v>347</v>
      </c>
      <c r="AQ330" s="858"/>
      <c r="AR330" s="338">
        <v>7.05</v>
      </c>
      <c r="AS330" s="338" t="s">
        <v>328</v>
      </c>
      <c r="AX330" s="340">
        <v>906.02</v>
      </c>
      <c r="AY330" s="340" t="s">
        <v>289</v>
      </c>
      <c r="BC330" s="341" t="str">
        <f t="array" ref="BC330">IFERROR(IF($BC$11="Yes",INDEX($AX$13:$AX$2950,SMALL(IF((County=$AY$13:$AY$2950),MATCH(ROW($AY$13:$AY$2950),ROW($AY$13:$AY$2950)),""),ROWS($A$13:$A330))),""),"")</f>
        <v/>
      </c>
      <c r="BE330" s="339">
        <v>34637</v>
      </c>
      <c r="BF330" s="338" t="s">
        <v>341</v>
      </c>
      <c r="BH330" s="338">
        <v>53.06</v>
      </c>
      <c r="BI330" s="338" t="s">
        <v>331</v>
      </c>
      <c r="BN330" s="340">
        <v>18.13</v>
      </c>
      <c r="BO330" s="340" t="s">
        <v>276</v>
      </c>
      <c r="BP330" s="1385"/>
      <c r="BQ330" s="341">
        <v>33763</v>
      </c>
      <c r="BR330" s="338" t="s">
        <v>342</v>
      </c>
      <c r="BU330" s="858"/>
      <c r="BV330" s="338">
        <v>203.16</v>
      </c>
      <c r="BW330" s="338" t="s">
        <v>289</v>
      </c>
      <c r="CB330" s="340">
        <v>902</v>
      </c>
      <c r="CC330" s="340" t="s">
        <v>289</v>
      </c>
      <c r="CE330" s="341" t="str">
        <f t="array" ref="CE330">IFERROR(IF($CE$11="Metro",INDEX($BV$13:$BV$4972,SMALL(IF((County=$BW$13:$BW$4972),MATCH(ROW($BW$13:$BW$4972),ROW($BW$13:$BW$4972)),""),ROWS($A$13:$A330))),INDEX($BY$13:$BY$212,SMALL(IF((County=$BZ$13:$BZ$212),MATCH(ROW($BZ$13:$BZ$212),ROW($BZ$13:$BZ$212)),""),ROWS($A$13:$A330)))),"")</f>
        <v/>
      </c>
      <c r="CG330" s="341" t="str">
        <f t="array" ref="CG330">IFERROR(IF($CG$11="Yes",INDEX($CB$13:$CB$2950,SMALL(IF((County=$CC$13:$CC$2950),MATCH(ROW($CC$13:$CC$2950),ROW($CC$13:$CC$2950)),""),ROWS($A$13:$A330))),""),"")</f>
        <v/>
      </c>
      <c r="CI330" s="1583">
        <v>34105</v>
      </c>
      <c r="CJ330" s="338" t="s">
        <v>297</v>
      </c>
      <c r="CL330" s="236">
        <v>8.11</v>
      </c>
      <c r="CM330" s="236" t="s">
        <v>329</v>
      </c>
      <c r="CR330" s="340">
        <v>18.190000000000001</v>
      </c>
      <c r="CS330" s="340" t="s">
        <v>276</v>
      </c>
      <c r="CT330" s="1384"/>
      <c r="CU330" s="341">
        <v>33763</v>
      </c>
      <c r="CV330" s="338" t="s">
        <v>342</v>
      </c>
      <c r="CZ330" s="1795">
        <v>142</v>
      </c>
      <c r="DA330" s="338" t="s">
        <v>316</v>
      </c>
      <c r="DF330" s="340">
        <v>906.01</v>
      </c>
      <c r="DG330" s="340" t="s">
        <v>289</v>
      </c>
      <c r="DK330" s="341" t="str">
        <f t="array" ref="DK330">IFERROR(IF($DK$11="Yes",INDEX($DF$13:$DF$2838,SMALL(IF((County=$DG$13:$DG$2838),MATCH(ROW($DG$13:$DG$2838),ROW($DG$13:$DG$2838)),""),ROWS($A$13:$A330))),""),"")</f>
        <v/>
      </c>
      <c r="DM330" s="1387">
        <v>33993</v>
      </c>
      <c r="DN330" s="338" t="s">
        <v>323</v>
      </c>
      <c r="DP330" s="236">
        <v>57.06</v>
      </c>
      <c r="DQ330" s="236" t="s">
        <v>331</v>
      </c>
      <c r="DV330" s="340">
        <v>19.16</v>
      </c>
      <c r="DW330" s="340" t="s">
        <v>340</v>
      </c>
      <c r="DX330" s="1671"/>
      <c r="EB330" s="618"/>
      <c r="EC330" s="618"/>
      <c r="ED330" s="618"/>
      <c r="EE330" s="618"/>
      <c r="EF330" s="618"/>
      <c r="EG330" s="618"/>
      <c r="EH330" s="618"/>
      <c r="EI330" s="618"/>
      <c r="EJ330" s="618"/>
      <c r="EK330" s="618"/>
      <c r="EL330" s="618"/>
      <c r="EM330" s="618"/>
    </row>
    <row r="331" spans="1:143">
      <c r="A331" s="339">
        <v>33761</v>
      </c>
      <c r="B331" s="338" t="s">
        <v>342</v>
      </c>
      <c r="E331" s="858"/>
      <c r="F331" s="338">
        <v>208.02</v>
      </c>
      <c r="G331" s="338" t="s">
        <v>323</v>
      </c>
      <c r="L331" s="2481">
        <v>1103.07</v>
      </c>
      <c r="M331" s="340" t="s">
        <v>289</v>
      </c>
      <c r="N331" s="1390"/>
      <c r="O331" s="2479"/>
      <c r="P331" s="2282"/>
      <c r="T331" s="341" t="str">
        <f t="array" ref="T331">IFERROR(IF($T$11="Yes",INDEX($L$13:$L$2813,SMALL(IF((County=$M$13:$M$2813),MATCH(ROW($M$13:$M$2813),ROW($M$13:$M$2813)),""),ROWS($A$13:A331))),""),"")</f>
        <v/>
      </c>
      <c r="V331" s="2283" t="str">
        <f t="array" ref="V331">IFERROR(IF($T$11="Yes",INDEX($O$14:$O$2811,SMALL(IF((County=$P$14:$P$2811),MATCH(ROW($P$14:$P$2811),ROW($P$14:$P$2811)),""),ROWS($A$13:A331))),""),"")</f>
        <v/>
      </c>
      <c r="X331" s="339">
        <v>33956</v>
      </c>
      <c r="Y331" s="338" t="s">
        <v>323</v>
      </c>
      <c r="AA331" s="338">
        <v>82.03</v>
      </c>
      <c r="AB331" s="338" t="s">
        <v>340</v>
      </c>
      <c r="AG331" s="2297">
        <v>20.07</v>
      </c>
      <c r="AH331" s="2297" t="s">
        <v>347</v>
      </c>
      <c r="AI331" s="1390"/>
      <c r="AJ331" s="2282"/>
      <c r="AK331" s="2282"/>
      <c r="AL331" s="1037"/>
      <c r="AM331" s="339">
        <v>34242</v>
      </c>
      <c r="AN331" s="338" t="s">
        <v>347</v>
      </c>
      <c r="AQ331" s="858"/>
      <c r="AR331" s="338">
        <v>15.02</v>
      </c>
      <c r="AS331" s="338" t="s">
        <v>328</v>
      </c>
      <c r="AX331" s="340">
        <v>907</v>
      </c>
      <c r="AY331" s="340" t="s">
        <v>289</v>
      </c>
      <c r="BC331" s="341" t="str">
        <f t="array" ref="BC331">IFERROR(IF($BC$11="Yes",INDEX($AX$13:$AX$2950,SMALL(IF((County=$AY$13:$AY$2950),MATCH(ROW($AY$13:$AY$2950),ROW($AY$13:$AY$2950)),""),ROWS($A$13:$A331))),""),"")</f>
        <v/>
      </c>
      <c r="BE331" s="339">
        <v>34638</v>
      </c>
      <c r="BF331" s="338" t="s">
        <v>341</v>
      </c>
      <c r="BH331" s="338">
        <v>54.03</v>
      </c>
      <c r="BI331" s="338" t="s">
        <v>331</v>
      </c>
      <c r="BN331" s="340">
        <v>18.149999999999999</v>
      </c>
      <c r="BO331" s="340" t="s">
        <v>276</v>
      </c>
      <c r="BP331" s="1385"/>
      <c r="BQ331" s="341">
        <v>33764</v>
      </c>
      <c r="BR331" s="338" t="s">
        <v>342</v>
      </c>
      <c r="BU331" s="858"/>
      <c r="BV331" s="338">
        <v>203.17</v>
      </c>
      <c r="BW331" s="338" t="s">
        <v>289</v>
      </c>
      <c r="CB331" s="340">
        <v>903.04</v>
      </c>
      <c r="CC331" s="340" t="s">
        <v>289</v>
      </c>
      <c r="CE331" s="341" t="str">
        <f t="array" ref="CE331">IFERROR(IF($CE$11="Metro",INDEX($BV$13:$BV$4972,SMALL(IF((County=$BW$13:$BW$4972),MATCH(ROW($BW$13:$BW$4972),ROW($BW$13:$BW$4972)),""),ROWS($A$13:$A331))),INDEX($BY$13:$BY$212,SMALL(IF((County=$BZ$13:$BZ$212),MATCH(ROW($BZ$13:$BZ$212),ROW($BZ$13:$BZ$212)),""),ROWS($A$13:$A331)))),"")</f>
        <v/>
      </c>
      <c r="CG331" s="341" t="str">
        <f t="array" ref="CG331">IFERROR(IF($CG$11="Yes",INDEX($CB$13:$CB$2950,SMALL(IF((County=$CC$13:$CC$2950),MATCH(ROW($CC$13:$CC$2950),ROW($CC$13:$CC$2950)),""),ROWS($A$13:$A331))),""),"")</f>
        <v/>
      </c>
      <c r="CI331" s="1583">
        <v>34108</v>
      </c>
      <c r="CJ331" s="338" t="s">
        <v>297</v>
      </c>
      <c r="CL331" s="236">
        <v>8.1199999999999992</v>
      </c>
      <c r="CM331" s="236" t="s">
        <v>328</v>
      </c>
      <c r="CR331" s="340">
        <v>19</v>
      </c>
      <c r="CS331" s="340" t="s">
        <v>285</v>
      </c>
      <c r="CT331" s="1384"/>
      <c r="CU331" s="341">
        <v>33764</v>
      </c>
      <c r="CV331" s="338" t="s">
        <v>342</v>
      </c>
      <c r="CZ331" s="1795">
        <v>9604.0300000000007</v>
      </c>
      <c r="DA331" s="338" t="s">
        <v>317</v>
      </c>
      <c r="DF331" s="340">
        <v>906.02</v>
      </c>
      <c r="DG331" s="340" t="s">
        <v>289</v>
      </c>
      <c r="DK331" s="341" t="str">
        <f t="array" ref="DK331">IFERROR(IF($DK$11="Yes",INDEX($DF$13:$DF$2838,SMALL(IF((County=$DG$13:$DG$2838),MATCH(ROW($DG$13:$DG$2838),ROW($DG$13:$DG$2838)),""),ROWS($A$13:$A331))),""),"")</f>
        <v/>
      </c>
      <c r="DM331" s="1387">
        <v>34105</v>
      </c>
      <c r="DN331" s="338" t="s">
        <v>297</v>
      </c>
      <c r="DP331" s="236">
        <v>57.07</v>
      </c>
      <c r="DQ331" s="236" t="s">
        <v>331</v>
      </c>
      <c r="DV331" s="340">
        <v>19.18</v>
      </c>
      <c r="DW331" s="340" t="s">
        <v>323</v>
      </c>
      <c r="DX331" s="1671"/>
      <c r="EB331" s="618"/>
      <c r="EC331" s="618"/>
      <c r="ED331" s="618"/>
      <c r="EE331" s="618"/>
      <c r="EF331" s="618"/>
      <c r="EG331" s="618"/>
      <c r="EH331" s="618"/>
      <c r="EI331" s="618"/>
      <c r="EJ331" s="618"/>
      <c r="EK331" s="618"/>
      <c r="EL331" s="618"/>
      <c r="EM331" s="618"/>
    </row>
    <row r="332" spans="1:143">
      <c r="A332" s="339">
        <v>33762</v>
      </c>
      <c r="B332" s="338" t="s">
        <v>342</v>
      </c>
      <c r="E332" s="858"/>
      <c r="F332" s="338">
        <v>401.09</v>
      </c>
      <c r="G332" s="338" t="s">
        <v>323</v>
      </c>
      <c r="L332" s="2481">
        <v>1103.08</v>
      </c>
      <c r="M332" s="340" t="s">
        <v>289</v>
      </c>
      <c r="N332" s="1390"/>
      <c r="O332" s="2479"/>
      <c r="P332" s="2282"/>
      <c r="T332" s="341" t="str">
        <f t="array" ref="T332">IFERROR(IF($T$11="Yes",INDEX($L$13:$L$2813,SMALL(IF((County=$M$13:$M$2813),MATCH(ROW($M$13:$M$2813),ROW($M$13:$M$2813)),""),ROWS($A$13:A332))),""),"")</f>
        <v/>
      </c>
      <c r="V332" s="2283" t="str">
        <f t="array" ref="V332">IFERROR(IF($T$11="Yes",INDEX($O$14:$O$2811,SMALL(IF((County=$P$14:$P$2811),MATCH(ROW($P$14:$P$2811),ROW($P$14:$P$2811)),""),ROWS($A$13:A332))),""),"")</f>
        <v/>
      </c>
      <c r="X332" s="339">
        <v>33957</v>
      </c>
      <c r="Y332" s="338" t="s">
        <v>323</v>
      </c>
      <c r="AA332" s="338">
        <v>83.02</v>
      </c>
      <c r="AB332" s="338" t="s">
        <v>340</v>
      </c>
      <c r="AG332" s="2297">
        <v>20.079999999999998</v>
      </c>
      <c r="AH332" s="2297" t="s">
        <v>328</v>
      </c>
      <c r="AI332" s="1390"/>
      <c r="AJ332" s="2282"/>
      <c r="AK332" s="2282"/>
      <c r="AL332" s="1037"/>
      <c r="AM332" s="339">
        <v>34286</v>
      </c>
      <c r="AN332" s="338" t="s">
        <v>347</v>
      </c>
      <c r="AQ332" s="858"/>
      <c r="AR332" s="338">
        <v>2.0099999999999998</v>
      </c>
      <c r="AS332" s="338" t="s">
        <v>329</v>
      </c>
      <c r="AX332" s="340">
        <v>908.02</v>
      </c>
      <c r="AY332" s="340" t="s">
        <v>289</v>
      </c>
      <c r="BC332" s="341" t="str">
        <f t="array" ref="BC332">IFERROR(IF($BC$11="Yes",INDEX($AX$13:$AX$2950,SMALL(IF((County=$AY$13:$AY$2950),MATCH(ROW($AY$13:$AY$2950),ROW($AY$13:$AY$2950)),""),ROWS($A$13:$A332))),""),"")</f>
        <v/>
      </c>
      <c r="BE332" s="339">
        <v>34639</v>
      </c>
      <c r="BF332" s="338" t="s">
        <v>341</v>
      </c>
      <c r="BH332" s="338">
        <v>54.05</v>
      </c>
      <c r="BI332" s="338" t="s">
        <v>331</v>
      </c>
      <c r="BN332" s="340">
        <v>18.16</v>
      </c>
      <c r="BO332" s="340" t="s">
        <v>276</v>
      </c>
      <c r="BP332" s="1385"/>
      <c r="BQ332" s="341">
        <v>33765</v>
      </c>
      <c r="BR332" s="338" t="s">
        <v>342</v>
      </c>
      <c r="BU332" s="858"/>
      <c r="BV332" s="338">
        <v>203.18</v>
      </c>
      <c r="BW332" s="338" t="s">
        <v>289</v>
      </c>
      <c r="CB332" s="340">
        <v>905.02</v>
      </c>
      <c r="CC332" s="340" t="s">
        <v>289</v>
      </c>
      <c r="CE332" s="341" t="str">
        <f t="array" ref="CE332">IFERROR(IF($CE$11="Metro",INDEX($BV$13:$BV$4972,SMALL(IF((County=$BW$13:$BW$4972),MATCH(ROW($BW$13:$BW$4972),ROW($BW$13:$BW$4972)),""),ROWS($A$13:$A332))),INDEX($BY$13:$BY$212,SMALL(IF((County=$BZ$13:$BZ$212),MATCH(ROW($BZ$13:$BZ$212),ROW($BZ$13:$BZ$212)),""),ROWS($A$13:$A332)))),"")</f>
        <v/>
      </c>
      <c r="CG332" s="341" t="str">
        <f t="array" ref="CG332">IFERROR(IF($CG$11="Yes",INDEX($CB$13:$CB$2950,SMALL(IF((County=$CC$13:$CC$2950),MATCH(ROW($CC$13:$CC$2950),ROW($CC$13:$CC$2950)),""),ROWS($A$13:$A332))),""),"")</f>
        <v/>
      </c>
      <c r="CI332" s="1583">
        <v>34109</v>
      </c>
      <c r="CJ332" s="338" t="s">
        <v>297</v>
      </c>
      <c r="CL332" s="236">
        <v>8.1300000000000008</v>
      </c>
      <c r="CM332" s="236" t="s">
        <v>328</v>
      </c>
      <c r="CR332" s="340">
        <v>19</v>
      </c>
      <c r="CS332" s="340" t="s">
        <v>329</v>
      </c>
      <c r="CT332" s="1384"/>
      <c r="CU332" s="341">
        <v>33765</v>
      </c>
      <c r="CV332" s="338" t="s">
        <v>342</v>
      </c>
      <c r="CZ332" s="1795">
        <v>501.01</v>
      </c>
      <c r="DA332" s="338" t="s">
        <v>318</v>
      </c>
      <c r="DF332" s="340">
        <v>907</v>
      </c>
      <c r="DG332" s="340" t="s">
        <v>289</v>
      </c>
      <c r="DK332" s="341" t="str">
        <f t="array" ref="DK332">IFERROR(IF($DK$11="Yes",INDEX($DF$13:$DF$2838,SMALL(IF((County=$DG$13:$DG$2838),MATCH(ROW($DG$13:$DG$2838),ROW($DG$13:$DG$2838)),""),ROWS($A$13:$A332))),""),"")</f>
        <v/>
      </c>
      <c r="DM332" s="1387">
        <v>34108</v>
      </c>
      <c r="DN332" s="338" t="s">
        <v>297</v>
      </c>
      <c r="DP332" s="236">
        <v>57.08</v>
      </c>
      <c r="DQ332" s="236" t="s">
        <v>331</v>
      </c>
      <c r="DV332" s="340">
        <v>19.18</v>
      </c>
      <c r="DW332" s="340" t="s">
        <v>340</v>
      </c>
      <c r="DX332" s="1671"/>
      <c r="EB332" s="618"/>
      <c r="EC332" s="618"/>
      <c r="ED332" s="618"/>
      <c r="EE332" s="618"/>
      <c r="EF332" s="618"/>
      <c r="EG332" s="618"/>
      <c r="EH332" s="618"/>
      <c r="EI332" s="618"/>
      <c r="EJ332" s="618"/>
      <c r="EK332" s="618"/>
      <c r="EL332" s="618"/>
      <c r="EM332" s="618"/>
    </row>
    <row r="333" spans="1:143">
      <c r="A333" s="339">
        <v>33764</v>
      </c>
      <c r="B333" s="338" t="s">
        <v>342</v>
      </c>
      <c r="E333" s="858"/>
      <c r="F333" s="338">
        <v>401.22</v>
      </c>
      <c r="G333" s="338" t="s">
        <v>323</v>
      </c>
      <c r="L333" s="2481">
        <v>1103.0899999999999</v>
      </c>
      <c r="M333" s="340" t="s">
        <v>289</v>
      </c>
      <c r="N333" s="1390"/>
      <c r="O333" s="2479"/>
      <c r="P333" s="2282"/>
      <c r="T333" s="341" t="str">
        <f t="array" ref="T333">IFERROR(IF($T$11="Yes",INDEX($L$13:$L$2813,SMALL(IF((County=$M$13:$M$2813),MATCH(ROW($M$13:$M$2813),ROW($M$13:$M$2813)),""),ROWS($A$13:A333))),""),"")</f>
        <v/>
      </c>
      <c r="V333" s="2283" t="str">
        <f t="array" ref="V333">IFERROR(IF($T$11="Yes",INDEX($O$14:$O$2811,SMALL(IF((County=$P$14:$P$2811),MATCH(ROW($P$14:$P$2811),ROW($P$14:$P$2811)),""),ROWS($A$13:A333))),""),"")</f>
        <v/>
      </c>
      <c r="X333" s="339">
        <v>33965</v>
      </c>
      <c r="Y333" s="338" t="s">
        <v>323</v>
      </c>
      <c r="AA333" s="338">
        <v>83.09</v>
      </c>
      <c r="AB333" s="338" t="s">
        <v>331</v>
      </c>
      <c r="AG333" s="2297">
        <v>20.079999999999998</v>
      </c>
      <c r="AH333" s="2297" t="s">
        <v>347</v>
      </c>
      <c r="AI333" s="1390"/>
      <c r="AJ333" s="2282"/>
      <c r="AK333" s="2282"/>
      <c r="AL333" s="1037"/>
      <c r="AM333" s="339">
        <v>34288</v>
      </c>
      <c r="AN333" s="338" t="s">
        <v>347</v>
      </c>
      <c r="AQ333" s="858"/>
      <c r="AR333" s="338">
        <v>2.02</v>
      </c>
      <c r="AS333" s="338" t="s">
        <v>329</v>
      </c>
      <c r="AX333" s="340">
        <v>909</v>
      </c>
      <c r="AY333" s="340" t="s">
        <v>289</v>
      </c>
      <c r="BC333" s="341" t="str">
        <f t="array" ref="BC333">IFERROR(IF($BC$11="Yes",INDEX($AX$13:$AX$2950,SMALL(IF((County=$AY$13:$AY$2950),MATCH(ROW($AY$13:$AY$2950),ROW($AY$13:$AY$2950)),""),ROWS($A$13:$A333))),""),"")</f>
        <v/>
      </c>
      <c r="BE333" s="339">
        <v>34655</v>
      </c>
      <c r="BF333" s="338" t="s">
        <v>341</v>
      </c>
      <c r="BH333" s="338">
        <v>54.06</v>
      </c>
      <c r="BI333" s="338" t="s">
        <v>331</v>
      </c>
      <c r="BN333" s="340">
        <v>18.170000000000002</v>
      </c>
      <c r="BO333" s="340" t="s">
        <v>276</v>
      </c>
      <c r="BP333" s="1385"/>
      <c r="BQ333" s="341">
        <v>33767</v>
      </c>
      <c r="BR333" s="338" t="s">
        <v>342</v>
      </c>
      <c r="BU333" s="858"/>
      <c r="BV333" s="338">
        <v>203.19</v>
      </c>
      <c r="BW333" s="338" t="s">
        <v>289</v>
      </c>
      <c r="CB333" s="340">
        <v>905.03</v>
      </c>
      <c r="CC333" s="340" t="s">
        <v>289</v>
      </c>
      <c r="CE333" s="341" t="str">
        <f t="array" ref="CE333">IFERROR(IF($CE$11="Metro",INDEX($BV$13:$BV$4972,SMALL(IF((County=$BW$13:$BW$4972),MATCH(ROW($BW$13:$BW$4972),ROW($BW$13:$BW$4972)),""),ROWS($A$13:$A333))),INDEX($BY$13:$BY$212,SMALL(IF((County=$BZ$13:$BZ$212),MATCH(ROW($BZ$13:$BZ$212),ROW($BZ$13:$BZ$212)),""),ROWS($A$13:$A333)))),"")</f>
        <v/>
      </c>
      <c r="CG333" s="341" t="str">
        <f t="array" ref="CG333">IFERROR(IF($CG$11="Yes",INDEX($CB$13:$CB$2950,SMALL(IF((County=$CC$13:$CC$2950),MATCH(ROW($CC$13:$CC$2950),ROW($CC$13:$CC$2950)),""),ROWS($A$13:$A333))),""),"")</f>
        <v/>
      </c>
      <c r="CI333" s="1583">
        <v>34110</v>
      </c>
      <c r="CJ333" s="338" t="s">
        <v>297</v>
      </c>
      <c r="CL333" s="236">
        <v>8.14</v>
      </c>
      <c r="CM333" s="236" t="s">
        <v>328</v>
      </c>
      <c r="CR333" s="340">
        <v>19.03</v>
      </c>
      <c r="CS333" s="340" t="s">
        <v>323</v>
      </c>
      <c r="CT333" s="1384"/>
      <c r="CU333" s="341">
        <v>33767</v>
      </c>
      <c r="CV333" s="338" t="s">
        <v>342</v>
      </c>
      <c r="CZ333" s="1795">
        <v>503.03</v>
      </c>
      <c r="DA333" s="338" t="s">
        <v>318</v>
      </c>
      <c r="DF333" s="340">
        <v>908.01</v>
      </c>
      <c r="DG333" s="340" t="s">
        <v>289</v>
      </c>
      <c r="DK333" s="341" t="str">
        <f t="array" ref="DK333">IFERROR(IF($DK$11="Yes",INDEX($DF$13:$DF$2838,SMALL(IF((County=$DG$13:$DG$2838),MATCH(ROW($DG$13:$DG$2838),ROW($DG$13:$DG$2838)),""),ROWS($A$13:$A333))),""),"")</f>
        <v/>
      </c>
      <c r="DM333" s="1387">
        <v>34110</v>
      </c>
      <c r="DN333" s="338" t="str">
        <f>IF(County="Lee","Lee","Collier")</f>
        <v>Collier</v>
      </c>
      <c r="DP333" s="236">
        <v>58.1</v>
      </c>
      <c r="DQ333" s="236" t="s">
        <v>340</v>
      </c>
      <c r="DV333" s="340">
        <v>19.190000000000001</v>
      </c>
      <c r="DW333" s="340" t="s">
        <v>323</v>
      </c>
      <c r="DX333" s="1671"/>
      <c r="EB333" s="618"/>
      <c r="EC333" s="618"/>
      <c r="ED333" s="618"/>
      <c r="EE333" s="618"/>
      <c r="EF333" s="618"/>
      <c r="EG333" s="618"/>
      <c r="EH333" s="618"/>
      <c r="EI333" s="618"/>
      <c r="EJ333" s="618"/>
      <c r="EK333" s="618"/>
      <c r="EL333" s="618"/>
      <c r="EM333" s="618"/>
    </row>
    <row r="334" spans="1:143">
      <c r="A334" s="339">
        <v>33765</v>
      </c>
      <c r="B334" s="338" t="s">
        <v>342</v>
      </c>
      <c r="E334" s="858"/>
      <c r="F334" s="338">
        <v>402.1</v>
      </c>
      <c r="G334" s="338" t="s">
        <v>323</v>
      </c>
      <c r="L334" s="2481">
        <v>1103.1099999999999</v>
      </c>
      <c r="M334" s="340" t="s">
        <v>289</v>
      </c>
      <c r="N334" s="1390"/>
      <c r="O334" s="2479"/>
      <c r="P334" s="2282"/>
      <c r="T334" s="341" t="str">
        <f t="array" ref="T334">IFERROR(IF($T$11="Yes",INDEX($L$13:$L$2813,SMALL(IF((County=$M$13:$M$2813),MATCH(ROW($M$13:$M$2813),ROW($M$13:$M$2813)),""),ROWS($A$13:A334))),""),"")</f>
        <v/>
      </c>
      <c r="V334" s="2283" t="str">
        <f t="array" ref="V334">IFERROR(IF($T$11="Yes",INDEX($O$14:$O$2811,SMALL(IF((County=$P$14:$P$2811),MATCH(ROW($P$14:$P$2811),ROW($P$14:$P$2811)),""),ROWS($A$13:A334))),""),"")</f>
        <v/>
      </c>
      <c r="X334" s="339">
        <v>33966</v>
      </c>
      <c r="Y334" s="338" t="s">
        <v>323</v>
      </c>
      <c r="AA334" s="338">
        <v>84.3</v>
      </c>
      <c r="AB334" s="338" t="s">
        <v>331</v>
      </c>
      <c r="AG334" s="2297">
        <v>20.100000000000001</v>
      </c>
      <c r="AH334" s="2297" t="s">
        <v>328</v>
      </c>
      <c r="AI334" s="1390"/>
      <c r="AJ334" s="2282"/>
      <c r="AK334" s="2282"/>
      <c r="AL334" s="1037"/>
      <c r="AM334" s="339">
        <v>34291</v>
      </c>
      <c r="AN334" s="338" t="s">
        <v>347</v>
      </c>
      <c r="AQ334" s="858"/>
      <c r="AR334" s="338">
        <v>2.0299999999999998</v>
      </c>
      <c r="AS334" s="338" t="s">
        <v>329</v>
      </c>
      <c r="AX334" s="340">
        <v>910</v>
      </c>
      <c r="AY334" s="340" t="s">
        <v>289</v>
      </c>
      <c r="BC334" s="341" t="str">
        <f t="array" ref="BC334">IFERROR(IF($BC$11="Yes",INDEX($AX$13:$AX$2950,SMALL(IF((County=$AY$13:$AY$2950),MATCH(ROW($AY$13:$AY$2950),ROW($AY$13:$AY$2950)),""),ROWS($A$13:$A334))),""),"")</f>
        <v/>
      </c>
      <c r="BE334" s="339">
        <v>34677</v>
      </c>
      <c r="BF334" s="338" t="s">
        <v>342</v>
      </c>
      <c r="BH334" s="338">
        <v>54.09</v>
      </c>
      <c r="BI334" s="338" t="s">
        <v>331</v>
      </c>
      <c r="BN334" s="340">
        <v>18.190000000000001</v>
      </c>
      <c r="BO334" s="340" t="s">
        <v>276</v>
      </c>
      <c r="BP334" s="1385"/>
      <c r="BQ334" s="341">
        <v>33770</v>
      </c>
      <c r="BR334" s="338" t="s">
        <v>342</v>
      </c>
      <c r="BU334" s="858"/>
      <c r="BV334" s="338">
        <v>203.2</v>
      </c>
      <c r="BW334" s="338" t="s">
        <v>289</v>
      </c>
      <c r="CB334" s="340">
        <v>906.02</v>
      </c>
      <c r="CC334" s="340" t="s">
        <v>289</v>
      </c>
      <c r="CE334" s="341" t="str">
        <f t="array" ref="CE334">IFERROR(IF($CE$11="Metro",INDEX($BV$13:$BV$4972,SMALL(IF((County=$BW$13:$BW$4972),MATCH(ROW($BW$13:$BW$4972),ROW($BW$13:$BW$4972)),""),ROWS($A$13:$A334))),INDEX($BY$13:$BY$212,SMALL(IF((County=$BZ$13:$BZ$212),MATCH(ROW($BZ$13:$BZ$212),ROW($BZ$13:$BZ$212)),""),ROWS($A$13:$A334)))),"")</f>
        <v/>
      </c>
      <c r="CG334" s="341" t="str">
        <f t="array" ref="CG334">IFERROR(IF($CG$11="Yes",INDEX($CB$13:$CB$2950,SMALL(IF((County=$CC$13:$CC$2950),MATCH(ROW($CC$13:$CC$2950),ROW($CC$13:$CC$2950)),""),ROWS($A$13:$A334))),""),"")</f>
        <v/>
      </c>
      <c r="CI334" s="1583">
        <v>34113</v>
      </c>
      <c r="CJ334" s="338" t="s">
        <v>297</v>
      </c>
      <c r="CL334" s="338">
        <v>9</v>
      </c>
      <c r="CM334" s="338" t="s">
        <v>285</v>
      </c>
      <c r="CR334" s="340">
        <v>19.03</v>
      </c>
      <c r="CS334" s="340" t="s">
        <v>347</v>
      </c>
      <c r="CT334" s="1384"/>
      <c r="CU334" s="341">
        <v>33770</v>
      </c>
      <c r="CV334" s="338" t="s">
        <v>342</v>
      </c>
      <c r="CZ334" s="1795">
        <v>504.01</v>
      </c>
      <c r="DA334" s="338" t="s">
        <v>318</v>
      </c>
      <c r="DF334" s="340">
        <v>908.02</v>
      </c>
      <c r="DG334" s="340" t="s">
        <v>289</v>
      </c>
      <c r="DK334" s="341" t="str">
        <f t="array" ref="DK334">IFERROR(IF($DK$11="Yes",INDEX($DF$13:$DF$2838,SMALL(IF((County=$DG$13:$DG$2838),MATCH(ROW($DG$13:$DG$2838),ROW($DG$13:$DG$2838)),""),ROWS($A$13:$A334))),""),"")</f>
        <v/>
      </c>
      <c r="DM334" s="1387">
        <v>34110</v>
      </c>
      <c r="DN334" s="338" t="str">
        <f>IF(County="Lee","Collier","Lee")</f>
        <v>Lee</v>
      </c>
      <c r="DP334" s="236">
        <v>58.14</v>
      </c>
      <c r="DQ334" s="236" t="s">
        <v>340</v>
      </c>
      <c r="DV334" s="340">
        <v>19.190000000000001</v>
      </c>
      <c r="DW334" s="340" t="s">
        <v>340</v>
      </c>
      <c r="DX334" s="1671"/>
      <c r="EB334" s="618"/>
      <c r="EC334" s="618"/>
      <c r="ED334" s="618"/>
      <c r="EE334" s="618"/>
      <c r="EF334" s="618"/>
      <c r="EG334" s="618"/>
      <c r="EH334" s="618"/>
      <c r="EI334" s="618"/>
      <c r="EJ334" s="618"/>
      <c r="EK334" s="618"/>
      <c r="EL334" s="618"/>
      <c r="EM334" s="618"/>
    </row>
    <row r="335" spans="1:143">
      <c r="A335" s="339">
        <v>33767</v>
      </c>
      <c r="B335" s="338" t="s">
        <v>342</v>
      </c>
      <c r="E335" s="858"/>
      <c r="F335" s="338">
        <v>403.04</v>
      </c>
      <c r="G335" s="338" t="s">
        <v>323</v>
      </c>
      <c r="L335" s="2481">
        <v>1103.1300000000001</v>
      </c>
      <c r="M335" s="340" t="s">
        <v>289</v>
      </c>
      <c r="N335" s="1390"/>
      <c r="O335" s="2479"/>
      <c r="P335" s="2282"/>
      <c r="T335" s="341" t="str">
        <f t="array" ref="T335">IFERROR(IF($T$11="Yes",INDEX($L$13:$L$2813,SMALL(IF((County=$M$13:$M$2813),MATCH(ROW($M$13:$M$2813),ROW($M$13:$M$2813)),""),ROWS($A$13:A335))),""),"")</f>
        <v/>
      </c>
      <c r="V335" s="2283" t="str">
        <f t="array" ref="V335">IFERROR(IF($T$11="Yes",INDEX($O$14:$O$2811,SMALL(IF((County=$P$14:$P$2811),MATCH(ROW($P$14:$P$2811),ROW($P$14:$P$2811)),""),ROWS($A$13:A335))),""),"")</f>
        <v/>
      </c>
      <c r="X335" s="339">
        <v>33967</v>
      </c>
      <c r="Y335" s="338" t="s">
        <v>323</v>
      </c>
      <c r="AA335" s="338">
        <v>84.31</v>
      </c>
      <c r="AB335" s="338" t="s">
        <v>331</v>
      </c>
      <c r="AG335" s="2297">
        <v>20.12</v>
      </c>
      <c r="AH335" s="2297" t="s">
        <v>328</v>
      </c>
      <c r="AI335" s="1390"/>
      <c r="AJ335" s="2282"/>
      <c r="AK335" s="2282"/>
      <c r="AL335" s="1037"/>
      <c r="AM335" s="339">
        <v>34292</v>
      </c>
      <c r="AN335" s="338" t="s">
        <v>347</v>
      </c>
      <c r="AQ335" s="858"/>
      <c r="AR335" s="338">
        <v>3.02</v>
      </c>
      <c r="AS335" s="338" t="s">
        <v>329</v>
      </c>
      <c r="AX335" s="340">
        <v>917.01</v>
      </c>
      <c r="AY335" s="340" t="s">
        <v>289</v>
      </c>
      <c r="BC335" s="341" t="str">
        <f t="array" ref="BC335">IFERROR(IF($BC$11="Yes",INDEX($AX$13:$AX$2950,SMALL(IF((County=$AY$13:$AY$2950),MATCH(ROW($AY$13:$AY$2950),ROW($AY$13:$AY$2950)),""),ROWS($A$13:$A335))),""),"")</f>
        <v/>
      </c>
      <c r="BE335" s="339">
        <v>34681</v>
      </c>
      <c r="BF335" s="338" t="s">
        <v>342</v>
      </c>
      <c r="BH335" s="338">
        <v>54.1</v>
      </c>
      <c r="BI335" s="338" t="s">
        <v>331</v>
      </c>
      <c r="BN335" s="340">
        <v>19</v>
      </c>
      <c r="BO335" s="340" t="s">
        <v>285</v>
      </c>
      <c r="BP335" s="1385"/>
      <c r="BQ335" s="341">
        <v>33771</v>
      </c>
      <c r="BR335" s="338" t="s">
        <v>342</v>
      </c>
      <c r="BU335" s="858"/>
      <c r="BV335" s="338">
        <v>203.21</v>
      </c>
      <c r="BW335" s="338" t="s">
        <v>289</v>
      </c>
      <c r="CB335" s="340">
        <v>907</v>
      </c>
      <c r="CC335" s="340" t="s">
        <v>289</v>
      </c>
      <c r="CE335" s="341" t="str">
        <f t="array" ref="CE335">IFERROR(IF($CE$11="Metro",INDEX($BV$13:$BV$4972,SMALL(IF((County=$BW$13:$BW$4972),MATCH(ROW($BW$13:$BW$4972),ROW($BW$13:$BW$4972)),""),ROWS($A$13:$A335))),INDEX($BY$13:$BY$212,SMALL(IF((County=$BZ$13:$BZ$212),MATCH(ROW($BZ$13:$BZ$212),ROW($BZ$13:$BZ$212)),""),ROWS($A$13:$A335)))),"")</f>
        <v/>
      </c>
      <c r="CG335" s="341" t="str">
        <f t="array" ref="CG335">IFERROR(IF($CG$11="Yes",INDEX($CB$13:$CB$2950,SMALL(IF((County=$CC$13:$CC$2950),MATCH(ROW($CC$13:$CC$2950),ROW($CC$13:$CC$2950)),""),ROWS($A$13:$A335))),""),"")</f>
        <v/>
      </c>
      <c r="CI335" s="1583">
        <v>34117</v>
      </c>
      <c r="CJ335" s="338" t="s">
        <v>297</v>
      </c>
      <c r="CL335" s="236">
        <v>9</v>
      </c>
      <c r="CM335" s="236" t="s">
        <v>304</v>
      </c>
      <c r="CR335" s="340">
        <v>19.04</v>
      </c>
      <c r="CS335" s="340" t="s">
        <v>328</v>
      </c>
      <c r="CT335" s="1384"/>
      <c r="CU335" s="341">
        <v>33771</v>
      </c>
      <c r="CV335" s="338" t="s">
        <v>342</v>
      </c>
      <c r="CZ335" s="1795">
        <v>506.04</v>
      </c>
      <c r="DA335" s="338" t="s">
        <v>318</v>
      </c>
      <c r="DF335" s="340">
        <v>909</v>
      </c>
      <c r="DG335" s="340" t="s">
        <v>289</v>
      </c>
      <c r="DK335" s="341" t="str">
        <f t="array" ref="DK335">IFERROR(IF($DK$11="Yes",INDEX($DF$13:$DF$2838,SMALL(IF((County=$DG$13:$DG$2838),MATCH(ROW($DG$13:$DG$2838),ROW($DG$13:$DG$2838)),""),ROWS($A$13:$A335))),""),"")</f>
        <v/>
      </c>
      <c r="DM335" s="1387">
        <v>34117</v>
      </c>
      <c r="DN335" s="338" t="s">
        <v>297</v>
      </c>
      <c r="DP335" s="236">
        <v>59.03</v>
      </c>
      <c r="DQ335" s="236" t="s">
        <v>331</v>
      </c>
      <c r="DV335" s="340">
        <v>19.2</v>
      </c>
      <c r="DW335" s="340" t="s">
        <v>323</v>
      </c>
      <c r="DX335" s="1671"/>
      <c r="EB335" s="618"/>
      <c r="EC335" s="618"/>
      <c r="ED335" s="618"/>
      <c r="EE335" s="618"/>
      <c r="EF335" s="618"/>
      <c r="EG335" s="618"/>
      <c r="EH335" s="618"/>
      <c r="EI335" s="618"/>
      <c r="EJ335" s="618"/>
      <c r="EK335" s="618"/>
      <c r="EL335" s="618"/>
      <c r="EM335" s="618"/>
    </row>
    <row r="336" spans="1:143">
      <c r="A336" s="339">
        <v>33772</v>
      </c>
      <c r="B336" s="338" t="s">
        <v>342</v>
      </c>
      <c r="E336" s="858"/>
      <c r="F336" s="338">
        <v>403.05</v>
      </c>
      <c r="G336" s="338" t="s">
        <v>323</v>
      </c>
      <c r="L336" s="2481">
        <v>1103.19</v>
      </c>
      <c r="M336" s="340" t="s">
        <v>289</v>
      </c>
      <c r="N336" s="1390"/>
      <c r="O336" s="2479"/>
      <c r="P336" s="2282"/>
      <c r="T336" s="341" t="str">
        <f t="array" ref="T336">IFERROR(IF($T$11="Yes",INDEX($L$13:$L$2813,SMALL(IF((County=$M$13:$M$2813),MATCH(ROW($M$13:$M$2813),ROW($M$13:$M$2813)),""),ROWS($A$13:A336))),""),"")</f>
        <v/>
      </c>
      <c r="V336" s="2283" t="str">
        <f t="array" ref="V336">IFERROR(IF($T$11="Yes",INDEX($O$14:$O$2811,SMALL(IF((County=$P$14:$P$2811),MATCH(ROW($P$14:$P$2811),ROW($P$14:$P$2811)),""),ROWS($A$13:A336))),""),"")</f>
        <v/>
      </c>
      <c r="X336" s="339">
        <v>33971</v>
      </c>
      <c r="Y336" s="338" t="s">
        <v>323</v>
      </c>
      <c r="AA336" s="338">
        <v>88.05</v>
      </c>
      <c r="AB336" s="338" t="s">
        <v>331</v>
      </c>
      <c r="AG336" s="2297">
        <v>20.12</v>
      </c>
      <c r="AH336" s="2297" t="s">
        <v>347</v>
      </c>
      <c r="AI336" s="1390"/>
      <c r="AJ336" s="2282"/>
      <c r="AK336" s="2282"/>
      <c r="AL336" s="1037"/>
      <c r="AM336" s="339">
        <v>34293</v>
      </c>
      <c r="AN336" s="338" t="s">
        <v>347</v>
      </c>
      <c r="AQ336" s="858"/>
      <c r="AR336" s="338">
        <v>4.01</v>
      </c>
      <c r="AS336" s="338" t="s">
        <v>329</v>
      </c>
      <c r="AX336" s="340">
        <v>917.02</v>
      </c>
      <c r="AY336" s="340" t="s">
        <v>289</v>
      </c>
      <c r="BC336" s="341" t="str">
        <f t="array" ref="BC336">IFERROR(IF($BC$11="Yes",INDEX($AX$13:$AX$2950,SMALL(IF((County=$AY$13:$AY$2950),MATCH(ROW($AY$13:$AY$2950),ROW($AY$13:$AY$2950)),""),ROWS($A$13:$A336))),""),"")</f>
        <v/>
      </c>
      <c r="BE336" s="339">
        <v>34683</v>
      </c>
      <c r="BF336" s="338" t="s">
        <v>342</v>
      </c>
      <c r="BH336" s="338">
        <v>55.03</v>
      </c>
      <c r="BI336" s="338" t="s">
        <v>331</v>
      </c>
      <c r="BN336" s="340">
        <v>19</v>
      </c>
      <c r="BO336" s="340" t="s">
        <v>329</v>
      </c>
      <c r="BP336" s="1385"/>
      <c r="BQ336" s="341">
        <v>33772</v>
      </c>
      <c r="BR336" s="338" t="s">
        <v>342</v>
      </c>
      <c r="BU336" s="858"/>
      <c r="BV336" s="338">
        <v>203.22</v>
      </c>
      <c r="BW336" s="338" t="s">
        <v>289</v>
      </c>
      <c r="CB336" s="340">
        <v>908.02</v>
      </c>
      <c r="CC336" s="340" t="s">
        <v>289</v>
      </c>
      <c r="CE336" s="341" t="str">
        <f t="array" ref="CE336">IFERROR(IF($CE$11="Metro",INDEX($BV$13:$BV$4972,SMALL(IF((County=$BW$13:$BW$4972),MATCH(ROW($BW$13:$BW$4972),ROW($BW$13:$BW$4972)),""),ROWS($A$13:$A336))),INDEX($BY$13:$BY$212,SMALL(IF((County=$BZ$13:$BZ$212),MATCH(ROW($BZ$13:$BZ$212),ROW($BZ$13:$BZ$212)),""),ROWS($A$13:$A336)))),"")</f>
        <v/>
      </c>
      <c r="CG336" s="341" t="str">
        <f t="array" ref="CG336">IFERROR(IF($CG$11="Yes",INDEX($CB$13:$CB$2950,SMALL(IF((County=$CC$13:$CC$2950),MATCH(ROW($CC$13:$CC$2950),ROW($CC$13:$CC$2950)),""),ROWS($A$13:$A336))),""),"")</f>
        <v/>
      </c>
      <c r="CI336" s="1583">
        <v>34119</v>
      </c>
      <c r="CJ336" s="338" t="s">
        <v>297</v>
      </c>
      <c r="CL336" s="236">
        <v>9</v>
      </c>
      <c r="CM336" s="236" t="s">
        <v>323</v>
      </c>
      <c r="CR336" s="340">
        <v>19.04</v>
      </c>
      <c r="CS336" s="340" t="s">
        <v>340</v>
      </c>
      <c r="CT336" s="1384"/>
      <c r="CU336" s="341">
        <v>33772</v>
      </c>
      <c r="CV336" s="338" t="s">
        <v>342</v>
      </c>
      <c r="CZ336" s="1795">
        <v>509.07</v>
      </c>
      <c r="DA336" s="338" t="s">
        <v>318</v>
      </c>
      <c r="DF336" s="340">
        <v>917.02</v>
      </c>
      <c r="DG336" s="340" t="s">
        <v>289</v>
      </c>
      <c r="DK336" s="341" t="str">
        <f t="array" ref="DK336">IFERROR(IF($DK$11="Yes",INDEX($DF$13:$DF$2838,SMALL(IF((County=$DG$13:$DG$2838),MATCH(ROW($DG$13:$DG$2838),ROW($DG$13:$DG$2838)),""),ROWS($A$13:$A336))),""),"")</f>
        <v/>
      </c>
      <c r="DM336" s="1387">
        <v>34119</v>
      </c>
      <c r="DN336" s="338" t="str">
        <f>IF(County="Lee","Lee","Collier")</f>
        <v>Collier</v>
      </c>
      <c r="DP336" s="236">
        <v>59.33</v>
      </c>
      <c r="DQ336" s="236" t="s">
        <v>340</v>
      </c>
      <c r="DV336" s="340">
        <v>19.23</v>
      </c>
      <c r="DW336" s="340" t="s">
        <v>323</v>
      </c>
      <c r="DX336" s="1671"/>
      <c r="EB336" s="618"/>
      <c r="EC336" s="618"/>
      <c r="ED336" s="618"/>
      <c r="EE336" s="618"/>
      <c r="EF336" s="618"/>
      <c r="EG336" s="618"/>
      <c r="EH336" s="618"/>
      <c r="EI336" s="618"/>
      <c r="EJ336" s="618"/>
      <c r="EK336" s="618"/>
      <c r="EL336" s="618"/>
      <c r="EM336" s="618"/>
    </row>
    <row r="337" spans="1:143">
      <c r="A337" s="339">
        <v>33773</v>
      </c>
      <c r="B337" s="338" t="s">
        <v>342</v>
      </c>
      <c r="E337" s="858"/>
      <c r="F337" s="338">
        <v>403.11</v>
      </c>
      <c r="G337" s="338" t="s">
        <v>323</v>
      </c>
      <c r="L337" s="2481">
        <v>1103.21</v>
      </c>
      <c r="M337" s="340" t="s">
        <v>289</v>
      </c>
      <c r="N337" s="1390"/>
      <c r="O337" s="2479"/>
      <c r="P337" s="2282"/>
      <c r="T337" s="341" t="str">
        <f t="array" ref="T337">IFERROR(IF($T$11="Yes",INDEX($L$13:$L$2813,SMALL(IF((County=$M$13:$M$2813),MATCH(ROW($M$13:$M$2813),ROW($M$13:$M$2813)),""),ROWS($A$13:A337))),""),"")</f>
        <v/>
      </c>
      <c r="V337" s="2283" t="str">
        <f t="array" ref="V337">IFERROR(IF($T$11="Yes",INDEX($O$14:$O$2811,SMALL(IF((County=$P$14:$P$2811),MATCH(ROW($P$14:$P$2811),ROW($P$14:$P$2811)),""),ROWS($A$13:A337))),""),"")</f>
        <v/>
      </c>
      <c r="X337" s="339">
        <v>33974</v>
      </c>
      <c r="Y337" s="338" t="s">
        <v>323</v>
      </c>
      <c r="AA337" s="338">
        <v>89.07</v>
      </c>
      <c r="AB337" s="338" t="s">
        <v>331</v>
      </c>
      <c r="AG337" s="2297">
        <v>20.13</v>
      </c>
      <c r="AH337" s="2297" t="s">
        <v>347</v>
      </c>
      <c r="AI337" s="1390"/>
      <c r="AJ337" s="2282"/>
      <c r="AK337" s="2282"/>
      <c r="AL337" s="1037"/>
      <c r="AM337" s="339">
        <v>32701</v>
      </c>
      <c r="AN337" s="338" t="s">
        <v>348</v>
      </c>
      <c r="AQ337" s="858"/>
      <c r="AR337" s="338">
        <v>4.0199999999999996</v>
      </c>
      <c r="AS337" s="338" t="s">
        <v>329</v>
      </c>
      <c r="AX337" s="340">
        <v>918.04</v>
      </c>
      <c r="AY337" s="340" t="s">
        <v>289</v>
      </c>
      <c r="BC337" s="341" t="str">
        <f t="array" ref="BC337">IFERROR(IF($BC$11="Yes",INDEX($AX$13:$AX$2950,SMALL(IF((County=$AY$13:$AY$2950),MATCH(ROW($AY$13:$AY$2950),ROW($AY$13:$AY$2950)),""),ROWS($A$13:$A337))),""),"")</f>
        <v/>
      </c>
      <c r="BE337" s="339">
        <v>34684</v>
      </c>
      <c r="BF337" s="338" t="s">
        <v>342</v>
      </c>
      <c r="BH337" s="338">
        <v>55.04</v>
      </c>
      <c r="BI337" s="338" t="s">
        <v>331</v>
      </c>
      <c r="BN337" s="340">
        <v>19.03</v>
      </c>
      <c r="BO337" s="340" t="s">
        <v>323</v>
      </c>
      <c r="BP337" s="1385"/>
      <c r="BQ337" s="341">
        <v>33776</v>
      </c>
      <c r="BR337" s="338" t="s">
        <v>342</v>
      </c>
      <c r="BU337" s="858"/>
      <c r="BV337" s="338">
        <v>203.23</v>
      </c>
      <c r="BW337" s="338" t="s">
        <v>289</v>
      </c>
      <c r="CB337" s="340">
        <v>909</v>
      </c>
      <c r="CC337" s="340" t="s">
        <v>289</v>
      </c>
      <c r="CE337" s="341" t="str">
        <f t="array" ref="CE337">IFERROR(IF($CE$11="Metro",INDEX($BV$13:$BV$4972,SMALL(IF((County=$BW$13:$BW$4972),MATCH(ROW($BW$13:$BW$4972),ROW($BW$13:$BW$4972)),""),ROWS($A$13:$A337))),INDEX($BY$13:$BY$212,SMALL(IF((County=$BZ$13:$BZ$212),MATCH(ROW($BZ$13:$BZ$212),ROW($BZ$13:$BZ$212)),""),ROWS($A$13:$A337)))),"")</f>
        <v/>
      </c>
      <c r="CG337" s="341" t="str">
        <f t="array" ref="CG337">IFERROR(IF($CG$11="Yes",INDEX($CB$13:$CB$2950,SMALL(IF((County=$CC$13:$CC$2950),MATCH(ROW($CC$13:$CC$2950),ROW($CC$13:$CC$2950)),""),ROWS($A$13:$A337))),""),"")</f>
        <v/>
      </c>
      <c r="CI337" s="1583">
        <v>34120</v>
      </c>
      <c r="CJ337" s="338" t="s">
        <v>297</v>
      </c>
      <c r="CL337" s="236">
        <v>9</v>
      </c>
      <c r="CM337" s="236" t="s">
        <v>347</v>
      </c>
      <c r="CR337" s="340">
        <v>19.04</v>
      </c>
      <c r="CS337" s="340" t="s">
        <v>347</v>
      </c>
      <c r="CT337" s="1384"/>
      <c r="CU337" s="341">
        <v>33773</v>
      </c>
      <c r="CV337" s="338" t="s">
        <v>342</v>
      </c>
      <c r="CZ337" s="1795">
        <v>509.08</v>
      </c>
      <c r="DA337" s="338" t="s">
        <v>318</v>
      </c>
      <c r="DF337" s="340">
        <v>919.01</v>
      </c>
      <c r="DG337" s="340" t="s">
        <v>289</v>
      </c>
      <c r="DK337" s="341" t="str">
        <f t="array" ref="DK337">IFERROR(IF($DK$11="Yes",INDEX($DF$13:$DF$2838,SMALL(IF((County=$DG$13:$DG$2838),MATCH(ROW($DG$13:$DG$2838),ROW($DG$13:$DG$2838)),""),ROWS($A$13:$A337))),""),"")</f>
        <v/>
      </c>
      <c r="DM337" s="1387">
        <v>34119</v>
      </c>
      <c r="DN337" s="338" t="str">
        <f>IF(County="Lee","Collier","Lee")</f>
        <v>Lee</v>
      </c>
      <c r="DP337" s="236">
        <v>59.39</v>
      </c>
      <c r="DQ337" s="236" t="s">
        <v>340</v>
      </c>
      <c r="DV337" s="340">
        <v>20.03</v>
      </c>
      <c r="DW337" s="340" t="s">
        <v>328</v>
      </c>
      <c r="DX337" s="1671"/>
      <c r="EB337" s="618"/>
      <c r="EC337" s="618"/>
      <c r="ED337" s="618"/>
      <c r="EE337" s="618"/>
      <c r="EF337" s="618"/>
      <c r="EG337" s="618"/>
      <c r="EH337" s="618"/>
      <c r="EI337" s="618"/>
      <c r="EJ337" s="618"/>
      <c r="EK337" s="618"/>
      <c r="EL337" s="618"/>
      <c r="EM337" s="618"/>
    </row>
    <row r="338" spans="1:143">
      <c r="A338" s="339">
        <v>33776</v>
      </c>
      <c r="B338" s="338" t="s">
        <v>342</v>
      </c>
      <c r="E338" s="858"/>
      <c r="F338" s="338">
        <v>801</v>
      </c>
      <c r="G338" s="338" t="s">
        <v>323</v>
      </c>
      <c r="L338" s="2481">
        <v>1103.26</v>
      </c>
      <c r="M338" s="340" t="s">
        <v>289</v>
      </c>
      <c r="N338" s="1390"/>
      <c r="O338" s="2479"/>
      <c r="P338" s="2282"/>
      <c r="T338" s="341" t="str">
        <f t="array" ref="T338">IFERROR(IF($T$11="Yes",INDEX($L$13:$L$2813,SMALL(IF((County=$M$13:$M$2813),MATCH(ROW($M$13:$M$2813),ROW($M$13:$M$2813)),""),ROWS($A$13:A338))),""),"")</f>
        <v/>
      </c>
      <c r="V338" s="2283" t="str">
        <f t="array" ref="V338">IFERROR(IF($T$11="Yes",INDEX($O$14:$O$2811,SMALL(IF((County=$P$14:$P$2811),MATCH(ROW($P$14:$P$2811),ROW($P$14:$P$2811)),""),ROWS($A$13:A338))),""),"")</f>
        <v/>
      </c>
      <c r="X338" s="339">
        <v>33976</v>
      </c>
      <c r="Y338" s="338" t="s">
        <v>323</v>
      </c>
      <c r="AA338" s="338">
        <v>90.21</v>
      </c>
      <c r="AB338" s="338" t="s">
        <v>331</v>
      </c>
      <c r="AG338" s="2297">
        <v>20.14</v>
      </c>
      <c r="AH338" s="2297" t="s">
        <v>328</v>
      </c>
      <c r="AI338" s="1390"/>
      <c r="AJ338" s="2282"/>
      <c r="AK338" s="2282"/>
      <c r="AL338" s="1037"/>
      <c r="AM338" s="339">
        <v>32707</v>
      </c>
      <c r="AN338" s="338" t="s">
        <v>348</v>
      </c>
      <c r="AQ338" s="858"/>
      <c r="AR338" s="338">
        <v>6.04</v>
      </c>
      <c r="AS338" s="338" t="s">
        <v>329</v>
      </c>
      <c r="AX338" s="340">
        <v>919.01</v>
      </c>
      <c r="AY338" s="340" t="s">
        <v>289</v>
      </c>
      <c r="BC338" s="341" t="str">
        <f t="array" ref="BC338">IFERROR(IF($BC$11="Yes",INDEX($AX$13:$AX$2950,SMALL(IF((County=$AY$13:$AY$2950),MATCH(ROW($AY$13:$AY$2950),ROW($AY$13:$AY$2950)),""),ROWS($A$13:$A338))),""),"")</f>
        <v/>
      </c>
      <c r="BE338" s="339">
        <v>34685</v>
      </c>
      <c r="BF338" s="338" t="s">
        <v>342</v>
      </c>
      <c r="BH338" s="338">
        <v>55.05</v>
      </c>
      <c r="BI338" s="338" t="s">
        <v>331</v>
      </c>
      <c r="BN338" s="340">
        <v>19.03</v>
      </c>
      <c r="BO338" s="340" t="s">
        <v>347</v>
      </c>
      <c r="BP338" s="1385"/>
      <c r="BQ338" s="341">
        <v>33777</v>
      </c>
      <c r="BR338" s="338" t="s">
        <v>342</v>
      </c>
      <c r="BU338" s="858"/>
      <c r="BV338" s="338">
        <v>203.24</v>
      </c>
      <c r="BW338" s="338" t="s">
        <v>289</v>
      </c>
      <c r="CB338" s="340">
        <v>910</v>
      </c>
      <c r="CC338" s="340" t="s">
        <v>289</v>
      </c>
      <c r="CE338" s="341" t="str">
        <f t="array" ref="CE338">IFERROR(IF($CE$11="Metro",INDEX($BV$13:$BV$4972,SMALL(IF((County=$BW$13:$BW$4972),MATCH(ROW($BW$13:$BW$4972),ROW($BW$13:$BW$4972)),""),ROWS($A$13:$A338))),INDEX($BY$13:$BY$212,SMALL(IF((County=$BZ$13:$BZ$212),MATCH(ROW($BZ$13:$BZ$212),ROW($BZ$13:$BZ$212)),""),ROWS($A$13:$A338)))),"")</f>
        <v/>
      </c>
      <c r="CG338" s="341" t="str">
        <f t="array" ref="CG338">IFERROR(IF($CG$11="Yes",INDEX($CB$13:$CB$2950,SMALL(IF((County=$CC$13:$CC$2950),MATCH(ROW($CC$13:$CC$2950),ROW($CC$13:$CC$2950)),""),ROWS($A$13:$A338))),""),"")</f>
        <v/>
      </c>
      <c r="CI338" s="1583">
        <v>34134</v>
      </c>
      <c r="CJ338" s="338" t="s">
        <v>323</v>
      </c>
      <c r="CL338" s="338">
        <v>9.01</v>
      </c>
      <c r="CM338" s="338" t="s">
        <v>276</v>
      </c>
      <c r="CR338" s="340">
        <v>19.05</v>
      </c>
      <c r="CS338" s="340" t="s">
        <v>347</v>
      </c>
      <c r="CT338" s="1384"/>
      <c r="CU338" s="341">
        <v>33776</v>
      </c>
      <c r="CV338" s="338" t="s">
        <v>342</v>
      </c>
      <c r="CZ338" s="1795">
        <v>2106</v>
      </c>
      <c r="DA338" s="338" t="s">
        <v>319</v>
      </c>
      <c r="DF338" s="340">
        <v>1001.05</v>
      </c>
      <c r="DG338" s="340" t="s">
        <v>289</v>
      </c>
      <c r="DK338" s="341" t="str">
        <f t="array" ref="DK338">IFERROR(IF($DK$11="Yes",INDEX($DF$13:$DF$2838,SMALL(IF((County=$DG$13:$DG$2838),MATCH(ROW($DG$13:$DG$2838),ROW($DG$13:$DG$2838)),""),ROWS($A$13:$A338))),""),"")</f>
        <v/>
      </c>
      <c r="DM338" s="1387">
        <v>34120</v>
      </c>
      <c r="DN338" s="338" t="s">
        <v>297</v>
      </c>
      <c r="DP338" s="236">
        <v>59.4</v>
      </c>
      <c r="DQ338" s="236" t="s">
        <v>340</v>
      </c>
      <c r="DV338" s="340">
        <v>20.05</v>
      </c>
      <c r="DW338" s="340" t="s">
        <v>328</v>
      </c>
      <c r="DX338" s="1671"/>
      <c r="EB338" s="618"/>
      <c r="EC338" s="618"/>
      <c r="ED338" s="618"/>
      <c r="EE338" s="618"/>
      <c r="EF338" s="618"/>
      <c r="EG338" s="618"/>
      <c r="EH338" s="618"/>
      <c r="EI338" s="618"/>
      <c r="EJ338" s="618"/>
      <c r="EK338" s="618"/>
      <c r="EL338" s="618"/>
      <c r="EM338" s="618"/>
    </row>
    <row r="339" spans="1:143">
      <c r="A339" s="339">
        <v>33777</v>
      </c>
      <c r="B339" s="338" t="s">
        <v>342</v>
      </c>
      <c r="E339" s="858"/>
      <c r="F339" s="338">
        <v>5.0199999999999996</v>
      </c>
      <c r="G339" s="338" t="s">
        <v>324</v>
      </c>
      <c r="L339" s="2481">
        <v>1103.27</v>
      </c>
      <c r="M339" s="340" t="s">
        <v>289</v>
      </c>
      <c r="N339" s="1390"/>
      <c r="O339" s="2479"/>
      <c r="P339" s="2282"/>
      <c r="T339" s="341" t="str">
        <f t="array" ref="T339">IFERROR(IF($T$11="Yes",INDEX($L$13:$L$2813,SMALL(IF((County=$M$13:$M$2813),MATCH(ROW($M$13:$M$2813),ROW($M$13:$M$2813)),""),ROWS($A$13:A339))),""),"")</f>
        <v/>
      </c>
      <c r="V339" s="2283" t="str">
        <f t="array" ref="V339">IFERROR(IF($T$11="Yes",INDEX($O$14:$O$2811,SMALL(IF((County=$P$14:$P$2811),MATCH(ROW($P$14:$P$2811),ROW($P$14:$P$2811)),""),ROWS($A$13:A339))),""),"")</f>
        <v/>
      </c>
      <c r="X339" s="339">
        <v>33981</v>
      </c>
      <c r="Y339" s="338" t="s">
        <v>294</v>
      </c>
      <c r="AA339" s="338">
        <v>90.26</v>
      </c>
      <c r="AB339" s="338" t="s">
        <v>331</v>
      </c>
      <c r="AG339" s="2297">
        <v>20.14</v>
      </c>
      <c r="AH339" s="2297" t="s">
        <v>347</v>
      </c>
      <c r="AI339" s="1390"/>
      <c r="AJ339" s="2282"/>
      <c r="AK339" s="2282"/>
      <c r="AL339" s="1037"/>
      <c r="AM339" s="339">
        <v>32708</v>
      </c>
      <c r="AN339" s="338" t="s">
        <v>348</v>
      </c>
      <c r="AQ339" s="858"/>
      <c r="AR339" s="338">
        <v>14.01</v>
      </c>
      <c r="AS339" s="338" t="s">
        <v>329</v>
      </c>
      <c r="AX339" s="340">
        <v>919.03</v>
      </c>
      <c r="AY339" s="340" t="s">
        <v>289</v>
      </c>
      <c r="BC339" s="341" t="str">
        <f t="array" ref="BC339">IFERROR(IF($BC$11="Yes",INDEX($AX$13:$AX$2950,SMALL(IF((County=$AY$13:$AY$2950),MATCH(ROW($AY$13:$AY$2950),ROW($AY$13:$AY$2950)),""),ROWS($A$13:$A339))),""),"")</f>
        <v/>
      </c>
      <c r="BE339" s="339">
        <v>34688</v>
      </c>
      <c r="BF339" s="338" t="s">
        <v>342</v>
      </c>
      <c r="BH339" s="338">
        <v>57.01</v>
      </c>
      <c r="BI339" s="338" t="s">
        <v>331</v>
      </c>
      <c r="BN339" s="340">
        <v>19.04</v>
      </c>
      <c r="BO339" s="340" t="s">
        <v>328</v>
      </c>
      <c r="BP339" s="1385"/>
      <c r="BQ339" s="341">
        <v>33778</v>
      </c>
      <c r="BR339" s="338" t="s">
        <v>342</v>
      </c>
      <c r="BU339" s="858"/>
      <c r="BV339" s="338">
        <v>203.25</v>
      </c>
      <c r="BW339" s="338" t="s">
        <v>289</v>
      </c>
      <c r="CB339" s="340">
        <v>917.02</v>
      </c>
      <c r="CC339" s="340" t="s">
        <v>289</v>
      </c>
      <c r="CE339" s="341" t="str">
        <f t="array" ref="CE339">IFERROR(IF($CE$11="Metro",INDEX($BV$13:$BV$4972,SMALL(IF((County=$BW$13:$BW$4972),MATCH(ROW($BW$13:$BW$4972),ROW($BW$13:$BW$4972)),""),ROWS($A$13:$A339))),INDEX($BY$13:$BY$212,SMALL(IF((County=$BZ$13:$BZ$212),MATCH(ROW($BZ$13:$BZ$212),ROW($BZ$13:$BZ$212)),""),ROWS($A$13:$A339)))),"")</f>
        <v/>
      </c>
      <c r="CG339" s="341" t="str">
        <f t="array" ref="CG339">IFERROR(IF($CG$11="Yes",INDEX($CB$13:$CB$2950,SMALL(IF((County=$CC$13:$CC$2950),MATCH(ROW($CC$13:$CC$2950),ROW($CC$13:$CC$2950)),""),ROWS($A$13:$A339))),""),"")</f>
        <v/>
      </c>
      <c r="CI339" s="1583">
        <v>34135</v>
      </c>
      <c r="CJ339" s="338" t="s">
        <v>323</v>
      </c>
      <c r="CL339" s="236">
        <v>9.01</v>
      </c>
      <c r="CM339" s="236" t="s">
        <v>316</v>
      </c>
      <c r="CR339" s="340">
        <v>19.07</v>
      </c>
      <c r="CS339" s="340" t="s">
        <v>328</v>
      </c>
      <c r="CT339" s="1384"/>
      <c r="CU339" s="341">
        <v>33777</v>
      </c>
      <c r="CV339" s="338" t="s">
        <v>342</v>
      </c>
      <c r="CZ339" s="1795">
        <v>2108</v>
      </c>
      <c r="DA339" s="338" t="s">
        <v>319</v>
      </c>
      <c r="DF339" s="340">
        <v>1001.07</v>
      </c>
      <c r="DG339" s="340" t="s">
        <v>289</v>
      </c>
      <c r="DK339" s="341" t="str">
        <f t="array" ref="DK339">IFERROR(IF($DK$11="Yes",INDEX($DF$13:$DF$2838,SMALL(IF((County=$DG$13:$DG$2838),MATCH(ROW($DG$13:$DG$2838),ROW($DG$13:$DG$2838)),""),ROWS($A$13:$A339))),""),"")</f>
        <v/>
      </c>
      <c r="DM339" s="1387">
        <v>34134</v>
      </c>
      <c r="DN339" s="338" t="s">
        <v>323</v>
      </c>
      <c r="DP339" s="236">
        <v>59.43</v>
      </c>
      <c r="DQ339" s="236" t="s">
        <v>340</v>
      </c>
      <c r="DV339" s="340">
        <v>20.079999999999998</v>
      </c>
      <c r="DW339" s="340" t="s">
        <v>328</v>
      </c>
      <c r="DX339" s="1671"/>
      <c r="EB339" s="618"/>
      <c r="EC339" s="618"/>
      <c r="ED339" s="618"/>
      <c r="EE339" s="618"/>
      <c r="EF339" s="618"/>
      <c r="EG339" s="618"/>
      <c r="EH339" s="618"/>
      <c r="EI339" s="618"/>
      <c r="EJ339" s="618"/>
      <c r="EK339" s="618"/>
      <c r="EL339" s="618"/>
      <c r="EM339" s="618"/>
    </row>
    <row r="340" spans="1:143">
      <c r="A340" s="339">
        <v>33778</v>
      </c>
      <c r="B340" s="338" t="s">
        <v>342</v>
      </c>
      <c r="E340" s="858"/>
      <c r="F340" s="338">
        <v>6</v>
      </c>
      <c r="G340" s="338" t="s">
        <v>324</v>
      </c>
      <c r="L340" s="2481">
        <v>1103.28</v>
      </c>
      <c r="M340" s="340" t="s">
        <v>289</v>
      </c>
      <c r="N340" s="1390"/>
      <c r="O340" s="2479"/>
      <c r="P340" s="2282"/>
      <c r="T340" s="341" t="str">
        <f t="array" ref="T340">IFERROR(IF($T$11="Yes",INDEX($L$13:$L$2813,SMALL(IF((County=$M$13:$M$2813),MATCH(ROW($M$13:$M$2813),ROW($M$13:$M$2813)),""),ROWS($A$13:A340))),""),"")</f>
        <v/>
      </c>
      <c r="V340" s="2283" t="str">
        <f t="array" ref="V340">IFERROR(IF($T$11="Yes",INDEX($O$14:$O$2811,SMALL(IF((County=$P$14:$P$2811),MATCH(ROW($P$14:$P$2811),ROW($P$14:$P$2811)),""),ROWS($A$13:A340))),""),"")</f>
        <v/>
      </c>
      <c r="X340" s="339">
        <v>33990</v>
      </c>
      <c r="Y340" s="338" t="s">
        <v>294</v>
      </c>
      <c r="AA340" s="338">
        <v>90.3</v>
      </c>
      <c r="AB340" s="338" t="s">
        <v>331</v>
      </c>
      <c r="AG340" s="2297">
        <v>20.149999999999999</v>
      </c>
      <c r="AH340" s="2297" t="s">
        <v>347</v>
      </c>
      <c r="AI340" s="1390"/>
      <c r="AJ340" s="2282"/>
      <c r="AK340" s="2282"/>
      <c r="AL340" s="1037"/>
      <c r="AM340" s="339">
        <v>32714</v>
      </c>
      <c r="AN340" s="338" t="s">
        <v>348</v>
      </c>
      <c r="AQ340" s="858"/>
      <c r="AR340" s="338">
        <v>15</v>
      </c>
      <c r="AS340" s="338" t="s">
        <v>329</v>
      </c>
      <c r="AX340" s="340">
        <v>920</v>
      </c>
      <c r="AY340" s="340" t="s">
        <v>289</v>
      </c>
      <c r="BC340" s="341" t="str">
        <f t="array" ref="BC340">IFERROR(IF($BC$11="Yes",INDEX($AX$13:$AX$2950,SMALL(IF((County=$AY$13:$AY$2950),MATCH(ROW($AY$13:$AY$2950),ROW($AY$13:$AY$2950)),""),ROWS($A$13:$A340))),""),"")</f>
        <v/>
      </c>
      <c r="BE340" s="339">
        <v>34695</v>
      </c>
      <c r="BF340" s="338" t="s">
        <v>342</v>
      </c>
      <c r="BH340" s="338">
        <v>57.03</v>
      </c>
      <c r="BI340" s="338" t="s">
        <v>340</v>
      </c>
      <c r="BN340" s="340">
        <v>19.04</v>
      </c>
      <c r="BO340" s="340" t="s">
        <v>340</v>
      </c>
      <c r="BP340" s="1385"/>
      <c r="BQ340" s="341">
        <v>33782</v>
      </c>
      <c r="BR340" s="338" t="s">
        <v>342</v>
      </c>
      <c r="BU340" s="858"/>
      <c r="BV340" s="338">
        <v>203.26</v>
      </c>
      <c r="BW340" s="338" t="s">
        <v>289</v>
      </c>
      <c r="CB340" s="340">
        <v>918.04</v>
      </c>
      <c r="CC340" s="340" t="s">
        <v>289</v>
      </c>
      <c r="CE340" s="341" t="str">
        <f t="array" ref="CE340">IFERROR(IF($CE$11="Metro",INDEX($BV$13:$BV$4972,SMALL(IF((County=$BW$13:$BW$4972),MATCH(ROW($BW$13:$BW$4972),ROW($BW$13:$BW$4972)),""),ROWS($A$13:$A340))),INDEX($BY$13:$BY$212,SMALL(IF((County=$BZ$13:$BZ$212),MATCH(ROW($BZ$13:$BZ$212),ROW($BZ$13:$BZ$212)),""),ROWS($A$13:$A340)))),"")</f>
        <v/>
      </c>
      <c r="CG340" s="341" t="str">
        <f t="array" ref="CG340">IFERROR(IF($CG$11="Yes",INDEX($CB$13:$CB$2950,SMALL(IF((County=$CC$13:$CC$2950),MATCH(ROW($CC$13:$CC$2950),ROW($CC$13:$CC$2950)),""),ROWS($A$13:$A340))),""),"")</f>
        <v/>
      </c>
      <c r="CI340" s="1583">
        <v>34140</v>
      </c>
      <c r="CJ340" s="338" t="s">
        <v>297</v>
      </c>
      <c r="CL340" s="236">
        <v>9.01</v>
      </c>
      <c r="CM340" s="236" t="s">
        <v>328</v>
      </c>
      <c r="CR340" s="340">
        <v>19.07</v>
      </c>
      <c r="CS340" s="340" t="s">
        <v>340</v>
      </c>
      <c r="CT340" s="1384"/>
      <c r="CU340" s="341">
        <v>33778</v>
      </c>
      <c r="CV340" s="338" t="s">
        <v>342</v>
      </c>
      <c r="CZ340" s="1795">
        <v>2501.0300000000002</v>
      </c>
      <c r="DA340" s="338" t="s">
        <v>320</v>
      </c>
      <c r="DF340" s="340">
        <v>1001.08</v>
      </c>
      <c r="DG340" s="340" t="s">
        <v>289</v>
      </c>
      <c r="DK340" s="341" t="str">
        <f t="array" ref="DK340">IFERROR(IF($DK$11="Yes",INDEX($DF$13:$DF$2838,SMALL(IF((County=$DG$13:$DG$2838),MATCH(ROW($DG$13:$DG$2838),ROW($DG$13:$DG$2838)),""),ROWS($A$13:$A340))),""),"")</f>
        <v/>
      </c>
      <c r="DM340" s="1387">
        <v>34135</v>
      </c>
      <c r="DN340" s="338" t="s">
        <v>323</v>
      </c>
      <c r="DP340" s="236">
        <v>59.44</v>
      </c>
      <c r="DQ340" s="236" t="s">
        <v>340</v>
      </c>
      <c r="DV340" s="340">
        <v>20.079999999999998</v>
      </c>
      <c r="DW340" s="340" t="s">
        <v>347</v>
      </c>
      <c r="DX340" s="1671"/>
      <c r="EB340" s="618"/>
      <c r="EC340" s="618"/>
      <c r="ED340" s="618"/>
      <c r="EE340" s="618"/>
      <c r="EF340" s="618"/>
      <c r="EG340" s="618"/>
      <c r="EH340" s="618"/>
      <c r="EI340" s="618"/>
      <c r="EJ340" s="618"/>
      <c r="EK340" s="618"/>
      <c r="EL340" s="618"/>
      <c r="EM340" s="618"/>
    </row>
    <row r="341" spans="1:143">
      <c r="A341" s="339">
        <v>33782</v>
      </c>
      <c r="B341" s="338" t="s">
        <v>342</v>
      </c>
      <c r="E341" s="858"/>
      <c r="F341" s="338">
        <v>10.01</v>
      </c>
      <c r="G341" s="338" t="s">
        <v>324</v>
      </c>
      <c r="L341" s="2481">
        <v>1103.3</v>
      </c>
      <c r="M341" s="340" t="s">
        <v>289</v>
      </c>
      <c r="N341" s="1390"/>
      <c r="O341" s="2479"/>
      <c r="P341" s="2282"/>
      <c r="T341" s="341" t="str">
        <f t="array" ref="T341">IFERROR(IF($T$11="Yes",INDEX($L$13:$L$2813,SMALL(IF((County=$M$13:$M$2813),MATCH(ROW($M$13:$M$2813),ROW($M$13:$M$2813)),""),ROWS($A$13:A341))),""),"")</f>
        <v/>
      </c>
      <c r="V341" s="2283" t="str">
        <f t="array" ref="V341">IFERROR(IF($T$11="Yes",INDEX($O$14:$O$2811,SMALL(IF((County=$P$14:$P$2811),MATCH(ROW($P$14:$P$2811),ROW($P$14:$P$2811)),""),ROWS($A$13:A341))),""),"")</f>
        <v/>
      </c>
      <c r="X341" s="339">
        <v>33991</v>
      </c>
      <c r="Y341" s="338" t="s">
        <v>294</v>
      </c>
      <c r="AA341" s="338">
        <v>90.31</v>
      </c>
      <c r="AB341" s="338" t="s">
        <v>331</v>
      </c>
      <c r="AG341" s="2297">
        <v>20.16</v>
      </c>
      <c r="AH341" s="2297" t="s">
        <v>328</v>
      </c>
      <c r="AI341" s="1390"/>
      <c r="AJ341" s="2282"/>
      <c r="AK341" s="2282"/>
      <c r="AL341" s="1037"/>
      <c r="AM341" s="339">
        <v>32732</v>
      </c>
      <c r="AN341" s="338" t="s">
        <v>348</v>
      </c>
      <c r="AQ341" s="858"/>
      <c r="AR341" s="338">
        <v>17</v>
      </c>
      <c r="AS341" s="338" t="s">
        <v>329</v>
      </c>
      <c r="AX341" s="340">
        <v>1001.05</v>
      </c>
      <c r="AY341" s="340" t="s">
        <v>289</v>
      </c>
      <c r="BC341" s="341" t="str">
        <f t="array" ref="BC341">IFERROR(IF($BC$11="Yes",INDEX($AX$13:$AX$2950,SMALL(IF((County=$AY$13:$AY$2950),MATCH(ROW($AY$13:$AY$2950),ROW($AY$13:$AY$2950)),""),ROWS($A$13:$A341))),""),"")</f>
        <v/>
      </c>
      <c r="BE341" s="339">
        <v>34698</v>
      </c>
      <c r="BF341" s="338" t="s">
        <v>342</v>
      </c>
      <c r="BH341" s="338">
        <v>57.04</v>
      </c>
      <c r="BI341" s="338" t="s">
        <v>340</v>
      </c>
      <c r="BN341" s="340">
        <v>19.04</v>
      </c>
      <c r="BO341" s="340" t="s">
        <v>347</v>
      </c>
      <c r="BP341" s="1385"/>
      <c r="BQ341" s="341">
        <v>33785</v>
      </c>
      <c r="BR341" s="338" t="s">
        <v>342</v>
      </c>
      <c r="BU341" s="858"/>
      <c r="BV341" s="338">
        <v>204.04</v>
      </c>
      <c r="BW341" s="338" t="s">
        <v>289</v>
      </c>
      <c r="CB341" s="340">
        <v>919.01</v>
      </c>
      <c r="CC341" s="340" t="s">
        <v>289</v>
      </c>
      <c r="CE341" s="341" t="str">
        <f t="array" ref="CE341">IFERROR(IF($CE$11="Metro",INDEX($BV$13:$BV$4972,SMALL(IF((County=$BW$13:$BW$4972),MATCH(ROW($BW$13:$BW$4972),ROW($BW$13:$BW$4972)),""),ROWS($A$13:$A341))),INDEX($BY$13:$BY$212,SMALL(IF((County=$BZ$13:$BZ$212),MATCH(ROW($BZ$13:$BZ$212),ROW($BZ$13:$BZ$212)),""),ROWS($A$13:$A341)))),"")</f>
        <v/>
      </c>
      <c r="CG341" s="341" t="str">
        <f t="array" ref="CG341">IFERROR(IF($CG$11="Yes",INDEX($CB$13:$CB$2950,SMALL(IF((County=$CC$13:$CC$2950),MATCH(ROW($CC$13:$CC$2950),ROW($CC$13:$CC$2950)),""),ROWS($A$13:$A341))),""),"")</f>
        <v/>
      </c>
      <c r="CI341" s="1583">
        <v>34145</v>
      </c>
      <c r="CJ341" s="338" t="s">
        <v>297</v>
      </c>
      <c r="CL341" s="236">
        <v>9.01</v>
      </c>
      <c r="CM341" s="236" t="s">
        <v>329</v>
      </c>
      <c r="CR341" s="340">
        <v>19.079999999999998</v>
      </c>
      <c r="CS341" s="340" t="s">
        <v>323</v>
      </c>
      <c r="CT341" s="1384"/>
      <c r="CU341" s="341">
        <v>33782</v>
      </c>
      <c r="CV341" s="338" t="s">
        <v>342</v>
      </c>
      <c r="CZ341" s="1795">
        <v>301.06</v>
      </c>
      <c r="DA341" s="338" t="s">
        <v>322</v>
      </c>
      <c r="DF341" s="340">
        <v>1008.03</v>
      </c>
      <c r="DG341" s="340" t="s">
        <v>289</v>
      </c>
      <c r="DK341" s="341" t="str">
        <f t="array" ref="DK341">IFERROR(IF($DK$11="Yes",INDEX($DF$13:$DF$2838,SMALL(IF((County=$DG$13:$DG$2838),MATCH(ROW($DG$13:$DG$2838),ROW($DG$13:$DG$2838)),""),ROWS($A$13:$A341))),""),"")</f>
        <v/>
      </c>
      <c r="DM341" s="1387">
        <v>34140</v>
      </c>
      <c r="DN341" s="338" t="s">
        <v>323</v>
      </c>
      <c r="DP341" s="236">
        <v>63.03</v>
      </c>
      <c r="DQ341" s="236" t="s">
        <v>331</v>
      </c>
      <c r="DV341" s="340">
        <v>20.100000000000001</v>
      </c>
      <c r="DW341" s="340" t="s">
        <v>328</v>
      </c>
      <c r="DX341" s="1671"/>
      <c r="EB341" s="618"/>
      <c r="EC341" s="618"/>
      <c r="ED341" s="618"/>
      <c r="EE341" s="618"/>
      <c r="EF341" s="618"/>
      <c r="EG341" s="618"/>
      <c r="EH341" s="618"/>
      <c r="EI341" s="618"/>
      <c r="EJ341" s="618"/>
      <c r="EK341" s="618"/>
      <c r="EL341" s="618"/>
      <c r="EM341" s="618"/>
    </row>
    <row r="342" spans="1:143">
      <c r="A342" s="339">
        <v>33785</v>
      </c>
      <c r="B342" s="338" t="s">
        <v>342</v>
      </c>
      <c r="E342" s="858"/>
      <c r="F342" s="338">
        <v>10.02</v>
      </c>
      <c r="G342" s="338" t="s">
        <v>324</v>
      </c>
      <c r="L342" s="2481">
        <v>1103.32</v>
      </c>
      <c r="M342" s="340" t="s">
        <v>289</v>
      </c>
      <c r="N342" s="1390"/>
      <c r="O342" s="2479"/>
      <c r="P342" s="2282"/>
      <c r="T342" s="341" t="str">
        <f t="array" ref="T342">IFERROR(IF($T$11="Yes",INDEX($L$13:$L$2813,SMALL(IF((County=$M$13:$M$2813),MATCH(ROW($M$13:$M$2813),ROW($M$13:$M$2813)),""),ROWS($A$13:A342))),""),"")</f>
        <v/>
      </c>
      <c r="V342" s="2283" t="str">
        <f t="array" ref="V342">IFERROR(IF($T$11="Yes",INDEX($O$14:$O$2811,SMALL(IF((County=$P$14:$P$2811),MATCH(ROW($P$14:$P$2811),ROW($P$14:$P$2811)),""),ROWS($A$13:A342))),""),"")</f>
        <v/>
      </c>
      <c r="X342" s="339">
        <v>33993</v>
      </c>
      <c r="Y342" s="338" t="s">
        <v>323</v>
      </c>
      <c r="AA342" s="338">
        <v>90.61</v>
      </c>
      <c r="AB342" s="338" t="s">
        <v>331</v>
      </c>
      <c r="AG342" s="2297">
        <v>20.16</v>
      </c>
      <c r="AH342" s="2297" t="s">
        <v>347</v>
      </c>
      <c r="AI342" s="1390"/>
      <c r="AJ342" s="2282"/>
      <c r="AK342" s="2282"/>
      <c r="AL342" s="1037"/>
      <c r="AM342" s="339">
        <v>32746</v>
      </c>
      <c r="AN342" s="338" t="s">
        <v>348</v>
      </c>
      <c r="AQ342" s="858"/>
      <c r="AR342" s="338">
        <v>18</v>
      </c>
      <c r="AS342" s="338" t="s">
        <v>329</v>
      </c>
      <c r="AX342" s="340">
        <v>1001.06</v>
      </c>
      <c r="AY342" s="340" t="s">
        <v>289</v>
      </c>
      <c r="BC342" s="341" t="str">
        <f t="array" ref="BC342">IFERROR(IF($BC$11="Yes",INDEX($AX$13:$AX$2950,SMALL(IF((County=$AY$13:$AY$2950),MATCH(ROW($AY$13:$AY$2950),ROW($AY$13:$AY$2950)),""),ROWS($A$13:$A342))),""),"")</f>
        <v/>
      </c>
      <c r="BE342" s="339">
        <v>34711</v>
      </c>
      <c r="BF342" s="338" t="s">
        <v>322</v>
      </c>
      <c r="BH342" s="338">
        <v>57.05</v>
      </c>
      <c r="BI342" s="338" t="s">
        <v>331</v>
      </c>
      <c r="BN342" s="340">
        <v>19.05</v>
      </c>
      <c r="BO342" s="340" t="s">
        <v>347</v>
      </c>
      <c r="BP342" s="1385"/>
      <c r="BQ342" s="341">
        <v>33786</v>
      </c>
      <c r="BR342" s="338" t="s">
        <v>342</v>
      </c>
      <c r="BU342" s="858"/>
      <c r="BV342" s="338">
        <v>204.05</v>
      </c>
      <c r="BW342" s="338" t="s">
        <v>289</v>
      </c>
      <c r="CB342" s="340">
        <v>920</v>
      </c>
      <c r="CC342" s="340" t="s">
        <v>289</v>
      </c>
      <c r="CE342" s="341" t="str">
        <f t="array" ref="CE342">IFERROR(IF($CE$11="Metro",INDEX($BV$13:$BV$4972,SMALL(IF((County=$BW$13:$BW$4972),MATCH(ROW($BW$13:$BW$4972),ROW($BW$13:$BW$4972)),""),ROWS($A$13:$A342))),INDEX($BY$13:$BY$212,SMALL(IF((County=$BZ$13:$BZ$212),MATCH(ROW($BZ$13:$BZ$212),ROW($BZ$13:$BZ$212)),""),ROWS($A$13:$A342)))),"")</f>
        <v/>
      </c>
      <c r="CG342" s="341" t="str">
        <f t="array" ref="CG342">IFERROR(IF($CG$11="Yes",INDEX($CB$13:$CB$2950,SMALL(IF((County=$CC$13:$CC$2950),MATCH(ROW($CC$13:$CC$2950),ROW($CC$13:$CC$2950)),""),ROWS($A$13:$A342))),""),"")</f>
        <v/>
      </c>
      <c r="CI342" s="1583">
        <v>34201</v>
      </c>
      <c r="CJ342" s="338" t="s">
        <v>328</v>
      </c>
      <c r="CL342" s="236">
        <v>9.01</v>
      </c>
      <c r="CM342" s="236" t="s">
        <v>330</v>
      </c>
      <c r="CR342" s="340">
        <v>19.079999999999998</v>
      </c>
      <c r="CS342" s="340" t="s">
        <v>328</v>
      </c>
      <c r="CT342" s="1384"/>
      <c r="CU342" s="341">
        <v>33785</v>
      </c>
      <c r="CV342" s="338" t="s">
        <v>342</v>
      </c>
      <c r="CZ342" s="1795">
        <v>302.06</v>
      </c>
      <c r="DA342" s="338" t="s">
        <v>322</v>
      </c>
      <c r="DF342" s="340">
        <v>1103.01</v>
      </c>
      <c r="DG342" s="340" t="s">
        <v>289</v>
      </c>
      <c r="DK342" s="341" t="str">
        <f t="array" ref="DK342">IFERROR(IF($DK$11="Yes",INDEX($DF$13:$DF$2838,SMALL(IF((County=$DG$13:$DG$2838),MATCH(ROW($DG$13:$DG$2838),ROW($DG$13:$DG$2838)),""),ROWS($A$13:$A342))),""),"")</f>
        <v/>
      </c>
      <c r="DM342" s="1387">
        <v>34145</v>
      </c>
      <c r="DN342" s="338" t="s">
        <v>297</v>
      </c>
      <c r="DP342" s="236">
        <v>63.04</v>
      </c>
      <c r="DQ342" s="236" t="s">
        <v>331</v>
      </c>
      <c r="DV342" s="340">
        <v>20.12</v>
      </c>
      <c r="DW342" s="340" t="s">
        <v>328</v>
      </c>
      <c r="DX342" s="1671"/>
      <c r="EB342" s="618"/>
      <c r="EC342" s="618"/>
      <c r="ED342" s="618"/>
      <c r="EE342" s="618"/>
      <c r="EF342" s="618"/>
      <c r="EG342" s="618"/>
      <c r="EH342" s="618"/>
      <c r="EI342" s="618"/>
      <c r="EJ342" s="618"/>
      <c r="EK342" s="618"/>
      <c r="EL342" s="618"/>
      <c r="EM342" s="618"/>
    </row>
    <row r="343" spans="1:143">
      <c r="A343" s="339">
        <v>33786</v>
      </c>
      <c r="B343" s="338" t="s">
        <v>342</v>
      </c>
      <c r="E343" s="858"/>
      <c r="F343" s="338">
        <v>11.01</v>
      </c>
      <c r="G343" s="338" t="s">
        <v>324</v>
      </c>
      <c r="L343" s="2481">
        <v>1103.33</v>
      </c>
      <c r="M343" s="340" t="s">
        <v>289</v>
      </c>
      <c r="N343" s="1390"/>
      <c r="O343" s="2479"/>
      <c r="P343" s="2282"/>
      <c r="T343" s="341" t="str">
        <f t="array" ref="T343">IFERROR(IF($T$11="Yes",INDEX($L$13:$L$2813,SMALL(IF((County=$M$13:$M$2813),MATCH(ROW($M$13:$M$2813),ROW($M$13:$M$2813)),""),ROWS($A$13:A343))),""),"")</f>
        <v/>
      </c>
      <c r="V343" s="2283" t="str">
        <f t="array" ref="V343">IFERROR(IF($T$11="Yes",INDEX($O$14:$O$2811,SMALL(IF((County=$P$14:$P$2811),MATCH(ROW($P$14:$P$2811),ROW($P$14:$P$2811)),""),ROWS($A$13:A343))),""),"")</f>
        <v/>
      </c>
      <c r="X343" s="339">
        <v>34105</v>
      </c>
      <c r="Y343" s="338" t="s">
        <v>297</v>
      </c>
      <c r="AA343" s="338">
        <v>91.02</v>
      </c>
      <c r="AB343" s="338" t="s">
        <v>331</v>
      </c>
      <c r="AG343" s="2297">
        <v>20.170000000000002</v>
      </c>
      <c r="AH343" s="2297" t="s">
        <v>328</v>
      </c>
      <c r="AI343" s="1390"/>
      <c r="AJ343" s="2282"/>
      <c r="AK343" s="2282"/>
      <c r="AL343" s="1037"/>
      <c r="AM343" s="339">
        <v>32750</v>
      </c>
      <c r="AN343" s="338" t="s">
        <v>348</v>
      </c>
      <c r="AQ343" s="858"/>
      <c r="AR343" s="338">
        <v>19</v>
      </c>
      <c r="AS343" s="338" t="s">
        <v>329</v>
      </c>
      <c r="AX343" s="340">
        <v>1001.07</v>
      </c>
      <c r="AY343" s="340" t="s">
        <v>289</v>
      </c>
      <c r="BC343" s="341" t="str">
        <f t="array" ref="BC343">IFERROR(IF($BC$11="Yes",INDEX($AX$13:$AX$2950,SMALL(IF((County=$AY$13:$AY$2950),MATCH(ROW($AY$13:$AY$2950),ROW($AY$13:$AY$2950)),""),ROWS($A$13:$A343))),""),"")</f>
        <v/>
      </c>
      <c r="BE343" s="339">
        <v>34714</v>
      </c>
      <c r="BF343" s="338" t="s">
        <v>322</v>
      </c>
      <c r="BH343" s="338">
        <v>57.06</v>
      </c>
      <c r="BI343" s="338" t="s">
        <v>331</v>
      </c>
      <c r="BN343" s="340">
        <v>19.07</v>
      </c>
      <c r="BO343" s="340" t="s">
        <v>328</v>
      </c>
      <c r="BP343" s="1385"/>
      <c r="BQ343" s="341">
        <v>34677</v>
      </c>
      <c r="BR343" s="338" t="s">
        <v>342</v>
      </c>
      <c r="BU343" s="858"/>
      <c r="BV343" s="338">
        <v>204.06</v>
      </c>
      <c r="BW343" s="338" t="s">
        <v>289</v>
      </c>
      <c r="CB343" s="340">
        <v>1001.05</v>
      </c>
      <c r="CC343" s="340" t="s">
        <v>289</v>
      </c>
      <c r="CE343" s="341" t="str">
        <f t="array" ref="CE343">IFERROR(IF($CE$11="Metro",INDEX($BV$13:$BV$4972,SMALL(IF((County=$BW$13:$BW$4972),MATCH(ROW($BW$13:$BW$4972),ROW($BW$13:$BW$4972)),""),ROWS($A$13:$A343))),INDEX($BY$13:$BY$212,SMALL(IF((County=$BZ$13:$BZ$212),MATCH(ROW($BZ$13:$BZ$212),ROW($BZ$13:$BZ$212)),""),ROWS($A$13:$A343)))),"")</f>
        <v/>
      </c>
      <c r="CG343" s="341" t="str">
        <f t="array" ref="CG343">IFERROR(IF($CG$11="Yes",INDEX($CB$13:$CB$2950,SMALL(IF((County=$CC$13:$CC$2950),MATCH(ROW($CC$13:$CC$2950),ROW($CC$13:$CC$2950)),""),ROWS($A$13:$A343))),""),"")</f>
        <v/>
      </c>
      <c r="CI343" s="1583">
        <v>34202</v>
      </c>
      <c r="CJ343" s="338" t="s">
        <v>328</v>
      </c>
      <c r="CL343" s="338">
        <v>9.02</v>
      </c>
      <c r="CM343" s="338" t="s">
        <v>276</v>
      </c>
      <c r="CR343" s="340">
        <v>19.09</v>
      </c>
      <c r="CS343" s="340" t="s">
        <v>328</v>
      </c>
      <c r="CT343" s="1384"/>
      <c r="CU343" s="341">
        <v>33786</v>
      </c>
      <c r="CV343" s="338" t="s">
        <v>342</v>
      </c>
      <c r="CZ343" s="1795">
        <v>302.08999999999997</v>
      </c>
      <c r="DA343" s="338" t="s">
        <v>322</v>
      </c>
      <c r="DF343" s="340">
        <v>1103.03</v>
      </c>
      <c r="DG343" s="340" t="s">
        <v>289</v>
      </c>
      <c r="DK343" s="341" t="str">
        <f t="array" ref="DK343">IFERROR(IF($DK$11="Yes",INDEX($DF$13:$DF$2838,SMALL(IF((County=$DG$13:$DG$2838),MATCH(ROW($DG$13:$DG$2838),ROW($DG$13:$DG$2838)),""),ROWS($A$13:$A343))),""),"")</f>
        <v/>
      </c>
      <c r="DM343" s="1387">
        <v>34201</v>
      </c>
      <c r="DN343" s="338" t="s">
        <v>328</v>
      </c>
      <c r="DP343" s="236">
        <v>64.010000000000005</v>
      </c>
      <c r="DQ343" s="236" t="s">
        <v>331</v>
      </c>
      <c r="DV343" s="340">
        <v>20.12</v>
      </c>
      <c r="DW343" s="340" t="s">
        <v>347</v>
      </c>
      <c r="DX343" s="1671"/>
      <c r="EB343" s="618"/>
      <c r="EC343" s="618"/>
      <c r="ED343" s="618"/>
      <c r="EE343" s="618"/>
      <c r="EF343" s="618"/>
      <c r="EG343" s="618"/>
      <c r="EH343" s="618"/>
      <c r="EI343" s="618"/>
      <c r="EJ343" s="618"/>
      <c r="EK343" s="618"/>
      <c r="EL343" s="618"/>
      <c r="EM343" s="618"/>
    </row>
    <row r="344" spans="1:143">
      <c r="A344" s="339">
        <v>34677</v>
      </c>
      <c r="B344" s="338" t="s">
        <v>342</v>
      </c>
      <c r="E344" s="858"/>
      <c r="F344" s="338">
        <v>12</v>
      </c>
      <c r="G344" s="338" t="s">
        <v>324</v>
      </c>
      <c r="L344" s="2481">
        <v>1103.3699999999999</v>
      </c>
      <c r="M344" s="340" t="s">
        <v>289</v>
      </c>
      <c r="N344" s="1390"/>
      <c r="O344" s="2479"/>
      <c r="P344" s="2282"/>
      <c r="T344" s="341" t="str">
        <f t="array" ref="T344">IFERROR(IF($T$11="Yes",INDEX($L$13:$L$2813,SMALL(IF((County=$M$13:$M$2813),MATCH(ROW($M$13:$M$2813),ROW($M$13:$M$2813)),""),ROWS($A$13:A344))),""),"")</f>
        <v/>
      </c>
      <c r="V344" s="2283" t="str">
        <f t="array" ref="V344">IFERROR(IF($T$11="Yes",INDEX($O$14:$O$2811,SMALL(IF((County=$P$14:$P$2811),MATCH(ROW($P$14:$P$2811),ROW($P$14:$P$2811)),""),ROWS($A$13:A344))),""),"")</f>
        <v/>
      </c>
      <c r="X344" s="339">
        <v>34108</v>
      </c>
      <c r="Y344" s="338" t="s">
        <v>297</v>
      </c>
      <c r="AA344" s="338">
        <v>93.14</v>
      </c>
      <c r="AB344" s="338" t="s">
        <v>331</v>
      </c>
      <c r="AG344" s="2297">
        <v>20.18</v>
      </c>
      <c r="AH344" s="2297" t="s">
        <v>328</v>
      </c>
      <c r="AI344" s="1390"/>
      <c r="AJ344" s="2282"/>
      <c r="AK344" s="2282"/>
      <c r="AL344" s="1037"/>
      <c r="AM344" s="339">
        <v>32765</v>
      </c>
      <c r="AN344" s="338" t="s">
        <v>348</v>
      </c>
      <c r="AQ344" s="858"/>
      <c r="AR344" s="338">
        <v>20.010000000000002</v>
      </c>
      <c r="AS344" s="338" t="s">
        <v>329</v>
      </c>
      <c r="AX344" s="340">
        <v>1001.08</v>
      </c>
      <c r="AY344" s="340" t="s">
        <v>289</v>
      </c>
      <c r="BC344" s="341" t="str">
        <f t="array" ref="BC344">IFERROR(IF($BC$11="Yes",INDEX($AX$13:$AX$2950,SMALL(IF((County=$AY$13:$AY$2950),MATCH(ROW($AY$13:$AY$2950),ROW($AY$13:$AY$2950)),""),ROWS($A$13:$A344))),""),"")</f>
        <v/>
      </c>
      <c r="BE344" s="339">
        <v>34715</v>
      </c>
      <c r="BF344" s="338" t="s">
        <v>322</v>
      </c>
      <c r="BH344" s="338">
        <v>57.07</v>
      </c>
      <c r="BI344" s="338" t="s">
        <v>331</v>
      </c>
      <c r="BN344" s="340">
        <v>19.079999999999998</v>
      </c>
      <c r="BO344" s="340" t="s">
        <v>323</v>
      </c>
      <c r="BP344" s="1385"/>
      <c r="BQ344" s="341">
        <v>34681</v>
      </c>
      <c r="BR344" s="338" t="s">
        <v>342</v>
      </c>
      <c r="BU344" s="858"/>
      <c r="BV344" s="338">
        <v>204.07</v>
      </c>
      <c r="BW344" s="338" t="s">
        <v>289</v>
      </c>
      <c r="CB344" s="340">
        <v>1001.06</v>
      </c>
      <c r="CC344" s="340" t="s">
        <v>289</v>
      </c>
      <c r="CE344" s="341" t="str">
        <f t="array" ref="CE344">IFERROR(IF($CE$11="Metro",INDEX($BV$13:$BV$4972,SMALL(IF((County=$BW$13:$BW$4972),MATCH(ROW($BW$13:$BW$4972),ROW($BW$13:$BW$4972)),""),ROWS($A$13:$A344))),INDEX($BY$13:$BY$212,SMALL(IF((County=$BZ$13:$BZ$212),MATCH(ROW($BZ$13:$BZ$212),ROW($BZ$13:$BZ$212)),""),ROWS($A$13:$A344)))),"")</f>
        <v/>
      </c>
      <c r="CG344" s="341" t="str">
        <f t="array" ref="CG344">IFERROR(IF($CG$11="Yes",INDEX($CB$13:$CB$2950,SMALL(IF((County=$CC$13:$CC$2950),MATCH(ROW($CC$13:$CC$2950),ROW($CC$13:$CC$2950)),""),ROWS($A$13:$A344))),""),"")</f>
        <v/>
      </c>
      <c r="CI344" s="1583">
        <v>34209</v>
      </c>
      <c r="CJ344" s="338" t="s">
        <v>328</v>
      </c>
      <c r="CL344" s="236">
        <v>9.02</v>
      </c>
      <c r="CM344" s="236" t="s">
        <v>316</v>
      </c>
      <c r="CR344" s="340">
        <v>19.09</v>
      </c>
      <c r="CS344" s="340" t="s">
        <v>347</v>
      </c>
      <c r="CT344" s="1384"/>
      <c r="CU344" s="341">
        <v>34677</v>
      </c>
      <c r="CV344" s="338" t="s">
        <v>342</v>
      </c>
      <c r="CZ344" s="1795">
        <v>303.06</v>
      </c>
      <c r="DA344" s="338" t="s">
        <v>322</v>
      </c>
      <c r="DF344" s="340">
        <v>1103.07</v>
      </c>
      <c r="DG344" s="340" t="s">
        <v>289</v>
      </c>
      <c r="DK344" s="341" t="str">
        <f t="array" ref="DK344">IFERROR(IF($DK$11="Yes",INDEX($DF$13:$DF$2838,SMALL(IF((County=$DG$13:$DG$2838),MATCH(ROW($DG$13:$DG$2838),ROW($DG$13:$DG$2838)),""),ROWS($A$13:$A344))),""),"")</f>
        <v/>
      </c>
      <c r="DM344" s="1387">
        <v>34202</v>
      </c>
      <c r="DN344" s="338" t="s">
        <v>328</v>
      </c>
      <c r="DP344" s="236">
        <v>64.02</v>
      </c>
      <c r="DQ344" s="236" t="s">
        <v>331</v>
      </c>
      <c r="DV344" s="340">
        <v>20.13</v>
      </c>
      <c r="DW344" s="340" t="s">
        <v>347</v>
      </c>
      <c r="DX344" s="1671"/>
      <c r="EB344" s="618"/>
      <c r="EC344" s="618"/>
      <c r="ED344" s="618"/>
      <c r="EE344" s="618"/>
      <c r="EF344" s="618"/>
      <c r="EG344" s="618"/>
      <c r="EH344" s="618"/>
      <c r="EI344" s="618"/>
      <c r="EJ344" s="618"/>
      <c r="EK344" s="618"/>
      <c r="EL344" s="618"/>
      <c r="EM344" s="618"/>
    </row>
    <row r="345" spans="1:143">
      <c r="A345" s="339">
        <v>34681</v>
      </c>
      <c r="B345" s="338" t="s">
        <v>342</v>
      </c>
      <c r="E345" s="858"/>
      <c r="F345" s="338">
        <v>14.01</v>
      </c>
      <c r="G345" s="338" t="s">
        <v>324</v>
      </c>
      <c r="L345" s="2481">
        <v>1103.3900000000001</v>
      </c>
      <c r="M345" s="340" t="s">
        <v>289</v>
      </c>
      <c r="N345" s="1390"/>
      <c r="O345" s="2479"/>
      <c r="P345" s="2282"/>
      <c r="T345" s="341" t="str">
        <f t="array" ref="T345">IFERROR(IF($T$11="Yes",INDEX($L$13:$L$2813,SMALL(IF((County=$M$13:$M$2813),MATCH(ROW($M$13:$M$2813),ROW($M$13:$M$2813)),""),ROWS($A$13:A345))),""),"")</f>
        <v/>
      </c>
      <c r="V345" s="2283" t="str">
        <f t="array" ref="V345">IFERROR(IF($T$11="Yes",INDEX($O$14:$O$2811,SMALL(IF((County=$P$14:$P$2811),MATCH(ROW($P$14:$P$2811),ROW($P$14:$P$2811)),""),ROWS($A$13:A345))),""),"")</f>
        <v/>
      </c>
      <c r="X345" s="339">
        <v>34110</v>
      </c>
      <c r="Y345" s="338" t="str">
        <f>IF(County="Lee","Lee","Collier")</f>
        <v>Collier</v>
      </c>
      <c r="AA345" s="338">
        <v>93.15</v>
      </c>
      <c r="AB345" s="338" t="s">
        <v>331</v>
      </c>
      <c r="AG345" s="2297">
        <v>20.190000000000001</v>
      </c>
      <c r="AH345" s="2297" t="s">
        <v>328</v>
      </c>
      <c r="AI345" s="1390"/>
      <c r="AJ345" s="2282"/>
      <c r="AK345" s="2282"/>
      <c r="AL345" s="1037"/>
      <c r="AM345" s="339">
        <v>32766</v>
      </c>
      <c r="AN345" s="338" t="s">
        <v>348</v>
      </c>
      <c r="AQ345" s="858"/>
      <c r="AR345" s="338">
        <v>25.04</v>
      </c>
      <c r="AS345" s="338" t="s">
        <v>329</v>
      </c>
      <c r="AX345" s="340">
        <v>1103.03</v>
      </c>
      <c r="AY345" s="340" t="s">
        <v>289</v>
      </c>
      <c r="BC345" s="341" t="str">
        <f t="array" ref="BC345">IFERROR(IF($BC$11="Yes",INDEX($AX$13:$AX$2950,SMALL(IF((County=$AY$13:$AY$2950),MATCH(ROW($AY$13:$AY$2950),ROW($AY$13:$AY$2950)),""),ROWS($A$13:$A345))),""),"")</f>
        <v/>
      </c>
      <c r="BE345" s="339">
        <v>34734</v>
      </c>
      <c r="BF345" s="338" t="s">
        <v>338</v>
      </c>
      <c r="BH345" s="338">
        <v>57.08</v>
      </c>
      <c r="BI345" s="338" t="s">
        <v>331</v>
      </c>
      <c r="BN345" s="340">
        <v>19.079999999999998</v>
      </c>
      <c r="BO345" s="340" t="s">
        <v>328</v>
      </c>
      <c r="BP345" s="1385"/>
      <c r="BQ345" s="341">
        <v>34683</v>
      </c>
      <c r="BR345" s="338" t="s">
        <v>342</v>
      </c>
      <c r="BU345" s="858"/>
      <c r="BV345" s="338">
        <v>204.12</v>
      </c>
      <c r="BW345" s="338" t="s">
        <v>289</v>
      </c>
      <c r="CB345" s="340">
        <v>1001.07</v>
      </c>
      <c r="CC345" s="340" t="s">
        <v>289</v>
      </c>
      <c r="CE345" s="341" t="str">
        <f t="array" ref="CE345">IFERROR(IF($CE$11="Metro",INDEX($BV$13:$BV$4972,SMALL(IF((County=$BW$13:$BW$4972),MATCH(ROW($BW$13:$BW$4972),ROW($BW$13:$BW$4972)),""),ROWS($A$13:$A345))),INDEX($BY$13:$BY$212,SMALL(IF((County=$BZ$13:$BZ$212),MATCH(ROW($BZ$13:$BZ$212),ROW($BZ$13:$BZ$212)),""),ROWS($A$13:$A345)))),"")</f>
        <v/>
      </c>
      <c r="CG345" s="341" t="str">
        <f t="array" ref="CG345">IFERROR(IF($CG$11="Yes",INDEX($CB$13:$CB$2950,SMALL(IF((County=$CC$13:$CC$2950),MATCH(ROW($CC$13:$CC$2950),ROW($CC$13:$CC$2950)),""),ROWS($A$13:$A345))),""),"")</f>
        <v/>
      </c>
      <c r="CI345" s="1583">
        <v>34211</v>
      </c>
      <c r="CJ345" s="338" t="s">
        <v>328</v>
      </c>
      <c r="CL345" s="236">
        <v>9.02</v>
      </c>
      <c r="CM345" s="236" t="s">
        <v>328</v>
      </c>
      <c r="CR345" s="340">
        <v>19.100000000000001</v>
      </c>
      <c r="CS345" s="340" t="s">
        <v>323</v>
      </c>
      <c r="CT345" s="1384"/>
      <c r="CU345" s="341">
        <v>34681</v>
      </c>
      <c r="CV345" s="338" t="s">
        <v>342</v>
      </c>
      <c r="CZ345" s="1795">
        <v>303.07</v>
      </c>
      <c r="DA345" s="338" t="s">
        <v>322</v>
      </c>
      <c r="DF345" s="340">
        <v>1103.0899999999999</v>
      </c>
      <c r="DG345" s="340" t="s">
        <v>289</v>
      </c>
      <c r="DK345" s="341" t="str">
        <f t="array" ref="DK345">IFERROR(IF($DK$11="Yes",INDEX($DF$13:$DF$2838,SMALL(IF((County=$DG$13:$DG$2838),MATCH(ROW($DG$13:$DG$2838),ROW($DG$13:$DG$2838)),""),ROWS($A$13:$A345))),""),"")</f>
        <v/>
      </c>
      <c r="DM345" s="1387">
        <v>34209</v>
      </c>
      <c r="DN345" s="338" t="s">
        <v>328</v>
      </c>
      <c r="DP345" s="236">
        <v>64.03</v>
      </c>
      <c r="DQ345" s="236" t="s">
        <v>331</v>
      </c>
      <c r="DV345" s="340">
        <v>20.14</v>
      </c>
      <c r="DW345" s="340" t="s">
        <v>328</v>
      </c>
      <c r="DX345" s="1671"/>
      <c r="EB345" s="618"/>
      <c r="EC345" s="618"/>
      <c r="ED345" s="618"/>
      <c r="EE345" s="618"/>
      <c r="EF345" s="618"/>
      <c r="EG345" s="618"/>
      <c r="EH345" s="618"/>
      <c r="EI345" s="618"/>
      <c r="EJ345" s="618"/>
      <c r="EK345" s="618"/>
      <c r="EL345" s="618"/>
      <c r="EM345" s="618"/>
    </row>
    <row r="346" spans="1:143">
      <c r="A346" s="339">
        <v>34683</v>
      </c>
      <c r="B346" s="338" t="s">
        <v>342</v>
      </c>
      <c r="F346" s="338">
        <v>14.02</v>
      </c>
      <c r="G346" s="338" t="s">
        <v>324</v>
      </c>
      <c r="L346" s="2481">
        <v>1103.44</v>
      </c>
      <c r="M346" s="340" t="s">
        <v>289</v>
      </c>
      <c r="N346" s="1390"/>
      <c r="O346" s="2479"/>
      <c r="P346" s="2282"/>
      <c r="T346" s="341" t="str">
        <f t="array" ref="T346">IFERROR(IF($T$11="Yes",INDEX($L$13:$L$2813,SMALL(IF((County=$M$13:$M$2813),MATCH(ROW($M$13:$M$2813),ROW($M$13:$M$2813)),""),ROWS($A$13:A346))),""),"")</f>
        <v/>
      </c>
      <c r="V346" s="2283" t="str">
        <f t="array" ref="V346">IFERROR(IF($T$11="Yes",INDEX($O$14:$O$2811,SMALL(IF((County=$P$14:$P$2811),MATCH(ROW($P$14:$P$2811),ROW($P$14:$P$2811)),""),ROWS($A$13:A346))),""),"")</f>
        <v/>
      </c>
      <c r="X346" s="339">
        <v>34110</v>
      </c>
      <c r="Y346" s="338" t="str">
        <f>IF(County="Lee","Collier","Lee")</f>
        <v>Lee</v>
      </c>
      <c r="AA346" s="338">
        <v>93.2</v>
      </c>
      <c r="AB346" s="338" t="s">
        <v>331</v>
      </c>
      <c r="AG346" s="2297">
        <v>20.2</v>
      </c>
      <c r="AH346" s="2297" t="s">
        <v>328</v>
      </c>
      <c r="AI346" s="1390"/>
      <c r="AJ346" s="2282"/>
      <c r="AK346" s="2282"/>
      <c r="AL346" s="1037"/>
      <c r="AM346" s="339">
        <v>32779</v>
      </c>
      <c r="AN346" s="338" t="s">
        <v>348</v>
      </c>
      <c r="AR346" s="338">
        <v>12</v>
      </c>
      <c r="AS346" s="338" t="s">
        <v>330</v>
      </c>
      <c r="AX346" s="340">
        <v>1103.07</v>
      </c>
      <c r="AY346" s="340" t="s">
        <v>289</v>
      </c>
      <c r="BC346" s="341" t="str">
        <f t="array" ref="BC346">IFERROR(IF($BC$11="Yes",INDEX($AX$13:$AX$2950,SMALL(IF((County=$AY$13:$AY$2950),MATCH(ROW($AY$13:$AY$2950),ROW($AY$13:$AY$2950)),""),ROWS($A$13:$A346))),""),"")</f>
        <v/>
      </c>
      <c r="BE346" s="339">
        <v>34736</v>
      </c>
      <c r="BF346" s="338" t="s">
        <v>322</v>
      </c>
      <c r="BH346" s="338">
        <v>58.14</v>
      </c>
      <c r="BI346" s="338" t="s">
        <v>340</v>
      </c>
      <c r="BN346" s="340">
        <v>19.09</v>
      </c>
      <c r="BO346" s="340" t="s">
        <v>328</v>
      </c>
      <c r="BP346" s="1385"/>
      <c r="BQ346" s="341">
        <v>34684</v>
      </c>
      <c r="BR346" s="338" t="s">
        <v>342</v>
      </c>
      <c r="BV346" s="338">
        <v>204.14</v>
      </c>
      <c r="BW346" s="338" t="s">
        <v>289</v>
      </c>
      <c r="CB346" s="340">
        <v>1001.08</v>
      </c>
      <c r="CC346" s="340" t="s">
        <v>289</v>
      </c>
      <c r="CE346" s="341" t="str">
        <f t="array" ref="CE346">IFERROR(IF($CE$11="Metro",INDEX($BV$13:$BV$4972,SMALL(IF((County=$BW$13:$BW$4972),MATCH(ROW($BW$13:$BW$4972),ROW($BW$13:$BW$4972)),""),ROWS($A$13:$A346))),INDEX($BY$13:$BY$212,SMALL(IF((County=$BZ$13:$BZ$212),MATCH(ROW($BZ$13:$BZ$212),ROW($BZ$13:$BZ$212)),""),ROWS($A$13:$A346)))),"")</f>
        <v/>
      </c>
      <c r="CG346" s="341" t="str">
        <f t="array" ref="CG346">IFERROR(IF($CG$11="Yes",INDEX($CB$13:$CB$2950,SMALL(IF((County=$CC$13:$CC$2950),MATCH(ROW($CC$13:$CC$2950),ROW($CC$13:$CC$2950)),""),ROWS($A$13:$A346))),""),"")</f>
        <v/>
      </c>
      <c r="CI346" s="1583">
        <v>34212</v>
      </c>
      <c r="CJ346" s="338" t="s">
        <v>328</v>
      </c>
      <c r="CL346" s="236">
        <v>9.02</v>
      </c>
      <c r="CM346" s="236" t="s">
        <v>330</v>
      </c>
      <c r="CR346" s="340">
        <v>19.100000000000001</v>
      </c>
      <c r="CS346" s="340" t="s">
        <v>328</v>
      </c>
      <c r="CT346" s="1384"/>
      <c r="CU346" s="341">
        <v>34683</v>
      </c>
      <c r="CV346" s="338" t="s">
        <v>342</v>
      </c>
      <c r="CZ346" s="1795">
        <v>304.07</v>
      </c>
      <c r="DA346" s="338" t="s">
        <v>322</v>
      </c>
      <c r="DF346" s="340">
        <v>1103.1099999999999</v>
      </c>
      <c r="DG346" s="340" t="s">
        <v>289</v>
      </c>
      <c r="DK346" s="341" t="str">
        <f t="array" ref="DK346">IFERROR(IF($DK$11="Yes",INDEX($DF$13:$DF$2838,SMALL(IF((County=$DG$13:$DG$2838),MATCH(ROW($DG$13:$DG$2838),ROW($DG$13:$DG$2838)),""),ROWS($A$13:$A346))),""),"")</f>
        <v/>
      </c>
      <c r="DM346" s="1387">
        <v>34211</v>
      </c>
      <c r="DN346" s="338" t="s">
        <v>328</v>
      </c>
      <c r="DP346" s="236">
        <v>68.02</v>
      </c>
      <c r="DQ346" s="236" t="s">
        <v>340</v>
      </c>
      <c r="DV346" s="340">
        <v>20.14</v>
      </c>
      <c r="DW346" s="340" t="s">
        <v>347</v>
      </c>
      <c r="DX346" s="1671"/>
      <c r="EB346" s="618"/>
      <c r="EC346" s="618"/>
      <c r="ED346" s="618"/>
      <c r="EE346" s="618"/>
      <c r="EF346" s="618"/>
      <c r="EG346" s="618"/>
      <c r="EH346" s="618"/>
      <c r="EI346" s="618"/>
      <c r="EJ346" s="618"/>
      <c r="EK346" s="618"/>
      <c r="EL346" s="618"/>
      <c r="EM346" s="618"/>
    </row>
    <row r="347" spans="1:143">
      <c r="A347" s="339">
        <v>34684</v>
      </c>
      <c r="B347" s="338" t="s">
        <v>342</v>
      </c>
      <c r="F347" s="338">
        <v>19.010000000000002</v>
      </c>
      <c r="G347" s="338" t="s">
        <v>324</v>
      </c>
      <c r="L347" s="2481">
        <v>1103.45</v>
      </c>
      <c r="M347" s="340" t="s">
        <v>289</v>
      </c>
      <c r="N347" s="1390"/>
      <c r="O347" s="2479"/>
      <c r="P347" s="2282"/>
      <c r="T347" s="341" t="str">
        <f t="array" ref="T347">IFERROR(IF($T$11="Yes",INDEX($L$13:$L$2813,SMALL(IF((County=$M$13:$M$2813),MATCH(ROW($M$13:$M$2813),ROW($M$13:$M$2813)),""),ROWS($A$13:A347))),""),"")</f>
        <v/>
      </c>
      <c r="V347" s="2283" t="str">
        <f t="array" ref="V347">IFERROR(IF($T$11="Yes",INDEX($O$14:$O$2811,SMALL(IF((County=$P$14:$P$2811),MATCH(ROW($P$14:$P$2811),ROW($P$14:$P$2811)),""),ROWS($A$13:A347))),""),"")</f>
        <v/>
      </c>
      <c r="X347" s="339">
        <v>34119</v>
      </c>
      <c r="Y347" s="338" t="s">
        <v>323</v>
      </c>
      <c r="AA347" s="338">
        <v>93.24</v>
      </c>
      <c r="AB347" s="338" t="s">
        <v>331</v>
      </c>
      <c r="AG347" s="2297">
        <v>20.21</v>
      </c>
      <c r="AH347" s="2297" t="s">
        <v>328</v>
      </c>
      <c r="AI347" s="1390"/>
      <c r="AJ347" s="2282"/>
      <c r="AK347" s="2282"/>
      <c r="AL347" s="1037"/>
      <c r="AM347" s="339">
        <v>32081</v>
      </c>
      <c r="AN347" s="338" t="s">
        <v>349</v>
      </c>
      <c r="AR347" s="338">
        <v>14.07</v>
      </c>
      <c r="AS347" s="338" t="s">
        <v>330</v>
      </c>
      <c r="AX347" s="340">
        <v>1103.0899999999999</v>
      </c>
      <c r="AY347" s="340" t="s">
        <v>289</v>
      </c>
      <c r="BC347" s="341" t="str">
        <f t="array" ref="BC347">IFERROR(IF($BC$11="Yes",INDEX($AX$13:$AX$2950,SMALL(IF((County=$AY$13:$AY$2950),MATCH(ROW($AY$13:$AY$2950),ROW($AY$13:$AY$2950)),""),ROWS($A$13:$A347))),""),"")</f>
        <v/>
      </c>
      <c r="BE347" s="339">
        <v>34737</v>
      </c>
      <c r="BF347" s="338" t="s">
        <v>322</v>
      </c>
      <c r="BH347" s="338">
        <v>63.03</v>
      </c>
      <c r="BI347" s="338" t="s">
        <v>331</v>
      </c>
      <c r="BN347" s="340">
        <v>19.09</v>
      </c>
      <c r="BO347" s="340" t="s">
        <v>347</v>
      </c>
      <c r="BP347" s="1385"/>
      <c r="BQ347" s="341">
        <v>34685</v>
      </c>
      <c r="BR347" s="338" t="s">
        <v>342</v>
      </c>
      <c r="BV347" s="338">
        <v>204.15</v>
      </c>
      <c r="BW347" s="338" t="s">
        <v>289</v>
      </c>
      <c r="CB347" s="340">
        <v>1103.03</v>
      </c>
      <c r="CC347" s="340" t="s">
        <v>289</v>
      </c>
      <c r="CE347" s="341" t="str">
        <f t="array" ref="CE347">IFERROR(IF($CE$11="Metro",INDEX($BV$13:$BV$4972,SMALL(IF((County=$BW$13:$BW$4972),MATCH(ROW($BW$13:$BW$4972),ROW($BW$13:$BW$4972)),""),ROWS($A$13:$A347))),INDEX($BY$13:$BY$212,SMALL(IF((County=$BZ$13:$BZ$212),MATCH(ROW($BZ$13:$BZ$212),ROW($BZ$13:$BZ$212)),""),ROWS($A$13:$A347)))),"")</f>
        <v/>
      </c>
      <c r="CG347" s="341" t="str">
        <f t="array" ref="CG347">IFERROR(IF($CG$11="Yes",INDEX($CB$13:$CB$2950,SMALL(IF((County=$CC$13:$CC$2950),MATCH(ROW($CC$13:$CC$2950),ROW($CC$13:$CC$2950)),""),ROWS($A$13:$A347))),""),"")</f>
        <v/>
      </c>
      <c r="CI347" s="1583">
        <v>34216</v>
      </c>
      <c r="CJ347" s="338" t="s">
        <v>328</v>
      </c>
      <c r="CL347" s="236">
        <v>9.02</v>
      </c>
      <c r="CM347" s="236" t="s">
        <v>340</v>
      </c>
      <c r="CR347" s="340">
        <v>19.11</v>
      </c>
      <c r="CS347" s="340" t="s">
        <v>323</v>
      </c>
      <c r="CT347" s="1384"/>
      <c r="CU347" s="341">
        <v>34684</v>
      </c>
      <c r="CV347" s="338" t="s">
        <v>342</v>
      </c>
      <c r="CZ347" s="1795">
        <v>304.08999999999997</v>
      </c>
      <c r="DA347" s="338" t="s">
        <v>322</v>
      </c>
      <c r="DF347" s="340">
        <v>1103.1300000000001</v>
      </c>
      <c r="DG347" s="340" t="s">
        <v>289</v>
      </c>
      <c r="DK347" s="341" t="str">
        <f t="array" ref="DK347">IFERROR(IF($DK$11="Yes",INDEX($DF$13:$DF$2838,SMALL(IF((County=$DG$13:$DG$2838),MATCH(ROW($DG$13:$DG$2838),ROW($DG$13:$DG$2838)),""),ROWS($A$13:$A347))),""),"")</f>
        <v/>
      </c>
      <c r="DM347" s="1387">
        <v>34212</v>
      </c>
      <c r="DN347" s="338" t="s">
        <v>328</v>
      </c>
      <c r="DP347" s="236">
        <v>70.02</v>
      </c>
      <c r="DQ347" s="236" t="s">
        <v>316</v>
      </c>
      <c r="DV347" s="340">
        <v>20.149999999999999</v>
      </c>
      <c r="DW347" s="340" t="s">
        <v>347</v>
      </c>
      <c r="DX347" s="1671"/>
      <c r="EB347" s="618"/>
      <c r="EC347" s="618"/>
      <c r="ED347" s="618"/>
      <c r="EE347" s="618"/>
      <c r="EF347" s="618"/>
      <c r="EG347" s="618"/>
      <c r="EH347" s="618"/>
      <c r="EI347" s="618"/>
      <c r="EJ347" s="618"/>
      <c r="EK347" s="618"/>
      <c r="EL347" s="618"/>
      <c r="EM347" s="618"/>
    </row>
    <row r="348" spans="1:143">
      <c r="A348" s="339">
        <v>34685</v>
      </c>
      <c r="B348" s="338" t="s">
        <v>342</v>
      </c>
      <c r="F348" s="338">
        <v>20.03</v>
      </c>
      <c r="G348" s="338" t="s">
        <v>324</v>
      </c>
      <c r="L348" s="2481">
        <v>1103.47</v>
      </c>
      <c r="M348" s="340" t="s">
        <v>289</v>
      </c>
      <c r="N348" s="1390"/>
      <c r="O348" s="2479"/>
      <c r="P348" s="2282"/>
      <c r="T348" s="341" t="str">
        <f t="array" ref="T348">IFERROR(IF($T$11="Yes",INDEX($L$13:$L$2813,SMALL(IF((County=$M$13:$M$2813),MATCH(ROW($M$13:$M$2813),ROW($M$13:$M$2813)),""),ROWS($A$13:A348))),""),"")</f>
        <v/>
      </c>
      <c r="V348" s="2283" t="str">
        <f t="array" ref="V348">IFERROR(IF($T$11="Yes",INDEX($O$14:$O$2811,SMALL(IF((County=$P$14:$P$2811),MATCH(ROW($P$14:$P$2811),ROW($P$14:$P$2811)),""),ROWS($A$13:A348))),""),"")</f>
        <v/>
      </c>
      <c r="X348" s="339">
        <v>34120</v>
      </c>
      <c r="Y348" s="338" t="s">
        <v>297</v>
      </c>
      <c r="AA348" s="338">
        <v>97.06</v>
      </c>
      <c r="AB348" s="338" t="s">
        <v>331</v>
      </c>
      <c r="AG348" s="2297">
        <v>20.22</v>
      </c>
      <c r="AH348" s="2297" t="s">
        <v>328</v>
      </c>
      <c r="AI348" s="1390"/>
      <c r="AJ348" s="2282"/>
      <c r="AK348" s="2282"/>
      <c r="AL348" s="1037"/>
      <c r="AM348" s="339">
        <v>32082</v>
      </c>
      <c r="AN348" s="338" t="s">
        <v>349</v>
      </c>
      <c r="AR348" s="338">
        <v>18.03</v>
      </c>
      <c r="AS348" s="338" t="s">
        <v>330</v>
      </c>
      <c r="AX348" s="340">
        <v>1103.1099999999999</v>
      </c>
      <c r="AY348" s="340" t="s">
        <v>289</v>
      </c>
      <c r="BC348" s="341" t="str">
        <f t="array" ref="BC348">IFERROR(IF($BC$11="Yes",INDEX($AX$13:$AX$2950,SMALL(IF((County=$AY$13:$AY$2950),MATCH(ROW($AY$13:$AY$2950),ROW($AY$13:$AY$2950)),""),ROWS($A$13:$A348))),""),"")</f>
        <v/>
      </c>
      <c r="BE348" s="339">
        <v>34743</v>
      </c>
      <c r="BF348" s="338" t="s">
        <v>339</v>
      </c>
      <c r="BH348" s="338">
        <v>63.04</v>
      </c>
      <c r="BI348" s="338" t="s">
        <v>331</v>
      </c>
      <c r="BN348" s="340">
        <v>19.100000000000001</v>
      </c>
      <c r="BO348" s="340" t="s">
        <v>328</v>
      </c>
      <c r="BP348" s="1385"/>
      <c r="BQ348" s="341">
        <v>34688</v>
      </c>
      <c r="BR348" s="338" t="s">
        <v>342</v>
      </c>
      <c r="BV348" s="338">
        <v>204.16</v>
      </c>
      <c r="BW348" s="338" t="s">
        <v>289</v>
      </c>
      <c r="CB348" s="340">
        <v>1103.07</v>
      </c>
      <c r="CC348" s="340" t="s">
        <v>289</v>
      </c>
      <c r="CE348" s="341" t="str">
        <f t="array" ref="CE348">IFERROR(IF($CE$11="Metro",INDEX($BV$13:$BV$4972,SMALL(IF((County=$BW$13:$BW$4972),MATCH(ROW($BW$13:$BW$4972),ROW($BW$13:$BW$4972)),""),ROWS($A$13:$A348))),INDEX($BY$13:$BY$212,SMALL(IF((County=$BZ$13:$BZ$212),MATCH(ROW($BZ$13:$BZ$212),ROW($BZ$13:$BZ$212)),""),ROWS($A$13:$A348)))),"")</f>
        <v/>
      </c>
      <c r="CG348" s="341" t="str">
        <f t="array" ref="CG348">IFERROR(IF($CG$11="Yes",INDEX($CB$13:$CB$2950,SMALL(IF((County=$CC$13:$CC$2950),MATCH(ROW($CC$13:$CC$2950),ROW($CC$13:$CC$2950)),""),ROWS($A$13:$A348))),""),"")</f>
        <v/>
      </c>
      <c r="CI348" s="1583">
        <v>34217</v>
      </c>
      <c r="CJ348" s="338" t="s">
        <v>328</v>
      </c>
      <c r="CL348" s="236">
        <v>9.0299999999999994</v>
      </c>
      <c r="CM348" s="236" t="s">
        <v>324</v>
      </c>
      <c r="CR348" s="340">
        <v>19.11</v>
      </c>
      <c r="CS348" s="340" t="s">
        <v>328</v>
      </c>
      <c r="CT348" s="1384"/>
      <c r="CU348" s="341">
        <v>34685</v>
      </c>
      <c r="CV348" s="338" t="s">
        <v>342</v>
      </c>
      <c r="CZ348" s="1795">
        <v>304.11</v>
      </c>
      <c r="DA348" s="338" t="s">
        <v>322</v>
      </c>
      <c r="DF348" s="340">
        <v>1103.21</v>
      </c>
      <c r="DG348" s="340" t="s">
        <v>289</v>
      </c>
      <c r="DK348" s="341" t="str">
        <f t="array" ref="DK348">IFERROR(IF($DK$11="Yes",INDEX($DF$13:$DF$2838,SMALL(IF((County=$DG$13:$DG$2838),MATCH(ROW($DG$13:$DG$2838),ROW($DG$13:$DG$2838)),""),ROWS($A$13:$A348))),""),"")</f>
        <v/>
      </c>
      <c r="DM348" s="1387">
        <v>34216</v>
      </c>
      <c r="DN348" s="338" t="s">
        <v>328</v>
      </c>
      <c r="DP348" s="236">
        <v>70.06</v>
      </c>
      <c r="DQ348" s="236" t="s">
        <v>331</v>
      </c>
      <c r="DV348" s="340">
        <v>20.16</v>
      </c>
      <c r="DW348" s="340" t="s">
        <v>328</v>
      </c>
      <c r="DX348" s="1671"/>
      <c r="EB348" s="618"/>
      <c r="EC348" s="618"/>
      <c r="ED348" s="618"/>
      <c r="EE348" s="618"/>
      <c r="EF348" s="618"/>
      <c r="EG348" s="618"/>
      <c r="EH348" s="618"/>
      <c r="EI348" s="618"/>
      <c r="EJ348" s="618"/>
      <c r="EK348" s="618"/>
      <c r="EL348" s="618"/>
      <c r="EM348" s="618"/>
    </row>
    <row r="349" spans="1:143">
      <c r="A349" s="339">
        <v>34688</v>
      </c>
      <c r="B349" s="338" t="s">
        <v>342</v>
      </c>
      <c r="F349" s="338">
        <v>20.05</v>
      </c>
      <c r="G349" s="338" t="s">
        <v>324</v>
      </c>
      <c r="L349" s="2481">
        <v>1103.49</v>
      </c>
      <c r="M349" s="340" t="s">
        <v>289</v>
      </c>
      <c r="N349" s="1390"/>
      <c r="O349" s="2479"/>
      <c r="P349" s="2282"/>
      <c r="T349" s="341" t="str">
        <f t="array" ref="T349">IFERROR(IF($T$11="Yes",INDEX($L$13:$L$2813,SMALL(IF((County=$M$13:$M$2813),MATCH(ROW($M$13:$M$2813),ROW($M$13:$M$2813)),""),ROWS($A$13:A349))),""),"")</f>
        <v/>
      </c>
      <c r="V349" s="2283" t="str">
        <f t="array" ref="V349">IFERROR(IF($T$11="Yes",INDEX($O$14:$O$2811,SMALL(IF((County=$P$14:$P$2811),MATCH(ROW($P$14:$P$2811),ROW($P$14:$P$2811)),""),ROWS($A$13:A349))),""),"")</f>
        <v/>
      </c>
      <c r="X349" s="339">
        <v>34134</v>
      </c>
      <c r="Y349" s="338" t="s">
        <v>323</v>
      </c>
      <c r="AA349" s="338">
        <v>100.1</v>
      </c>
      <c r="AB349" s="338" t="s">
        <v>331</v>
      </c>
      <c r="AG349" s="2297">
        <v>20.23</v>
      </c>
      <c r="AH349" s="2297" t="s">
        <v>328</v>
      </c>
      <c r="AI349" s="1390"/>
      <c r="AJ349" s="2282"/>
      <c r="AK349" s="2282"/>
      <c r="AL349" s="1037"/>
      <c r="AM349" s="339">
        <v>32092</v>
      </c>
      <c r="AN349" s="338" t="s">
        <v>349</v>
      </c>
      <c r="AR349" s="338">
        <v>18.04</v>
      </c>
      <c r="AS349" s="338" t="s">
        <v>330</v>
      </c>
      <c r="AX349" s="340">
        <v>1103.19</v>
      </c>
      <c r="AY349" s="340" t="s">
        <v>289</v>
      </c>
      <c r="BC349" s="341" t="str">
        <f t="array" ref="BC349">IFERROR(IF($BC$11="Yes",INDEX($AX$13:$AX$2950,SMALL(IF((County=$AY$13:$AY$2950),MATCH(ROW($AY$13:$AY$2950),ROW($AY$13:$AY$2950)),""),ROWS($A$13:$A349))),""),"")</f>
        <v/>
      </c>
      <c r="BE349" s="339">
        <v>34744</v>
      </c>
      <c r="BF349" s="338" t="s">
        <v>339</v>
      </c>
      <c r="BH349" s="338">
        <v>64.02</v>
      </c>
      <c r="BI349" s="338" t="s">
        <v>331</v>
      </c>
      <c r="BN349" s="340">
        <v>19.11</v>
      </c>
      <c r="BO349" s="340" t="s">
        <v>328</v>
      </c>
      <c r="BP349" s="1385"/>
      <c r="BQ349" s="341">
        <v>34695</v>
      </c>
      <c r="BR349" s="338" t="s">
        <v>342</v>
      </c>
      <c r="BV349" s="338">
        <v>204.17</v>
      </c>
      <c r="BW349" s="338" t="s">
        <v>289</v>
      </c>
      <c r="CB349" s="340">
        <v>1103.08</v>
      </c>
      <c r="CC349" s="340" t="s">
        <v>289</v>
      </c>
      <c r="CE349" s="341" t="str">
        <f t="array" ref="CE349">IFERROR(IF($CE$11="Metro",INDEX($BV$13:$BV$4972,SMALL(IF((County=$BW$13:$BW$4972),MATCH(ROW($BW$13:$BW$4972),ROW($BW$13:$BW$4972)),""),ROWS($A$13:$A349))),INDEX($BY$13:$BY$212,SMALL(IF((County=$BZ$13:$BZ$212),MATCH(ROW($BZ$13:$BZ$212),ROW($BZ$13:$BZ$212)),""),ROWS($A$13:$A349)))),"")</f>
        <v/>
      </c>
      <c r="CG349" s="341" t="str">
        <f t="array" ref="CG349">IFERROR(IF($CG$11="Yes",INDEX($CB$13:$CB$2950,SMALL(IF((County=$CC$13:$CC$2950),MATCH(ROW($CC$13:$CC$2950),ROW($CC$13:$CC$2950)),""),ROWS($A$13:$A349))),""),"")</f>
        <v/>
      </c>
      <c r="CI349" s="1583">
        <v>34219</v>
      </c>
      <c r="CJ349" s="338" t="s">
        <v>328</v>
      </c>
      <c r="CL349" s="236">
        <v>9.0299999999999994</v>
      </c>
      <c r="CM349" s="236" t="s">
        <v>329</v>
      </c>
      <c r="CR349" s="340">
        <v>19.13</v>
      </c>
      <c r="CS349" s="340" t="s">
        <v>328</v>
      </c>
      <c r="CT349" s="1384"/>
      <c r="CU349" s="341">
        <v>34688</v>
      </c>
      <c r="CV349" s="338" t="s">
        <v>342</v>
      </c>
      <c r="CZ349" s="1795">
        <v>305.05</v>
      </c>
      <c r="DA349" s="338" t="s">
        <v>322</v>
      </c>
      <c r="DF349" s="340">
        <v>1103.26</v>
      </c>
      <c r="DG349" s="340" t="s">
        <v>289</v>
      </c>
      <c r="DK349" s="341" t="str">
        <f t="array" ref="DK349">IFERROR(IF($DK$11="Yes",INDEX($DF$13:$DF$2838,SMALL(IF((County=$DG$13:$DG$2838),MATCH(ROW($DG$13:$DG$2838),ROW($DG$13:$DG$2838)),""),ROWS($A$13:$A349))),""),"")</f>
        <v/>
      </c>
      <c r="DM349" s="1387">
        <v>34217</v>
      </c>
      <c r="DN349" s="338" t="s">
        <v>328</v>
      </c>
      <c r="DP349" s="236">
        <v>72.08</v>
      </c>
      <c r="DQ349" s="236" t="s">
        <v>340</v>
      </c>
      <c r="DV349" s="340">
        <v>20.16</v>
      </c>
      <c r="DW349" s="340" t="s">
        <v>347</v>
      </c>
      <c r="DX349" s="1671"/>
      <c r="EB349" s="618"/>
      <c r="EC349" s="618"/>
      <c r="ED349" s="618"/>
      <c r="EE349" s="618"/>
      <c r="EF349" s="618"/>
      <c r="EG349" s="618"/>
      <c r="EH349" s="618"/>
      <c r="EI349" s="618"/>
      <c r="EJ349" s="618"/>
      <c r="EK349" s="618"/>
      <c r="EL349" s="618"/>
      <c r="EM349" s="618"/>
    </row>
    <row r="350" spans="1:143">
      <c r="A350" s="339">
        <v>34695</v>
      </c>
      <c r="B350" s="338" t="s">
        <v>342</v>
      </c>
      <c r="F350" s="338">
        <v>20.059999999999999</v>
      </c>
      <c r="G350" s="338" t="s">
        <v>324</v>
      </c>
      <c r="L350" s="2481">
        <v>1103.5</v>
      </c>
      <c r="M350" s="340" t="s">
        <v>289</v>
      </c>
      <c r="N350" s="1390"/>
      <c r="O350" s="2479"/>
      <c r="P350" s="2282"/>
      <c r="T350" s="341" t="str">
        <f t="array" ref="T350">IFERROR(IF($T$11="Yes",INDEX($L$13:$L$2813,SMALL(IF((County=$M$13:$M$2813),MATCH(ROW($M$13:$M$2813),ROW($M$13:$M$2813)),""),ROWS($A$13:A350))),""),"")</f>
        <v/>
      </c>
      <c r="V350" s="2283" t="str">
        <f t="array" ref="V350">IFERROR(IF($T$11="Yes",INDEX($O$14:$O$2811,SMALL(IF((County=$P$14:$P$2811),MATCH(ROW($P$14:$P$2811),ROW($P$14:$P$2811)),""),ROWS($A$13:A350))),""),"")</f>
        <v/>
      </c>
      <c r="X350" s="339">
        <v>34135</v>
      </c>
      <c r="Y350" s="338" t="s">
        <v>323</v>
      </c>
      <c r="AA350" s="338">
        <v>100.15</v>
      </c>
      <c r="AB350" s="338" t="s">
        <v>331</v>
      </c>
      <c r="AG350" s="2297">
        <v>20.239999999999998</v>
      </c>
      <c r="AH350" s="2297" t="s">
        <v>328</v>
      </c>
      <c r="AI350" s="1390"/>
      <c r="AJ350" s="2282"/>
      <c r="AK350" s="2282"/>
      <c r="AL350" s="1037"/>
      <c r="AM350" s="339">
        <v>32259</v>
      </c>
      <c r="AN350" s="338" t="s">
        <v>349</v>
      </c>
      <c r="AR350" s="338">
        <v>1.0900000000000001</v>
      </c>
      <c r="AS350" s="338" t="s">
        <v>331</v>
      </c>
      <c r="AX350" s="340">
        <v>1103.21</v>
      </c>
      <c r="AY350" s="340" t="s">
        <v>289</v>
      </c>
      <c r="BC350" s="341" t="str">
        <f t="array" ref="BC350">IFERROR(IF($BC$11="Yes",INDEX($AX$13:$AX$2950,SMALL(IF((County=$AY$13:$AY$2950),MATCH(ROW($AY$13:$AY$2950),ROW($AY$13:$AY$2950)),""),ROWS($A$13:$A350))),""),"")</f>
        <v/>
      </c>
      <c r="BE350" s="339">
        <v>34746</v>
      </c>
      <c r="BF350" s="338" t="s">
        <v>339</v>
      </c>
      <c r="BH350" s="338">
        <v>64.03</v>
      </c>
      <c r="BI350" s="338" t="s">
        <v>331</v>
      </c>
      <c r="BN350" s="340">
        <v>19.12</v>
      </c>
      <c r="BO350" s="340" t="s">
        <v>323</v>
      </c>
      <c r="BP350" s="1385"/>
      <c r="BQ350" s="341">
        <v>34698</v>
      </c>
      <c r="BR350" s="338" t="s">
        <v>342</v>
      </c>
      <c r="BV350" s="338">
        <v>204.18</v>
      </c>
      <c r="BW350" s="338" t="s">
        <v>289</v>
      </c>
      <c r="CB350" s="340">
        <v>1103.1099999999999</v>
      </c>
      <c r="CC350" s="340" t="s">
        <v>289</v>
      </c>
      <c r="CE350" s="341" t="str">
        <f t="array" ref="CE350">IFERROR(IF($CE$11="Metro",INDEX($BV$13:$BV$4972,SMALL(IF((County=$BW$13:$BW$4972),MATCH(ROW($BW$13:$BW$4972),ROW($BW$13:$BW$4972)),""),ROWS($A$13:$A350))),INDEX($BY$13:$BY$212,SMALL(IF((County=$BZ$13:$BZ$212),MATCH(ROW($BZ$13:$BZ$212),ROW($BZ$13:$BZ$212)),""),ROWS($A$13:$A350)))),"")</f>
        <v/>
      </c>
      <c r="CG350" s="341" t="str">
        <f t="array" ref="CG350">IFERROR(IF($CG$11="Yes",INDEX($CB$13:$CB$2950,SMALL(IF((County=$CC$13:$CC$2950),MATCH(ROW($CC$13:$CC$2950),ROW($CC$13:$CC$2950)),""),ROWS($A$13:$A350))),""),"")</f>
        <v/>
      </c>
      <c r="CI350" s="1583">
        <v>34228</v>
      </c>
      <c r="CJ350" s="236" t="s">
        <v>347</v>
      </c>
      <c r="CL350" s="236">
        <v>9.0299999999999994</v>
      </c>
      <c r="CM350" s="236" t="s">
        <v>331</v>
      </c>
      <c r="CR350" s="340">
        <v>19.14</v>
      </c>
      <c r="CS350" s="340" t="s">
        <v>328</v>
      </c>
      <c r="CT350" s="1384"/>
      <c r="CU350" s="341">
        <v>34695</v>
      </c>
      <c r="CV350" s="338" t="s">
        <v>342</v>
      </c>
      <c r="CZ350" s="1795">
        <v>305.07</v>
      </c>
      <c r="DA350" s="338" t="s">
        <v>322</v>
      </c>
      <c r="DF350" s="340">
        <v>1103.27</v>
      </c>
      <c r="DG350" s="340" t="s">
        <v>289</v>
      </c>
      <c r="DK350" s="341" t="str">
        <f t="array" ref="DK350">IFERROR(IF($DK$11="Yes",INDEX($DF$13:$DF$2838,SMALL(IF((County=$DG$13:$DG$2838),MATCH(ROW($DG$13:$DG$2838),ROW($DG$13:$DG$2838)),""),ROWS($A$13:$A350))),""),"")</f>
        <v/>
      </c>
      <c r="DM350" s="1387">
        <v>34219</v>
      </c>
      <c r="DN350" s="338" t="s">
        <v>328</v>
      </c>
      <c r="DP350" s="236">
        <v>76.03</v>
      </c>
      <c r="DQ350" s="236" t="s">
        <v>331</v>
      </c>
      <c r="DV350" s="340">
        <v>20.170000000000002</v>
      </c>
      <c r="DW350" s="340" t="s">
        <v>328</v>
      </c>
      <c r="DX350" s="1671"/>
      <c r="EB350" s="618"/>
      <c r="EC350" s="618"/>
      <c r="ED350" s="618"/>
      <c r="EE350" s="618"/>
      <c r="EF350" s="618"/>
      <c r="EG350" s="618"/>
      <c r="EH350" s="618"/>
      <c r="EI350" s="618"/>
      <c r="EJ350" s="618"/>
      <c r="EK350" s="618"/>
      <c r="EL350" s="618"/>
      <c r="EM350" s="618"/>
    </row>
    <row r="351" spans="1:143">
      <c r="A351" s="339">
        <v>33547</v>
      </c>
      <c r="B351" s="338" t="s">
        <v>344</v>
      </c>
      <c r="F351" s="338">
        <v>20.07</v>
      </c>
      <c r="G351" s="338" t="s">
        <v>324</v>
      </c>
      <c r="L351" s="2481">
        <v>1103.56</v>
      </c>
      <c r="M351" s="340" t="s">
        <v>289</v>
      </c>
      <c r="N351" s="1390"/>
      <c r="O351" s="2479"/>
      <c r="P351" s="2282"/>
      <c r="T351" s="341" t="str">
        <f t="array" ref="T351">IFERROR(IF($T$11="Yes",INDEX($L$13:$L$2813,SMALL(IF((County=$M$13:$M$2813),MATCH(ROW($M$13:$M$2813),ROW($M$13:$M$2813)),""),ROWS($A$13:A351))),""),"")</f>
        <v/>
      </c>
      <c r="V351" s="2283" t="str">
        <f t="array" ref="V351">IFERROR(IF($T$11="Yes",INDEX($O$14:$O$2811,SMALL(IF((County=$P$14:$P$2811),MATCH(ROW($P$14:$P$2811),ROW($P$14:$P$2811)),""),ROWS($A$13:A351))),""),"")</f>
        <v/>
      </c>
      <c r="X351" s="339">
        <v>34140</v>
      </c>
      <c r="Y351" s="338" t="s">
        <v>323</v>
      </c>
      <c r="AA351" s="338">
        <v>100.19</v>
      </c>
      <c r="AB351" s="338" t="s">
        <v>331</v>
      </c>
      <c r="AG351" s="2297">
        <v>20.25</v>
      </c>
      <c r="AH351" s="2297" t="s">
        <v>328</v>
      </c>
      <c r="AI351" s="1390"/>
      <c r="AJ351" s="2282"/>
      <c r="AK351" s="2282"/>
      <c r="AL351" s="1037"/>
      <c r="AM351" s="339">
        <v>34952</v>
      </c>
      <c r="AN351" s="338" t="s">
        <v>350</v>
      </c>
      <c r="AR351" s="338">
        <v>1.24</v>
      </c>
      <c r="AS351" s="338" t="s">
        <v>331</v>
      </c>
      <c r="AX351" s="340">
        <v>1103.23</v>
      </c>
      <c r="AY351" s="340" t="s">
        <v>289</v>
      </c>
      <c r="BC351" s="341" t="str">
        <f t="array" ref="BC351">IFERROR(IF($BC$11="Yes",INDEX($AX$13:$AX$2950,SMALL(IF((County=$AY$13:$AY$2950),MATCH(ROW($AY$13:$AY$2950),ROW($AY$13:$AY$2950)),""),ROWS($A$13:$A351))),""),"")</f>
        <v/>
      </c>
      <c r="BE351" s="339">
        <v>34747</v>
      </c>
      <c r="BF351" s="338" t="s">
        <v>339</v>
      </c>
      <c r="BH351" s="338">
        <v>68.02</v>
      </c>
      <c r="BI351" s="338" t="s">
        <v>340</v>
      </c>
      <c r="BN351" s="340">
        <v>19.13</v>
      </c>
      <c r="BO351" s="340" t="s">
        <v>323</v>
      </c>
      <c r="BP351" s="1385"/>
      <c r="BQ351" s="341">
        <v>33803</v>
      </c>
      <c r="BR351" s="338" t="s">
        <v>344</v>
      </c>
      <c r="BV351" s="338">
        <v>204.19</v>
      </c>
      <c r="BW351" s="338" t="s">
        <v>289</v>
      </c>
      <c r="CB351" s="340">
        <v>1103.1300000000001</v>
      </c>
      <c r="CC351" s="340" t="s">
        <v>289</v>
      </c>
      <c r="CE351" s="341" t="str">
        <f t="array" ref="CE351">IFERROR(IF($CE$11="Metro",INDEX($BV$13:$BV$4972,SMALL(IF((County=$BW$13:$BW$4972),MATCH(ROW($BW$13:$BW$4972),ROW($BW$13:$BW$4972)),""),ROWS($A$13:$A351))),INDEX($BY$13:$BY$212,SMALL(IF((County=$BZ$13:$BZ$212),MATCH(ROW($BZ$13:$BZ$212),ROW($BZ$13:$BZ$212)),""),ROWS($A$13:$A351)))),"")</f>
        <v/>
      </c>
      <c r="CG351" s="341" t="str">
        <f t="array" ref="CG351">IFERROR(IF($CG$11="Yes",INDEX($CB$13:$CB$2950,SMALL(IF((County=$CC$13:$CC$2950),MATCH(ROW($CC$13:$CC$2950),ROW($CC$13:$CC$2950)),""),ROWS($A$13:$A351))),""),"")</f>
        <v/>
      </c>
      <c r="CI351" s="1583">
        <v>34232</v>
      </c>
      <c r="CJ351" s="236" t="s">
        <v>347</v>
      </c>
      <c r="CL351" s="236">
        <v>9.0299999999999994</v>
      </c>
      <c r="CM351" s="236" t="s">
        <v>340</v>
      </c>
      <c r="CR351" s="340">
        <v>19.149999999999999</v>
      </c>
      <c r="CS351" s="340" t="s">
        <v>323</v>
      </c>
      <c r="CT351" s="1384"/>
      <c r="CU351" s="341">
        <v>34698</v>
      </c>
      <c r="CV351" s="338" t="s">
        <v>342</v>
      </c>
      <c r="CZ351" s="1795">
        <v>306.01</v>
      </c>
      <c r="DA351" s="338" t="s">
        <v>322</v>
      </c>
      <c r="DF351" s="340">
        <v>1103.28</v>
      </c>
      <c r="DG351" s="340" t="s">
        <v>289</v>
      </c>
      <c r="DK351" s="341" t="str">
        <f t="array" ref="DK351">IFERROR(IF($DK$11="Yes",INDEX($DF$13:$DF$2838,SMALL(IF((County=$DG$13:$DG$2838),MATCH(ROW($DG$13:$DG$2838),ROW($DG$13:$DG$2838)),""),ROWS($A$13:$A351))),""),"")</f>
        <v/>
      </c>
      <c r="DM351" s="1387">
        <v>34228</v>
      </c>
      <c r="DN351" s="338" t="s">
        <v>328</v>
      </c>
      <c r="DP351" s="236">
        <v>76.2</v>
      </c>
      <c r="DQ351" s="236" t="s">
        <v>340</v>
      </c>
      <c r="DV351" s="340">
        <v>20.18</v>
      </c>
      <c r="DW351" s="340" t="s">
        <v>328</v>
      </c>
      <c r="DX351" s="1671"/>
      <c r="EB351" s="618"/>
      <c r="EC351" s="618"/>
      <c r="ED351" s="618"/>
      <c r="EE351" s="618"/>
      <c r="EF351" s="618"/>
      <c r="EG351" s="618"/>
      <c r="EH351" s="618"/>
      <c r="EI351" s="618"/>
      <c r="EJ351" s="618"/>
      <c r="EK351" s="618"/>
      <c r="EL351" s="618"/>
      <c r="EM351" s="618"/>
    </row>
    <row r="352" spans="1:143">
      <c r="A352" s="339">
        <v>33812</v>
      </c>
      <c r="B352" s="338" t="s">
        <v>344</v>
      </c>
      <c r="F352" s="338">
        <v>20.079999999999998</v>
      </c>
      <c r="G352" s="338" t="s">
        <v>324</v>
      </c>
      <c r="L352" s="2481">
        <v>1103.57</v>
      </c>
      <c r="M352" s="340" t="s">
        <v>289</v>
      </c>
      <c r="N352" s="1390"/>
      <c r="O352" s="2479"/>
      <c r="P352" s="2282"/>
      <c r="T352" s="341" t="str">
        <f t="array" ref="T352">IFERROR(IF($T$11="Yes",INDEX($L$13:$L$2813,SMALL(IF((County=$M$13:$M$2813),MATCH(ROW($M$13:$M$2813),ROW($M$13:$M$2813)),""),ROWS($A$13:A352))),""),"")</f>
        <v/>
      </c>
      <c r="V352" s="2283" t="str">
        <f t="array" ref="V352">IFERROR(IF($T$11="Yes",INDEX($O$14:$O$2811,SMALL(IF((County=$P$14:$P$2811),MATCH(ROW($P$14:$P$2811),ROW($P$14:$P$2811)),""),ROWS($A$13:A352))),""),"")</f>
        <v/>
      </c>
      <c r="X352" s="339">
        <v>34145</v>
      </c>
      <c r="Y352" s="338" t="s">
        <v>297</v>
      </c>
      <c r="AA352" s="338">
        <v>100.23</v>
      </c>
      <c r="AB352" s="338" t="s">
        <v>331</v>
      </c>
      <c r="AG352" s="2297">
        <v>21</v>
      </c>
      <c r="AH352" s="2297" t="s">
        <v>329</v>
      </c>
      <c r="AI352" s="1390"/>
      <c r="AJ352" s="2282"/>
      <c r="AK352" s="2282"/>
      <c r="AL352" s="1037"/>
      <c r="AM352" s="339">
        <v>34953</v>
      </c>
      <c r="AN352" s="338" t="s">
        <v>350</v>
      </c>
      <c r="AR352" s="338">
        <v>1.26</v>
      </c>
      <c r="AS352" s="338" t="s">
        <v>331</v>
      </c>
      <c r="AX352" s="340">
        <v>1103.26</v>
      </c>
      <c r="AY352" s="340" t="s">
        <v>289</v>
      </c>
      <c r="BC352" s="341" t="str">
        <f t="array" ref="BC352">IFERROR(IF($BC$11="Yes",INDEX($AX$13:$AX$2950,SMALL(IF((County=$AY$13:$AY$2950),MATCH(ROW($AY$13:$AY$2950),ROW($AY$13:$AY$2950)),""),ROWS($A$13:$A352))),""),"")</f>
        <v/>
      </c>
      <c r="BE352" s="339">
        <v>34758</v>
      </c>
      <c r="BF352" s="338" t="s">
        <v>339</v>
      </c>
      <c r="BH352" s="338">
        <v>70.02</v>
      </c>
      <c r="BI352" s="338" t="s">
        <v>316</v>
      </c>
      <c r="BN352" s="340">
        <v>19.13</v>
      </c>
      <c r="BO352" s="340" t="s">
        <v>328</v>
      </c>
      <c r="BP352" s="1385"/>
      <c r="BQ352" s="341">
        <v>33810</v>
      </c>
      <c r="BR352" s="338" t="s">
        <v>344</v>
      </c>
      <c r="BV352" s="338">
        <v>204.2</v>
      </c>
      <c r="BW352" s="338" t="s">
        <v>289</v>
      </c>
      <c r="CB352" s="340">
        <v>1103.19</v>
      </c>
      <c r="CC352" s="340" t="s">
        <v>289</v>
      </c>
      <c r="CE352" s="341" t="str">
        <f t="array" ref="CE352">IFERROR(IF($CE$11="Metro",INDEX($BV$13:$BV$4972,SMALL(IF((County=$BW$13:$BW$4972),MATCH(ROW($BW$13:$BW$4972),ROW($BW$13:$BW$4972)),""),ROWS($A$13:$A352))),INDEX($BY$13:$BY$212,SMALL(IF((County=$BZ$13:$BZ$212),MATCH(ROW($BZ$13:$BZ$212),ROW($BZ$13:$BZ$212)),""),ROWS($A$13:$A352)))),"")</f>
        <v/>
      </c>
      <c r="CG352" s="341" t="str">
        <f t="array" ref="CG352">IFERROR(IF($CG$11="Yes",INDEX($CB$13:$CB$2950,SMALL(IF((County=$CC$13:$CC$2950),MATCH(ROW($CC$13:$CC$2950),ROW($CC$13:$CC$2950)),""),ROWS($A$13:$A352))),""),"")</f>
        <v/>
      </c>
      <c r="CI352" s="1583">
        <v>34233</v>
      </c>
      <c r="CJ352" s="236" t="s">
        <v>347</v>
      </c>
      <c r="CL352" s="236">
        <v>9.0399999999999991</v>
      </c>
      <c r="CM352" s="236" t="s">
        <v>324</v>
      </c>
      <c r="CR352" s="340">
        <v>19.149999999999999</v>
      </c>
      <c r="CS352" s="340" t="s">
        <v>328</v>
      </c>
      <c r="CT352" s="1384"/>
      <c r="CU352" s="341">
        <v>33547</v>
      </c>
      <c r="CV352" s="338" t="s">
        <v>344</v>
      </c>
      <c r="CZ352" s="1795">
        <v>306.02</v>
      </c>
      <c r="DA352" s="338" t="s">
        <v>322</v>
      </c>
      <c r="DF352" s="340">
        <v>1103.3</v>
      </c>
      <c r="DG352" s="340" t="s">
        <v>289</v>
      </c>
      <c r="DK352" s="341" t="str">
        <f t="array" ref="DK352">IFERROR(IF($DK$11="Yes",INDEX($DF$13:$DF$2838,SMALL(IF((County=$DG$13:$DG$2838),MATCH(ROW($DG$13:$DG$2838),ROW($DG$13:$DG$2838)),""),ROWS($A$13:$A352))),""),"")</f>
        <v/>
      </c>
      <c r="DM352" s="1387">
        <v>34232</v>
      </c>
      <c r="DN352" s="338" t="s">
        <v>347</v>
      </c>
      <c r="DP352" s="236">
        <v>78.319999999999993</v>
      </c>
      <c r="DQ352" s="236" t="s">
        <v>340</v>
      </c>
      <c r="DV352" s="340">
        <v>20.190000000000001</v>
      </c>
      <c r="DW352" s="340" t="s">
        <v>328</v>
      </c>
      <c r="DX352" s="1671"/>
      <c r="EB352" s="618"/>
      <c r="EC352" s="618"/>
      <c r="ED352" s="618"/>
      <c r="EE352" s="618"/>
      <c r="EF352" s="618"/>
      <c r="EG352" s="618"/>
      <c r="EH352" s="618"/>
      <c r="EI352" s="618"/>
      <c r="EJ352" s="618"/>
      <c r="EK352" s="618"/>
      <c r="EL352" s="618"/>
      <c r="EM352" s="618"/>
    </row>
    <row r="353" spans="1:143">
      <c r="A353" s="339">
        <v>33813</v>
      </c>
      <c r="B353" s="338" t="s">
        <v>344</v>
      </c>
      <c r="F353" s="338">
        <v>21.03</v>
      </c>
      <c r="G353" s="338" t="s">
        <v>324</v>
      </c>
      <c r="L353" s="2481">
        <v>1103.58</v>
      </c>
      <c r="M353" s="340" t="s">
        <v>289</v>
      </c>
      <c r="N353" s="1390"/>
      <c r="O353" s="2479"/>
      <c r="P353" s="2282"/>
      <c r="T353" s="341" t="str">
        <f t="array" ref="T353">IFERROR(IF($T$11="Yes",INDEX($L$13:$L$2813,SMALL(IF((County=$M$13:$M$2813),MATCH(ROW($M$13:$M$2813),ROW($M$13:$M$2813)),""),ROWS($A$13:A353))),""),"")</f>
        <v/>
      </c>
      <c r="V353" s="2283" t="str">
        <f t="array" ref="V353">IFERROR(IF($T$11="Yes",INDEX($O$14:$O$2811,SMALL(IF((County=$P$14:$P$2811),MATCH(ROW($P$14:$P$2811),ROW($P$14:$P$2811)),""),ROWS($A$13:A353))),""),"")</f>
        <v/>
      </c>
      <c r="X353" s="339">
        <v>34201</v>
      </c>
      <c r="Y353" s="338" t="s">
        <v>328</v>
      </c>
      <c r="AA353" s="338">
        <v>100.24</v>
      </c>
      <c r="AB353" s="338" t="s">
        <v>331</v>
      </c>
      <c r="AG353" s="2297">
        <v>21.01</v>
      </c>
      <c r="AH353" s="2297" t="s">
        <v>276</v>
      </c>
      <c r="AI353" s="1390"/>
      <c r="AJ353" s="2282"/>
      <c r="AK353" s="2282"/>
      <c r="AL353" s="1037"/>
      <c r="AM353" s="339">
        <v>34983</v>
      </c>
      <c r="AN353" s="338" t="s">
        <v>350</v>
      </c>
      <c r="AR353" s="338">
        <v>2.06</v>
      </c>
      <c r="AS353" s="338" t="s">
        <v>331</v>
      </c>
      <c r="AX353" s="340">
        <v>1103.27</v>
      </c>
      <c r="AY353" s="340" t="s">
        <v>289</v>
      </c>
      <c r="BC353" s="341" t="str">
        <f t="array" ref="BC353">IFERROR(IF($BC$11="Yes",INDEX($AX$13:$AX$2950,SMALL(IF((County=$AY$13:$AY$2950),MATCH(ROW($AY$13:$AY$2950),ROW($AY$13:$AY$2950)),""),ROWS($A$13:$A353))),""),"")</f>
        <v/>
      </c>
      <c r="BE353" s="339">
        <v>34759</v>
      </c>
      <c r="BF353" s="338" t="s">
        <v>344</v>
      </c>
      <c r="BH353" s="338">
        <v>70.05</v>
      </c>
      <c r="BI353" s="338" t="s">
        <v>331</v>
      </c>
      <c r="BN353" s="340">
        <v>19.14</v>
      </c>
      <c r="BO353" s="340" t="s">
        <v>328</v>
      </c>
      <c r="BP353" s="1385"/>
      <c r="BQ353" s="341">
        <v>33812</v>
      </c>
      <c r="BR353" s="338" t="s">
        <v>344</v>
      </c>
      <c r="BV353" s="338">
        <v>204.21</v>
      </c>
      <c r="BW353" s="338" t="s">
        <v>289</v>
      </c>
      <c r="CB353" s="340">
        <v>1103.21</v>
      </c>
      <c r="CC353" s="340" t="s">
        <v>289</v>
      </c>
      <c r="CE353" s="341" t="str">
        <f t="array" ref="CE353">IFERROR(IF($CE$11="Metro",INDEX($BV$13:$BV$4972,SMALL(IF((County=$BW$13:$BW$4972),MATCH(ROW($BW$13:$BW$4972),ROW($BW$13:$BW$4972)),""),ROWS($A$13:$A353))),INDEX($BY$13:$BY$212,SMALL(IF((County=$BZ$13:$BZ$212),MATCH(ROW($BZ$13:$BZ$212),ROW($BZ$13:$BZ$212)),""),ROWS($A$13:$A353)))),"")</f>
        <v/>
      </c>
      <c r="CG353" s="341" t="str">
        <f t="array" ref="CG353">IFERROR(IF($CG$11="Yes",INDEX($CB$13:$CB$2950,SMALL(IF((County=$CC$13:$CC$2950),MATCH(ROW($CC$13:$CC$2950),ROW($CC$13:$CC$2950)),""),ROWS($A$13:$A353))),""),"")</f>
        <v/>
      </c>
      <c r="CI353" s="1583">
        <v>34235</v>
      </c>
      <c r="CJ353" s="236" t="s">
        <v>347</v>
      </c>
      <c r="CL353" s="236">
        <v>9.0399999999999991</v>
      </c>
      <c r="CM353" s="236" t="s">
        <v>329</v>
      </c>
      <c r="CR353" s="340">
        <v>19.16</v>
      </c>
      <c r="CS353" s="340" t="s">
        <v>323</v>
      </c>
      <c r="CT353" s="1384"/>
      <c r="CU353" s="341">
        <v>33812</v>
      </c>
      <c r="CV353" s="338" t="s">
        <v>344</v>
      </c>
      <c r="CZ353" s="1795">
        <v>308.04000000000002</v>
      </c>
      <c r="DA353" s="338" t="s">
        <v>322</v>
      </c>
      <c r="DF353" s="340">
        <v>1103.32</v>
      </c>
      <c r="DG353" s="340" t="s">
        <v>289</v>
      </c>
      <c r="DK353" s="341" t="str">
        <f t="array" ref="DK353">IFERROR(IF($DK$11="Yes",INDEX($DF$13:$DF$2838,SMALL(IF((County=$DG$13:$DG$2838),MATCH(ROW($DG$13:$DG$2838),ROW($DG$13:$DG$2838)),""),ROWS($A$13:$A353))),""),"")</f>
        <v/>
      </c>
      <c r="DM353" s="1387">
        <v>34233</v>
      </c>
      <c r="DN353" s="338" t="s">
        <v>347</v>
      </c>
      <c r="DP353" s="236">
        <v>78.33</v>
      </c>
      <c r="DQ353" s="236" t="s">
        <v>340</v>
      </c>
      <c r="DV353" s="340">
        <v>20.2</v>
      </c>
      <c r="DW353" s="340" t="s">
        <v>328</v>
      </c>
      <c r="DX353" s="1671"/>
      <c r="EB353" s="618"/>
      <c r="EC353" s="618"/>
      <c r="ED353" s="618"/>
      <c r="EE353" s="618"/>
      <c r="EF353" s="618"/>
      <c r="EG353" s="618"/>
      <c r="EH353" s="618"/>
      <c r="EI353" s="618"/>
      <c r="EJ353" s="618"/>
      <c r="EK353" s="618"/>
      <c r="EL353" s="618"/>
      <c r="EM353" s="618"/>
    </row>
    <row r="354" spans="1:143">
      <c r="A354" s="339">
        <v>33827</v>
      </c>
      <c r="B354" s="338" t="s">
        <v>344</v>
      </c>
      <c r="F354" s="338">
        <v>21.05</v>
      </c>
      <c r="G354" s="338" t="s">
        <v>324</v>
      </c>
      <c r="L354" s="2481">
        <v>1103.5899999999999</v>
      </c>
      <c r="M354" s="340" t="s">
        <v>289</v>
      </c>
      <c r="N354" s="1390"/>
      <c r="O354" s="2479"/>
      <c r="P354" s="2282"/>
      <c r="T354" s="341" t="str">
        <f t="array" ref="T354">IFERROR(IF($T$11="Yes",INDEX($L$13:$L$2813,SMALL(IF((County=$M$13:$M$2813),MATCH(ROW($M$13:$M$2813),ROW($M$13:$M$2813)),""),ROWS($A$13:A354))),""),"")</f>
        <v/>
      </c>
      <c r="V354" s="2283" t="str">
        <f t="array" ref="V354">IFERROR(IF($T$11="Yes",INDEX($O$14:$O$2811,SMALL(IF((County=$P$14:$P$2811),MATCH(ROW($P$14:$P$2811),ROW($P$14:$P$2811)),""),ROWS($A$13:A354))),""),"")</f>
        <v/>
      </c>
      <c r="X354" s="339">
        <v>34202</v>
      </c>
      <c r="Y354" s="338" t="s">
        <v>328</v>
      </c>
      <c r="AA354" s="338">
        <v>100.26</v>
      </c>
      <c r="AB354" s="338" t="s">
        <v>331</v>
      </c>
      <c r="AG354" s="2297">
        <v>21.01</v>
      </c>
      <c r="AH354" s="2297" t="s">
        <v>302</v>
      </c>
      <c r="AI354" s="1390"/>
      <c r="AJ354" s="2282"/>
      <c r="AK354" s="2282"/>
      <c r="AL354" s="1037"/>
      <c r="AM354" s="339">
        <v>34984</v>
      </c>
      <c r="AN354" s="338" t="s">
        <v>350</v>
      </c>
      <c r="AR354" s="338">
        <v>2.12</v>
      </c>
      <c r="AS354" s="338" t="s">
        <v>331</v>
      </c>
      <c r="AX354" s="340">
        <v>1103.28</v>
      </c>
      <c r="AY354" s="340" t="s">
        <v>289</v>
      </c>
      <c r="BC354" s="341" t="str">
        <f t="array" ref="BC354">IFERROR(IF($BC$11="Yes",INDEX($AX$13:$AX$2950,SMALL(IF((County=$AY$13:$AY$2950),MATCH(ROW($AY$13:$AY$2950),ROW($AY$13:$AY$2950)),""),ROWS($A$13:$A354))),""),"")</f>
        <v/>
      </c>
      <c r="BE354" s="339">
        <v>34760</v>
      </c>
      <c r="BF354" s="338" t="s">
        <v>338</v>
      </c>
      <c r="BH354" s="338">
        <v>70.06</v>
      </c>
      <c r="BI354" s="338" t="s">
        <v>331</v>
      </c>
      <c r="BN354" s="340">
        <v>19.149999999999999</v>
      </c>
      <c r="BO354" s="340" t="s">
        <v>328</v>
      </c>
      <c r="BP354" s="1385"/>
      <c r="BQ354" s="341">
        <v>33813</v>
      </c>
      <c r="BR354" s="338" t="s">
        <v>344</v>
      </c>
      <c r="BV354" s="338">
        <v>205.01</v>
      </c>
      <c r="BW354" s="338" t="s">
        <v>289</v>
      </c>
      <c r="CB354" s="340">
        <v>1103.26</v>
      </c>
      <c r="CC354" s="340" t="s">
        <v>289</v>
      </c>
      <c r="CE354" s="341" t="str">
        <f t="array" ref="CE354">IFERROR(IF($CE$11="Metro",INDEX($BV$13:$BV$4972,SMALL(IF((County=$BW$13:$BW$4972),MATCH(ROW($BW$13:$BW$4972),ROW($BW$13:$BW$4972)),""),ROWS($A$13:$A354))),INDEX($BY$13:$BY$212,SMALL(IF((County=$BZ$13:$BZ$212),MATCH(ROW($BZ$13:$BZ$212),ROW($BZ$13:$BZ$212)),""),ROWS($A$13:$A354)))),"")</f>
        <v/>
      </c>
      <c r="CG354" s="341" t="str">
        <f t="array" ref="CG354">IFERROR(IF($CG$11="Yes",INDEX($CB$13:$CB$2950,SMALL(IF((County=$CC$13:$CC$2950),MATCH(ROW($CC$13:$CC$2950),ROW($CC$13:$CC$2950)),""),ROWS($A$13:$A354))),""),"")</f>
        <v/>
      </c>
      <c r="CI354" s="1583">
        <v>34238</v>
      </c>
      <c r="CJ354" s="236" t="s">
        <v>347</v>
      </c>
      <c r="CL354" s="236">
        <v>9.0399999999999991</v>
      </c>
      <c r="CM354" s="236" t="s">
        <v>331</v>
      </c>
      <c r="CR354" s="340">
        <v>19.16</v>
      </c>
      <c r="CS354" s="340" t="s">
        <v>328</v>
      </c>
      <c r="CT354" s="1384"/>
      <c r="CU354" s="341">
        <v>33813</v>
      </c>
      <c r="CV354" s="338" t="s">
        <v>344</v>
      </c>
      <c r="CZ354" s="1795">
        <v>308.07</v>
      </c>
      <c r="DA354" s="338" t="s">
        <v>322</v>
      </c>
      <c r="DF354" s="340">
        <v>1103.33</v>
      </c>
      <c r="DG354" s="340" t="s">
        <v>289</v>
      </c>
      <c r="DK354" s="341" t="str">
        <f t="array" ref="DK354">IFERROR(IF($DK$11="Yes",INDEX($DF$13:$DF$2838,SMALL(IF((County=$DG$13:$DG$2838),MATCH(ROW($DG$13:$DG$2838),ROW($DG$13:$DG$2838)),""),ROWS($A$13:$A354))),""),"")</f>
        <v/>
      </c>
      <c r="DM354" s="1387">
        <v>34235</v>
      </c>
      <c r="DN354" s="338" t="s">
        <v>347</v>
      </c>
      <c r="DP354" s="236">
        <v>80.010000000000005</v>
      </c>
      <c r="DQ354" s="236" t="s">
        <v>340</v>
      </c>
      <c r="DV354" s="340">
        <v>20.21</v>
      </c>
      <c r="DW354" s="340" t="s">
        <v>328</v>
      </c>
      <c r="DX354" s="1671"/>
      <c r="EB354" s="618"/>
      <c r="EC354" s="618"/>
      <c r="ED354" s="618"/>
      <c r="EE354" s="618"/>
      <c r="EF354" s="618"/>
      <c r="EG354" s="618"/>
      <c r="EH354" s="618"/>
      <c r="EI354" s="618"/>
      <c r="EJ354" s="618"/>
      <c r="EK354" s="618"/>
      <c r="EL354" s="618"/>
      <c r="EM354" s="618"/>
    </row>
    <row r="355" spans="1:143">
      <c r="A355" s="339">
        <v>33837</v>
      </c>
      <c r="B355" s="338" t="s">
        <v>344</v>
      </c>
      <c r="F355" s="338">
        <v>21.06</v>
      </c>
      <c r="G355" s="338" t="s">
        <v>324</v>
      </c>
      <c r="L355" s="2481">
        <v>1103.5999999999999</v>
      </c>
      <c r="M355" s="340" t="s">
        <v>289</v>
      </c>
      <c r="N355" s="1390"/>
      <c r="O355" s="2479"/>
      <c r="P355" s="2282"/>
      <c r="T355" s="341" t="str">
        <f t="array" ref="T355">IFERROR(IF($T$11="Yes",INDEX($L$13:$L$2813,SMALL(IF((County=$M$13:$M$2813),MATCH(ROW($M$13:$M$2813),ROW($M$13:$M$2813)),""),ROWS($A$13:A355))),""),"")</f>
        <v/>
      </c>
      <c r="V355" s="2283" t="str">
        <f t="array" ref="V355">IFERROR(IF($T$11="Yes",INDEX($O$14:$O$2811,SMALL(IF((County=$P$14:$P$2811),MATCH(ROW($P$14:$P$2811),ROW($P$14:$P$2811)),""),ROWS($A$13:A355))),""),"")</f>
        <v/>
      </c>
      <c r="X355" s="339">
        <v>34211</v>
      </c>
      <c r="Y355" s="338" t="s">
        <v>328</v>
      </c>
      <c r="AA355" s="338">
        <v>101.07</v>
      </c>
      <c r="AB355" s="338" t="s">
        <v>316</v>
      </c>
      <c r="AG355" s="2297">
        <v>21.01</v>
      </c>
      <c r="AH355" s="2297" t="s">
        <v>347</v>
      </c>
      <c r="AI355" s="1390"/>
      <c r="AJ355" s="2282"/>
      <c r="AK355" s="2282"/>
      <c r="AL355" s="1037"/>
      <c r="AM355" s="339">
        <v>34986</v>
      </c>
      <c r="AN355" s="338" t="s">
        <v>350</v>
      </c>
      <c r="AR355" s="338">
        <v>2.1800000000000002</v>
      </c>
      <c r="AS355" s="338" t="s">
        <v>331</v>
      </c>
      <c r="AX355" s="340">
        <v>1103.3</v>
      </c>
      <c r="AY355" s="340" t="s">
        <v>289</v>
      </c>
      <c r="BC355" s="341" t="str">
        <f t="array" ref="BC355">IFERROR(IF($BC$11="Yes",INDEX($AX$13:$AX$2950,SMALL(IF((County=$AY$13:$AY$2950),MATCH(ROW($AY$13:$AY$2950),ROW($AY$13:$AY$2950)),""),ROWS($A$13:$A355))),""),"")</f>
        <v/>
      </c>
      <c r="BE355" s="339">
        <v>34761</v>
      </c>
      <c r="BF355" s="338" t="s">
        <v>338</v>
      </c>
      <c r="BH355" s="338">
        <v>70.069999999999993</v>
      </c>
      <c r="BI355" s="338" t="s">
        <v>331</v>
      </c>
      <c r="BN355" s="340">
        <v>19.16</v>
      </c>
      <c r="BO355" s="340" t="s">
        <v>328</v>
      </c>
      <c r="BP355" s="1385"/>
      <c r="BQ355" s="341">
        <v>33827</v>
      </c>
      <c r="BR355" s="338" t="s">
        <v>344</v>
      </c>
      <c r="BV355" s="338">
        <v>205.02</v>
      </c>
      <c r="BW355" s="338" t="s">
        <v>289</v>
      </c>
      <c r="CB355" s="340">
        <v>1103.27</v>
      </c>
      <c r="CC355" s="340" t="s">
        <v>289</v>
      </c>
      <c r="CE355" s="341" t="str">
        <f t="array" ref="CE355">IFERROR(IF($CE$11="Metro",INDEX($BV$13:$BV$4972,SMALL(IF((County=$BW$13:$BW$4972),MATCH(ROW($BW$13:$BW$4972),ROW($BW$13:$BW$4972)),""),ROWS($A$13:$A355))),INDEX($BY$13:$BY$212,SMALL(IF((County=$BZ$13:$BZ$212),MATCH(ROW($BZ$13:$BZ$212),ROW($BZ$13:$BZ$212)),""),ROWS($A$13:$A355)))),"")</f>
        <v/>
      </c>
      <c r="CG355" s="341" t="str">
        <f t="array" ref="CG355">IFERROR(IF($CG$11="Yes",INDEX($CB$13:$CB$2950,SMALL(IF((County=$CC$13:$CC$2950),MATCH(ROW($CC$13:$CC$2950),ROW($CC$13:$CC$2950)),""),ROWS($A$13:$A355))),""),"")</f>
        <v/>
      </c>
      <c r="CI355" s="1583">
        <v>34239</v>
      </c>
      <c r="CJ355" s="236" t="s">
        <v>347</v>
      </c>
      <c r="CL355" s="236">
        <v>9.0399999999999991</v>
      </c>
      <c r="CM355" s="236" t="s">
        <v>340</v>
      </c>
      <c r="CR355" s="340">
        <v>19.16</v>
      </c>
      <c r="CS355" s="340" t="s">
        <v>340</v>
      </c>
      <c r="CT355" s="1384"/>
      <c r="CU355" s="341">
        <v>33827</v>
      </c>
      <c r="CV355" s="338" t="s">
        <v>344</v>
      </c>
      <c r="CZ355" s="1795">
        <v>3.03</v>
      </c>
      <c r="DA355" s="338" t="s">
        <v>323</v>
      </c>
      <c r="DF355" s="340">
        <v>1103.44</v>
      </c>
      <c r="DG355" s="340" t="s">
        <v>289</v>
      </c>
      <c r="DK355" s="341" t="str">
        <f t="array" ref="DK355">IFERROR(IF($DK$11="Yes",INDEX($DF$13:$DF$2838,SMALL(IF((County=$DG$13:$DG$2838),MATCH(ROW($DG$13:$DG$2838),ROW($DG$13:$DG$2838)),""),ROWS($A$13:$A355))),""),"")</f>
        <v/>
      </c>
      <c r="DM355" s="1387">
        <v>34236</v>
      </c>
      <c r="DN355" s="338" t="s">
        <v>347</v>
      </c>
      <c r="DP355" s="236">
        <v>80.02</v>
      </c>
      <c r="DQ355" s="236" t="s">
        <v>340</v>
      </c>
      <c r="DV355" s="340">
        <v>20.22</v>
      </c>
      <c r="DW355" s="340" t="s">
        <v>328</v>
      </c>
      <c r="DX355" s="1671"/>
      <c r="EB355" s="618"/>
      <c r="EC355" s="618"/>
      <c r="ED355" s="618"/>
      <c r="EE355" s="618"/>
      <c r="EF355" s="618"/>
      <c r="EG355" s="618"/>
      <c r="EH355" s="618"/>
      <c r="EI355" s="618"/>
      <c r="EJ355" s="618"/>
      <c r="EK355" s="618"/>
      <c r="EL355" s="618"/>
      <c r="EM355" s="618"/>
    </row>
    <row r="356" spans="1:143">
      <c r="A356" s="339">
        <v>33896</v>
      </c>
      <c r="B356" s="338" t="s">
        <v>344</v>
      </c>
      <c r="F356" s="338">
        <v>1.03</v>
      </c>
      <c r="G356" s="338" t="s">
        <v>328</v>
      </c>
      <c r="L356" s="2481">
        <v>1103.6099999999999</v>
      </c>
      <c r="M356" s="340" t="s">
        <v>289</v>
      </c>
      <c r="N356" s="1390"/>
      <c r="O356" s="2479"/>
      <c r="P356" s="2282"/>
      <c r="T356" s="341" t="str">
        <f t="array" ref="T356">IFERROR(IF($T$11="Yes",INDEX($L$13:$L$2813,SMALL(IF((County=$M$13:$M$2813),MATCH(ROW($M$13:$M$2813),ROW($M$13:$M$2813)),""),ROWS($A$13:A356))),""),"")</f>
        <v/>
      </c>
      <c r="V356" s="2283" t="str">
        <f t="array" ref="V356">IFERROR(IF($T$11="Yes",INDEX($O$14:$O$2811,SMALL(IF((County=$P$14:$P$2811),MATCH(ROW($P$14:$P$2811),ROW($P$14:$P$2811)),""),ROWS($A$13:A356))),""),"")</f>
        <v/>
      </c>
      <c r="X356" s="339">
        <v>34212</v>
      </c>
      <c r="Y356" s="338" t="s">
        <v>328</v>
      </c>
      <c r="AA356" s="338">
        <v>102.04</v>
      </c>
      <c r="AB356" s="338" t="s">
        <v>316</v>
      </c>
      <c r="AG356" s="2297">
        <v>21.02</v>
      </c>
      <c r="AH356" s="2297" t="s">
        <v>276</v>
      </c>
      <c r="AI356" s="1390"/>
      <c r="AJ356" s="2282"/>
      <c r="AK356" s="2282"/>
      <c r="AL356" s="1037"/>
      <c r="AM356" s="339">
        <v>34987</v>
      </c>
      <c r="AN356" s="338" t="s">
        <v>350</v>
      </c>
      <c r="AR356" s="338">
        <v>2.19</v>
      </c>
      <c r="AS356" s="338" t="s">
        <v>331</v>
      </c>
      <c r="AX356" s="340">
        <v>1103.32</v>
      </c>
      <c r="AY356" s="340" t="s">
        <v>289</v>
      </c>
      <c r="BC356" s="341" t="str">
        <f t="array" ref="BC356">IFERROR(IF($BC$11="Yes",INDEX($AX$13:$AX$2950,SMALL(IF((County=$AY$13:$AY$2950),MATCH(ROW($AY$13:$AY$2950),ROW($AY$13:$AY$2950)),""),ROWS($A$13:$A356))),""),"")</f>
        <v/>
      </c>
      <c r="BE356" s="339">
        <v>34772</v>
      </c>
      <c r="BF356" s="338" t="s">
        <v>339</v>
      </c>
      <c r="BH356" s="338">
        <v>72</v>
      </c>
      <c r="BI356" s="338" t="s">
        <v>331</v>
      </c>
      <c r="BN356" s="340">
        <v>19.18</v>
      </c>
      <c r="BO356" s="340" t="s">
        <v>323</v>
      </c>
      <c r="BP356" s="1385"/>
      <c r="BQ356" s="341">
        <v>33837</v>
      </c>
      <c r="BR356" s="338" t="s">
        <v>344</v>
      </c>
      <c r="BV356" s="338">
        <v>301</v>
      </c>
      <c r="BW356" s="338" t="s">
        <v>289</v>
      </c>
      <c r="CB356" s="340">
        <v>1103.28</v>
      </c>
      <c r="CC356" s="340" t="s">
        <v>289</v>
      </c>
      <c r="CE356" s="341" t="str">
        <f t="array" ref="CE356">IFERROR(IF($CE$11="Metro",INDEX($BV$13:$BV$4972,SMALL(IF((County=$BW$13:$BW$4972),MATCH(ROW($BW$13:$BW$4972),ROW($BW$13:$BW$4972)),""),ROWS($A$13:$A356))),INDEX($BY$13:$BY$212,SMALL(IF((County=$BZ$13:$BZ$212),MATCH(ROW($BZ$13:$BZ$212),ROW($BZ$13:$BZ$212)),""),ROWS($A$13:$A356)))),"")</f>
        <v/>
      </c>
      <c r="CG356" s="341" t="str">
        <f t="array" ref="CG356">IFERROR(IF($CG$11="Yes",INDEX($CB$13:$CB$2950,SMALL(IF((County=$CC$13:$CC$2950),MATCH(ROW($CC$13:$CC$2950),ROW($CC$13:$CC$2950)),""),ROWS($A$13:$A356))),""),"")</f>
        <v/>
      </c>
      <c r="CI356" s="1583">
        <v>34240</v>
      </c>
      <c r="CJ356" s="236" t="s">
        <v>347</v>
      </c>
      <c r="CL356" s="236">
        <v>9.0500000000000007</v>
      </c>
      <c r="CM356" s="236" t="s">
        <v>324</v>
      </c>
      <c r="CR356" s="340">
        <v>19.18</v>
      </c>
      <c r="CS356" s="340" t="s">
        <v>340</v>
      </c>
      <c r="CT356" s="1384"/>
      <c r="CU356" s="341">
        <v>33837</v>
      </c>
      <c r="CV356" s="338" t="s">
        <v>344</v>
      </c>
      <c r="CZ356" s="1795">
        <v>3.05</v>
      </c>
      <c r="DA356" s="338" t="s">
        <v>323</v>
      </c>
      <c r="DF356" s="340">
        <v>1103.45</v>
      </c>
      <c r="DG356" s="340" t="s">
        <v>289</v>
      </c>
      <c r="DK356" s="341" t="str">
        <f t="array" ref="DK356">IFERROR(IF($DK$11="Yes",INDEX($DF$13:$DF$2838,SMALL(IF((County=$DG$13:$DG$2838),MATCH(ROW($DG$13:$DG$2838),ROW($DG$13:$DG$2838)),""),ROWS($A$13:$A356))),""),"")</f>
        <v/>
      </c>
      <c r="DM356" s="1387">
        <v>34238</v>
      </c>
      <c r="DN356" s="338" t="s">
        <v>347</v>
      </c>
      <c r="DP356" s="236">
        <v>82.01</v>
      </c>
      <c r="DQ356" s="236" t="s">
        <v>340</v>
      </c>
      <c r="DV356" s="340">
        <v>20.23</v>
      </c>
      <c r="DW356" s="340" t="s">
        <v>328</v>
      </c>
      <c r="DX356" s="1671"/>
      <c r="EB356" s="618"/>
      <c r="EC356" s="618"/>
      <c r="ED356" s="618"/>
      <c r="EE356" s="618"/>
      <c r="EF356" s="618"/>
      <c r="EG356" s="618"/>
      <c r="EH356" s="618"/>
      <c r="EI356" s="618"/>
      <c r="EJ356" s="618"/>
      <c r="EK356" s="618"/>
      <c r="EL356" s="618"/>
      <c r="EM356" s="618"/>
    </row>
    <row r="357" spans="1:143">
      <c r="A357" s="339">
        <v>33897</v>
      </c>
      <c r="B357" s="338" t="s">
        <v>344</v>
      </c>
      <c r="F357" s="338">
        <v>1.05</v>
      </c>
      <c r="G357" s="338" t="s">
        <v>328</v>
      </c>
      <c r="L357" s="2481">
        <v>1103.6300000000001</v>
      </c>
      <c r="M357" s="340" t="s">
        <v>289</v>
      </c>
      <c r="N357" s="1390"/>
      <c r="O357" s="2479"/>
      <c r="P357" s="2282"/>
      <c r="T357" s="341" t="str">
        <f t="array" ref="T357">IFERROR(IF($T$11="Yes",INDEX($L$13:$L$2813,SMALL(IF((County=$M$13:$M$2813),MATCH(ROW($M$13:$M$2813),ROW($M$13:$M$2813)),""),ROWS($A$13:A357))),""),"")</f>
        <v/>
      </c>
      <c r="V357" s="2283" t="str">
        <f t="array" ref="V357">IFERROR(IF($T$11="Yes",INDEX($O$14:$O$2811,SMALL(IF((County=$P$14:$P$2811),MATCH(ROW($P$14:$P$2811),ROW($P$14:$P$2811)),""),ROWS($A$13:A357))),""),"")</f>
        <v/>
      </c>
      <c r="X357" s="339">
        <v>34219</v>
      </c>
      <c r="Y357" s="338" t="s">
        <v>328</v>
      </c>
      <c r="AA357" s="338">
        <v>102.07</v>
      </c>
      <c r="AB357" s="338" t="s">
        <v>331</v>
      </c>
      <c r="AG357" s="2297">
        <v>21.02</v>
      </c>
      <c r="AH357" s="2297" t="s">
        <v>302</v>
      </c>
      <c r="AI357" s="1390"/>
      <c r="AJ357" s="2282"/>
      <c r="AK357" s="2282"/>
      <c r="AL357" s="1037"/>
      <c r="AM357" s="339">
        <v>32162</v>
      </c>
      <c r="AN357" s="338" t="s">
        <v>351</v>
      </c>
      <c r="AR357" s="338">
        <v>2.2000000000000002</v>
      </c>
      <c r="AS357" s="338" t="s">
        <v>331</v>
      </c>
      <c r="AX357" s="340">
        <v>1103.33</v>
      </c>
      <c r="AY357" s="340" t="s">
        <v>289</v>
      </c>
      <c r="BC357" s="341" t="str">
        <f t="array" ref="BC357">IFERROR(IF($BC$11="Yes",INDEX($AX$13:$AX$2950,SMALL(IF((County=$AY$13:$AY$2950),MATCH(ROW($AY$13:$AY$2950),ROW($AY$13:$AY$2950)),""),ROWS($A$13:$A357))),""),"")</f>
        <v/>
      </c>
      <c r="BE357" s="339">
        <v>34773</v>
      </c>
      <c r="BF357" s="338" t="s">
        <v>339</v>
      </c>
      <c r="BH357" s="338">
        <v>76.03</v>
      </c>
      <c r="BI357" s="338" t="s">
        <v>331</v>
      </c>
      <c r="BN357" s="340">
        <v>19.18</v>
      </c>
      <c r="BO357" s="340" t="s">
        <v>340</v>
      </c>
      <c r="BP357" s="1385"/>
      <c r="BQ357" s="341">
        <v>33884</v>
      </c>
      <c r="BR357" s="338" t="s">
        <v>344</v>
      </c>
      <c r="BV357" s="338">
        <v>302.01</v>
      </c>
      <c r="BW357" s="338" t="s">
        <v>289</v>
      </c>
      <c r="CB357" s="340">
        <v>1103.3</v>
      </c>
      <c r="CC357" s="340" t="s">
        <v>289</v>
      </c>
      <c r="CE357" s="341" t="str">
        <f t="array" ref="CE357">IFERROR(IF($CE$11="Metro",INDEX($BV$13:$BV$4972,SMALL(IF((County=$BW$13:$BW$4972),MATCH(ROW($BW$13:$BW$4972),ROW($BW$13:$BW$4972)),""),ROWS($A$13:$A357))),INDEX($BY$13:$BY$212,SMALL(IF((County=$BZ$13:$BZ$212),MATCH(ROW($BZ$13:$BZ$212),ROW($BZ$13:$BZ$212)),""),ROWS($A$13:$A357)))),"")</f>
        <v/>
      </c>
      <c r="CG357" s="341" t="str">
        <f t="array" ref="CG357">IFERROR(IF($CG$11="Yes",INDEX($CB$13:$CB$2950,SMALL(IF((County=$CC$13:$CC$2950),MATCH(ROW($CC$13:$CC$2950),ROW($CC$13:$CC$2950)),""),ROWS($A$13:$A357))),""),"")</f>
        <v/>
      </c>
      <c r="CI357" s="1583">
        <v>34241</v>
      </c>
      <c r="CJ357" s="236" t="s">
        <v>347</v>
      </c>
      <c r="CL357" s="236">
        <v>9.0500000000000007</v>
      </c>
      <c r="CM357" s="236" t="s">
        <v>331</v>
      </c>
      <c r="CR357" s="340">
        <v>19.190000000000001</v>
      </c>
      <c r="CS357" s="340" t="s">
        <v>323</v>
      </c>
      <c r="CT357" s="1384"/>
      <c r="CU357" s="341">
        <v>33884</v>
      </c>
      <c r="CV357" s="338" t="s">
        <v>344</v>
      </c>
      <c r="CZ357" s="1795">
        <v>3.06</v>
      </c>
      <c r="DA357" s="338" t="s">
        <v>323</v>
      </c>
      <c r="DF357" s="340">
        <v>1103.46</v>
      </c>
      <c r="DG357" s="340" t="s">
        <v>289</v>
      </c>
      <c r="DK357" s="341" t="str">
        <f t="array" ref="DK357">IFERROR(IF($DK$11="Yes",INDEX($DF$13:$DF$2838,SMALL(IF((County=$DG$13:$DG$2838),MATCH(ROW($DG$13:$DG$2838),ROW($DG$13:$DG$2838)),""),ROWS($A$13:$A357))),""),"")</f>
        <v/>
      </c>
      <c r="DM357" s="1387">
        <v>34239</v>
      </c>
      <c r="DN357" s="338" t="s">
        <v>347</v>
      </c>
      <c r="DP357" s="236">
        <v>82.02</v>
      </c>
      <c r="DQ357" s="236" t="s">
        <v>340</v>
      </c>
      <c r="DV357" s="340">
        <v>20.239999999999998</v>
      </c>
      <c r="DW357" s="340" t="s">
        <v>328</v>
      </c>
      <c r="DX357" s="1671"/>
      <c r="EB357" s="618"/>
      <c r="EC357" s="618"/>
      <c r="ED357" s="618"/>
      <c r="EE357" s="618"/>
      <c r="EF357" s="618"/>
      <c r="EG357" s="618"/>
      <c r="EH357" s="618"/>
      <c r="EI357" s="618"/>
      <c r="EJ357" s="618"/>
      <c r="EK357" s="618"/>
      <c r="EL357" s="618"/>
      <c r="EM357" s="618"/>
    </row>
    <row r="358" spans="1:143">
      <c r="A358" s="339">
        <v>34714</v>
      </c>
      <c r="B358" s="338" t="s">
        <v>344</v>
      </c>
      <c r="F358" s="338">
        <v>2.0099999999999998</v>
      </c>
      <c r="G358" s="338" t="s">
        <v>328</v>
      </c>
      <c r="L358" s="2481">
        <v>1103.6400000000001</v>
      </c>
      <c r="M358" s="340" t="s">
        <v>289</v>
      </c>
      <c r="N358" s="1390"/>
      <c r="O358" s="2479"/>
      <c r="P358" s="2282"/>
      <c r="T358" s="341" t="str">
        <f t="array" ref="T358">IFERROR(IF($T$11="Yes",INDEX($L$13:$L$2813,SMALL(IF((County=$M$13:$M$2813),MATCH(ROW($M$13:$M$2813),ROW($M$13:$M$2813)),""),ROWS($A$13:A358))),""),"")</f>
        <v/>
      </c>
      <c r="V358" s="2283" t="str">
        <f t="array" ref="V358">IFERROR(IF($T$11="Yes",INDEX($O$14:$O$2811,SMALL(IF((County=$P$14:$P$2811),MATCH(ROW($P$14:$P$2811),ROW($P$14:$P$2811)),""),ROWS($A$13:A358))),""),"")</f>
        <v/>
      </c>
      <c r="X358" s="339">
        <v>34228</v>
      </c>
      <c r="Y358" s="338" t="s">
        <v>328</v>
      </c>
      <c r="AA358" s="338">
        <v>102.08</v>
      </c>
      <c r="AB358" s="338" t="s">
        <v>331</v>
      </c>
      <c r="AG358" s="2297">
        <v>21.02</v>
      </c>
      <c r="AH358" s="2297" t="s">
        <v>347</v>
      </c>
      <c r="AI358" s="1390"/>
      <c r="AJ358" s="2282"/>
      <c r="AK358" s="2282"/>
      <c r="AL358" s="1037"/>
      <c r="AM358" s="339">
        <v>32124</v>
      </c>
      <c r="AN358" s="338" t="s">
        <v>355</v>
      </c>
      <c r="AR358" s="338">
        <v>2.2200000000000002</v>
      </c>
      <c r="AS358" s="338" t="s">
        <v>331</v>
      </c>
      <c r="AX358" s="340">
        <v>1103.3699999999999</v>
      </c>
      <c r="AY358" s="340" t="s">
        <v>289</v>
      </c>
      <c r="BC358" s="341" t="str">
        <f t="array" ref="BC358">IFERROR(IF($BC$11="Yes",INDEX($AX$13:$AX$2950,SMALL(IF((County=$AY$13:$AY$2950),MATCH(ROW($AY$13:$AY$2950),ROW($AY$13:$AY$2950)),""),ROWS($A$13:$A417))),""),"")</f>
        <v/>
      </c>
      <c r="BE358" s="339">
        <v>34786</v>
      </c>
      <c r="BF358" s="338" t="s">
        <v>338</v>
      </c>
      <c r="BH358" s="338">
        <v>76.19</v>
      </c>
      <c r="BI358" s="338" t="s">
        <v>340</v>
      </c>
      <c r="BN358" s="340">
        <v>19.190000000000001</v>
      </c>
      <c r="BO358" s="340" t="s">
        <v>323</v>
      </c>
      <c r="BP358" s="1385"/>
      <c r="BQ358" s="341">
        <v>33896</v>
      </c>
      <c r="BR358" s="338" t="s">
        <v>344</v>
      </c>
      <c r="BV358" s="338">
        <v>302.02</v>
      </c>
      <c r="BW358" s="338" t="s">
        <v>289</v>
      </c>
      <c r="CB358" s="340">
        <v>1103.32</v>
      </c>
      <c r="CC358" s="340" t="s">
        <v>289</v>
      </c>
      <c r="CE358" s="341" t="str">
        <f t="array" ref="CE358">IFERROR(IF($CE$11="Metro",INDEX($BV$13:$BV$4972,SMALL(IF((County=$BW$13:$BW$4972),MATCH(ROW($BW$13:$BW$4972),ROW($BW$13:$BW$4972)),""),ROWS($A$13:$A417))),INDEX($BY$13:$BY$212,SMALL(IF((County=$BZ$13:$BZ$212),MATCH(ROW($BZ$13:$BZ$212),ROW($BZ$13:$BZ$212)),""),ROWS($A$13:$A417)))),"")</f>
        <v/>
      </c>
      <c r="CG358" s="341" t="str">
        <f t="array" ref="CG358">IFERROR(IF($CG$11="Yes",INDEX($CB$13:$CB$2950,SMALL(IF((County=$CC$13:$CC$2950),MATCH(ROW($CC$13:$CC$2950),ROW($CC$13:$CC$2950)),""),ROWS($A$13:$A417))),""),"")</f>
        <v/>
      </c>
      <c r="CI358" s="1583">
        <v>34242</v>
      </c>
      <c r="CJ358" s="236" t="s">
        <v>347</v>
      </c>
      <c r="CL358" s="236">
        <v>9.0500000000000007</v>
      </c>
      <c r="CM358" s="236" t="s">
        <v>340</v>
      </c>
      <c r="CR358" s="340">
        <v>19.190000000000001</v>
      </c>
      <c r="CS358" s="340" t="s">
        <v>340</v>
      </c>
      <c r="CT358" s="1384"/>
      <c r="CU358" s="341">
        <v>33896</v>
      </c>
      <c r="CV358" s="338" t="s">
        <v>344</v>
      </c>
      <c r="CZ358" s="1795">
        <v>5.0199999999999996</v>
      </c>
      <c r="DA358" s="338" t="s">
        <v>323</v>
      </c>
      <c r="DF358" s="340">
        <v>1103.47</v>
      </c>
      <c r="DG358" s="340" t="s">
        <v>289</v>
      </c>
      <c r="DK358" s="341" t="str">
        <f t="array" ref="DK358">IFERROR(IF($DK$11="Yes",INDEX($DF$13:$DF$2838,SMALL(IF((County=$DG$13:$DG$2838),MATCH(ROW($DG$13:$DG$2838),ROW($DG$13:$DG$2838)),""),ROWS($A$13:$A417))),""),"")</f>
        <v/>
      </c>
      <c r="DM358" s="1387">
        <v>34240</v>
      </c>
      <c r="DN358" s="338" t="s">
        <v>347</v>
      </c>
      <c r="DP358" s="236">
        <v>82.03</v>
      </c>
      <c r="DQ358" s="236" t="s">
        <v>340</v>
      </c>
      <c r="DV358" s="340">
        <v>20.25</v>
      </c>
      <c r="DW358" s="340" t="s">
        <v>328</v>
      </c>
      <c r="DX358" s="1671"/>
      <c r="EB358" s="618"/>
      <c r="EC358" s="618"/>
      <c r="ED358" s="618"/>
      <c r="EE358" s="618"/>
      <c r="EF358" s="618"/>
      <c r="EG358" s="618"/>
      <c r="EH358" s="618"/>
      <c r="EI358" s="618"/>
      <c r="EJ358" s="618"/>
      <c r="EK358" s="618"/>
      <c r="EL358" s="618"/>
      <c r="EM358" s="618"/>
    </row>
    <row r="359" spans="1:143">
      <c r="A359" s="339">
        <v>34759</v>
      </c>
      <c r="B359" s="338" t="s">
        <v>344</v>
      </c>
      <c r="F359" s="338">
        <v>2.0299999999999998</v>
      </c>
      <c r="G359" s="338" t="s">
        <v>328</v>
      </c>
      <c r="L359" s="2481">
        <v>1103.6500000000001</v>
      </c>
      <c r="M359" s="340" t="s">
        <v>289</v>
      </c>
      <c r="N359" s="1390"/>
      <c r="O359" s="2479"/>
      <c r="P359" s="2282"/>
      <c r="T359" s="341" t="str">
        <f t="array" ref="T359">IFERROR(IF($T$11="Yes",INDEX($L$13:$L$2813,SMALL(IF((County=$M$13:$M$2813),MATCH(ROW($M$13:$M$2813),ROW($M$13:$M$2813)),""),ROWS($A$13:A359))),""),"")</f>
        <v/>
      </c>
      <c r="V359" s="2283" t="str">
        <f t="array" ref="V359">IFERROR(IF($T$11="Yes",INDEX($O$14:$O$2811,SMALL(IF((County=$P$14:$P$2811),MATCH(ROW($P$14:$P$2811),ROW($P$14:$P$2811)),""),ROWS($A$13:A359))),""),"")</f>
        <v/>
      </c>
      <c r="X359" s="339">
        <v>34229</v>
      </c>
      <c r="Y359" s="338" t="s">
        <v>347</v>
      </c>
      <c r="AA359" s="338">
        <v>102.13</v>
      </c>
      <c r="AB359" s="338" t="s">
        <v>331</v>
      </c>
      <c r="AG359" s="2297">
        <v>22</v>
      </c>
      <c r="AH359" s="2297" t="s">
        <v>302</v>
      </c>
      <c r="AI359" s="1390"/>
      <c r="AJ359" s="2282"/>
      <c r="AK359" s="2282"/>
      <c r="AL359" s="1037"/>
      <c r="AM359" s="339">
        <v>32128</v>
      </c>
      <c r="AN359" s="338" t="s">
        <v>355</v>
      </c>
      <c r="AR359" s="338">
        <v>2.23</v>
      </c>
      <c r="AS359" s="338" t="s">
        <v>331</v>
      </c>
      <c r="AX359" s="340">
        <v>1103.3900000000001</v>
      </c>
      <c r="AY359" s="340" t="s">
        <v>289</v>
      </c>
      <c r="BC359" s="341" t="str">
        <f t="array" ref="BC359">IFERROR(IF($BC$11="Yes",INDEX($AX$13:$AX$2950,SMALL(IF((County=$AY$13:$AY$2950),MATCH(ROW($AY$13:$AY$2950),ROW($AY$13:$AY$2950)),""),ROWS($A$13:$A418))),""),"")</f>
        <v/>
      </c>
      <c r="BE359" s="339">
        <v>34952</v>
      </c>
      <c r="BF359" s="338" t="s">
        <v>350</v>
      </c>
      <c r="BH359" s="338">
        <v>76.2</v>
      </c>
      <c r="BI359" s="338" t="s">
        <v>340</v>
      </c>
      <c r="BN359" s="340">
        <v>19.190000000000001</v>
      </c>
      <c r="BO359" s="340" t="s">
        <v>340</v>
      </c>
      <c r="BP359" s="1385"/>
      <c r="BQ359" s="341">
        <v>33897</v>
      </c>
      <c r="BR359" s="338" t="s">
        <v>344</v>
      </c>
      <c r="BV359" s="338">
        <v>302.02999999999997</v>
      </c>
      <c r="BW359" s="338" t="s">
        <v>289</v>
      </c>
      <c r="CB359" s="340">
        <v>1103.33</v>
      </c>
      <c r="CC359" s="340" t="s">
        <v>289</v>
      </c>
      <c r="CE359" s="341" t="str">
        <f t="array" ref="CE359">IFERROR(IF($CE$11="Metro",INDEX($BV$13:$BV$4972,SMALL(IF((County=$BW$13:$BW$4972),MATCH(ROW($BW$13:$BW$4972),ROW($BW$13:$BW$4972)),""),ROWS($A$13:$A418))),INDEX($BY$13:$BY$212,SMALL(IF((County=$BZ$13:$BZ$212),MATCH(ROW($BZ$13:$BZ$212),ROW($BZ$13:$BZ$212)),""),ROWS($A$13:$A418)))),"")</f>
        <v/>
      </c>
      <c r="CG359" s="341" t="str">
        <f t="array" ref="CG359">IFERROR(IF($CG$11="Yes",INDEX($CB$13:$CB$2950,SMALL(IF((County=$CC$13:$CC$2950),MATCH(ROW($CC$13:$CC$2950),ROW($CC$13:$CC$2950)),""),ROWS($A$13:$A418))),""),"")</f>
        <v/>
      </c>
      <c r="CI359" s="1583">
        <v>34243</v>
      </c>
      <c r="CJ359" s="338" t="s">
        <v>328</v>
      </c>
      <c r="CL359" s="236">
        <v>9.06</v>
      </c>
      <c r="CM359" s="236" t="s">
        <v>324</v>
      </c>
      <c r="CR359" s="340">
        <v>19.2</v>
      </c>
      <c r="CS359" s="340" t="s">
        <v>323</v>
      </c>
      <c r="CT359" s="1384"/>
      <c r="CU359" s="341">
        <v>33897</v>
      </c>
      <c r="CV359" s="338" t="s">
        <v>344</v>
      </c>
      <c r="CZ359" s="1795">
        <v>5.04</v>
      </c>
      <c r="DA359" s="338" t="s">
        <v>323</v>
      </c>
      <c r="DF359" s="340">
        <v>1103.48</v>
      </c>
      <c r="DG359" s="340" t="s">
        <v>289</v>
      </c>
      <c r="DK359" s="341" t="str">
        <f t="array" ref="DK359">IFERROR(IF($DK$11="Yes",INDEX($DF$13:$DF$2838,SMALL(IF((County=$DG$13:$DG$2838),MATCH(ROW($DG$13:$DG$2838),ROW($DG$13:$DG$2838)),""),ROWS($A$13:$A418))),""),"")</f>
        <v/>
      </c>
      <c r="DM359" s="1387">
        <v>34241</v>
      </c>
      <c r="DN359" s="338" t="s">
        <v>347</v>
      </c>
      <c r="DP359" s="236">
        <v>83.02</v>
      </c>
      <c r="DQ359" s="236" t="s">
        <v>340</v>
      </c>
      <c r="DV359" s="340">
        <v>21</v>
      </c>
      <c r="DW359" s="340" t="s">
        <v>329</v>
      </c>
      <c r="DX359" s="1671"/>
      <c r="EB359" s="618"/>
      <c r="EC359" s="618"/>
      <c r="ED359" s="618"/>
      <c r="EE359" s="618"/>
      <c r="EF359" s="618"/>
      <c r="EG359" s="618"/>
      <c r="EH359" s="618"/>
      <c r="EI359" s="618"/>
      <c r="EJ359" s="618"/>
      <c r="EK359" s="618"/>
      <c r="EL359" s="618"/>
      <c r="EM359" s="618"/>
    </row>
    <row r="360" spans="1:143">
      <c r="A360" s="339">
        <v>34760</v>
      </c>
      <c r="B360" s="338" t="s">
        <v>344</v>
      </c>
      <c r="F360" s="338">
        <v>2.04</v>
      </c>
      <c r="G360" s="338" t="s">
        <v>328</v>
      </c>
      <c r="L360" s="2481">
        <v>1103.68</v>
      </c>
      <c r="M360" s="340" t="s">
        <v>289</v>
      </c>
      <c r="N360" s="1390"/>
      <c r="O360" s="2479"/>
      <c r="P360" s="2282"/>
      <c r="T360" s="341" t="str">
        <f t="array" ref="T360">IFERROR(IF($T$11="Yes",INDEX($L$13:$L$2813,SMALL(IF((County=$M$13:$M$2813),MATCH(ROW($M$13:$M$2813),ROW($M$13:$M$2813)),""),ROWS($A$13:A360))),""),"")</f>
        <v/>
      </c>
      <c r="V360" s="2283" t="str">
        <f t="array" ref="V360">IFERROR(IF($T$11="Yes",INDEX($O$14:$O$2811,SMALL(IF((County=$P$14:$P$2811),MATCH(ROW($P$14:$P$2811),ROW($P$14:$P$2811)),""),ROWS($A$13:A360))),""),"")</f>
        <v/>
      </c>
      <c r="X360" s="339">
        <v>34232</v>
      </c>
      <c r="Y360" s="338" t="s">
        <v>347</v>
      </c>
      <c r="AA360" s="338">
        <v>103.02</v>
      </c>
      <c r="AB360" s="338" t="s">
        <v>294</v>
      </c>
      <c r="AG360" s="2297">
        <v>22</v>
      </c>
      <c r="AH360" s="2297" t="s">
        <v>316</v>
      </c>
      <c r="AI360" s="1390"/>
      <c r="AJ360" s="2282"/>
      <c r="AK360" s="2282"/>
      <c r="AL360" s="1037"/>
      <c r="AM360" s="339">
        <v>32129</v>
      </c>
      <c r="AN360" s="338" t="s">
        <v>355</v>
      </c>
      <c r="AR360" s="338">
        <v>2.2400000000000002</v>
      </c>
      <c r="AS360" s="338" t="s">
        <v>331</v>
      </c>
      <c r="AX360" s="340">
        <v>1103.44</v>
      </c>
      <c r="AY360" s="340" t="s">
        <v>289</v>
      </c>
      <c r="BC360" s="341" t="str">
        <f t="array" ref="BC360">IFERROR(IF($BC$11="Yes",INDEX($AX$13:$AX$2950,SMALL(IF((County=$AY$13:$AY$2950),MATCH(ROW($AY$13:$AY$2950),ROW($AY$13:$AY$2950)),""),ROWS($A$13:$A418))),""),"")</f>
        <v/>
      </c>
      <c r="BE360" s="339">
        <v>34953</v>
      </c>
      <c r="BF360" s="338" t="s">
        <v>350</v>
      </c>
      <c r="BH360" s="338">
        <v>77.459999999999994</v>
      </c>
      <c r="BI360" s="338" t="s">
        <v>340</v>
      </c>
      <c r="BN360" s="340">
        <v>19.2</v>
      </c>
      <c r="BO360" s="340" t="s">
        <v>323</v>
      </c>
      <c r="BP360" s="1385"/>
      <c r="BQ360" s="341">
        <v>34759</v>
      </c>
      <c r="BR360" s="338" t="s">
        <v>344</v>
      </c>
      <c r="BV360" s="338">
        <v>303.01</v>
      </c>
      <c r="BW360" s="338" t="s">
        <v>289</v>
      </c>
      <c r="CB360" s="340">
        <v>1103.3699999999999</v>
      </c>
      <c r="CC360" s="340" t="s">
        <v>289</v>
      </c>
      <c r="CE360" s="341" t="str">
        <f t="array" ref="CE360">IFERROR(IF($CE$11="Metro",INDEX($BV$13:$BV$4972,SMALL(IF((County=$BW$13:$BW$4972),MATCH(ROW($BW$13:$BW$4972),ROW($BW$13:$BW$4972)),""),ROWS($A$13:$A418))),INDEX($BY$13:$BY$212,SMALL(IF((County=$BZ$13:$BZ$212),MATCH(ROW($BZ$13:$BZ$212),ROW($BZ$13:$BZ$212)),""),ROWS($A$13:$A418)))),"")</f>
        <v/>
      </c>
      <c r="CG360" s="341" t="str">
        <f t="array" ref="CG360">IFERROR(IF($CG$11="Yes",INDEX($CB$13:$CB$2950,SMALL(IF((County=$CC$13:$CC$2950),MATCH(ROW($CC$13:$CC$2950),ROW($CC$13:$CC$2950)),""),ROWS($A$13:$A418))),""),"")</f>
        <v/>
      </c>
      <c r="CI360" s="1583">
        <v>34251</v>
      </c>
      <c r="CJ360" s="338" t="s">
        <v>328</v>
      </c>
      <c r="CL360" s="236">
        <v>9.06</v>
      </c>
      <c r="CM360" s="236" t="s">
        <v>331</v>
      </c>
      <c r="CR360" s="340">
        <v>19.21</v>
      </c>
      <c r="CS360" s="340" t="s">
        <v>323</v>
      </c>
      <c r="CT360" s="1384"/>
      <c r="CU360" s="341">
        <v>34714</v>
      </c>
      <c r="CV360" s="338" t="s">
        <v>344</v>
      </c>
      <c r="CZ360" s="1795">
        <v>6</v>
      </c>
      <c r="DA360" s="338" t="s">
        <v>323</v>
      </c>
      <c r="DF360" s="340">
        <v>1103.49</v>
      </c>
      <c r="DG360" s="340" t="s">
        <v>289</v>
      </c>
      <c r="DK360" s="341" t="str">
        <f t="array" ref="DK360">IFERROR(IF($DK$11="Yes",INDEX($DF$13:$DF$2838,SMALL(IF((County=$DG$13:$DG$2838),MATCH(ROW($DG$13:$DG$2838),ROW($DG$13:$DG$2838)),""),ROWS($A$13:$A418))),""),"")</f>
        <v/>
      </c>
      <c r="DM360" s="1387">
        <v>34242</v>
      </c>
      <c r="DN360" s="338" t="s">
        <v>347</v>
      </c>
      <c r="DP360" s="236">
        <v>83.09</v>
      </c>
      <c r="DQ360" s="236" t="s">
        <v>331</v>
      </c>
      <c r="DV360" s="340">
        <v>21.01</v>
      </c>
      <c r="DW360" s="340" t="s">
        <v>276</v>
      </c>
      <c r="DX360" s="1671"/>
      <c r="EB360" s="618"/>
      <c r="EC360" s="618"/>
      <c r="ED360" s="618"/>
      <c r="EE360" s="618"/>
      <c r="EF360" s="618"/>
      <c r="EG360" s="618"/>
      <c r="EH360" s="618"/>
      <c r="EI360" s="618"/>
      <c r="EJ360" s="618"/>
      <c r="EK360" s="618"/>
      <c r="EL360" s="618"/>
      <c r="EM360" s="618"/>
    </row>
    <row r="361" spans="1:143">
      <c r="A361" s="339">
        <v>32561</v>
      </c>
      <c r="B361" s="338" t="s">
        <v>346</v>
      </c>
      <c r="F361" s="338">
        <v>3.05</v>
      </c>
      <c r="G361" s="338" t="s">
        <v>328</v>
      </c>
      <c r="L361" s="2481">
        <v>1105.02</v>
      </c>
      <c r="M361" s="340" t="s">
        <v>289</v>
      </c>
      <c r="N361" s="1390"/>
      <c r="O361" s="2479"/>
      <c r="P361" s="2282"/>
      <c r="T361" s="341" t="str">
        <f t="array" ref="T361">IFERROR(IF($T$11="Yes",INDEX($L$13:$L$2813,SMALL(IF((County=$M$13:$M$2813),MATCH(ROW($M$13:$M$2813),ROW($M$13:$M$2813)),""),ROWS($A$13:A361))),""),"")</f>
        <v/>
      </c>
      <c r="V361" s="2283" t="str">
        <f t="array" ref="V361">IFERROR(IF($T$11="Yes",INDEX($O$14:$O$2811,SMALL(IF((County=$P$14:$P$2811),MATCH(ROW($P$14:$P$2811),ROW($P$14:$P$2811)),""),ROWS($A$13:A361))),""),"")</f>
        <v/>
      </c>
      <c r="X361" s="339">
        <v>34233</v>
      </c>
      <c r="Y361" s="338" t="s">
        <v>347</v>
      </c>
      <c r="AA361" s="338">
        <v>103.05</v>
      </c>
      <c r="AB361" s="338" t="s">
        <v>289</v>
      </c>
      <c r="AG361" s="2297">
        <v>22.01</v>
      </c>
      <c r="AH361" s="2297" t="s">
        <v>276</v>
      </c>
      <c r="AI361" s="1390"/>
      <c r="AJ361" s="2282"/>
      <c r="AK361" s="2282"/>
      <c r="AL361" s="1037"/>
      <c r="AM361" s="339">
        <v>32169</v>
      </c>
      <c r="AN361" s="338" t="s">
        <v>355</v>
      </c>
      <c r="AR361" s="338">
        <v>2.27</v>
      </c>
      <c r="AS361" s="338" t="s">
        <v>331</v>
      </c>
      <c r="AX361" s="340">
        <v>1103.45</v>
      </c>
      <c r="AY361" s="340" t="s">
        <v>289</v>
      </c>
      <c r="BC361" s="341" t="str">
        <f t="array" ref="BC361">IFERROR(IF($BC$11="Yes",INDEX($AX$13:$AX$2950,SMALL(IF((County=$AY$13:$AY$2950),MATCH(ROW($AY$13:$AY$2950),ROW($AY$13:$AY$2950)),""),ROWS($A$13:$A419))),""),"")</f>
        <v/>
      </c>
      <c r="BE361" s="339">
        <v>34983</v>
      </c>
      <c r="BF361" s="338" t="s">
        <v>350</v>
      </c>
      <c r="BH361" s="338">
        <v>78.33</v>
      </c>
      <c r="BI361" s="338" t="s">
        <v>340</v>
      </c>
      <c r="BN361" s="340">
        <v>19.21</v>
      </c>
      <c r="BO361" s="340" t="s">
        <v>323</v>
      </c>
      <c r="BP361" s="1385"/>
      <c r="BQ361" s="341">
        <v>32561</v>
      </c>
      <c r="BR361" s="338" t="s">
        <v>346</v>
      </c>
      <c r="BV361" s="338">
        <v>303.02</v>
      </c>
      <c r="BW361" s="338" t="s">
        <v>289</v>
      </c>
      <c r="CB361" s="340">
        <v>1103.44</v>
      </c>
      <c r="CC361" s="340" t="s">
        <v>289</v>
      </c>
      <c r="CE361" s="341" t="str">
        <f t="array" ref="CE361">IFERROR(IF($CE$11="Metro",INDEX($BV$13:$BV$4972,SMALL(IF((County=$BW$13:$BW$4972),MATCH(ROW($BW$13:$BW$4972),ROW($BW$13:$BW$4972)),""),ROWS($A$13:$A419))),INDEX($BY$13:$BY$212,SMALL(IF((County=$BZ$13:$BZ$212),MATCH(ROW($BZ$13:$BZ$212),ROW($BZ$13:$BZ$212)),""),ROWS($A$13:$A419)))),"")</f>
        <v/>
      </c>
      <c r="CG361" s="341" t="str">
        <f t="array" ref="CG361">IFERROR(IF($CG$11="Yes",INDEX($CB$13:$CB$2950,SMALL(IF((County=$CC$13:$CC$2950),MATCH(ROW($CC$13:$CC$2950),ROW($CC$13:$CC$2950)),""),ROWS($A$13:$A419))),""),"")</f>
        <v/>
      </c>
      <c r="CI361" s="1583">
        <v>34286</v>
      </c>
      <c r="CJ361" s="236" t="s">
        <v>347</v>
      </c>
      <c r="CL361" s="236">
        <v>9.07</v>
      </c>
      <c r="CM361" s="236" t="s">
        <v>324</v>
      </c>
      <c r="CR361" s="340">
        <v>19.23</v>
      </c>
      <c r="CS361" s="340" t="s">
        <v>323</v>
      </c>
      <c r="CT361" s="1384"/>
      <c r="CU361" s="341">
        <v>34759</v>
      </c>
      <c r="CV361" s="338" t="s">
        <v>344</v>
      </c>
      <c r="CZ361" s="1795">
        <v>7</v>
      </c>
      <c r="DA361" s="338" t="s">
        <v>323</v>
      </c>
      <c r="DF361" s="340">
        <v>1103.5</v>
      </c>
      <c r="DG361" s="340" t="s">
        <v>289</v>
      </c>
      <c r="DK361" s="341" t="str">
        <f t="array" ref="DK361">IFERROR(IF($DK$11="Yes",INDEX($DF$13:$DF$2838,SMALL(IF((County=$DG$13:$DG$2838),MATCH(ROW($DG$13:$DG$2838),ROW($DG$13:$DG$2838)),""),ROWS($A$13:$A419))),""),"")</f>
        <v/>
      </c>
      <c r="DM361" s="1387">
        <v>34243</v>
      </c>
      <c r="DN361" s="338" t="s">
        <v>328</v>
      </c>
      <c r="DP361" s="236">
        <v>83.12</v>
      </c>
      <c r="DQ361" s="236" t="s">
        <v>331</v>
      </c>
      <c r="DV361" s="340">
        <v>21.01</v>
      </c>
      <c r="DW361" s="340" t="s">
        <v>302</v>
      </c>
      <c r="DX361" s="1671"/>
      <c r="EB361" s="618"/>
      <c r="EC361" s="618"/>
      <c r="ED361" s="618"/>
      <c r="EE361" s="618"/>
      <c r="EF361" s="618"/>
      <c r="EG361" s="618"/>
      <c r="EH361" s="618"/>
      <c r="EI361" s="618"/>
      <c r="EJ361" s="618"/>
      <c r="EK361" s="618"/>
      <c r="EL361" s="618"/>
      <c r="EM361" s="618"/>
    </row>
    <row r="362" spans="1:143">
      <c r="A362" s="339">
        <v>32563</v>
      </c>
      <c r="B362" s="338" t="s">
        <v>346</v>
      </c>
      <c r="F362" s="338">
        <v>3.07</v>
      </c>
      <c r="G362" s="338" t="s">
        <v>328</v>
      </c>
      <c r="L362" s="2481">
        <v>1106</v>
      </c>
      <c r="M362" s="340" t="s">
        <v>289</v>
      </c>
      <c r="N362" s="1390"/>
      <c r="O362" s="2479"/>
      <c r="P362" s="2282"/>
      <c r="T362" s="341" t="str">
        <f t="array" ref="T362">IFERROR(IF($T$11="Yes",INDEX($L$13:$L$2813,SMALL(IF((County=$M$13:$M$2813),MATCH(ROW($M$13:$M$2813),ROW($M$13:$M$2813)),""),ROWS($A$13:A362))),""),"")</f>
        <v/>
      </c>
      <c r="V362" s="2283" t="str">
        <f t="array" ref="V362">IFERROR(IF($T$11="Yes",INDEX($O$14:$O$2811,SMALL(IF((County=$P$14:$P$2811),MATCH(ROW($P$14:$P$2811),ROW($P$14:$P$2811)),""),ROWS($A$13:A362))),""),"")</f>
        <v/>
      </c>
      <c r="X362" s="339">
        <v>34235</v>
      </c>
      <c r="Y362" s="338" t="s">
        <v>347</v>
      </c>
      <c r="AA362" s="338">
        <v>103.06</v>
      </c>
      <c r="AB362" s="338" t="s">
        <v>289</v>
      </c>
      <c r="AG362" s="2297">
        <v>22.01</v>
      </c>
      <c r="AH362" s="2297" t="s">
        <v>329</v>
      </c>
      <c r="AI362" s="1390"/>
      <c r="AJ362" s="2282"/>
      <c r="AK362" s="2282"/>
      <c r="AL362" s="1037"/>
      <c r="AM362" s="339">
        <v>32176</v>
      </c>
      <c r="AN362" s="338" t="s">
        <v>355</v>
      </c>
      <c r="AR362" s="338">
        <v>2.2799999999999998</v>
      </c>
      <c r="AS362" s="338" t="s">
        <v>331</v>
      </c>
      <c r="AX362" s="340">
        <v>1103.46</v>
      </c>
      <c r="AY362" s="340" t="s">
        <v>289</v>
      </c>
      <c r="BC362" s="341" t="str">
        <f t="array" ref="BC362">IFERROR(IF($BC$11="Yes",INDEX($AX$13:$AX$2950,SMALL(IF((County=$AY$13:$AY$2950),MATCH(ROW($AY$13:$AY$2950),ROW($AY$13:$AY$2950)),""),ROWS($A$13:$A420))),""),"")</f>
        <v/>
      </c>
      <c r="BE362" s="339">
        <v>34984</v>
      </c>
      <c r="BF362" s="338" t="s">
        <v>350</v>
      </c>
      <c r="BH362" s="338">
        <v>80.010000000000005</v>
      </c>
      <c r="BI362" s="338" t="s">
        <v>340</v>
      </c>
      <c r="BN362" s="340">
        <v>19.21</v>
      </c>
      <c r="BO362" s="340" t="s">
        <v>340</v>
      </c>
      <c r="BP362" s="1385"/>
      <c r="BQ362" s="341">
        <v>32566</v>
      </c>
      <c r="BR362" s="338" t="s">
        <v>346</v>
      </c>
      <c r="BV362" s="338">
        <v>304.01</v>
      </c>
      <c r="BW362" s="338" t="s">
        <v>289</v>
      </c>
      <c r="CB362" s="340">
        <v>1103.45</v>
      </c>
      <c r="CC362" s="340" t="s">
        <v>289</v>
      </c>
      <c r="CE362" s="341" t="str">
        <f t="array" ref="CE362">IFERROR(IF($CE$11="Metro",INDEX($BV$13:$BV$4972,SMALL(IF((County=$BW$13:$BW$4972),MATCH(ROW($BW$13:$BW$4972),ROW($BW$13:$BW$4972)),""),ROWS($A$13:$A420))),INDEX($BY$13:$BY$212,SMALL(IF((County=$BZ$13:$BZ$212),MATCH(ROW($BZ$13:$BZ$212),ROW($BZ$13:$BZ$212)),""),ROWS($A$13:$A420)))),"")</f>
        <v/>
      </c>
      <c r="CG362" s="341" t="str">
        <f t="array" ref="CG362">IFERROR(IF($CG$11="Yes",INDEX($CB$13:$CB$2950,SMALL(IF((County=$CC$13:$CC$2950),MATCH(ROW($CC$13:$CC$2950),ROW($CC$13:$CC$2950)),""),ROWS($A$13:$A420))),""),"")</f>
        <v/>
      </c>
      <c r="CI362" s="1583">
        <v>34288</v>
      </c>
      <c r="CJ362" s="236" t="s">
        <v>347</v>
      </c>
      <c r="CL362" s="236">
        <v>9.07</v>
      </c>
      <c r="CM362" s="236" t="s">
        <v>331</v>
      </c>
      <c r="CR362" s="340">
        <v>20.03</v>
      </c>
      <c r="CS362" s="340" t="s">
        <v>328</v>
      </c>
      <c r="CT362" s="1384"/>
      <c r="CU362" s="341">
        <v>34760</v>
      </c>
      <c r="CV362" s="338" t="s">
        <v>344</v>
      </c>
      <c r="CZ362" s="1795">
        <v>8</v>
      </c>
      <c r="DA362" s="338" t="s">
        <v>323</v>
      </c>
      <c r="DF362" s="340">
        <v>1103.56</v>
      </c>
      <c r="DG362" s="340" t="s">
        <v>289</v>
      </c>
      <c r="DK362" s="341" t="str">
        <f t="array" ref="DK362">IFERROR(IF($DK$11="Yes",INDEX($DF$13:$DF$2838,SMALL(IF((County=$DG$13:$DG$2838),MATCH(ROW($DG$13:$DG$2838),ROW($DG$13:$DG$2838)),""),ROWS($A$13:$A420))),""),"")</f>
        <v/>
      </c>
      <c r="DM362" s="1387">
        <v>34286</v>
      </c>
      <c r="DN362" s="338" t="s">
        <v>347</v>
      </c>
      <c r="DP362" s="236">
        <v>88.05</v>
      </c>
      <c r="DQ362" s="236" t="s">
        <v>331</v>
      </c>
      <c r="DV362" s="340">
        <v>21.01</v>
      </c>
      <c r="DW362" s="340" t="s">
        <v>347</v>
      </c>
      <c r="DX362" s="1671"/>
      <c r="EB362" s="618"/>
      <c r="EC362" s="618"/>
      <c r="ED362" s="618"/>
      <c r="EE362" s="618"/>
      <c r="EF362" s="618"/>
      <c r="EG362" s="618"/>
      <c r="EH362" s="618"/>
      <c r="EI362" s="618"/>
      <c r="EJ362" s="618"/>
      <c r="EK362" s="618"/>
      <c r="EL362" s="618"/>
      <c r="EM362" s="618"/>
    </row>
    <row r="363" spans="1:143">
      <c r="A363" s="339">
        <v>32566</v>
      </c>
      <c r="B363" s="338" t="s">
        <v>346</v>
      </c>
      <c r="F363" s="338">
        <v>3.11</v>
      </c>
      <c r="G363" s="338" t="s">
        <v>328</v>
      </c>
      <c r="L363" s="2481">
        <v>101</v>
      </c>
      <c r="M363" s="340" t="s">
        <v>292</v>
      </c>
      <c r="N363" s="1390"/>
      <c r="O363" s="2479"/>
      <c r="P363" s="2282"/>
      <c r="T363" s="341" t="str">
        <f t="array" ref="T363">IFERROR(IF($T$11="Yes",INDEX($L$13:$L$2813,SMALL(IF((County=$M$13:$M$2813),MATCH(ROW($M$13:$M$2813),ROW($M$13:$M$2813)),""),ROWS($A$13:A363))),""),"")</f>
        <v/>
      </c>
      <c r="V363" s="2283" t="str">
        <f t="array" ref="V363">IFERROR(IF($T$11="Yes",INDEX($O$14:$O$2811,SMALL(IF((County=$P$14:$P$2811),MATCH(ROW($P$14:$P$2811),ROW($P$14:$P$2811)),""),ROWS($A$13:A363))),""),"")</f>
        <v/>
      </c>
      <c r="X363" s="339">
        <v>34236</v>
      </c>
      <c r="Y363" s="338" t="s">
        <v>347</v>
      </c>
      <c r="AA363" s="338">
        <v>103.07</v>
      </c>
      <c r="AB363" s="338" t="s">
        <v>289</v>
      </c>
      <c r="AG363" s="2297">
        <v>22.01</v>
      </c>
      <c r="AH363" s="2297" t="s">
        <v>347</v>
      </c>
      <c r="AI363" s="1390"/>
      <c r="AJ363" s="2282"/>
      <c r="AK363" s="2282"/>
      <c r="AL363" s="1037"/>
      <c r="AM363" s="339">
        <v>32725</v>
      </c>
      <c r="AN363" s="338" t="s">
        <v>355</v>
      </c>
      <c r="AR363" s="338">
        <v>3.06</v>
      </c>
      <c r="AS363" s="338" t="s">
        <v>331</v>
      </c>
      <c r="AX363" s="340">
        <v>1103.47</v>
      </c>
      <c r="AY363" s="340" t="s">
        <v>289</v>
      </c>
      <c r="BC363" s="341" t="str">
        <f t="array" ref="BC363">IFERROR(IF($BC$11="Yes",INDEX($AX$13:$AX$2950,SMALL(IF((County=$AY$13:$AY$2950),MATCH(ROW($AY$13:$AY$2950),ROW($AY$13:$AY$2950)),""),ROWS($A$13:$A421))),""),"")</f>
        <v/>
      </c>
      <c r="BE363" s="339">
        <v>34986</v>
      </c>
      <c r="BF363" s="338" t="s">
        <v>350</v>
      </c>
      <c r="BH363" s="338">
        <v>80.02</v>
      </c>
      <c r="BI363" s="338" t="s">
        <v>340</v>
      </c>
      <c r="BN363" s="340">
        <v>19.23</v>
      </c>
      <c r="BO363" s="340" t="s">
        <v>323</v>
      </c>
      <c r="BP363" s="1385"/>
      <c r="BQ363" s="341">
        <v>34228</v>
      </c>
      <c r="BR363" s="338" t="s">
        <v>347</v>
      </c>
      <c r="BV363" s="338">
        <v>304.02</v>
      </c>
      <c r="BW363" s="338" t="s">
        <v>289</v>
      </c>
      <c r="CB363" s="340">
        <v>1103.46</v>
      </c>
      <c r="CC363" s="340" t="s">
        <v>289</v>
      </c>
      <c r="CE363" s="341" t="str">
        <f t="array" ref="CE363">IFERROR(IF($CE$11="Metro",INDEX($BV$13:$BV$4972,SMALL(IF((County=$BW$13:$BW$4972),MATCH(ROW($BW$13:$BW$4972),ROW($BW$13:$BW$4972)),""),ROWS($A$13:$A421))),INDEX($BY$13:$BY$212,SMALL(IF((County=$BZ$13:$BZ$212),MATCH(ROW($BZ$13:$BZ$212),ROW($BZ$13:$BZ$212)),""),ROWS($A$13:$A421)))),"")</f>
        <v/>
      </c>
      <c r="CG363" s="341" t="str">
        <f t="array" ref="CG363">IFERROR(IF($CG$11="Yes",INDEX($CB$13:$CB$2950,SMALL(IF((County=$CC$13:$CC$2950),MATCH(ROW($CC$13:$CC$2950),ROW($CC$13:$CC$2950)),""),ROWS($A$13:$A421))),""),"")</f>
        <v/>
      </c>
      <c r="CI363" s="1583">
        <v>34291</v>
      </c>
      <c r="CJ363" s="236" t="s">
        <v>347</v>
      </c>
      <c r="CL363" s="236">
        <v>9.08</v>
      </c>
      <c r="CM363" s="236" t="s">
        <v>331</v>
      </c>
      <c r="CR363" s="340">
        <v>20.04</v>
      </c>
      <c r="CS363" s="340" t="s">
        <v>347</v>
      </c>
      <c r="CT363" s="1384"/>
      <c r="CU363" s="341">
        <v>32561</v>
      </c>
      <c r="CV363" s="338" t="s">
        <v>346</v>
      </c>
      <c r="CZ363" s="1795">
        <v>10.02</v>
      </c>
      <c r="DA363" s="338" t="s">
        <v>323</v>
      </c>
      <c r="DF363" s="340">
        <v>1103.57</v>
      </c>
      <c r="DG363" s="340" t="s">
        <v>289</v>
      </c>
      <c r="DK363" s="341" t="str">
        <f t="array" ref="DK363">IFERROR(IF($DK$11="Yes",INDEX($DF$13:$DF$2838,SMALL(IF((County=$DG$13:$DG$2838),MATCH(ROW($DG$13:$DG$2838),ROW($DG$13:$DG$2838)),""),ROWS($A$13:$A421))),""),"")</f>
        <v/>
      </c>
      <c r="DM363" s="1387">
        <v>34288</v>
      </c>
      <c r="DN363" s="338" t="s">
        <v>347</v>
      </c>
      <c r="DP363" s="236">
        <v>89.07</v>
      </c>
      <c r="DQ363" s="236" t="s">
        <v>331</v>
      </c>
      <c r="DV363" s="340">
        <v>21.02</v>
      </c>
      <c r="DW363" s="340" t="s">
        <v>276</v>
      </c>
      <c r="DX363" s="1671"/>
      <c r="EB363" s="618"/>
      <c r="EC363" s="618"/>
      <c r="ED363" s="618"/>
      <c r="EE363" s="618"/>
      <c r="EF363" s="618"/>
      <c r="EG363" s="618"/>
      <c r="EH363" s="618"/>
      <c r="EI363" s="618"/>
      <c r="EJ363" s="618"/>
      <c r="EK363" s="618"/>
      <c r="EL363" s="618"/>
      <c r="EM363" s="618"/>
    </row>
    <row r="364" spans="1:143">
      <c r="A364" s="339">
        <v>34229</v>
      </c>
      <c r="B364" s="338" t="s">
        <v>347</v>
      </c>
      <c r="F364" s="338">
        <v>3.13</v>
      </c>
      <c r="G364" s="338" t="s">
        <v>328</v>
      </c>
      <c r="L364" s="2481">
        <v>103.01</v>
      </c>
      <c r="M364" s="340" t="s">
        <v>292</v>
      </c>
      <c r="N364" s="1390"/>
      <c r="O364" s="2479"/>
      <c r="P364" s="2282"/>
      <c r="T364" s="341" t="str">
        <f t="array" ref="T364">IFERROR(IF($T$11="Yes",INDEX($L$13:$L$2813,SMALL(IF((County=$M$13:$M$2813),MATCH(ROW($M$13:$M$2813),ROW($M$13:$M$2813)),""),ROWS($A$13:A364))),""),"")</f>
        <v/>
      </c>
      <c r="V364" s="2283" t="str">
        <f t="array" ref="V364">IFERROR(IF($T$11="Yes",INDEX($O$14:$O$2811,SMALL(IF((County=$P$14:$P$2811),MATCH(ROW($P$14:$P$2811),ROW($P$14:$P$2811)),""),ROWS($A$13:A364))),""),"")</f>
        <v/>
      </c>
      <c r="X364" s="339">
        <v>34238</v>
      </c>
      <c r="Y364" s="338" t="s">
        <v>347</v>
      </c>
      <c r="AA364" s="338">
        <v>104</v>
      </c>
      <c r="AB364" s="338" t="s">
        <v>338</v>
      </c>
      <c r="AG364" s="2297">
        <v>22.02</v>
      </c>
      <c r="AH364" s="2297" t="s">
        <v>276</v>
      </c>
      <c r="AI364" s="1390"/>
      <c r="AJ364" s="2282"/>
      <c r="AK364" s="2282"/>
      <c r="AL364" s="1037"/>
      <c r="AM364" s="339">
        <v>32346</v>
      </c>
      <c r="AN364" s="338" t="s">
        <v>356</v>
      </c>
      <c r="AR364" s="338">
        <v>3.09</v>
      </c>
      <c r="AS364" s="338" t="s">
        <v>331</v>
      </c>
      <c r="AX364" s="340">
        <v>1103.48</v>
      </c>
      <c r="AY364" s="340" t="s">
        <v>289</v>
      </c>
      <c r="BC364" s="341" t="str">
        <f t="array" ref="BC364">IFERROR(IF($BC$11="Yes",INDEX($AX$13:$AX$2950,SMALL(IF((County=$AY$13:$AY$2950),MATCH(ROW($AY$13:$AY$2950),ROW($AY$13:$AY$2950)),""),ROWS($A$13:$A422))),""),"")</f>
        <v/>
      </c>
      <c r="BE364" s="339">
        <v>34987</v>
      </c>
      <c r="BF364" s="338" t="s">
        <v>350</v>
      </c>
      <c r="BH364" s="338">
        <v>81.010000000000005</v>
      </c>
      <c r="BI364" s="338" t="s">
        <v>340</v>
      </c>
      <c r="BN364" s="340">
        <v>20.010000000000002</v>
      </c>
      <c r="BO364" s="340" t="s">
        <v>329</v>
      </c>
      <c r="BP364" s="1385"/>
      <c r="BQ364" s="341">
        <v>34232</v>
      </c>
      <c r="BR364" s="338" t="s">
        <v>347</v>
      </c>
      <c r="BV364" s="338">
        <v>305</v>
      </c>
      <c r="BW364" s="338" t="s">
        <v>289</v>
      </c>
      <c r="CB364" s="340">
        <v>1103.47</v>
      </c>
      <c r="CC364" s="340" t="s">
        <v>289</v>
      </c>
      <c r="CE364" s="341" t="str">
        <f t="array" ref="CE364">IFERROR(IF($CE$11="Metro",INDEX($BV$13:$BV$4972,SMALL(IF((County=$BW$13:$BW$4972),MATCH(ROW($BW$13:$BW$4972),ROW($BW$13:$BW$4972)),""),ROWS($A$13:$A422))),INDEX($BY$13:$BY$212,SMALL(IF((County=$BZ$13:$BZ$212),MATCH(ROW($BZ$13:$BZ$212),ROW($BZ$13:$BZ$212)),""),ROWS($A$13:$A422)))),"")</f>
        <v/>
      </c>
      <c r="CG364" s="341" t="str">
        <f t="array" ref="CG364">IFERROR(IF($CG$11="Yes",INDEX($CB$13:$CB$2950,SMALL(IF((County=$CC$13:$CC$2950),MATCH(ROW($CC$13:$CC$2950),ROW($CC$13:$CC$2950)),""),ROWS($A$13:$A422))),""),"")</f>
        <v/>
      </c>
      <c r="CI364" s="1583">
        <v>34292</v>
      </c>
      <c r="CJ364" s="236" t="s">
        <v>347</v>
      </c>
      <c r="CL364" s="338">
        <v>10</v>
      </c>
      <c r="CM364" s="338" t="s">
        <v>276</v>
      </c>
      <c r="CR364" s="340">
        <v>20.05</v>
      </c>
      <c r="CS364" s="340" t="s">
        <v>328</v>
      </c>
      <c r="CT364" s="1384"/>
      <c r="CU364" s="341">
        <v>32566</v>
      </c>
      <c r="CV364" s="338" t="s">
        <v>346</v>
      </c>
      <c r="CZ364" s="1795">
        <v>11.01</v>
      </c>
      <c r="DA364" s="338" t="s">
        <v>323</v>
      </c>
      <c r="DF364" s="340">
        <v>1103.58</v>
      </c>
      <c r="DG364" s="340" t="s">
        <v>289</v>
      </c>
      <c r="DK364" s="341" t="str">
        <f t="array" ref="DK364">IFERROR(IF($DK$11="Yes",INDEX($DF$13:$DF$2838,SMALL(IF((County=$DG$13:$DG$2838),MATCH(ROW($DG$13:$DG$2838),ROW($DG$13:$DG$2838)),""),ROWS($A$13:$A422))),""),"")</f>
        <v/>
      </c>
      <c r="DM364" s="1387">
        <v>34291</v>
      </c>
      <c r="DN364" s="338" t="s">
        <v>347</v>
      </c>
      <c r="DP364" s="236">
        <v>90.21</v>
      </c>
      <c r="DQ364" s="236" t="s">
        <v>331</v>
      </c>
      <c r="DV364" s="340">
        <v>21.02</v>
      </c>
      <c r="DW364" s="340" t="s">
        <v>302</v>
      </c>
      <c r="DX364" s="1671"/>
      <c r="EB364" s="618"/>
      <c r="EC364" s="618"/>
      <c r="ED364" s="618"/>
      <c r="EE364" s="618"/>
      <c r="EF364" s="618"/>
      <c r="EG364" s="618"/>
      <c r="EH364" s="618"/>
      <c r="EI364" s="618"/>
      <c r="EJ364" s="618"/>
      <c r="EK364" s="618"/>
      <c r="EL364" s="618"/>
      <c r="EM364" s="618"/>
    </row>
    <row r="365" spans="1:143">
      <c r="A365" s="339">
        <v>34232</v>
      </c>
      <c r="B365" s="338" t="s">
        <v>347</v>
      </c>
      <c r="F365" s="338">
        <v>3.14</v>
      </c>
      <c r="G365" s="338" t="s">
        <v>328</v>
      </c>
      <c r="L365" s="2481">
        <v>103.01</v>
      </c>
      <c r="M365" s="340" t="s">
        <v>294</v>
      </c>
      <c r="N365" s="1390"/>
      <c r="O365" s="2479"/>
      <c r="P365" s="2282"/>
      <c r="T365" s="341" t="str">
        <f t="array" ref="T365">IFERROR(IF($T$11="Yes",INDEX($L$13:$L$2813,SMALL(IF((County=$M$13:$M$2813),MATCH(ROW($M$13:$M$2813),ROW($M$13:$M$2813)),""),ROWS($A$13:A365))),""),"")</f>
        <v/>
      </c>
      <c r="V365" s="2283" t="str">
        <f t="array" ref="V365">IFERROR(IF($T$11="Yes",INDEX($O$14:$O$2811,SMALL(IF((County=$P$14:$P$2811),MATCH(ROW($P$14:$P$2811),ROW($P$14:$P$2811)),""),ROWS($A$13:A365))),""),"")</f>
        <v/>
      </c>
      <c r="X365" s="339">
        <v>34240</v>
      </c>
      <c r="Y365" s="338" t="s">
        <v>347</v>
      </c>
      <c r="AA365" s="338">
        <v>104.01</v>
      </c>
      <c r="AB365" s="338" t="s">
        <v>316</v>
      </c>
      <c r="AG365" s="2297">
        <v>22.03</v>
      </c>
      <c r="AH365" s="2297" t="s">
        <v>329</v>
      </c>
      <c r="AI365" s="1390"/>
      <c r="AJ365" s="2282"/>
      <c r="AK365" s="2282"/>
      <c r="AL365" s="1037"/>
      <c r="AM365" s="339">
        <v>32459</v>
      </c>
      <c r="AN365" s="338" t="s">
        <v>357</v>
      </c>
      <c r="AR365" s="338">
        <v>3.1</v>
      </c>
      <c r="AS365" s="338" t="s">
        <v>331</v>
      </c>
      <c r="AX365" s="340">
        <v>1103.49</v>
      </c>
      <c r="AY365" s="340" t="s">
        <v>289</v>
      </c>
      <c r="BC365" s="341" t="str">
        <f t="array" ref="BC365">IFERROR(IF($BC$11="Yes",INDEX($AX$13:$AX$2950,SMALL(IF((County=$AY$13:$AY$2950),MATCH(ROW($AY$13:$AY$2950),ROW($AY$13:$AY$2950)),""),ROWS($A$13:$A423))),""),"")</f>
        <v/>
      </c>
      <c r="BE365" s="339">
        <v>34990</v>
      </c>
      <c r="BF365" s="338" t="s">
        <v>330</v>
      </c>
      <c r="BH365" s="338">
        <v>82.01</v>
      </c>
      <c r="BI365" s="338" t="s">
        <v>340</v>
      </c>
      <c r="BN365" s="340">
        <v>20.03</v>
      </c>
      <c r="BO365" s="340" t="s">
        <v>328</v>
      </c>
      <c r="BP365" s="1385"/>
      <c r="BQ365" s="341">
        <v>34233</v>
      </c>
      <c r="BR365" s="338" t="s">
        <v>347</v>
      </c>
      <c r="BV365" s="338">
        <v>306.01</v>
      </c>
      <c r="BW365" s="338" t="s">
        <v>289</v>
      </c>
      <c r="CB365" s="340">
        <v>1103.48</v>
      </c>
      <c r="CC365" s="340" t="s">
        <v>289</v>
      </c>
      <c r="CE365" s="341" t="str">
        <f t="array" ref="CE365">IFERROR(IF($CE$11="Metro",INDEX($BV$13:$BV$4972,SMALL(IF((County=$BW$13:$BW$4972),MATCH(ROW($BW$13:$BW$4972),ROW($BW$13:$BW$4972)),""),ROWS($A$13:$A423))),INDEX($BY$13:$BY$212,SMALL(IF((County=$BZ$13:$BZ$212),MATCH(ROW($BZ$13:$BZ$212),ROW($BZ$13:$BZ$212)),""),ROWS($A$13:$A423)))),"")</f>
        <v/>
      </c>
      <c r="CG365" s="341" t="str">
        <f t="array" ref="CG365">IFERROR(IF($CG$11="Yes",INDEX($CB$13:$CB$2950,SMALL(IF((County=$CC$13:$CC$2950),MATCH(ROW($CC$13:$CC$2950),ROW($CC$13:$CC$2950)),""),ROWS($A$13:$A423))),""),"")</f>
        <v/>
      </c>
      <c r="CI365" s="1583">
        <v>34293</v>
      </c>
      <c r="CJ365" s="236" t="s">
        <v>347</v>
      </c>
      <c r="CL365" s="338">
        <v>10</v>
      </c>
      <c r="CM365" s="338" t="s">
        <v>285</v>
      </c>
      <c r="CR365" s="340">
        <v>20.07</v>
      </c>
      <c r="CS365" s="340" t="s">
        <v>347</v>
      </c>
      <c r="CT365" s="1384"/>
      <c r="CU365" s="341">
        <v>34232</v>
      </c>
      <c r="CV365" s="338" t="s">
        <v>347</v>
      </c>
      <c r="CZ365" s="1795">
        <v>11.03</v>
      </c>
      <c r="DA365" s="338" t="s">
        <v>323</v>
      </c>
      <c r="DF365" s="340">
        <v>1103.5899999999999</v>
      </c>
      <c r="DG365" s="340" t="s">
        <v>289</v>
      </c>
      <c r="DK365" s="341" t="str">
        <f t="array" ref="DK365">IFERROR(IF($DK$11="Yes",INDEX($DF$13:$DF$2838,SMALL(IF((County=$DG$13:$DG$2838),MATCH(ROW($DG$13:$DG$2838),ROW($DG$13:$DG$2838)),""),ROWS($A$13:$A423))),""),"")</f>
        <v/>
      </c>
      <c r="DM365" s="1387">
        <v>34292</v>
      </c>
      <c r="DN365" s="338" t="s">
        <v>347</v>
      </c>
      <c r="DP365" s="236">
        <v>90.31</v>
      </c>
      <c r="DQ365" s="236" t="s">
        <v>331</v>
      </c>
      <c r="DV365" s="340">
        <v>21.02</v>
      </c>
      <c r="DW365" s="340" t="s">
        <v>347</v>
      </c>
      <c r="DX365" s="1671"/>
      <c r="EB365" s="618"/>
      <c r="EC365" s="618"/>
      <c r="ED365" s="618"/>
      <c r="EE365" s="618"/>
      <c r="EF365" s="618"/>
      <c r="EG365" s="618"/>
      <c r="EH365" s="618"/>
      <c r="EI365" s="618"/>
      <c r="EJ365" s="618"/>
      <c r="EK365" s="618"/>
      <c r="EL365" s="618"/>
      <c r="EM365" s="618"/>
    </row>
    <row r="366" spans="1:143">
      <c r="A366" s="339">
        <v>34233</v>
      </c>
      <c r="B366" s="338" t="s">
        <v>347</v>
      </c>
      <c r="F366" s="338">
        <v>6.03</v>
      </c>
      <c r="G366" s="338" t="s">
        <v>328</v>
      </c>
      <c r="L366" s="2481">
        <v>104.01</v>
      </c>
      <c r="M366" s="340" t="s">
        <v>294</v>
      </c>
      <c r="N366" s="1390"/>
      <c r="O366" s="2479"/>
      <c r="P366" s="2282"/>
      <c r="T366" s="341" t="str">
        <f t="array" ref="T366">IFERROR(IF($T$11="Yes",INDEX($L$13:$L$2813,SMALL(IF((County=$M$13:$M$2813),MATCH(ROW($M$13:$M$2813),ROW($M$13:$M$2813)),""),ROWS($A$13:A366))),""),"")</f>
        <v/>
      </c>
      <c r="V366" s="2283" t="str">
        <f t="array" ref="V366">IFERROR(IF($T$11="Yes",INDEX($O$14:$O$2811,SMALL(IF((County=$P$14:$P$2811),MATCH(ROW($P$14:$P$2811),ROW($P$14:$P$2811)),""),ROWS($A$13:A366))),""),"")</f>
        <v/>
      </c>
      <c r="X366" s="339">
        <v>34241</v>
      </c>
      <c r="Y366" s="338" t="s">
        <v>347</v>
      </c>
      <c r="AA366" s="338">
        <v>104.02</v>
      </c>
      <c r="AB366" s="338" t="s">
        <v>302</v>
      </c>
      <c r="AG366" s="2297">
        <v>22.04</v>
      </c>
      <c r="AH366" s="2297" t="s">
        <v>276</v>
      </c>
      <c r="AI366" s="1390"/>
      <c r="AJ366" s="2282"/>
      <c r="AK366" s="2282"/>
      <c r="AL366" s="1037"/>
      <c r="AM366" s="2711" t="s">
        <v>2074</v>
      </c>
      <c r="AN366" s="2712"/>
      <c r="AR366" s="338">
        <v>4.0199999999999996</v>
      </c>
      <c r="AS366" s="338" t="s">
        <v>331</v>
      </c>
      <c r="AX366" s="340">
        <v>1103.5</v>
      </c>
      <c r="AY366" s="340" t="s">
        <v>289</v>
      </c>
      <c r="BC366" s="341" t="str">
        <f t="array" ref="BC366">IFERROR(IF($BC$11="Yes",INDEX($AX$13:$AX$2950,SMALL(IF((County=$AY$13:$AY$2950),MATCH(ROW($AY$13:$AY$2950),ROW($AY$13:$AY$2950)),""),ROWS($A$13:$A424))),""),"")</f>
        <v/>
      </c>
      <c r="BE366" s="2711" t="s">
        <v>2074</v>
      </c>
      <c r="BF366" s="2712"/>
      <c r="BH366" s="338">
        <v>82.02</v>
      </c>
      <c r="BI366" s="338" t="s">
        <v>340</v>
      </c>
      <c r="BN366" s="340">
        <v>20.04</v>
      </c>
      <c r="BO366" s="340" t="s">
        <v>347</v>
      </c>
      <c r="BP366" s="1385"/>
      <c r="BQ366" s="1583">
        <v>34235</v>
      </c>
      <c r="BR366" s="236" t="s">
        <v>347</v>
      </c>
      <c r="BV366" s="338">
        <v>306.02</v>
      </c>
      <c r="BW366" s="338" t="s">
        <v>289</v>
      </c>
      <c r="CB366" s="340">
        <v>1103.49</v>
      </c>
      <c r="CC366" s="340" t="s">
        <v>289</v>
      </c>
      <c r="CE366" s="341" t="str">
        <f t="array" ref="CE366">IFERROR(IF($CE$11="Metro",INDEX($BV$13:$BV$4972,SMALL(IF((County=$BW$13:$BW$4972),MATCH(ROW($BW$13:$BW$4972),ROW($BW$13:$BW$4972)),""),ROWS($A$13:$A424))),INDEX($BY$13:$BY$212,SMALL(IF((County=$BZ$13:$BZ$212),MATCH(ROW($BZ$13:$BZ$212),ROW($BZ$13:$BZ$212)),""),ROWS($A$13:$A424)))),"")</f>
        <v/>
      </c>
      <c r="CG366" s="341" t="str">
        <f t="array" ref="CG366">IFERROR(IF($CG$11="Yes",INDEX($CB$13:$CB$2950,SMALL(IF((County=$CC$13:$CC$2950),MATCH(ROW($CC$13:$CC$2950),ROW($CC$13:$CC$2950)),""),ROWS($A$13:$A424))),""),"")</f>
        <v/>
      </c>
      <c r="CI366" s="1583">
        <v>34434</v>
      </c>
      <c r="CJ366" s="338" t="s">
        <v>295</v>
      </c>
      <c r="CL366" s="236">
        <v>10</v>
      </c>
      <c r="CM366" s="236" t="s">
        <v>302</v>
      </c>
      <c r="CR366" s="340">
        <v>20.079999999999998</v>
      </c>
      <c r="CS366" s="340" t="s">
        <v>328</v>
      </c>
      <c r="CT366" s="1384"/>
      <c r="CU366" s="341">
        <v>34233</v>
      </c>
      <c r="CV366" s="338" t="s">
        <v>347</v>
      </c>
      <c r="CZ366" s="1795">
        <v>12.03</v>
      </c>
      <c r="DA366" s="338" t="s">
        <v>323</v>
      </c>
      <c r="DF366" s="340">
        <v>1103.5999999999999</v>
      </c>
      <c r="DG366" s="340" t="s">
        <v>289</v>
      </c>
      <c r="DK366" s="341" t="str">
        <f t="array" ref="DK366">IFERROR(IF($DK$11="Yes",INDEX($DF$13:$DF$2838,SMALL(IF((County=$DG$13:$DG$2838),MATCH(ROW($DG$13:$DG$2838),ROW($DG$13:$DG$2838)),""),ROWS($A$13:$A424))),""),"")</f>
        <v/>
      </c>
      <c r="DM366" s="1387">
        <v>34293</v>
      </c>
      <c r="DN366" s="338" t="s">
        <v>347</v>
      </c>
      <c r="DP366" s="236">
        <v>90.61</v>
      </c>
      <c r="DQ366" s="236" t="s">
        <v>331</v>
      </c>
      <c r="DV366" s="340">
        <v>22</v>
      </c>
      <c r="DW366" s="340" t="s">
        <v>302</v>
      </c>
      <c r="DX366" s="1671"/>
      <c r="EB366" s="618"/>
      <c r="EC366" s="618"/>
      <c r="ED366" s="618"/>
      <c r="EE366" s="618"/>
      <c r="EF366" s="618"/>
      <c r="EG366" s="618"/>
      <c r="EH366" s="618"/>
      <c r="EI366" s="618"/>
      <c r="EJ366" s="618"/>
      <c r="EK366" s="618"/>
      <c r="EL366" s="618"/>
      <c r="EM366" s="618"/>
    </row>
    <row r="367" spans="1:143">
      <c r="A367" s="339">
        <v>34235</v>
      </c>
      <c r="B367" s="338" t="s">
        <v>347</v>
      </c>
      <c r="F367" s="338">
        <v>6.04</v>
      </c>
      <c r="G367" s="338" t="s">
        <v>328</v>
      </c>
      <c r="L367" s="2481">
        <v>104.02</v>
      </c>
      <c r="M367" s="340" t="s">
        <v>294</v>
      </c>
      <c r="N367" s="1390"/>
      <c r="O367" s="2479"/>
      <c r="P367" s="2282"/>
      <c r="T367" s="341" t="str">
        <f t="array" ref="T367">IFERROR(IF($T$11="Yes",INDEX($L$13:$L$2813,SMALL(IF((County=$M$13:$M$2813),MATCH(ROW($M$13:$M$2813),ROW($M$13:$M$2813)),""),ROWS($A$13:A367))),""),"")</f>
        <v/>
      </c>
      <c r="V367" s="2283" t="str">
        <f t="array" ref="V367">IFERROR(IF($T$11="Yes",INDEX($O$14:$O$2811,SMALL(IF((County=$P$14:$P$2811),MATCH(ROW($P$14:$P$2811),ROW($P$14:$P$2811)),""),ROWS($A$13:A367))),""),"")</f>
        <v/>
      </c>
      <c r="X367" s="339">
        <v>34242</v>
      </c>
      <c r="Y367" s="338" t="s">
        <v>347</v>
      </c>
      <c r="AA367" s="338">
        <v>104.02</v>
      </c>
      <c r="AB367" s="338" t="s">
        <v>316</v>
      </c>
      <c r="AG367" s="2297">
        <v>22.04</v>
      </c>
      <c r="AH367" s="2297" t="s">
        <v>347</v>
      </c>
      <c r="AI367" s="1390"/>
      <c r="AJ367" s="2282"/>
      <c r="AK367" s="2282"/>
      <c r="AL367" s="1037"/>
      <c r="AR367" s="338">
        <v>4.08</v>
      </c>
      <c r="AS367" s="338" t="s">
        <v>331</v>
      </c>
      <c r="AX367" s="340">
        <v>1103.53</v>
      </c>
      <c r="AY367" s="340" t="s">
        <v>289</v>
      </c>
      <c r="BC367" s="341" t="str">
        <f t="array" ref="BC367">IFERROR(IF($BC$11="Yes",INDEX($AX$13:$AX$2950,SMALL(IF((County=$AY$13:$AY$2950),MATCH(ROW($AY$13:$AY$2950),ROW($AY$13:$AY$2950)),""),ROWS($A$13:$A425))),""),"")</f>
        <v/>
      </c>
      <c r="BH367" s="338">
        <v>82.03</v>
      </c>
      <c r="BI367" s="338" t="s">
        <v>340</v>
      </c>
      <c r="BN367" s="340">
        <v>20.05</v>
      </c>
      <c r="BO367" s="340" t="s">
        <v>328</v>
      </c>
      <c r="BP367" s="1385"/>
      <c r="BQ367" s="1583">
        <v>34238</v>
      </c>
      <c r="BR367" s="236" t="s">
        <v>347</v>
      </c>
      <c r="BV367" s="338">
        <v>307.02</v>
      </c>
      <c r="BW367" s="338" t="s">
        <v>289</v>
      </c>
      <c r="CB367" s="340">
        <v>1103.5</v>
      </c>
      <c r="CC367" s="340" t="s">
        <v>289</v>
      </c>
      <c r="CE367" s="341" t="str">
        <f t="array" ref="CE367">IFERROR(IF($CE$11="Metro",INDEX($BV$13:$BV$4972,SMALL(IF((County=$BW$13:$BW$4972),MATCH(ROW($BW$13:$BW$4972),ROW($BW$13:$BW$4972)),""),ROWS($A$13:$A425))),INDEX($BY$13:$BY$212,SMALL(IF((County=$BZ$13:$BZ$212),MATCH(ROW($BZ$13:$BZ$212),ROW($BZ$13:$BZ$212)),""),ROWS($A$13:$A425)))),"")</f>
        <v/>
      </c>
      <c r="CG367" s="341" t="str">
        <f t="array" ref="CG367">IFERROR(IF($CG$11="Yes",INDEX($CB$13:$CB$2950,SMALL(IF((County=$CC$13:$CC$2950),MATCH(ROW($CC$13:$CC$2950),ROW($CC$13:$CC$2950)),""),ROWS($A$13:$A425))),""),"")</f>
        <v/>
      </c>
      <c r="CI367" s="1583">
        <v>34472</v>
      </c>
      <c r="CJ367" s="338" t="s">
        <v>329</v>
      </c>
      <c r="CL367" s="236">
        <v>10</v>
      </c>
      <c r="CM367" s="236" t="s">
        <v>330</v>
      </c>
      <c r="CR367" s="340">
        <v>20.079999999999998</v>
      </c>
      <c r="CS367" s="340" t="s">
        <v>347</v>
      </c>
      <c r="CT367" s="1384"/>
      <c r="CU367" s="341">
        <v>34235</v>
      </c>
      <c r="CV367" s="338" t="s">
        <v>347</v>
      </c>
      <c r="CZ367" s="1795">
        <v>14.01</v>
      </c>
      <c r="DA367" s="338" t="s">
        <v>323</v>
      </c>
      <c r="DF367" s="340">
        <v>1103.6099999999999</v>
      </c>
      <c r="DG367" s="340" t="s">
        <v>289</v>
      </c>
      <c r="DK367" s="341" t="str">
        <f t="array" ref="DK367">IFERROR(IF($DK$11="Yes",INDEX($DF$13:$DF$2838,SMALL(IF((County=$DG$13:$DG$2838),MATCH(ROW($DG$13:$DG$2838),ROW($DG$13:$DG$2838)),""),ROWS($A$13:$A425))),""),"")</f>
        <v/>
      </c>
      <c r="DM367" s="1387">
        <v>34434</v>
      </c>
      <c r="DN367" s="338" t="s">
        <v>295</v>
      </c>
      <c r="DP367" s="236">
        <v>90.63</v>
      </c>
      <c r="DQ367" s="236" t="s">
        <v>331</v>
      </c>
      <c r="DV367" s="340">
        <v>22</v>
      </c>
      <c r="DW367" s="340" t="s">
        <v>316</v>
      </c>
      <c r="DX367" s="1671"/>
      <c r="EB367" s="618"/>
      <c r="EC367" s="618"/>
      <c r="ED367" s="618"/>
      <c r="EE367" s="618"/>
      <c r="EF367" s="618"/>
      <c r="EG367" s="618"/>
      <c r="EH367" s="618"/>
      <c r="EI367" s="618"/>
      <c r="EJ367" s="618"/>
      <c r="EK367" s="618"/>
      <c r="EL367" s="618"/>
      <c r="EM367" s="618"/>
    </row>
    <row r="368" spans="1:143">
      <c r="A368" s="339">
        <v>34236</v>
      </c>
      <c r="B368" s="338" t="s">
        <v>347</v>
      </c>
      <c r="F368" s="338">
        <v>7.04</v>
      </c>
      <c r="G368" s="338" t="s">
        <v>328</v>
      </c>
      <c r="L368" s="2481">
        <v>104.05</v>
      </c>
      <c r="M368" s="340" t="s">
        <v>294</v>
      </c>
      <c r="N368" s="1390"/>
      <c r="O368" s="2479"/>
      <c r="P368" s="2282"/>
      <c r="T368" s="341" t="str">
        <f t="array" ref="T368">IFERROR(IF($T$11="Yes",INDEX($L$13:$L$2813,SMALL(IF((County=$M$13:$M$2813),MATCH(ROW($M$13:$M$2813),ROW($M$13:$M$2813)),""),ROWS($A$13:A368))),""),"")</f>
        <v/>
      </c>
      <c r="V368" s="2283" t="str">
        <f t="array" ref="V368">IFERROR(IF($T$11="Yes",INDEX($O$14:$O$2811,SMALL(IF((County=$P$14:$P$2811),MATCH(ROW($P$14:$P$2811),ROW($P$14:$P$2811)),""),ROWS($A$13:A368))),""),"")</f>
        <v/>
      </c>
      <c r="X368" s="339">
        <v>34243</v>
      </c>
      <c r="Y368" s="338" t="s">
        <v>328</v>
      </c>
      <c r="AA368" s="338">
        <v>104.03</v>
      </c>
      <c r="AB368" s="338" t="s">
        <v>289</v>
      </c>
      <c r="AG368" s="2297">
        <v>22.05</v>
      </c>
      <c r="AH368" s="2297" t="s">
        <v>324</v>
      </c>
      <c r="AI368" s="1390"/>
      <c r="AJ368" s="2282"/>
      <c r="AK368" s="2282"/>
      <c r="AL368" s="1037"/>
      <c r="AR368" s="338">
        <v>4.1100000000000003</v>
      </c>
      <c r="AS368" s="338" t="s">
        <v>331</v>
      </c>
      <c r="AX368" s="340">
        <v>1103.56</v>
      </c>
      <c r="AY368" s="340" t="s">
        <v>289</v>
      </c>
      <c r="BC368" s="341" t="str">
        <f t="array" ref="BC368">IFERROR(IF($BC$11="Yes",INDEX($AX$13:$AX$2950,SMALL(IF((County=$AY$13:$AY$2950),MATCH(ROW($AY$13:$AY$2950),ROW($AY$13:$AY$2950)),""),ROWS($A$13:$A426))),""),"")</f>
        <v/>
      </c>
      <c r="BH368" s="338">
        <v>83.01</v>
      </c>
      <c r="BI368" s="338" t="s">
        <v>340</v>
      </c>
      <c r="BN368" s="340">
        <v>20.07</v>
      </c>
      <c r="BO368" s="340" t="s">
        <v>347</v>
      </c>
      <c r="BP368" s="1385"/>
      <c r="BQ368" s="1583">
        <v>34239</v>
      </c>
      <c r="BR368" s="236" t="s">
        <v>347</v>
      </c>
      <c r="BV368" s="338">
        <v>307.02999999999997</v>
      </c>
      <c r="BW368" s="338" t="s">
        <v>289</v>
      </c>
      <c r="CB368" s="340">
        <v>1103.52</v>
      </c>
      <c r="CC368" s="340" t="s">
        <v>289</v>
      </c>
      <c r="CE368" s="341" t="str">
        <f t="array" ref="CE368">IFERROR(IF($CE$11="Metro",INDEX($BV$13:$BV$4972,SMALL(IF((County=$BW$13:$BW$4972),MATCH(ROW($BW$13:$BW$4972),ROW($BW$13:$BW$4972)),""),ROWS($A$13:$A426))),INDEX($BY$13:$BY$212,SMALL(IF((County=$BZ$13:$BZ$212),MATCH(ROW($BZ$13:$BZ$212),ROW($BZ$13:$BZ$212)),""),ROWS($A$13:$A426)))),"")</f>
        <v/>
      </c>
      <c r="CG368" s="341" t="str">
        <f t="array" ref="CG368">IFERROR(IF($CG$11="Yes",INDEX($CB$13:$CB$2950,SMALL(IF((County=$CC$13:$CC$2950),MATCH(ROW($CC$13:$CC$2950),ROW($CC$13:$CC$2950)),""),ROWS($A$13:$A426))),""),"")</f>
        <v/>
      </c>
      <c r="CI368" s="1583">
        <v>34473</v>
      </c>
      <c r="CJ368" s="338" t="s">
        <v>329</v>
      </c>
      <c r="CL368" s="236">
        <v>10</v>
      </c>
      <c r="CM368" s="236" t="s">
        <v>347</v>
      </c>
      <c r="CR368" s="340">
        <v>20.100000000000001</v>
      </c>
      <c r="CS368" s="340" t="s">
        <v>328</v>
      </c>
      <c r="CT368" s="1384"/>
      <c r="CU368" s="341">
        <v>34236</v>
      </c>
      <c r="CV368" s="338" t="s">
        <v>347</v>
      </c>
      <c r="CZ368" s="1795">
        <v>15.02</v>
      </c>
      <c r="DA368" s="338" t="s">
        <v>323</v>
      </c>
      <c r="DF368" s="340">
        <v>1103.6199999999999</v>
      </c>
      <c r="DG368" s="340" t="s">
        <v>289</v>
      </c>
      <c r="DK368" s="341" t="str">
        <f t="array" ref="DK368">IFERROR(IF($DK$11="Yes",INDEX($DF$13:$DF$2838,SMALL(IF((County=$DG$13:$DG$2838),MATCH(ROW($DG$13:$DG$2838),ROW($DG$13:$DG$2838)),""),ROWS($A$13:$A426))),""),"")</f>
        <v/>
      </c>
      <c r="DM368" s="1387">
        <v>34473</v>
      </c>
      <c r="DN368" s="338" t="s">
        <v>329</v>
      </c>
      <c r="DP368" s="236">
        <v>91.02</v>
      </c>
      <c r="DQ368" s="236" t="s">
        <v>331</v>
      </c>
      <c r="DV368" s="340">
        <v>22.01</v>
      </c>
      <c r="DW368" s="340" t="s">
        <v>276</v>
      </c>
      <c r="DX368" s="1671"/>
      <c r="EB368" s="618"/>
      <c r="EC368" s="618"/>
      <c r="ED368" s="618"/>
      <c r="EE368" s="618"/>
      <c r="EF368" s="618"/>
      <c r="EG368" s="618"/>
      <c r="EH368" s="618"/>
      <c r="EI368" s="618"/>
      <c r="EJ368" s="618"/>
      <c r="EK368" s="618"/>
      <c r="EL368" s="618"/>
      <c r="EM368" s="618"/>
    </row>
    <row r="369" spans="1:143">
      <c r="A369" s="339">
        <v>34238</v>
      </c>
      <c r="B369" s="338" t="s">
        <v>347</v>
      </c>
      <c r="F369" s="338">
        <v>7.05</v>
      </c>
      <c r="G369" s="338" t="s">
        <v>328</v>
      </c>
      <c r="L369" s="2481">
        <v>105.03</v>
      </c>
      <c r="M369" s="340" t="s">
        <v>294</v>
      </c>
      <c r="N369" s="1390"/>
      <c r="O369" s="2479"/>
      <c r="P369" s="2282"/>
      <c r="T369" s="341" t="str">
        <f t="array" ref="T369">IFERROR(IF($T$11="Yes",INDEX($L$13:$L$2813,SMALL(IF((County=$M$13:$M$2813),MATCH(ROW($M$13:$M$2813),ROW($M$13:$M$2813)),""),ROWS($A$13:A369))),""),"")</f>
        <v/>
      </c>
      <c r="V369" s="2283" t="str">
        <f t="array" ref="V369">IFERROR(IF($T$11="Yes",INDEX($O$14:$O$2811,SMALL(IF((County=$P$14:$P$2811),MATCH(ROW($P$14:$P$2811),ROW($P$14:$P$2811)),""),ROWS($A$13:A369))),""),"")</f>
        <v/>
      </c>
      <c r="X369" s="339">
        <v>34251</v>
      </c>
      <c r="Y369" s="338" t="s">
        <v>328</v>
      </c>
      <c r="AA369" s="338">
        <v>104.22</v>
      </c>
      <c r="AB369" s="338" t="s">
        <v>297</v>
      </c>
      <c r="AG369" s="2297">
        <v>22.05</v>
      </c>
      <c r="AH369" s="2297" t="s">
        <v>347</v>
      </c>
      <c r="AI369" s="1390"/>
      <c r="AJ369" s="2282"/>
      <c r="AK369" s="2282"/>
      <c r="AL369" s="1037"/>
      <c r="AR369" s="338">
        <v>4.1399999999999997</v>
      </c>
      <c r="AS369" s="338" t="s">
        <v>331</v>
      </c>
      <c r="AX369" s="340">
        <v>1103.57</v>
      </c>
      <c r="AY369" s="340" t="s">
        <v>289</v>
      </c>
      <c r="BC369" s="341" t="str">
        <f t="array" ref="BC369">IFERROR(IF($BC$11="Yes",INDEX($AX$13:$AX$2950,SMALL(IF((County=$AY$13:$AY$2950),MATCH(ROW($AY$13:$AY$2950),ROW($AY$13:$AY$2950)),""),ROWS($A$13:$A427))),""),"")</f>
        <v/>
      </c>
      <c r="BH369" s="338">
        <v>83.02</v>
      </c>
      <c r="BI369" s="338" t="s">
        <v>340</v>
      </c>
      <c r="BN369" s="340">
        <v>20.079999999999998</v>
      </c>
      <c r="BO369" s="340" t="s">
        <v>328</v>
      </c>
      <c r="BP369" s="1385"/>
      <c r="BQ369" s="1583">
        <v>34240</v>
      </c>
      <c r="BR369" s="236" t="s">
        <v>347</v>
      </c>
      <c r="BV369" s="338">
        <v>307.04000000000002</v>
      </c>
      <c r="BW369" s="338" t="s">
        <v>289</v>
      </c>
      <c r="CB369" s="340">
        <v>1103.53</v>
      </c>
      <c r="CC369" s="340" t="s">
        <v>289</v>
      </c>
      <c r="CE369" s="341" t="str">
        <f t="array" ref="CE369">IFERROR(IF($CE$11="Metro",INDEX($BV$13:$BV$4972,SMALL(IF((County=$BW$13:$BW$4972),MATCH(ROW($BW$13:$BW$4972),ROW($BW$13:$BW$4972)),""),ROWS($A$13:$A427))),INDEX($BY$13:$BY$212,SMALL(IF((County=$BZ$13:$BZ$212),MATCH(ROW($BZ$13:$BZ$212),ROW($BZ$13:$BZ$212)),""),ROWS($A$13:$A427)))),"")</f>
        <v/>
      </c>
      <c r="CG369" s="341" t="str">
        <f t="array" ref="CG369">IFERROR(IF($CG$11="Yes",INDEX($CB$13:$CB$2950,SMALL(IF((County=$CC$13:$CC$2950),MATCH(ROW($CC$13:$CC$2950),ROW($CC$13:$CC$2950)),""),ROWS($A$13:$A427))),""),"")</f>
        <v/>
      </c>
      <c r="CI369" s="1583">
        <v>34474</v>
      </c>
      <c r="CJ369" s="338" t="s">
        <v>329</v>
      </c>
      <c r="CL369" s="236">
        <v>10.01</v>
      </c>
      <c r="CM369" s="236" t="s">
        <v>304</v>
      </c>
      <c r="CR369" s="340">
        <v>20.12</v>
      </c>
      <c r="CS369" s="340" t="s">
        <v>328</v>
      </c>
      <c r="CT369" s="1384"/>
      <c r="CU369" s="341">
        <v>34238</v>
      </c>
      <c r="CV369" s="338" t="s">
        <v>347</v>
      </c>
      <c r="CZ369" s="1795">
        <v>17.079999999999998</v>
      </c>
      <c r="DA369" s="338" t="s">
        <v>323</v>
      </c>
      <c r="DF369" s="340">
        <v>1103.6300000000001</v>
      </c>
      <c r="DG369" s="340" t="s">
        <v>289</v>
      </c>
      <c r="DK369" s="341" t="str">
        <f t="array" ref="DK369">IFERROR(IF($DK$11="Yes",INDEX($DF$13:$DF$2838,SMALL(IF((County=$DG$13:$DG$2838),MATCH(ROW($DG$13:$DG$2838),ROW($DG$13:$DG$2838)),""),ROWS($A$13:$A427))),""),"")</f>
        <v/>
      </c>
      <c r="DM369" s="1387">
        <v>34474</v>
      </c>
      <c r="DN369" s="338" t="s">
        <v>329</v>
      </c>
      <c r="DP369" s="236">
        <v>93.14</v>
      </c>
      <c r="DQ369" s="236" t="s">
        <v>331</v>
      </c>
      <c r="DV369" s="340">
        <v>22.01</v>
      </c>
      <c r="DW369" s="340" t="s">
        <v>329</v>
      </c>
      <c r="DX369" s="1671"/>
      <c r="EB369" s="618"/>
      <c r="EC369" s="618"/>
      <c r="ED369" s="618"/>
      <c r="EE369" s="618"/>
      <c r="EF369" s="618"/>
      <c r="EG369" s="618"/>
      <c r="EH369" s="618"/>
      <c r="EI369" s="618"/>
      <c r="EJ369" s="618"/>
      <c r="EK369" s="618"/>
      <c r="EL369" s="618"/>
      <c r="EM369" s="618"/>
    </row>
    <row r="370" spans="1:143">
      <c r="A370" s="339">
        <v>34240</v>
      </c>
      <c r="B370" s="338" t="s">
        <v>347</v>
      </c>
      <c r="F370" s="338">
        <v>8.11</v>
      </c>
      <c r="G370" s="338" t="s">
        <v>328</v>
      </c>
      <c r="L370" s="2481">
        <v>105.05</v>
      </c>
      <c r="M370" s="340" t="s">
        <v>294</v>
      </c>
      <c r="N370" s="1390"/>
      <c r="O370" s="2479"/>
      <c r="P370" s="2282"/>
      <c r="T370" s="341" t="str">
        <f t="array" ref="T370">IFERROR(IF($T$11="Yes",INDEX($L$13:$L$2813,SMALL(IF((County=$M$13:$M$2813),MATCH(ROW($M$13:$M$2813),ROW($M$13:$M$2813)),""),ROWS($A$13:A370))),""),"")</f>
        <v/>
      </c>
      <c r="V370" s="2283" t="str">
        <f t="array" ref="V370">IFERROR(IF($T$11="Yes",INDEX($O$14:$O$2811,SMALL(IF((County=$P$14:$P$2811),MATCH(ROW($P$14:$P$2811),ROW($P$14:$P$2811)),""),ROWS($A$13:A370))),""),"")</f>
        <v/>
      </c>
      <c r="X370" s="339">
        <v>34286</v>
      </c>
      <c r="Y370" s="338" t="s">
        <v>347</v>
      </c>
      <c r="AA370" s="338">
        <v>105</v>
      </c>
      <c r="AB370" s="338" t="s">
        <v>338</v>
      </c>
      <c r="AG370" s="2297">
        <v>22.06</v>
      </c>
      <c r="AH370" s="2297" t="s">
        <v>324</v>
      </c>
      <c r="AI370" s="1390"/>
      <c r="AJ370" s="2282"/>
      <c r="AK370" s="2282"/>
      <c r="AL370" s="1037"/>
      <c r="AR370" s="338">
        <v>4.1500000000000004</v>
      </c>
      <c r="AS370" s="338" t="s">
        <v>331</v>
      </c>
      <c r="AX370" s="340">
        <v>1103.5899999999999</v>
      </c>
      <c r="AY370" s="340" t="s">
        <v>289</v>
      </c>
      <c r="BC370" s="341" t="str">
        <f t="array" ref="BC370">IFERROR(IF($BC$11="Yes",INDEX($AX$13:$AX$2950,SMALL(IF((County=$AY$13:$AY$2950),MATCH(ROW($AY$13:$AY$2950),ROW($AY$13:$AY$2950)),""),ROWS($A$13:$A428))),""),"")</f>
        <v/>
      </c>
      <c r="BH370" s="338">
        <v>83.09</v>
      </c>
      <c r="BI370" s="338" t="s">
        <v>331</v>
      </c>
      <c r="BN370" s="340">
        <v>20.079999999999998</v>
      </c>
      <c r="BO370" s="340" t="s">
        <v>347</v>
      </c>
      <c r="BP370" s="1385"/>
      <c r="BQ370" s="1583">
        <v>34241</v>
      </c>
      <c r="BR370" s="236" t="s">
        <v>347</v>
      </c>
      <c r="BV370" s="338">
        <v>307.05</v>
      </c>
      <c r="BW370" s="338" t="s">
        <v>289</v>
      </c>
      <c r="CB370" s="340">
        <v>1103.56</v>
      </c>
      <c r="CC370" s="340" t="s">
        <v>289</v>
      </c>
      <c r="CE370" s="341" t="str">
        <f t="array" ref="CE370">IFERROR(IF($CE$11="Metro",INDEX($BV$13:$BV$4972,SMALL(IF((County=$BW$13:$BW$4972),MATCH(ROW($BW$13:$BW$4972),ROW($BW$13:$BW$4972)),""),ROWS($A$13:$A428))),INDEX($BY$13:$BY$212,SMALL(IF((County=$BZ$13:$BZ$212),MATCH(ROW($BZ$13:$BZ$212),ROW($BZ$13:$BZ$212)),""),ROWS($A$13:$A428)))),"")</f>
        <v/>
      </c>
      <c r="CG370" s="341" t="str">
        <f t="array" ref="CG370">IFERROR(IF($CG$11="Yes",INDEX($CB$13:$CB$2950,SMALL(IF((County=$CC$13:$CC$2950),MATCH(ROW($CC$13:$CC$2950),ROW($CC$13:$CC$2950)),""),ROWS($A$13:$A428))),""),"")</f>
        <v/>
      </c>
      <c r="CI370" s="1583">
        <v>34476</v>
      </c>
      <c r="CJ370" s="338" t="s">
        <v>329</v>
      </c>
      <c r="CL370" s="236">
        <v>10.01</v>
      </c>
      <c r="CM370" s="236" t="s">
        <v>316</v>
      </c>
      <c r="CR370" s="340">
        <v>20.12</v>
      </c>
      <c r="CS370" s="340" t="s">
        <v>347</v>
      </c>
      <c r="CT370" s="1384"/>
      <c r="CU370" s="341">
        <v>34239</v>
      </c>
      <c r="CV370" s="338" t="s">
        <v>347</v>
      </c>
      <c r="CZ370" s="1795">
        <v>19.16</v>
      </c>
      <c r="DA370" s="338" t="s">
        <v>323</v>
      </c>
      <c r="DF370" s="340">
        <v>1103.6400000000001</v>
      </c>
      <c r="DG370" s="340" t="s">
        <v>289</v>
      </c>
      <c r="DK370" s="341" t="str">
        <f t="array" ref="DK370">IFERROR(IF($DK$11="Yes",INDEX($DF$13:$DF$2838,SMALL(IF((County=$DG$13:$DG$2838),MATCH(ROW($DG$13:$DG$2838),ROW($DG$13:$DG$2838)),""),ROWS($A$13:$A428))),""),"")</f>
        <v/>
      </c>
      <c r="DM370" s="1387">
        <v>34609</v>
      </c>
      <c r="DN370" s="338" t="s">
        <v>314</v>
      </c>
      <c r="DP370" s="236">
        <v>93.15</v>
      </c>
      <c r="DQ370" s="236" t="s">
        <v>331</v>
      </c>
      <c r="DV370" s="340">
        <v>22.02</v>
      </c>
      <c r="DW370" s="340" t="s">
        <v>276</v>
      </c>
      <c r="DX370" s="1671"/>
      <c r="EB370" s="618"/>
      <c r="EC370" s="618"/>
      <c r="ED370" s="618"/>
      <c r="EE370" s="618"/>
      <c r="EF370" s="618"/>
      <c r="EG370" s="618"/>
      <c r="EH370" s="618"/>
      <c r="EI370" s="618"/>
      <c r="EJ370" s="618"/>
      <c r="EK370" s="618"/>
      <c r="EL370" s="618"/>
      <c r="EM370" s="618"/>
    </row>
    <row r="371" spans="1:143">
      <c r="A371" s="339">
        <v>34241</v>
      </c>
      <c r="B371" s="338" t="s">
        <v>347</v>
      </c>
      <c r="F371" s="338">
        <v>11.06</v>
      </c>
      <c r="G371" s="338" t="s">
        <v>328</v>
      </c>
      <c r="L371" s="2481">
        <v>105.06</v>
      </c>
      <c r="M371" s="340" t="s">
        <v>294</v>
      </c>
      <c r="N371" s="1390"/>
      <c r="O371" s="2479"/>
      <c r="P371" s="2282"/>
      <c r="T371" s="341" t="str">
        <f t="array" ref="T371">IFERROR(IF($T$11="Yes",INDEX($L$13:$L$2813,SMALL(IF((County=$M$13:$M$2813),MATCH(ROW($M$13:$M$2813),ROW($M$13:$M$2813)),""),ROWS($A$13:A371))),""),"")</f>
        <v/>
      </c>
      <c r="V371" s="2283" t="str">
        <f t="array" ref="V371">IFERROR(IF($T$11="Yes",INDEX($O$14:$O$2811,SMALL(IF((County=$P$14:$P$2811),MATCH(ROW($P$14:$P$2811),ROW($P$14:$P$2811)),""),ROWS($A$13:A371))),""),"")</f>
        <v/>
      </c>
      <c r="X371" s="339">
        <v>34288</v>
      </c>
      <c r="Y371" s="338" t="s">
        <v>347</v>
      </c>
      <c r="AA371" s="338">
        <v>105.01</v>
      </c>
      <c r="AB371" s="338" t="s">
        <v>316</v>
      </c>
      <c r="AG371" s="2297">
        <v>22.07</v>
      </c>
      <c r="AH371" s="2297" t="s">
        <v>276</v>
      </c>
      <c r="AI371" s="1390"/>
      <c r="AJ371" s="2282"/>
      <c r="AK371" s="2282"/>
      <c r="AL371" s="1037"/>
      <c r="AR371" s="338">
        <v>4.16</v>
      </c>
      <c r="AS371" s="338" t="s">
        <v>331</v>
      </c>
      <c r="AX371" s="340">
        <v>1103.5999999999999</v>
      </c>
      <c r="AY371" s="340" t="s">
        <v>289</v>
      </c>
      <c r="BC371" s="341" t="str">
        <f t="array" ref="BC371">IFERROR(IF($BC$11="Yes",INDEX($AX$13:$AX$2950,SMALL(IF((County=$AY$13:$AY$2950),MATCH(ROW($AY$13:$AY$2950),ROW($AY$13:$AY$2950)),""),ROWS($A$13:$A429))),""),"")</f>
        <v/>
      </c>
      <c r="BH371" s="338">
        <v>88.05</v>
      </c>
      <c r="BI371" s="338" t="s">
        <v>331</v>
      </c>
      <c r="BN371" s="340">
        <v>20.100000000000001</v>
      </c>
      <c r="BO371" s="340" t="s">
        <v>328</v>
      </c>
      <c r="BP371" s="1385"/>
      <c r="BQ371" s="1583">
        <v>34242</v>
      </c>
      <c r="BR371" s="236" t="s">
        <v>347</v>
      </c>
      <c r="BV371" s="338">
        <v>308.02999999999997</v>
      </c>
      <c r="BW371" s="338" t="s">
        <v>289</v>
      </c>
      <c r="CB371" s="340">
        <v>1103.57</v>
      </c>
      <c r="CC371" s="340" t="s">
        <v>289</v>
      </c>
      <c r="CE371" s="341" t="str">
        <f t="array" ref="CE371">IFERROR(IF($CE$11="Metro",INDEX($BV$13:$BV$4972,SMALL(IF((County=$BW$13:$BW$4972),MATCH(ROW($BW$13:$BW$4972),ROW($BW$13:$BW$4972)),""),ROWS($A$13:$A429))),INDEX($BY$13:$BY$212,SMALL(IF((County=$BZ$13:$BZ$212),MATCH(ROW($BZ$13:$BZ$212),ROW($BZ$13:$BZ$212)),""),ROWS($A$13:$A429)))),"")</f>
        <v/>
      </c>
      <c r="CG371" s="341" t="str">
        <f t="array" ref="CG371">IFERROR(IF($CG$11="Yes",INDEX($CB$13:$CB$2950,SMALL(IF((County=$CC$13:$CC$2950),MATCH(ROW($CC$13:$CC$2950),ROW($CC$13:$CC$2950)),""),ROWS($A$13:$A429))),""),"")</f>
        <v/>
      </c>
      <c r="CI371" s="1583">
        <v>34609</v>
      </c>
      <c r="CJ371" s="338" t="s">
        <v>314</v>
      </c>
      <c r="CL371" s="236">
        <v>10.01</v>
      </c>
      <c r="CM371" s="236" t="s">
        <v>323</v>
      </c>
      <c r="CR371" s="340">
        <v>20.13</v>
      </c>
      <c r="CS371" s="340" t="s">
        <v>347</v>
      </c>
      <c r="CT371" s="1384"/>
      <c r="CU371" s="341">
        <v>34240</v>
      </c>
      <c r="CV371" s="338" t="s">
        <v>347</v>
      </c>
      <c r="CZ371" s="1795">
        <v>201.02</v>
      </c>
      <c r="DA371" s="338" t="s">
        <v>323</v>
      </c>
      <c r="DF371" s="340">
        <v>1103.6500000000001</v>
      </c>
      <c r="DG371" s="340" t="s">
        <v>289</v>
      </c>
      <c r="DK371" s="341" t="str">
        <f t="array" ref="DK371">IFERROR(IF($DK$11="Yes",INDEX($DF$13:$DF$2838,SMALL(IF((County=$DG$13:$DG$2838),MATCH(ROW($DG$13:$DG$2838),ROW($DG$13:$DG$2838)),""),ROWS($A$13:$A429))),""),"")</f>
        <v/>
      </c>
      <c r="DM371" s="1387">
        <v>34637</v>
      </c>
      <c r="DN371" s="338" t="s">
        <v>341</v>
      </c>
      <c r="DP371" s="236">
        <v>93.2</v>
      </c>
      <c r="DQ371" s="236" t="s">
        <v>331</v>
      </c>
      <c r="DV371" s="340">
        <v>22.02</v>
      </c>
      <c r="DW371" s="340" t="s">
        <v>329</v>
      </c>
      <c r="DX371" s="1671"/>
      <c r="EB371" s="618"/>
      <c r="EC371" s="618"/>
      <c r="ED371" s="618"/>
      <c r="EE371" s="618"/>
      <c r="EF371" s="618"/>
      <c r="EG371" s="618"/>
      <c r="EH371" s="618"/>
      <c r="EI371" s="618"/>
      <c r="EJ371" s="618"/>
      <c r="EK371" s="618"/>
      <c r="EL371" s="618"/>
      <c r="EM371" s="618"/>
    </row>
    <row r="372" spans="1:143">
      <c r="A372" s="339">
        <v>34242</v>
      </c>
      <c r="B372" s="338" t="s">
        <v>347</v>
      </c>
      <c r="F372" s="338">
        <v>15.02</v>
      </c>
      <c r="G372" s="338" t="s">
        <v>328</v>
      </c>
      <c r="L372" s="2481">
        <v>201.03</v>
      </c>
      <c r="M372" s="340" t="s">
        <v>294</v>
      </c>
      <c r="N372" s="1390"/>
      <c r="O372" s="2479"/>
      <c r="P372" s="2282"/>
      <c r="T372" s="341" t="str">
        <f t="array" ref="T372">IFERROR(IF($T$11="Yes",INDEX($L$13:$L$2813,SMALL(IF((County=$M$13:$M$2813),MATCH(ROW($M$13:$M$2813),ROW($M$13:$M$2813)),""),ROWS($A$13:A372))),""),"")</f>
        <v/>
      </c>
      <c r="V372" s="2283" t="str">
        <f t="array" ref="V372">IFERROR(IF($T$11="Yes",INDEX($O$14:$O$2811,SMALL(IF((County=$P$14:$P$2811),MATCH(ROW($P$14:$P$2811),ROW($P$14:$P$2811)),""),ROWS($A$13:A372))),""),"")</f>
        <v/>
      </c>
      <c r="X372" s="339">
        <v>34291</v>
      </c>
      <c r="Y372" s="338" t="s">
        <v>347</v>
      </c>
      <c r="AA372" s="338">
        <v>105.01</v>
      </c>
      <c r="AB372" s="338" t="s">
        <v>331</v>
      </c>
      <c r="AG372" s="2297">
        <v>22.08</v>
      </c>
      <c r="AH372" s="2297" t="s">
        <v>276</v>
      </c>
      <c r="AI372" s="1390"/>
      <c r="AJ372" s="2282"/>
      <c r="AK372" s="2282"/>
      <c r="AL372" s="1037"/>
      <c r="AR372" s="338">
        <v>4.17</v>
      </c>
      <c r="AS372" s="338" t="s">
        <v>331</v>
      </c>
      <c r="AX372" s="340">
        <v>1103.6099999999999</v>
      </c>
      <c r="AY372" s="340" t="s">
        <v>289</v>
      </c>
      <c r="BC372" s="341" t="str">
        <f t="array" ref="BC372">IFERROR(IF($BC$11="Yes",INDEX($AX$13:$AX$2950,SMALL(IF((County=$AY$13:$AY$2950),MATCH(ROW($AY$13:$AY$2950),ROW($AY$13:$AY$2950)),""),ROWS($A$13:$A430))),""),"")</f>
        <v/>
      </c>
      <c r="BH372" s="338">
        <v>90.2</v>
      </c>
      <c r="BI372" s="338" t="s">
        <v>331</v>
      </c>
      <c r="BN372" s="340">
        <v>20.11</v>
      </c>
      <c r="BO372" s="340" t="s">
        <v>328</v>
      </c>
      <c r="BP372" s="1385"/>
      <c r="BQ372" s="1583">
        <v>34286</v>
      </c>
      <c r="BR372" s="236" t="s">
        <v>347</v>
      </c>
      <c r="BV372" s="338">
        <v>308.04000000000002</v>
      </c>
      <c r="BW372" s="338" t="s">
        <v>289</v>
      </c>
      <c r="CB372" s="340">
        <v>1103.58</v>
      </c>
      <c r="CC372" s="340" t="s">
        <v>289</v>
      </c>
      <c r="CE372" s="341" t="str">
        <f t="array" ref="CE372">IFERROR(IF($CE$11="Metro",INDEX($BV$13:$BV$4972,SMALL(IF((County=$BW$13:$BW$4972),MATCH(ROW($BW$13:$BW$4972),ROW($BW$13:$BW$4972)),""),ROWS($A$13:$A430))),INDEX($BY$13:$BY$212,SMALL(IF((County=$BZ$13:$BZ$212),MATCH(ROW($BZ$13:$BZ$212),ROW($BZ$13:$BZ$212)),""),ROWS($A$13:$A430)))),"")</f>
        <v/>
      </c>
      <c r="CG372" s="341" t="str">
        <f t="array" ref="CG372">IFERROR(IF($CG$11="Yes",INDEX($CB$13:$CB$2950,SMALL(IF((County=$CC$13:$CC$2950),MATCH(ROW($CC$13:$CC$2950),ROW($CC$13:$CC$2950)),""),ROWS($A$13:$A430))),""),"")</f>
        <v/>
      </c>
      <c r="CI372" s="1583">
        <v>34637</v>
      </c>
      <c r="CJ372" s="338" t="s">
        <v>341</v>
      </c>
      <c r="CL372" s="236">
        <v>10.01</v>
      </c>
      <c r="CM372" s="236" t="s">
        <v>324</v>
      </c>
      <c r="CR372" s="340">
        <v>20.14</v>
      </c>
      <c r="CS372" s="340" t="s">
        <v>328</v>
      </c>
      <c r="CT372" s="1384"/>
      <c r="CU372" s="341">
        <v>34241</v>
      </c>
      <c r="CV372" s="338" t="s">
        <v>347</v>
      </c>
      <c r="CZ372" s="1795">
        <v>203.02</v>
      </c>
      <c r="DA372" s="338" t="s">
        <v>323</v>
      </c>
      <c r="DF372" s="340">
        <v>1103.68</v>
      </c>
      <c r="DG372" s="340" t="s">
        <v>289</v>
      </c>
      <c r="DK372" s="341" t="str">
        <f t="array" ref="DK372">IFERROR(IF($DK$11="Yes",INDEX($DF$13:$DF$2838,SMALL(IF((County=$DG$13:$DG$2838),MATCH(ROW($DG$13:$DG$2838),ROW($DG$13:$DG$2838)),""),ROWS($A$13:$A430))),""),"")</f>
        <v/>
      </c>
      <c r="DM372" s="1387">
        <v>34638</v>
      </c>
      <c r="DN372" s="338" t="s">
        <v>341</v>
      </c>
      <c r="DP372" s="236">
        <v>93.24</v>
      </c>
      <c r="DQ372" s="236" t="s">
        <v>331</v>
      </c>
      <c r="DV372" s="340">
        <v>22.03</v>
      </c>
      <c r="DW372" s="340" t="s">
        <v>329</v>
      </c>
      <c r="DX372" s="1671"/>
      <c r="EB372" s="618"/>
      <c r="EC372" s="618"/>
      <c r="ED372" s="618"/>
      <c r="EE372" s="618"/>
      <c r="EF372" s="618"/>
      <c r="EG372" s="618"/>
      <c r="EH372" s="618"/>
      <c r="EI372" s="618"/>
      <c r="EJ372" s="618"/>
      <c r="EK372" s="618"/>
      <c r="EL372" s="618"/>
      <c r="EM372" s="618"/>
    </row>
    <row r="373" spans="1:143">
      <c r="A373" s="339">
        <v>34286</v>
      </c>
      <c r="B373" s="338" t="s">
        <v>347</v>
      </c>
      <c r="F373" s="338">
        <v>3.02</v>
      </c>
      <c r="G373" s="338" t="s">
        <v>329</v>
      </c>
      <c r="L373" s="2481">
        <v>201.04</v>
      </c>
      <c r="M373" s="340" t="s">
        <v>294</v>
      </c>
      <c r="N373" s="1390"/>
      <c r="O373" s="2479"/>
      <c r="P373" s="2282"/>
      <c r="T373" s="341" t="str">
        <f t="array" ref="T373">IFERROR(IF($T$11="Yes",INDEX($L$13:$L$2813,SMALL(IF((County=$M$13:$M$2813),MATCH(ROW($M$13:$M$2813),ROW($M$13:$M$2813)),""),ROWS($A$13:A373))),""),"")</f>
        <v/>
      </c>
      <c r="V373" s="2283" t="str">
        <f t="array" ref="V373">IFERROR(IF($T$11="Yes",INDEX($O$14:$O$2811,SMALL(IF((County=$P$14:$P$2811),MATCH(ROW($P$14:$P$2811),ROW($P$14:$P$2811)),""),ROWS($A$13:A373))),""),"")</f>
        <v/>
      </c>
      <c r="X373" s="339">
        <v>34292</v>
      </c>
      <c r="Y373" s="338" t="s">
        <v>347</v>
      </c>
      <c r="AA373" s="338">
        <v>105.04</v>
      </c>
      <c r="AB373" s="338" t="s">
        <v>294</v>
      </c>
      <c r="AG373" s="2297">
        <v>22.08</v>
      </c>
      <c r="AH373" s="2297" t="s">
        <v>324</v>
      </c>
      <c r="AI373" s="1390"/>
      <c r="AJ373" s="2282"/>
      <c r="AK373" s="2282"/>
      <c r="AL373" s="1037"/>
      <c r="AR373" s="338">
        <v>4.18</v>
      </c>
      <c r="AS373" s="338" t="s">
        <v>331</v>
      </c>
      <c r="AX373" s="340">
        <v>1103.6300000000001</v>
      </c>
      <c r="AY373" s="340" t="s">
        <v>289</v>
      </c>
      <c r="BC373" s="341" t="str">
        <f t="array" ref="BC373">IFERROR(IF($BC$11="Yes",INDEX($AX$13:$AX$2950,SMALL(IF((County=$AY$13:$AY$2950),MATCH(ROW($AY$13:$AY$2950),ROW($AY$13:$AY$2950)),""),ROWS($A$13:$A431))),""),"")</f>
        <v/>
      </c>
      <c r="BH373" s="338">
        <v>90.21</v>
      </c>
      <c r="BI373" s="338" t="s">
        <v>331</v>
      </c>
      <c r="BN373" s="340">
        <v>20.12</v>
      </c>
      <c r="BO373" s="340" t="s">
        <v>328</v>
      </c>
      <c r="BP373" s="1385"/>
      <c r="BQ373" s="1583">
        <v>34288</v>
      </c>
      <c r="BR373" s="236" t="s">
        <v>347</v>
      </c>
      <c r="BV373" s="338">
        <v>308.05</v>
      </c>
      <c r="BW373" s="338" t="s">
        <v>289</v>
      </c>
      <c r="CB373" s="340">
        <v>1103.5899999999999</v>
      </c>
      <c r="CC373" s="340" t="s">
        <v>289</v>
      </c>
      <c r="CE373" s="341" t="str">
        <f t="array" ref="CE373">IFERROR(IF($CE$11="Metro",INDEX($BV$13:$BV$4972,SMALL(IF((County=$BW$13:$BW$4972),MATCH(ROW($BW$13:$BW$4972),ROW($BW$13:$BW$4972)),""),ROWS($A$13:$A431))),INDEX($BY$13:$BY$212,SMALL(IF((County=$BZ$13:$BZ$212),MATCH(ROW($BZ$13:$BZ$212),ROW($BZ$13:$BZ$212)),""),ROWS($A$13:$A431)))),"")</f>
        <v/>
      </c>
      <c r="CG373" s="341" t="str">
        <f t="array" ref="CG373">IFERROR(IF($CG$11="Yes",INDEX($CB$13:$CB$2950,SMALL(IF((County=$CC$13:$CC$2950),MATCH(ROW($CC$13:$CC$2950),ROW($CC$13:$CC$2950)),""),ROWS($A$13:$A431))),""),"")</f>
        <v/>
      </c>
      <c r="CI373" s="1583">
        <v>34638</v>
      </c>
      <c r="CJ373" s="338" t="s">
        <v>341</v>
      </c>
      <c r="CL373" s="236">
        <v>10.01</v>
      </c>
      <c r="CM373" s="236" t="s">
        <v>328</v>
      </c>
      <c r="CR373" s="340">
        <v>20.14</v>
      </c>
      <c r="CS373" s="340" t="s">
        <v>347</v>
      </c>
      <c r="CT373" s="1384"/>
      <c r="CU373" s="341">
        <v>34242</v>
      </c>
      <c r="CV373" s="338" t="s">
        <v>347</v>
      </c>
      <c r="CZ373" s="1795">
        <v>205.01</v>
      </c>
      <c r="DA373" s="338" t="s">
        <v>323</v>
      </c>
      <c r="DF373" s="340">
        <v>1105.01</v>
      </c>
      <c r="DG373" s="340" t="s">
        <v>289</v>
      </c>
      <c r="DK373" s="341" t="str">
        <f t="array" ref="DK373">IFERROR(IF($DK$11="Yes",INDEX($DF$13:$DF$2838,SMALL(IF((County=$DG$13:$DG$2838),MATCH(ROW($DG$13:$DG$2838),ROW($DG$13:$DG$2838)),""),ROWS($A$13:$A431))),""),"")</f>
        <v/>
      </c>
      <c r="DM373" s="1387">
        <v>34639</v>
      </c>
      <c r="DN373" s="338" t="s">
        <v>341</v>
      </c>
      <c r="DP373" s="236">
        <v>95.06</v>
      </c>
      <c r="DQ373" s="236" t="s">
        <v>331</v>
      </c>
      <c r="DV373" s="340">
        <v>22.04</v>
      </c>
      <c r="DW373" s="340" t="s">
        <v>276</v>
      </c>
      <c r="DX373" s="1671"/>
      <c r="EB373" s="618"/>
      <c r="EC373" s="618"/>
      <c r="ED373" s="618"/>
      <c r="EE373" s="618"/>
      <c r="EF373" s="618"/>
      <c r="EG373" s="618"/>
      <c r="EH373" s="618"/>
      <c r="EI373" s="618"/>
      <c r="EJ373" s="618"/>
      <c r="EK373" s="618"/>
      <c r="EL373" s="618"/>
      <c r="EM373" s="618"/>
    </row>
    <row r="374" spans="1:143">
      <c r="A374" s="339">
        <v>34288</v>
      </c>
      <c r="B374" s="338" t="s">
        <v>347</v>
      </c>
      <c r="F374" s="338">
        <v>7.03</v>
      </c>
      <c r="G374" s="338" t="s">
        <v>329</v>
      </c>
      <c r="L374" s="2481">
        <v>202.03</v>
      </c>
      <c r="M374" s="340" t="s">
        <v>294</v>
      </c>
      <c r="N374" s="1390"/>
      <c r="O374" s="2479"/>
      <c r="P374" s="2282"/>
      <c r="T374" s="341" t="str">
        <f t="array" ref="T374">IFERROR(IF($T$11="Yes",INDEX($L$13:$L$2813,SMALL(IF((County=$M$13:$M$2813),MATCH(ROW($M$13:$M$2813),ROW($M$13:$M$2813)),""),ROWS($A$13:A374))),""),"")</f>
        <v/>
      </c>
      <c r="V374" s="2283" t="str">
        <f t="array" ref="V374">IFERROR(IF($T$11="Yes",INDEX($O$14:$O$2811,SMALL(IF((County=$P$14:$P$2811),MATCH(ROW($P$14:$P$2811),ROW($P$14:$P$2811)),""),ROWS($A$13:A374))),""),"")</f>
        <v/>
      </c>
      <c r="X374" s="339">
        <v>34293</v>
      </c>
      <c r="Y374" s="338" t="s">
        <v>347</v>
      </c>
      <c r="AA374" s="338">
        <v>106.01</v>
      </c>
      <c r="AB374" s="338" t="s">
        <v>297</v>
      </c>
      <c r="AG374" s="2297">
        <v>22.09</v>
      </c>
      <c r="AH374" s="2297" t="s">
        <v>276</v>
      </c>
      <c r="AI374" s="1390"/>
      <c r="AJ374" s="2282"/>
      <c r="AK374" s="2282"/>
      <c r="AL374" s="1037"/>
      <c r="AR374" s="338">
        <v>5.04</v>
      </c>
      <c r="AS374" s="338" t="s">
        <v>331</v>
      </c>
      <c r="AX374" s="340">
        <v>1103.6400000000001</v>
      </c>
      <c r="AY374" s="340" t="s">
        <v>289</v>
      </c>
      <c r="BC374" s="341" t="str">
        <f t="array" ref="BC374">IFERROR(IF($BC$11="Yes",INDEX($AX$13:$AX$2950,SMALL(IF((County=$AY$13:$AY$2950),MATCH(ROW($AY$13:$AY$2950),ROW($AY$13:$AY$2950)),""),ROWS($A$13:$A432))),""),"")</f>
        <v/>
      </c>
      <c r="BH374" s="338">
        <v>90.26</v>
      </c>
      <c r="BI374" s="338" t="s">
        <v>331</v>
      </c>
      <c r="BN374" s="340">
        <v>20.12</v>
      </c>
      <c r="BO374" s="340" t="s">
        <v>347</v>
      </c>
      <c r="BP374" s="1385"/>
      <c r="BQ374" s="1583">
        <v>34291</v>
      </c>
      <c r="BR374" s="236" t="s">
        <v>347</v>
      </c>
      <c r="BV374" s="338">
        <v>308.06</v>
      </c>
      <c r="BW374" s="338" t="s">
        <v>289</v>
      </c>
      <c r="CB374" s="340">
        <v>1103.5999999999999</v>
      </c>
      <c r="CC374" s="340" t="s">
        <v>289</v>
      </c>
      <c r="CE374" s="341" t="str">
        <f t="array" ref="CE374">IFERROR(IF($CE$11="Metro",INDEX($BV$13:$BV$4972,SMALL(IF((County=$BW$13:$BW$4972),MATCH(ROW($BW$13:$BW$4972),ROW($BW$13:$BW$4972)),""),ROWS($A$13:$A432))),INDEX($BY$13:$BY$212,SMALL(IF((County=$BZ$13:$BZ$212),MATCH(ROW($BZ$13:$BZ$212),ROW($BZ$13:$BZ$212)),""),ROWS($A$13:$A432)))),"")</f>
        <v/>
      </c>
      <c r="CG374" s="341" t="str">
        <f t="array" ref="CG374">IFERROR(IF($CG$11="Yes",INDEX($CB$13:$CB$2950,SMALL(IF((County=$CC$13:$CC$2950),MATCH(ROW($CC$13:$CC$2950),ROW($CC$13:$CC$2950)),""),ROWS($A$13:$A432))),""),"")</f>
        <v/>
      </c>
      <c r="CI374" s="1583">
        <v>34639</v>
      </c>
      <c r="CJ374" s="338" t="s">
        <v>341</v>
      </c>
      <c r="CL374" s="236">
        <v>10.02</v>
      </c>
      <c r="CM374" s="236" t="s">
        <v>304</v>
      </c>
      <c r="CR374" s="340">
        <v>20.149999999999999</v>
      </c>
      <c r="CS374" s="340" t="s">
        <v>347</v>
      </c>
      <c r="CT374" s="1384"/>
      <c r="CU374" s="341">
        <v>34286</v>
      </c>
      <c r="CV374" s="338" t="s">
        <v>347</v>
      </c>
      <c r="CZ374" s="1795">
        <v>208.02</v>
      </c>
      <c r="DA374" s="338" t="s">
        <v>323</v>
      </c>
      <c r="DF374" s="340">
        <v>1106</v>
      </c>
      <c r="DG374" s="340" t="s">
        <v>289</v>
      </c>
      <c r="DK374" s="341" t="str">
        <f t="array" ref="DK374">IFERROR(IF($DK$11="Yes",INDEX($DF$13:$DF$2838,SMALL(IF((County=$DG$13:$DG$2838),MATCH(ROW($DG$13:$DG$2838),ROW($DG$13:$DG$2838)),""),ROWS($A$13:$A432))),""),"")</f>
        <v/>
      </c>
      <c r="DM374" s="1387">
        <v>34654</v>
      </c>
      <c r="DN374" s="338" t="s">
        <v>341</v>
      </c>
      <c r="DP374" s="236">
        <v>100.1</v>
      </c>
      <c r="DQ374" s="236" t="s">
        <v>331</v>
      </c>
      <c r="DV374" s="340">
        <v>22.04</v>
      </c>
      <c r="DW374" s="340" t="s">
        <v>347</v>
      </c>
      <c r="DX374" s="1671"/>
      <c r="EB374" s="618"/>
      <c r="EC374" s="618"/>
      <c r="ED374" s="618"/>
      <c r="EE374" s="618"/>
      <c r="EF374" s="618"/>
      <c r="EG374" s="618"/>
      <c r="EH374" s="618"/>
      <c r="EI374" s="618"/>
      <c r="EJ374" s="618"/>
      <c r="EK374" s="618"/>
      <c r="EL374" s="618"/>
      <c r="EM374" s="618"/>
    </row>
    <row r="375" spans="1:143">
      <c r="A375" s="339">
        <v>34291</v>
      </c>
      <c r="B375" s="338" t="s">
        <v>347</v>
      </c>
      <c r="F375" s="338">
        <v>10.029999999999999</v>
      </c>
      <c r="G375" s="338" t="s">
        <v>329</v>
      </c>
      <c r="L375" s="2481">
        <v>202.04</v>
      </c>
      <c r="M375" s="340" t="s">
        <v>294</v>
      </c>
      <c r="N375" s="1390"/>
      <c r="O375" s="2479"/>
      <c r="P375" s="2282"/>
      <c r="T375" s="341" t="str">
        <f t="array" ref="T375">IFERROR(IF($T$11="Yes",INDEX($L$13:$L$2813,SMALL(IF((County=$M$13:$M$2813),MATCH(ROW($M$13:$M$2813),ROW($M$13:$M$2813)),""),ROWS($A$13:A375))),""),"")</f>
        <v/>
      </c>
      <c r="V375" s="2283" t="str">
        <f t="array" ref="V375">IFERROR(IF($T$11="Yes",INDEX($O$14:$O$2811,SMALL(IF((County=$P$14:$P$2811),MATCH(ROW($P$14:$P$2811),ROW($P$14:$P$2811)),""),ROWS($A$13:A375))),""),"")</f>
        <v/>
      </c>
      <c r="X375" s="339">
        <v>34433</v>
      </c>
      <c r="Y375" s="338" t="s">
        <v>295</v>
      </c>
      <c r="AA375" s="338">
        <v>106.09</v>
      </c>
      <c r="AB375" s="338" t="s">
        <v>331</v>
      </c>
      <c r="AG375" s="2297">
        <v>22.1</v>
      </c>
      <c r="AH375" s="2297" t="s">
        <v>276</v>
      </c>
      <c r="AI375" s="1390"/>
      <c r="AJ375" s="2282"/>
      <c r="AK375" s="2282"/>
      <c r="AL375" s="1037"/>
      <c r="AR375" s="338">
        <v>5.05</v>
      </c>
      <c r="AS375" s="338" t="s">
        <v>331</v>
      </c>
      <c r="AX375" s="340">
        <v>1103.6500000000001</v>
      </c>
      <c r="AY375" s="340" t="s">
        <v>289</v>
      </c>
      <c r="BC375" s="341" t="str">
        <f t="array" ref="BC375">IFERROR(IF($BC$11="Yes",INDEX($AX$13:$AX$2950,SMALL(IF((County=$AY$13:$AY$2950),MATCH(ROW($AY$13:$AY$2950),ROW($AY$13:$AY$2950)),""),ROWS($A$13:$A433))),""),"")</f>
        <v/>
      </c>
      <c r="BH375" s="338">
        <v>91.02</v>
      </c>
      <c r="BI375" s="338" t="s">
        <v>331</v>
      </c>
      <c r="BN375" s="340">
        <v>20.13</v>
      </c>
      <c r="BO375" s="340" t="s">
        <v>347</v>
      </c>
      <c r="BP375" s="1385"/>
      <c r="BQ375" s="1583">
        <v>34292</v>
      </c>
      <c r="BR375" s="236" t="s">
        <v>347</v>
      </c>
      <c r="BV375" s="338">
        <v>309.02</v>
      </c>
      <c r="BW375" s="338" t="s">
        <v>289</v>
      </c>
      <c r="CB375" s="340">
        <v>1103.6099999999999</v>
      </c>
      <c r="CC375" s="340" t="s">
        <v>289</v>
      </c>
      <c r="CE375" s="341" t="str">
        <f t="array" ref="CE375">IFERROR(IF($CE$11="Metro",INDEX($BV$13:$BV$4972,SMALL(IF((County=$BW$13:$BW$4972),MATCH(ROW($BW$13:$BW$4972),ROW($BW$13:$BW$4972)),""),ROWS($A$13:$A433))),INDEX($BY$13:$BY$212,SMALL(IF((County=$BZ$13:$BZ$212),MATCH(ROW($BZ$13:$BZ$212),ROW($BZ$13:$BZ$212)),""),ROWS($A$13:$A433)))),"")</f>
        <v/>
      </c>
      <c r="CG375" s="341" t="str">
        <f t="array" ref="CG375">IFERROR(IF($CG$11="Yes",INDEX($CB$13:$CB$2950,SMALL(IF((County=$CC$13:$CC$2950),MATCH(ROW($CC$13:$CC$2950),ROW($CC$13:$CC$2950)),""),ROWS($A$13:$A433))),""),"")</f>
        <v/>
      </c>
      <c r="CI375" s="1583">
        <v>34654</v>
      </c>
      <c r="CJ375" s="338" t="s">
        <v>341</v>
      </c>
      <c r="CL375" s="236">
        <v>10.02</v>
      </c>
      <c r="CM375" s="236" t="s">
        <v>316</v>
      </c>
      <c r="CR375" s="340">
        <v>20.16</v>
      </c>
      <c r="CS375" s="340" t="s">
        <v>328</v>
      </c>
      <c r="CT375" s="1384"/>
      <c r="CU375" s="341">
        <v>34288</v>
      </c>
      <c r="CV375" s="338" t="s">
        <v>347</v>
      </c>
      <c r="CZ375" s="1795">
        <v>401.09</v>
      </c>
      <c r="DA375" s="338" t="s">
        <v>323</v>
      </c>
      <c r="DF375" s="340">
        <v>101</v>
      </c>
      <c r="DG375" s="340" t="s">
        <v>292</v>
      </c>
      <c r="DK375" s="341" t="str">
        <f t="array" ref="DK375">IFERROR(IF($DK$11="Yes",INDEX($DF$13:$DF$2838,SMALL(IF((County=$DG$13:$DG$2838),MATCH(ROW($DG$13:$DG$2838),ROW($DG$13:$DG$2838)),""),ROWS($A$13:$A433))),""),"")</f>
        <v/>
      </c>
      <c r="DM375" s="1387">
        <v>34655</v>
      </c>
      <c r="DN375" s="338" t="s">
        <v>341</v>
      </c>
      <c r="DP375" s="236">
        <v>100.15</v>
      </c>
      <c r="DQ375" s="236" t="s">
        <v>331</v>
      </c>
      <c r="DV375" s="340">
        <v>22.05</v>
      </c>
      <c r="DW375" s="340" t="s">
        <v>324</v>
      </c>
      <c r="DX375" s="1671"/>
      <c r="EB375" s="618"/>
      <c r="EC375" s="618"/>
      <c r="ED375" s="618"/>
      <c r="EE375" s="618"/>
      <c r="EF375" s="618"/>
      <c r="EG375" s="618"/>
      <c r="EH375" s="618"/>
      <c r="EI375" s="618"/>
      <c r="EJ375" s="618"/>
      <c r="EK375" s="618"/>
      <c r="EL375" s="618"/>
      <c r="EM375" s="618"/>
    </row>
    <row r="376" spans="1:143">
      <c r="A376" s="339">
        <v>34292</v>
      </c>
      <c r="B376" s="338" t="s">
        <v>347</v>
      </c>
      <c r="F376" s="338">
        <v>14.01</v>
      </c>
      <c r="G376" s="338" t="s">
        <v>329</v>
      </c>
      <c r="L376" s="2481">
        <v>202.06</v>
      </c>
      <c r="M376" s="340" t="s">
        <v>294</v>
      </c>
      <c r="N376" s="1390"/>
      <c r="O376" s="2479"/>
      <c r="P376" s="2282"/>
      <c r="T376" s="341" t="str">
        <f t="array" ref="T376">IFERROR(IF($T$11="Yes",INDEX($L$13:$L$2813,SMALL(IF((County=$M$13:$M$2813),MATCH(ROW($M$13:$M$2813),ROW($M$13:$M$2813)),""),ROWS($A$13:A376))),""),"")</f>
        <v/>
      </c>
      <c r="V376" s="2283" t="str">
        <f t="array" ref="V376">IFERROR(IF($T$11="Yes",INDEX($O$14:$O$2811,SMALL(IF((County=$P$14:$P$2811),MATCH(ROW($P$14:$P$2811),ROW($P$14:$P$2811)),""),ROWS($A$13:A376))),""),"")</f>
        <v/>
      </c>
      <c r="X376" s="339">
        <v>34434</v>
      </c>
      <c r="Y376" s="338" t="s">
        <v>295</v>
      </c>
      <c r="AA376" s="338">
        <v>107</v>
      </c>
      <c r="AB376" s="338" t="s">
        <v>302</v>
      </c>
      <c r="AG376" s="2297">
        <v>22.19</v>
      </c>
      <c r="AH376" s="2297" t="s">
        <v>276</v>
      </c>
      <c r="AI376" s="1390"/>
      <c r="AJ376" s="2282"/>
      <c r="AK376" s="2282"/>
      <c r="AL376" s="1037"/>
      <c r="AR376" s="338">
        <v>5.0599999999999996</v>
      </c>
      <c r="AS376" s="338" t="s">
        <v>331</v>
      </c>
      <c r="AX376" s="340">
        <v>1103.68</v>
      </c>
      <c r="AY376" s="340" t="s">
        <v>289</v>
      </c>
      <c r="BC376" s="341" t="str">
        <f t="array" ref="BC376">IFERROR(IF($BC$11="Yes",INDEX($AX$13:$AX$2950,SMALL(IF((County=$AY$13:$AY$2950),MATCH(ROW($AY$13:$AY$2950),ROW($AY$13:$AY$2950)),""),ROWS($A$13:$A434))),""),"")</f>
        <v/>
      </c>
      <c r="BH376" s="338">
        <v>93.14</v>
      </c>
      <c r="BI376" s="338" t="s">
        <v>331</v>
      </c>
      <c r="BN376" s="340">
        <v>20.14</v>
      </c>
      <c r="BO376" s="340" t="s">
        <v>328</v>
      </c>
      <c r="BP376" s="1385"/>
      <c r="BQ376" s="1583">
        <v>34293</v>
      </c>
      <c r="BR376" s="236" t="s">
        <v>347</v>
      </c>
      <c r="BV376" s="338">
        <v>309.02999999999997</v>
      </c>
      <c r="BW376" s="338" t="s">
        <v>289</v>
      </c>
      <c r="CB376" s="340">
        <v>1103.6199999999999</v>
      </c>
      <c r="CC376" s="340" t="s">
        <v>289</v>
      </c>
      <c r="CE376" s="341" t="str">
        <f t="array" ref="CE376">IFERROR(IF($CE$11="Metro",INDEX($BV$13:$BV$4972,SMALL(IF((County=$BW$13:$BW$4972),MATCH(ROW($BW$13:$BW$4972),ROW($BW$13:$BW$4972)),""),ROWS($A$13:$A434))),INDEX($BY$13:$BY$212,SMALL(IF((County=$BZ$13:$BZ$212),MATCH(ROW($BZ$13:$BZ$212),ROW($BZ$13:$BZ$212)),""),ROWS($A$13:$A434)))),"")</f>
        <v/>
      </c>
      <c r="CG376" s="341" t="str">
        <f t="array" ref="CG376">IFERROR(IF($CG$11="Yes",INDEX($CB$13:$CB$2950,SMALL(IF((County=$CC$13:$CC$2950),MATCH(ROW($CC$13:$CC$2950),ROW($CC$13:$CC$2950)),""),ROWS($A$13:$A434))),""),"")</f>
        <v/>
      </c>
      <c r="CI376" s="1583">
        <v>34655</v>
      </c>
      <c r="CJ376" s="338" t="s">
        <v>341</v>
      </c>
      <c r="CL376" s="236">
        <v>10.02</v>
      </c>
      <c r="CM376" s="236" t="s">
        <v>323</v>
      </c>
      <c r="CR376" s="340">
        <v>20.16</v>
      </c>
      <c r="CS376" s="340" t="s">
        <v>347</v>
      </c>
      <c r="CT376" s="1384"/>
      <c r="CU376" s="341">
        <v>34291</v>
      </c>
      <c r="CV376" s="338" t="s">
        <v>347</v>
      </c>
      <c r="CZ376" s="1795">
        <v>401.21</v>
      </c>
      <c r="DA376" s="338" t="s">
        <v>323</v>
      </c>
      <c r="DF376" s="340">
        <v>103.01</v>
      </c>
      <c r="DG376" s="340" t="s">
        <v>292</v>
      </c>
      <c r="DK376" s="341" t="str">
        <f t="array" ref="DK376">IFERROR(IF($DK$11="Yes",INDEX($DF$13:$DF$2838,SMALL(IF((County=$DG$13:$DG$2838),MATCH(ROW($DG$13:$DG$2838),ROW($DG$13:$DG$2838)),""),ROWS($A$13:$A434))),""),"")</f>
        <v/>
      </c>
      <c r="DM376" s="1387">
        <v>34677</v>
      </c>
      <c r="DN376" s="338" t="s">
        <v>342</v>
      </c>
      <c r="DP376" s="236">
        <v>100.19</v>
      </c>
      <c r="DQ376" s="236" t="s">
        <v>331</v>
      </c>
      <c r="DV376" s="340">
        <v>22.05</v>
      </c>
      <c r="DW376" s="340" t="s">
        <v>347</v>
      </c>
      <c r="DX376" s="1671"/>
      <c r="EB376" s="618"/>
      <c r="EC376" s="618"/>
      <c r="ED376" s="618"/>
      <c r="EE376" s="618"/>
      <c r="EF376" s="618"/>
      <c r="EG376" s="618"/>
      <c r="EH376" s="618"/>
      <c r="EI376" s="618"/>
      <c r="EJ376" s="618"/>
      <c r="EK376" s="618"/>
      <c r="EL376" s="618"/>
      <c r="EM376" s="618"/>
    </row>
    <row r="377" spans="1:143">
      <c r="A377" s="339">
        <v>34293</v>
      </c>
      <c r="B377" s="338" t="s">
        <v>347</v>
      </c>
      <c r="F377" s="338">
        <v>14.04</v>
      </c>
      <c r="G377" s="338" t="s">
        <v>329</v>
      </c>
      <c r="L377" s="2481">
        <v>204.01</v>
      </c>
      <c r="M377" s="340" t="s">
        <v>294</v>
      </c>
      <c r="N377" s="1390"/>
      <c r="O377" s="2479"/>
      <c r="P377" s="2282"/>
      <c r="T377" s="341" t="str">
        <f t="array" ref="T377">IFERROR(IF($T$11="Yes",INDEX($L$13:$L$2813,SMALL(IF((County=$M$13:$M$2813),MATCH(ROW($M$13:$M$2813),ROW($M$13:$M$2813)),""),ROWS($A$13:A377))),""),"")</f>
        <v/>
      </c>
      <c r="V377" s="2283" t="str">
        <f t="array" ref="V377">IFERROR(IF($T$11="Yes",INDEX($O$14:$O$2811,SMALL(IF((County=$P$14:$P$2811),MATCH(ROW($P$14:$P$2811),ROW($P$14:$P$2811)),""),ROWS($A$13:A377))),""),"")</f>
        <v/>
      </c>
      <c r="X377" s="339">
        <v>34473</v>
      </c>
      <c r="Y377" s="338" t="s">
        <v>329</v>
      </c>
      <c r="AA377" s="338">
        <v>107.01</v>
      </c>
      <c r="AB377" s="338" t="s">
        <v>297</v>
      </c>
      <c r="AG377" s="2297">
        <v>22.21</v>
      </c>
      <c r="AH377" s="2297" t="s">
        <v>276</v>
      </c>
      <c r="AI377" s="1390"/>
      <c r="AJ377" s="2282"/>
      <c r="AK377" s="2282"/>
      <c r="AL377" s="1037"/>
      <c r="AR377" s="338">
        <v>5.07</v>
      </c>
      <c r="AS377" s="338" t="s">
        <v>331</v>
      </c>
      <c r="AX377" s="340">
        <v>1104.02</v>
      </c>
      <c r="AY377" s="340" t="s">
        <v>289</v>
      </c>
      <c r="BC377" s="341" t="str">
        <f t="array" ref="BC377">IFERROR(IF($BC$11="Yes",INDEX($AX$13:$AX$2950,SMALL(IF((County=$AY$13:$AY$2950),MATCH(ROW($AY$13:$AY$2950),ROW($AY$13:$AY$2950)),""),ROWS($A$13:$A435))),""),"")</f>
        <v/>
      </c>
      <c r="BH377" s="338">
        <v>93.15</v>
      </c>
      <c r="BI377" s="338" t="s">
        <v>331</v>
      </c>
      <c r="BN377" s="340">
        <v>20.14</v>
      </c>
      <c r="BO377" s="340" t="s">
        <v>347</v>
      </c>
      <c r="BP377" s="1385"/>
      <c r="BQ377" s="1583">
        <v>32701</v>
      </c>
      <c r="BR377" s="236" t="s">
        <v>348</v>
      </c>
      <c r="BV377" s="338">
        <v>309.04000000000002</v>
      </c>
      <c r="BW377" s="338" t="s">
        <v>289</v>
      </c>
      <c r="CB377" s="340">
        <v>1103.6300000000001</v>
      </c>
      <c r="CC377" s="340" t="s">
        <v>289</v>
      </c>
      <c r="CE377" s="341" t="str">
        <f t="array" ref="CE377">IFERROR(IF($CE$11="Metro",INDEX($BV$13:$BV$4972,SMALL(IF((County=$BW$13:$BW$4972),MATCH(ROW($BW$13:$BW$4972),ROW($BW$13:$BW$4972)),""),ROWS($A$13:$A435))),INDEX($BY$13:$BY$212,SMALL(IF((County=$BZ$13:$BZ$212),MATCH(ROW($BZ$13:$BZ$212),ROW($BZ$13:$BZ$212)),""),ROWS($A$13:$A435)))),"")</f>
        <v/>
      </c>
      <c r="CG377" s="341" t="str">
        <f t="array" ref="CG377">IFERROR(IF($CG$11="Yes",INDEX($CB$13:$CB$2950,SMALL(IF((County=$CC$13:$CC$2950),MATCH(ROW($CC$13:$CC$2950),ROW($CC$13:$CC$2950)),""),ROWS($A$13:$A435))),""),"")</f>
        <v/>
      </c>
      <c r="CI377" s="1583">
        <v>34677</v>
      </c>
      <c r="CJ377" s="338" t="s">
        <v>342</v>
      </c>
      <c r="CL377" s="236">
        <v>10.02</v>
      </c>
      <c r="CM377" s="236" t="s">
        <v>324</v>
      </c>
      <c r="CR377" s="340">
        <v>20.170000000000002</v>
      </c>
      <c r="CS377" s="340" t="s">
        <v>328</v>
      </c>
      <c r="CT377" s="1384"/>
      <c r="CU377" s="341">
        <v>34292</v>
      </c>
      <c r="CV377" s="338" t="s">
        <v>347</v>
      </c>
      <c r="CZ377" s="1795">
        <v>401.22</v>
      </c>
      <c r="DA377" s="338" t="s">
        <v>323</v>
      </c>
      <c r="DF377" s="340">
        <v>103.01</v>
      </c>
      <c r="DG377" s="340" t="s">
        <v>294</v>
      </c>
      <c r="DK377" s="341" t="str">
        <f t="array" ref="DK377">IFERROR(IF($DK$11="Yes",INDEX($DF$13:$DF$2838,SMALL(IF((County=$DG$13:$DG$2838),MATCH(ROW($DG$13:$DG$2838),ROW($DG$13:$DG$2838)),""),ROWS($A$13:$A435))),""),"")</f>
        <v/>
      </c>
      <c r="DM377" s="1387">
        <v>34681</v>
      </c>
      <c r="DN377" s="338" t="s">
        <v>342</v>
      </c>
      <c r="DP377" s="236">
        <v>100.23</v>
      </c>
      <c r="DQ377" s="236" t="s">
        <v>331</v>
      </c>
      <c r="DV377" s="340">
        <v>22.06</v>
      </c>
      <c r="DW377" s="340" t="s">
        <v>324</v>
      </c>
      <c r="DX377" s="1671"/>
      <c r="EB377" s="618"/>
      <c r="EC377" s="618"/>
      <c r="ED377" s="618"/>
      <c r="EE377" s="618"/>
      <c r="EF377" s="618"/>
      <c r="EG377" s="618"/>
      <c r="EH377" s="618"/>
      <c r="EI377" s="618"/>
      <c r="EJ377" s="618"/>
      <c r="EK377" s="618"/>
      <c r="EL377" s="618"/>
      <c r="EM377" s="618"/>
    </row>
    <row r="378" spans="1:143">
      <c r="A378" s="339">
        <v>32708</v>
      </c>
      <c r="B378" s="338" t="s">
        <v>348</v>
      </c>
      <c r="F378" s="338">
        <v>15</v>
      </c>
      <c r="G378" s="338" t="s">
        <v>329</v>
      </c>
      <c r="L378" s="2481">
        <v>204.02</v>
      </c>
      <c r="M378" s="340" t="s">
        <v>294</v>
      </c>
      <c r="N378" s="1390"/>
      <c r="O378" s="2479"/>
      <c r="P378" s="2282"/>
      <c r="T378" s="341" t="str">
        <f t="array" ref="T378">IFERROR(IF($T$11="Yes",INDEX($L$13:$L$2813,SMALL(IF((County=$M$13:$M$2813),MATCH(ROW($M$13:$M$2813),ROW($M$13:$M$2813)),""),ROWS($A$13:A378))),""),"")</f>
        <v/>
      </c>
      <c r="V378" s="2283" t="str">
        <f t="array" ref="V378">IFERROR(IF($T$11="Yes",INDEX($O$14:$O$2811,SMALL(IF((County=$P$14:$P$2811),MATCH(ROW($P$14:$P$2811),ROW($P$14:$P$2811)),""),ROWS($A$13:A378))),""),"")</f>
        <v/>
      </c>
      <c r="X378" s="339">
        <v>34474</v>
      </c>
      <c r="Y378" s="338" t="s">
        <v>329</v>
      </c>
      <c r="AA378" s="338">
        <v>107.02</v>
      </c>
      <c r="AB378" s="338" t="s">
        <v>289</v>
      </c>
      <c r="AG378" s="2297">
        <v>22.22</v>
      </c>
      <c r="AH378" s="2297" t="s">
        <v>276</v>
      </c>
      <c r="AI378" s="1390"/>
      <c r="AJ378" s="2282"/>
      <c r="AK378" s="2282"/>
      <c r="AL378" s="1037"/>
      <c r="AR378" s="338">
        <v>5.08</v>
      </c>
      <c r="AS378" s="338" t="s">
        <v>331</v>
      </c>
      <c r="AX378" s="340">
        <v>1105.01</v>
      </c>
      <c r="AY378" s="340" t="s">
        <v>289</v>
      </c>
      <c r="BC378" s="341" t="str">
        <f t="array" ref="BC378">IFERROR(IF($BC$11="Yes",INDEX($AX$13:$AX$2950,SMALL(IF((County=$AY$13:$AY$2950),MATCH(ROW($AY$13:$AY$2950),ROW($AY$13:$AY$2950)),""),ROWS($A$13:$A436))),""),"")</f>
        <v/>
      </c>
      <c r="BH378" s="338">
        <v>93.16</v>
      </c>
      <c r="BI378" s="338" t="s">
        <v>331</v>
      </c>
      <c r="BN378" s="340">
        <v>20.16</v>
      </c>
      <c r="BO378" s="340" t="s">
        <v>328</v>
      </c>
      <c r="BP378" s="1385"/>
      <c r="BQ378" s="1583">
        <v>32707</v>
      </c>
      <c r="BR378" s="236" t="s">
        <v>348</v>
      </c>
      <c r="BV378" s="338">
        <v>310.01</v>
      </c>
      <c r="BW378" s="338" t="s">
        <v>289</v>
      </c>
      <c r="CB378" s="340">
        <v>1103.6400000000001</v>
      </c>
      <c r="CC378" s="340" t="s">
        <v>289</v>
      </c>
      <c r="CE378" s="341" t="str">
        <f t="array" ref="CE378">IFERROR(IF($CE$11="Metro",INDEX($BV$13:$BV$4972,SMALL(IF((County=$BW$13:$BW$4972),MATCH(ROW($BW$13:$BW$4972),ROW($BW$13:$BW$4972)),""),ROWS($A$13:$A436))),INDEX($BY$13:$BY$212,SMALL(IF((County=$BZ$13:$BZ$212),MATCH(ROW($BZ$13:$BZ$212),ROW($BZ$13:$BZ$212)),""),ROWS($A$13:$A436)))),"")</f>
        <v/>
      </c>
      <c r="CG378" s="341" t="str">
        <f t="array" ref="CG378">IFERROR(IF($CG$11="Yes",INDEX($CB$13:$CB$2950,SMALL(IF((County=$CC$13:$CC$2950),MATCH(ROW($CC$13:$CC$2950),ROW($CC$13:$CC$2950)),""),ROWS($A$13:$A436))),""),"")</f>
        <v/>
      </c>
      <c r="CI378" s="1583">
        <v>34681</v>
      </c>
      <c r="CJ378" s="338" t="s">
        <v>342</v>
      </c>
      <c r="CL378" s="236">
        <v>10.02</v>
      </c>
      <c r="CM378" s="236" t="s">
        <v>328</v>
      </c>
      <c r="CR378" s="340">
        <v>20.18</v>
      </c>
      <c r="CS378" s="340" t="s">
        <v>328</v>
      </c>
      <c r="CT378" s="1384"/>
      <c r="CU378" s="341">
        <v>34293</v>
      </c>
      <c r="CV378" s="338" t="s">
        <v>347</v>
      </c>
      <c r="CZ378" s="1795">
        <v>402.1</v>
      </c>
      <c r="DA378" s="338" t="s">
        <v>323</v>
      </c>
      <c r="DF378" s="340">
        <v>104.01</v>
      </c>
      <c r="DG378" s="340" t="s">
        <v>294</v>
      </c>
      <c r="DK378" s="341" t="str">
        <f t="array" ref="DK378">IFERROR(IF($DK$11="Yes",INDEX($DF$13:$DF$2838,SMALL(IF((County=$DG$13:$DG$2838),MATCH(ROW($DG$13:$DG$2838),ROW($DG$13:$DG$2838)),""),ROWS($A$13:$A436))),""),"")</f>
        <v/>
      </c>
      <c r="DM378" s="1387">
        <v>34683</v>
      </c>
      <c r="DN378" s="338" t="s">
        <v>342</v>
      </c>
      <c r="DP378" s="236">
        <v>100.24</v>
      </c>
      <c r="DQ378" s="236" t="s">
        <v>331</v>
      </c>
      <c r="DV378" s="340">
        <v>22.07</v>
      </c>
      <c r="DW378" s="340" t="s">
        <v>276</v>
      </c>
      <c r="DX378" s="1671"/>
      <c r="EB378" s="618"/>
      <c r="EC378" s="618"/>
      <c r="ED378" s="618"/>
      <c r="EE378" s="618"/>
      <c r="EF378" s="618"/>
      <c r="EG378" s="618"/>
      <c r="EH378" s="618"/>
      <c r="EI378" s="618"/>
      <c r="EJ378" s="618"/>
      <c r="EK378" s="618"/>
      <c r="EL378" s="618"/>
      <c r="EM378" s="618"/>
    </row>
    <row r="379" spans="1:143">
      <c r="A379" s="339">
        <v>32714</v>
      </c>
      <c r="B379" s="338" t="s">
        <v>348</v>
      </c>
      <c r="F379" s="338">
        <v>17</v>
      </c>
      <c r="G379" s="338" t="s">
        <v>329</v>
      </c>
      <c r="L379" s="2481">
        <v>205.01</v>
      </c>
      <c r="M379" s="340" t="s">
        <v>294</v>
      </c>
      <c r="N379" s="1390"/>
      <c r="O379" s="2479"/>
      <c r="P379" s="2282"/>
      <c r="T379" s="341" t="str">
        <f t="array" ref="T379">IFERROR(IF($T$11="Yes",INDEX($L$13:$L$2813,SMALL(IF((County=$M$13:$M$2813),MATCH(ROW($M$13:$M$2813),ROW($M$13:$M$2813)),""),ROWS($A$13:A379))),""),"")</f>
        <v/>
      </c>
      <c r="V379" s="2283" t="str">
        <f t="array" ref="V379">IFERROR(IF($T$11="Yes",INDEX($O$14:$O$2811,SMALL(IF((County=$P$14:$P$2811),MATCH(ROW($P$14:$P$2811),ROW($P$14:$P$2811)),""),ROWS($A$13:A379))),""),"")</f>
        <v/>
      </c>
      <c r="X379" s="339">
        <v>34609</v>
      </c>
      <c r="Y379" s="338" t="s">
        <v>314</v>
      </c>
      <c r="AA379" s="338">
        <v>107.08</v>
      </c>
      <c r="AB379" s="338" t="s">
        <v>331</v>
      </c>
      <c r="AG379" s="2297">
        <v>23</v>
      </c>
      <c r="AH379" s="2297" t="s">
        <v>285</v>
      </c>
      <c r="AI379" s="1390"/>
      <c r="AJ379" s="2282"/>
      <c r="AK379" s="2282"/>
      <c r="AL379" s="1037"/>
      <c r="AR379" s="338">
        <v>5.09</v>
      </c>
      <c r="AS379" s="338" t="s">
        <v>331</v>
      </c>
      <c r="AX379" s="340">
        <v>1106</v>
      </c>
      <c r="AY379" s="340" t="s">
        <v>289</v>
      </c>
      <c r="BC379" s="341" t="str">
        <f t="array" ref="BC379">IFERROR(IF($BC$11="Yes",INDEX($AX$13:$AX$2950,SMALL(IF((County=$AY$13:$AY$2950),MATCH(ROW($AY$13:$AY$2950),ROW($AY$13:$AY$2950)),""),ROWS($A$13:$A437))),""),"")</f>
        <v/>
      </c>
      <c r="BH379" s="338">
        <v>93.17</v>
      </c>
      <c r="BI379" s="338" t="s">
        <v>331</v>
      </c>
      <c r="BN379" s="340">
        <v>20.16</v>
      </c>
      <c r="BO379" s="340" t="s">
        <v>347</v>
      </c>
      <c r="BP379" s="1385"/>
      <c r="BQ379" s="1583">
        <v>32708</v>
      </c>
      <c r="BR379" s="236" t="s">
        <v>348</v>
      </c>
      <c r="BV379" s="338">
        <v>310.02</v>
      </c>
      <c r="BW379" s="338" t="s">
        <v>289</v>
      </c>
      <c r="CB379" s="340">
        <v>1103.6500000000001</v>
      </c>
      <c r="CC379" s="340" t="s">
        <v>289</v>
      </c>
      <c r="CE379" s="341" t="str">
        <f t="array" ref="CE379">IFERROR(IF($CE$11="Metro",INDEX($BV$13:$BV$4972,SMALL(IF((County=$BW$13:$BW$4972),MATCH(ROW($BW$13:$BW$4972),ROW($BW$13:$BW$4972)),""),ROWS($A$13:$A437))),INDEX($BY$13:$BY$212,SMALL(IF((County=$BZ$13:$BZ$212),MATCH(ROW($BZ$13:$BZ$212),ROW($BZ$13:$BZ$212)),""),ROWS($A$13:$A437)))),"")</f>
        <v/>
      </c>
      <c r="CG379" s="341" t="str">
        <f t="array" ref="CG379">IFERROR(IF($CG$11="Yes",INDEX($CB$13:$CB$2950,SMALL(IF((County=$CC$13:$CC$2950),MATCH(ROW($CC$13:$CC$2950),ROW($CC$13:$CC$2950)),""),ROWS($A$13:$A437))),""),"")</f>
        <v/>
      </c>
      <c r="CI379" s="1583">
        <v>34683</v>
      </c>
      <c r="CJ379" s="338" t="s">
        <v>342</v>
      </c>
      <c r="CL379" s="236">
        <v>10.02</v>
      </c>
      <c r="CM379" s="236" t="s">
        <v>340</v>
      </c>
      <c r="CR379" s="340">
        <v>20.190000000000001</v>
      </c>
      <c r="CS379" s="340" t="s">
        <v>328</v>
      </c>
      <c r="CT379" s="1384"/>
      <c r="CU379" s="341">
        <v>32701</v>
      </c>
      <c r="CV379" s="338" t="s">
        <v>348</v>
      </c>
      <c r="CZ379" s="1795">
        <v>403.04</v>
      </c>
      <c r="DA379" s="338" t="s">
        <v>323</v>
      </c>
      <c r="DF379" s="340">
        <v>104.02</v>
      </c>
      <c r="DG379" s="340" t="s">
        <v>294</v>
      </c>
      <c r="DK379" s="341" t="str">
        <f t="array" ref="DK379">IFERROR(IF($DK$11="Yes",INDEX($DF$13:$DF$2838,SMALL(IF((County=$DG$13:$DG$2838),MATCH(ROW($DG$13:$DG$2838),ROW($DG$13:$DG$2838)),""),ROWS($A$13:$A437))),""),"")</f>
        <v/>
      </c>
      <c r="DM379" s="1387">
        <v>34684</v>
      </c>
      <c r="DN379" s="338" t="s">
        <v>342</v>
      </c>
      <c r="DP379" s="236">
        <v>100.25</v>
      </c>
      <c r="DQ379" s="236" t="s">
        <v>331</v>
      </c>
      <c r="DV379" s="340">
        <v>22.07</v>
      </c>
      <c r="DW379" s="340" t="s">
        <v>324</v>
      </c>
      <c r="DX379" s="1671"/>
      <c r="EB379" s="618"/>
      <c r="EC379" s="618"/>
      <c r="ED379" s="618"/>
      <c r="EE379" s="618"/>
      <c r="EF379" s="618"/>
      <c r="EG379" s="618"/>
      <c r="EH379" s="618"/>
      <c r="EI379" s="618"/>
      <c r="EJ379" s="618"/>
      <c r="EK379" s="618"/>
      <c r="EL379" s="618"/>
      <c r="EM379" s="618"/>
    </row>
    <row r="380" spans="1:143">
      <c r="A380" s="339">
        <v>32732</v>
      </c>
      <c r="B380" s="338" t="s">
        <v>348</v>
      </c>
      <c r="F380" s="338">
        <v>18</v>
      </c>
      <c r="G380" s="338" t="s">
        <v>329</v>
      </c>
      <c r="L380" s="2481">
        <v>209</v>
      </c>
      <c r="M380" s="340" t="s">
        <v>294</v>
      </c>
      <c r="N380" s="1390"/>
      <c r="O380" s="2479"/>
      <c r="P380" s="2282"/>
      <c r="T380" s="341" t="str">
        <f t="array" ref="T380">IFERROR(IF($T$11="Yes",INDEX($L$13:$L$2813,SMALL(IF((County=$M$13:$M$2813),MATCH(ROW($M$13:$M$2813),ROW($M$13:$M$2813)),""),ROWS($A$13:A380))),""),"")</f>
        <v/>
      </c>
      <c r="V380" s="2283" t="str">
        <f t="array" ref="V380">IFERROR(IF($T$11="Yes",INDEX($O$14:$O$2811,SMALL(IF((County=$P$14:$P$2811),MATCH(ROW($P$14:$P$2811),ROW($P$14:$P$2811)),""),ROWS($A$13:A380))),""),"")</f>
        <v/>
      </c>
      <c r="X380" s="339">
        <v>34637</v>
      </c>
      <c r="Y380" s="338" t="s">
        <v>341</v>
      </c>
      <c r="AA380" s="338">
        <v>108</v>
      </c>
      <c r="AB380" s="338" t="s">
        <v>302</v>
      </c>
      <c r="AG380" s="2297">
        <v>23</v>
      </c>
      <c r="AH380" s="2297" t="s">
        <v>302</v>
      </c>
      <c r="AI380" s="1390"/>
      <c r="AJ380" s="2282"/>
      <c r="AK380" s="2282"/>
      <c r="AL380" s="1037"/>
      <c r="AR380" s="338">
        <v>6.01</v>
      </c>
      <c r="AS380" s="338" t="s">
        <v>331</v>
      </c>
      <c r="AX380" s="340">
        <v>101</v>
      </c>
      <c r="AY380" s="340" t="s">
        <v>292</v>
      </c>
      <c r="BC380" s="341" t="str">
        <f t="array" ref="BC380">IFERROR(IF($BC$11="Yes",INDEX($AX$13:$AX$2950,SMALL(IF((County=$AY$13:$AY$2950),MATCH(ROW($AY$13:$AY$2950),ROW($AY$13:$AY$2950)),""),ROWS($A$13:$A438))),""),"")</f>
        <v/>
      </c>
      <c r="BH380" s="338">
        <v>93.2</v>
      </c>
      <c r="BI380" s="338" t="s">
        <v>331</v>
      </c>
      <c r="BN380" s="340">
        <v>20.170000000000002</v>
      </c>
      <c r="BO380" s="340" t="s">
        <v>328</v>
      </c>
      <c r="BP380" s="1385"/>
      <c r="BQ380" s="1583">
        <v>32714</v>
      </c>
      <c r="BR380" s="236" t="s">
        <v>348</v>
      </c>
      <c r="BV380" s="338">
        <v>311.01</v>
      </c>
      <c r="BW380" s="338" t="s">
        <v>289</v>
      </c>
      <c r="CB380" s="340">
        <v>1103.68</v>
      </c>
      <c r="CC380" s="340" t="s">
        <v>289</v>
      </c>
      <c r="CE380" s="341" t="str">
        <f t="array" ref="CE380">IFERROR(IF($CE$11="Metro",INDEX($BV$13:$BV$4972,SMALL(IF((County=$BW$13:$BW$4972),MATCH(ROW($BW$13:$BW$4972),ROW($BW$13:$BW$4972)),""),ROWS($A$13:$A438))),INDEX($BY$13:$BY$212,SMALL(IF((County=$BZ$13:$BZ$212),MATCH(ROW($BZ$13:$BZ$212),ROW($BZ$13:$BZ$212)),""),ROWS($A$13:$A438)))),"")</f>
        <v/>
      </c>
      <c r="CG380" s="341" t="str">
        <f t="array" ref="CG380">IFERROR(IF($CG$11="Yes",INDEX($CB$13:$CB$2950,SMALL(IF((County=$CC$13:$CC$2950),MATCH(ROW($CC$13:$CC$2950),ROW($CC$13:$CC$2950)),""),ROWS($A$13:$A438))),""),"")</f>
        <v/>
      </c>
      <c r="CI380" s="1583">
        <v>34684</v>
      </c>
      <c r="CJ380" s="338" t="s">
        <v>342</v>
      </c>
      <c r="CL380" s="236">
        <v>10.029999999999999</v>
      </c>
      <c r="CM380" s="236" t="s">
        <v>329</v>
      </c>
      <c r="CR380" s="340">
        <v>20.2</v>
      </c>
      <c r="CS380" s="340" t="s">
        <v>328</v>
      </c>
      <c r="CT380" s="1384"/>
      <c r="CU380" s="341">
        <v>32708</v>
      </c>
      <c r="CV380" s="338" t="s">
        <v>348</v>
      </c>
      <c r="CZ380" s="1795">
        <v>403.05</v>
      </c>
      <c r="DA380" s="338" t="s">
        <v>323</v>
      </c>
      <c r="DF380" s="340">
        <v>104.05</v>
      </c>
      <c r="DG380" s="340" t="s">
        <v>294</v>
      </c>
      <c r="DK380" s="341" t="str">
        <f t="array" ref="DK380">IFERROR(IF($DK$11="Yes",INDEX($DF$13:$DF$2838,SMALL(IF((County=$DG$13:$DG$2838),MATCH(ROW($DG$13:$DG$2838),ROW($DG$13:$DG$2838)),""),ROWS($A$13:$A438))),""),"")</f>
        <v/>
      </c>
      <c r="DM380" s="1387">
        <v>34685</v>
      </c>
      <c r="DN380" s="338" t="s">
        <v>342</v>
      </c>
      <c r="DP380" s="236">
        <v>100.26</v>
      </c>
      <c r="DQ380" s="236" t="s">
        <v>331</v>
      </c>
      <c r="DV380" s="340">
        <v>22.08</v>
      </c>
      <c r="DW380" s="340" t="s">
        <v>276</v>
      </c>
      <c r="DX380" s="1671"/>
      <c r="EB380" s="618"/>
      <c r="EC380" s="618"/>
      <c r="ED380" s="618"/>
      <c r="EE380" s="618"/>
      <c r="EF380" s="618"/>
      <c r="EG380" s="618"/>
      <c r="EH380" s="618"/>
      <c r="EI380" s="618"/>
      <c r="EJ380" s="618"/>
      <c r="EK380" s="618"/>
      <c r="EL380" s="618"/>
      <c r="EM380" s="618"/>
    </row>
    <row r="381" spans="1:143">
      <c r="A381" s="339">
        <v>32746</v>
      </c>
      <c r="B381" s="338" t="s">
        <v>348</v>
      </c>
      <c r="F381" s="338">
        <v>14.07</v>
      </c>
      <c r="G381" s="338" t="s">
        <v>330</v>
      </c>
      <c r="L381" s="2481">
        <v>210.01</v>
      </c>
      <c r="M381" s="340" t="s">
        <v>294</v>
      </c>
      <c r="N381" s="1390"/>
      <c r="O381" s="2479"/>
      <c r="P381" s="2282"/>
      <c r="T381" s="341" t="str">
        <f t="array" ref="T381">IFERROR(IF($T$11="Yes",INDEX($L$13:$L$2813,SMALL(IF((County=$M$13:$M$2813),MATCH(ROW($M$13:$M$2813),ROW($M$13:$M$2813)),""),ROWS($A$13:A381))),""),"")</f>
        <v/>
      </c>
      <c r="V381" s="2283" t="str">
        <f t="array" ref="V381">IFERROR(IF($T$11="Yes",INDEX($O$14:$O$2811,SMALL(IF((County=$P$14:$P$2811),MATCH(ROW($P$14:$P$2811),ROW($P$14:$P$2811)),""),ROWS($A$13:A381))),""),"")</f>
        <v/>
      </c>
      <c r="X381" s="339">
        <v>34638</v>
      </c>
      <c r="Y381" s="338" t="s">
        <v>341</v>
      </c>
      <c r="AA381" s="338">
        <v>108</v>
      </c>
      <c r="AB381" s="338" t="s">
        <v>344</v>
      </c>
      <c r="AG381" s="2297">
        <v>23</v>
      </c>
      <c r="AH381" s="2297" t="s">
        <v>304</v>
      </c>
      <c r="AI381" s="1390"/>
      <c r="AJ381" s="2282"/>
      <c r="AK381" s="2282"/>
      <c r="AL381" s="1037"/>
      <c r="AR381" s="338">
        <v>6.03</v>
      </c>
      <c r="AS381" s="338" t="s">
        <v>331</v>
      </c>
      <c r="AX381" s="340">
        <v>102</v>
      </c>
      <c r="AY381" s="340" t="s">
        <v>292</v>
      </c>
      <c r="BC381" s="341" t="str">
        <f t="array" ref="BC381">IFERROR(IF($BC$11="Yes",INDEX($AX$13:$AX$2950,SMALL(IF((County=$AY$13:$AY$2950),MATCH(ROW($AY$13:$AY$2950),ROW($AY$13:$AY$2950)),""),ROWS($A$13:$A439))),""),"")</f>
        <v/>
      </c>
      <c r="BH381" s="338">
        <v>93.21</v>
      </c>
      <c r="BI381" s="338" t="s">
        <v>331</v>
      </c>
      <c r="BN381" s="340">
        <v>20.18</v>
      </c>
      <c r="BO381" s="340" t="s">
        <v>328</v>
      </c>
      <c r="BP381" s="1385"/>
      <c r="BQ381" s="1583">
        <v>32732</v>
      </c>
      <c r="BR381" s="236" t="s">
        <v>348</v>
      </c>
      <c r="BV381" s="338">
        <v>311.02</v>
      </c>
      <c r="BW381" s="338" t="s">
        <v>289</v>
      </c>
      <c r="CB381" s="340">
        <v>1104.02</v>
      </c>
      <c r="CC381" s="340" t="s">
        <v>289</v>
      </c>
      <c r="CE381" s="341" t="str">
        <f t="array" ref="CE381">IFERROR(IF($CE$11="Metro",INDEX($BV$13:$BV$4972,SMALL(IF((County=$BW$13:$BW$4972),MATCH(ROW($BW$13:$BW$4972),ROW($BW$13:$BW$4972)),""),ROWS($A$13:$A439))),INDEX($BY$13:$BY$212,SMALL(IF((County=$BZ$13:$BZ$212),MATCH(ROW($BZ$13:$BZ$212),ROW($BZ$13:$BZ$212)),""),ROWS($A$13:$A439)))),"")</f>
        <v/>
      </c>
      <c r="CG381" s="341" t="str">
        <f t="array" ref="CG381">IFERROR(IF($CG$11="Yes",INDEX($CB$13:$CB$2950,SMALL(IF((County=$CC$13:$CC$2950),MATCH(ROW($CC$13:$CC$2950),ROW($CC$13:$CC$2950)),""),ROWS($A$13:$A439))),""),"")</f>
        <v/>
      </c>
      <c r="CI381" s="1583">
        <v>34685</v>
      </c>
      <c r="CJ381" s="338" t="s">
        <v>342</v>
      </c>
      <c r="CL381" s="236">
        <v>10.029999999999999</v>
      </c>
      <c r="CM381" s="236" t="s">
        <v>331</v>
      </c>
      <c r="CR381" s="340">
        <v>20.21</v>
      </c>
      <c r="CS381" s="340" t="s">
        <v>328</v>
      </c>
      <c r="CT381" s="1384"/>
      <c r="CU381" s="341">
        <v>32714</v>
      </c>
      <c r="CV381" s="338" t="s">
        <v>348</v>
      </c>
      <c r="CZ381" s="1795">
        <v>403.11</v>
      </c>
      <c r="DA381" s="338" t="s">
        <v>323</v>
      </c>
      <c r="DF381" s="340">
        <v>105.03</v>
      </c>
      <c r="DG381" s="340" t="s">
        <v>294</v>
      </c>
      <c r="DK381" s="341" t="str">
        <f t="array" ref="DK381">IFERROR(IF($DK$11="Yes",INDEX($DF$13:$DF$2838,SMALL(IF((County=$DG$13:$DG$2838),MATCH(ROW($DG$13:$DG$2838),ROW($DG$13:$DG$2838)),""),ROWS($A$13:$A439))),""),"")</f>
        <v/>
      </c>
      <c r="DM381" s="1387">
        <v>34688</v>
      </c>
      <c r="DN381" s="338" t="s">
        <v>342</v>
      </c>
      <c r="DP381" s="236">
        <v>101.07</v>
      </c>
      <c r="DQ381" s="236" t="s">
        <v>316</v>
      </c>
      <c r="DV381" s="340">
        <v>22.08</v>
      </c>
      <c r="DW381" s="340" t="s">
        <v>324</v>
      </c>
      <c r="DX381" s="1671"/>
      <c r="EB381" s="618"/>
      <c r="EC381" s="618"/>
      <c r="ED381" s="618"/>
      <c r="EE381" s="618"/>
      <c r="EF381" s="618"/>
      <c r="EG381" s="618"/>
      <c r="EH381" s="618"/>
      <c r="EI381" s="618"/>
      <c r="EJ381" s="618"/>
      <c r="EK381" s="618"/>
      <c r="EL381" s="618"/>
      <c r="EM381" s="618"/>
    </row>
    <row r="382" spans="1:143">
      <c r="A382" s="339">
        <v>32765</v>
      </c>
      <c r="B382" s="338" t="s">
        <v>348</v>
      </c>
      <c r="F382" s="338">
        <v>18.04</v>
      </c>
      <c r="G382" s="338" t="s">
        <v>330</v>
      </c>
      <c r="L382" s="2481">
        <v>210.02</v>
      </c>
      <c r="M382" s="340" t="s">
        <v>294</v>
      </c>
      <c r="N382" s="1390"/>
      <c r="O382" s="2479"/>
      <c r="P382" s="2282"/>
      <c r="T382" s="341" t="str">
        <f t="array" ref="T382">IFERROR(IF($T$11="Yes",INDEX($L$13:$L$2813,SMALL(IF((County=$M$13:$M$2813),MATCH(ROW($M$13:$M$2813),ROW($M$13:$M$2813)),""),ROWS($A$13:A382))),""),"")</f>
        <v/>
      </c>
      <c r="V382" s="2283" t="str">
        <f t="array" ref="V382">IFERROR(IF($T$11="Yes",INDEX($O$14:$O$2811,SMALL(IF((County=$P$14:$P$2811),MATCH(ROW($P$14:$P$2811),ROW($P$14:$P$2811)),""),ROWS($A$13:A382))),""),"")</f>
        <v/>
      </c>
      <c r="X382" s="339">
        <v>34639</v>
      </c>
      <c r="Y382" s="338" t="s">
        <v>341</v>
      </c>
      <c r="AA382" s="338">
        <v>108.04</v>
      </c>
      <c r="AB382" s="338" t="s">
        <v>297</v>
      </c>
      <c r="AG382" s="2297">
        <v>23</v>
      </c>
      <c r="AH382" s="2297" t="s">
        <v>316</v>
      </c>
      <c r="AI382" s="1390"/>
      <c r="AJ382" s="2282"/>
      <c r="AK382" s="2282"/>
      <c r="AL382" s="1037"/>
      <c r="AR382" s="338">
        <v>6.07</v>
      </c>
      <c r="AS382" s="338" t="s">
        <v>331</v>
      </c>
      <c r="AX382" s="340">
        <v>103.01</v>
      </c>
      <c r="AY382" s="340" t="s">
        <v>292</v>
      </c>
      <c r="BC382" s="341" t="str">
        <f t="array" ref="BC382">IFERROR(IF($BC$11="Yes",INDEX($AX$13:$AX$2950,SMALL(IF((County=$AY$13:$AY$2950),MATCH(ROW($AY$13:$AY$2950),ROW($AY$13:$AY$2950)),""),ROWS($A$13:$A440))),""),"")</f>
        <v/>
      </c>
      <c r="BH382" s="338">
        <v>93.22</v>
      </c>
      <c r="BI382" s="338" t="s">
        <v>331</v>
      </c>
      <c r="BN382" s="340">
        <v>20.190000000000001</v>
      </c>
      <c r="BO382" s="340" t="s">
        <v>328</v>
      </c>
      <c r="BP382" s="1385"/>
      <c r="BQ382" s="1583">
        <v>32746</v>
      </c>
      <c r="BR382" s="236" t="s">
        <v>348</v>
      </c>
      <c r="BV382" s="338">
        <v>312.02999999999997</v>
      </c>
      <c r="BW382" s="338" t="s">
        <v>289</v>
      </c>
      <c r="CB382" s="340">
        <v>1105.01</v>
      </c>
      <c r="CC382" s="340" t="s">
        <v>289</v>
      </c>
      <c r="CE382" s="341" t="str">
        <f t="array" ref="CE382">IFERROR(IF($CE$11="Metro",INDEX($BV$13:$BV$4972,SMALL(IF((County=$BW$13:$BW$4972),MATCH(ROW($BW$13:$BW$4972),ROW($BW$13:$BW$4972)),""),ROWS($A$13:$A440))),INDEX($BY$13:$BY$212,SMALL(IF((County=$BZ$13:$BZ$212),MATCH(ROW($BZ$13:$BZ$212),ROW($BZ$13:$BZ$212)),""),ROWS($A$13:$A440)))),"")</f>
        <v/>
      </c>
      <c r="CG382" s="341" t="str">
        <f t="array" ref="CG382">IFERROR(IF($CG$11="Yes",INDEX($CB$13:$CB$2950,SMALL(IF((County=$CC$13:$CC$2950),MATCH(ROW($CC$13:$CC$2950),ROW($CC$13:$CC$2950)),""),ROWS($A$13:$A440))),""),"")</f>
        <v/>
      </c>
      <c r="CI382" s="1583">
        <v>34688</v>
      </c>
      <c r="CJ382" s="338" t="s">
        <v>342</v>
      </c>
      <c r="CL382" s="236">
        <v>10.029999999999999</v>
      </c>
      <c r="CM382" s="236" t="s">
        <v>340</v>
      </c>
      <c r="CR382" s="340">
        <v>20.22</v>
      </c>
      <c r="CS382" s="340" t="s">
        <v>328</v>
      </c>
      <c r="CT382" s="1384"/>
      <c r="CU382" s="341">
        <v>32732</v>
      </c>
      <c r="CV382" s="338" t="s">
        <v>348</v>
      </c>
      <c r="CZ382" s="1795">
        <v>702.02</v>
      </c>
      <c r="DA382" s="338" t="s">
        <v>323</v>
      </c>
      <c r="DF382" s="340">
        <v>105.05</v>
      </c>
      <c r="DG382" s="340" t="s">
        <v>294</v>
      </c>
      <c r="DK382" s="341" t="str">
        <f t="array" ref="DK382">IFERROR(IF($DK$11="Yes",INDEX($DF$13:$DF$2838,SMALL(IF((County=$DG$13:$DG$2838),MATCH(ROW($DG$13:$DG$2838),ROW($DG$13:$DG$2838)),""),ROWS($A$13:$A440))),""),"")</f>
        <v/>
      </c>
      <c r="DM382" s="1387">
        <v>34695</v>
      </c>
      <c r="DN382" s="338" t="s">
        <v>342</v>
      </c>
      <c r="DP382" s="236">
        <v>102</v>
      </c>
      <c r="DQ382" s="236" t="s">
        <v>2580</v>
      </c>
      <c r="DV382" s="340">
        <v>22.09</v>
      </c>
      <c r="DW382" s="340" t="s">
        <v>276</v>
      </c>
      <c r="DX382" s="1671"/>
      <c r="EB382" s="618"/>
      <c r="EC382" s="618"/>
      <c r="ED382" s="618"/>
      <c r="EE382" s="618"/>
      <c r="EF382" s="618"/>
      <c r="EG382" s="618"/>
      <c r="EH382" s="618"/>
      <c r="EI382" s="618"/>
      <c r="EJ382" s="618"/>
      <c r="EK382" s="618"/>
      <c r="EL382" s="618"/>
      <c r="EM382" s="618"/>
    </row>
    <row r="383" spans="1:143">
      <c r="A383" s="339">
        <v>32766</v>
      </c>
      <c r="B383" s="338" t="s">
        <v>348</v>
      </c>
      <c r="F383" s="338">
        <v>18.05</v>
      </c>
      <c r="G383" s="338" t="s">
        <v>330</v>
      </c>
      <c r="L383" s="2481">
        <v>302.01</v>
      </c>
      <c r="M383" s="340" t="s">
        <v>294</v>
      </c>
      <c r="N383" s="1390"/>
      <c r="O383" s="2479"/>
      <c r="P383" s="2282"/>
      <c r="T383" s="341" t="str">
        <f t="array" ref="T383">IFERROR(IF($T$11="Yes",INDEX($L$13:$L$2813,SMALL(IF((County=$M$13:$M$2813),MATCH(ROW($M$13:$M$2813),ROW($M$13:$M$2813)),""),ROWS($A$13:A383))),""),"")</f>
        <v/>
      </c>
      <c r="V383" s="2283" t="str">
        <f t="array" ref="V383">IFERROR(IF($T$11="Yes",INDEX($O$14:$O$2811,SMALL(IF((County=$P$14:$P$2811),MATCH(ROW($P$14:$P$2811),ROW($P$14:$P$2811)),""),ROWS($A$13:A383))),""),"")</f>
        <v/>
      </c>
      <c r="X383" s="339">
        <v>34654</v>
      </c>
      <c r="Y383" s="338" t="s">
        <v>341</v>
      </c>
      <c r="AA383" s="338">
        <v>108.04</v>
      </c>
      <c r="AB383" s="338" t="s">
        <v>331</v>
      </c>
      <c r="AG383" s="2297">
        <v>23.02</v>
      </c>
      <c r="AH383" s="2297" t="s">
        <v>324</v>
      </c>
      <c r="AI383" s="1390"/>
      <c r="AJ383" s="2282"/>
      <c r="AK383" s="2282"/>
      <c r="AL383" s="1037"/>
      <c r="AR383" s="338">
        <v>6.09</v>
      </c>
      <c r="AS383" s="338" t="s">
        <v>331</v>
      </c>
      <c r="AX383" s="340">
        <v>103.01</v>
      </c>
      <c r="AY383" s="340" t="s">
        <v>294</v>
      </c>
      <c r="BC383" s="341" t="str">
        <f t="array" ref="BC383">IFERROR(IF($BC$11="Yes",INDEX($AX$13:$AX$2950,SMALL(IF((County=$AY$13:$AY$2950),MATCH(ROW($AY$13:$AY$2950),ROW($AY$13:$AY$2950)),""),ROWS($A$13:$A441))),""),"")</f>
        <v/>
      </c>
      <c r="BH383" s="338">
        <v>93.23</v>
      </c>
      <c r="BI383" s="338" t="s">
        <v>331</v>
      </c>
      <c r="BN383" s="340">
        <v>20.2</v>
      </c>
      <c r="BO383" s="340" t="s">
        <v>328</v>
      </c>
      <c r="BP383" s="1385"/>
      <c r="BQ383" s="1583">
        <v>32750</v>
      </c>
      <c r="BR383" s="236" t="s">
        <v>348</v>
      </c>
      <c r="BV383" s="338">
        <v>312.04000000000002</v>
      </c>
      <c r="BW383" s="338" t="s">
        <v>289</v>
      </c>
      <c r="CB383" s="340">
        <v>1106</v>
      </c>
      <c r="CC383" s="340" t="s">
        <v>289</v>
      </c>
      <c r="CE383" s="341" t="str">
        <f t="array" ref="CE383">IFERROR(IF($CE$11="Metro",INDEX($BV$13:$BV$4972,SMALL(IF((County=$BW$13:$BW$4972),MATCH(ROW($BW$13:$BW$4972),ROW($BW$13:$BW$4972)),""),ROWS($A$13:$A441))),INDEX($BY$13:$BY$212,SMALL(IF((County=$BZ$13:$BZ$212),MATCH(ROW($BZ$13:$BZ$212),ROW($BZ$13:$BZ$212)),""),ROWS($A$13:$A441)))),"")</f>
        <v/>
      </c>
      <c r="CG383" s="341" t="str">
        <f t="array" ref="CG383">IFERROR(IF($CG$11="Yes",INDEX($CB$13:$CB$2950,SMALL(IF((County=$CC$13:$CC$2950),MATCH(ROW($CC$13:$CC$2950),ROW($CC$13:$CC$2950)),""),ROWS($A$13:$A441))),""),"")</f>
        <v/>
      </c>
      <c r="CI383" s="1583">
        <v>34695</v>
      </c>
      <c r="CJ383" s="338" t="s">
        <v>342</v>
      </c>
      <c r="CL383" s="236">
        <v>10.039999999999999</v>
      </c>
      <c r="CM383" s="236" t="s">
        <v>331</v>
      </c>
      <c r="CR383" s="340">
        <v>20.23</v>
      </c>
      <c r="CS383" s="340" t="s">
        <v>328</v>
      </c>
      <c r="CT383" s="1384"/>
      <c r="CU383" s="341">
        <v>32746</v>
      </c>
      <c r="CV383" s="338" t="s">
        <v>348</v>
      </c>
      <c r="CZ383" s="1795">
        <v>5.0199999999999996</v>
      </c>
      <c r="DA383" s="338" t="s">
        <v>324</v>
      </c>
      <c r="DF383" s="340">
        <v>105.06</v>
      </c>
      <c r="DG383" s="340" t="s">
        <v>294</v>
      </c>
      <c r="DK383" s="341" t="str">
        <f t="array" ref="DK383">IFERROR(IF($DK$11="Yes",INDEX($DF$13:$DF$2838,SMALL(IF((County=$DG$13:$DG$2838),MATCH(ROW($DG$13:$DG$2838),ROW($DG$13:$DG$2838)),""),ROWS($A$13:$A441))),""),"")</f>
        <v/>
      </c>
      <c r="DM383" s="1387">
        <v>34698</v>
      </c>
      <c r="DN383" s="338" t="s">
        <v>342</v>
      </c>
      <c r="DP383" s="236">
        <v>102.03</v>
      </c>
      <c r="DQ383" s="236" t="s">
        <v>316</v>
      </c>
      <c r="DV383" s="340">
        <v>22.19</v>
      </c>
      <c r="DW383" s="340" t="s">
        <v>276</v>
      </c>
      <c r="DX383" s="1671"/>
      <c r="EB383" s="618"/>
      <c r="EC383" s="618"/>
      <c r="ED383" s="618"/>
      <c r="EE383" s="618"/>
      <c r="EF383" s="618"/>
      <c r="EG383" s="618"/>
      <c r="EH383" s="618"/>
      <c r="EI383" s="618"/>
      <c r="EJ383" s="618"/>
      <c r="EK383" s="618"/>
      <c r="EL383" s="618"/>
      <c r="EM383" s="618"/>
    </row>
    <row r="384" spans="1:143">
      <c r="A384" s="339">
        <v>32779</v>
      </c>
      <c r="B384" s="338" t="s">
        <v>348</v>
      </c>
      <c r="F384" s="338">
        <v>1.0900000000000001</v>
      </c>
      <c r="G384" s="338" t="s">
        <v>331</v>
      </c>
      <c r="L384" s="2481">
        <v>302.02</v>
      </c>
      <c r="M384" s="340" t="s">
        <v>294</v>
      </c>
      <c r="N384" s="1390"/>
      <c r="O384" s="2479"/>
      <c r="P384" s="2282"/>
      <c r="T384" s="341" t="str">
        <f t="array" ref="T384">IFERROR(IF($T$11="Yes",INDEX($L$13:$L$2813,SMALL(IF((County=$M$13:$M$2813),MATCH(ROW($M$13:$M$2813),ROW($M$13:$M$2813)),""),ROWS($A$13:A384))),""),"")</f>
        <v/>
      </c>
      <c r="V384" s="2283" t="str">
        <f t="array" ref="V384">IFERROR(IF($T$11="Yes",INDEX($O$14:$O$2811,SMALL(IF((County=$P$14:$P$2811),MATCH(ROW($P$14:$P$2811),ROW($P$14:$P$2811)),""),ROWS($A$13:A384))),""),"")</f>
        <v/>
      </c>
      <c r="X384" s="339">
        <v>34655</v>
      </c>
      <c r="Y384" s="338" t="s">
        <v>341</v>
      </c>
      <c r="AA384" s="338">
        <v>108.05</v>
      </c>
      <c r="AB384" s="338" t="s">
        <v>316</v>
      </c>
      <c r="AG384" s="2297">
        <v>23.02</v>
      </c>
      <c r="AH384" s="2297" t="s">
        <v>329</v>
      </c>
      <c r="AI384" s="1390"/>
      <c r="AJ384" s="2282"/>
      <c r="AK384" s="2282"/>
      <c r="AL384" s="1037"/>
      <c r="AR384" s="338">
        <v>6.1</v>
      </c>
      <c r="AS384" s="338" t="s">
        <v>331</v>
      </c>
      <c r="AX384" s="340">
        <v>104.01</v>
      </c>
      <c r="AY384" s="340" t="s">
        <v>294</v>
      </c>
      <c r="BC384" s="341" t="str">
        <f t="array" ref="BC384">IFERROR(IF($BC$11="Yes",INDEX($AX$13:$AX$2950,SMALL(IF((County=$AY$13:$AY$2950),MATCH(ROW($AY$13:$AY$2950),ROW($AY$13:$AY$2950)),""),ROWS($A$13:$A442))),""),"")</f>
        <v/>
      </c>
      <c r="BH384" s="338">
        <v>93.24</v>
      </c>
      <c r="BI384" s="338" t="s">
        <v>331</v>
      </c>
      <c r="BN384" s="340">
        <v>20.21</v>
      </c>
      <c r="BO384" s="340" t="s">
        <v>328</v>
      </c>
      <c r="BP384" s="1385"/>
      <c r="BQ384" s="1583">
        <v>32765</v>
      </c>
      <c r="BR384" s="236" t="s">
        <v>348</v>
      </c>
      <c r="BV384" s="338">
        <v>312.05</v>
      </c>
      <c r="BW384" s="338" t="s">
        <v>289</v>
      </c>
      <c r="CB384" s="340">
        <v>101</v>
      </c>
      <c r="CC384" s="340" t="s">
        <v>292</v>
      </c>
      <c r="CE384" s="341" t="str">
        <f t="array" ref="CE384">IFERROR(IF($CE$11="Metro",INDEX($BV$13:$BV$4972,SMALL(IF((County=$BW$13:$BW$4972),MATCH(ROW($BW$13:$BW$4972),ROW($BW$13:$BW$4972)),""),ROWS($A$13:$A442))),INDEX($BY$13:$BY$212,SMALL(IF((County=$BZ$13:$BZ$212),MATCH(ROW($BZ$13:$BZ$212),ROW($BZ$13:$BZ$212)),""),ROWS($A$13:$A442)))),"")</f>
        <v/>
      </c>
      <c r="CG384" s="341" t="str">
        <f t="array" ref="CG384">IFERROR(IF($CG$11="Yes",INDEX($CB$13:$CB$2950,SMALL(IF((County=$CC$13:$CC$2950),MATCH(ROW($CC$13:$CC$2950),ROW($CC$13:$CC$2950)),""),ROWS($A$13:$A442))),""),"")</f>
        <v/>
      </c>
      <c r="CI384" s="1583">
        <v>34698</v>
      </c>
      <c r="CJ384" s="338" t="s">
        <v>342</v>
      </c>
      <c r="CL384" s="236">
        <v>10.039999999999999</v>
      </c>
      <c r="CM384" s="236" t="s">
        <v>340</v>
      </c>
      <c r="CR384" s="340">
        <v>20.239999999999998</v>
      </c>
      <c r="CS384" s="340" t="s">
        <v>328</v>
      </c>
      <c r="CT384" s="1384"/>
      <c r="CU384" s="341">
        <v>32750</v>
      </c>
      <c r="CV384" s="338" t="s">
        <v>348</v>
      </c>
      <c r="CZ384" s="1795">
        <v>6</v>
      </c>
      <c r="DA384" s="338" t="s">
        <v>324</v>
      </c>
      <c r="DF384" s="340">
        <v>201.03</v>
      </c>
      <c r="DG384" s="340" t="s">
        <v>294</v>
      </c>
      <c r="DK384" s="341" t="str">
        <f t="array" ref="DK384">IFERROR(IF($DK$11="Yes",INDEX($DF$13:$DF$2838,SMALL(IF((County=$DG$13:$DG$2838),MATCH(ROW($DG$13:$DG$2838),ROW($DG$13:$DG$2838)),""),ROWS($A$13:$A442))),""),"")</f>
        <v/>
      </c>
      <c r="DM384" s="1387">
        <v>34711</v>
      </c>
      <c r="DN384" s="338" t="s">
        <v>322</v>
      </c>
      <c r="DP384" s="236">
        <v>102.04</v>
      </c>
      <c r="DQ384" s="236" t="s">
        <v>316</v>
      </c>
      <c r="DV384" s="340">
        <v>22.21</v>
      </c>
      <c r="DW384" s="340" t="s">
        <v>276</v>
      </c>
      <c r="DX384" s="1671"/>
      <c r="EB384" s="618"/>
      <c r="EC384" s="618"/>
      <c r="ED384" s="618"/>
      <c r="EE384" s="618"/>
      <c r="EF384" s="618"/>
      <c r="EG384" s="618"/>
      <c r="EH384" s="618"/>
      <c r="EI384" s="618"/>
      <c r="EJ384" s="618"/>
      <c r="EK384" s="618"/>
      <c r="EL384" s="618"/>
      <c r="EM384" s="618"/>
    </row>
    <row r="385" spans="1:143">
      <c r="A385" s="339">
        <v>32033</v>
      </c>
      <c r="B385" s="338" t="s">
        <v>349</v>
      </c>
      <c r="F385" s="338">
        <v>1.26</v>
      </c>
      <c r="G385" s="338" t="s">
        <v>331</v>
      </c>
      <c r="L385" s="2481">
        <v>303.01</v>
      </c>
      <c r="M385" s="340" t="s">
        <v>294</v>
      </c>
      <c r="N385" s="1390"/>
      <c r="O385" s="2479"/>
      <c r="P385" s="2282"/>
      <c r="T385" s="341" t="str">
        <f t="array" ref="T385">IFERROR(IF($T$11="Yes",INDEX($L$13:$L$2813,SMALL(IF((County=$M$13:$M$2813),MATCH(ROW($M$13:$M$2813),ROW($M$13:$M$2813)),""),ROWS($A$13:A385))),""),"")</f>
        <v/>
      </c>
      <c r="V385" s="2283" t="str">
        <f t="array" ref="V385">IFERROR(IF($T$11="Yes",INDEX($O$14:$O$2811,SMALL(IF((County=$P$14:$P$2811),MATCH(ROW($P$14:$P$2811),ROW($P$14:$P$2811)),""),ROWS($A$13:A385))),""),"")</f>
        <v/>
      </c>
      <c r="X385" s="339">
        <v>34677</v>
      </c>
      <c r="Y385" s="338" t="s">
        <v>342</v>
      </c>
      <c r="AA385" s="338">
        <v>108.05</v>
      </c>
      <c r="AB385" s="338" t="s">
        <v>331</v>
      </c>
      <c r="AG385" s="2297">
        <v>23.03</v>
      </c>
      <c r="AH385" s="2297" t="s">
        <v>324</v>
      </c>
      <c r="AI385" s="1390"/>
      <c r="AJ385" s="2282"/>
      <c r="AK385" s="2282"/>
      <c r="AL385" s="1037"/>
      <c r="AR385" s="338">
        <v>6.11</v>
      </c>
      <c r="AS385" s="338" t="s">
        <v>331</v>
      </c>
      <c r="AX385" s="340">
        <v>104.02</v>
      </c>
      <c r="AY385" s="340" t="s">
        <v>294</v>
      </c>
      <c r="BC385" s="341" t="str">
        <f t="array" ref="BC385">IFERROR(IF($BC$11="Yes",INDEX($AX$13:$AX$2950,SMALL(IF((County=$AY$13:$AY$2950),MATCH(ROW($AY$13:$AY$2950),ROW($AY$13:$AY$2950)),""),ROWS($A$13:$A443))),""),"")</f>
        <v/>
      </c>
      <c r="BH385" s="338">
        <v>93.25</v>
      </c>
      <c r="BI385" s="338" t="s">
        <v>331</v>
      </c>
      <c r="BN385" s="340">
        <v>20.22</v>
      </c>
      <c r="BO385" s="340" t="s">
        <v>328</v>
      </c>
      <c r="BP385" s="1385"/>
      <c r="BQ385" s="1583">
        <v>32766</v>
      </c>
      <c r="BR385" s="236" t="s">
        <v>348</v>
      </c>
      <c r="BV385" s="338">
        <v>312.06</v>
      </c>
      <c r="BW385" s="338" t="s">
        <v>289</v>
      </c>
      <c r="CB385" s="340">
        <v>102</v>
      </c>
      <c r="CC385" s="340" t="s">
        <v>292</v>
      </c>
      <c r="CE385" s="341" t="str">
        <f t="array" ref="CE385">IFERROR(IF($CE$11="Metro",INDEX($BV$13:$BV$4972,SMALL(IF((County=$BW$13:$BW$4972),MATCH(ROW($BW$13:$BW$4972),ROW($BW$13:$BW$4972)),""),ROWS($A$13:$A443))),INDEX($BY$13:$BY$212,SMALL(IF((County=$BZ$13:$BZ$212),MATCH(ROW($BZ$13:$BZ$212),ROW($BZ$13:$BZ$212)),""),ROWS($A$13:$A443)))),"")</f>
        <v/>
      </c>
      <c r="CG385" s="341" t="str">
        <f t="array" ref="CG385">IFERROR(IF($CG$11="Yes",INDEX($CB$13:$CB$2950,SMALL(IF((County=$CC$13:$CC$2950),MATCH(ROW($CC$13:$CC$2950),ROW($CC$13:$CC$2950)),""),ROWS($A$13:$A443))),""),"")</f>
        <v/>
      </c>
      <c r="CI385" s="1583">
        <v>34711</v>
      </c>
      <c r="CJ385" s="338" t="s">
        <v>322</v>
      </c>
      <c r="CL385" s="236">
        <v>10.050000000000001</v>
      </c>
      <c r="CM385" s="236" t="s">
        <v>329</v>
      </c>
      <c r="CR385" s="340">
        <v>20.25</v>
      </c>
      <c r="CS385" s="340" t="s">
        <v>328</v>
      </c>
      <c r="CT385" s="1384"/>
      <c r="CU385" s="341">
        <v>32765</v>
      </c>
      <c r="CV385" s="338" t="s">
        <v>348</v>
      </c>
      <c r="CZ385" s="1795">
        <v>10.01</v>
      </c>
      <c r="DA385" s="338" t="s">
        <v>324</v>
      </c>
      <c r="DF385" s="340">
        <v>202.04</v>
      </c>
      <c r="DG385" s="340" t="s">
        <v>294</v>
      </c>
      <c r="DK385" s="341" t="str">
        <f t="array" ref="DK385">IFERROR(IF($DK$11="Yes",INDEX($DF$13:$DF$2838,SMALL(IF((County=$DG$13:$DG$2838),MATCH(ROW($DG$13:$DG$2838),ROW($DG$13:$DG$2838)),""),ROWS($A$13:$A443))),""),"")</f>
        <v/>
      </c>
      <c r="DM385" s="1387">
        <v>34714</v>
      </c>
      <c r="DN385" s="338" t="str">
        <f>IF(County="Polk","Polk","Orange")</f>
        <v>Orange</v>
      </c>
      <c r="DP385" s="236">
        <v>102.07</v>
      </c>
      <c r="DQ385" s="236" t="s">
        <v>331</v>
      </c>
      <c r="DV385" s="340">
        <v>22.22</v>
      </c>
      <c r="DW385" s="340" t="s">
        <v>276</v>
      </c>
      <c r="DX385" s="1671"/>
      <c r="EB385" s="618"/>
      <c r="EC385" s="618"/>
      <c r="ED385" s="618"/>
      <c r="EE385" s="618"/>
      <c r="EF385" s="618"/>
      <c r="EG385" s="618"/>
      <c r="EH385" s="618"/>
      <c r="EI385" s="618"/>
      <c r="EJ385" s="618"/>
      <c r="EK385" s="618"/>
      <c r="EL385" s="618"/>
      <c r="EM385" s="618"/>
    </row>
    <row r="386" spans="1:143">
      <c r="A386" s="339">
        <v>32080</v>
      </c>
      <c r="B386" s="338" t="s">
        <v>349</v>
      </c>
      <c r="F386" s="338">
        <v>1.32</v>
      </c>
      <c r="G386" s="338" t="s">
        <v>331</v>
      </c>
      <c r="L386" s="2481">
        <v>305.01</v>
      </c>
      <c r="M386" s="340" t="s">
        <v>294</v>
      </c>
      <c r="N386" s="1390"/>
      <c r="O386" s="2479"/>
      <c r="P386" s="2282"/>
      <c r="T386" s="341" t="str">
        <f t="array" ref="T386">IFERROR(IF($T$11="Yes",INDEX($L$13:$L$2813,SMALL(IF((County=$M$13:$M$2813),MATCH(ROW($M$13:$M$2813),ROW($M$13:$M$2813)),""),ROWS($A$13:A386))),""),"")</f>
        <v/>
      </c>
      <c r="V386" s="2283" t="str">
        <f t="array" ref="V386">IFERROR(IF($T$11="Yes",INDEX($O$14:$O$2811,SMALL(IF((County=$P$14:$P$2811),MATCH(ROW($P$14:$P$2811),ROW($P$14:$P$2811)),""),ROWS($A$13:A386))),""),"")</f>
        <v/>
      </c>
      <c r="X386" s="339">
        <v>34681</v>
      </c>
      <c r="Y386" s="338" t="s">
        <v>342</v>
      </c>
      <c r="AA386" s="338">
        <v>108.08</v>
      </c>
      <c r="AB386" s="338" t="s">
        <v>316</v>
      </c>
      <c r="AG386" s="2297">
        <v>23.04</v>
      </c>
      <c r="AH386" s="2297" t="s">
        <v>329</v>
      </c>
      <c r="AI386" s="1390"/>
      <c r="AJ386" s="2282"/>
      <c r="AK386" s="2282"/>
      <c r="AL386" s="1037"/>
      <c r="AR386" s="338">
        <v>7.05</v>
      </c>
      <c r="AS386" s="338" t="s">
        <v>331</v>
      </c>
      <c r="AX386" s="340">
        <v>104.05</v>
      </c>
      <c r="AY386" s="340" t="s">
        <v>294</v>
      </c>
      <c r="BC386" s="341" t="str">
        <f t="array" ref="BC386">IFERROR(IF($BC$11="Yes",INDEX($AX$13:$AX$2950,SMALL(IF((County=$AY$13:$AY$2950),MATCH(ROW($AY$13:$AY$2950),ROW($AY$13:$AY$2950)),""),ROWS($A$13:$A444))),""),"")</f>
        <v/>
      </c>
      <c r="BH386" s="338">
        <v>93.26</v>
      </c>
      <c r="BI386" s="338" t="s">
        <v>331</v>
      </c>
      <c r="BN386" s="340">
        <v>20.23</v>
      </c>
      <c r="BO386" s="340" t="s">
        <v>328</v>
      </c>
      <c r="BP386" s="1385"/>
      <c r="BQ386" s="1583">
        <v>32779</v>
      </c>
      <c r="BR386" s="236" t="s">
        <v>348</v>
      </c>
      <c r="BV386" s="338">
        <v>312.07</v>
      </c>
      <c r="BW386" s="338" t="s">
        <v>289</v>
      </c>
      <c r="CB386" s="340">
        <v>103.01</v>
      </c>
      <c r="CC386" s="340" t="s">
        <v>292</v>
      </c>
      <c r="CE386" s="341" t="str">
        <f t="array" ref="CE386">IFERROR(IF($CE$11="Metro",INDEX($BV$13:$BV$4972,SMALL(IF((County=$BW$13:$BW$4972),MATCH(ROW($BW$13:$BW$4972),ROW($BW$13:$BW$4972)),""),ROWS($A$13:$A444))),INDEX($BY$13:$BY$212,SMALL(IF((County=$BZ$13:$BZ$212),MATCH(ROW($BZ$13:$BZ$212),ROW($BZ$13:$BZ$212)),""),ROWS($A$13:$A444)))),"")</f>
        <v/>
      </c>
      <c r="CG386" s="341" t="str">
        <f t="array" ref="CG386">IFERROR(IF($CG$11="Yes",INDEX($CB$13:$CB$2950,SMALL(IF((County=$CC$13:$CC$2950),MATCH(ROW($CC$13:$CC$2950),ROW($CC$13:$CC$2950)),""),ROWS($A$13:$A444))),""),"")</f>
        <v/>
      </c>
      <c r="CI386" s="1583">
        <v>34714</v>
      </c>
      <c r="CJ386" s="338" t="s">
        <v>322</v>
      </c>
      <c r="CL386" s="236">
        <v>10.050000000000001</v>
      </c>
      <c r="CM386" s="236" t="s">
        <v>331</v>
      </c>
      <c r="CR386" s="340">
        <v>21</v>
      </c>
      <c r="CS386" s="340" t="s">
        <v>329</v>
      </c>
      <c r="CT386" s="1384"/>
      <c r="CU386" s="341">
        <v>32766</v>
      </c>
      <c r="CV386" s="338" t="s">
        <v>348</v>
      </c>
      <c r="CZ386" s="1795">
        <v>11.01</v>
      </c>
      <c r="DA386" s="338" t="s">
        <v>324</v>
      </c>
      <c r="DF386" s="340">
        <v>202.05</v>
      </c>
      <c r="DG386" s="340" t="s">
        <v>294</v>
      </c>
      <c r="DK386" s="341" t="str">
        <f t="array" ref="DK386">IFERROR(IF($DK$11="Yes",INDEX($DF$13:$DF$2838,SMALL(IF((County=$DG$13:$DG$2838),MATCH(ROW($DG$13:$DG$2838),ROW($DG$13:$DG$2838)),""),ROWS($A$13:$A444))),""),"")</f>
        <v/>
      </c>
      <c r="DM386" s="1387">
        <v>34714</v>
      </c>
      <c r="DN386" s="338" t="str">
        <f>IF(County="Polk","Orange","Polk")</f>
        <v>Polk</v>
      </c>
      <c r="DP386" s="236">
        <v>102.08</v>
      </c>
      <c r="DQ386" s="236" t="s">
        <v>331</v>
      </c>
      <c r="DV386" s="340">
        <v>23</v>
      </c>
      <c r="DW386" s="340" t="s">
        <v>285</v>
      </c>
      <c r="DX386" s="1671"/>
      <c r="EB386" s="618"/>
      <c r="EC386" s="618"/>
      <c r="ED386" s="618"/>
      <c r="EE386" s="618"/>
      <c r="EF386" s="618"/>
      <c r="EG386" s="618"/>
      <c r="EH386" s="618"/>
      <c r="EI386" s="618"/>
      <c r="EJ386" s="618"/>
      <c r="EK386" s="618"/>
      <c r="EL386" s="618"/>
      <c r="EM386" s="618"/>
    </row>
    <row r="387" spans="1:143">
      <c r="A387" s="339">
        <v>32081</v>
      </c>
      <c r="B387" s="338" t="s">
        <v>349</v>
      </c>
      <c r="F387" s="338">
        <v>2.06</v>
      </c>
      <c r="G387" s="338" t="s">
        <v>331</v>
      </c>
      <c r="L387" s="2481">
        <v>305.04000000000002</v>
      </c>
      <c r="M387" s="340" t="s">
        <v>294</v>
      </c>
      <c r="N387" s="1390"/>
      <c r="O387" s="2479"/>
      <c r="P387" s="2282"/>
      <c r="T387" s="341" t="str">
        <f t="array" ref="T387">IFERROR(IF($T$11="Yes",INDEX($L$13:$L$2813,SMALL(IF((County=$M$13:$M$2813),MATCH(ROW($M$13:$M$2813),ROW($M$13:$M$2813)),""),ROWS($A$13:A387))),""),"")</f>
        <v/>
      </c>
      <c r="V387" s="2283" t="str">
        <f t="array" ref="V387">IFERROR(IF($T$11="Yes",INDEX($O$14:$O$2811,SMALL(IF((County=$P$14:$P$2811),MATCH(ROW($P$14:$P$2811),ROW($P$14:$P$2811)),""),ROWS($A$13:A387))),""),"")</f>
        <v/>
      </c>
      <c r="X387" s="339">
        <v>34683</v>
      </c>
      <c r="Y387" s="338" t="s">
        <v>342</v>
      </c>
      <c r="AA387" s="338">
        <v>108.09</v>
      </c>
      <c r="AB387" s="338" t="s">
        <v>316</v>
      </c>
      <c r="AG387" s="2297">
        <v>23.06</v>
      </c>
      <c r="AH387" s="2297" t="s">
        <v>347</v>
      </c>
      <c r="AI387" s="1390"/>
      <c r="AJ387" s="2282"/>
      <c r="AK387" s="2282"/>
      <c r="AL387" s="1037"/>
      <c r="AR387" s="338">
        <v>7.1</v>
      </c>
      <c r="AS387" s="338" t="s">
        <v>331</v>
      </c>
      <c r="AX387" s="340">
        <v>105.03</v>
      </c>
      <c r="AY387" s="340" t="s">
        <v>294</v>
      </c>
      <c r="BC387" s="341" t="str">
        <f t="array" ref="BC387">IFERROR(IF($BC$11="Yes",INDEX($AX$13:$AX$2950,SMALL(IF((County=$AY$13:$AY$2950),MATCH(ROW($AY$13:$AY$2950),ROW($AY$13:$AY$2950)),""),ROWS($A$13:$A445))),""),"")</f>
        <v/>
      </c>
      <c r="BH387" s="338">
        <v>93.27</v>
      </c>
      <c r="BI387" s="338" t="s">
        <v>331</v>
      </c>
      <c r="BN387" s="340">
        <v>20.239999999999998</v>
      </c>
      <c r="BO387" s="340" t="s">
        <v>328</v>
      </c>
      <c r="BP387" s="1385"/>
      <c r="BQ387" s="1387">
        <v>32081</v>
      </c>
      <c r="BR387" s="236" t="s">
        <v>349</v>
      </c>
      <c r="BV387" s="338">
        <v>401.01</v>
      </c>
      <c r="BW387" s="338" t="s">
        <v>289</v>
      </c>
      <c r="CB387" s="340">
        <v>103.01</v>
      </c>
      <c r="CC387" s="340" t="s">
        <v>294</v>
      </c>
      <c r="CE387" s="341" t="str">
        <f t="array" ref="CE387">IFERROR(IF($CE$11="Metro",INDEX($BV$13:$BV$4972,SMALL(IF((County=$BW$13:$BW$4972),MATCH(ROW($BW$13:$BW$4972),ROW($BW$13:$BW$4972)),""),ROWS($A$13:$A445))),INDEX($BY$13:$BY$212,SMALL(IF((County=$BZ$13:$BZ$212),MATCH(ROW($BZ$13:$BZ$212),ROW($BZ$13:$BZ$212)),""),ROWS($A$13:$A445)))),"")</f>
        <v/>
      </c>
      <c r="CG387" s="341" t="str">
        <f t="array" ref="CG387">IFERROR(IF($CG$11="Yes",INDEX($CB$13:$CB$2950,SMALL(IF((County=$CC$13:$CC$2950),MATCH(ROW($CC$13:$CC$2950),ROW($CC$13:$CC$2950)),""),ROWS($A$13:$A445))),""),"")</f>
        <v/>
      </c>
      <c r="CI387" s="1583">
        <v>34715</v>
      </c>
      <c r="CJ387" s="338" t="s">
        <v>322</v>
      </c>
      <c r="CL387" s="236">
        <v>10.06</v>
      </c>
      <c r="CM387" s="236" t="s">
        <v>331</v>
      </c>
      <c r="CR387" s="340">
        <v>21</v>
      </c>
      <c r="CS387" s="340" t="s">
        <v>331</v>
      </c>
      <c r="CT387" s="1384"/>
      <c r="CU387" s="341">
        <v>32779</v>
      </c>
      <c r="CV387" s="338" t="s">
        <v>348</v>
      </c>
      <c r="CZ387" s="1795">
        <v>12</v>
      </c>
      <c r="DA387" s="338" t="s">
        <v>324</v>
      </c>
      <c r="DF387" s="340">
        <v>202.06</v>
      </c>
      <c r="DG387" s="340" t="s">
        <v>294</v>
      </c>
      <c r="DK387" s="341" t="str">
        <f t="array" ref="DK387">IFERROR(IF($DK$11="Yes",INDEX($DF$13:$DF$2838,SMALL(IF((County=$DG$13:$DG$2838),MATCH(ROW($DG$13:$DG$2838),ROW($DG$13:$DG$2838)),""),ROWS($A$13:$A445))),""),"")</f>
        <v/>
      </c>
      <c r="DM387" s="1387">
        <v>34715</v>
      </c>
      <c r="DN387" s="338" t="s">
        <v>322</v>
      </c>
      <c r="DP387" s="236">
        <v>102.11</v>
      </c>
      <c r="DQ387" s="236" t="s">
        <v>331</v>
      </c>
      <c r="DV387" s="340">
        <v>23</v>
      </c>
      <c r="DW387" s="340" t="s">
        <v>302</v>
      </c>
      <c r="DX387" s="1671"/>
      <c r="EB387" s="618"/>
      <c r="EC387" s="618"/>
      <c r="ED387" s="618"/>
      <c r="EE387" s="618"/>
      <c r="EF387" s="618"/>
      <c r="EG387" s="618"/>
      <c r="EH387" s="618"/>
      <c r="EI387" s="618"/>
      <c r="EJ387" s="618"/>
      <c r="EK387" s="618"/>
      <c r="EL387" s="618"/>
      <c r="EM387" s="618"/>
    </row>
    <row r="388" spans="1:143">
      <c r="A388" s="339">
        <v>32082</v>
      </c>
      <c r="B388" s="338" t="s">
        <v>349</v>
      </c>
      <c r="F388" s="338">
        <v>2.11</v>
      </c>
      <c r="G388" s="338" t="s">
        <v>331</v>
      </c>
      <c r="L388" s="2481">
        <v>305.05</v>
      </c>
      <c r="M388" s="340" t="s">
        <v>294</v>
      </c>
      <c r="N388" s="1390"/>
      <c r="O388" s="2479"/>
      <c r="P388" s="2282"/>
      <c r="T388" s="341" t="str">
        <f t="array" ref="T388">IFERROR(IF($T$11="Yes",INDEX($L$13:$L$2813,SMALL(IF((County=$M$13:$M$2813),MATCH(ROW($M$13:$M$2813),ROW($M$13:$M$2813)),""),ROWS($A$13:A388))),""),"")</f>
        <v/>
      </c>
      <c r="V388" s="2283" t="str">
        <f t="array" ref="V388">IFERROR(IF($T$11="Yes",INDEX($O$14:$O$2811,SMALL(IF((County=$P$14:$P$2811),MATCH(ROW($P$14:$P$2811),ROW($P$14:$P$2811)),""),ROWS($A$13:A388))),""),"")</f>
        <v/>
      </c>
      <c r="X388" s="339">
        <v>34684</v>
      </c>
      <c r="Y388" s="338" t="s">
        <v>342</v>
      </c>
      <c r="AA388" s="338">
        <v>108.11</v>
      </c>
      <c r="AB388" s="338" t="s">
        <v>316</v>
      </c>
      <c r="AG388" s="2297">
        <v>24</v>
      </c>
      <c r="AH388" s="2297" t="s">
        <v>302</v>
      </c>
      <c r="AI388" s="1390"/>
      <c r="AJ388" s="2282"/>
      <c r="AK388" s="2282"/>
      <c r="AL388" s="1037"/>
      <c r="AR388" s="338">
        <v>7.11</v>
      </c>
      <c r="AS388" s="338" t="s">
        <v>331</v>
      </c>
      <c r="AX388" s="340">
        <v>105.05</v>
      </c>
      <c r="AY388" s="340" t="s">
        <v>294</v>
      </c>
      <c r="BC388" s="341" t="str">
        <f t="array" ref="BC388">IFERROR(IF($BC$11="Yes",INDEX($AX$13:$AX$2950,SMALL(IF((County=$AY$13:$AY$2950),MATCH(ROW($AY$13:$AY$2950),ROW($AY$13:$AY$2950)),""),ROWS($A$13:$A446))),""),"")</f>
        <v/>
      </c>
      <c r="BH388" s="338">
        <v>95.05</v>
      </c>
      <c r="BI388" s="338" t="s">
        <v>331</v>
      </c>
      <c r="BN388" s="340">
        <v>20.25</v>
      </c>
      <c r="BO388" s="340" t="s">
        <v>328</v>
      </c>
      <c r="BP388" s="1385"/>
      <c r="BQ388" s="1387">
        <v>32082</v>
      </c>
      <c r="BR388" s="236" t="s">
        <v>349</v>
      </c>
      <c r="BV388" s="338">
        <v>401.02</v>
      </c>
      <c r="BW388" s="338" t="s">
        <v>289</v>
      </c>
      <c r="CB388" s="340">
        <v>104.01</v>
      </c>
      <c r="CC388" s="340" t="s">
        <v>294</v>
      </c>
      <c r="CE388" s="341" t="str">
        <f t="array" ref="CE388">IFERROR(IF($CE$11="Metro",INDEX($BV$13:$BV$4972,SMALL(IF((County=$BW$13:$BW$4972),MATCH(ROW($BW$13:$BW$4972),ROW($BW$13:$BW$4972)),""),ROWS($A$13:$A446))),INDEX($BY$13:$BY$212,SMALL(IF((County=$BZ$13:$BZ$212),MATCH(ROW($BZ$13:$BZ$212),ROW($BZ$13:$BZ$212)),""),ROWS($A$13:$A446)))),"")</f>
        <v/>
      </c>
      <c r="CG388" s="341" t="str">
        <f t="array" ref="CG388">IFERROR(IF($CG$11="Yes",INDEX($CB$13:$CB$2950,SMALL(IF((County=$CC$13:$CC$2950),MATCH(ROW($CC$13:$CC$2950),ROW($CC$13:$CC$2950)),""),ROWS($A$13:$A446))),""),"")</f>
        <v/>
      </c>
      <c r="CI388" s="1583">
        <v>34734</v>
      </c>
      <c r="CJ388" s="338" t="s">
        <v>338</v>
      </c>
      <c r="CL388" s="236">
        <v>10.07</v>
      </c>
      <c r="CM388" s="236" t="s">
        <v>329</v>
      </c>
      <c r="CR388" s="340">
        <v>21.01</v>
      </c>
      <c r="CS388" s="340" t="s">
        <v>276</v>
      </c>
      <c r="CT388" s="1384"/>
      <c r="CU388" s="341">
        <v>32033</v>
      </c>
      <c r="CV388" s="338" t="s">
        <v>349</v>
      </c>
      <c r="CZ388" s="1795">
        <v>14.01</v>
      </c>
      <c r="DA388" s="338" t="s">
        <v>324</v>
      </c>
      <c r="DF388" s="340">
        <v>204.01</v>
      </c>
      <c r="DG388" s="340" t="s">
        <v>294</v>
      </c>
      <c r="DK388" s="341" t="str">
        <f t="array" ref="DK388">IFERROR(IF($DK$11="Yes",INDEX($DF$13:$DF$2838,SMALL(IF((County=$DG$13:$DG$2838),MATCH(ROW($DG$13:$DG$2838),ROW($DG$13:$DG$2838)),""),ROWS($A$13:$A446))),""),"")</f>
        <v/>
      </c>
      <c r="DM388" s="1387">
        <v>34734</v>
      </c>
      <c r="DN388" s="338" t="s">
        <v>338</v>
      </c>
      <c r="DP388" s="236">
        <v>102.13</v>
      </c>
      <c r="DQ388" s="236" t="s">
        <v>331</v>
      </c>
      <c r="DV388" s="340">
        <v>23</v>
      </c>
      <c r="DW388" s="340" t="s">
        <v>304</v>
      </c>
      <c r="DX388" s="1671"/>
      <c r="EB388" s="618"/>
      <c r="EC388" s="618"/>
      <c r="ED388" s="618"/>
      <c r="EE388" s="618"/>
      <c r="EF388" s="618"/>
      <c r="EG388" s="618"/>
      <c r="EH388" s="618"/>
      <c r="EI388" s="618"/>
      <c r="EJ388" s="618"/>
      <c r="EK388" s="618"/>
      <c r="EL388" s="618"/>
      <c r="EM388" s="618"/>
    </row>
    <row r="389" spans="1:143">
      <c r="A389" s="339">
        <v>32092</v>
      </c>
      <c r="B389" s="338" t="s">
        <v>349</v>
      </c>
      <c r="F389" s="338">
        <v>2.12</v>
      </c>
      <c r="G389" s="338" t="s">
        <v>331</v>
      </c>
      <c r="L389" s="2481">
        <v>305.06</v>
      </c>
      <c r="M389" s="340" t="s">
        <v>294</v>
      </c>
      <c r="N389" s="1390"/>
      <c r="O389" s="2479"/>
      <c r="P389" s="2282"/>
      <c r="T389" s="341" t="str">
        <f t="array" ref="T389">IFERROR(IF($T$11="Yes",INDEX($L$13:$L$2813,SMALL(IF((County=$M$13:$M$2813),MATCH(ROW($M$13:$M$2813),ROW($M$13:$M$2813)),""),ROWS($A$13:A389))),""),"")</f>
        <v/>
      </c>
      <c r="V389" s="2283" t="str">
        <f t="array" ref="V389">IFERROR(IF($T$11="Yes",INDEX($O$14:$O$2811,SMALL(IF((County=$P$14:$P$2811),MATCH(ROW($P$14:$P$2811),ROW($P$14:$P$2811)),""),ROWS($A$13:A389))),""),"")</f>
        <v/>
      </c>
      <c r="X389" s="339">
        <v>34685</v>
      </c>
      <c r="Y389" s="338" t="s">
        <v>342</v>
      </c>
      <c r="AA389" s="338">
        <v>108.14</v>
      </c>
      <c r="AB389" s="338" t="s">
        <v>316</v>
      </c>
      <c r="AG389" s="2297">
        <v>24</v>
      </c>
      <c r="AH389" s="2297" t="s">
        <v>304</v>
      </c>
      <c r="AI389" s="1390"/>
      <c r="AJ389" s="2282"/>
      <c r="AK389" s="2282"/>
      <c r="AL389" s="1037"/>
      <c r="AR389" s="338">
        <v>7.12</v>
      </c>
      <c r="AS389" s="338" t="s">
        <v>331</v>
      </c>
      <c r="AX389" s="340">
        <v>105.06</v>
      </c>
      <c r="AY389" s="340" t="s">
        <v>294</v>
      </c>
      <c r="BC389" s="341" t="str">
        <f t="array" ref="BC389">IFERROR(IF($BC$11="Yes",INDEX($AX$13:$AX$2950,SMALL(IF((County=$AY$13:$AY$2950),MATCH(ROW($AY$13:$AY$2950),ROW($AY$13:$AY$2950)),""),ROWS($A$13:$A447))),""),"")</f>
        <v/>
      </c>
      <c r="BH389" s="338">
        <v>95.06</v>
      </c>
      <c r="BI389" s="338" t="s">
        <v>331</v>
      </c>
      <c r="BN389" s="340">
        <v>21</v>
      </c>
      <c r="BO389" s="340" t="s">
        <v>329</v>
      </c>
      <c r="BP389" s="1385"/>
      <c r="BQ389" s="1387">
        <v>32092</v>
      </c>
      <c r="BR389" s="236" t="s">
        <v>349</v>
      </c>
      <c r="BV389" s="338">
        <v>402.03</v>
      </c>
      <c r="BW389" s="338" t="s">
        <v>289</v>
      </c>
      <c r="CB389" s="340">
        <v>104.02</v>
      </c>
      <c r="CC389" s="340" t="s">
        <v>294</v>
      </c>
      <c r="CE389" s="341" t="str">
        <f t="array" ref="CE389">IFERROR(IF($CE$11="Metro",INDEX($BV$13:$BV$4972,SMALL(IF((County=$BW$13:$BW$4972),MATCH(ROW($BW$13:$BW$4972),ROW($BW$13:$BW$4972)),""),ROWS($A$13:$A447))),INDEX($BY$13:$BY$212,SMALL(IF((County=$BZ$13:$BZ$212),MATCH(ROW($BZ$13:$BZ$212),ROW($BZ$13:$BZ$212)),""),ROWS($A$13:$A447)))),"")</f>
        <v/>
      </c>
      <c r="CG389" s="341" t="str">
        <f t="array" ref="CG389">IFERROR(IF($CG$11="Yes",INDEX($CB$13:$CB$2950,SMALL(IF((County=$CC$13:$CC$2950),MATCH(ROW($CC$13:$CC$2950),ROW($CC$13:$CC$2950)),""),ROWS($A$13:$A447))),""),"")</f>
        <v/>
      </c>
      <c r="CI389" s="1583">
        <v>34736</v>
      </c>
      <c r="CJ389" s="338" t="s">
        <v>322</v>
      </c>
      <c r="CL389" s="236">
        <v>10.07</v>
      </c>
      <c r="CM389" s="236" t="s">
        <v>331</v>
      </c>
      <c r="CR389" s="340">
        <v>21.01</v>
      </c>
      <c r="CS389" s="340" t="s">
        <v>302</v>
      </c>
      <c r="CT389" s="1384"/>
      <c r="CU389" s="341">
        <v>32080</v>
      </c>
      <c r="CV389" s="338" t="s">
        <v>349</v>
      </c>
      <c r="CZ389" s="1795">
        <v>18.010000000000002</v>
      </c>
      <c r="DA389" s="338" t="s">
        <v>324</v>
      </c>
      <c r="DF389" s="340">
        <v>204.02</v>
      </c>
      <c r="DG389" s="340" t="s">
        <v>294</v>
      </c>
      <c r="DK389" s="341" t="str">
        <f t="array" ref="DK389">IFERROR(IF($DK$11="Yes",INDEX($DF$13:$DF$2838,SMALL(IF((County=$DG$13:$DG$2838),MATCH(ROW($DG$13:$DG$2838),ROW($DG$13:$DG$2838)),""),ROWS($A$13:$A447))),""),"")</f>
        <v/>
      </c>
      <c r="DM389" s="1387">
        <v>34736</v>
      </c>
      <c r="DN389" s="338" t="s">
        <v>322</v>
      </c>
      <c r="DP389" s="236">
        <v>103</v>
      </c>
      <c r="DQ389" s="236" t="s">
        <v>344</v>
      </c>
      <c r="DV389" s="340">
        <v>23</v>
      </c>
      <c r="DW389" s="340" t="s">
        <v>316</v>
      </c>
      <c r="DX389" s="1671"/>
      <c r="EB389" s="618"/>
      <c r="EC389" s="618"/>
      <c r="ED389" s="618"/>
      <c r="EE389" s="618"/>
      <c r="EF389" s="618"/>
      <c r="EG389" s="618"/>
      <c r="EH389" s="618"/>
      <c r="EI389" s="618"/>
      <c r="EJ389" s="618"/>
      <c r="EK389" s="618"/>
      <c r="EL389" s="618"/>
      <c r="EM389" s="618"/>
    </row>
    <row r="390" spans="1:143">
      <c r="A390" s="339">
        <v>32259</v>
      </c>
      <c r="B390" s="338" t="s">
        <v>349</v>
      </c>
      <c r="F390" s="338">
        <v>2.1800000000000002</v>
      </c>
      <c r="G390" s="338" t="s">
        <v>331</v>
      </c>
      <c r="L390" s="2481">
        <v>305.07</v>
      </c>
      <c r="M390" s="340" t="s">
        <v>294</v>
      </c>
      <c r="N390" s="1390"/>
      <c r="O390" s="2479"/>
      <c r="P390" s="2282"/>
      <c r="T390" s="341" t="str">
        <f t="array" ref="T390">IFERROR(IF($T$11="Yes",INDEX($L$13:$L$2813,SMALL(IF((County=$M$13:$M$2813),MATCH(ROW($M$13:$M$2813),ROW($M$13:$M$2813)),""),ROWS($A$13:A390))),""),"")</f>
        <v/>
      </c>
      <c r="V390" s="2283" t="str">
        <f t="array" ref="V390">IFERROR(IF($T$11="Yes",INDEX($O$14:$O$2811,SMALL(IF((County=$P$14:$P$2811),MATCH(ROW($P$14:$P$2811),ROW($P$14:$P$2811)),""),ROWS($A$13:A390))),""),"")</f>
        <v/>
      </c>
      <c r="X390" s="339">
        <v>34688</v>
      </c>
      <c r="Y390" s="338" t="s">
        <v>342</v>
      </c>
      <c r="AA390" s="338">
        <v>108.15</v>
      </c>
      <c r="AB390" s="338" t="s">
        <v>316</v>
      </c>
      <c r="AG390" s="2297">
        <v>24</v>
      </c>
      <c r="AH390" s="2297" t="s">
        <v>316</v>
      </c>
      <c r="AI390" s="1390"/>
      <c r="AJ390" s="2282"/>
      <c r="AK390" s="2282"/>
      <c r="AL390" s="1037"/>
      <c r="AR390" s="338">
        <v>7.13</v>
      </c>
      <c r="AS390" s="338" t="s">
        <v>331</v>
      </c>
      <c r="AX390" s="340">
        <v>201.01</v>
      </c>
      <c r="AY390" s="340" t="s">
        <v>294</v>
      </c>
      <c r="BC390" s="341" t="str">
        <f t="array" ref="BC390">IFERROR(IF($BC$11="Yes",INDEX($AX$13:$AX$2950,SMALL(IF((County=$AY$13:$AY$2950),MATCH(ROW($AY$13:$AY$2950),ROW($AY$13:$AY$2950)),""),ROWS($A$13:$A448))),""),"")</f>
        <v/>
      </c>
      <c r="BH390" s="338">
        <v>96.01</v>
      </c>
      <c r="BI390" s="338" t="s">
        <v>331</v>
      </c>
      <c r="BN390" s="340">
        <v>21.01</v>
      </c>
      <c r="BO390" s="340" t="s">
        <v>302</v>
      </c>
      <c r="BP390" s="1385"/>
      <c r="BQ390" s="1387">
        <v>32259</v>
      </c>
      <c r="BR390" s="236" t="s">
        <v>349</v>
      </c>
      <c r="BV390" s="338">
        <v>402.04</v>
      </c>
      <c r="BW390" s="338" t="s">
        <v>289</v>
      </c>
      <c r="CB390" s="340">
        <v>104.05</v>
      </c>
      <c r="CC390" s="340" t="s">
        <v>294</v>
      </c>
      <c r="CE390" s="341" t="str">
        <f t="array" ref="CE390">IFERROR(IF($CE$11="Metro",INDEX($BV$13:$BV$4972,SMALL(IF((County=$BW$13:$BW$4972),MATCH(ROW($BW$13:$BW$4972),ROW($BW$13:$BW$4972)),""),ROWS($A$13:$A448))),INDEX($BY$13:$BY$212,SMALL(IF((County=$BZ$13:$BZ$212),MATCH(ROW($BZ$13:$BZ$212),ROW($BZ$13:$BZ$212)),""),ROWS($A$13:$A448)))),"")</f>
        <v/>
      </c>
      <c r="CG390" s="341" t="str">
        <f t="array" ref="CG390">IFERROR(IF($CG$11="Yes",INDEX($CB$13:$CB$2950,SMALL(IF((County=$CC$13:$CC$2950),MATCH(ROW($CC$13:$CC$2950),ROW($CC$13:$CC$2950)),""),ROWS($A$13:$A448))),""),"")</f>
        <v/>
      </c>
      <c r="CI390" s="1583">
        <v>34737</v>
      </c>
      <c r="CJ390" s="338" t="s">
        <v>322</v>
      </c>
      <c r="CL390" s="236">
        <v>10.08</v>
      </c>
      <c r="CM390" s="236" t="s">
        <v>329</v>
      </c>
      <c r="CR390" s="340">
        <v>21.01</v>
      </c>
      <c r="CS390" s="340" t="s">
        <v>347</v>
      </c>
      <c r="CT390" s="1384"/>
      <c r="CU390" s="341">
        <v>32081</v>
      </c>
      <c r="CV390" s="338" t="s">
        <v>349</v>
      </c>
      <c r="CZ390" s="1795">
        <v>19.010000000000002</v>
      </c>
      <c r="DA390" s="338" t="s">
        <v>324</v>
      </c>
      <c r="DF390" s="340">
        <v>205.01</v>
      </c>
      <c r="DG390" s="340" t="s">
        <v>294</v>
      </c>
      <c r="DK390" s="341" t="str">
        <f t="array" ref="DK390">IFERROR(IF($DK$11="Yes",INDEX($DF$13:$DF$2838,SMALL(IF((County=$DG$13:$DG$2838),MATCH(ROW($DG$13:$DG$2838),ROW($DG$13:$DG$2838)),""),ROWS($A$13:$A448))),""),"")</f>
        <v/>
      </c>
      <c r="DM390" s="1387">
        <v>34737</v>
      </c>
      <c r="DN390" s="338" t="s">
        <v>322</v>
      </c>
      <c r="DP390" s="236">
        <v>103.01</v>
      </c>
      <c r="DQ390" s="236" t="s">
        <v>2580</v>
      </c>
      <c r="DV390" s="340">
        <v>23.02</v>
      </c>
      <c r="DW390" s="340" t="s">
        <v>324</v>
      </c>
      <c r="DX390" s="1671"/>
      <c r="EB390" s="618"/>
      <c r="EC390" s="618"/>
      <c r="ED390" s="618"/>
      <c r="EE390" s="618"/>
      <c r="EF390" s="618"/>
      <c r="EG390" s="618"/>
      <c r="EH390" s="618"/>
      <c r="EI390" s="618"/>
      <c r="EJ390" s="618"/>
      <c r="EK390" s="618"/>
      <c r="EL390" s="618"/>
      <c r="EM390" s="618"/>
    </row>
    <row r="391" spans="1:143">
      <c r="A391" s="339">
        <v>34952</v>
      </c>
      <c r="B391" s="338" t="s">
        <v>350</v>
      </c>
      <c r="F391" s="338">
        <v>2.19</v>
      </c>
      <c r="G391" s="338" t="s">
        <v>331</v>
      </c>
      <c r="L391" s="2481">
        <v>4501.03</v>
      </c>
      <c r="M391" s="340" t="s">
        <v>295</v>
      </c>
      <c r="N391" s="1390"/>
      <c r="O391" s="2479"/>
      <c r="P391" s="2282"/>
      <c r="T391" s="341" t="str">
        <f t="array" ref="T391">IFERROR(IF($T$11="Yes",INDEX($L$13:$L$2813,SMALL(IF((County=$M$13:$M$2813),MATCH(ROW($M$13:$M$2813),ROW($M$13:$M$2813)),""),ROWS($A$13:A391))),""),"")</f>
        <v/>
      </c>
      <c r="V391" s="2283" t="str">
        <f t="array" ref="V391">IFERROR(IF($T$11="Yes",INDEX($O$14:$O$2811,SMALL(IF((County=$P$14:$P$2811),MATCH(ROW($P$14:$P$2811),ROW($P$14:$P$2811)),""),ROWS($A$13:A391))),""),"")</f>
        <v/>
      </c>
      <c r="X391" s="339">
        <v>34695</v>
      </c>
      <c r="Y391" s="338" t="s">
        <v>342</v>
      </c>
      <c r="AA391" s="338">
        <v>108.16</v>
      </c>
      <c r="AB391" s="338" t="s">
        <v>316</v>
      </c>
      <c r="AG391" s="2297">
        <v>24.01</v>
      </c>
      <c r="AH391" s="2297" t="s">
        <v>329</v>
      </c>
      <c r="AI391" s="1390"/>
      <c r="AJ391" s="2282"/>
      <c r="AK391" s="2282"/>
      <c r="AL391" s="1037"/>
      <c r="AR391" s="338">
        <v>7.14</v>
      </c>
      <c r="AS391" s="338" t="s">
        <v>331</v>
      </c>
      <c r="AX391" s="340">
        <v>201.03</v>
      </c>
      <c r="AY391" s="340" t="s">
        <v>294</v>
      </c>
      <c r="BC391" s="341" t="str">
        <f t="array" ref="BC391">IFERROR(IF($BC$11="Yes",INDEX($AX$13:$AX$2950,SMALL(IF((County=$AY$13:$AY$2950),MATCH(ROW($AY$13:$AY$2950),ROW($AY$13:$AY$2950)),""),ROWS($A$13:$A449))),""),"")</f>
        <v/>
      </c>
      <c r="BH391" s="338">
        <v>96.02</v>
      </c>
      <c r="BI391" s="338" t="s">
        <v>331</v>
      </c>
      <c r="BN391" s="340">
        <v>21.01</v>
      </c>
      <c r="BO391" s="340" t="s">
        <v>347</v>
      </c>
      <c r="BP391" s="1385"/>
      <c r="BQ391" s="1583">
        <v>34949</v>
      </c>
      <c r="BR391" s="236" t="s">
        <v>350</v>
      </c>
      <c r="BV391" s="338">
        <v>402.05</v>
      </c>
      <c r="BW391" s="338" t="s">
        <v>289</v>
      </c>
      <c r="CB391" s="340">
        <v>105.03</v>
      </c>
      <c r="CC391" s="340" t="s">
        <v>294</v>
      </c>
      <c r="CE391" s="341" t="str">
        <f t="array" ref="CE391">IFERROR(IF($CE$11="Metro",INDEX($BV$13:$BV$4972,SMALL(IF((County=$BW$13:$BW$4972),MATCH(ROW($BW$13:$BW$4972),ROW($BW$13:$BW$4972)),""),ROWS($A$13:$A449))),INDEX($BY$13:$BY$212,SMALL(IF((County=$BZ$13:$BZ$212),MATCH(ROW($BZ$13:$BZ$212),ROW($BZ$13:$BZ$212)),""),ROWS($A$13:$A449)))),"")</f>
        <v/>
      </c>
      <c r="CG391" s="341" t="str">
        <f t="array" ref="CG391">IFERROR(IF($CG$11="Yes",INDEX($CB$13:$CB$2950,SMALL(IF((County=$CC$13:$CC$2950),MATCH(ROW($CC$13:$CC$2950),ROW($CC$13:$CC$2950)),""),ROWS($A$13:$A449))),""),"")</f>
        <v/>
      </c>
      <c r="CI391" s="1583">
        <v>34743</v>
      </c>
      <c r="CJ391" s="338" t="s">
        <v>339</v>
      </c>
      <c r="CL391" s="236">
        <v>10.08</v>
      </c>
      <c r="CM391" s="236" t="s">
        <v>331</v>
      </c>
      <c r="CR391" s="340">
        <v>21.02</v>
      </c>
      <c r="CS391" s="340" t="s">
        <v>302</v>
      </c>
      <c r="CT391" s="1384"/>
      <c r="CU391" s="341">
        <v>32082</v>
      </c>
      <c r="CV391" s="338" t="s">
        <v>349</v>
      </c>
      <c r="CZ391" s="1795">
        <v>19.02</v>
      </c>
      <c r="DA391" s="338" t="s">
        <v>324</v>
      </c>
      <c r="DF391" s="340">
        <v>205.02</v>
      </c>
      <c r="DG391" s="340" t="s">
        <v>294</v>
      </c>
      <c r="DK391" s="341" t="str">
        <f t="array" ref="DK391">IFERROR(IF($DK$11="Yes",INDEX($DF$13:$DF$2838,SMALL(IF((County=$DG$13:$DG$2838),MATCH(ROW($DG$13:$DG$2838),ROW($DG$13:$DG$2838)),""),ROWS($A$13:$A449))),""),"")</f>
        <v/>
      </c>
      <c r="DM391" s="1387">
        <v>34743</v>
      </c>
      <c r="DN391" s="338" t="s">
        <v>339</v>
      </c>
      <c r="DP391" s="236">
        <v>103.02</v>
      </c>
      <c r="DQ391" s="236" t="s">
        <v>294</v>
      </c>
      <c r="DV391" s="340">
        <v>23.02</v>
      </c>
      <c r="DW391" s="340" t="s">
        <v>329</v>
      </c>
      <c r="DX391" s="1671"/>
      <c r="EB391" s="618"/>
      <c r="EC391" s="618"/>
      <c r="ED391" s="618"/>
      <c r="EE391" s="618"/>
      <c r="EF391" s="618"/>
      <c r="EG391" s="618"/>
      <c r="EH391" s="618"/>
      <c r="EI391" s="618"/>
      <c r="EJ391" s="618"/>
      <c r="EK391" s="618"/>
      <c r="EL391" s="618"/>
      <c r="EM391" s="618"/>
    </row>
    <row r="392" spans="1:143">
      <c r="A392" s="339">
        <v>34953</v>
      </c>
      <c r="B392" s="338" t="s">
        <v>350</v>
      </c>
      <c r="F392" s="338">
        <v>2.2200000000000002</v>
      </c>
      <c r="G392" s="338" t="s">
        <v>331</v>
      </c>
      <c r="L392" s="2481">
        <v>4501.04</v>
      </c>
      <c r="M392" s="340" t="s">
        <v>295</v>
      </c>
      <c r="N392" s="1390"/>
      <c r="O392" s="2479"/>
      <c r="P392" s="2282"/>
      <c r="T392" s="341" t="str">
        <f t="array" ref="T392">IFERROR(IF($T$11="Yes",INDEX($L$13:$L$2813,SMALL(IF((County=$M$13:$M$2813),MATCH(ROW($M$13:$M$2813),ROW($M$13:$M$2813)),""),ROWS($A$13:A392))),""),"")</f>
        <v/>
      </c>
      <c r="V392" s="2283" t="str">
        <f t="array" ref="V392">IFERROR(IF($T$11="Yes",INDEX($O$14:$O$2811,SMALL(IF((County=$P$14:$P$2811),MATCH(ROW($P$14:$P$2811),ROW($P$14:$P$2811)),""),ROWS($A$13:A392))),""),"")</f>
        <v/>
      </c>
      <c r="X392" s="339">
        <v>34711</v>
      </c>
      <c r="Y392" s="338" t="s">
        <v>322</v>
      </c>
      <c r="AA392" s="338">
        <v>108.17</v>
      </c>
      <c r="AB392" s="338" t="s">
        <v>316</v>
      </c>
      <c r="AG392" s="2297">
        <v>24.01</v>
      </c>
      <c r="AH392" s="2297" t="s">
        <v>347</v>
      </c>
      <c r="AI392" s="1390"/>
      <c r="AJ392" s="2282"/>
      <c r="AK392" s="2282"/>
      <c r="AL392" s="1037"/>
      <c r="AR392" s="338">
        <v>7.15</v>
      </c>
      <c r="AS392" s="338" t="s">
        <v>331</v>
      </c>
      <c r="AX392" s="340">
        <v>201.04</v>
      </c>
      <c r="AY392" s="340" t="s">
        <v>294</v>
      </c>
      <c r="BC392" s="341" t="str">
        <f t="array" ref="BC392">IFERROR(IF($BC$11="Yes",INDEX($AX$13:$AX$2950,SMALL(IF((County=$AY$13:$AY$2950),MATCH(ROW($AY$13:$AY$2950),ROW($AY$13:$AY$2950)),""),ROWS($A$13:$A450))),""),"")</f>
        <v/>
      </c>
      <c r="BH392" s="338">
        <v>97.05</v>
      </c>
      <c r="BI392" s="338" t="s">
        <v>331</v>
      </c>
      <c r="BN392" s="340">
        <v>21.02</v>
      </c>
      <c r="BO392" s="340" t="s">
        <v>302</v>
      </c>
      <c r="BP392" s="1385"/>
      <c r="BQ392" s="1583">
        <v>34952</v>
      </c>
      <c r="BR392" s="236" t="s">
        <v>350</v>
      </c>
      <c r="BV392" s="338">
        <v>402.06</v>
      </c>
      <c r="BW392" s="338" t="s">
        <v>289</v>
      </c>
      <c r="CB392" s="340">
        <v>105.05</v>
      </c>
      <c r="CC392" s="340" t="s">
        <v>294</v>
      </c>
      <c r="CE392" s="341" t="str">
        <f t="array" ref="CE392">IFERROR(IF($CE$11="Metro",INDEX($BV$13:$BV$4972,SMALL(IF((County=$BW$13:$BW$4972),MATCH(ROW($BW$13:$BW$4972),ROW($BW$13:$BW$4972)),""),ROWS($A$13:$A450))),INDEX($BY$13:$BY$212,SMALL(IF((County=$BZ$13:$BZ$212),MATCH(ROW($BZ$13:$BZ$212),ROW($BZ$13:$BZ$212)),""),ROWS($A$13:$A450)))),"")</f>
        <v/>
      </c>
      <c r="CG392" s="341" t="str">
        <f t="array" ref="CG392">IFERROR(IF($CG$11="Yes",INDEX($CB$13:$CB$2950,SMALL(IF((County=$CC$13:$CC$2950),MATCH(ROW($CC$13:$CC$2950),ROW($CC$13:$CC$2950)),""),ROWS($A$13:$A450))),""),"")</f>
        <v/>
      </c>
      <c r="CI392" s="1583">
        <v>34744</v>
      </c>
      <c r="CJ392" s="338" t="s">
        <v>339</v>
      </c>
      <c r="CL392" s="236">
        <v>10.09</v>
      </c>
      <c r="CM392" s="236" t="s">
        <v>329</v>
      </c>
      <c r="CR392" s="340">
        <v>21.02</v>
      </c>
      <c r="CS392" s="340" t="s">
        <v>347</v>
      </c>
      <c r="CT392" s="1384"/>
      <c r="CU392" s="341">
        <v>32092</v>
      </c>
      <c r="CV392" s="338" t="s">
        <v>349</v>
      </c>
      <c r="CZ392" s="1795">
        <v>20.03</v>
      </c>
      <c r="DA392" s="338" t="s">
        <v>324</v>
      </c>
      <c r="DF392" s="340">
        <v>209</v>
      </c>
      <c r="DG392" s="340" t="s">
        <v>294</v>
      </c>
      <c r="DK392" s="341" t="str">
        <f t="array" ref="DK392">IFERROR(IF($DK$11="Yes",INDEX($DF$13:$DF$2838,SMALL(IF((County=$DG$13:$DG$2838),MATCH(ROW($DG$13:$DG$2838),ROW($DG$13:$DG$2838)),""),ROWS($A$13:$A450))),""),"")</f>
        <v/>
      </c>
      <c r="DM392" s="1387">
        <v>34746</v>
      </c>
      <c r="DN392" s="338" t="s">
        <v>339</v>
      </c>
      <c r="DP392" s="236">
        <v>103.02</v>
      </c>
      <c r="DQ392" s="236" t="s">
        <v>2580</v>
      </c>
      <c r="DV392" s="340">
        <v>23.03</v>
      </c>
      <c r="DW392" s="340" t="s">
        <v>324</v>
      </c>
      <c r="DX392" s="1671"/>
      <c r="EB392" s="618"/>
      <c r="EC392" s="618"/>
      <c r="ED392" s="618"/>
      <c r="EE392" s="618"/>
      <c r="EF392" s="618"/>
      <c r="EG392" s="618"/>
      <c r="EH392" s="618"/>
      <c r="EI392" s="618"/>
      <c r="EJ392" s="618"/>
      <c r="EK392" s="618"/>
      <c r="EL392" s="618"/>
      <c r="EM392" s="618"/>
    </row>
    <row r="393" spans="1:143">
      <c r="A393" s="339">
        <v>34983</v>
      </c>
      <c r="B393" s="338" t="s">
        <v>350</v>
      </c>
      <c r="F393" s="338">
        <v>2.2400000000000002</v>
      </c>
      <c r="G393" s="338" t="s">
        <v>331</v>
      </c>
      <c r="L393" s="2481">
        <v>4503.05</v>
      </c>
      <c r="M393" s="340" t="s">
        <v>295</v>
      </c>
      <c r="N393" s="1390"/>
      <c r="O393" s="2479"/>
      <c r="P393" s="2282"/>
      <c r="T393" s="341" t="str">
        <f t="array" ref="T393">IFERROR(IF($T$11="Yes",INDEX($L$13:$L$2813,SMALL(IF((County=$M$13:$M$2813),MATCH(ROW($M$13:$M$2813),ROW($M$13:$M$2813)),""),ROWS($A$13:A393))),""),"")</f>
        <v/>
      </c>
      <c r="V393" s="2283" t="str">
        <f t="array" ref="V393">IFERROR(IF($T$11="Yes",INDEX($O$14:$O$2811,SMALL(IF((County=$P$14:$P$2811),MATCH(ROW($P$14:$P$2811),ROW($P$14:$P$2811)),""),ROWS($A$13:A394))),""),"")</f>
        <v/>
      </c>
      <c r="X393" s="339">
        <v>34714</v>
      </c>
      <c r="Y393" s="338" t="s">
        <v>322</v>
      </c>
      <c r="AA393" s="338">
        <v>108.19</v>
      </c>
      <c r="AB393" s="338" t="s">
        <v>316</v>
      </c>
      <c r="AG393" s="2297">
        <v>24.02</v>
      </c>
      <c r="AH393" s="2297" t="s">
        <v>329</v>
      </c>
      <c r="AI393" s="1390"/>
      <c r="AJ393" s="2282"/>
      <c r="AK393" s="2282"/>
      <c r="AL393" s="1037"/>
      <c r="AR393" s="338">
        <v>7.17</v>
      </c>
      <c r="AS393" s="338" t="s">
        <v>331</v>
      </c>
      <c r="AX393" s="340">
        <v>202.03</v>
      </c>
      <c r="AY393" s="340" t="s">
        <v>294</v>
      </c>
      <c r="BC393" s="341" t="str">
        <f t="array" ref="BC393">IFERROR(IF($BC$11="Yes",INDEX($AX$13:$AX$2950,SMALL(IF((County=$AY$13:$AY$2950),MATCH(ROW($AY$13:$AY$2950),ROW($AY$13:$AY$2950)),""),ROWS($A$13:$A451))),""),"")</f>
        <v/>
      </c>
      <c r="BH393" s="338">
        <v>100.1</v>
      </c>
      <c r="BI393" s="338" t="s">
        <v>331</v>
      </c>
      <c r="BN393" s="340">
        <v>21.02</v>
      </c>
      <c r="BO393" s="340" t="s">
        <v>347</v>
      </c>
      <c r="BP393" s="1385"/>
      <c r="BQ393" s="1583">
        <v>34953</v>
      </c>
      <c r="BR393" s="236" t="s">
        <v>350</v>
      </c>
      <c r="BV393" s="338">
        <v>403</v>
      </c>
      <c r="BW393" s="338" t="s">
        <v>289</v>
      </c>
      <c r="CB393" s="340">
        <v>105.06</v>
      </c>
      <c r="CC393" s="340" t="s">
        <v>294</v>
      </c>
      <c r="CE393" s="341" t="str">
        <f t="array" ref="CE393">IFERROR(IF($CE$11="Metro",INDEX($BV$13:$BV$4972,SMALL(IF((County=$BW$13:$BW$4972),MATCH(ROW($BW$13:$BW$4972),ROW($BW$13:$BW$4972)),""),ROWS($A$13:$A451))),INDEX($BY$13:$BY$212,SMALL(IF((County=$BZ$13:$BZ$212),MATCH(ROW($BZ$13:$BZ$212),ROW($BZ$13:$BZ$212)),""),ROWS($A$13:$A451)))),"")</f>
        <v/>
      </c>
      <c r="CG393" s="341" t="str">
        <f t="array" ref="CG393">IFERROR(IF($CG$11="Yes",INDEX($CB$13:$CB$2950,SMALL(IF((County=$CC$13:$CC$2950),MATCH(ROW($CC$13:$CC$2950),ROW($CC$13:$CC$2950)),""),ROWS($A$13:$A451))),""),"")</f>
        <v/>
      </c>
      <c r="CI393" s="1583">
        <v>34746</v>
      </c>
      <c r="CJ393" s="338" t="s">
        <v>339</v>
      </c>
      <c r="CL393" s="236">
        <v>10.1</v>
      </c>
      <c r="CM393" s="236" t="s">
        <v>329</v>
      </c>
      <c r="CR393" s="340">
        <v>22</v>
      </c>
      <c r="CS393" s="340" t="s">
        <v>302</v>
      </c>
      <c r="CT393" s="1384"/>
      <c r="CU393" s="341">
        <v>32259</v>
      </c>
      <c r="CV393" s="338" t="s">
        <v>349</v>
      </c>
      <c r="CZ393" s="1795">
        <v>20.05</v>
      </c>
      <c r="DA393" s="338" t="s">
        <v>324</v>
      </c>
      <c r="DF393" s="340">
        <v>210.01</v>
      </c>
      <c r="DG393" s="340" t="s">
        <v>294</v>
      </c>
      <c r="DK393" s="341" t="str">
        <f t="array" ref="DK393">IFERROR(IF($DK$11="Yes",INDEX($DF$13:$DF$2838,SMALL(IF((County=$DG$13:$DG$2838),MATCH(ROW($DG$13:$DG$2838),ROW($DG$13:$DG$2838)),""),ROWS($A$13:$A451))),""),"")</f>
        <v/>
      </c>
      <c r="DM393" s="1387">
        <v>34747</v>
      </c>
      <c r="DN393" s="338" t="s">
        <v>339</v>
      </c>
      <c r="DP393" s="236">
        <v>103.03</v>
      </c>
      <c r="DQ393" s="236" t="s">
        <v>316</v>
      </c>
      <c r="DV393" s="340">
        <v>23.04</v>
      </c>
      <c r="DW393" s="340" t="s">
        <v>329</v>
      </c>
      <c r="DX393" s="1671"/>
      <c r="EB393" s="618"/>
      <c r="EC393" s="618"/>
      <c r="ED393" s="618"/>
      <c r="EE393" s="618"/>
      <c r="EF393" s="618"/>
      <c r="EG393" s="618"/>
      <c r="EH393" s="618"/>
      <c r="EI393" s="618"/>
      <c r="EJ393" s="618"/>
      <c r="EK393" s="618"/>
      <c r="EL393" s="618"/>
      <c r="EM393" s="618"/>
    </row>
    <row r="394" spans="1:143">
      <c r="A394" s="339">
        <v>34984</v>
      </c>
      <c r="B394" s="338" t="s">
        <v>350</v>
      </c>
      <c r="F394" s="338">
        <v>2.27</v>
      </c>
      <c r="G394" s="338" t="s">
        <v>331</v>
      </c>
      <c r="L394" s="2481">
        <v>4503.0600000000004</v>
      </c>
      <c r="M394" s="340" t="s">
        <v>295</v>
      </c>
      <c r="N394" s="1390"/>
      <c r="O394" s="2479"/>
      <c r="P394" s="2282"/>
      <c r="T394" s="341" t="str">
        <f t="array" ref="T394">IFERROR(IF($T$11="Yes",INDEX($L$13:$L$2813,SMALL(IF((County=$M$13:$M$2813),MATCH(ROW($M$13:$M$2813),ROW($M$13:$M$2813)),""),ROWS($A$13:A394))),""),"")</f>
        <v/>
      </c>
      <c r="V394" s="2283" t="str">
        <f t="array" ref="V394">IFERROR(IF($T$11="Yes",INDEX($O$14:$O$2811,SMALL(IF((County=$P$14:$P$2811),MATCH(ROW($P$14:$P$2811),ROW($P$14:$P$2811)),""),ROWS($A$13:A395))),""),"")</f>
        <v/>
      </c>
      <c r="X394" s="339">
        <v>34714</v>
      </c>
      <c r="Y394" s="338" t="s">
        <v>344</v>
      </c>
      <c r="AA394" s="338">
        <v>108.2</v>
      </c>
      <c r="AB394" s="338" t="s">
        <v>316</v>
      </c>
      <c r="AG394" s="2297">
        <v>24.03</v>
      </c>
      <c r="AH394" s="2297" t="s">
        <v>324</v>
      </c>
      <c r="AI394" s="1390"/>
      <c r="AJ394" s="2282"/>
      <c r="AK394" s="2282"/>
      <c r="AL394" s="1037"/>
      <c r="AR394" s="338">
        <v>7.18</v>
      </c>
      <c r="AS394" s="338" t="s">
        <v>331</v>
      </c>
      <c r="AX394" s="340">
        <v>202.04</v>
      </c>
      <c r="AY394" s="340" t="s">
        <v>294</v>
      </c>
      <c r="BC394" s="341" t="str">
        <f t="array" ref="BC394">IFERROR(IF($BC$11="Yes",INDEX($AX$13:$AX$2950,SMALL(IF((County=$AY$13:$AY$2950),MATCH(ROW($AY$13:$AY$2950),ROW($AY$13:$AY$2950)),""),ROWS($A$13:$A452))),""),"")</f>
        <v/>
      </c>
      <c r="BH394" s="338">
        <v>100.15</v>
      </c>
      <c r="BI394" s="338" t="s">
        <v>331</v>
      </c>
      <c r="BN394" s="340">
        <v>22</v>
      </c>
      <c r="BO394" s="340" t="s">
        <v>302</v>
      </c>
      <c r="BP394" s="1385"/>
      <c r="BQ394" s="1583">
        <v>34983</v>
      </c>
      <c r="BR394" s="236" t="s">
        <v>350</v>
      </c>
      <c r="BV394" s="338">
        <v>404.01</v>
      </c>
      <c r="BW394" s="338" t="s">
        <v>289</v>
      </c>
      <c r="CB394" s="340">
        <v>201.03</v>
      </c>
      <c r="CC394" s="340" t="s">
        <v>294</v>
      </c>
      <c r="CE394" s="341" t="str">
        <f t="array" ref="CE394">IFERROR(IF($CE$11="Metro",INDEX($BV$13:$BV$4972,SMALL(IF((County=$BW$13:$BW$4972),MATCH(ROW($BW$13:$BW$4972),ROW($BW$13:$BW$4972)),""),ROWS($A$13:$A452))),INDEX($BY$13:$BY$212,SMALL(IF((County=$BZ$13:$BZ$212),MATCH(ROW($BZ$13:$BZ$212),ROW($BZ$13:$BZ$212)),""),ROWS($A$13:$A452)))),"")</f>
        <v/>
      </c>
      <c r="CG394" s="341" t="str">
        <f t="array" ref="CG394">IFERROR(IF($CG$11="Yes",INDEX($CB$13:$CB$2950,SMALL(IF((County=$CC$13:$CC$2950),MATCH(ROW($CC$13:$CC$2950),ROW($CC$13:$CC$2950)),""),ROWS($A$13:$A452))),""),"")</f>
        <v/>
      </c>
      <c r="CI394" s="1583">
        <v>34747</v>
      </c>
      <c r="CJ394" s="338" t="s">
        <v>339</v>
      </c>
      <c r="CL394" s="236">
        <v>10.11</v>
      </c>
      <c r="CM394" s="236" t="s">
        <v>329</v>
      </c>
      <c r="CR394" s="340">
        <v>22</v>
      </c>
      <c r="CS394" s="340" t="s">
        <v>316</v>
      </c>
      <c r="CT394" s="1384"/>
      <c r="CU394" s="341">
        <v>34952</v>
      </c>
      <c r="CV394" s="338" t="s">
        <v>350</v>
      </c>
      <c r="CZ394" s="1795">
        <v>20.059999999999999</v>
      </c>
      <c r="DA394" s="338" t="s">
        <v>324</v>
      </c>
      <c r="DF394" s="340">
        <v>210.02</v>
      </c>
      <c r="DG394" s="340" t="s">
        <v>294</v>
      </c>
      <c r="DK394" s="341" t="str">
        <f t="array" ref="DK394">IFERROR(IF($DK$11="Yes",INDEX($DF$13:$DF$2838,SMALL(IF((County=$DG$13:$DG$2838),MATCH(ROW($DG$13:$DG$2838),ROW($DG$13:$DG$2838)),""),ROWS($A$13:$A452))),""),"")</f>
        <v/>
      </c>
      <c r="DM394" s="1387">
        <v>34758</v>
      </c>
      <c r="DN394" s="338" t="s">
        <v>339</v>
      </c>
      <c r="DP394" s="236">
        <v>103.05</v>
      </c>
      <c r="DQ394" s="236" t="s">
        <v>289</v>
      </c>
      <c r="DV394" s="340">
        <v>23.05</v>
      </c>
      <c r="DW394" s="340" t="s">
        <v>347</v>
      </c>
      <c r="DX394" s="1671"/>
      <c r="EB394" s="618"/>
      <c r="EC394" s="618"/>
      <c r="ED394" s="618"/>
      <c r="EE394" s="618"/>
      <c r="EF394" s="618"/>
      <c r="EG394" s="618"/>
      <c r="EH394" s="618"/>
      <c r="EI394" s="618"/>
      <c r="EJ394" s="618"/>
      <c r="EK394" s="618"/>
      <c r="EL394" s="618"/>
      <c r="EM394" s="618"/>
    </row>
    <row r="395" spans="1:143">
      <c r="A395" s="339">
        <v>34986</v>
      </c>
      <c r="B395" s="338" t="s">
        <v>350</v>
      </c>
      <c r="F395" s="338">
        <v>2.2799999999999998</v>
      </c>
      <c r="G395" s="338" t="s">
        <v>331</v>
      </c>
      <c r="L395" s="2481">
        <v>4503.07</v>
      </c>
      <c r="M395" s="340" t="s">
        <v>295</v>
      </c>
      <c r="N395" s="1390"/>
      <c r="O395" s="2479"/>
      <c r="P395" s="2282"/>
      <c r="T395" s="341" t="str">
        <f t="array" ref="T395">IFERROR(IF($T$11="Yes",INDEX($L$13:$L$2813,SMALL(IF((County=$M$13:$M$2813),MATCH(ROW($M$13:$M$2813),ROW($M$13:$M$2813)),""),ROWS($A$13:A395))),""),"")</f>
        <v/>
      </c>
      <c r="V395" s="2283" t="str">
        <f t="array" ref="V395">IFERROR(IF($T$11="Yes",INDEX($O$14:$O$2811,SMALL(IF((County=$P$14:$P$2811),MATCH(ROW($P$14:$P$2811),ROW($P$14:$P$2811)),""),ROWS($A$13:A396))),""),"")</f>
        <v/>
      </c>
      <c r="X395" s="339">
        <v>34715</v>
      </c>
      <c r="Y395" s="338" t="s">
        <v>322</v>
      </c>
      <c r="AA395" s="338">
        <v>108.21</v>
      </c>
      <c r="AB395" s="338" t="s">
        <v>316</v>
      </c>
      <c r="AG395" s="2297">
        <v>24.1</v>
      </c>
      <c r="AH395" s="2297" t="s">
        <v>324</v>
      </c>
      <c r="AI395" s="1390"/>
      <c r="AJ395" s="2282"/>
      <c r="AK395" s="2282"/>
      <c r="AL395" s="1037"/>
      <c r="AR395" s="338">
        <v>7.19</v>
      </c>
      <c r="AS395" s="338" t="s">
        <v>331</v>
      </c>
      <c r="AX395" s="340">
        <v>202.06</v>
      </c>
      <c r="AY395" s="340" t="s">
        <v>294</v>
      </c>
      <c r="BC395" s="341" t="str">
        <f t="array" ref="BC395">IFERROR(IF($BC$11="Yes",INDEX($AX$13:$AX$2950,SMALL(IF((County=$AY$13:$AY$2950),MATCH(ROW($AY$13:$AY$2950),ROW($AY$13:$AY$2950)),""),ROWS($A$13:$A453))),""),"")</f>
        <v/>
      </c>
      <c r="BH395" s="338">
        <v>100.21</v>
      </c>
      <c r="BI395" s="338" t="s">
        <v>331</v>
      </c>
      <c r="BN395" s="340">
        <v>22</v>
      </c>
      <c r="BO395" s="340" t="s">
        <v>316</v>
      </c>
      <c r="BP395" s="1385"/>
      <c r="BQ395" s="1583">
        <v>34984</v>
      </c>
      <c r="BR395" s="236" t="s">
        <v>350</v>
      </c>
      <c r="BV395" s="338">
        <v>404.02</v>
      </c>
      <c r="BW395" s="338" t="s">
        <v>289</v>
      </c>
      <c r="CB395" s="340">
        <v>201.04</v>
      </c>
      <c r="CC395" s="340" t="s">
        <v>294</v>
      </c>
      <c r="CE395" s="341" t="str">
        <f t="array" ref="CE395">IFERROR(IF($CE$11="Metro",INDEX($BV$13:$BV$4972,SMALL(IF((County=$BW$13:$BW$4972),MATCH(ROW($BW$13:$BW$4972),ROW($BW$13:$BW$4972)),""),ROWS($A$13:$A453))),INDEX($BY$13:$BY$212,SMALL(IF((County=$BZ$13:$BZ$212),MATCH(ROW($BZ$13:$BZ$212),ROW($BZ$13:$BZ$212)),""),ROWS($A$13:$A453)))),"")</f>
        <v/>
      </c>
      <c r="CG395" s="341" t="str">
        <f t="array" ref="CG395">IFERROR(IF($CG$11="Yes",INDEX($CB$13:$CB$2950,SMALL(IF((County=$CC$13:$CC$2950),MATCH(ROW($CC$13:$CC$2950),ROW($CC$13:$CC$2950)),""),ROWS($A$13:$A453))),""),"")</f>
        <v/>
      </c>
      <c r="CI395" s="1583">
        <v>34758</v>
      </c>
      <c r="CJ395" s="338" t="s">
        <v>339</v>
      </c>
      <c r="CL395" s="236">
        <v>10.119999999999999</v>
      </c>
      <c r="CM395" s="236" t="s">
        <v>329</v>
      </c>
      <c r="CR395" s="340">
        <v>22.01</v>
      </c>
      <c r="CS395" s="340" t="s">
        <v>276</v>
      </c>
      <c r="CT395" s="1384"/>
      <c r="CU395" s="341">
        <v>34953</v>
      </c>
      <c r="CV395" s="338" t="s">
        <v>350</v>
      </c>
      <c r="CZ395" s="1795">
        <v>20.07</v>
      </c>
      <c r="DA395" s="338" t="s">
        <v>324</v>
      </c>
      <c r="DF395" s="340">
        <v>301.02</v>
      </c>
      <c r="DG395" s="340" t="s">
        <v>294</v>
      </c>
      <c r="DK395" s="341" t="str">
        <f t="array" ref="DK395">IFERROR(IF($DK$11="Yes",INDEX($DF$13:$DF$2838,SMALL(IF((County=$DG$13:$DG$2838),MATCH(ROW($DG$13:$DG$2838),ROW($DG$13:$DG$2838)),""),ROWS($A$13:$A453))),""),"")</f>
        <v/>
      </c>
      <c r="DM395" s="1387">
        <v>34759</v>
      </c>
      <c r="DN395" s="338" t="s">
        <v>344</v>
      </c>
      <c r="DP395" s="236">
        <v>103.06</v>
      </c>
      <c r="DQ395" s="236" t="s">
        <v>289</v>
      </c>
      <c r="DV395" s="340">
        <v>23.06</v>
      </c>
      <c r="DW395" s="340" t="s">
        <v>347</v>
      </c>
      <c r="DX395" s="1671"/>
      <c r="EB395" s="618"/>
      <c r="EC395" s="618"/>
      <c r="ED395" s="618"/>
      <c r="EE395" s="618"/>
      <c r="EF395" s="618"/>
      <c r="EG395" s="618"/>
      <c r="EH395" s="618"/>
      <c r="EI395" s="618"/>
      <c r="EJ395" s="618"/>
      <c r="EK395" s="618"/>
      <c r="EL395" s="618"/>
      <c r="EM395" s="618"/>
    </row>
    <row r="396" spans="1:143">
      <c r="A396" s="339">
        <v>34987</v>
      </c>
      <c r="B396" s="338" t="s">
        <v>350</v>
      </c>
      <c r="F396" s="338">
        <v>3.06</v>
      </c>
      <c r="G396" s="338" t="s">
        <v>331</v>
      </c>
      <c r="L396" s="2481">
        <v>4503.08</v>
      </c>
      <c r="M396" s="340" t="s">
        <v>295</v>
      </c>
      <c r="N396" s="1390"/>
      <c r="O396" s="2479"/>
      <c r="P396" s="2282"/>
      <c r="T396" s="341" t="str">
        <f t="array" ref="T396">IFERROR(IF($T$11="Yes",INDEX($L$13:$L$2813,SMALL(IF((County=$M$13:$M$2813),MATCH(ROW($M$13:$M$2813),ROW($M$13:$M$2813)),""),ROWS($A$13:A396))),""),"")</f>
        <v/>
      </c>
      <c r="V396" s="2283" t="str">
        <f t="array" ref="V396">IFERROR(IF($T$11="Yes",INDEX($O$14:$O$2811,SMALL(IF((County=$P$14:$P$2811),MATCH(ROW($P$14:$P$2811),ROW($P$14:$P$2811)),""),ROWS($A$13:A397))),""),"")</f>
        <v/>
      </c>
      <c r="X396" s="339">
        <v>34729</v>
      </c>
      <c r="Y396" s="338" t="s">
        <v>322</v>
      </c>
      <c r="AA396" s="338">
        <v>108.22</v>
      </c>
      <c r="AB396" s="338" t="s">
        <v>316</v>
      </c>
      <c r="AG396" s="2297">
        <v>24.11</v>
      </c>
      <c r="AH396" s="2297" t="s">
        <v>324</v>
      </c>
      <c r="AI396" s="1390"/>
      <c r="AJ396" s="2282"/>
      <c r="AK396" s="2282"/>
      <c r="AL396" s="1037"/>
      <c r="AR396" s="338">
        <v>7.2</v>
      </c>
      <c r="AS396" s="338" t="s">
        <v>331</v>
      </c>
      <c r="AX396" s="340">
        <v>203.01</v>
      </c>
      <c r="AY396" s="340" t="s">
        <v>294</v>
      </c>
      <c r="BC396" s="341" t="str">
        <f t="array" ref="BC396">IFERROR(IF($BC$11="Yes",INDEX($AX$13:$AX$2950,SMALL(IF((County=$AY$13:$AY$2950),MATCH(ROW($AY$13:$AY$2950),ROW($AY$13:$AY$2950)),""),ROWS($A$13:$A454))),""),"")</f>
        <v/>
      </c>
      <c r="BH396" s="338">
        <v>100.22</v>
      </c>
      <c r="BI396" s="338" t="s">
        <v>331</v>
      </c>
      <c r="BN396" s="340">
        <v>22.01</v>
      </c>
      <c r="BO396" s="340" t="s">
        <v>276</v>
      </c>
      <c r="BP396" s="1385"/>
      <c r="BQ396" s="1583">
        <v>34986</v>
      </c>
      <c r="BR396" s="236" t="s">
        <v>350</v>
      </c>
      <c r="BV396" s="338">
        <v>405.02</v>
      </c>
      <c r="BW396" s="338" t="s">
        <v>289</v>
      </c>
      <c r="CB396" s="340">
        <v>202.04</v>
      </c>
      <c r="CC396" s="340" t="s">
        <v>294</v>
      </c>
      <c r="CE396" s="341" t="str">
        <f t="array" ref="CE396">IFERROR(IF($CE$11="Metro",INDEX($BV$13:$BV$4972,SMALL(IF((County=$BW$13:$BW$4972),MATCH(ROW($BW$13:$BW$4972),ROW($BW$13:$BW$4972)),""),ROWS($A$13:$A454))),INDEX($BY$13:$BY$212,SMALL(IF((County=$BZ$13:$BZ$212),MATCH(ROW($BZ$13:$BZ$212),ROW($BZ$13:$BZ$212)),""),ROWS($A$13:$A454)))),"")</f>
        <v/>
      </c>
      <c r="CG396" s="341" t="str">
        <f t="array" ref="CG396">IFERROR(IF($CG$11="Yes",INDEX($CB$13:$CB$2950,SMALL(IF((County=$CC$13:$CC$2950),MATCH(ROW($CC$13:$CC$2950),ROW($CC$13:$CC$2950)),""),ROWS($A$13:$A454))),""),"")</f>
        <v/>
      </c>
      <c r="CI396" s="1583">
        <v>34759</v>
      </c>
      <c r="CJ396" s="338" t="s">
        <v>344</v>
      </c>
      <c r="CL396" s="236">
        <v>10.130000000000001</v>
      </c>
      <c r="CM396" s="236" t="s">
        <v>329</v>
      </c>
      <c r="CR396" s="340">
        <v>22.01</v>
      </c>
      <c r="CS396" s="340" t="s">
        <v>329</v>
      </c>
      <c r="CT396" s="1384"/>
      <c r="CU396" s="341">
        <v>34983</v>
      </c>
      <c r="CV396" s="338" t="s">
        <v>350</v>
      </c>
      <c r="CZ396" s="1795">
        <v>20.079999999999998</v>
      </c>
      <c r="DA396" s="338" t="s">
        <v>324</v>
      </c>
      <c r="DF396" s="340">
        <v>302.01</v>
      </c>
      <c r="DG396" s="340" t="s">
        <v>294</v>
      </c>
      <c r="DK396" s="341" t="str">
        <f t="array" ref="DK396">IFERROR(IF($DK$11="Yes",INDEX($DF$13:$DF$2838,SMALL(IF((County=$DG$13:$DG$2838),MATCH(ROW($DG$13:$DG$2838),ROW($DG$13:$DG$2838)),""),ROWS($A$13:$A454))),""),"")</f>
        <v/>
      </c>
      <c r="DM396" s="1387">
        <v>34760</v>
      </c>
      <c r="DN396" s="338" t="s">
        <v>344</v>
      </c>
      <c r="DP396" s="236">
        <v>103.07</v>
      </c>
      <c r="DQ396" s="236" t="s">
        <v>289</v>
      </c>
      <c r="DV396" s="340">
        <v>24</v>
      </c>
      <c r="DW396" s="340" t="s">
        <v>302</v>
      </c>
      <c r="DX396" s="1671"/>
      <c r="EB396" s="618"/>
      <c r="EC396" s="618"/>
      <c r="ED396" s="618"/>
      <c r="EE396" s="618"/>
      <c r="EF396" s="618"/>
      <c r="EG396" s="618"/>
      <c r="EH396" s="618"/>
      <c r="EI396" s="618"/>
      <c r="EJ396" s="618"/>
      <c r="EK396" s="618"/>
      <c r="EL396" s="618"/>
      <c r="EM396" s="618"/>
    </row>
    <row r="397" spans="1:143">
      <c r="A397" s="339">
        <v>32162</v>
      </c>
      <c r="B397" s="338" t="s">
        <v>351</v>
      </c>
      <c r="F397" s="338">
        <v>3.11</v>
      </c>
      <c r="G397" s="338" t="s">
        <v>331</v>
      </c>
      <c r="L397" s="2481">
        <v>4503.09</v>
      </c>
      <c r="M397" s="340" t="s">
        <v>295</v>
      </c>
      <c r="N397" s="1390"/>
      <c r="O397" s="2479"/>
      <c r="P397" s="2282"/>
      <c r="T397" s="341" t="str">
        <f t="array" ref="T397">IFERROR(IF($T$11="Yes",INDEX($L$13:$L$2813,SMALL(IF((County=$M$13:$M$2813),MATCH(ROW($M$13:$M$2813),ROW($M$13:$M$2813)),""),ROWS($A$13:A397))),""),"")</f>
        <v/>
      </c>
      <c r="V397" s="2283" t="str">
        <f t="array" ref="V397">IFERROR(IF($T$11="Yes",INDEX($O$14:$O$2811,SMALL(IF((County=$P$14:$P$2811),MATCH(ROW($P$14:$P$2811),ROW($P$14:$P$2811)),""),ROWS($A$13:A398))),""),"")</f>
        <v/>
      </c>
      <c r="X397" s="339">
        <v>34734</v>
      </c>
      <c r="Y397" s="338" t="s">
        <v>338</v>
      </c>
      <c r="AA397" s="338">
        <v>108.23</v>
      </c>
      <c r="AB397" s="338" t="s">
        <v>316</v>
      </c>
      <c r="AG397" s="2297">
        <v>24.13</v>
      </c>
      <c r="AH397" s="2297" t="s">
        <v>324</v>
      </c>
      <c r="AI397" s="1390"/>
      <c r="AJ397" s="2282"/>
      <c r="AK397" s="2282"/>
      <c r="AL397" s="1037"/>
      <c r="AR397" s="338">
        <v>8.0399999999999991</v>
      </c>
      <c r="AS397" s="338" t="s">
        <v>331</v>
      </c>
      <c r="AX397" s="340">
        <v>204.01</v>
      </c>
      <c r="AY397" s="340" t="s">
        <v>294</v>
      </c>
      <c r="BC397" s="341" t="str">
        <f t="array" ref="BC397">IFERROR(IF($BC$11="Yes",INDEX($AX$13:$AX$2950,SMALL(IF((County=$AY$13:$AY$2950),MATCH(ROW($AY$13:$AY$2950),ROW($AY$13:$AY$2950)),""),ROWS($A$13:$A455))),""),"")</f>
        <v/>
      </c>
      <c r="BH397" s="338">
        <v>100.23</v>
      </c>
      <c r="BI397" s="338" t="s">
        <v>331</v>
      </c>
      <c r="BN397" s="340">
        <v>22.01</v>
      </c>
      <c r="BO397" s="340" t="s">
        <v>329</v>
      </c>
      <c r="BP397" s="1385"/>
      <c r="BQ397" s="1583">
        <v>34987</v>
      </c>
      <c r="BR397" s="236" t="s">
        <v>350</v>
      </c>
      <c r="BV397" s="338">
        <v>405.03</v>
      </c>
      <c r="BW397" s="338" t="s">
        <v>289</v>
      </c>
      <c r="CB397" s="340">
        <v>202.06</v>
      </c>
      <c r="CC397" s="340" t="s">
        <v>294</v>
      </c>
      <c r="CE397" s="341" t="str">
        <f t="array" ref="CE397">IFERROR(IF($CE$11="Metro",INDEX($BV$13:$BV$4972,SMALL(IF((County=$BW$13:$BW$4972),MATCH(ROW($BW$13:$BW$4972),ROW($BW$13:$BW$4972)),""),ROWS($A$13:$A455))),INDEX($BY$13:$BY$212,SMALL(IF((County=$BZ$13:$BZ$212),MATCH(ROW($BZ$13:$BZ$212),ROW($BZ$13:$BZ$212)),""),ROWS($A$13:$A455)))),"")</f>
        <v/>
      </c>
      <c r="CG397" s="341" t="str">
        <f t="array" ref="CG397">IFERROR(IF($CG$11="Yes",INDEX($CB$13:$CB$2950,SMALL(IF((County=$CC$13:$CC$2950),MATCH(ROW($CC$13:$CC$2950),ROW($CC$13:$CC$2950)),""),ROWS($A$13:$A455))),""),"")</f>
        <v/>
      </c>
      <c r="CI397" s="1583">
        <v>34760</v>
      </c>
      <c r="CJ397" s="338" t="s">
        <v>338</v>
      </c>
      <c r="CL397" s="338">
        <v>11</v>
      </c>
      <c r="CM397" s="338" t="s">
        <v>276</v>
      </c>
      <c r="CR397" s="340">
        <v>22.01</v>
      </c>
      <c r="CS397" s="340" t="s">
        <v>331</v>
      </c>
      <c r="CT397" s="1384"/>
      <c r="CU397" s="341">
        <v>34984</v>
      </c>
      <c r="CV397" s="338" t="s">
        <v>350</v>
      </c>
      <c r="CZ397" s="1795">
        <v>21.03</v>
      </c>
      <c r="DA397" s="338" t="s">
        <v>324</v>
      </c>
      <c r="DF397" s="340">
        <v>302.02</v>
      </c>
      <c r="DG397" s="340" t="s">
        <v>294</v>
      </c>
      <c r="DK397" s="341" t="str">
        <f t="array" ref="DK397">IFERROR(IF($DK$11="Yes",INDEX($DF$13:$DF$2838,SMALL(IF((County=$DG$13:$DG$2838),MATCH(ROW($DG$13:$DG$2838),ROW($DG$13:$DG$2838)),""),ROWS($A$13:$A455))),""),"")</f>
        <v/>
      </c>
      <c r="DM397" s="1387">
        <v>34761</v>
      </c>
      <c r="DN397" s="338" t="s">
        <v>338</v>
      </c>
      <c r="DP397" s="236">
        <v>104</v>
      </c>
      <c r="DQ397" s="236" t="s">
        <v>338</v>
      </c>
      <c r="DV397" s="340">
        <v>24</v>
      </c>
      <c r="DW397" s="340" t="s">
        <v>304</v>
      </c>
      <c r="DX397" s="1671"/>
      <c r="EB397" s="618"/>
      <c r="EC397" s="618"/>
      <c r="ED397" s="618"/>
      <c r="EE397" s="618"/>
      <c r="EF397" s="618"/>
      <c r="EG397" s="618"/>
      <c r="EH397" s="618"/>
      <c r="EI397" s="618"/>
      <c r="EJ397" s="618"/>
      <c r="EK397" s="618"/>
      <c r="EL397" s="618"/>
      <c r="EM397" s="618"/>
    </row>
    <row r="398" spans="1:143">
      <c r="A398" s="339">
        <v>32163</v>
      </c>
      <c r="B398" s="338" t="s">
        <v>351</v>
      </c>
      <c r="F398" s="338">
        <v>4.0199999999999996</v>
      </c>
      <c r="G398" s="338" t="s">
        <v>331</v>
      </c>
      <c r="L398" s="2481">
        <v>4503.1000000000004</v>
      </c>
      <c r="M398" s="340" t="s">
        <v>295</v>
      </c>
      <c r="N398" s="1390"/>
      <c r="O398" s="2479"/>
      <c r="P398" s="2282"/>
      <c r="T398" s="341" t="str">
        <f t="array" ref="T398">IFERROR(IF($T$11="Yes",INDEX($L$13:$L$2813,SMALL(IF((County=$M$13:$M$2813),MATCH(ROW($M$13:$M$2813),ROW($M$13:$M$2813)),""),ROWS($A$13:A398))),""),"")</f>
        <v/>
      </c>
      <c r="V398" s="2283" t="str">
        <f t="array" ref="V398">IFERROR(IF($T$11="Yes",INDEX($O$14:$O$2811,SMALL(IF((County=$P$14:$P$2811),MATCH(ROW($P$14:$P$2811),ROW($P$14:$P$2811)),""),ROWS($A$13:A399))),""),"")</f>
        <v/>
      </c>
      <c r="X398" s="339">
        <v>34736</v>
      </c>
      <c r="Y398" s="338" t="s">
        <v>322</v>
      </c>
      <c r="AA398" s="338">
        <v>108.24</v>
      </c>
      <c r="AB398" s="338" t="s">
        <v>316</v>
      </c>
      <c r="AG398" s="2297">
        <v>24.14</v>
      </c>
      <c r="AH398" s="2297" t="s">
        <v>324</v>
      </c>
      <c r="AI398" s="1390"/>
      <c r="AJ398" s="2282"/>
      <c r="AK398" s="2282"/>
      <c r="AL398" s="1037"/>
      <c r="AR398" s="338">
        <v>8.0500000000000007</v>
      </c>
      <c r="AS398" s="338" t="s">
        <v>331</v>
      </c>
      <c r="AX398" s="340">
        <v>204.02</v>
      </c>
      <c r="AY398" s="340" t="s">
        <v>294</v>
      </c>
      <c r="BC398" s="341" t="str">
        <f t="array" ref="BC398">IFERROR(IF($BC$11="Yes",INDEX($AX$13:$AX$2950,SMALL(IF((County=$AY$13:$AY$2950),MATCH(ROW($AY$13:$AY$2950),ROW($AY$13:$AY$2950)),""),ROWS($A$13:$A456))),""),"")</f>
        <v/>
      </c>
      <c r="BH398" s="338">
        <v>100.24</v>
      </c>
      <c r="BI398" s="338" t="s">
        <v>331</v>
      </c>
      <c r="BN398" s="340">
        <v>22.01</v>
      </c>
      <c r="BO398" s="340" t="s">
        <v>331</v>
      </c>
      <c r="BP398" s="1385"/>
      <c r="BQ398" s="1583">
        <v>32162</v>
      </c>
      <c r="BR398" s="236" t="s">
        <v>351</v>
      </c>
      <c r="BV398" s="338">
        <v>405.05</v>
      </c>
      <c r="BW398" s="338" t="s">
        <v>289</v>
      </c>
      <c r="CB398" s="340">
        <v>203.03</v>
      </c>
      <c r="CC398" s="340" t="s">
        <v>294</v>
      </c>
      <c r="CE398" s="341" t="str">
        <f t="array" ref="CE398">IFERROR(IF($CE$11="Metro",INDEX($BV$13:$BV$4972,SMALL(IF((County=$BW$13:$BW$4972),MATCH(ROW($BW$13:$BW$4972),ROW($BW$13:$BW$4972)),""),ROWS($A$13:$A456))),INDEX($BY$13:$BY$212,SMALL(IF((County=$BZ$13:$BZ$212),MATCH(ROW($BZ$13:$BZ$212),ROW($BZ$13:$BZ$212)),""),ROWS($A$13:$A456)))),"")</f>
        <v/>
      </c>
      <c r="CG398" s="341" t="str">
        <f t="array" ref="CG398">IFERROR(IF($CG$11="Yes",INDEX($CB$13:$CB$2950,SMALL(IF((County=$CC$13:$CC$2950),MATCH(ROW($CC$13:$CC$2950),ROW($CC$13:$CC$2950)),""),ROWS($A$13:$A456))),""),"")</f>
        <v/>
      </c>
      <c r="CI398" s="1583">
        <v>34761</v>
      </c>
      <c r="CJ398" s="338" t="s">
        <v>338</v>
      </c>
      <c r="CL398" s="338">
        <v>11</v>
      </c>
      <c r="CM398" s="338" t="s">
        <v>285</v>
      </c>
      <c r="CR398" s="340">
        <v>22.02</v>
      </c>
      <c r="CS398" s="340" t="s">
        <v>276</v>
      </c>
      <c r="CT398" s="1384"/>
      <c r="CU398" s="341">
        <v>34986</v>
      </c>
      <c r="CV398" s="338" t="s">
        <v>350</v>
      </c>
      <c r="CZ398" s="1795">
        <v>21.05</v>
      </c>
      <c r="DA398" s="338" t="s">
        <v>324</v>
      </c>
      <c r="DF398" s="340">
        <v>303.01</v>
      </c>
      <c r="DG398" s="340" t="s">
        <v>294</v>
      </c>
      <c r="DK398" s="341" t="str">
        <f t="array" ref="DK398">IFERROR(IF($DK$11="Yes",INDEX($DF$13:$DF$2838,SMALL(IF((County=$DG$13:$DG$2838),MATCH(ROW($DG$13:$DG$2838),ROW($DG$13:$DG$2838)),""),ROWS($A$13:$A456))),""),"")</f>
        <v/>
      </c>
      <c r="DM398" s="1387">
        <v>34772</v>
      </c>
      <c r="DN398" s="338" t="s">
        <v>339</v>
      </c>
      <c r="DP398" s="236">
        <v>104.01</v>
      </c>
      <c r="DQ398" s="236" t="s">
        <v>316</v>
      </c>
      <c r="DV398" s="340">
        <v>24</v>
      </c>
      <c r="DW398" s="340" t="s">
        <v>316</v>
      </c>
      <c r="DX398" s="1671"/>
      <c r="EB398" s="618"/>
      <c r="EC398" s="618"/>
      <c r="ED398" s="618"/>
      <c r="EE398" s="618"/>
      <c r="EF398" s="618"/>
      <c r="EG398" s="618"/>
      <c r="EH398" s="618"/>
      <c r="EI398" s="618"/>
      <c r="EJ398" s="618"/>
      <c r="EK398" s="618"/>
      <c r="EL398" s="618"/>
      <c r="EM398" s="618"/>
    </row>
    <row r="399" spans="1:143">
      <c r="A399" s="339">
        <v>32119</v>
      </c>
      <c r="B399" s="338" t="s">
        <v>355</v>
      </c>
      <c r="F399" s="338">
        <v>4.05</v>
      </c>
      <c r="G399" s="338" t="s">
        <v>331</v>
      </c>
      <c r="L399" s="2481">
        <v>4507.03</v>
      </c>
      <c r="M399" s="340" t="s">
        <v>295</v>
      </c>
      <c r="N399" s="1390"/>
      <c r="O399" s="2479"/>
      <c r="P399" s="2282"/>
      <c r="T399" s="1383" t="s">
        <v>2328</v>
      </c>
      <c r="V399" s="1383" t="s">
        <v>2328</v>
      </c>
      <c r="X399" s="339">
        <v>34737</v>
      </c>
      <c r="Y399" s="338" t="s">
        <v>322</v>
      </c>
      <c r="AA399" s="338">
        <v>109</v>
      </c>
      <c r="AB399" s="338" t="s">
        <v>331</v>
      </c>
      <c r="AG399" s="2297">
        <v>24.15</v>
      </c>
      <c r="AH399" s="2297" t="s">
        <v>324</v>
      </c>
      <c r="AI399" s="1390"/>
      <c r="AJ399" s="2282"/>
      <c r="AK399" s="2282"/>
      <c r="AL399" s="1037"/>
      <c r="AR399" s="338">
        <v>8.06</v>
      </c>
      <c r="AS399" s="338" t="s">
        <v>331</v>
      </c>
      <c r="AX399" s="340">
        <v>205.01</v>
      </c>
      <c r="AY399" s="340" t="s">
        <v>294</v>
      </c>
      <c r="BC399" s="341" t="str">
        <f t="array" ref="BC399">IFERROR(IF($BC$11="Yes",INDEX($AX$13:$AX$2950,SMALL(IF((County=$AY$13:$AY$2950),MATCH(ROW($AY$13:$AY$2950),ROW($AY$13:$AY$2950)),""),ROWS($A$13:$A457))),""),"")</f>
        <v/>
      </c>
      <c r="BH399" s="338">
        <v>100.25</v>
      </c>
      <c r="BI399" s="338" t="s">
        <v>331</v>
      </c>
      <c r="BN399" s="340">
        <v>22.02</v>
      </c>
      <c r="BO399" s="340" t="s">
        <v>276</v>
      </c>
      <c r="BP399" s="1385"/>
      <c r="BQ399" s="1387">
        <v>32124</v>
      </c>
      <c r="BR399" s="236" t="s">
        <v>355</v>
      </c>
      <c r="BV399" s="338">
        <v>405.06</v>
      </c>
      <c r="BW399" s="338" t="s">
        <v>289</v>
      </c>
      <c r="CB399" s="340">
        <v>204.01</v>
      </c>
      <c r="CC399" s="340" t="s">
        <v>294</v>
      </c>
      <c r="CE399" s="341" t="str">
        <f t="array" ref="CE399">IFERROR(IF($CE$11="Metro",INDEX($BV$13:$BV$4972,SMALL(IF((County=$BW$13:$BW$4972),MATCH(ROW($BW$13:$BW$4972),ROW($BW$13:$BW$4972)),""),ROWS($A$13:$A457))),INDEX($BY$13:$BY$212,SMALL(IF((County=$BZ$13:$BZ$212),MATCH(ROW($BZ$13:$BZ$212),ROW($BZ$13:$BZ$212)),""),ROWS($A$13:$A457)))),"")</f>
        <v/>
      </c>
      <c r="CG399" s="341" t="str">
        <f t="array" ref="CG399">IFERROR(IF($CG$11="Yes",INDEX($CB$13:$CB$2950,SMALL(IF((County=$CC$13:$CC$2950),MATCH(ROW($CC$13:$CC$2950),ROW($CC$13:$CC$2950)),""),ROWS($A$13:$A457))),""),"")</f>
        <v/>
      </c>
      <c r="CI399" s="1583">
        <v>34772</v>
      </c>
      <c r="CJ399" s="338" t="s">
        <v>339</v>
      </c>
      <c r="CL399" s="236">
        <v>11</v>
      </c>
      <c r="CM399" s="236" t="s">
        <v>302</v>
      </c>
      <c r="CR399" s="340">
        <v>22.02</v>
      </c>
      <c r="CS399" s="340" t="s">
        <v>329</v>
      </c>
      <c r="CT399" s="1384"/>
      <c r="CU399" s="341">
        <v>34987</v>
      </c>
      <c r="CV399" s="338" t="s">
        <v>350</v>
      </c>
      <c r="CZ399" s="1795">
        <v>22.01</v>
      </c>
      <c r="DA399" s="338" t="s">
        <v>324</v>
      </c>
      <c r="DF399" s="340">
        <v>304.02</v>
      </c>
      <c r="DG399" s="340" t="s">
        <v>294</v>
      </c>
      <c r="DK399" s="341" t="str">
        <f t="array" ref="DK399">IFERROR(IF($DK$11="Yes",INDEX($DF$13:$DF$2838,SMALL(IF((County=$DG$13:$DG$2838),MATCH(ROW($DG$13:$DG$2838),ROW($DG$13:$DG$2838)),""),ROWS($A$13:$A457))),""),"")</f>
        <v/>
      </c>
      <c r="DM399" s="1387">
        <v>34773</v>
      </c>
      <c r="DN399" s="338" t="s">
        <v>339</v>
      </c>
      <c r="DP399" s="236">
        <v>104.02</v>
      </c>
      <c r="DQ399" s="236" t="s">
        <v>302</v>
      </c>
      <c r="DV399" s="340">
        <v>24.01</v>
      </c>
      <c r="DW399" s="340" t="s">
        <v>329</v>
      </c>
      <c r="DX399" s="1671"/>
      <c r="EB399" s="618"/>
      <c r="EC399" s="618"/>
      <c r="ED399" s="618"/>
      <c r="EE399" s="618"/>
      <c r="EF399" s="618"/>
      <c r="EG399" s="618"/>
      <c r="EH399" s="618"/>
      <c r="EI399" s="618"/>
      <c r="EJ399" s="618"/>
      <c r="EK399" s="618"/>
      <c r="EL399" s="618"/>
      <c r="EM399" s="618"/>
    </row>
    <row r="400" spans="1:143">
      <c r="A400" s="339">
        <v>32124</v>
      </c>
      <c r="B400" s="338" t="s">
        <v>355</v>
      </c>
      <c r="F400" s="338">
        <v>4.08</v>
      </c>
      <c r="G400" s="338" t="s">
        <v>331</v>
      </c>
      <c r="L400" s="2481">
        <v>4507.05</v>
      </c>
      <c r="M400" s="340" t="s">
        <v>295</v>
      </c>
      <c r="N400" s="1390"/>
      <c r="O400" s="2479"/>
      <c r="P400" s="2282"/>
      <c r="X400" s="339">
        <v>34743</v>
      </c>
      <c r="Y400" s="338" t="s">
        <v>339</v>
      </c>
      <c r="AA400" s="338">
        <v>109</v>
      </c>
      <c r="AB400" s="338" t="s">
        <v>344</v>
      </c>
      <c r="AG400" s="2297">
        <v>24.16</v>
      </c>
      <c r="AH400" s="2297" t="s">
        <v>324</v>
      </c>
      <c r="AI400" s="1390"/>
      <c r="AJ400" s="2282"/>
      <c r="AK400" s="2282"/>
      <c r="AL400" s="1037"/>
      <c r="AR400" s="338">
        <v>8.07</v>
      </c>
      <c r="AS400" s="338" t="s">
        <v>331</v>
      </c>
      <c r="AX400" s="340">
        <v>205.02</v>
      </c>
      <c r="AY400" s="340" t="s">
        <v>294</v>
      </c>
      <c r="BC400" s="341" t="str">
        <f t="array" ref="BC400">IFERROR(IF($BC$11="Yes",INDEX($AX$13:$AX$2950,SMALL(IF((County=$AY$13:$AY$2950),MATCH(ROW($AY$13:$AY$2950),ROW($AY$13:$AY$2950)),""),ROWS($A$13:$A458))),""),"")</f>
        <v/>
      </c>
      <c r="BH400" s="338">
        <v>100.26</v>
      </c>
      <c r="BI400" s="338" t="s">
        <v>331</v>
      </c>
      <c r="BN400" s="340">
        <v>22.02</v>
      </c>
      <c r="BO400" s="340" t="s">
        <v>329</v>
      </c>
      <c r="BP400" s="1385"/>
      <c r="BQ400" s="1387">
        <v>32127</v>
      </c>
      <c r="BR400" s="236" t="s">
        <v>355</v>
      </c>
      <c r="BV400" s="338">
        <v>406.01</v>
      </c>
      <c r="BW400" s="338" t="s">
        <v>289</v>
      </c>
      <c r="CB400" s="340">
        <v>204.02</v>
      </c>
      <c r="CC400" s="340" t="s">
        <v>294</v>
      </c>
      <c r="CE400" s="341" t="str">
        <f t="array" ref="CE400">IFERROR(IF($CE$11="Metro",INDEX($BV$13:$BV$4972,SMALL(IF((County=$BW$13:$BW$4972),MATCH(ROW($BW$13:$BW$4972),ROW($BW$13:$BW$4972)),""),ROWS($A$13:$A458))),INDEX($BY$13:$BY$212,SMALL(IF((County=$BZ$13:$BZ$212),MATCH(ROW($BZ$13:$BZ$212),ROW($BZ$13:$BZ$212)),""),ROWS($A$13:$A458)))),"")</f>
        <v/>
      </c>
      <c r="CG400" s="341" t="str">
        <f t="array" ref="CG400">IFERROR(IF($CG$11="Yes",INDEX($CB$13:$CB$2950,SMALL(IF((County=$CC$13:$CC$2950),MATCH(ROW($CC$13:$CC$2950),ROW($CC$13:$CC$2950)),""),ROWS($A$13:$A458))),""),"")</f>
        <v/>
      </c>
      <c r="CI400" s="1583">
        <v>34773</v>
      </c>
      <c r="CJ400" s="338" t="s">
        <v>339</v>
      </c>
      <c r="CL400" s="236">
        <v>11</v>
      </c>
      <c r="CM400" s="236" t="s">
        <v>316</v>
      </c>
      <c r="CR400" s="340">
        <v>22.03</v>
      </c>
      <c r="CS400" s="340" t="s">
        <v>329</v>
      </c>
      <c r="CT400" s="1384"/>
      <c r="CU400" s="341">
        <v>32162</v>
      </c>
      <c r="CV400" s="338" t="s">
        <v>351</v>
      </c>
      <c r="CZ400" s="1795">
        <v>9502.02</v>
      </c>
      <c r="DA400" s="338" t="s">
        <v>326</v>
      </c>
      <c r="DF400" s="340">
        <v>305.01</v>
      </c>
      <c r="DG400" s="340" t="s">
        <v>294</v>
      </c>
      <c r="DK400" s="341" t="str">
        <f t="array" ref="DK400">IFERROR(IF($DK$11="Yes",INDEX($DF$13:$DF$2838,SMALL(IF((County=$DG$13:$DG$2838),MATCH(ROW($DG$13:$DG$2838),ROW($DG$13:$DG$2838)),""),ROWS($A$13:$A458))),""),"")</f>
        <v/>
      </c>
      <c r="DM400" s="1387">
        <v>34786</v>
      </c>
      <c r="DN400" s="338" t="s">
        <v>338</v>
      </c>
      <c r="DP400" s="236">
        <v>104.02</v>
      </c>
      <c r="DQ400" s="236" t="s">
        <v>316</v>
      </c>
      <c r="DV400" s="340">
        <v>24.01</v>
      </c>
      <c r="DW400" s="340" t="s">
        <v>347</v>
      </c>
      <c r="DX400" s="1671"/>
      <c r="EB400" s="618"/>
      <c r="EC400" s="618"/>
      <c r="ED400" s="618"/>
      <c r="EE400" s="618"/>
      <c r="EF400" s="618"/>
      <c r="EG400" s="618"/>
      <c r="EH400" s="618"/>
      <c r="EI400" s="618"/>
      <c r="EJ400" s="618"/>
      <c r="EK400" s="618"/>
      <c r="EL400" s="618"/>
      <c r="EM400" s="618"/>
    </row>
    <row r="401" spans="1:143">
      <c r="A401" s="339">
        <v>32127</v>
      </c>
      <c r="B401" s="338" t="s">
        <v>355</v>
      </c>
      <c r="F401" s="338">
        <v>4.0999999999999996</v>
      </c>
      <c r="G401" s="338" t="s">
        <v>331</v>
      </c>
      <c r="L401" s="2481">
        <v>4507.0600000000004</v>
      </c>
      <c r="M401" s="340" t="s">
        <v>295</v>
      </c>
      <c r="N401" s="1390"/>
      <c r="O401" s="2479"/>
      <c r="P401" s="2282"/>
      <c r="X401" s="339">
        <v>34746</v>
      </c>
      <c r="Y401" s="338" t="s">
        <v>339</v>
      </c>
      <c r="AA401" s="338">
        <v>110</v>
      </c>
      <c r="AB401" s="338" t="s">
        <v>302</v>
      </c>
      <c r="AG401" s="2297">
        <v>24.18</v>
      </c>
      <c r="AH401" s="2297" t="s">
        <v>324</v>
      </c>
      <c r="AI401" s="1390"/>
      <c r="AJ401" s="2282"/>
      <c r="AK401" s="2282"/>
      <c r="AL401" s="1037"/>
      <c r="AR401" s="338">
        <v>8.08</v>
      </c>
      <c r="AS401" s="338" t="s">
        <v>331</v>
      </c>
      <c r="AX401" s="340">
        <v>206.01</v>
      </c>
      <c r="AY401" s="340" t="s">
        <v>294</v>
      </c>
      <c r="BC401" s="341" t="str">
        <f t="array" ref="BC401">IFERROR(IF($BC$11="Yes",INDEX($AX$13:$AX$2950,SMALL(IF((County=$AY$13:$AY$2950),MATCH(ROW($AY$13:$AY$2950),ROW($AY$13:$AY$2950)),""),ROWS($A$13:$A459))),""),"")</f>
        <v/>
      </c>
      <c r="BH401" s="338">
        <v>102.03</v>
      </c>
      <c r="BI401" s="338" t="s">
        <v>316</v>
      </c>
      <c r="BN401" s="340">
        <v>22.03</v>
      </c>
      <c r="BO401" s="340" t="s">
        <v>329</v>
      </c>
      <c r="BP401" s="1385"/>
      <c r="BQ401" s="1387">
        <v>32128</v>
      </c>
      <c r="BR401" s="236" t="s">
        <v>355</v>
      </c>
      <c r="BV401" s="338">
        <v>406.02</v>
      </c>
      <c r="BW401" s="338" t="s">
        <v>289</v>
      </c>
      <c r="CB401" s="340">
        <v>205.01</v>
      </c>
      <c r="CC401" s="340" t="s">
        <v>294</v>
      </c>
      <c r="CE401" s="341" t="str">
        <f t="array" ref="CE401">IFERROR(IF($CE$11="Metro",INDEX($BV$13:$BV$4972,SMALL(IF((County=$BW$13:$BW$4972),MATCH(ROW($BW$13:$BW$4972),ROW($BW$13:$BW$4972)),""),ROWS($A$13:$A459))),INDEX($BY$13:$BY$212,SMALL(IF((County=$BZ$13:$BZ$212),MATCH(ROW($BZ$13:$BZ$212),ROW($BZ$13:$BZ$212)),""),ROWS($A$13:$A459)))),"")</f>
        <v/>
      </c>
      <c r="CG401" s="341" t="str">
        <f t="array" ref="CG401">IFERROR(IF($CG$11="Yes",INDEX($CB$13:$CB$2950,SMALL(IF((County=$CC$13:$CC$2950),MATCH(ROW($CC$13:$CC$2950),ROW($CC$13:$CC$2950)),""),ROWS($A$13:$A459))),""),"")</f>
        <v/>
      </c>
      <c r="CI401" s="1583">
        <v>34786</v>
      </c>
      <c r="CJ401" s="338" t="s">
        <v>338</v>
      </c>
      <c r="CL401" s="236">
        <v>11.01</v>
      </c>
      <c r="CM401" s="236" t="s">
        <v>304</v>
      </c>
      <c r="CR401" s="340">
        <v>22.04</v>
      </c>
      <c r="CS401" s="340" t="s">
        <v>276</v>
      </c>
      <c r="CT401" s="1384"/>
      <c r="CU401" s="341">
        <v>32124</v>
      </c>
      <c r="CV401" s="338" t="s">
        <v>355</v>
      </c>
      <c r="CZ401" s="1795">
        <v>1102</v>
      </c>
      <c r="DA401" s="338" t="s">
        <v>327</v>
      </c>
      <c r="DF401" s="340">
        <v>305.04000000000002</v>
      </c>
      <c r="DG401" s="340" t="s">
        <v>294</v>
      </c>
      <c r="DK401" s="1383" t="s">
        <v>2328</v>
      </c>
      <c r="DM401" s="1387">
        <v>34787</v>
      </c>
      <c r="DN401" s="338" t="s">
        <v>338</v>
      </c>
      <c r="DP401" s="236">
        <v>104.03</v>
      </c>
      <c r="DQ401" s="236" t="s">
        <v>289</v>
      </c>
      <c r="DV401" s="340">
        <v>24.02</v>
      </c>
      <c r="DW401" s="340" t="s">
        <v>329</v>
      </c>
      <c r="DX401" s="1671"/>
      <c r="EB401" s="618"/>
      <c r="EC401" s="618"/>
      <c r="ED401" s="618"/>
      <c r="EE401" s="618"/>
      <c r="EF401" s="618"/>
      <c r="EG401" s="618"/>
      <c r="EH401" s="618"/>
      <c r="EI401" s="618"/>
      <c r="EJ401" s="618"/>
      <c r="EK401" s="618"/>
      <c r="EL401" s="618"/>
      <c r="EM401" s="618"/>
    </row>
    <row r="402" spans="1:143">
      <c r="A402" s="339">
        <v>32128</v>
      </c>
      <c r="B402" s="338" t="s">
        <v>355</v>
      </c>
      <c r="F402" s="338">
        <v>4.1100000000000003</v>
      </c>
      <c r="G402" s="338" t="s">
        <v>331</v>
      </c>
      <c r="L402" s="2481">
        <v>4511.01</v>
      </c>
      <c r="M402" s="340" t="s">
        <v>295</v>
      </c>
      <c r="N402" s="1390"/>
      <c r="O402" s="2479"/>
      <c r="P402" s="2282"/>
      <c r="X402" s="339">
        <v>34747</v>
      </c>
      <c r="Y402" s="338" t="s">
        <v>339</v>
      </c>
      <c r="AA402" s="338">
        <v>110</v>
      </c>
      <c r="AB402" s="338" t="s">
        <v>344</v>
      </c>
      <c r="AG402" s="2297">
        <v>24.19</v>
      </c>
      <c r="AH402" s="2297" t="s">
        <v>324</v>
      </c>
      <c r="AI402" s="1390"/>
      <c r="AJ402" s="2282"/>
      <c r="AK402" s="2282"/>
      <c r="AL402" s="1037"/>
      <c r="AR402" s="338">
        <v>9.0299999999999994</v>
      </c>
      <c r="AS402" s="338" t="s">
        <v>331</v>
      </c>
      <c r="AX402" s="340">
        <v>209</v>
      </c>
      <c r="AY402" s="340" t="s">
        <v>294</v>
      </c>
      <c r="BC402" s="341" t="str">
        <f t="array" ref="BC402">IFERROR(IF($BC$11="Yes",INDEX($AX$13:$AX$2950,SMALL(IF((County=$AY$13:$AY$2950),MATCH(ROW($AY$13:$AY$2950),ROW($AY$13:$AY$2950)),""),ROWS($A$13:$A460))),""),"")</f>
        <v/>
      </c>
      <c r="BH402" s="338">
        <v>102.07</v>
      </c>
      <c r="BI402" s="338" t="s">
        <v>331</v>
      </c>
      <c r="BN402" s="340">
        <v>22.04</v>
      </c>
      <c r="BO402" s="340" t="s">
        <v>276</v>
      </c>
      <c r="BP402" s="1385"/>
      <c r="BQ402" s="1387">
        <v>32129</v>
      </c>
      <c r="BR402" s="236" t="s">
        <v>355</v>
      </c>
      <c r="BV402" s="338">
        <v>407.01</v>
      </c>
      <c r="BW402" s="338" t="s">
        <v>289</v>
      </c>
      <c r="CB402" s="340">
        <v>205.02</v>
      </c>
      <c r="CC402" s="340" t="s">
        <v>294</v>
      </c>
      <c r="CE402" s="341" t="str">
        <f t="array" ref="CE402">IFERROR(IF($CE$11="Metro",INDEX($BV$13:$BV$4972,SMALL(IF((County=$BW$13:$BW$4972),MATCH(ROW($BW$13:$BW$4972),ROW($BW$13:$BW$4972)),""),ROWS($A$13:$A460))),INDEX($BY$13:$BY$212,SMALL(IF((County=$BZ$13:$BZ$212),MATCH(ROW($BZ$13:$BZ$212),ROW($BZ$13:$BZ$212)),""),ROWS($A$13:$A460)))),"")</f>
        <v/>
      </c>
      <c r="CG402" s="341" t="str">
        <f t="array" ref="CG402">IFERROR(IF($CG$11="Yes",INDEX($CB$13:$CB$2950,SMALL(IF((County=$CC$13:$CC$2950),MATCH(ROW($CC$13:$CC$2950),ROW($CC$13:$CC$2950)),""),ROWS($A$13:$A460))),""),"")</f>
        <v/>
      </c>
      <c r="CI402" s="1583">
        <v>34787</v>
      </c>
      <c r="CJ402" s="338" t="s">
        <v>338</v>
      </c>
      <c r="CL402" s="236">
        <v>11.01</v>
      </c>
      <c r="CM402" s="236" t="s">
        <v>323</v>
      </c>
      <c r="CR402" s="340">
        <v>22.04</v>
      </c>
      <c r="CS402" s="340" t="s">
        <v>347</v>
      </c>
      <c r="CT402" s="1384"/>
      <c r="CU402" s="341">
        <v>32128</v>
      </c>
      <c r="CV402" s="338" t="s">
        <v>355</v>
      </c>
      <c r="CZ402" s="1795">
        <v>1103.02</v>
      </c>
      <c r="DA402" s="338" t="s">
        <v>327</v>
      </c>
      <c r="DF402" s="340">
        <v>305.05</v>
      </c>
      <c r="DG402" s="340" t="s">
        <v>294</v>
      </c>
      <c r="DM402" s="1387">
        <v>34952</v>
      </c>
      <c r="DN402" s="338" t="s">
        <v>350</v>
      </c>
      <c r="DP402" s="236">
        <v>104.04</v>
      </c>
      <c r="DQ402" s="236" t="s">
        <v>2580</v>
      </c>
      <c r="DV402" s="340">
        <v>24.03</v>
      </c>
      <c r="DW402" s="340" t="s">
        <v>324</v>
      </c>
      <c r="DX402" s="1671"/>
      <c r="EB402" s="618"/>
      <c r="EC402" s="618"/>
      <c r="ED402" s="618"/>
      <c r="EE402" s="618"/>
      <c r="EF402" s="618"/>
      <c r="EG402" s="618"/>
      <c r="EH402" s="618"/>
      <c r="EI402" s="618"/>
      <c r="EJ402" s="618"/>
      <c r="EK402" s="618"/>
      <c r="EL402" s="618"/>
      <c r="EM402" s="618"/>
    </row>
    <row r="403" spans="1:143">
      <c r="A403" s="339">
        <v>32129</v>
      </c>
      <c r="B403" s="338" t="s">
        <v>355</v>
      </c>
      <c r="F403" s="338">
        <v>4.13</v>
      </c>
      <c r="G403" s="338" t="s">
        <v>331</v>
      </c>
      <c r="L403" s="2481">
        <v>4511.03</v>
      </c>
      <c r="M403" s="340" t="s">
        <v>295</v>
      </c>
      <c r="N403" s="1390"/>
      <c r="O403" s="2479"/>
      <c r="P403" s="2282"/>
      <c r="X403" s="339">
        <v>34758</v>
      </c>
      <c r="Y403" s="338" t="s">
        <v>339</v>
      </c>
      <c r="AA403" s="338">
        <v>110.03</v>
      </c>
      <c r="AB403" s="338" t="s">
        <v>316</v>
      </c>
      <c r="AG403" s="2297">
        <v>24.2</v>
      </c>
      <c r="AH403" s="2297" t="s">
        <v>324</v>
      </c>
      <c r="AI403" s="1390"/>
      <c r="AJ403" s="2282"/>
      <c r="AK403" s="2282"/>
      <c r="AL403" s="1037"/>
      <c r="AR403" s="338">
        <v>9.0399999999999991</v>
      </c>
      <c r="AS403" s="338" t="s">
        <v>331</v>
      </c>
      <c r="AX403" s="340">
        <v>210.01</v>
      </c>
      <c r="AY403" s="340" t="s">
        <v>294</v>
      </c>
      <c r="BC403" s="341" t="str">
        <f t="array" ref="BC403">IFERROR(IF($BC$11="Yes",INDEX($AX$13:$AX$2950,SMALL(IF((County=$AY$13:$AY$2950),MATCH(ROW($AY$13:$AY$2950),ROW($AY$13:$AY$2950)),""),ROWS($A$13:$A461))),""),"")</f>
        <v/>
      </c>
      <c r="BH403" s="338">
        <v>102.08</v>
      </c>
      <c r="BI403" s="338" t="s">
        <v>331</v>
      </c>
      <c r="BN403" s="340">
        <v>22.04</v>
      </c>
      <c r="BO403" s="340" t="s">
        <v>347</v>
      </c>
      <c r="BP403" s="1385"/>
      <c r="BQ403" s="1387">
        <v>32169</v>
      </c>
      <c r="BR403" s="236" t="s">
        <v>355</v>
      </c>
      <c r="BV403" s="338">
        <v>407.02</v>
      </c>
      <c r="BW403" s="338" t="s">
        <v>289</v>
      </c>
      <c r="CB403" s="340">
        <v>209</v>
      </c>
      <c r="CC403" s="340" t="s">
        <v>294</v>
      </c>
      <c r="CE403" s="341" t="str">
        <f t="array" ref="CE403">IFERROR(IF($CE$11="Metro",INDEX($BV$13:$BV$4972,SMALL(IF((County=$BW$13:$BW$4972),MATCH(ROW($BW$13:$BW$4972),ROW($BW$13:$BW$4972)),""),ROWS($A$13:$A461))),INDEX($BY$13:$BY$212,SMALL(IF((County=$BZ$13:$BZ$212),MATCH(ROW($BZ$13:$BZ$212),ROW($BZ$13:$BZ$212)),""),ROWS($A$13:$A461)))),"")</f>
        <v/>
      </c>
      <c r="CG403" s="341" t="str">
        <f t="array" ref="CG403">IFERROR(IF($CG$11="Yes",INDEX($CB$13:$CB$2950,SMALL(IF((County=$CC$13:$CC$2950),MATCH(ROW($CC$13:$CC$2950),ROW($CC$13:$CC$2950)),""),ROWS($A$13:$A461))),""),"")</f>
        <v/>
      </c>
      <c r="CI403" s="1583">
        <v>34949</v>
      </c>
      <c r="CJ403" s="236" t="s">
        <v>350</v>
      </c>
      <c r="CL403" s="236">
        <v>11.01</v>
      </c>
      <c r="CM403" s="236" t="s">
        <v>324</v>
      </c>
      <c r="CR403" s="340">
        <v>22.05</v>
      </c>
      <c r="CS403" s="340" t="s">
        <v>347</v>
      </c>
      <c r="CT403" s="1384"/>
      <c r="CU403" s="341">
        <v>32169</v>
      </c>
      <c r="CV403" s="338" t="s">
        <v>355</v>
      </c>
      <c r="CZ403" s="1795">
        <v>1.03</v>
      </c>
      <c r="DA403" s="338" t="s">
        <v>328</v>
      </c>
      <c r="DF403" s="340">
        <v>305.07</v>
      </c>
      <c r="DG403" s="340" t="s">
        <v>294</v>
      </c>
      <c r="DM403" s="1387">
        <v>34953</v>
      </c>
      <c r="DN403" s="338" t="s">
        <v>350</v>
      </c>
      <c r="DP403" s="236">
        <v>104.2</v>
      </c>
      <c r="DQ403" s="236" t="s">
        <v>297</v>
      </c>
      <c r="DV403" s="340">
        <v>24.1</v>
      </c>
      <c r="DW403" s="340" t="s">
        <v>324</v>
      </c>
      <c r="DX403" s="1671"/>
      <c r="EB403" s="618"/>
      <c r="EC403" s="618"/>
      <c r="ED403" s="618"/>
      <c r="EE403" s="618"/>
      <c r="EF403" s="618"/>
      <c r="EG403" s="618"/>
      <c r="EH403" s="618"/>
      <c r="EI403" s="618"/>
      <c r="EJ403" s="618"/>
      <c r="EK403" s="618"/>
      <c r="EL403" s="618"/>
      <c r="EM403" s="618"/>
    </row>
    <row r="404" spans="1:143">
      <c r="A404" s="339">
        <v>32130</v>
      </c>
      <c r="B404" s="338" t="s">
        <v>355</v>
      </c>
      <c r="F404" s="338">
        <v>4.1399999999999997</v>
      </c>
      <c r="G404" s="338" t="s">
        <v>331</v>
      </c>
      <c r="L404" s="2481">
        <v>4513</v>
      </c>
      <c r="M404" s="340" t="s">
        <v>295</v>
      </c>
      <c r="N404" s="1390"/>
      <c r="O404" s="2479"/>
      <c r="P404" s="2282"/>
      <c r="X404" s="339">
        <v>34759</v>
      </c>
      <c r="Y404" s="338" t="s">
        <v>344</v>
      </c>
      <c r="AA404" s="338">
        <v>110.1</v>
      </c>
      <c r="AB404" s="338" t="s">
        <v>316</v>
      </c>
      <c r="AG404" s="2297">
        <v>24.21</v>
      </c>
      <c r="AH404" s="2297" t="s">
        <v>324</v>
      </c>
      <c r="AI404" s="1390"/>
      <c r="AJ404" s="2282"/>
      <c r="AK404" s="2282"/>
      <c r="AL404" s="1037"/>
      <c r="AR404" s="338">
        <v>9.06</v>
      </c>
      <c r="AS404" s="338" t="s">
        <v>331</v>
      </c>
      <c r="AX404" s="340">
        <v>301.02</v>
      </c>
      <c r="AY404" s="340" t="s">
        <v>294</v>
      </c>
      <c r="BC404" s="341" t="str">
        <f t="array" ref="BC404">IFERROR(IF($BC$11="Yes",INDEX($AX$13:$AX$2950,SMALL(IF((County=$AY$13:$AY$2950),MATCH(ROW($AY$13:$AY$2950),ROW($AY$13:$AY$2950)),""),ROWS($A$13:$A462))),""),"")</f>
        <v/>
      </c>
      <c r="BH404" s="338">
        <v>102.13</v>
      </c>
      <c r="BI404" s="338" t="s">
        <v>316</v>
      </c>
      <c r="BN404" s="340">
        <v>22.05</v>
      </c>
      <c r="BO404" s="340" t="s">
        <v>347</v>
      </c>
      <c r="BP404" s="1385"/>
      <c r="BQ404" s="1387">
        <v>32176</v>
      </c>
      <c r="BR404" s="236" t="s">
        <v>355</v>
      </c>
      <c r="BV404" s="338">
        <v>408.01</v>
      </c>
      <c r="BW404" s="338" t="s">
        <v>289</v>
      </c>
      <c r="CB404" s="340">
        <v>210.02</v>
      </c>
      <c r="CC404" s="340" t="s">
        <v>294</v>
      </c>
      <c r="CE404" s="341" t="str">
        <f t="array" ref="CE404">IFERROR(IF($CE$11="Metro",INDEX($BV$13:$BV$4972,SMALL(IF((County=$BW$13:$BW$4972),MATCH(ROW($BW$13:$BW$4972),ROW($BW$13:$BW$4972)),""),ROWS($A$13:$A462))),INDEX($BY$13:$BY$212,SMALL(IF((County=$BZ$13:$BZ$212),MATCH(ROW($BZ$13:$BZ$212),ROW($BZ$13:$BZ$212)),""),ROWS($A$13:$A462)))),"")</f>
        <v/>
      </c>
      <c r="CG404" s="341" t="str">
        <f t="array" ref="CG404">IFERROR(IF($CG$11="Yes",INDEX($CB$13:$CB$2950,SMALL(IF((County=$CC$13:$CC$2950),MATCH(ROW($CC$13:$CC$2950),ROW($CC$13:$CC$2950)),""),ROWS($A$13:$A462))),""),"")</f>
        <v/>
      </c>
      <c r="CI404" s="1583">
        <v>34952</v>
      </c>
      <c r="CJ404" s="236" t="s">
        <v>350</v>
      </c>
      <c r="CL404" s="236">
        <v>11.01</v>
      </c>
      <c r="CM404" s="236" t="s">
        <v>331</v>
      </c>
      <c r="CR404" s="340">
        <v>22.06</v>
      </c>
      <c r="CS404" s="340" t="s">
        <v>324</v>
      </c>
      <c r="CT404" s="1384"/>
      <c r="CU404" s="341">
        <v>32176</v>
      </c>
      <c r="CV404" s="338" t="s">
        <v>355</v>
      </c>
      <c r="CZ404" s="1795">
        <v>1.05</v>
      </c>
      <c r="DA404" s="338" t="s">
        <v>328</v>
      </c>
      <c r="DF404" s="340">
        <v>4501.03</v>
      </c>
      <c r="DG404" s="340" t="s">
        <v>295</v>
      </c>
      <c r="DM404" s="1387">
        <v>34983</v>
      </c>
      <c r="DN404" s="338" t="s">
        <v>350</v>
      </c>
      <c r="DP404" s="236">
        <v>104.22</v>
      </c>
      <c r="DQ404" s="236" t="s">
        <v>297</v>
      </c>
      <c r="DV404" s="340">
        <v>24.11</v>
      </c>
      <c r="DW404" s="340" t="s">
        <v>324</v>
      </c>
      <c r="DX404" s="1671"/>
      <c r="EB404" s="618"/>
      <c r="EC404" s="618"/>
      <c r="ED404" s="618"/>
      <c r="EE404" s="618"/>
      <c r="EF404" s="618"/>
      <c r="EG404" s="618"/>
      <c r="EH404" s="618"/>
      <c r="EI404" s="618"/>
      <c r="EJ404" s="618"/>
      <c r="EK404" s="618"/>
      <c r="EL404" s="618"/>
      <c r="EM404" s="618"/>
    </row>
    <row r="405" spans="1:143">
      <c r="A405" s="339">
        <v>32141</v>
      </c>
      <c r="B405" s="338" t="s">
        <v>355</v>
      </c>
      <c r="F405" s="338">
        <v>4.16</v>
      </c>
      <c r="G405" s="338" t="s">
        <v>331</v>
      </c>
      <c r="L405" s="2481">
        <v>4514</v>
      </c>
      <c r="M405" s="340" t="s">
        <v>295</v>
      </c>
      <c r="N405" s="1390"/>
      <c r="O405" s="2479"/>
      <c r="P405" s="2282"/>
      <c r="X405" s="339">
        <v>34760</v>
      </c>
      <c r="Y405" s="338" t="s">
        <v>344</v>
      </c>
      <c r="AA405" s="338">
        <v>110.1</v>
      </c>
      <c r="AB405" s="338" t="s">
        <v>331</v>
      </c>
      <c r="AG405" s="2297">
        <v>24.22</v>
      </c>
      <c r="AH405" s="2297" t="s">
        <v>324</v>
      </c>
      <c r="AI405" s="1390"/>
      <c r="AJ405" s="2282"/>
      <c r="AK405" s="2282"/>
      <c r="AL405" s="1037"/>
      <c r="AR405" s="338">
        <v>9.07</v>
      </c>
      <c r="AS405" s="338" t="s">
        <v>331</v>
      </c>
      <c r="AX405" s="340">
        <v>302.02</v>
      </c>
      <c r="AY405" s="340" t="s">
        <v>294</v>
      </c>
      <c r="BC405" s="341" t="str">
        <f t="array" ref="BC405">IFERROR(IF($BC$11="Yes",INDEX($AX$13:$AX$2950,SMALL(IF((County=$AY$13:$AY$2950),MATCH(ROW($AY$13:$AY$2950),ROW($AY$13:$AY$2950)),""),ROWS($A$13:$A463))),""),"")</f>
        <v/>
      </c>
      <c r="BH405" s="338">
        <v>102.13</v>
      </c>
      <c r="BI405" s="338" t="s">
        <v>331</v>
      </c>
      <c r="BN405" s="340">
        <v>22.06</v>
      </c>
      <c r="BO405" s="340" t="s">
        <v>324</v>
      </c>
      <c r="BP405" s="1385"/>
      <c r="BQ405" s="1387">
        <v>32713</v>
      </c>
      <c r="BR405" s="236" t="s">
        <v>355</v>
      </c>
      <c r="BV405" s="338">
        <v>408.02</v>
      </c>
      <c r="BW405" s="338" t="s">
        <v>289</v>
      </c>
      <c r="CB405" s="340">
        <v>302.02</v>
      </c>
      <c r="CC405" s="340" t="s">
        <v>294</v>
      </c>
      <c r="CE405" s="341" t="str">
        <f t="array" ref="CE405">IFERROR(IF($CE$11="Metro",INDEX($BV$13:$BV$4972,SMALL(IF((County=$BW$13:$BW$4972),MATCH(ROW($BW$13:$BW$4972),ROW($BW$13:$BW$4972)),""),ROWS($A$13:$A463))),INDEX($BY$13:$BY$212,SMALL(IF((County=$BZ$13:$BZ$212),MATCH(ROW($BZ$13:$BZ$212),ROW($BZ$13:$BZ$212)),""),ROWS($A$13:$A463)))),"")</f>
        <v/>
      </c>
      <c r="CG405" s="341" t="str">
        <f t="array" ref="CG405">IFERROR(IF($CG$11="Yes",INDEX($CB$13:$CB$2950,SMALL(IF((County=$CC$13:$CC$2950),MATCH(ROW($CC$13:$CC$2950),ROW($CC$13:$CC$2950)),""),ROWS($A$13:$A463))),""),"")</f>
        <v/>
      </c>
      <c r="CI405" s="1583">
        <v>34953</v>
      </c>
      <c r="CJ405" s="236" t="s">
        <v>350</v>
      </c>
      <c r="CL405" s="236">
        <v>11.01</v>
      </c>
      <c r="CM405" s="236" t="s">
        <v>340</v>
      </c>
      <c r="CR405" s="340">
        <v>22.07</v>
      </c>
      <c r="CS405" s="340" t="s">
        <v>276</v>
      </c>
      <c r="CT405" s="1384"/>
      <c r="CU405" s="341">
        <v>32713</v>
      </c>
      <c r="CV405" s="338" t="s">
        <v>355</v>
      </c>
      <c r="CZ405" s="1795">
        <v>1.06</v>
      </c>
      <c r="DA405" s="338" t="s">
        <v>328</v>
      </c>
      <c r="DF405" s="340">
        <v>4501.04</v>
      </c>
      <c r="DG405" s="340" t="s">
        <v>295</v>
      </c>
      <c r="DM405" s="1387">
        <v>34984</v>
      </c>
      <c r="DN405" s="338" t="s">
        <v>350</v>
      </c>
      <c r="DP405" s="236">
        <v>105</v>
      </c>
      <c r="DQ405" s="236" t="s">
        <v>338</v>
      </c>
      <c r="DV405" s="340">
        <v>24.13</v>
      </c>
      <c r="DW405" s="340" t="s">
        <v>324</v>
      </c>
      <c r="DX405" s="1671"/>
      <c r="EB405" s="618"/>
      <c r="EC405" s="618"/>
      <c r="ED405" s="618"/>
      <c r="EE405" s="618"/>
      <c r="EF405" s="618"/>
      <c r="EG405" s="618"/>
      <c r="EH405" s="618"/>
      <c r="EI405" s="618"/>
      <c r="EJ405" s="618"/>
      <c r="EK405" s="618"/>
      <c r="EL405" s="618"/>
      <c r="EM405" s="618"/>
    </row>
    <row r="406" spans="1:143">
      <c r="A406" s="339">
        <v>32168</v>
      </c>
      <c r="B406" s="338" t="s">
        <v>355</v>
      </c>
      <c r="F406" s="338">
        <v>4.17</v>
      </c>
      <c r="G406" s="338" t="s">
        <v>331</v>
      </c>
      <c r="L406" s="2481">
        <v>4516.03</v>
      </c>
      <c r="M406" s="340" t="s">
        <v>295</v>
      </c>
      <c r="N406" s="1390"/>
      <c r="O406" s="2479"/>
      <c r="P406" s="2282"/>
      <c r="X406" s="339">
        <v>34761</v>
      </c>
      <c r="Y406" s="338" t="s">
        <v>338</v>
      </c>
      <c r="AA406" s="338">
        <v>110.11</v>
      </c>
      <c r="AB406" s="338" t="s">
        <v>331</v>
      </c>
      <c r="AG406" s="2297">
        <v>24.23</v>
      </c>
      <c r="AH406" s="2297" t="s">
        <v>324</v>
      </c>
      <c r="AI406" s="1390"/>
      <c r="AJ406" s="2282"/>
      <c r="AK406" s="2282"/>
      <c r="AL406" s="1037"/>
      <c r="AR406" s="338">
        <v>9.08</v>
      </c>
      <c r="AS406" s="338" t="s">
        <v>331</v>
      </c>
      <c r="AX406" s="340">
        <v>303.01</v>
      </c>
      <c r="AY406" s="340" t="s">
        <v>294</v>
      </c>
      <c r="BC406" s="341" t="str">
        <f t="array" ref="BC406">IFERROR(IF($BC$11="Yes",INDEX($AX$13:$AX$2950,SMALL(IF((County=$AY$13:$AY$2950),MATCH(ROW($AY$13:$AY$2950),ROW($AY$13:$AY$2950)),""),ROWS($A$13:$A464))),""),"")</f>
        <v/>
      </c>
      <c r="BH406" s="338">
        <v>103</v>
      </c>
      <c r="BI406" s="338" t="s">
        <v>344</v>
      </c>
      <c r="BN406" s="340">
        <v>22.07</v>
      </c>
      <c r="BO406" s="340" t="s">
        <v>276</v>
      </c>
      <c r="BP406" s="1385"/>
      <c r="BQ406" s="1387">
        <v>32725</v>
      </c>
      <c r="BR406" s="236" t="s">
        <v>355</v>
      </c>
      <c r="BV406" s="338">
        <v>409.01</v>
      </c>
      <c r="BW406" s="338" t="s">
        <v>289</v>
      </c>
      <c r="CB406" s="340">
        <v>303.01</v>
      </c>
      <c r="CC406" s="340" t="s">
        <v>294</v>
      </c>
      <c r="CE406" s="341" t="str">
        <f t="array" ref="CE406">IFERROR(IF($CE$11="Metro",INDEX($BV$13:$BV$4972,SMALL(IF((County=$BW$13:$BW$4972),MATCH(ROW($BW$13:$BW$4972),ROW($BW$13:$BW$4972)),""),ROWS($A$13:$A464))),INDEX($BY$13:$BY$212,SMALL(IF((County=$BZ$13:$BZ$212),MATCH(ROW($BZ$13:$BZ$212),ROW($BZ$13:$BZ$212)),""),ROWS($A$13:$A464)))),"")</f>
        <v/>
      </c>
      <c r="CG406" s="341" t="str">
        <f t="array" ref="CG406">IFERROR(IF($CG$11="Yes",INDEX($CB$13:$CB$2950,SMALL(IF((County=$CC$13:$CC$2950),MATCH(ROW($CC$13:$CC$2950),ROW($CC$13:$CC$2950)),""),ROWS($A$13:$A464))),""),"")</f>
        <v/>
      </c>
      <c r="CI406" s="1583">
        <v>34983</v>
      </c>
      <c r="CJ406" s="236" t="s">
        <v>350</v>
      </c>
      <c r="CL406" s="236">
        <v>11.01</v>
      </c>
      <c r="CM406" s="236" t="s">
        <v>347</v>
      </c>
      <c r="CR406" s="340">
        <v>22.07</v>
      </c>
      <c r="CS406" s="340" t="s">
        <v>324</v>
      </c>
      <c r="CT406" s="1384"/>
      <c r="CU406" s="341">
        <v>32346</v>
      </c>
      <c r="CV406" s="338" t="s">
        <v>356</v>
      </c>
      <c r="CZ406" s="1795">
        <v>2.0099999999999998</v>
      </c>
      <c r="DA406" s="338" t="s">
        <v>328</v>
      </c>
      <c r="DF406" s="340">
        <v>4503.05</v>
      </c>
      <c r="DG406" s="340" t="s">
        <v>295</v>
      </c>
      <c r="DM406" s="1387">
        <v>34986</v>
      </c>
      <c r="DN406" s="338" t="s">
        <v>350</v>
      </c>
      <c r="DP406" s="236">
        <v>105.01</v>
      </c>
      <c r="DQ406" s="236" t="s">
        <v>316</v>
      </c>
      <c r="DV406" s="340">
        <v>24.14</v>
      </c>
      <c r="DW406" s="340" t="s">
        <v>324</v>
      </c>
      <c r="DX406" s="1671"/>
      <c r="EB406" s="618"/>
      <c r="EC406" s="618"/>
      <c r="ED406" s="618"/>
      <c r="EE406" s="618"/>
      <c r="EF406" s="618"/>
      <c r="EG406" s="618"/>
      <c r="EH406" s="618"/>
      <c r="EI406" s="618"/>
      <c r="EJ406" s="618"/>
      <c r="EK406" s="618"/>
      <c r="EL406" s="618"/>
      <c r="EM406" s="618"/>
    </row>
    <row r="407" spans="1:143">
      <c r="A407" s="339">
        <v>32169</v>
      </c>
      <c r="B407" s="338" t="s">
        <v>355</v>
      </c>
      <c r="F407" s="338">
        <v>4.18</v>
      </c>
      <c r="G407" s="338" t="s">
        <v>331</v>
      </c>
      <c r="L407" s="2481">
        <v>4516.04</v>
      </c>
      <c r="M407" s="340" t="s">
        <v>295</v>
      </c>
      <c r="N407" s="1390"/>
      <c r="O407" s="2479"/>
      <c r="P407" s="2282"/>
      <c r="X407" s="339">
        <v>34772</v>
      </c>
      <c r="Y407" s="338" t="s">
        <v>339</v>
      </c>
      <c r="AA407" s="338">
        <v>110.12</v>
      </c>
      <c r="AB407" s="338" t="s">
        <v>331</v>
      </c>
      <c r="AG407" s="2297">
        <v>25</v>
      </c>
      <c r="AH407" s="2297" t="s">
        <v>285</v>
      </c>
      <c r="AI407" s="1390"/>
      <c r="AJ407" s="2282"/>
      <c r="AK407" s="2282"/>
      <c r="AL407" s="1037"/>
      <c r="AR407" s="338">
        <v>10.029999999999999</v>
      </c>
      <c r="AS407" s="338" t="s">
        <v>331</v>
      </c>
      <c r="AX407" s="340">
        <v>304.01</v>
      </c>
      <c r="AY407" s="340" t="s">
        <v>294</v>
      </c>
      <c r="BC407" s="341" t="str">
        <f t="array" ref="BC407">IFERROR(IF($BC$11="Yes",INDEX($AX$13:$AX$2950,SMALL(IF((County=$AY$13:$AY$2950),MATCH(ROW($AY$13:$AY$2950),ROW($AY$13:$AY$2950)),""),ROWS($A$13:$A465))),""),"")</f>
        <v/>
      </c>
      <c r="BH407" s="338">
        <v>103.07</v>
      </c>
      <c r="BI407" s="338" t="s">
        <v>289</v>
      </c>
      <c r="BN407" s="340">
        <v>22.07</v>
      </c>
      <c r="BO407" s="340" t="s">
        <v>324</v>
      </c>
      <c r="BP407" s="1385"/>
      <c r="BQ407" s="1387">
        <v>32738</v>
      </c>
      <c r="BR407" s="236" t="s">
        <v>355</v>
      </c>
      <c r="BV407" s="338">
        <v>409.02</v>
      </c>
      <c r="BW407" s="338" t="s">
        <v>289</v>
      </c>
      <c r="CB407" s="340">
        <v>304.02</v>
      </c>
      <c r="CC407" s="340" t="s">
        <v>294</v>
      </c>
      <c r="CE407" s="341" t="str">
        <f t="array" ref="CE407">IFERROR(IF($CE$11="Metro",INDEX($BV$13:$BV$4972,SMALL(IF((County=$BW$13:$BW$4972),MATCH(ROW($BW$13:$BW$4972),ROW($BW$13:$BW$4972)),""),ROWS($A$13:$A465))),INDEX($BY$13:$BY$212,SMALL(IF((County=$BZ$13:$BZ$212),MATCH(ROW($BZ$13:$BZ$212),ROW($BZ$13:$BZ$212)),""),ROWS($A$13:$A465)))),"")</f>
        <v/>
      </c>
      <c r="CG407" s="341" t="str">
        <f t="array" ref="CG407">IFERROR(IF($CG$11="Yes",INDEX($CB$13:$CB$2950,SMALL(IF((County=$CC$13:$CC$2950),MATCH(ROW($CC$13:$CC$2950),ROW($CC$13:$CC$2950)),""),ROWS($A$13:$A465))),""),"")</f>
        <v/>
      </c>
      <c r="CI407" s="1583">
        <v>34984</v>
      </c>
      <c r="CJ407" s="236" t="s">
        <v>350</v>
      </c>
      <c r="CL407" s="236">
        <v>11.02</v>
      </c>
      <c r="CM407" s="236" t="s">
        <v>324</v>
      </c>
      <c r="CR407" s="340">
        <v>22.08</v>
      </c>
      <c r="CS407" s="340" t="s">
        <v>276</v>
      </c>
      <c r="CT407" s="1384"/>
      <c r="CU407" s="341">
        <v>32459</v>
      </c>
      <c r="CV407" s="338" t="s">
        <v>357</v>
      </c>
      <c r="CZ407" s="1795">
        <v>2.0299999999999998</v>
      </c>
      <c r="DA407" s="338" t="s">
        <v>328</v>
      </c>
      <c r="DF407" s="340">
        <v>4503.07</v>
      </c>
      <c r="DG407" s="340" t="s">
        <v>295</v>
      </c>
      <c r="DM407" s="1387">
        <v>34987</v>
      </c>
      <c r="DN407" s="338" t="s">
        <v>350</v>
      </c>
      <c r="DP407" s="236">
        <v>105.01</v>
      </c>
      <c r="DQ407" s="236" t="s">
        <v>331</v>
      </c>
      <c r="DV407" s="340">
        <v>24.15</v>
      </c>
      <c r="DW407" s="340" t="s">
        <v>324</v>
      </c>
      <c r="DX407" s="1671"/>
      <c r="EB407" s="618"/>
      <c r="EC407" s="618"/>
      <c r="ED407" s="618"/>
      <c r="EE407" s="618"/>
      <c r="EF407" s="618"/>
      <c r="EG407" s="618"/>
      <c r="EH407" s="618"/>
      <c r="EI407" s="618"/>
      <c r="EJ407" s="618"/>
      <c r="EK407" s="618"/>
      <c r="EL407" s="618"/>
      <c r="EM407" s="618"/>
    </row>
    <row r="408" spans="1:143">
      <c r="A408" s="339">
        <v>32176</v>
      </c>
      <c r="B408" s="338" t="s">
        <v>355</v>
      </c>
      <c r="F408" s="338">
        <v>5.04</v>
      </c>
      <c r="G408" s="338" t="s">
        <v>331</v>
      </c>
      <c r="L408" s="2481">
        <v>4516.0600000000004</v>
      </c>
      <c r="M408" s="340" t="s">
        <v>295</v>
      </c>
      <c r="N408" s="1390"/>
      <c r="O408" s="2479"/>
      <c r="P408" s="2282"/>
      <c r="X408" s="339">
        <v>34773</v>
      </c>
      <c r="Y408" s="338" t="s">
        <v>339</v>
      </c>
      <c r="AA408" s="338">
        <v>110.13</v>
      </c>
      <c r="AB408" s="338" t="s">
        <v>331</v>
      </c>
      <c r="AG408" s="2297">
        <v>25</v>
      </c>
      <c r="AH408" s="2297" t="s">
        <v>304</v>
      </c>
      <c r="AI408" s="1390"/>
      <c r="AJ408" s="2282"/>
      <c r="AK408" s="2282"/>
      <c r="AL408" s="1037"/>
      <c r="AR408" s="338">
        <v>10.039999999999999</v>
      </c>
      <c r="AS408" s="338" t="s">
        <v>331</v>
      </c>
      <c r="AX408" s="340">
        <v>304.02</v>
      </c>
      <c r="AY408" s="340" t="s">
        <v>294</v>
      </c>
      <c r="BC408" s="341" t="str">
        <f t="array" ref="BC408">IFERROR(IF($BC$11="Yes",INDEX($AX$13:$AX$2950,SMALL(IF((County=$AY$13:$AY$2950),MATCH(ROW($AY$13:$AY$2950),ROW($AY$13:$AY$2950)),""),ROWS($A$13:$A466))),""),"")</f>
        <v/>
      </c>
      <c r="BH408" s="338">
        <v>104</v>
      </c>
      <c r="BI408" s="338" t="s">
        <v>338</v>
      </c>
      <c r="BN408" s="340">
        <v>22.08</v>
      </c>
      <c r="BO408" s="340" t="s">
        <v>276</v>
      </c>
      <c r="BP408" s="1385"/>
      <c r="BQ408" s="1387">
        <v>32346</v>
      </c>
      <c r="BR408" s="236" t="s">
        <v>356</v>
      </c>
      <c r="BV408" s="338">
        <v>410</v>
      </c>
      <c r="BW408" s="338" t="s">
        <v>289</v>
      </c>
      <c r="CB408" s="340">
        <v>305.01</v>
      </c>
      <c r="CC408" s="340" t="s">
        <v>294</v>
      </c>
      <c r="CE408" s="341" t="str">
        <f t="array" ref="CE408">IFERROR(IF($CE$11="Metro",INDEX($BV$13:$BV$4972,SMALL(IF((County=$BW$13:$BW$4972),MATCH(ROW($BW$13:$BW$4972),ROW($BW$13:$BW$4972)),""),ROWS($A$13:$A466))),INDEX($BY$13:$BY$212,SMALL(IF((County=$BZ$13:$BZ$212),MATCH(ROW($BZ$13:$BZ$212),ROW($BZ$13:$BZ$212)),""),ROWS($A$13:$A466)))),"")</f>
        <v/>
      </c>
      <c r="CG408" s="341" t="str">
        <f t="array" ref="CG408">IFERROR(IF($CG$11="Yes",INDEX($CB$13:$CB$2950,SMALL(IF((County=$CC$13:$CC$2950),MATCH(ROW($CC$13:$CC$2950),ROW($CC$13:$CC$2950)),""),ROWS($A$13:$A466))),""),"")</f>
        <v/>
      </c>
      <c r="CI408" s="1583">
        <v>34986</v>
      </c>
      <c r="CJ408" s="236" t="s">
        <v>350</v>
      </c>
      <c r="CL408" s="236">
        <v>11.02</v>
      </c>
      <c r="CM408" s="236" t="s">
        <v>329</v>
      </c>
      <c r="CR408" s="340">
        <v>22.08</v>
      </c>
      <c r="CS408" s="340" t="s">
        <v>324</v>
      </c>
      <c r="CT408" s="1384"/>
      <c r="CU408" s="341">
        <v>32550</v>
      </c>
      <c r="CV408" s="338" t="s">
        <v>357</v>
      </c>
      <c r="CZ408" s="1795">
        <v>2.04</v>
      </c>
      <c r="DA408" s="338" t="s">
        <v>328</v>
      </c>
      <c r="DF408" s="340">
        <v>4503.08</v>
      </c>
      <c r="DG408" s="340" t="s">
        <v>295</v>
      </c>
      <c r="DM408" s="1387">
        <v>34990</v>
      </c>
      <c r="DN408" s="338" t="s">
        <v>330</v>
      </c>
      <c r="DP408" s="236">
        <v>106.01</v>
      </c>
      <c r="DQ408" s="236" t="s">
        <v>297</v>
      </c>
      <c r="DV408" s="340">
        <v>24.16</v>
      </c>
      <c r="DW408" s="340" t="s">
        <v>324</v>
      </c>
      <c r="DX408" s="1671"/>
      <c r="EB408" s="618"/>
      <c r="EC408" s="618"/>
      <c r="ED408" s="618"/>
      <c r="EE408" s="618"/>
      <c r="EF408" s="618"/>
      <c r="EG408" s="618"/>
      <c r="EH408" s="618"/>
      <c r="EI408" s="618"/>
      <c r="EJ408" s="618"/>
      <c r="EK408" s="618"/>
      <c r="EL408" s="618"/>
      <c r="EM408" s="618"/>
    </row>
    <row r="409" spans="1:143">
      <c r="A409" s="339">
        <v>32713</v>
      </c>
      <c r="B409" s="338" t="s">
        <v>355</v>
      </c>
      <c r="F409" s="338">
        <v>5.05</v>
      </c>
      <c r="G409" s="338" t="s">
        <v>331</v>
      </c>
      <c r="L409" s="2481">
        <v>4517.01</v>
      </c>
      <c r="M409" s="340" t="s">
        <v>295</v>
      </c>
      <c r="N409" s="1390"/>
      <c r="O409" s="2479"/>
      <c r="P409" s="2282"/>
      <c r="X409" s="339">
        <v>34786</v>
      </c>
      <c r="Y409" s="338" t="s">
        <v>338</v>
      </c>
      <c r="AA409" s="338">
        <v>110.18</v>
      </c>
      <c r="AB409" s="338" t="s">
        <v>316</v>
      </c>
      <c r="AG409" s="2297">
        <v>25.01</v>
      </c>
      <c r="AH409" s="2297" t="s">
        <v>302</v>
      </c>
      <c r="AI409" s="1390"/>
      <c r="AJ409" s="2282"/>
      <c r="AK409" s="2282"/>
      <c r="AL409" s="1037"/>
      <c r="AR409" s="338">
        <v>10.050000000000001</v>
      </c>
      <c r="AS409" s="338" t="s">
        <v>331</v>
      </c>
      <c r="AX409" s="340">
        <v>305.01</v>
      </c>
      <c r="AY409" s="340" t="s">
        <v>294</v>
      </c>
      <c r="BC409" s="341" t="str">
        <f t="array" ref="BC409">IFERROR(IF($BC$11="Yes",INDEX($AX$13:$AX$2950,SMALL(IF((County=$AY$13:$AY$2950),MATCH(ROW($AY$13:$AY$2950),ROW($AY$13:$AY$2950)),""),ROWS($A$13:$A467))),""),"")</f>
        <v/>
      </c>
      <c r="BH409" s="338">
        <v>104.02</v>
      </c>
      <c r="BI409" s="338" t="s">
        <v>302</v>
      </c>
      <c r="BN409" s="340">
        <v>22.08</v>
      </c>
      <c r="BO409" s="340" t="s">
        <v>324</v>
      </c>
      <c r="BP409" s="1385"/>
      <c r="BQ409" s="1387">
        <v>32459</v>
      </c>
      <c r="BR409" s="236" t="s">
        <v>357</v>
      </c>
      <c r="BV409" s="338">
        <v>411</v>
      </c>
      <c r="BW409" s="338" t="s">
        <v>289</v>
      </c>
      <c r="CB409" s="340">
        <v>305.04000000000002</v>
      </c>
      <c r="CC409" s="340" t="s">
        <v>294</v>
      </c>
      <c r="CE409" s="341" t="str">
        <f t="array" ref="CE409">IFERROR(IF($CE$11="Metro",INDEX($BV$13:$BV$4972,SMALL(IF((County=$BW$13:$BW$4972),MATCH(ROW($BW$13:$BW$4972),ROW($BW$13:$BW$4972)),""),ROWS($A$13:$A467))),INDEX($BY$13:$BY$212,SMALL(IF((County=$BZ$13:$BZ$212),MATCH(ROW($BZ$13:$BZ$212),ROW($BZ$13:$BZ$212)),""),ROWS($A$13:$A467)))),"")</f>
        <v/>
      </c>
      <c r="CG409" s="341" t="str">
        <f t="array" ref="CG409">IFERROR(IF($CG$11="Yes",INDEX($CB$13:$CB$2950,SMALL(IF((County=$CC$13:$CC$2950),MATCH(ROW($CC$13:$CC$2950),ROW($CC$13:$CC$2950)),""),ROWS($A$13:$A467))),""),"")</f>
        <v/>
      </c>
      <c r="CI409" s="1583">
        <v>34987</v>
      </c>
      <c r="CJ409" s="236" t="s">
        <v>350</v>
      </c>
      <c r="CL409" s="236">
        <v>11.02</v>
      </c>
      <c r="CM409" s="236" t="s">
        <v>331</v>
      </c>
      <c r="CR409" s="340">
        <v>22.09</v>
      </c>
      <c r="CS409" s="340" t="s">
        <v>276</v>
      </c>
      <c r="CT409" s="1384"/>
      <c r="CU409" s="2711" t="s">
        <v>2074</v>
      </c>
      <c r="CV409" s="2712"/>
      <c r="CZ409" s="1795">
        <v>3.04</v>
      </c>
      <c r="DA409" s="338" t="s">
        <v>328</v>
      </c>
      <c r="DF409" s="340">
        <v>4503.09</v>
      </c>
      <c r="DG409" s="340" t="s">
        <v>295</v>
      </c>
      <c r="DM409" s="2711" t="s">
        <v>2074</v>
      </c>
      <c r="DN409" s="2712"/>
      <c r="DP409" s="236">
        <v>106.09</v>
      </c>
      <c r="DQ409" s="236" t="s">
        <v>331</v>
      </c>
      <c r="DV409" s="340">
        <v>24.18</v>
      </c>
      <c r="DW409" s="340" t="s">
        <v>324</v>
      </c>
      <c r="DX409" s="1671"/>
      <c r="EB409" s="618"/>
      <c r="EC409" s="618"/>
      <c r="ED409" s="618"/>
      <c r="EE409" s="618"/>
      <c r="EF409" s="618"/>
      <c r="EG409" s="618"/>
      <c r="EH409" s="618"/>
      <c r="EI409" s="618"/>
      <c r="EJ409" s="618"/>
      <c r="EK409" s="618"/>
      <c r="EL409" s="618"/>
      <c r="EM409" s="618"/>
    </row>
    <row r="410" spans="1:143">
      <c r="A410" s="339">
        <v>32725</v>
      </c>
      <c r="B410" s="338" t="s">
        <v>355</v>
      </c>
      <c r="F410" s="338">
        <v>5.08</v>
      </c>
      <c r="G410" s="338" t="s">
        <v>331</v>
      </c>
      <c r="L410" s="2481">
        <v>301.04000000000002</v>
      </c>
      <c r="M410" s="340" t="s">
        <v>296</v>
      </c>
      <c r="N410" s="1390"/>
      <c r="O410" s="2479"/>
      <c r="P410" s="2282"/>
      <c r="X410" s="339">
        <v>34787</v>
      </c>
      <c r="Y410" s="338" t="s">
        <v>338</v>
      </c>
      <c r="AA410" s="338">
        <v>111</v>
      </c>
      <c r="AB410" s="338" t="s">
        <v>302</v>
      </c>
      <c r="AG410" s="2297">
        <v>25.02</v>
      </c>
      <c r="AH410" s="2297" t="s">
        <v>302</v>
      </c>
      <c r="AI410" s="1390"/>
      <c r="AJ410" s="2282"/>
      <c r="AK410" s="2282"/>
      <c r="AL410" s="1037"/>
      <c r="AR410" s="338">
        <v>10.06</v>
      </c>
      <c r="AS410" s="338" t="s">
        <v>331</v>
      </c>
      <c r="AX410" s="340">
        <v>305.04000000000002</v>
      </c>
      <c r="AY410" s="340" t="s">
        <v>294</v>
      </c>
      <c r="BC410" s="341" t="str">
        <f t="array" ref="BC410">IFERROR(IF($BC$11="Yes",INDEX($AX$13:$AX$2950,SMALL(IF((County=$AY$13:$AY$2950),MATCH(ROW($AY$13:$AY$2950),ROW($AY$13:$AY$2950)),""),ROWS($A$13:$A468))),""),"")</f>
        <v/>
      </c>
      <c r="BH410" s="338">
        <v>104.2</v>
      </c>
      <c r="BI410" s="338" t="s">
        <v>297</v>
      </c>
      <c r="BN410" s="340">
        <v>22.09</v>
      </c>
      <c r="BO410" s="340" t="s">
        <v>276</v>
      </c>
      <c r="BP410" s="1385"/>
      <c r="BQ410" s="1387">
        <v>32550</v>
      </c>
      <c r="BR410" s="236" t="s">
        <v>357</v>
      </c>
      <c r="BV410" s="338">
        <v>412</v>
      </c>
      <c r="BW410" s="338" t="s">
        <v>289</v>
      </c>
      <c r="CB410" s="340">
        <v>305.05</v>
      </c>
      <c r="CC410" s="340" t="s">
        <v>294</v>
      </c>
      <c r="CE410" s="341" t="str">
        <f t="array" ref="CE410">IFERROR(IF($CE$11="Metro",INDEX($BV$13:$BV$4972,SMALL(IF((County=$BW$13:$BW$4972),MATCH(ROW($BW$13:$BW$4972),ROW($BW$13:$BW$4972)),""),ROWS($A$13:$A468))),INDEX($BY$13:$BY$212,SMALL(IF((County=$BZ$13:$BZ$212),MATCH(ROW($BZ$13:$BZ$212),ROW($BZ$13:$BZ$212)),""),ROWS($A$13:$A468)))),"")</f>
        <v/>
      </c>
      <c r="CG410" s="341" t="str">
        <f t="array" ref="CG410">IFERROR(IF($CG$11="Yes",INDEX($CB$13:$CB$2950,SMALL(IF((County=$CC$13:$CC$2950),MATCH(ROW($CC$13:$CC$2950),ROW($CC$13:$CC$2950)),""),ROWS($A$13:$A468))),""),"")</f>
        <v/>
      </c>
      <c r="CI410" s="1583">
        <v>34990</v>
      </c>
      <c r="CJ410" s="338" t="s">
        <v>330</v>
      </c>
      <c r="CL410" s="236">
        <v>11.02</v>
      </c>
      <c r="CM410" s="236" t="s">
        <v>340</v>
      </c>
      <c r="CR410" s="340">
        <v>22.19</v>
      </c>
      <c r="CS410" s="340" t="s">
        <v>276</v>
      </c>
      <c r="CT410" s="1384"/>
      <c r="CZ410" s="1795">
        <v>3.05</v>
      </c>
      <c r="DA410" s="338" t="s">
        <v>328</v>
      </c>
      <c r="DF410" s="340">
        <v>4505.01</v>
      </c>
      <c r="DG410" s="340" t="s">
        <v>295</v>
      </c>
      <c r="DP410" s="236">
        <v>107</v>
      </c>
      <c r="DQ410" s="236" t="s">
        <v>302</v>
      </c>
      <c r="DV410" s="340">
        <v>24.19</v>
      </c>
      <c r="DW410" s="340" t="s">
        <v>324</v>
      </c>
      <c r="DX410" s="1671"/>
      <c r="EB410" s="618"/>
      <c r="EC410" s="618"/>
      <c r="ED410" s="618"/>
      <c r="EE410" s="618"/>
      <c r="EF410" s="618"/>
      <c r="EG410" s="618"/>
      <c r="EH410" s="618"/>
      <c r="EI410" s="618"/>
      <c r="EJ410" s="618"/>
      <c r="EK410" s="618"/>
      <c r="EL410" s="618"/>
      <c r="EM410" s="618"/>
    </row>
    <row r="411" spans="1:143">
      <c r="A411" s="339">
        <v>32738</v>
      </c>
      <c r="B411" s="338" t="s">
        <v>355</v>
      </c>
      <c r="F411" s="338">
        <v>6.07</v>
      </c>
      <c r="G411" s="338" t="s">
        <v>331</v>
      </c>
      <c r="L411" s="2481">
        <v>302.04000000000002</v>
      </c>
      <c r="M411" s="340" t="s">
        <v>296</v>
      </c>
      <c r="N411" s="1390"/>
      <c r="O411" s="2479"/>
      <c r="P411" s="2282"/>
      <c r="X411" s="339">
        <v>34797</v>
      </c>
      <c r="Y411" s="338" t="s">
        <v>322</v>
      </c>
      <c r="AA411" s="338">
        <v>111.03</v>
      </c>
      <c r="AB411" s="338" t="s">
        <v>297</v>
      </c>
      <c r="AG411" s="2297">
        <v>25.03</v>
      </c>
      <c r="AH411" s="2297" t="s">
        <v>329</v>
      </c>
      <c r="AI411" s="1390"/>
      <c r="AJ411" s="2282"/>
      <c r="AK411" s="2282"/>
      <c r="AL411" s="1037"/>
      <c r="AR411" s="338">
        <v>10.07</v>
      </c>
      <c r="AS411" s="338" t="s">
        <v>331</v>
      </c>
      <c r="AX411" s="340">
        <v>305.05</v>
      </c>
      <c r="AY411" s="340" t="s">
        <v>294</v>
      </c>
      <c r="BC411" s="341" t="str">
        <f t="array" ref="BC411">IFERROR(IF($BC$11="Yes",INDEX($AX$13:$AX$2950,SMALL(IF((County=$AY$13:$AY$2950),MATCH(ROW($AY$13:$AY$2950),ROW($AY$13:$AY$2950)),""),ROWS($A$13:$A469))),""),"")</f>
        <v/>
      </c>
      <c r="BH411" s="338">
        <v>105</v>
      </c>
      <c r="BI411" s="338" t="s">
        <v>338</v>
      </c>
      <c r="BN411" s="340">
        <v>22.1</v>
      </c>
      <c r="BO411" s="340" t="s">
        <v>276</v>
      </c>
      <c r="BP411" s="1385"/>
      <c r="BQ411" s="2711" t="s">
        <v>2074</v>
      </c>
      <c r="BR411" s="2712"/>
      <c r="BV411" s="338">
        <v>413</v>
      </c>
      <c r="BW411" s="338" t="s">
        <v>289</v>
      </c>
      <c r="CB411" s="340">
        <v>305.07</v>
      </c>
      <c r="CC411" s="340" t="s">
        <v>294</v>
      </c>
      <c r="CE411" s="341" t="str">
        <f t="array" ref="CE411">IFERROR(IF($CE$11="Metro",INDEX($BV$13:$BV$4972,SMALL(IF((County=$BW$13:$BW$4972),MATCH(ROW($BW$13:$BW$4972),ROW($BW$13:$BW$4972)),""),ROWS($A$13:$A469))),INDEX($BY$13:$BY$212,SMALL(IF((County=$BZ$13:$BZ$212),MATCH(ROW($BZ$13:$BZ$212),ROW($BZ$13:$BZ$212)),""),ROWS($A$13:$A469)))),"")</f>
        <v/>
      </c>
      <c r="CG411" s="341" t="str">
        <f t="array" ref="CG411">IFERROR(IF($CG$11="Yes",INDEX($CB$13:$CB$2950,SMALL(IF((County=$CC$13:$CC$2950),MATCH(ROW($CC$13:$CC$2950),ROW($CC$13:$CC$2950)),""),ROWS($A$13:$A469))),""),"")</f>
        <v/>
      </c>
      <c r="CI411" s="2711" t="s">
        <v>2074</v>
      </c>
      <c r="CJ411" s="2712"/>
      <c r="CL411" s="236">
        <v>11.02</v>
      </c>
      <c r="CM411" s="236" t="s">
        <v>347</v>
      </c>
      <c r="CR411" s="340">
        <v>22.21</v>
      </c>
      <c r="CS411" s="340" t="s">
        <v>276</v>
      </c>
      <c r="CT411" s="1384"/>
      <c r="CZ411" s="1795">
        <v>3.07</v>
      </c>
      <c r="DA411" s="338" t="s">
        <v>328</v>
      </c>
      <c r="DF411" s="340">
        <v>4507.03</v>
      </c>
      <c r="DG411" s="340" t="s">
        <v>295</v>
      </c>
      <c r="DP411" s="236">
        <v>107.01</v>
      </c>
      <c r="DQ411" s="236" t="s">
        <v>297</v>
      </c>
      <c r="DV411" s="340">
        <v>24.2</v>
      </c>
      <c r="DW411" s="340" t="s">
        <v>324</v>
      </c>
      <c r="DX411" s="1671"/>
      <c r="EB411" s="618"/>
      <c r="EC411" s="618"/>
      <c r="ED411" s="618"/>
      <c r="EE411" s="618"/>
      <c r="EF411" s="618"/>
      <c r="EG411" s="618"/>
      <c r="EH411" s="618"/>
      <c r="EI411" s="618"/>
      <c r="EJ411" s="618"/>
      <c r="EK411" s="618"/>
      <c r="EL411" s="618"/>
      <c r="EM411" s="618"/>
    </row>
    <row r="412" spans="1:143">
      <c r="A412" s="339">
        <v>32763</v>
      </c>
      <c r="B412" s="338" t="s">
        <v>355</v>
      </c>
      <c r="F412" s="338">
        <v>6.09</v>
      </c>
      <c r="G412" s="338" t="s">
        <v>331</v>
      </c>
      <c r="L412" s="2481">
        <v>302.05</v>
      </c>
      <c r="M412" s="340" t="s">
        <v>296</v>
      </c>
      <c r="N412" s="1390"/>
      <c r="O412" s="2479"/>
      <c r="P412" s="2282"/>
      <c r="X412" s="339">
        <v>34952</v>
      </c>
      <c r="Y412" s="338" t="s">
        <v>350</v>
      </c>
      <c r="AA412" s="338">
        <v>112</v>
      </c>
      <c r="AB412" s="338" t="s">
        <v>302</v>
      </c>
      <c r="AG412" s="2297">
        <v>25.04</v>
      </c>
      <c r="AH412" s="2297" t="s">
        <v>329</v>
      </c>
      <c r="AI412" s="1390"/>
      <c r="AJ412" s="2282"/>
      <c r="AK412" s="2282"/>
      <c r="AL412" s="1037"/>
      <c r="AR412" s="338">
        <v>10.08</v>
      </c>
      <c r="AS412" s="338" t="s">
        <v>331</v>
      </c>
      <c r="AX412" s="340">
        <v>305.07</v>
      </c>
      <c r="AY412" s="340" t="s">
        <v>294</v>
      </c>
      <c r="BC412" s="341" t="str">
        <f t="array" ref="BC412">IFERROR(IF($BC$11="Yes",INDEX($AX$13:$AX$2950,SMALL(IF((County=$AY$13:$AY$2950),MATCH(ROW($AY$13:$AY$2950),ROW($AY$13:$AY$2950)),""),ROWS($A$13:$A470))),""),"")</f>
        <v/>
      </c>
      <c r="BH412" s="338">
        <v>105.01</v>
      </c>
      <c r="BI412" s="338" t="s">
        <v>316</v>
      </c>
      <c r="BN412" s="340">
        <v>22.19</v>
      </c>
      <c r="BO412" s="340" t="s">
        <v>276</v>
      </c>
      <c r="BP412" s="1385"/>
      <c r="BQ412" s="1388"/>
      <c r="BV412" s="338">
        <v>414</v>
      </c>
      <c r="BW412" s="338" t="s">
        <v>289</v>
      </c>
      <c r="CB412" s="340">
        <v>4501.03</v>
      </c>
      <c r="CC412" s="340" t="s">
        <v>295</v>
      </c>
      <c r="CE412" s="341" t="str">
        <f t="array" ref="CE412">IFERROR(IF($CE$11="Metro",INDEX($BV$13:$BV$4972,SMALL(IF((County=$BW$13:$BW$4972),MATCH(ROW($BW$13:$BW$4972),ROW($BW$13:$BW$4972)),""),ROWS($A$13:$A470))),INDEX($BY$13:$BY$212,SMALL(IF((County=$BZ$13:$BZ$212),MATCH(ROW($BZ$13:$BZ$212),ROW($BZ$13:$BZ$212)),""),ROWS($A$13:$A470)))),"")</f>
        <v/>
      </c>
      <c r="CG412" s="341" t="str">
        <f t="array" ref="CG412">IFERROR(IF($CG$11="Yes",INDEX($CB$13:$CB$2950,SMALL(IF((County=$CC$13:$CC$2950),MATCH(ROW($CC$13:$CC$2950),ROW($CC$13:$CC$2950)),""),ROWS($A$13:$A470))),""),"")</f>
        <v/>
      </c>
      <c r="CL412" s="236">
        <v>11.03</v>
      </c>
      <c r="CM412" s="236" t="s">
        <v>304</v>
      </c>
      <c r="CR412" s="340">
        <v>22.22</v>
      </c>
      <c r="CS412" s="340" t="s">
        <v>276</v>
      </c>
      <c r="CT412" s="1384"/>
      <c r="CZ412" s="1795">
        <v>3.09</v>
      </c>
      <c r="DA412" s="338" t="s">
        <v>328</v>
      </c>
      <c r="DF412" s="340">
        <v>4507.04</v>
      </c>
      <c r="DG412" s="340" t="s">
        <v>295</v>
      </c>
      <c r="DP412" s="236">
        <v>107.02</v>
      </c>
      <c r="DQ412" s="236" t="s">
        <v>289</v>
      </c>
      <c r="DV412" s="340">
        <v>24.21</v>
      </c>
      <c r="DW412" s="340" t="s">
        <v>324</v>
      </c>
      <c r="DX412" s="1671"/>
      <c r="EB412" s="618"/>
      <c r="EC412" s="618"/>
      <c r="ED412" s="618"/>
      <c r="EE412" s="618"/>
      <c r="EF412" s="618"/>
      <c r="EG412" s="618"/>
      <c r="EH412" s="618"/>
      <c r="EI412" s="618"/>
      <c r="EJ412" s="618"/>
      <c r="EK412" s="618"/>
      <c r="EL412" s="618"/>
      <c r="EM412" s="618"/>
    </row>
    <row r="413" spans="1:143">
      <c r="A413" s="339">
        <v>32764</v>
      </c>
      <c r="B413" s="338" t="s">
        <v>355</v>
      </c>
      <c r="F413" s="338">
        <v>6.1</v>
      </c>
      <c r="G413" s="338" t="s">
        <v>331</v>
      </c>
      <c r="L413" s="2481">
        <v>302.06</v>
      </c>
      <c r="M413" s="340" t="s">
        <v>296</v>
      </c>
      <c r="N413" s="1390"/>
      <c r="O413" s="2479"/>
      <c r="P413" s="2282"/>
      <c r="X413" s="339">
        <v>34953</v>
      </c>
      <c r="Y413" s="338" t="s">
        <v>350</v>
      </c>
      <c r="AA413" s="338">
        <v>112.02</v>
      </c>
      <c r="AB413" s="338" t="s">
        <v>344</v>
      </c>
      <c r="AG413" s="2297">
        <v>25.05</v>
      </c>
      <c r="AH413" s="2297" t="s">
        <v>324</v>
      </c>
      <c r="AI413" s="1390"/>
      <c r="AJ413" s="2282"/>
      <c r="AK413" s="2282"/>
      <c r="AL413" s="1037"/>
      <c r="AR413" s="338">
        <v>11.03</v>
      </c>
      <c r="AS413" s="338" t="s">
        <v>331</v>
      </c>
      <c r="AX413" s="340">
        <v>4501.03</v>
      </c>
      <c r="AY413" s="340" t="s">
        <v>295</v>
      </c>
      <c r="BC413" s="341" t="str">
        <f t="array" ref="BC413">IFERROR(IF($BC$11="Yes",INDEX($AX$13:$AX$2950,SMALL(IF((County=$AY$13:$AY$2950),MATCH(ROW($AY$13:$AY$2950),ROW($AY$13:$AY$2950)),""),ROWS($A$13:$A471))),""),"")</f>
        <v/>
      </c>
      <c r="BH413" s="338">
        <v>106.09</v>
      </c>
      <c r="BI413" s="338" t="s">
        <v>331</v>
      </c>
      <c r="BN413" s="340">
        <v>22.21</v>
      </c>
      <c r="BO413" s="340" t="s">
        <v>276</v>
      </c>
      <c r="BP413" s="1385"/>
      <c r="BQ413" s="1388"/>
      <c r="BV413" s="338">
        <v>415</v>
      </c>
      <c r="BW413" s="338" t="s">
        <v>289</v>
      </c>
      <c r="CB413" s="340">
        <v>4501.04</v>
      </c>
      <c r="CC413" s="340" t="s">
        <v>295</v>
      </c>
      <c r="CE413" s="341" t="str">
        <f t="array" ref="CE413">IFERROR(IF($CE$11="Metro",INDEX($BV$13:$BV$4972,SMALL(IF((County=$BW$13:$BW$4972),MATCH(ROW($BW$13:$BW$4972),ROW($BW$13:$BW$4972)),""),ROWS($A$13:$A471))),INDEX($BY$13:$BY$212,SMALL(IF((County=$BZ$13:$BZ$212),MATCH(ROW($BZ$13:$BZ$212),ROW($BZ$13:$BZ$212)),""),ROWS($A$13:$A471)))),"")</f>
        <v/>
      </c>
      <c r="CG413" s="341" t="str">
        <f t="array" ref="CG413">IFERROR(IF($CG$11="Yes",INDEX($CB$13:$CB$2950,SMALL(IF((County=$CC$13:$CC$2950),MATCH(ROW($CC$13:$CC$2950),ROW($CC$13:$CC$2950)),""),ROWS($A$13:$A471))),""),"")</f>
        <v/>
      </c>
      <c r="CL413" s="236">
        <v>11.03</v>
      </c>
      <c r="CM413" s="236" t="s">
        <v>323</v>
      </c>
      <c r="CR413" s="340">
        <v>23</v>
      </c>
      <c r="CS413" s="340" t="s">
        <v>285</v>
      </c>
      <c r="CT413" s="1384"/>
      <c r="CZ413" s="1795">
        <v>3.1</v>
      </c>
      <c r="DA413" s="338" t="s">
        <v>328</v>
      </c>
      <c r="DF413" s="340">
        <v>4507.05</v>
      </c>
      <c r="DG413" s="340" t="s">
        <v>295</v>
      </c>
      <c r="DP413" s="236">
        <v>107.06</v>
      </c>
      <c r="DQ413" s="236" t="s">
        <v>331</v>
      </c>
      <c r="DV413" s="340">
        <v>24.22</v>
      </c>
      <c r="DW413" s="340" t="s">
        <v>324</v>
      </c>
      <c r="DX413" s="1671"/>
      <c r="EB413" s="618"/>
      <c r="EC413" s="618"/>
      <c r="ED413" s="618"/>
      <c r="EE413" s="618"/>
      <c r="EF413" s="618"/>
      <c r="EG413" s="618"/>
      <c r="EH413" s="618"/>
      <c r="EI413" s="618"/>
      <c r="EJ413" s="618"/>
      <c r="EK413" s="618"/>
      <c r="EL413" s="618"/>
      <c r="EM413" s="618"/>
    </row>
    <row r="414" spans="1:143">
      <c r="A414" s="339">
        <v>32346</v>
      </c>
      <c r="B414" s="338" t="s">
        <v>356</v>
      </c>
      <c r="F414" s="338">
        <v>6.11</v>
      </c>
      <c r="G414" s="338" t="s">
        <v>331</v>
      </c>
      <c r="L414" s="2481">
        <v>302.07</v>
      </c>
      <c r="M414" s="340" t="s">
        <v>296</v>
      </c>
      <c r="N414" s="1390"/>
      <c r="O414" s="2479"/>
      <c r="P414" s="2282"/>
      <c r="X414" s="339">
        <v>34983</v>
      </c>
      <c r="Y414" s="338" t="s">
        <v>350</v>
      </c>
      <c r="AA414" s="338">
        <v>112.03</v>
      </c>
      <c r="AB414" s="338" t="s">
        <v>344</v>
      </c>
      <c r="AG414" s="2297">
        <v>25.05</v>
      </c>
      <c r="AH414" s="2297" t="s">
        <v>329</v>
      </c>
      <c r="AI414" s="1390"/>
      <c r="AJ414" s="2282"/>
      <c r="AK414" s="2282"/>
      <c r="AL414" s="1037"/>
      <c r="AR414" s="338">
        <v>12.07</v>
      </c>
      <c r="AS414" s="338" t="s">
        <v>331</v>
      </c>
      <c r="AX414" s="340">
        <v>4501.04</v>
      </c>
      <c r="AY414" s="340" t="s">
        <v>295</v>
      </c>
      <c r="BC414" s="341" t="str">
        <f t="array" ref="BC414">IFERROR(IF($BC$11="Yes",INDEX($AX$13:$AX$2950,SMALL(IF((County=$AY$13:$AY$2950),MATCH(ROW($AY$13:$AY$2950),ROW($AY$13:$AY$2950)),""),ROWS($A$13:$A472))),""),"")</f>
        <v/>
      </c>
      <c r="BH414" s="338">
        <v>107</v>
      </c>
      <c r="BI414" s="338" t="s">
        <v>302</v>
      </c>
      <c r="BN414" s="340">
        <v>22.22</v>
      </c>
      <c r="BO414" s="340" t="s">
        <v>276</v>
      </c>
      <c r="BP414" s="1385"/>
      <c r="BQ414" s="1388"/>
      <c r="BV414" s="338">
        <v>416.01</v>
      </c>
      <c r="BW414" s="338" t="s">
        <v>289</v>
      </c>
      <c r="CB414" s="340">
        <v>4503.05</v>
      </c>
      <c r="CC414" s="340" t="s">
        <v>295</v>
      </c>
      <c r="CE414" s="341" t="str">
        <f t="array" ref="CE414">IFERROR(IF($CE$11="Metro",INDEX($BV$13:$BV$4972,SMALL(IF((County=$BW$13:$BW$4972),MATCH(ROW($BW$13:$BW$4972),ROW($BW$13:$BW$4972)),""),ROWS($A$13:$A472))),INDEX($BY$13:$BY$212,SMALL(IF((County=$BZ$13:$BZ$212),MATCH(ROW($BZ$13:$BZ$212),ROW($BZ$13:$BZ$212)),""),ROWS($A$13:$A472)))),"")</f>
        <v/>
      </c>
      <c r="CG414" s="341" t="str">
        <f t="array" ref="CG414">IFERROR(IF($CG$11="Yes",INDEX($CB$13:$CB$2950,SMALL(IF((County=$CC$13:$CC$2950),MATCH(ROW($CC$13:$CC$2950),ROW($CC$13:$CC$2950)),""),ROWS($A$13:$A472))),""),"")</f>
        <v/>
      </c>
      <c r="CL414" s="236">
        <v>11.03</v>
      </c>
      <c r="CM414" s="236" t="s">
        <v>329</v>
      </c>
      <c r="CR414" s="340">
        <v>23</v>
      </c>
      <c r="CS414" s="340" t="s">
        <v>302</v>
      </c>
      <c r="CT414" s="1384"/>
      <c r="CZ414" s="1795">
        <v>3.11</v>
      </c>
      <c r="DA414" s="338" t="s">
        <v>328</v>
      </c>
      <c r="DF414" s="340">
        <v>4507.0600000000004</v>
      </c>
      <c r="DG414" s="340" t="s">
        <v>295</v>
      </c>
      <c r="DP414" s="236">
        <v>107.08</v>
      </c>
      <c r="DQ414" s="236" t="s">
        <v>331</v>
      </c>
      <c r="DV414" s="340">
        <v>24.23</v>
      </c>
      <c r="DW414" s="340" t="s">
        <v>324</v>
      </c>
      <c r="DX414" s="1671"/>
      <c r="EB414" s="618"/>
      <c r="EC414" s="618"/>
      <c r="ED414" s="618"/>
      <c r="EE414" s="618"/>
      <c r="EF414" s="618"/>
      <c r="EG414" s="618"/>
      <c r="EH414" s="618"/>
      <c r="EI414" s="618"/>
      <c r="EJ414" s="618"/>
      <c r="EK414" s="618"/>
      <c r="EL414" s="618"/>
      <c r="EM414" s="618"/>
    </row>
    <row r="415" spans="1:143">
      <c r="A415" s="339">
        <v>32461</v>
      </c>
      <c r="B415" s="338" t="s">
        <v>357</v>
      </c>
      <c r="F415" s="338">
        <v>7.05</v>
      </c>
      <c r="G415" s="338" t="s">
        <v>331</v>
      </c>
      <c r="L415" s="2481">
        <v>302.08</v>
      </c>
      <c r="M415" s="340" t="s">
        <v>296</v>
      </c>
      <c r="N415" s="1390"/>
      <c r="O415" s="2479"/>
      <c r="P415" s="2282"/>
      <c r="X415" s="339">
        <v>34984</v>
      </c>
      <c r="Y415" s="338" t="s">
        <v>350</v>
      </c>
      <c r="AA415" s="338">
        <v>112.04</v>
      </c>
      <c r="AB415" s="338" t="s">
        <v>297</v>
      </c>
      <c r="AG415" s="2297">
        <v>25.05</v>
      </c>
      <c r="AH415" s="2297" t="s">
        <v>347</v>
      </c>
      <c r="AI415" s="1390"/>
      <c r="AJ415" s="2282"/>
      <c r="AK415" s="2282"/>
      <c r="AL415" s="1037"/>
      <c r="AR415" s="338">
        <v>12.08</v>
      </c>
      <c r="AS415" s="338" t="s">
        <v>331</v>
      </c>
      <c r="AX415" s="340">
        <v>4502.0200000000004</v>
      </c>
      <c r="AY415" s="340" t="s">
        <v>295</v>
      </c>
      <c r="BC415" s="341" t="str">
        <f t="array" ref="BC415">IFERROR(IF($BC$11="Yes",INDEX($AX$13:$AX$2950,SMALL(IF((County=$AY$13:$AY$2950),MATCH(ROW($AY$13:$AY$2950),ROW($AY$13:$AY$2950)),""),ROWS($A$13:$A473))),""),"")</f>
        <v/>
      </c>
      <c r="BH415" s="338">
        <v>107.01</v>
      </c>
      <c r="BI415" s="338" t="s">
        <v>297</v>
      </c>
      <c r="BN415" s="340">
        <v>23</v>
      </c>
      <c r="BO415" s="340" t="s">
        <v>302</v>
      </c>
      <c r="BP415" s="1385"/>
      <c r="BQ415" s="1388"/>
      <c r="BV415" s="338">
        <v>416.02</v>
      </c>
      <c r="BW415" s="338" t="s">
        <v>289</v>
      </c>
      <c r="CB415" s="340">
        <v>4503.07</v>
      </c>
      <c r="CC415" s="340" t="s">
        <v>295</v>
      </c>
      <c r="CE415" s="341" t="str">
        <f t="array" ref="CE415">IFERROR(IF($CE$11="Metro",INDEX($BV$13:$BV$4972,SMALL(IF((County=$BW$13:$BW$4972),MATCH(ROW($BW$13:$BW$4972),ROW($BW$13:$BW$4972)),""),ROWS($A$13:$A473))),INDEX($BY$13:$BY$212,SMALL(IF((County=$BZ$13:$BZ$212),MATCH(ROW($BZ$13:$BZ$212),ROW($BZ$13:$BZ$212)),""),ROWS($A$13:$A473)))),"")</f>
        <v/>
      </c>
      <c r="CG415" s="341" t="str">
        <f t="array" ref="CG415">IFERROR(IF($CG$11="Yes",INDEX($CB$13:$CB$2950,SMALL(IF((County=$CC$13:$CC$2950),MATCH(ROW($CC$13:$CC$2950),ROW($CC$13:$CC$2950)),""),ROWS($A$13:$A473))),""),"")</f>
        <v/>
      </c>
      <c r="CL415" s="236">
        <v>11.03</v>
      </c>
      <c r="CM415" s="236" t="s">
        <v>330</v>
      </c>
      <c r="CR415" s="340">
        <v>23</v>
      </c>
      <c r="CS415" s="340" t="s">
        <v>304</v>
      </c>
      <c r="CT415" s="1384"/>
      <c r="CZ415" s="1795">
        <v>3.13</v>
      </c>
      <c r="DA415" s="338" t="s">
        <v>328</v>
      </c>
      <c r="DF415" s="340">
        <v>4509.01</v>
      </c>
      <c r="DG415" s="340" t="s">
        <v>295</v>
      </c>
      <c r="DP415" s="236">
        <v>108</v>
      </c>
      <c r="DQ415" s="236" t="s">
        <v>302</v>
      </c>
      <c r="DV415" s="340">
        <v>25</v>
      </c>
      <c r="DW415" s="340" t="s">
        <v>285</v>
      </c>
      <c r="DX415" s="1671"/>
      <c r="EB415" s="618"/>
      <c r="EC415" s="618"/>
      <c r="ED415" s="618"/>
      <c r="EE415" s="618"/>
      <c r="EF415" s="618"/>
      <c r="EG415" s="618"/>
      <c r="EH415" s="618"/>
      <c r="EI415" s="618"/>
      <c r="EJ415" s="618"/>
      <c r="EK415" s="618"/>
      <c r="EL415" s="618"/>
      <c r="EM415" s="618"/>
    </row>
    <row r="416" spans="1:143">
      <c r="A416" s="339">
        <v>32466</v>
      </c>
      <c r="B416" s="338" t="s">
        <v>357</v>
      </c>
      <c r="F416" s="338">
        <v>7.1</v>
      </c>
      <c r="G416" s="338" t="s">
        <v>331</v>
      </c>
      <c r="L416" s="2481">
        <v>302.08999999999997</v>
      </c>
      <c r="M416" s="340" t="s">
        <v>296</v>
      </c>
      <c r="N416" s="1390"/>
      <c r="O416" s="2479"/>
      <c r="P416" s="2282"/>
      <c r="X416" s="339">
        <v>34986</v>
      </c>
      <c r="Y416" s="338" t="s">
        <v>350</v>
      </c>
      <c r="AA416" s="338">
        <v>112.04</v>
      </c>
      <c r="AB416" s="338" t="s">
        <v>344</v>
      </c>
      <c r="AG416" s="2297">
        <v>25.07</v>
      </c>
      <c r="AH416" s="2297" t="s">
        <v>324</v>
      </c>
      <c r="AI416" s="1390"/>
      <c r="AJ416" s="2282"/>
      <c r="AK416" s="2282"/>
      <c r="AL416" s="1037"/>
      <c r="AR416" s="338">
        <v>12.09</v>
      </c>
      <c r="AS416" s="338" t="s">
        <v>331</v>
      </c>
      <c r="AX416" s="340">
        <v>4503.05</v>
      </c>
      <c r="AY416" s="340" t="s">
        <v>295</v>
      </c>
      <c r="BC416" s="341" t="str">
        <f t="array" ref="BC416">IFERROR(IF($BC$11="Yes",INDEX($AX$13:$AX$2950,SMALL(IF((County=$AY$13:$AY$2950),MATCH(ROW($AY$13:$AY$2950),ROW($AY$13:$AY$2950)),""),ROWS($A$13:$A474))),""),"")</f>
        <v/>
      </c>
      <c r="BH416" s="338">
        <v>107.05</v>
      </c>
      <c r="BI416" s="338" t="s">
        <v>346</v>
      </c>
      <c r="BN416" s="340">
        <v>23</v>
      </c>
      <c r="BO416" s="340" t="s">
        <v>316</v>
      </c>
      <c r="BP416" s="1385"/>
      <c r="BQ416" s="1388"/>
      <c r="BV416" s="338">
        <v>417</v>
      </c>
      <c r="BW416" s="338" t="s">
        <v>289</v>
      </c>
      <c r="CB416" s="340">
        <v>4503.08</v>
      </c>
      <c r="CC416" s="340" t="s">
        <v>295</v>
      </c>
      <c r="CE416" s="341" t="str">
        <f t="array" ref="CE416">IFERROR(IF($CE$11="Metro",INDEX($BV$13:$BV$4972,SMALL(IF((County=$BW$13:$BW$4972),MATCH(ROW($BW$13:$BW$4972),ROW($BW$13:$BW$4972)),""),ROWS($A$13:$A474))),INDEX($BY$13:$BY$212,SMALL(IF((County=$BZ$13:$BZ$212),MATCH(ROW($BZ$13:$BZ$212),ROW($BZ$13:$BZ$212)),""),ROWS($A$13:$A474)))),"")</f>
        <v/>
      </c>
      <c r="CG416" s="341" t="str">
        <f t="array" ref="CG416">IFERROR(IF($CG$11="Yes",INDEX($CB$13:$CB$2950,SMALL(IF((County=$CC$13:$CC$2950),MATCH(ROW($CC$13:$CC$2950),ROW($CC$13:$CC$2950)),""),ROWS($A$13:$A474))),""),"")</f>
        <v/>
      </c>
      <c r="CL416" s="236">
        <v>11.03</v>
      </c>
      <c r="CM416" s="236" t="s">
        <v>331</v>
      </c>
      <c r="CR416" s="340">
        <v>23</v>
      </c>
      <c r="CS416" s="340" t="s">
        <v>316</v>
      </c>
      <c r="CT416" s="1384"/>
      <c r="CZ416" s="1795">
        <v>3.14</v>
      </c>
      <c r="DA416" s="338" t="s">
        <v>328</v>
      </c>
      <c r="DF416" s="340">
        <v>4510.01</v>
      </c>
      <c r="DG416" s="340" t="s">
        <v>295</v>
      </c>
      <c r="DP416" s="236">
        <v>108</v>
      </c>
      <c r="DQ416" s="236" t="s">
        <v>344</v>
      </c>
      <c r="DV416" s="340">
        <v>25</v>
      </c>
      <c r="DW416" s="340" t="s">
        <v>304</v>
      </c>
      <c r="DX416" s="1671"/>
      <c r="EB416" s="618"/>
      <c r="EC416" s="618"/>
      <c r="ED416" s="618"/>
      <c r="EE416" s="618"/>
      <c r="EF416" s="618"/>
      <c r="EG416" s="618"/>
      <c r="EH416" s="618"/>
      <c r="EI416" s="618"/>
      <c r="EJ416" s="618"/>
      <c r="EK416" s="618"/>
      <c r="EL416" s="618"/>
      <c r="EM416" s="618"/>
    </row>
    <row r="417" spans="1:143">
      <c r="A417" s="339">
        <v>32550</v>
      </c>
      <c r="B417" s="338" t="s">
        <v>357</v>
      </c>
      <c r="F417" s="338">
        <v>7.11</v>
      </c>
      <c r="G417" s="338" t="s">
        <v>331</v>
      </c>
      <c r="L417" s="2481">
        <v>302.10000000000002</v>
      </c>
      <c r="M417" s="340" t="s">
        <v>296</v>
      </c>
      <c r="N417" s="1390"/>
      <c r="O417" s="2479"/>
      <c r="P417" s="2282"/>
      <c r="X417" s="339">
        <v>34987</v>
      </c>
      <c r="Y417" s="338" t="s">
        <v>350</v>
      </c>
      <c r="AA417" s="338">
        <v>112.05</v>
      </c>
      <c r="AB417" s="338" t="s">
        <v>297</v>
      </c>
      <c r="AG417" s="2297">
        <v>25.07</v>
      </c>
      <c r="AH417" s="2297" t="s">
        <v>329</v>
      </c>
      <c r="AI417" s="1390"/>
      <c r="AJ417" s="2282"/>
      <c r="AK417" s="2282"/>
      <c r="AL417" s="1037"/>
      <c r="AR417" s="338">
        <v>13.01</v>
      </c>
      <c r="AS417" s="338" t="s">
        <v>331</v>
      </c>
      <c r="AX417" s="340">
        <v>4503.07</v>
      </c>
      <c r="AY417" s="340" t="s">
        <v>295</v>
      </c>
      <c r="BC417" s="341" t="str">
        <f t="array" ref="BC417">IFERROR(IF($BC$11="Yes",INDEX($AX$13:$AX$2950,SMALL(IF((County=$AY$13:$AY$2950),MATCH(ROW($AY$13:$AY$2950),ROW($AY$13:$AY$2950)),""),ROWS($A$13:$A475))),""),"")</f>
        <v/>
      </c>
      <c r="BH417" s="338">
        <v>107.06</v>
      </c>
      <c r="BI417" s="338" t="s">
        <v>331</v>
      </c>
      <c r="BN417" s="340">
        <v>23.02</v>
      </c>
      <c r="BO417" s="340" t="s">
        <v>324</v>
      </c>
      <c r="BP417" s="1385"/>
      <c r="BQ417" s="1388"/>
      <c r="BV417" s="338">
        <v>418.01</v>
      </c>
      <c r="BW417" s="338" t="s">
        <v>289</v>
      </c>
      <c r="CB417" s="340">
        <v>4503.09</v>
      </c>
      <c r="CC417" s="340" t="s">
        <v>295</v>
      </c>
      <c r="CE417" s="341" t="str">
        <f t="array" ref="CE417">IFERROR(IF($CE$11="Metro",INDEX($BV$13:$BV$4972,SMALL(IF((County=$BW$13:$BW$4972),MATCH(ROW($BW$13:$BW$4972),ROW($BW$13:$BW$4972)),""),ROWS($A$13:$A475))),INDEX($BY$13:$BY$212,SMALL(IF((County=$BZ$13:$BZ$212),MATCH(ROW($BZ$13:$BZ$212),ROW($BZ$13:$BZ$212)),""),ROWS($A$13:$A475)))),"")</f>
        <v/>
      </c>
      <c r="CG417" s="341" t="str">
        <f t="array" ref="CG417">IFERROR(IF($CG$11="Yes",INDEX($CB$13:$CB$2950,SMALL(IF((County=$CC$13:$CC$2950),MATCH(ROW($CC$13:$CC$2950),ROW($CC$13:$CC$2950)),""),ROWS($A$13:$A475))),""),"")</f>
        <v/>
      </c>
      <c r="CL417" s="236">
        <v>11.04</v>
      </c>
      <c r="CM417" s="236" t="s">
        <v>304</v>
      </c>
      <c r="CR417" s="340">
        <v>23.02</v>
      </c>
      <c r="CS417" s="340" t="s">
        <v>324</v>
      </c>
      <c r="CT417" s="1384"/>
      <c r="CZ417" s="1795">
        <v>6.03</v>
      </c>
      <c r="DA417" s="338" t="s">
        <v>328</v>
      </c>
      <c r="DF417" s="340">
        <v>4511.01</v>
      </c>
      <c r="DG417" s="340" t="s">
        <v>295</v>
      </c>
      <c r="DP417" s="236">
        <v>108.04</v>
      </c>
      <c r="DQ417" s="236" t="s">
        <v>297</v>
      </c>
      <c r="DV417" s="340">
        <v>25.01</v>
      </c>
      <c r="DW417" s="340" t="s">
        <v>302</v>
      </c>
      <c r="DX417" s="1671"/>
      <c r="EB417" s="618"/>
      <c r="EC417" s="618"/>
      <c r="ED417" s="618"/>
      <c r="EE417" s="618"/>
      <c r="EF417" s="618"/>
      <c r="EG417" s="618"/>
      <c r="EH417" s="618"/>
      <c r="EI417" s="618"/>
      <c r="EJ417" s="618"/>
      <c r="EK417" s="618"/>
      <c r="EL417" s="618"/>
      <c r="EM417" s="618"/>
    </row>
    <row r="418" spans="1:143">
      <c r="A418" s="339">
        <v>32578</v>
      </c>
      <c r="B418" s="338" t="s">
        <v>357</v>
      </c>
      <c r="F418" s="338">
        <v>7.12</v>
      </c>
      <c r="G418" s="338" t="s">
        <v>331</v>
      </c>
      <c r="L418" s="2481">
        <v>303.06</v>
      </c>
      <c r="M418" s="340" t="s">
        <v>296</v>
      </c>
      <c r="N418" s="1390"/>
      <c r="O418" s="2479"/>
      <c r="P418" s="2282"/>
      <c r="X418" s="339">
        <v>34990</v>
      </c>
      <c r="Y418" s="338" t="s">
        <v>330</v>
      </c>
      <c r="AA418" s="338">
        <v>112.05</v>
      </c>
      <c r="AB418" s="338" t="s">
        <v>331</v>
      </c>
      <c r="AG418" s="2297">
        <v>25.07</v>
      </c>
      <c r="AH418" s="2297" t="s">
        <v>347</v>
      </c>
      <c r="AI418" s="1390"/>
      <c r="AJ418" s="2282"/>
      <c r="AK418" s="2282"/>
      <c r="AL418" s="1037"/>
      <c r="AR418" s="338">
        <v>14.01</v>
      </c>
      <c r="AS418" s="338" t="s">
        <v>331</v>
      </c>
      <c r="AX418" s="340">
        <v>4503.08</v>
      </c>
      <c r="AY418" s="340" t="s">
        <v>295</v>
      </c>
      <c r="BC418" s="341" t="str">
        <f t="array" ref="BC418">IFERROR(IF($BC$11="Yes",INDEX($AX$13:$AX$2950,SMALL(IF((County=$AY$13:$AY$2950),MATCH(ROW($AY$13:$AY$2950),ROW($AY$13:$AY$2950)),""),ROWS($A$13:$A476))),""),"")</f>
        <v/>
      </c>
      <c r="BH418" s="338">
        <v>108</v>
      </c>
      <c r="BI418" s="338" t="s">
        <v>302</v>
      </c>
      <c r="BN418" s="340">
        <v>23.02</v>
      </c>
      <c r="BO418" s="340" t="s">
        <v>329</v>
      </c>
      <c r="BP418" s="1385"/>
      <c r="BQ418" s="1388"/>
      <c r="BV418" s="338">
        <v>418.02</v>
      </c>
      <c r="BW418" s="338" t="s">
        <v>289</v>
      </c>
      <c r="CB418" s="340">
        <v>4503.1000000000004</v>
      </c>
      <c r="CC418" s="340" t="s">
        <v>295</v>
      </c>
      <c r="CE418" s="341" t="str">
        <f t="array" ref="CE418">IFERROR(IF($CE$11="Metro",INDEX($BV$13:$BV$4972,SMALL(IF((County=$BW$13:$BW$4972),MATCH(ROW($BW$13:$BW$4972),ROW($BW$13:$BW$4972)),""),ROWS($A$13:$A476))),INDEX($BY$13:$BY$212,SMALL(IF((County=$BZ$13:$BZ$212),MATCH(ROW($BZ$13:$BZ$212),ROW($BZ$13:$BZ$212)),""),ROWS($A$13:$A476)))),"")</f>
        <v/>
      </c>
      <c r="CG418" s="341" t="str">
        <f t="array" ref="CG418">IFERROR(IF($CG$11="Yes",INDEX($CB$13:$CB$2950,SMALL(IF((County=$CC$13:$CC$2950),MATCH(ROW($CC$13:$CC$2950),ROW($CC$13:$CC$2950)),""),ROWS($A$13:$A476))),""),"")</f>
        <v/>
      </c>
      <c r="CL418" s="236">
        <v>11.04</v>
      </c>
      <c r="CM418" s="236" t="s">
        <v>323</v>
      </c>
      <c r="CR418" s="340">
        <v>23.02</v>
      </c>
      <c r="CS418" s="340" t="s">
        <v>329</v>
      </c>
      <c r="CT418" s="1384"/>
      <c r="CZ418" s="1795">
        <v>6.04</v>
      </c>
      <c r="DA418" s="338" t="s">
        <v>328</v>
      </c>
      <c r="DF418" s="340">
        <v>4513</v>
      </c>
      <c r="DG418" s="340" t="s">
        <v>295</v>
      </c>
      <c r="DP418" s="236">
        <v>108.04</v>
      </c>
      <c r="DQ418" s="236" t="s">
        <v>331</v>
      </c>
      <c r="DV418" s="340">
        <v>25.02</v>
      </c>
      <c r="DW418" s="340" t="s">
        <v>302</v>
      </c>
      <c r="DX418" s="1671"/>
      <c r="EB418" s="618"/>
      <c r="EC418" s="618"/>
      <c r="ED418" s="618"/>
      <c r="EE418" s="618"/>
      <c r="EF418" s="618"/>
      <c r="EG418" s="618"/>
      <c r="EH418" s="618"/>
      <c r="EI418" s="618"/>
      <c r="EJ418" s="618"/>
      <c r="EK418" s="618"/>
      <c r="EL418" s="618"/>
      <c r="EM418" s="618"/>
    </row>
    <row r="419" spans="1:143">
      <c r="A419" s="2711" t="s">
        <v>2074</v>
      </c>
      <c r="B419" s="2712"/>
      <c r="F419" s="338">
        <v>7.14</v>
      </c>
      <c r="G419" s="338" t="s">
        <v>331</v>
      </c>
      <c r="L419" s="2481">
        <v>305</v>
      </c>
      <c r="M419" s="340" t="s">
        <v>296</v>
      </c>
      <c r="N419" s="1390"/>
      <c r="O419" s="2479"/>
      <c r="P419" s="2282"/>
      <c r="X419" s="2711" t="s">
        <v>2074</v>
      </c>
      <c r="Y419" s="2712"/>
      <c r="AA419" s="338">
        <v>113</v>
      </c>
      <c r="AB419" s="338" t="s">
        <v>302</v>
      </c>
      <c r="AG419" s="2297">
        <v>25.09</v>
      </c>
      <c r="AH419" s="2297" t="s">
        <v>347</v>
      </c>
      <c r="AI419" s="1390"/>
      <c r="AJ419" s="2282"/>
      <c r="AK419" s="2282"/>
      <c r="AL419" s="1037"/>
      <c r="AR419" s="338">
        <v>14.02</v>
      </c>
      <c r="AS419" s="338" t="s">
        <v>331</v>
      </c>
      <c r="AX419" s="340">
        <v>4504.0200000000004</v>
      </c>
      <c r="AY419" s="340" t="s">
        <v>295</v>
      </c>
      <c r="BC419" s="341" t="str">
        <f t="array" ref="BC419">IFERROR(IF($BC$11="Yes",INDEX($AX$13:$AX$2950,SMALL(IF((County=$AY$13:$AY$2950),MATCH(ROW($AY$13:$AY$2950),ROW($AY$13:$AY$2950)),""),ROWS($A$13:$A477))),""),"")</f>
        <v/>
      </c>
      <c r="BH419" s="338">
        <v>108.02</v>
      </c>
      <c r="BI419" s="338" t="s">
        <v>323</v>
      </c>
      <c r="BN419" s="340">
        <v>23.03</v>
      </c>
      <c r="BO419" s="340" t="s">
        <v>324</v>
      </c>
      <c r="BP419" s="1385"/>
      <c r="BQ419" s="1388"/>
      <c r="BV419" s="338">
        <v>419</v>
      </c>
      <c r="BW419" s="338" t="s">
        <v>289</v>
      </c>
      <c r="CB419" s="340">
        <v>4504.0200000000004</v>
      </c>
      <c r="CC419" s="340" t="s">
        <v>295</v>
      </c>
      <c r="CE419" s="341" t="str">
        <f t="array" ref="CE419">IFERROR(IF($CE$11="Metro",INDEX($BV$13:$BV$4972,SMALL(IF((County=$BW$13:$BW$4972),MATCH(ROW($BW$13:$BW$4972),ROW($BW$13:$BW$4972)),""),ROWS($A$13:$A477))),INDEX($BY$13:$BY$212,SMALL(IF((County=$BZ$13:$BZ$212),MATCH(ROW($BZ$13:$BZ$212),ROW($BZ$13:$BZ$212)),""),ROWS($A$13:$A477)))),"")</f>
        <v/>
      </c>
      <c r="CG419" s="341" t="str">
        <f t="array" ref="CG419">IFERROR(IF($CG$11="Yes",INDEX($CB$13:$CB$2950,SMALL(IF((County=$CC$13:$CC$2950),MATCH(ROW($CC$13:$CC$2950),ROW($CC$13:$CC$2950)),""),ROWS($A$13:$A477))),""),"")</f>
        <v/>
      </c>
      <c r="CL419" s="236">
        <v>11.04</v>
      </c>
      <c r="CM419" s="236" t="s">
        <v>328</v>
      </c>
      <c r="CR419" s="340">
        <v>23.03</v>
      </c>
      <c r="CS419" s="340" t="s">
        <v>324</v>
      </c>
      <c r="CT419" s="1384"/>
      <c r="CZ419" s="1795">
        <v>7.04</v>
      </c>
      <c r="DA419" s="338" t="s">
        <v>328</v>
      </c>
      <c r="DF419" s="340">
        <v>4514</v>
      </c>
      <c r="DG419" s="340" t="s">
        <v>295</v>
      </c>
      <c r="DP419" s="236">
        <v>108.05</v>
      </c>
      <c r="DQ419" s="236" t="s">
        <v>316</v>
      </c>
      <c r="DV419" s="340">
        <v>25.03</v>
      </c>
      <c r="DW419" s="340" t="s">
        <v>329</v>
      </c>
      <c r="DX419" s="1671"/>
      <c r="EB419" s="618"/>
      <c r="EC419" s="618"/>
      <c r="ED419" s="618"/>
      <c r="EE419" s="618"/>
      <c r="EF419" s="618"/>
      <c r="EG419" s="618"/>
      <c r="EH419" s="618"/>
      <c r="EI419" s="618"/>
      <c r="EJ419" s="618"/>
      <c r="EK419" s="618"/>
      <c r="EL419" s="618"/>
      <c r="EM419" s="618"/>
    </row>
    <row r="420" spans="1:143">
      <c r="F420" s="338">
        <v>7.19</v>
      </c>
      <c r="G420" s="338" t="s">
        <v>331</v>
      </c>
      <c r="L420" s="2481">
        <v>307.01</v>
      </c>
      <c r="M420" s="340" t="s">
        <v>296</v>
      </c>
      <c r="N420" s="1390"/>
      <c r="O420" s="2479"/>
      <c r="P420" s="2282"/>
      <c r="AA420" s="338">
        <v>113</v>
      </c>
      <c r="AB420" s="338" t="s">
        <v>344</v>
      </c>
      <c r="AG420" s="2297">
        <v>25.1</v>
      </c>
      <c r="AH420" s="2297" t="s">
        <v>347</v>
      </c>
      <c r="AI420" s="1390"/>
      <c r="AJ420" s="2282"/>
      <c r="AK420" s="2282"/>
      <c r="AL420" s="1037"/>
      <c r="AR420" s="338">
        <v>15.01</v>
      </c>
      <c r="AS420" s="338" t="s">
        <v>331</v>
      </c>
      <c r="AX420" s="340">
        <v>4505.01</v>
      </c>
      <c r="AY420" s="340" t="s">
        <v>295</v>
      </c>
      <c r="BC420" s="341" t="str">
        <f t="array" ref="BC420">IFERROR(IF($BC$11="Yes",INDEX($AX$13:$AX$2950,SMALL(IF((County=$AY$13:$AY$2950),MATCH(ROW($AY$13:$AY$2950),ROW($AY$13:$AY$2950)),""),ROWS($A$13:$A478))),""),"")</f>
        <v/>
      </c>
      <c r="BH420" s="338">
        <v>108.03</v>
      </c>
      <c r="BI420" s="338" t="s">
        <v>331</v>
      </c>
      <c r="BN420" s="340">
        <v>23.04</v>
      </c>
      <c r="BO420" s="340" t="s">
        <v>329</v>
      </c>
      <c r="BP420" s="1385"/>
      <c r="BQ420" s="1388"/>
      <c r="BV420" s="338">
        <v>420</v>
      </c>
      <c r="BW420" s="338" t="s">
        <v>289</v>
      </c>
      <c r="CB420" s="340">
        <v>4505.01</v>
      </c>
      <c r="CC420" s="340" t="s">
        <v>295</v>
      </c>
      <c r="CE420" s="341" t="str">
        <f t="array" ref="CE420">IFERROR(IF($CE$11="Metro",INDEX($BV$13:$BV$4972,SMALL(IF((County=$BW$13:$BW$4972),MATCH(ROW($BW$13:$BW$4972),ROW($BW$13:$BW$4972)),""),ROWS($A$13:$A478))),INDEX($BY$13:$BY$212,SMALL(IF((County=$BZ$13:$BZ$212),MATCH(ROW($BZ$13:$BZ$212),ROW($BZ$13:$BZ$212)),""),ROWS($A$13:$A478)))),"")</f>
        <v/>
      </c>
      <c r="CG420" s="341" t="str">
        <f t="array" ref="CG420">IFERROR(IF($CG$11="Yes",INDEX($CB$13:$CB$2950,SMALL(IF((County=$CC$13:$CC$2950),MATCH(ROW($CC$13:$CC$2950),ROW($CC$13:$CC$2950)),""),ROWS($A$13:$A478))),""),"")</f>
        <v/>
      </c>
      <c r="CL420" s="236">
        <v>11.04</v>
      </c>
      <c r="CM420" s="236" t="s">
        <v>331</v>
      </c>
      <c r="CR420" s="340">
        <v>23.04</v>
      </c>
      <c r="CS420" s="340" t="s">
        <v>329</v>
      </c>
      <c r="CT420" s="1384"/>
      <c r="CZ420" s="1795">
        <v>7.05</v>
      </c>
      <c r="DA420" s="338" t="s">
        <v>328</v>
      </c>
      <c r="DF420" s="340">
        <v>4516.03</v>
      </c>
      <c r="DG420" s="340" t="s">
        <v>295</v>
      </c>
      <c r="DP420" s="236">
        <v>108.05</v>
      </c>
      <c r="DQ420" s="236" t="s">
        <v>331</v>
      </c>
      <c r="DV420" s="340">
        <v>25.04</v>
      </c>
      <c r="DW420" s="340" t="s">
        <v>329</v>
      </c>
      <c r="DX420" s="1671"/>
      <c r="EB420" s="618"/>
      <c r="EC420" s="618"/>
      <c r="ED420" s="618"/>
      <c r="EE420" s="618"/>
      <c r="EF420" s="618"/>
      <c r="EG420" s="618"/>
      <c r="EH420" s="618"/>
      <c r="EI420" s="618"/>
      <c r="EJ420" s="618"/>
      <c r="EK420" s="618"/>
      <c r="EL420" s="618"/>
      <c r="EM420" s="618"/>
    </row>
    <row r="421" spans="1:143">
      <c r="F421" s="338">
        <v>8.0399999999999991</v>
      </c>
      <c r="G421" s="338" t="s">
        <v>331</v>
      </c>
      <c r="L421" s="2481">
        <v>307.04000000000002</v>
      </c>
      <c r="M421" s="340" t="s">
        <v>296</v>
      </c>
      <c r="N421" s="1390"/>
      <c r="O421" s="2479"/>
      <c r="P421" s="2282"/>
      <c r="AA421" s="338">
        <v>113.02</v>
      </c>
      <c r="AB421" s="338" t="s">
        <v>331</v>
      </c>
      <c r="AG421" s="2297">
        <v>25.11</v>
      </c>
      <c r="AH421" s="2297" t="s">
        <v>324</v>
      </c>
      <c r="AI421" s="1390"/>
      <c r="AJ421" s="2282"/>
      <c r="AK421" s="2282"/>
      <c r="AL421" s="1037"/>
      <c r="AR421" s="338">
        <v>15.02</v>
      </c>
      <c r="AS421" s="338" t="s">
        <v>331</v>
      </c>
      <c r="AX421" s="340">
        <v>4505.0200000000004</v>
      </c>
      <c r="AY421" s="340" t="s">
        <v>295</v>
      </c>
      <c r="BC421" s="341" t="str">
        <f t="array" ref="BC421">IFERROR(IF($BC$11="Yes",INDEX($AX$13:$AX$2950,SMALL(IF((County=$AY$13:$AY$2950),MATCH(ROW($AY$13:$AY$2950),ROW($AY$13:$AY$2950)),""),ROWS($A$13:$A479))),""),"")</f>
        <v/>
      </c>
      <c r="BH421" s="338">
        <v>108.04</v>
      </c>
      <c r="BI421" s="338" t="s">
        <v>331</v>
      </c>
      <c r="BN421" s="340">
        <v>23.04</v>
      </c>
      <c r="BO421" s="340" t="s">
        <v>347</v>
      </c>
      <c r="BP421" s="1385"/>
      <c r="BQ421" s="1388"/>
      <c r="BV421" s="338">
        <v>421</v>
      </c>
      <c r="BW421" s="338" t="s">
        <v>289</v>
      </c>
      <c r="CB421" s="340">
        <v>4505.0200000000004</v>
      </c>
      <c r="CC421" s="340" t="s">
        <v>295</v>
      </c>
      <c r="CE421" s="341" t="str">
        <f t="array" ref="CE421">IFERROR(IF($CE$11="Metro",INDEX($BV$13:$BV$4972,SMALL(IF((County=$BW$13:$BW$4972),MATCH(ROW($BW$13:$BW$4972),ROW($BW$13:$BW$4972)),""),ROWS($A$13:$A479))),INDEX($BY$13:$BY$212,SMALL(IF((County=$BZ$13:$BZ$212),MATCH(ROW($BZ$13:$BZ$212),ROW($BZ$13:$BZ$212)),""),ROWS($A$13:$A479)))),"")</f>
        <v/>
      </c>
      <c r="CG421" s="341" t="str">
        <f t="array" ref="CG421">IFERROR(IF($CG$11="Yes",INDEX($CB$13:$CB$2950,SMALL(IF((County=$CC$13:$CC$2950),MATCH(ROW($CC$13:$CC$2950),ROW($CC$13:$CC$2950)),""),ROWS($A$13:$A479))),""),"")</f>
        <v/>
      </c>
      <c r="CL421" s="236">
        <v>11.05</v>
      </c>
      <c r="CM421" s="236" t="s">
        <v>328</v>
      </c>
      <c r="CR421" s="340">
        <v>23.06</v>
      </c>
      <c r="CS421" s="340" t="s">
        <v>347</v>
      </c>
      <c r="CT421" s="1384"/>
      <c r="CZ421" s="1795">
        <v>8.11</v>
      </c>
      <c r="DA421" s="338" t="s">
        <v>328</v>
      </c>
      <c r="DF421" s="340">
        <v>4516.04</v>
      </c>
      <c r="DG421" s="340" t="s">
        <v>295</v>
      </c>
      <c r="DP421" s="236">
        <v>108.08</v>
      </c>
      <c r="DQ421" s="236" t="s">
        <v>316</v>
      </c>
      <c r="DV421" s="340">
        <v>25.05</v>
      </c>
      <c r="DW421" s="340" t="s">
        <v>347</v>
      </c>
      <c r="DX421" s="1671"/>
      <c r="EB421" s="618"/>
      <c r="EC421" s="618"/>
      <c r="ED421" s="618"/>
      <c r="EE421" s="618"/>
      <c r="EF421" s="618"/>
      <c r="EG421" s="618"/>
      <c r="EH421" s="618"/>
      <c r="EI421" s="618"/>
      <c r="EJ421" s="618"/>
      <c r="EK421" s="618"/>
      <c r="EL421" s="618"/>
      <c r="EM421" s="618"/>
    </row>
    <row r="422" spans="1:143">
      <c r="F422" s="338">
        <v>8.0500000000000007</v>
      </c>
      <c r="G422" s="338" t="s">
        <v>331</v>
      </c>
      <c r="L422" s="2481">
        <v>307.05</v>
      </c>
      <c r="M422" s="340" t="s">
        <v>296</v>
      </c>
      <c r="N422" s="1390"/>
      <c r="O422" s="2479"/>
      <c r="P422" s="2282"/>
      <c r="AA422" s="338">
        <v>113.03</v>
      </c>
      <c r="AB422" s="338" t="s">
        <v>297</v>
      </c>
      <c r="AG422" s="2297">
        <v>25.11</v>
      </c>
      <c r="AH422" s="2297" t="s">
        <v>347</v>
      </c>
      <c r="AI422" s="1390"/>
      <c r="AJ422" s="2282"/>
      <c r="AK422" s="2282"/>
      <c r="AL422" s="1037"/>
      <c r="AR422" s="338">
        <v>16.05</v>
      </c>
      <c r="AS422" s="338" t="s">
        <v>331</v>
      </c>
      <c r="AX422" s="340">
        <v>4506.0200000000004</v>
      </c>
      <c r="AY422" s="340" t="s">
        <v>295</v>
      </c>
      <c r="BC422" s="341" t="str">
        <f t="array" ref="BC422">IFERROR(IF($BC$11="Yes",INDEX($AX$13:$AX$2950,SMALL(IF((County=$AY$13:$AY$2950),MATCH(ROW($AY$13:$AY$2950),ROW($AY$13:$AY$2950)),""),ROWS($A$13:$A480))),""),"")</f>
        <v/>
      </c>
      <c r="BH422" s="338">
        <v>108.05</v>
      </c>
      <c r="BI422" s="338" t="s">
        <v>316</v>
      </c>
      <c r="BN422" s="340">
        <v>23.05</v>
      </c>
      <c r="BO422" s="340" t="s">
        <v>347</v>
      </c>
      <c r="BP422" s="1385"/>
      <c r="BQ422" s="1388"/>
      <c r="BV422" s="338">
        <v>422</v>
      </c>
      <c r="BW422" s="338" t="s">
        <v>289</v>
      </c>
      <c r="CB422" s="340">
        <v>4507.03</v>
      </c>
      <c r="CC422" s="340" t="s">
        <v>295</v>
      </c>
      <c r="CE422" s="341" t="str">
        <f t="array" ref="CE422">IFERROR(IF($CE$11="Metro",INDEX($BV$13:$BV$4972,SMALL(IF((County=$BW$13:$BW$4972),MATCH(ROW($BW$13:$BW$4972),ROW($BW$13:$BW$4972)),""),ROWS($A$13:$A480))),INDEX($BY$13:$BY$212,SMALL(IF((County=$BZ$13:$BZ$212),MATCH(ROW($BZ$13:$BZ$212),ROW($BZ$13:$BZ$212)),""),ROWS($A$13:$A480)))),"")</f>
        <v/>
      </c>
      <c r="CG422" s="341" t="str">
        <f t="array" ref="CG422">IFERROR(IF($CG$11="Yes",INDEX($CB$13:$CB$2950,SMALL(IF((County=$CC$13:$CC$2950),MATCH(ROW($CC$13:$CC$2950),ROW($CC$13:$CC$2950)),""),ROWS($A$13:$A480))),""),"")</f>
        <v/>
      </c>
      <c r="CL422" s="236">
        <v>11.05</v>
      </c>
      <c r="CM422" s="236" t="s">
        <v>329</v>
      </c>
      <c r="CR422" s="340">
        <v>24</v>
      </c>
      <c r="CS422" s="340" t="s">
        <v>302</v>
      </c>
      <c r="CT422" s="1384"/>
      <c r="CZ422" s="1795">
        <v>11.06</v>
      </c>
      <c r="DA422" s="338" t="s">
        <v>328</v>
      </c>
      <c r="DF422" s="340">
        <v>4516.0600000000004</v>
      </c>
      <c r="DG422" s="340" t="s">
        <v>295</v>
      </c>
      <c r="DP422" s="236">
        <v>108.09</v>
      </c>
      <c r="DQ422" s="236" t="s">
        <v>316</v>
      </c>
      <c r="DV422" s="340">
        <v>25.07</v>
      </c>
      <c r="DW422" s="340" t="s">
        <v>324</v>
      </c>
      <c r="DX422" s="1671"/>
      <c r="EB422" s="618"/>
      <c r="EC422" s="618"/>
      <c r="ED422" s="618"/>
      <c r="EE422" s="618"/>
      <c r="EF422" s="618"/>
      <c r="EG422" s="618"/>
      <c r="EH422" s="618"/>
      <c r="EI422" s="618"/>
      <c r="EJ422" s="618"/>
      <c r="EK422" s="618"/>
      <c r="EL422" s="618"/>
      <c r="EM422" s="618"/>
    </row>
    <row r="423" spans="1:143">
      <c r="F423" s="338">
        <v>8.06</v>
      </c>
      <c r="G423" s="338" t="s">
        <v>331</v>
      </c>
      <c r="L423" s="2481">
        <v>307.06</v>
      </c>
      <c r="M423" s="340" t="s">
        <v>296</v>
      </c>
      <c r="N423" s="1390"/>
      <c r="O423" s="2479"/>
      <c r="P423" s="2282"/>
      <c r="AA423" s="338">
        <v>113.05</v>
      </c>
      <c r="AB423" s="338" t="s">
        <v>297</v>
      </c>
      <c r="AG423" s="2297">
        <v>25.12</v>
      </c>
      <c r="AH423" s="2297" t="s">
        <v>324</v>
      </c>
      <c r="AI423" s="1390"/>
      <c r="AJ423" s="2282"/>
      <c r="AK423" s="2282"/>
      <c r="AL423" s="1037"/>
      <c r="AR423" s="338">
        <v>17.010000000000002</v>
      </c>
      <c r="AS423" s="338" t="s">
        <v>331</v>
      </c>
      <c r="AX423" s="340">
        <v>4507.03</v>
      </c>
      <c r="AY423" s="340" t="s">
        <v>295</v>
      </c>
      <c r="BC423" s="341" t="str">
        <f t="array" ref="BC423">IFERROR(IF($BC$11="Yes",INDEX($AX$13:$AX$2950,SMALL(IF((County=$AY$13:$AY$2950),MATCH(ROW($AY$13:$AY$2950),ROW($AY$13:$AY$2950)),""),ROWS($A$13:$A481))),""),"")</f>
        <v/>
      </c>
      <c r="BH423" s="338">
        <v>108.05</v>
      </c>
      <c r="BI423" s="338" t="s">
        <v>331</v>
      </c>
      <c r="BN423" s="340">
        <v>23.06</v>
      </c>
      <c r="BO423" s="340" t="s">
        <v>347</v>
      </c>
      <c r="BP423" s="1385"/>
      <c r="BQ423" s="1388"/>
      <c r="BV423" s="338">
        <v>423.01</v>
      </c>
      <c r="BW423" s="338" t="s">
        <v>289</v>
      </c>
      <c r="CB423" s="340">
        <v>4507.05</v>
      </c>
      <c r="CC423" s="340" t="s">
        <v>295</v>
      </c>
      <c r="CE423" s="341" t="str">
        <f t="array" ref="CE423">IFERROR(IF($CE$11="Metro",INDEX($BV$13:$BV$4972,SMALL(IF((County=$BW$13:$BW$4972),MATCH(ROW($BW$13:$BW$4972),ROW($BW$13:$BW$4972)),""),ROWS($A$13:$A481))),INDEX($BY$13:$BY$212,SMALL(IF((County=$BZ$13:$BZ$212),MATCH(ROW($BZ$13:$BZ$212),ROW($BZ$13:$BZ$212)),""),ROWS($A$13:$A481)))),"")</f>
        <v/>
      </c>
      <c r="CG423" s="341" t="str">
        <f t="array" ref="CG423">IFERROR(IF($CG$11="Yes",INDEX($CB$13:$CB$2950,SMALL(IF((County=$CC$13:$CC$2950),MATCH(ROW($CC$13:$CC$2950),ROW($CC$13:$CC$2950)),""),ROWS($A$13:$A481))),""),"")</f>
        <v/>
      </c>
      <c r="CL423" s="236">
        <v>11.05</v>
      </c>
      <c r="CM423" s="236" t="s">
        <v>330</v>
      </c>
      <c r="CR423" s="340">
        <v>24</v>
      </c>
      <c r="CS423" s="340" t="s">
        <v>304</v>
      </c>
      <c r="CT423" s="1384"/>
      <c r="CZ423" s="1795">
        <v>15.01</v>
      </c>
      <c r="DA423" s="338" t="s">
        <v>328</v>
      </c>
      <c r="DF423" s="340">
        <v>4517.01</v>
      </c>
      <c r="DG423" s="340" t="s">
        <v>295</v>
      </c>
      <c r="DP423" s="236">
        <v>108.14</v>
      </c>
      <c r="DQ423" s="236" t="s">
        <v>316</v>
      </c>
      <c r="DV423" s="340">
        <v>25.07</v>
      </c>
      <c r="DW423" s="340" t="s">
        <v>329</v>
      </c>
      <c r="DX423" s="1671"/>
      <c r="EB423" s="618"/>
      <c r="EC423" s="618"/>
      <c r="ED423" s="618"/>
      <c r="EE423" s="618"/>
      <c r="EF423" s="618"/>
      <c r="EG423" s="618"/>
      <c r="EH423" s="618"/>
      <c r="EI423" s="618"/>
      <c r="EJ423" s="618"/>
      <c r="EK423" s="618"/>
      <c r="EL423" s="618"/>
      <c r="EM423" s="618"/>
    </row>
    <row r="424" spans="1:143">
      <c r="F424" s="338">
        <v>8.07</v>
      </c>
      <c r="G424" s="338" t="s">
        <v>331</v>
      </c>
      <c r="L424" s="2481">
        <v>307.07</v>
      </c>
      <c r="M424" s="340" t="s">
        <v>296</v>
      </c>
      <c r="N424" s="1390"/>
      <c r="O424" s="2479"/>
      <c r="P424" s="2282"/>
      <c r="AA424" s="338">
        <v>113.06</v>
      </c>
      <c r="AB424" s="338" t="s">
        <v>297</v>
      </c>
      <c r="AG424" s="2297">
        <v>25.13</v>
      </c>
      <c r="AH424" s="2297" t="s">
        <v>324</v>
      </c>
      <c r="AI424" s="1390"/>
      <c r="AJ424" s="2282"/>
      <c r="AK424" s="2282"/>
      <c r="AL424" s="1037"/>
      <c r="AR424" s="338">
        <v>17.02</v>
      </c>
      <c r="AS424" s="338" t="s">
        <v>331</v>
      </c>
      <c r="AX424" s="340">
        <v>4507.04</v>
      </c>
      <c r="AY424" s="340" t="s">
        <v>295</v>
      </c>
      <c r="BC424" s="341" t="str">
        <f t="array" ref="BC424">IFERROR(IF($BC$11="Yes",INDEX($AX$13:$AX$2950,SMALL(IF((County=$AY$13:$AY$2950),MATCH(ROW($AY$13:$AY$2950),ROW($AY$13:$AY$2950)),""),ROWS($A$13:$A482))),""),"")</f>
        <v/>
      </c>
      <c r="BH424" s="338">
        <v>108.06</v>
      </c>
      <c r="BI424" s="338" t="s">
        <v>331</v>
      </c>
      <c r="BN424" s="340">
        <v>24</v>
      </c>
      <c r="BO424" s="340" t="s">
        <v>302</v>
      </c>
      <c r="BP424" s="1385"/>
      <c r="BQ424" s="1388"/>
      <c r="BV424" s="338">
        <v>423.02</v>
      </c>
      <c r="BW424" s="338" t="s">
        <v>289</v>
      </c>
      <c r="CB424" s="340">
        <v>4507.0600000000004</v>
      </c>
      <c r="CC424" s="340" t="s">
        <v>295</v>
      </c>
      <c r="CE424" s="341" t="str">
        <f t="array" ref="CE424">IFERROR(IF($CE$11="Metro",INDEX($BV$13:$BV$4972,SMALL(IF((County=$BW$13:$BW$4972),MATCH(ROW($BW$13:$BW$4972),ROW($BW$13:$BW$4972)),""),ROWS($A$13:$A482))),INDEX($BY$13:$BY$212,SMALL(IF((County=$BZ$13:$BZ$212),MATCH(ROW($BZ$13:$BZ$212),ROW($BZ$13:$BZ$212)),""),ROWS($A$13:$A482)))),"")</f>
        <v/>
      </c>
      <c r="CG424" s="341" t="str">
        <f t="array" ref="CG424">IFERROR(IF($CG$11="Yes",INDEX($CB$13:$CB$2950,SMALL(IF((County=$CC$13:$CC$2950),MATCH(ROW($CC$13:$CC$2950),ROW($CC$13:$CC$2950)),""),ROWS($A$13:$A482))),""),"")</f>
        <v/>
      </c>
      <c r="CL424" s="236">
        <v>11.06</v>
      </c>
      <c r="CM424" s="236" t="s">
        <v>328</v>
      </c>
      <c r="CR424" s="340">
        <v>24</v>
      </c>
      <c r="CS424" s="340" t="s">
        <v>316</v>
      </c>
      <c r="CT424" s="1384"/>
      <c r="CZ424" s="1795">
        <v>15.02</v>
      </c>
      <c r="DA424" s="338" t="s">
        <v>328</v>
      </c>
      <c r="DF424" s="340">
        <v>301.04000000000002</v>
      </c>
      <c r="DG424" s="340" t="s">
        <v>296</v>
      </c>
      <c r="DP424" s="236">
        <v>108.15</v>
      </c>
      <c r="DQ424" s="236" t="s">
        <v>316</v>
      </c>
      <c r="DV424" s="340">
        <v>25.1</v>
      </c>
      <c r="DW424" s="340" t="s">
        <v>347</v>
      </c>
      <c r="DX424" s="1671"/>
      <c r="EB424" s="618"/>
      <c r="EC424" s="618"/>
      <c r="ED424" s="618"/>
      <c r="EE424" s="618"/>
      <c r="EF424" s="618"/>
      <c r="EG424" s="618"/>
      <c r="EH424" s="618"/>
      <c r="EI424" s="618"/>
      <c r="EJ424" s="618"/>
      <c r="EK424" s="618"/>
      <c r="EL424" s="618"/>
      <c r="EM424" s="618"/>
    </row>
    <row r="425" spans="1:143">
      <c r="F425" s="338">
        <v>8.08</v>
      </c>
      <c r="G425" s="338" t="s">
        <v>331</v>
      </c>
      <c r="L425" s="2481">
        <v>307.08</v>
      </c>
      <c r="M425" s="340" t="s">
        <v>296</v>
      </c>
      <c r="N425" s="1390"/>
      <c r="O425" s="2479"/>
      <c r="P425" s="2282"/>
      <c r="AA425" s="338">
        <v>114</v>
      </c>
      <c r="AB425" s="338" t="s">
        <v>297</v>
      </c>
      <c r="AG425" s="2297">
        <v>25.14</v>
      </c>
      <c r="AH425" s="2297" t="s">
        <v>324</v>
      </c>
      <c r="AI425" s="1390"/>
      <c r="AJ425" s="2282"/>
      <c r="AK425" s="2282"/>
      <c r="AL425" s="1037"/>
      <c r="AR425" s="338">
        <v>17.04</v>
      </c>
      <c r="AS425" s="338" t="s">
        <v>331</v>
      </c>
      <c r="AX425" s="340">
        <v>4509.01</v>
      </c>
      <c r="AY425" s="340" t="s">
        <v>295</v>
      </c>
      <c r="BC425" s="341" t="str">
        <f t="array" ref="BC425">IFERROR(IF($BC$11="Yes",INDEX($AX$13:$AX$2950,SMALL(IF((County=$AY$13:$AY$2950),MATCH(ROW($AY$13:$AY$2950),ROW($AY$13:$AY$2950)),""),ROWS($A$13:$A483))),""),"")</f>
        <v/>
      </c>
      <c r="BH425" s="338">
        <v>108.08</v>
      </c>
      <c r="BI425" s="338" t="s">
        <v>316</v>
      </c>
      <c r="BN425" s="340">
        <v>24</v>
      </c>
      <c r="BO425" s="340" t="s">
        <v>304</v>
      </c>
      <c r="BP425" s="1385"/>
      <c r="BQ425" s="1388"/>
      <c r="BV425" s="338">
        <v>424</v>
      </c>
      <c r="BW425" s="338" t="s">
        <v>289</v>
      </c>
      <c r="CB425" s="340">
        <v>4509.01</v>
      </c>
      <c r="CC425" s="340" t="s">
        <v>295</v>
      </c>
      <c r="CE425" s="341" t="str">
        <f t="array" ref="CE425">IFERROR(IF($CE$11="Metro",INDEX($BV$13:$BV$4972,SMALL(IF((County=$BW$13:$BW$4972),MATCH(ROW($BW$13:$BW$4972),ROW($BW$13:$BW$4972)),""),ROWS($A$13:$A483))),INDEX($BY$13:$BY$212,SMALL(IF((County=$BZ$13:$BZ$212),MATCH(ROW($BZ$13:$BZ$212),ROW($BZ$13:$BZ$212)),""),ROWS($A$13:$A483)))),"")</f>
        <v/>
      </c>
      <c r="CG425" s="341" t="str">
        <f t="array" ref="CG425">IFERROR(IF($CG$11="Yes",INDEX($CB$13:$CB$2950,SMALL(IF((County=$CC$13:$CC$2950),MATCH(ROW($CC$13:$CC$2950),ROW($CC$13:$CC$2950)),""),ROWS($A$13:$A483))),""),"")</f>
        <v/>
      </c>
      <c r="CL425" s="236">
        <v>11.06</v>
      </c>
      <c r="CM425" s="236" t="s">
        <v>329</v>
      </c>
      <c r="CR425" s="340">
        <v>24.01</v>
      </c>
      <c r="CS425" s="340" t="s">
        <v>329</v>
      </c>
      <c r="CT425" s="1384"/>
      <c r="CZ425" s="1795">
        <v>2.0099999999999998</v>
      </c>
      <c r="DA425" s="338" t="s">
        <v>329</v>
      </c>
      <c r="DF425" s="340">
        <v>302.04000000000002</v>
      </c>
      <c r="DG425" s="340" t="s">
        <v>296</v>
      </c>
      <c r="DP425" s="236">
        <v>108.16</v>
      </c>
      <c r="DQ425" s="236" t="s">
        <v>316</v>
      </c>
      <c r="DV425" s="340">
        <v>25.11</v>
      </c>
      <c r="DW425" s="340" t="s">
        <v>324</v>
      </c>
      <c r="DX425" s="1671"/>
      <c r="EB425" s="618"/>
      <c r="EC425" s="618"/>
      <c r="ED425" s="618"/>
      <c r="EE425" s="618"/>
      <c r="EF425" s="618"/>
      <c r="EG425" s="618"/>
      <c r="EH425" s="618"/>
      <c r="EI425" s="618"/>
      <c r="EJ425" s="618"/>
      <c r="EK425" s="618"/>
      <c r="EL425" s="618"/>
      <c r="EM425" s="618"/>
    </row>
    <row r="426" spans="1:143">
      <c r="F426" s="338">
        <v>9.0299999999999994</v>
      </c>
      <c r="G426" s="338" t="s">
        <v>331</v>
      </c>
      <c r="L426" s="2481">
        <v>308.01</v>
      </c>
      <c r="M426" s="340" t="s">
        <v>296</v>
      </c>
      <c r="N426" s="1390"/>
      <c r="O426" s="2479"/>
      <c r="P426" s="2282"/>
      <c r="AA426" s="338">
        <v>114</v>
      </c>
      <c r="AB426" s="338" t="s">
        <v>302</v>
      </c>
      <c r="AG426" s="2297">
        <v>25.15</v>
      </c>
      <c r="AH426" s="2297" t="s">
        <v>324</v>
      </c>
      <c r="AI426" s="1390"/>
      <c r="AJ426" s="2282"/>
      <c r="AK426" s="2282"/>
      <c r="AL426" s="1037"/>
      <c r="AR426" s="338">
        <v>17.05</v>
      </c>
      <c r="AS426" s="338" t="s">
        <v>331</v>
      </c>
      <c r="AX426" s="340">
        <v>4509.0200000000004</v>
      </c>
      <c r="AY426" s="340" t="s">
        <v>295</v>
      </c>
      <c r="BC426" s="341" t="str">
        <f t="array" ref="BC426">IFERROR(IF($BC$11="Yes",INDEX($AX$13:$AX$2950,SMALL(IF((County=$AY$13:$AY$2950),MATCH(ROW($AY$13:$AY$2950),ROW($AY$13:$AY$2950)),""),ROWS($A$13:$A484))),""),"")</f>
        <v/>
      </c>
      <c r="BH426" s="338">
        <v>108.09</v>
      </c>
      <c r="BI426" s="338" t="s">
        <v>316</v>
      </c>
      <c r="BN426" s="340">
        <v>24</v>
      </c>
      <c r="BO426" s="340" t="s">
        <v>316</v>
      </c>
      <c r="BP426" s="1385"/>
      <c r="BQ426" s="1388"/>
      <c r="BV426" s="338">
        <v>425.01</v>
      </c>
      <c r="BW426" s="338" t="s">
        <v>289</v>
      </c>
      <c r="CB426" s="340">
        <v>4509.0200000000004</v>
      </c>
      <c r="CC426" s="340" t="s">
        <v>295</v>
      </c>
      <c r="CE426" s="341" t="str">
        <f t="array" ref="CE426">IFERROR(IF($CE$11="Metro",INDEX($BV$13:$BV$4972,SMALL(IF((County=$BW$13:$BW$4972),MATCH(ROW($BW$13:$BW$4972),ROW($BW$13:$BW$4972)),""),ROWS($A$13:$A484))),INDEX($BY$13:$BY$212,SMALL(IF((County=$BZ$13:$BZ$212),MATCH(ROW($BZ$13:$BZ$212),ROW($BZ$13:$BZ$212)),""),ROWS($A$13:$A484)))),"")</f>
        <v/>
      </c>
      <c r="CG426" s="341" t="str">
        <f t="array" ref="CG426">IFERROR(IF($CG$11="Yes",INDEX($CB$13:$CB$2950,SMALL(IF((County=$CC$13:$CC$2950),MATCH(ROW($CC$13:$CC$2950),ROW($CC$13:$CC$2950)),""),ROWS($A$13:$A484))),""),"")</f>
        <v/>
      </c>
      <c r="CL426" s="236">
        <v>11.06</v>
      </c>
      <c r="CM426" s="236" t="s">
        <v>330</v>
      </c>
      <c r="CR426" s="340">
        <v>24.01</v>
      </c>
      <c r="CS426" s="340" t="s">
        <v>347</v>
      </c>
      <c r="CT426" s="1384"/>
      <c r="CZ426" s="1795">
        <v>3.02</v>
      </c>
      <c r="DA426" s="338" t="s">
        <v>329</v>
      </c>
      <c r="DF426" s="340">
        <v>302.05</v>
      </c>
      <c r="DG426" s="340" t="s">
        <v>296</v>
      </c>
      <c r="DP426" s="236">
        <v>108.17</v>
      </c>
      <c r="DQ426" s="236" t="s">
        <v>316</v>
      </c>
      <c r="DV426" s="340">
        <v>25.11</v>
      </c>
      <c r="DW426" s="340" t="s">
        <v>347</v>
      </c>
      <c r="DX426" s="1671"/>
      <c r="EB426" s="618"/>
      <c r="EC426" s="618"/>
      <c r="ED426" s="618"/>
      <c r="EE426" s="618"/>
      <c r="EF426" s="618"/>
      <c r="EG426" s="618"/>
      <c r="EH426" s="618"/>
      <c r="EI426" s="618"/>
      <c r="EJ426" s="618"/>
      <c r="EK426" s="618"/>
      <c r="EL426" s="618"/>
      <c r="EM426" s="618"/>
    </row>
    <row r="427" spans="1:143">
      <c r="F427" s="338">
        <v>10.029999999999999</v>
      </c>
      <c r="G427" s="338" t="s">
        <v>331</v>
      </c>
      <c r="L427" s="2481">
        <v>308.02</v>
      </c>
      <c r="M427" s="340" t="s">
        <v>296</v>
      </c>
      <c r="N427" s="1390"/>
      <c r="O427" s="2479"/>
      <c r="P427" s="2282"/>
      <c r="AA427" s="338">
        <v>114.07</v>
      </c>
      <c r="AB427" s="338" t="s">
        <v>331</v>
      </c>
      <c r="AG427" s="2297">
        <v>25.16</v>
      </c>
      <c r="AH427" s="2297" t="s">
        <v>324</v>
      </c>
      <c r="AI427" s="1390"/>
      <c r="AJ427" s="2282"/>
      <c r="AK427" s="2282"/>
      <c r="AL427" s="1037"/>
      <c r="AR427" s="338">
        <v>18.010000000000002</v>
      </c>
      <c r="AS427" s="338" t="s">
        <v>331</v>
      </c>
      <c r="AX427" s="340">
        <v>4510.01</v>
      </c>
      <c r="AY427" s="340" t="s">
        <v>295</v>
      </c>
      <c r="BC427" s="341" t="str">
        <f t="array" ref="BC427">IFERROR(IF($BC$11="Yes",INDEX($AX$13:$AX$2950,SMALL(IF((County=$AY$13:$AY$2950),MATCH(ROW($AY$13:$AY$2950),ROW($AY$13:$AY$2950)),""),ROWS($A$13:$A485))),""),"")</f>
        <v/>
      </c>
      <c r="BH427" s="338">
        <v>108.11</v>
      </c>
      <c r="BI427" s="338" t="s">
        <v>316</v>
      </c>
      <c r="BN427" s="340">
        <v>24.01</v>
      </c>
      <c r="BO427" s="340" t="s">
        <v>329</v>
      </c>
      <c r="BP427" s="1385"/>
      <c r="BQ427" s="1388"/>
      <c r="BV427" s="338">
        <v>425.02</v>
      </c>
      <c r="BW427" s="338" t="s">
        <v>289</v>
      </c>
      <c r="CB427" s="340">
        <v>4510.01</v>
      </c>
      <c r="CC427" s="340" t="s">
        <v>295</v>
      </c>
      <c r="CE427" s="341" t="str">
        <f t="array" ref="CE427">IFERROR(IF($CE$11="Metro",INDEX($BV$13:$BV$4972,SMALL(IF((County=$BW$13:$BW$4972),MATCH(ROW($BW$13:$BW$4972),ROW($BW$13:$BW$4972)),""),ROWS($A$13:$A485))),INDEX($BY$13:$BY$212,SMALL(IF((County=$BZ$13:$BZ$212),MATCH(ROW($BZ$13:$BZ$212),ROW($BZ$13:$BZ$212)),""),ROWS($A$13:$A485)))),"")</f>
        <v/>
      </c>
      <c r="CG427" s="341" t="str">
        <f t="array" ref="CG427">IFERROR(IF($CG$11="Yes",INDEX($CB$13:$CB$2950,SMALL(IF((County=$CC$13:$CC$2950),MATCH(ROW($CC$13:$CC$2950),ROW($CC$13:$CC$2950)),""),ROWS($A$13:$A485))),""),"")</f>
        <v/>
      </c>
      <c r="CL427" s="236">
        <v>11.07</v>
      </c>
      <c r="CM427" s="236" t="s">
        <v>328</v>
      </c>
      <c r="CR427" s="340">
        <v>24.02</v>
      </c>
      <c r="CS427" s="340" t="s">
        <v>329</v>
      </c>
      <c r="CT427" s="1384"/>
      <c r="CZ427" s="1795">
        <v>5.0199999999999996</v>
      </c>
      <c r="DA427" s="338" t="s">
        <v>329</v>
      </c>
      <c r="DF427" s="340">
        <v>302.06</v>
      </c>
      <c r="DG427" s="340" t="s">
        <v>296</v>
      </c>
      <c r="DP427" s="236">
        <v>108.19</v>
      </c>
      <c r="DQ427" s="236" t="s">
        <v>316</v>
      </c>
      <c r="DV427" s="340">
        <v>25.12</v>
      </c>
      <c r="DW427" s="340" t="s">
        <v>324</v>
      </c>
      <c r="DX427" s="1671"/>
      <c r="EB427" s="618"/>
      <c r="EC427" s="618"/>
      <c r="ED427" s="618"/>
      <c r="EE427" s="618"/>
      <c r="EF427" s="618"/>
      <c r="EG427" s="618"/>
      <c r="EH427" s="618"/>
      <c r="EI427" s="618"/>
      <c r="EJ427" s="618"/>
      <c r="EK427" s="618"/>
      <c r="EL427" s="618"/>
      <c r="EM427" s="618"/>
    </row>
    <row r="428" spans="1:143">
      <c r="F428" s="338">
        <v>10.039999999999999</v>
      </c>
      <c r="G428" s="338" t="s">
        <v>331</v>
      </c>
      <c r="L428" s="2481">
        <v>309.05</v>
      </c>
      <c r="M428" s="340" t="s">
        <v>296</v>
      </c>
      <c r="N428" s="1390"/>
      <c r="O428" s="2479"/>
      <c r="P428" s="2282"/>
      <c r="AA428" s="338">
        <v>115</v>
      </c>
      <c r="AB428" s="338" t="s">
        <v>302</v>
      </c>
      <c r="AG428" s="2297">
        <v>25.17</v>
      </c>
      <c r="AH428" s="2297" t="s">
        <v>324</v>
      </c>
      <c r="AI428" s="1390"/>
      <c r="AJ428" s="2282"/>
      <c r="AK428" s="2282"/>
      <c r="AL428" s="1037"/>
      <c r="AR428" s="338">
        <v>18.02</v>
      </c>
      <c r="AS428" s="338" t="s">
        <v>331</v>
      </c>
      <c r="AX428" s="340">
        <v>4511.01</v>
      </c>
      <c r="AY428" s="340" t="s">
        <v>295</v>
      </c>
      <c r="BC428" s="341" t="str">
        <f t="array" ref="BC428">IFERROR(IF($BC$11="Yes",INDEX($AX$13:$AX$2950,SMALL(IF((County=$AY$13:$AY$2950),MATCH(ROW($AY$13:$AY$2950),ROW($AY$13:$AY$2950)),""),ROWS($A$13:$A486))),""),"")</f>
        <v/>
      </c>
      <c r="BH428" s="338">
        <v>108.14</v>
      </c>
      <c r="BI428" s="338" t="s">
        <v>316</v>
      </c>
      <c r="BN428" s="340">
        <v>24.01</v>
      </c>
      <c r="BO428" s="340" t="s">
        <v>347</v>
      </c>
      <c r="BP428" s="1385"/>
      <c r="BQ428" s="1388"/>
      <c r="BV428" s="338">
        <v>426.01</v>
      </c>
      <c r="BW428" s="338" t="s">
        <v>289</v>
      </c>
      <c r="CB428" s="340">
        <v>4511.01</v>
      </c>
      <c r="CC428" s="340" t="s">
        <v>295</v>
      </c>
      <c r="CE428" s="341" t="str">
        <f t="array" ref="CE428">IFERROR(IF($CE$11="Metro",INDEX($BV$13:$BV$4972,SMALL(IF((County=$BW$13:$BW$4972),MATCH(ROW($BW$13:$BW$4972),ROW($BW$13:$BW$4972)),""),ROWS($A$13:$A486))),INDEX($BY$13:$BY$212,SMALL(IF((County=$BZ$13:$BZ$212),MATCH(ROW($BZ$13:$BZ$212),ROW($BZ$13:$BZ$212)),""),ROWS($A$13:$A486)))),"")</f>
        <v/>
      </c>
      <c r="CG428" s="341" t="str">
        <f t="array" ref="CG428">IFERROR(IF($CG$11="Yes",INDEX($CB$13:$CB$2950,SMALL(IF((County=$CC$13:$CC$2950),MATCH(ROW($CC$13:$CC$2950),ROW($CC$13:$CC$2950)),""),ROWS($A$13:$A486))),""),"")</f>
        <v/>
      </c>
      <c r="CL428" s="236">
        <v>11.07</v>
      </c>
      <c r="CM428" s="236" t="s">
        <v>330</v>
      </c>
      <c r="CR428" s="340">
        <v>24.03</v>
      </c>
      <c r="CS428" s="340" t="s">
        <v>324</v>
      </c>
      <c r="CT428" s="1384"/>
      <c r="CZ428" s="1795">
        <v>6.04</v>
      </c>
      <c r="DA428" s="338" t="s">
        <v>329</v>
      </c>
      <c r="DF428" s="340">
        <v>302.07</v>
      </c>
      <c r="DG428" s="340" t="s">
        <v>296</v>
      </c>
      <c r="DP428" s="236">
        <v>108.2</v>
      </c>
      <c r="DQ428" s="236" t="s">
        <v>316</v>
      </c>
      <c r="DV428" s="340">
        <v>25.13</v>
      </c>
      <c r="DW428" s="340" t="s">
        <v>324</v>
      </c>
      <c r="DX428" s="1671"/>
      <c r="EB428" s="618"/>
      <c r="EC428" s="618"/>
      <c r="ED428" s="618"/>
      <c r="EE428" s="618"/>
      <c r="EF428" s="618"/>
      <c r="EG428" s="618"/>
      <c r="EH428" s="618"/>
      <c r="EI428" s="618"/>
      <c r="EJ428" s="618"/>
      <c r="EK428" s="618"/>
      <c r="EL428" s="618"/>
      <c r="EM428" s="618"/>
    </row>
    <row r="429" spans="1:143">
      <c r="F429" s="338">
        <v>10.050000000000001</v>
      </c>
      <c r="G429" s="338" t="s">
        <v>331</v>
      </c>
      <c r="L429" s="2481">
        <v>311.01</v>
      </c>
      <c r="M429" s="340" t="s">
        <v>296</v>
      </c>
      <c r="N429" s="1390"/>
      <c r="O429" s="2479"/>
      <c r="P429" s="2282"/>
      <c r="AA429" s="338">
        <v>115.01</v>
      </c>
      <c r="AB429" s="338" t="s">
        <v>344</v>
      </c>
      <c r="AG429" s="2297">
        <v>26</v>
      </c>
      <c r="AH429" s="2297" t="s">
        <v>331</v>
      </c>
      <c r="AI429" s="1390"/>
      <c r="AJ429" s="2282"/>
      <c r="AK429" s="2282"/>
      <c r="AL429" s="1037"/>
      <c r="AR429" s="338">
        <v>18.03</v>
      </c>
      <c r="AS429" s="338" t="s">
        <v>331</v>
      </c>
      <c r="AX429" s="340">
        <v>4511.04</v>
      </c>
      <c r="AY429" s="340" t="s">
        <v>295</v>
      </c>
      <c r="BC429" s="341" t="str">
        <f t="array" ref="BC429">IFERROR(IF($BC$11="Yes",INDEX($AX$13:$AX$2950,SMALL(IF((County=$AY$13:$AY$2950),MATCH(ROW($AY$13:$AY$2950),ROW($AY$13:$AY$2950)),""),ROWS($A$13:$A487))),""),"")</f>
        <v/>
      </c>
      <c r="BH429" s="338">
        <v>108.15</v>
      </c>
      <c r="BI429" s="338" t="s">
        <v>316</v>
      </c>
      <c r="BN429" s="340">
        <v>24.02</v>
      </c>
      <c r="BO429" s="340" t="s">
        <v>329</v>
      </c>
      <c r="BP429" s="1385"/>
      <c r="BQ429" s="1388"/>
      <c r="BV429" s="338">
        <v>426.02</v>
      </c>
      <c r="BW429" s="338" t="s">
        <v>289</v>
      </c>
      <c r="CB429" s="340">
        <v>4511.04</v>
      </c>
      <c r="CC429" s="340" t="s">
        <v>295</v>
      </c>
      <c r="CE429" s="341" t="str">
        <f t="array" ref="CE429">IFERROR(IF($CE$11="Metro",INDEX($BV$13:$BV$4972,SMALL(IF((County=$BW$13:$BW$4972),MATCH(ROW($BW$13:$BW$4972),ROW($BW$13:$BW$4972)),""),ROWS($A$13:$A487))),INDEX($BY$13:$BY$212,SMALL(IF((County=$BZ$13:$BZ$212),MATCH(ROW($BZ$13:$BZ$212),ROW($BZ$13:$BZ$212)),""),ROWS($A$13:$A487)))),"")</f>
        <v/>
      </c>
      <c r="CG429" s="341" t="str">
        <f t="array" ref="CG429">IFERROR(IF($CG$11="Yes",INDEX($CB$13:$CB$2950,SMALL(IF((County=$CC$13:$CC$2950),MATCH(ROW($CC$13:$CC$2950),ROW($CC$13:$CC$2950)),""),ROWS($A$13:$A487))),""),"")</f>
        <v/>
      </c>
      <c r="CL429" s="236">
        <v>11.08</v>
      </c>
      <c r="CM429" s="236" t="s">
        <v>328</v>
      </c>
      <c r="CR429" s="340">
        <v>24.1</v>
      </c>
      <c r="CS429" s="340" t="s">
        <v>324</v>
      </c>
      <c r="CT429" s="1384"/>
      <c r="CZ429" s="1795">
        <v>7.03</v>
      </c>
      <c r="DA429" s="338" t="s">
        <v>329</v>
      </c>
      <c r="DF429" s="340">
        <v>302.08</v>
      </c>
      <c r="DG429" s="340" t="s">
        <v>296</v>
      </c>
      <c r="DP429" s="236">
        <v>108.21</v>
      </c>
      <c r="DQ429" s="236" t="s">
        <v>316</v>
      </c>
      <c r="DV429" s="340">
        <v>25.14</v>
      </c>
      <c r="DW429" s="340" t="s">
        <v>324</v>
      </c>
      <c r="DX429" s="1671"/>
      <c r="EB429" s="618"/>
      <c r="EC429" s="618"/>
      <c r="ED429" s="618"/>
      <c r="EE429" s="618"/>
      <c r="EF429" s="618"/>
      <c r="EG429" s="618"/>
      <c r="EH429" s="618"/>
      <c r="EI429" s="618"/>
      <c r="EJ429" s="618"/>
      <c r="EK429" s="618"/>
      <c r="EL429" s="618"/>
      <c r="EM429" s="618"/>
    </row>
    <row r="430" spans="1:143">
      <c r="F430" s="338">
        <v>10.06</v>
      </c>
      <c r="G430" s="338" t="s">
        <v>331</v>
      </c>
      <c r="L430" s="2481">
        <v>311.05</v>
      </c>
      <c r="M430" s="340" t="s">
        <v>296</v>
      </c>
      <c r="N430" s="1390"/>
      <c r="O430" s="2479"/>
      <c r="P430" s="2282"/>
      <c r="AA430" s="338">
        <v>116</v>
      </c>
      <c r="AB430" s="338" t="s">
        <v>302</v>
      </c>
      <c r="AG430" s="2297">
        <v>26</v>
      </c>
      <c r="AH430" s="2297" t="s">
        <v>340</v>
      </c>
      <c r="AI430" s="1390"/>
      <c r="AJ430" s="2282"/>
      <c r="AK430" s="2282"/>
      <c r="AL430" s="1037"/>
      <c r="AR430" s="338">
        <v>19.010000000000002</v>
      </c>
      <c r="AS430" s="338" t="s">
        <v>331</v>
      </c>
      <c r="AX430" s="340">
        <v>4513</v>
      </c>
      <c r="AY430" s="340" t="s">
        <v>295</v>
      </c>
      <c r="BC430" s="341" t="str">
        <f t="array" ref="BC430">IFERROR(IF($BC$11="Yes",INDEX($AX$13:$AX$2950,SMALL(IF((County=$AY$13:$AY$2950),MATCH(ROW($AY$13:$AY$2950),ROW($AY$13:$AY$2950)),""),ROWS($A$13:$A488))),""),"")</f>
        <v/>
      </c>
      <c r="BH430" s="338">
        <v>108.16</v>
      </c>
      <c r="BI430" s="338" t="s">
        <v>316</v>
      </c>
      <c r="BN430" s="340">
        <v>24.03</v>
      </c>
      <c r="BO430" s="340" t="s">
        <v>324</v>
      </c>
      <c r="BP430" s="1385"/>
      <c r="BQ430" s="1388"/>
      <c r="BV430" s="338">
        <v>427</v>
      </c>
      <c r="BW430" s="338" t="s">
        <v>289</v>
      </c>
      <c r="CB430" s="340">
        <v>4513</v>
      </c>
      <c r="CC430" s="340" t="s">
        <v>295</v>
      </c>
      <c r="CE430" s="341" t="str">
        <f t="array" ref="CE430">IFERROR(IF($CE$11="Metro",INDEX($BV$13:$BV$4972,SMALL(IF((County=$BW$13:$BW$4972),MATCH(ROW($BW$13:$BW$4972),ROW($BW$13:$BW$4972)),""),ROWS($A$13:$A488))),INDEX($BY$13:$BY$212,SMALL(IF((County=$BZ$13:$BZ$212),MATCH(ROW($BZ$13:$BZ$212),ROW($BZ$13:$BZ$212)),""),ROWS($A$13:$A488)))),"")</f>
        <v/>
      </c>
      <c r="CG430" s="341" t="str">
        <f t="array" ref="CG430">IFERROR(IF($CG$11="Yes",INDEX($CB$13:$CB$2950,SMALL(IF((County=$CC$13:$CC$2950),MATCH(ROW($CC$13:$CC$2950),ROW($CC$13:$CC$2950)),""),ROWS($A$13:$A488))),""),"")</f>
        <v/>
      </c>
      <c r="CL430" s="236">
        <v>11.08</v>
      </c>
      <c r="CM430" s="236" t="s">
        <v>330</v>
      </c>
      <c r="CR430" s="340">
        <v>24.11</v>
      </c>
      <c r="CS430" s="340" t="s">
        <v>324</v>
      </c>
      <c r="CT430" s="1384"/>
      <c r="CZ430" s="1795">
        <v>10.029999999999999</v>
      </c>
      <c r="DA430" s="338" t="s">
        <v>329</v>
      </c>
      <c r="DF430" s="340">
        <v>302.10000000000002</v>
      </c>
      <c r="DG430" s="340" t="s">
        <v>296</v>
      </c>
      <c r="DP430" s="236">
        <v>108.22</v>
      </c>
      <c r="DQ430" s="236" t="s">
        <v>316</v>
      </c>
      <c r="DV430" s="340">
        <v>25.15</v>
      </c>
      <c r="DW430" s="340" t="s">
        <v>324</v>
      </c>
      <c r="DX430" s="1671"/>
      <c r="EB430" s="618"/>
      <c r="EC430" s="618"/>
      <c r="ED430" s="618"/>
      <c r="EE430" s="618"/>
      <c r="EF430" s="618"/>
      <c r="EG430" s="618"/>
      <c r="EH430" s="618"/>
      <c r="EI430" s="618"/>
      <c r="EJ430" s="618"/>
      <c r="EK430" s="618"/>
      <c r="EL430" s="618"/>
      <c r="EM430" s="618"/>
    </row>
    <row r="431" spans="1:143">
      <c r="F431" s="338">
        <v>14.01</v>
      </c>
      <c r="G431" s="338" t="s">
        <v>331</v>
      </c>
      <c r="L431" s="2481">
        <v>311.08</v>
      </c>
      <c r="M431" s="340" t="s">
        <v>296</v>
      </c>
      <c r="N431" s="1390"/>
      <c r="O431" s="2479"/>
      <c r="P431" s="2282"/>
      <c r="AA431" s="338">
        <v>116.1</v>
      </c>
      <c r="AB431" s="338" t="s">
        <v>316</v>
      </c>
      <c r="AG431" s="2297">
        <v>26.01</v>
      </c>
      <c r="AH431" s="2297" t="s">
        <v>304</v>
      </c>
      <c r="AI431" s="1390"/>
      <c r="AJ431" s="2282"/>
      <c r="AK431" s="2282"/>
      <c r="AL431" s="1037"/>
      <c r="AR431" s="338">
        <v>19.03</v>
      </c>
      <c r="AS431" s="338" t="s">
        <v>331</v>
      </c>
      <c r="AX431" s="340">
        <v>4516.03</v>
      </c>
      <c r="AY431" s="340" t="s">
        <v>295</v>
      </c>
      <c r="BC431" s="341" t="str">
        <f t="array" ref="BC431">IFERROR(IF($BC$11="Yes",INDEX($AX$13:$AX$2950,SMALL(IF((County=$AY$13:$AY$2950),MATCH(ROW($AY$13:$AY$2950),ROW($AY$13:$AY$2950)),""),ROWS($A$13:$A489))),""),"")</f>
        <v/>
      </c>
      <c r="BH431" s="338">
        <v>108.17</v>
      </c>
      <c r="BI431" s="338" t="s">
        <v>316</v>
      </c>
      <c r="BN431" s="340">
        <v>24.1</v>
      </c>
      <c r="BO431" s="340" t="s">
        <v>324</v>
      </c>
      <c r="BP431" s="1385"/>
      <c r="BQ431" s="1388"/>
      <c r="BV431" s="338">
        <v>428.01</v>
      </c>
      <c r="BW431" s="338" t="s">
        <v>289</v>
      </c>
      <c r="CB431" s="340">
        <v>4516.03</v>
      </c>
      <c r="CC431" s="340" t="s">
        <v>295</v>
      </c>
      <c r="CE431" s="341" t="str">
        <f t="array" ref="CE431">IFERROR(IF($CE$11="Metro",INDEX($BV$13:$BV$4972,SMALL(IF((County=$BW$13:$BW$4972),MATCH(ROW($BW$13:$BW$4972),ROW($BW$13:$BW$4972)),""),ROWS($A$13:$A489))),INDEX($BY$13:$BY$212,SMALL(IF((County=$BZ$13:$BZ$212),MATCH(ROW($BZ$13:$BZ$212),ROW($BZ$13:$BZ$212)),""),ROWS($A$13:$A489)))),"")</f>
        <v/>
      </c>
      <c r="CG431" s="341" t="str">
        <f t="array" ref="CG431">IFERROR(IF($CG$11="Yes",INDEX($CB$13:$CB$2950,SMALL(IF((County=$CC$13:$CC$2950),MATCH(ROW($CC$13:$CC$2950),ROW($CC$13:$CC$2950)),""),ROWS($A$13:$A489))),""),"")</f>
        <v/>
      </c>
      <c r="CL431" s="338">
        <v>12</v>
      </c>
      <c r="CM431" s="338" t="s">
        <v>285</v>
      </c>
      <c r="CR431" s="340">
        <v>24.13</v>
      </c>
      <c r="CS431" s="340" t="s">
        <v>324</v>
      </c>
      <c r="CT431" s="1384"/>
      <c r="CZ431" s="1795">
        <v>14.01</v>
      </c>
      <c r="DA431" s="338" t="s">
        <v>329</v>
      </c>
      <c r="DF431" s="340">
        <v>303.06</v>
      </c>
      <c r="DG431" s="340" t="s">
        <v>296</v>
      </c>
      <c r="DP431" s="236">
        <v>108.24</v>
      </c>
      <c r="DQ431" s="236" t="s">
        <v>316</v>
      </c>
      <c r="DV431" s="340">
        <v>25.16</v>
      </c>
      <c r="DW431" s="340" t="s">
        <v>324</v>
      </c>
      <c r="DX431" s="1671"/>
      <c r="EB431" s="618"/>
      <c r="EC431" s="618"/>
      <c r="ED431" s="618"/>
      <c r="EE431" s="618"/>
      <c r="EF431" s="618"/>
      <c r="EG431" s="618"/>
      <c r="EH431" s="618"/>
      <c r="EI431" s="618"/>
      <c r="EJ431" s="618"/>
      <c r="EK431" s="618"/>
      <c r="EL431" s="618"/>
      <c r="EM431" s="618"/>
    </row>
    <row r="432" spans="1:143">
      <c r="F432" s="338">
        <v>14.02</v>
      </c>
      <c r="G432" s="338" t="s">
        <v>331</v>
      </c>
      <c r="L432" s="2481">
        <v>312.02</v>
      </c>
      <c r="M432" s="340" t="s">
        <v>296</v>
      </c>
      <c r="N432" s="1390"/>
      <c r="O432" s="2479"/>
      <c r="P432" s="2282"/>
      <c r="AA432" s="338">
        <v>117.02</v>
      </c>
      <c r="AB432" s="338" t="s">
        <v>338</v>
      </c>
      <c r="AG432" s="2297">
        <v>26.01</v>
      </c>
      <c r="AH432" s="2297" t="s">
        <v>347</v>
      </c>
      <c r="AI432" s="1390"/>
      <c r="AJ432" s="2282"/>
      <c r="AK432" s="2282"/>
      <c r="AL432" s="1037"/>
      <c r="AR432" s="338">
        <v>19.04</v>
      </c>
      <c r="AS432" s="338" t="s">
        <v>331</v>
      </c>
      <c r="AX432" s="340">
        <v>4516.04</v>
      </c>
      <c r="AY432" s="340" t="s">
        <v>295</v>
      </c>
      <c r="BC432" s="341" t="str">
        <f t="array" ref="BC432">IFERROR(IF($BC$11="Yes",INDEX($AX$13:$AX$2950,SMALL(IF((County=$AY$13:$AY$2950),MATCH(ROW($AY$13:$AY$2950),ROW($AY$13:$AY$2950)),""),ROWS($A$13:$A490))),""),"")</f>
        <v/>
      </c>
      <c r="BH432" s="338">
        <v>108.19</v>
      </c>
      <c r="BI432" s="338" t="s">
        <v>316</v>
      </c>
      <c r="BN432" s="340">
        <v>24.13</v>
      </c>
      <c r="BO432" s="340" t="s">
        <v>324</v>
      </c>
      <c r="BP432" s="1385"/>
      <c r="BQ432" s="1388"/>
      <c r="BV432" s="338">
        <v>428.02</v>
      </c>
      <c r="BW432" s="338" t="s">
        <v>289</v>
      </c>
      <c r="CB432" s="340">
        <v>4516.04</v>
      </c>
      <c r="CC432" s="340" t="s">
        <v>295</v>
      </c>
      <c r="CE432" s="341" t="str">
        <f t="array" ref="CE432">IFERROR(IF($CE$11="Metro",INDEX($BV$13:$BV$4972,SMALL(IF((County=$BW$13:$BW$4972),MATCH(ROW($BW$13:$BW$4972),ROW($BW$13:$BW$4972)),""),ROWS($A$13:$A490))),INDEX($BY$13:$BY$212,SMALL(IF((County=$BZ$13:$BZ$212),MATCH(ROW($BZ$13:$BZ$212),ROW($BZ$13:$BZ$212)),""),ROWS($A$13:$A490)))),"")</f>
        <v/>
      </c>
      <c r="CG432" s="341" t="str">
        <f t="array" ref="CG432">IFERROR(IF($CG$11="Yes",INDEX($CB$13:$CB$2950,SMALL(IF((County=$CC$13:$CC$2950),MATCH(ROW($CC$13:$CC$2950),ROW($CC$13:$CC$2950)),""),ROWS($A$13:$A490))),""),"")</f>
        <v/>
      </c>
      <c r="CL432" s="236">
        <v>12</v>
      </c>
      <c r="CM432" s="236" t="s">
        <v>302</v>
      </c>
      <c r="CR432" s="340">
        <v>24.14</v>
      </c>
      <c r="CS432" s="340" t="s">
        <v>324</v>
      </c>
      <c r="CT432" s="1384"/>
      <c r="CZ432" s="1795">
        <v>14.04</v>
      </c>
      <c r="DA432" s="338" t="s">
        <v>329</v>
      </c>
      <c r="DF432" s="340">
        <v>305</v>
      </c>
      <c r="DG432" s="340" t="s">
        <v>296</v>
      </c>
      <c r="DP432" s="236">
        <v>109</v>
      </c>
      <c r="DQ432" s="236" t="s">
        <v>302</v>
      </c>
      <c r="DV432" s="340">
        <v>25.17</v>
      </c>
      <c r="DW432" s="340" t="s">
        <v>324</v>
      </c>
      <c r="DX432" s="1671"/>
      <c r="EB432" s="618"/>
      <c r="EC432" s="618"/>
      <c r="ED432" s="618"/>
      <c r="EE432" s="618"/>
      <c r="EF432" s="618"/>
      <c r="EG432" s="618"/>
      <c r="EH432" s="618"/>
      <c r="EI432" s="618"/>
      <c r="EJ432" s="618"/>
      <c r="EK432" s="618"/>
      <c r="EL432" s="618"/>
      <c r="EM432" s="618"/>
    </row>
    <row r="433" spans="6:143">
      <c r="F433" s="338">
        <v>15.01</v>
      </c>
      <c r="G433" s="338" t="s">
        <v>331</v>
      </c>
      <c r="L433" s="2481">
        <v>312.02999999999997</v>
      </c>
      <c r="M433" s="340" t="s">
        <v>296</v>
      </c>
      <c r="N433" s="1390"/>
      <c r="O433" s="2479"/>
      <c r="P433" s="2282"/>
      <c r="AA433" s="338">
        <v>117.04</v>
      </c>
      <c r="AB433" s="338" t="s">
        <v>344</v>
      </c>
      <c r="AG433" s="2297">
        <v>26.02</v>
      </c>
      <c r="AH433" s="2297" t="s">
        <v>304</v>
      </c>
      <c r="AI433" s="1390"/>
      <c r="AJ433" s="2282"/>
      <c r="AK433" s="2282"/>
      <c r="AL433" s="1037"/>
      <c r="AR433" s="338">
        <v>20.010000000000002</v>
      </c>
      <c r="AS433" s="338" t="s">
        <v>331</v>
      </c>
      <c r="AX433" s="340">
        <v>4516.0600000000004</v>
      </c>
      <c r="AY433" s="340" t="s">
        <v>295</v>
      </c>
      <c r="BC433" s="341" t="str">
        <f t="array" ref="BC433">IFERROR(IF($BC$11="Yes",INDEX($AX$13:$AX$2950,SMALL(IF((County=$AY$13:$AY$2950),MATCH(ROW($AY$13:$AY$2950),ROW($AY$13:$AY$2950)),""),ROWS($A$13:$A491))),""),"")</f>
        <v/>
      </c>
      <c r="BH433" s="338">
        <v>108.2</v>
      </c>
      <c r="BI433" s="338" t="s">
        <v>316</v>
      </c>
      <c r="BN433" s="340">
        <v>24.14</v>
      </c>
      <c r="BO433" s="340" t="s">
        <v>324</v>
      </c>
      <c r="BP433" s="1385"/>
      <c r="BQ433" s="1388"/>
      <c r="BV433" s="338">
        <v>429</v>
      </c>
      <c r="BW433" s="338" t="s">
        <v>289</v>
      </c>
      <c r="CB433" s="340">
        <v>4516.0600000000004</v>
      </c>
      <c r="CC433" s="340" t="s">
        <v>295</v>
      </c>
      <c r="CE433" s="341" t="str">
        <f t="array" ref="CE433">IFERROR(IF($CE$11="Metro",INDEX($BV$13:$BV$4972,SMALL(IF((County=$BW$13:$BW$4972),MATCH(ROW($BW$13:$BW$4972),ROW($BW$13:$BW$4972)),""),ROWS($A$13:$A491))),INDEX($BY$13:$BY$212,SMALL(IF((County=$BZ$13:$BZ$212),MATCH(ROW($BZ$13:$BZ$212),ROW($BZ$13:$BZ$212)),""),ROWS($A$13:$A491)))),"")</f>
        <v/>
      </c>
      <c r="CG433" s="341" t="str">
        <f t="array" ref="CG433">IFERROR(IF($CG$11="Yes",INDEX($CB$13:$CB$2950,SMALL(IF((County=$CC$13:$CC$2950),MATCH(ROW($CC$13:$CC$2950),ROW($CC$13:$CC$2950)),""),ROWS($A$13:$A491))),""),"")</f>
        <v/>
      </c>
      <c r="CL433" s="236">
        <v>12</v>
      </c>
      <c r="CM433" s="236" t="s">
        <v>316</v>
      </c>
      <c r="CR433" s="340">
        <v>24.15</v>
      </c>
      <c r="CS433" s="340" t="s">
        <v>324</v>
      </c>
      <c r="CT433" s="1384"/>
      <c r="CZ433" s="1795">
        <v>15</v>
      </c>
      <c r="DA433" s="338" t="s">
        <v>329</v>
      </c>
      <c r="DF433" s="340">
        <v>307.01</v>
      </c>
      <c r="DG433" s="340" t="s">
        <v>296</v>
      </c>
      <c r="DP433" s="236">
        <v>109</v>
      </c>
      <c r="DQ433" s="236" t="s">
        <v>331</v>
      </c>
      <c r="DV433" s="340">
        <v>26</v>
      </c>
      <c r="DW433" s="340" t="s">
        <v>331</v>
      </c>
      <c r="DX433" s="1671"/>
      <c r="EB433" s="618"/>
      <c r="EC433" s="618"/>
      <c r="ED433" s="618"/>
      <c r="EE433" s="618"/>
      <c r="EF433" s="618"/>
      <c r="EG433" s="618"/>
      <c r="EH433" s="618"/>
      <c r="EI433" s="618"/>
      <c r="EJ433" s="618"/>
      <c r="EK433" s="618"/>
      <c r="EL433" s="618"/>
      <c r="EM433" s="618"/>
    </row>
    <row r="434" spans="6:143">
      <c r="F434" s="338">
        <v>15.02</v>
      </c>
      <c r="G434" s="338" t="s">
        <v>331</v>
      </c>
      <c r="L434" s="2481">
        <v>313.02</v>
      </c>
      <c r="M434" s="340" t="s">
        <v>296</v>
      </c>
      <c r="N434" s="1390"/>
      <c r="O434" s="2479"/>
      <c r="P434" s="2282"/>
      <c r="AA434" s="338">
        <v>117.31</v>
      </c>
      <c r="AB434" s="338" t="s">
        <v>344</v>
      </c>
      <c r="AG434" s="2297">
        <v>26.02</v>
      </c>
      <c r="AH434" s="2297" t="s">
        <v>347</v>
      </c>
      <c r="AI434" s="1390"/>
      <c r="AJ434" s="2282"/>
      <c r="AK434" s="2282"/>
      <c r="AL434" s="1037"/>
      <c r="AR434" s="338">
        <v>20.03</v>
      </c>
      <c r="AS434" s="338" t="s">
        <v>331</v>
      </c>
      <c r="AX434" s="340">
        <v>4517.01</v>
      </c>
      <c r="AY434" s="340" t="s">
        <v>295</v>
      </c>
      <c r="BC434" s="341" t="str">
        <f t="array" ref="BC434">IFERROR(IF($BC$11="Yes",INDEX($AX$13:$AX$2950,SMALL(IF((County=$AY$13:$AY$2950),MATCH(ROW($AY$13:$AY$2950),ROW($AY$13:$AY$2950)),""),ROWS($A$13:$A492))),""),"")</f>
        <v/>
      </c>
      <c r="BH434" s="338">
        <v>108.21</v>
      </c>
      <c r="BI434" s="338" t="s">
        <v>316</v>
      </c>
      <c r="BN434" s="340">
        <v>24.15</v>
      </c>
      <c r="BO434" s="340" t="s">
        <v>324</v>
      </c>
      <c r="BP434" s="1385"/>
      <c r="BQ434" s="1388"/>
      <c r="BV434" s="338">
        <v>430.01</v>
      </c>
      <c r="BW434" s="338" t="s">
        <v>289</v>
      </c>
      <c r="CB434" s="340">
        <v>4517.01</v>
      </c>
      <c r="CC434" s="340" t="s">
        <v>295</v>
      </c>
      <c r="CE434" s="341" t="str">
        <f t="array" ref="CE434">IFERROR(IF($CE$11="Metro",INDEX($BV$13:$BV$4972,SMALL(IF((County=$BW$13:$BW$4972),MATCH(ROW($BW$13:$BW$4972),ROW($BW$13:$BW$4972)),""),ROWS($A$13:$A492))),INDEX($BY$13:$BY$212,SMALL(IF((County=$BZ$13:$BZ$212),MATCH(ROW($BZ$13:$BZ$212),ROW($BZ$13:$BZ$212)),""),ROWS($A$13:$A492)))),"")</f>
        <v/>
      </c>
      <c r="CG434" s="341" t="str">
        <f t="array" ref="CG434">IFERROR(IF($CG$11="Yes",INDEX($CB$13:$CB$2950,SMALL(IF((County=$CC$13:$CC$2950),MATCH(ROW($CC$13:$CC$2950),ROW($CC$13:$CC$2950)),""),ROWS($A$13:$A492))),""),"")</f>
        <v/>
      </c>
      <c r="CL434" s="236">
        <v>12</v>
      </c>
      <c r="CM434" s="236" t="s">
        <v>324</v>
      </c>
      <c r="CR434" s="340">
        <v>24.16</v>
      </c>
      <c r="CS434" s="340" t="s">
        <v>324</v>
      </c>
      <c r="CT434" s="1384"/>
      <c r="CZ434" s="1795">
        <v>17</v>
      </c>
      <c r="DA434" s="338" t="s">
        <v>329</v>
      </c>
      <c r="DF434" s="340">
        <v>307.04000000000002</v>
      </c>
      <c r="DG434" s="340" t="s">
        <v>296</v>
      </c>
      <c r="DP434" s="236">
        <v>109</v>
      </c>
      <c r="DQ434" s="236" t="s">
        <v>344</v>
      </c>
      <c r="DV434" s="340">
        <v>26</v>
      </c>
      <c r="DW434" s="340" t="s">
        <v>340</v>
      </c>
      <c r="DX434" s="1671"/>
      <c r="EB434" s="618"/>
      <c r="EC434" s="618"/>
      <c r="ED434" s="618"/>
      <c r="EE434" s="618"/>
      <c r="EF434" s="618"/>
      <c r="EG434" s="618"/>
      <c r="EH434" s="618"/>
      <c r="EI434" s="618"/>
      <c r="EJ434" s="618"/>
      <c r="EK434" s="618"/>
      <c r="EL434" s="618"/>
      <c r="EM434" s="618"/>
    </row>
    <row r="435" spans="6:143">
      <c r="F435" s="338">
        <v>16.05</v>
      </c>
      <c r="G435" s="338" t="s">
        <v>331</v>
      </c>
      <c r="L435" s="2481">
        <v>9800</v>
      </c>
      <c r="M435" s="340" t="s">
        <v>296</v>
      </c>
      <c r="N435" s="1390"/>
      <c r="O435" s="2479"/>
      <c r="P435" s="2282"/>
      <c r="AA435" s="338">
        <v>118</v>
      </c>
      <c r="AB435" s="338" t="s">
        <v>302</v>
      </c>
      <c r="AG435" s="2297">
        <v>26.03</v>
      </c>
      <c r="AH435" s="2297" t="s">
        <v>347</v>
      </c>
      <c r="AI435" s="1390"/>
      <c r="AJ435" s="2282"/>
      <c r="AK435" s="2282"/>
      <c r="AL435" s="1037"/>
      <c r="AR435" s="338">
        <v>20.04</v>
      </c>
      <c r="AS435" s="338" t="s">
        <v>331</v>
      </c>
      <c r="AX435" s="340">
        <v>302.04000000000002</v>
      </c>
      <c r="AY435" s="340" t="s">
        <v>296</v>
      </c>
      <c r="BC435" s="341" t="str">
        <f t="array" ref="BC435">IFERROR(IF($BC$11="Yes",INDEX($AX$13:$AX$2950,SMALL(IF((County=$AY$13:$AY$2950),MATCH(ROW($AY$13:$AY$2950),ROW($AY$13:$AY$2950)),""),ROWS($A$13:$A493))),""),"")</f>
        <v/>
      </c>
      <c r="BH435" s="338">
        <v>108.22</v>
      </c>
      <c r="BI435" s="338" t="s">
        <v>316</v>
      </c>
      <c r="BN435" s="340">
        <v>24.16</v>
      </c>
      <c r="BO435" s="340" t="s">
        <v>324</v>
      </c>
      <c r="BP435" s="1385"/>
      <c r="BQ435" s="1388"/>
      <c r="BV435" s="338">
        <v>430.02</v>
      </c>
      <c r="BW435" s="338" t="s">
        <v>289</v>
      </c>
      <c r="CB435" s="340">
        <v>301.04000000000002</v>
      </c>
      <c r="CC435" s="340" t="s">
        <v>296</v>
      </c>
      <c r="CE435" s="341" t="str">
        <f t="array" ref="CE435">IFERROR(IF($CE$11="Metro",INDEX($BV$13:$BV$4972,SMALL(IF((County=$BW$13:$BW$4972),MATCH(ROW($BW$13:$BW$4972),ROW($BW$13:$BW$4972)),""),ROWS($A$13:$A493))),INDEX($BY$13:$BY$212,SMALL(IF((County=$BZ$13:$BZ$212),MATCH(ROW($BZ$13:$BZ$212),ROW($BZ$13:$BZ$212)),""),ROWS($A$13:$A493)))),"")</f>
        <v/>
      </c>
      <c r="CG435" s="341" t="str">
        <f t="array" ref="CG435">IFERROR(IF($CG$11="Yes",INDEX($CB$13:$CB$2950,SMALL(IF((County=$CC$13:$CC$2950),MATCH(ROW($CC$13:$CC$2950),ROW($CC$13:$CC$2950)),""),ROWS($A$13:$A493))),""),"")</f>
        <v/>
      </c>
      <c r="CL435" s="236">
        <v>12</v>
      </c>
      <c r="CM435" s="236" t="s">
        <v>330</v>
      </c>
      <c r="CR435" s="340">
        <v>24.18</v>
      </c>
      <c r="CS435" s="340" t="s">
        <v>324</v>
      </c>
      <c r="CT435" s="1384"/>
      <c r="CZ435" s="1795">
        <v>18</v>
      </c>
      <c r="DA435" s="338" t="s">
        <v>329</v>
      </c>
      <c r="DF435" s="340">
        <v>307.05</v>
      </c>
      <c r="DG435" s="340" t="s">
        <v>296</v>
      </c>
      <c r="DP435" s="236">
        <v>110</v>
      </c>
      <c r="DQ435" s="236" t="s">
        <v>302</v>
      </c>
      <c r="DV435" s="340">
        <v>26.01</v>
      </c>
      <c r="DW435" s="340" t="s">
        <v>304</v>
      </c>
      <c r="DX435" s="1671"/>
      <c r="EB435" s="618"/>
      <c r="EC435" s="618"/>
      <c r="ED435" s="618"/>
      <c r="EE435" s="618"/>
      <c r="EF435" s="618"/>
      <c r="EG435" s="618"/>
      <c r="EH435" s="618"/>
      <c r="EI435" s="618"/>
      <c r="EJ435" s="618"/>
      <c r="EK435" s="618"/>
      <c r="EL435" s="618"/>
      <c r="EM435" s="618"/>
    </row>
    <row r="436" spans="6:143">
      <c r="F436" s="338">
        <v>16.059999999999999</v>
      </c>
      <c r="G436" s="338" t="s">
        <v>331</v>
      </c>
      <c r="L436" s="2481">
        <v>1.01</v>
      </c>
      <c r="M436" s="340" t="s">
        <v>297</v>
      </c>
      <c r="N436" s="1390"/>
      <c r="O436" s="2479"/>
      <c r="P436" s="2282"/>
      <c r="AA436" s="338">
        <v>118.02</v>
      </c>
      <c r="AB436" s="338" t="s">
        <v>316</v>
      </c>
      <c r="AG436" s="2297">
        <v>26.04</v>
      </c>
      <c r="AH436" s="2297" t="s">
        <v>285</v>
      </c>
      <c r="AI436" s="1390"/>
      <c r="AJ436" s="2282"/>
      <c r="AK436" s="2282"/>
      <c r="AL436" s="1037"/>
      <c r="AR436" s="338">
        <v>22.02</v>
      </c>
      <c r="AS436" s="338" t="s">
        <v>331</v>
      </c>
      <c r="AX436" s="340">
        <v>302.05</v>
      </c>
      <c r="AY436" s="340" t="s">
        <v>296</v>
      </c>
      <c r="BC436" s="341" t="str">
        <f t="array" ref="BC436">IFERROR(IF($BC$11="Yes",INDEX($AX$13:$AX$2950,SMALL(IF((County=$AY$13:$AY$2950),MATCH(ROW($AY$13:$AY$2950),ROW($AY$13:$AY$2950)),""),ROWS($A$13:$A494))),""),"")</f>
        <v/>
      </c>
      <c r="BH436" s="338">
        <v>108.23</v>
      </c>
      <c r="BI436" s="338" t="s">
        <v>316</v>
      </c>
      <c r="BN436" s="340">
        <v>24.18</v>
      </c>
      <c r="BO436" s="340" t="s">
        <v>324</v>
      </c>
      <c r="BP436" s="1385"/>
      <c r="BQ436" s="1388"/>
      <c r="BV436" s="338">
        <v>431</v>
      </c>
      <c r="BW436" s="338" t="s">
        <v>289</v>
      </c>
      <c r="CB436" s="340">
        <v>302.04000000000002</v>
      </c>
      <c r="CC436" s="340" t="s">
        <v>296</v>
      </c>
      <c r="CE436" s="341" t="str">
        <f t="array" ref="CE436">IFERROR(IF($CE$11="Metro",INDEX($BV$13:$BV$4972,SMALL(IF((County=$BW$13:$BW$4972),MATCH(ROW($BW$13:$BW$4972),ROW($BW$13:$BW$4972)),""),ROWS($A$13:$A494))),INDEX($BY$13:$BY$212,SMALL(IF((County=$BZ$13:$BZ$212),MATCH(ROW($BZ$13:$BZ$212),ROW($BZ$13:$BZ$212)),""),ROWS($A$13:$A494)))),"")</f>
        <v/>
      </c>
      <c r="CG436" s="341" t="str">
        <f t="array" ref="CG436">IFERROR(IF($CG$11="Yes",INDEX($CB$13:$CB$2950,SMALL(IF((County=$CC$13:$CC$2950),MATCH(ROW($CC$13:$CC$2950),ROW($CC$13:$CC$2950)),""),ROWS($A$13:$A494))),""),"")</f>
        <v/>
      </c>
      <c r="CL436" s="236">
        <v>12</v>
      </c>
      <c r="CM436" s="236" t="s">
        <v>340</v>
      </c>
      <c r="CR436" s="340">
        <v>24.19</v>
      </c>
      <c r="CS436" s="340" t="s">
        <v>324</v>
      </c>
      <c r="CT436" s="1384"/>
      <c r="CZ436" s="1795">
        <v>20.010000000000002</v>
      </c>
      <c r="DA436" s="338" t="s">
        <v>329</v>
      </c>
      <c r="DF436" s="340">
        <v>307.06</v>
      </c>
      <c r="DG436" s="340" t="s">
        <v>296</v>
      </c>
      <c r="DP436" s="236">
        <v>110</v>
      </c>
      <c r="DQ436" s="236" t="s">
        <v>344</v>
      </c>
      <c r="DV436" s="340">
        <v>26.01</v>
      </c>
      <c r="DW436" s="340" t="s">
        <v>347</v>
      </c>
      <c r="DX436" s="1671"/>
      <c r="EB436" s="618"/>
      <c r="EC436" s="618"/>
      <c r="ED436" s="618"/>
      <c r="EE436" s="618"/>
      <c r="EF436" s="618"/>
      <c r="EG436" s="618"/>
      <c r="EH436" s="618"/>
      <c r="EI436" s="618"/>
      <c r="EJ436" s="618"/>
      <c r="EK436" s="618"/>
      <c r="EL436" s="618"/>
      <c r="EM436" s="618"/>
    </row>
    <row r="437" spans="6:143">
      <c r="F437" s="338">
        <v>17.010000000000002</v>
      </c>
      <c r="G437" s="338" t="s">
        <v>331</v>
      </c>
      <c r="L437" s="2481">
        <v>2</v>
      </c>
      <c r="M437" s="340" t="s">
        <v>297</v>
      </c>
      <c r="N437" s="1390"/>
      <c r="O437" s="2479"/>
      <c r="P437" s="2282"/>
      <c r="AA437" s="338">
        <v>118.06</v>
      </c>
      <c r="AB437" s="338" t="s">
        <v>316</v>
      </c>
      <c r="AG437" s="2297">
        <v>26.04</v>
      </c>
      <c r="AH437" s="2297" t="s">
        <v>304</v>
      </c>
      <c r="AI437" s="1390"/>
      <c r="AJ437" s="2282"/>
      <c r="AK437" s="2282"/>
      <c r="AL437" s="1037"/>
      <c r="AR437" s="338">
        <v>23</v>
      </c>
      <c r="AS437" s="338" t="s">
        <v>331</v>
      </c>
      <c r="AX437" s="340">
        <v>302.06</v>
      </c>
      <c r="AY437" s="340" t="s">
        <v>296</v>
      </c>
      <c r="BC437" s="341" t="str">
        <f t="array" ref="BC437">IFERROR(IF($BC$11="Yes",INDEX($AX$13:$AX$2950,SMALL(IF((County=$AY$13:$AY$2950),MATCH(ROW($AY$13:$AY$2950),ROW($AY$13:$AY$2950)),""),ROWS($A$13:$A495))),""),"")</f>
        <v/>
      </c>
      <c r="BH437" s="338">
        <v>108.24</v>
      </c>
      <c r="BI437" s="338" t="s">
        <v>316</v>
      </c>
      <c r="BN437" s="340">
        <v>24.19</v>
      </c>
      <c r="BO437" s="340" t="s">
        <v>324</v>
      </c>
      <c r="BP437" s="1385"/>
      <c r="BQ437" s="1388"/>
      <c r="BV437" s="338">
        <v>433.01</v>
      </c>
      <c r="BW437" s="338" t="s">
        <v>289</v>
      </c>
      <c r="CB437" s="340">
        <v>302.05</v>
      </c>
      <c r="CC437" s="340" t="s">
        <v>296</v>
      </c>
      <c r="CE437" s="341" t="str">
        <f t="array" ref="CE437">IFERROR(IF($CE$11="Metro",INDEX($BV$13:$BV$4972,SMALL(IF((County=$BW$13:$BW$4972),MATCH(ROW($BW$13:$BW$4972),ROW($BW$13:$BW$4972)),""),ROWS($A$13:$A495))),INDEX($BY$13:$BY$212,SMALL(IF((County=$BZ$13:$BZ$212),MATCH(ROW($BZ$13:$BZ$212),ROW($BZ$13:$BZ$212)),""),ROWS($A$13:$A495)))),"")</f>
        <v/>
      </c>
      <c r="CG437" s="341" t="str">
        <f t="array" ref="CG437">IFERROR(IF($CG$11="Yes",INDEX($CB$13:$CB$2950,SMALL(IF((County=$CC$13:$CC$2950),MATCH(ROW($CC$13:$CC$2950),ROW($CC$13:$CC$2950)),""),ROWS($A$13:$A495))),""),"")</f>
        <v/>
      </c>
      <c r="CL437" s="338">
        <v>12.01</v>
      </c>
      <c r="CM437" s="338" t="s">
        <v>276</v>
      </c>
      <c r="CR437" s="340">
        <v>24.2</v>
      </c>
      <c r="CS437" s="340" t="s">
        <v>324</v>
      </c>
      <c r="CT437" s="1384"/>
      <c r="CZ437" s="1795">
        <v>20.02</v>
      </c>
      <c r="DA437" s="338" t="s">
        <v>329</v>
      </c>
      <c r="DF437" s="340">
        <v>307.07</v>
      </c>
      <c r="DG437" s="340" t="s">
        <v>296</v>
      </c>
      <c r="DP437" s="236">
        <v>110.03</v>
      </c>
      <c r="DQ437" s="236" t="s">
        <v>316</v>
      </c>
      <c r="DV437" s="340">
        <v>26.02</v>
      </c>
      <c r="DW437" s="340" t="s">
        <v>304</v>
      </c>
      <c r="DX437" s="1671"/>
      <c r="EB437" s="618"/>
      <c r="EC437" s="618"/>
      <c r="ED437" s="618"/>
      <c r="EE437" s="618"/>
      <c r="EF437" s="618"/>
      <c r="EG437" s="618"/>
      <c r="EH437" s="618"/>
      <c r="EI437" s="618"/>
      <c r="EJ437" s="618"/>
      <c r="EK437" s="618"/>
      <c r="EL437" s="618"/>
      <c r="EM437" s="618"/>
    </row>
    <row r="438" spans="6:143">
      <c r="F438" s="338">
        <v>17.02</v>
      </c>
      <c r="G438" s="338" t="s">
        <v>331</v>
      </c>
      <c r="L438" s="2481">
        <v>3.01</v>
      </c>
      <c r="M438" s="340" t="s">
        <v>297</v>
      </c>
      <c r="N438" s="1390"/>
      <c r="O438" s="2479"/>
      <c r="P438" s="2282"/>
      <c r="AA438" s="338">
        <v>119.08</v>
      </c>
      <c r="AB438" s="338" t="s">
        <v>316</v>
      </c>
      <c r="AG438" s="2297">
        <v>26.04</v>
      </c>
      <c r="AH438" s="2297" t="s">
        <v>329</v>
      </c>
      <c r="AI438" s="1390"/>
      <c r="AJ438" s="2282"/>
      <c r="AK438" s="2282"/>
      <c r="AL438" s="1037"/>
      <c r="AR438" s="338">
        <v>24.02</v>
      </c>
      <c r="AS438" s="338" t="s">
        <v>331</v>
      </c>
      <c r="AX438" s="340">
        <v>302.07</v>
      </c>
      <c r="AY438" s="340" t="s">
        <v>296</v>
      </c>
      <c r="BC438" s="341" t="str">
        <f t="array" ref="BC438">IFERROR(IF($BC$11="Yes",INDEX($AX$13:$AX$2950,SMALL(IF((County=$AY$13:$AY$2950),MATCH(ROW($AY$13:$AY$2950),ROW($AY$13:$AY$2950)),""),ROWS($A$13:$A496))),""),"")</f>
        <v/>
      </c>
      <c r="BH438" s="338">
        <v>109</v>
      </c>
      <c r="BI438" s="338" t="s">
        <v>331</v>
      </c>
      <c r="BN438" s="340">
        <v>24.2</v>
      </c>
      <c r="BO438" s="340" t="s">
        <v>324</v>
      </c>
      <c r="BP438" s="1385"/>
      <c r="BQ438" s="1388"/>
      <c r="BV438" s="338">
        <v>433.02</v>
      </c>
      <c r="BW438" s="338" t="s">
        <v>289</v>
      </c>
      <c r="CB438" s="340">
        <v>302.06</v>
      </c>
      <c r="CC438" s="340" t="s">
        <v>296</v>
      </c>
      <c r="CE438" s="341" t="str">
        <f t="array" ref="CE438">IFERROR(IF($CE$11="Metro",INDEX($BV$13:$BV$4972,SMALL(IF((County=$BW$13:$BW$4972),MATCH(ROW($BW$13:$BW$4972),ROW($BW$13:$BW$4972)),""),ROWS($A$13:$A496))),INDEX($BY$13:$BY$212,SMALL(IF((County=$BZ$13:$BZ$212),MATCH(ROW($BZ$13:$BZ$212),ROW($BZ$13:$BZ$212)),""),ROWS($A$13:$A496)))),"")</f>
        <v/>
      </c>
      <c r="CG438" s="341" t="str">
        <f t="array" ref="CG438">IFERROR(IF($CG$11="Yes",INDEX($CB$13:$CB$2950,SMALL(IF((County=$CC$13:$CC$2950),MATCH(ROW($CC$13:$CC$2950),ROW($CC$13:$CC$2950)),""),ROWS($A$13:$A496))),""),"")</f>
        <v/>
      </c>
      <c r="CL438" s="236">
        <v>12.01</v>
      </c>
      <c r="CM438" s="236" t="s">
        <v>304</v>
      </c>
      <c r="CR438" s="340">
        <v>24.21</v>
      </c>
      <c r="CS438" s="340" t="s">
        <v>324</v>
      </c>
      <c r="CT438" s="1384"/>
      <c r="CZ438" s="1795">
        <v>26.02</v>
      </c>
      <c r="DA438" s="338" t="s">
        <v>329</v>
      </c>
      <c r="DF438" s="340">
        <v>307.08</v>
      </c>
      <c r="DG438" s="340" t="s">
        <v>296</v>
      </c>
      <c r="DP438" s="236">
        <v>110.1</v>
      </c>
      <c r="DQ438" s="236" t="s">
        <v>316</v>
      </c>
      <c r="DV438" s="340">
        <v>26.04</v>
      </c>
      <c r="DW438" s="340" t="s">
        <v>304</v>
      </c>
      <c r="DX438" s="1671"/>
      <c r="EB438" s="618"/>
      <c r="EC438" s="618"/>
      <c r="ED438" s="618"/>
      <c r="EE438" s="618"/>
      <c r="EF438" s="618"/>
      <c r="EG438" s="618"/>
      <c r="EH438" s="618"/>
      <c r="EI438" s="618"/>
      <c r="EJ438" s="618"/>
      <c r="EK438" s="618"/>
      <c r="EL438" s="618"/>
      <c r="EM438" s="618"/>
    </row>
    <row r="439" spans="6:143">
      <c r="F439" s="338">
        <v>18.010000000000002</v>
      </c>
      <c r="G439" s="338" t="s">
        <v>331</v>
      </c>
      <c r="L439" s="2481">
        <v>3.02</v>
      </c>
      <c r="M439" s="340" t="s">
        <v>297</v>
      </c>
      <c r="N439" s="1390"/>
      <c r="O439" s="2479"/>
      <c r="P439" s="2282"/>
      <c r="AA439" s="338">
        <v>119.11</v>
      </c>
      <c r="AB439" s="338" t="s">
        <v>316</v>
      </c>
      <c r="AG439" s="2297">
        <v>26.05</v>
      </c>
      <c r="AH439" s="2297" t="s">
        <v>285</v>
      </c>
      <c r="AI439" s="1390"/>
      <c r="AJ439" s="2282"/>
      <c r="AK439" s="2282"/>
      <c r="AL439" s="1037"/>
      <c r="AR439" s="338">
        <v>24.03</v>
      </c>
      <c r="AS439" s="338" t="s">
        <v>331</v>
      </c>
      <c r="AX439" s="340">
        <v>302.10000000000002</v>
      </c>
      <c r="AY439" s="340" t="s">
        <v>296</v>
      </c>
      <c r="BC439" s="341" t="str">
        <f t="array" ref="BC439">IFERROR(IF($BC$11="Yes",INDEX($AX$13:$AX$2950,SMALL(IF((County=$AY$13:$AY$2950),MATCH(ROW($AY$13:$AY$2950),ROW($AY$13:$AY$2950)),""),ROWS($A$13:$A497))),""),"")</f>
        <v/>
      </c>
      <c r="BH439" s="338">
        <v>109</v>
      </c>
      <c r="BI439" s="338" t="s">
        <v>344</v>
      </c>
      <c r="BN439" s="340">
        <v>24.21</v>
      </c>
      <c r="BO439" s="340" t="s">
        <v>324</v>
      </c>
      <c r="BP439" s="1385"/>
      <c r="BQ439" s="1388"/>
      <c r="BV439" s="338">
        <v>501</v>
      </c>
      <c r="BW439" s="338" t="s">
        <v>289</v>
      </c>
      <c r="CB439" s="340">
        <v>302.07</v>
      </c>
      <c r="CC439" s="340" t="s">
        <v>296</v>
      </c>
      <c r="CE439" s="341" t="str">
        <f t="array" ref="CE439">IFERROR(IF($CE$11="Metro",INDEX($BV$13:$BV$4972,SMALL(IF((County=$BW$13:$BW$4972),MATCH(ROW($BW$13:$BW$4972),ROW($BW$13:$BW$4972)),""),ROWS($A$13:$A497))),INDEX($BY$13:$BY$212,SMALL(IF((County=$BZ$13:$BZ$212),MATCH(ROW($BZ$13:$BZ$212),ROW($BZ$13:$BZ$212)),""),ROWS($A$13:$A497)))),"")</f>
        <v/>
      </c>
      <c r="CG439" s="341" t="str">
        <f t="array" ref="CG439">IFERROR(IF($CG$11="Yes",INDEX($CB$13:$CB$2950,SMALL(IF((County=$CC$13:$CC$2950),MATCH(ROW($CC$13:$CC$2950),ROW($CC$13:$CC$2950)),""),ROWS($A$13:$A497))),""),"")</f>
        <v/>
      </c>
      <c r="CL439" s="338">
        <v>12.02</v>
      </c>
      <c r="CM439" s="338" t="s">
        <v>276</v>
      </c>
      <c r="CR439" s="340">
        <v>24.22</v>
      </c>
      <c r="CS439" s="340" t="s">
        <v>324</v>
      </c>
      <c r="CT439" s="1384"/>
      <c r="CZ439" s="1795">
        <v>12</v>
      </c>
      <c r="DA439" s="338" t="s">
        <v>330</v>
      </c>
      <c r="DF439" s="340">
        <v>308.01</v>
      </c>
      <c r="DG439" s="340" t="s">
        <v>296</v>
      </c>
      <c r="DP439" s="236">
        <v>110.1</v>
      </c>
      <c r="DQ439" s="236" t="s">
        <v>331</v>
      </c>
      <c r="DV439" s="340">
        <v>26.04</v>
      </c>
      <c r="DW439" s="340" t="s">
        <v>329</v>
      </c>
      <c r="DX439" s="1671"/>
      <c r="EB439" s="618"/>
      <c r="EC439" s="618"/>
      <c r="ED439" s="618"/>
      <c r="EE439" s="618"/>
      <c r="EF439" s="618"/>
      <c r="EG439" s="618"/>
      <c r="EH439" s="618"/>
      <c r="EI439" s="618"/>
      <c r="EJ439" s="618"/>
      <c r="EK439" s="618"/>
      <c r="EL439" s="618"/>
      <c r="EM439" s="618"/>
    </row>
    <row r="440" spans="6:143">
      <c r="F440" s="338">
        <v>18.02</v>
      </c>
      <c r="G440" s="338" t="s">
        <v>331</v>
      </c>
      <c r="L440" s="2481">
        <v>4.01</v>
      </c>
      <c r="M440" s="340" t="s">
        <v>297</v>
      </c>
      <c r="N440" s="1390"/>
      <c r="O440" s="2479"/>
      <c r="P440" s="2282"/>
      <c r="AA440" s="338">
        <v>120</v>
      </c>
      <c r="AB440" s="338" t="s">
        <v>338</v>
      </c>
      <c r="AG440" s="2297">
        <v>26.05</v>
      </c>
      <c r="AH440" s="2297" t="s">
        <v>304</v>
      </c>
      <c r="AI440" s="1390"/>
      <c r="AJ440" s="2282"/>
      <c r="AK440" s="2282"/>
      <c r="AL440" s="1037"/>
      <c r="AR440" s="338">
        <v>24.04</v>
      </c>
      <c r="AS440" s="338" t="s">
        <v>331</v>
      </c>
      <c r="AX440" s="340">
        <v>303.06</v>
      </c>
      <c r="AY440" s="340" t="s">
        <v>296</v>
      </c>
      <c r="BC440" s="341" t="str">
        <f t="array" ref="BC440">IFERROR(IF($BC$11="Yes",INDEX($AX$13:$AX$2950,SMALL(IF((County=$AY$13:$AY$2950),MATCH(ROW($AY$13:$AY$2950),ROW($AY$13:$AY$2950)),""),ROWS($A$13:$A498))),""),"")</f>
        <v/>
      </c>
      <c r="BH440" s="338">
        <v>110</v>
      </c>
      <c r="BI440" s="338" t="s">
        <v>302</v>
      </c>
      <c r="BN440" s="340">
        <v>24.22</v>
      </c>
      <c r="BO440" s="340" t="s">
        <v>324</v>
      </c>
      <c r="BP440" s="1385"/>
      <c r="BQ440" s="1388"/>
      <c r="BV440" s="338">
        <v>502.04</v>
      </c>
      <c r="BW440" s="338" t="s">
        <v>289</v>
      </c>
      <c r="CB440" s="340">
        <v>302.08</v>
      </c>
      <c r="CC440" s="340" t="s">
        <v>296</v>
      </c>
      <c r="CE440" s="341" t="str">
        <f t="array" ref="CE440">IFERROR(IF($CE$11="Metro",INDEX($BV$13:$BV$4972,SMALL(IF((County=$BW$13:$BW$4972),MATCH(ROW($BW$13:$BW$4972),ROW($BW$13:$BW$4972)),""),ROWS($A$13:$A498))),INDEX($BY$13:$BY$212,SMALL(IF((County=$BZ$13:$BZ$212),MATCH(ROW($BZ$13:$BZ$212),ROW($BZ$13:$BZ$212)),""),ROWS($A$13:$A498)))),"")</f>
        <v/>
      </c>
      <c r="CG440" s="341" t="str">
        <f t="array" ref="CG440">IFERROR(IF($CG$11="Yes",INDEX($CB$13:$CB$2950,SMALL(IF((County=$CC$13:$CC$2950),MATCH(ROW($CC$13:$CC$2950),ROW($CC$13:$CC$2950)),""),ROWS($A$13:$A498))),""),"")</f>
        <v/>
      </c>
      <c r="CL440" s="236">
        <v>12.02</v>
      </c>
      <c r="CM440" s="236" t="s">
        <v>304</v>
      </c>
      <c r="CR440" s="340">
        <v>24.23</v>
      </c>
      <c r="CS440" s="340" t="s">
        <v>324</v>
      </c>
      <c r="CT440" s="1384"/>
      <c r="CZ440" s="1795">
        <v>18.04</v>
      </c>
      <c r="DA440" s="338" t="s">
        <v>330</v>
      </c>
      <c r="DF440" s="340">
        <v>308.02</v>
      </c>
      <c r="DG440" s="340" t="s">
        <v>296</v>
      </c>
      <c r="DP440" s="236">
        <v>110.11</v>
      </c>
      <c r="DQ440" s="236" t="s">
        <v>331</v>
      </c>
      <c r="DV440" s="340">
        <v>26.05</v>
      </c>
      <c r="DW440" s="340" t="s">
        <v>285</v>
      </c>
      <c r="DX440" s="1671"/>
      <c r="EB440" s="618"/>
      <c r="EC440" s="618"/>
      <c r="ED440" s="618"/>
      <c r="EE440" s="618"/>
      <c r="EF440" s="618"/>
      <c r="EG440" s="618"/>
      <c r="EH440" s="618"/>
      <c r="EI440" s="618"/>
      <c r="EJ440" s="618"/>
      <c r="EK440" s="618"/>
      <c r="EL440" s="618"/>
      <c r="EM440" s="618"/>
    </row>
    <row r="441" spans="6:143">
      <c r="F441" s="338">
        <v>18.03</v>
      </c>
      <c r="G441" s="338" t="s">
        <v>331</v>
      </c>
      <c r="L441" s="2481">
        <v>4.0199999999999996</v>
      </c>
      <c r="M441" s="340" t="s">
        <v>297</v>
      </c>
      <c r="N441" s="1390"/>
      <c r="O441" s="2479"/>
      <c r="P441" s="2282"/>
      <c r="AA441" s="338">
        <v>120.01</v>
      </c>
      <c r="AB441" s="338" t="s">
        <v>331</v>
      </c>
      <c r="AG441" s="2297">
        <v>26.05</v>
      </c>
      <c r="AH441" s="2297" t="s">
        <v>324</v>
      </c>
      <c r="AI441" s="1390"/>
      <c r="AJ441" s="2282"/>
      <c r="AK441" s="2282"/>
      <c r="AL441" s="1037"/>
      <c r="AR441" s="338">
        <v>25.01</v>
      </c>
      <c r="AS441" s="338" t="s">
        <v>331</v>
      </c>
      <c r="AX441" s="340">
        <v>306</v>
      </c>
      <c r="AY441" s="340" t="s">
        <v>296</v>
      </c>
      <c r="BC441" s="341" t="str">
        <f t="array" ref="BC441">IFERROR(IF($BC$11="Yes",INDEX($AX$13:$AX$2950,SMALL(IF((County=$AY$13:$AY$2950),MATCH(ROW($AY$13:$AY$2950),ROW($AY$13:$AY$2950)),""),ROWS($A$13:$A499))),""),"")</f>
        <v/>
      </c>
      <c r="BH441" s="338">
        <v>110</v>
      </c>
      <c r="BI441" s="338" t="s">
        <v>338</v>
      </c>
      <c r="BN441" s="340">
        <v>24.23</v>
      </c>
      <c r="BO441" s="340" t="s">
        <v>324</v>
      </c>
      <c r="BP441" s="1385"/>
      <c r="BQ441" s="1388"/>
      <c r="BV441" s="338">
        <v>502.05</v>
      </c>
      <c r="BW441" s="338" t="s">
        <v>289</v>
      </c>
      <c r="CB441" s="340">
        <v>302.08999999999997</v>
      </c>
      <c r="CC441" s="340" t="s">
        <v>296</v>
      </c>
      <c r="CE441" s="341" t="str">
        <f t="array" ref="CE441">IFERROR(IF($CE$11="Metro",INDEX($BV$13:$BV$4972,SMALL(IF((County=$BW$13:$BW$4972),MATCH(ROW($BW$13:$BW$4972),ROW($BW$13:$BW$4972)),""),ROWS($A$13:$A499))),INDEX($BY$13:$BY$212,SMALL(IF((County=$BZ$13:$BZ$212),MATCH(ROW($BZ$13:$BZ$212),ROW($BZ$13:$BZ$212)),""),ROWS($A$13:$A499)))),"")</f>
        <v/>
      </c>
      <c r="CG441" s="341" t="str">
        <f t="array" ref="CG441">IFERROR(IF($CG$11="Yes",INDEX($CB$13:$CB$2950,SMALL(IF((County=$CC$13:$CC$2950),MATCH(ROW($CC$13:$CC$2950),ROW($CC$13:$CC$2950)),""),ROWS($A$13:$A499))),""),"")</f>
        <v/>
      </c>
      <c r="CL441" s="236">
        <v>12.02</v>
      </c>
      <c r="CM441" s="236" t="s">
        <v>328</v>
      </c>
      <c r="CR441" s="340">
        <v>25</v>
      </c>
      <c r="CS441" s="340" t="s">
        <v>285</v>
      </c>
      <c r="CT441" s="1384"/>
      <c r="CZ441" s="1795">
        <v>18.05</v>
      </c>
      <c r="DA441" s="338" t="s">
        <v>330</v>
      </c>
      <c r="DF441" s="340">
        <v>309.04000000000002</v>
      </c>
      <c r="DG441" s="340" t="s">
        <v>296</v>
      </c>
      <c r="DP441" s="236">
        <v>110.18</v>
      </c>
      <c r="DQ441" s="236" t="s">
        <v>316</v>
      </c>
      <c r="DV441" s="340">
        <v>26.05</v>
      </c>
      <c r="DW441" s="340" t="s">
        <v>304</v>
      </c>
      <c r="DX441" s="1671"/>
      <c r="EB441" s="618"/>
      <c r="EC441" s="618"/>
      <c r="ED441" s="618"/>
      <c r="EE441" s="618"/>
      <c r="EF441" s="618"/>
      <c r="EG441" s="618"/>
      <c r="EH441" s="618"/>
      <c r="EI441" s="618"/>
      <c r="EJ441" s="618"/>
      <c r="EK441" s="618"/>
      <c r="EL441" s="618"/>
      <c r="EM441" s="618"/>
    </row>
    <row r="442" spans="6:143">
      <c r="F442" s="338">
        <v>19.010000000000002</v>
      </c>
      <c r="G442" s="338" t="s">
        <v>331</v>
      </c>
      <c r="L442" s="2481">
        <v>5</v>
      </c>
      <c r="M442" s="340" t="s">
        <v>297</v>
      </c>
      <c r="N442" s="1390"/>
      <c r="O442" s="2479"/>
      <c r="P442" s="2282"/>
      <c r="AA442" s="338">
        <v>120.02</v>
      </c>
      <c r="AB442" s="338" t="s">
        <v>316</v>
      </c>
      <c r="AG442" s="2297">
        <v>26.05</v>
      </c>
      <c r="AH442" s="2297" t="s">
        <v>329</v>
      </c>
      <c r="AI442" s="1390"/>
      <c r="AJ442" s="2282"/>
      <c r="AK442" s="2282"/>
      <c r="AL442" s="1037"/>
      <c r="AR442" s="338">
        <v>25.02</v>
      </c>
      <c r="AS442" s="338" t="s">
        <v>331</v>
      </c>
      <c r="AX442" s="340">
        <v>307.01</v>
      </c>
      <c r="AY442" s="340" t="s">
        <v>296</v>
      </c>
      <c r="BC442" s="341" t="str">
        <f t="array" ref="BC442">IFERROR(IF($BC$11="Yes",INDEX($AX$13:$AX$2950,SMALL(IF((County=$AY$13:$AY$2950),MATCH(ROW($AY$13:$AY$2950),ROW($AY$13:$AY$2950)),""),ROWS($A$13:$A500))),""),"")</f>
        <v/>
      </c>
      <c r="BH442" s="338">
        <v>110</v>
      </c>
      <c r="BI442" s="338" t="s">
        <v>344</v>
      </c>
      <c r="BN442" s="340">
        <v>25</v>
      </c>
      <c r="BO442" s="340" t="s">
        <v>285</v>
      </c>
      <c r="BP442" s="1385"/>
      <c r="BQ442" s="1388"/>
      <c r="BV442" s="338">
        <v>502.06</v>
      </c>
      <c r="BW442" s="338" t="s">
        <v>289</v>
      </c>
      <c r="CB442" s="340">
        <v>302.10000000000002</v>
      </c>
      <c r="CC442" s="340" t="s">
        <v>296</v>
      </c>
      <c r="CE442" s="341" t="str">
        <f t="array" ref="CE442">IFERROR(IF($CE$11="Metro",INDEX($BV$13:$BV$4972,SMALL(IF((County=$BW$13:$BW$4972),MATCH(ROW($BW$13:$BW$4972),ROW($BW$13:$BW$4972)),""),ROWS($A$13:$A500))),INDEX($BY$13:$BY$212,SMALL(IF((County=$BZ$13:$BZ$212),MATCH(ROW($BZ$13:$BZ$212),ROW($BZ$13:$BZ$212)),""),ROWS($A$13:$A500)))),"")</f>
        <v/>
      </c>
      <c r="CG442" s="341" t="str">
        <f t="array" ref="CG442">IFERROR(IF($CG$11="Yes",INDEX($CB$13:$CB$2950,SMALL(IF((County=$CC$13:$CC$2950),MATCH(ROW($CC$13:$CC$2950),ROW($CC$13:$CC$2950)),""),ROWS($A$13:$A500))),""),"")</f>
        <v/>
      </c>
      <c r="CL442" s="236">
        <v>12.02</v>
      </c>
      <c r="CM442" s="236" t="s">
        <v>347</v>
      </c>
      <c r="CR442" s="340">
        <v>25</v>
      </c>
      <c r="CS442" s="340" t="s">
        <v>304</v>
      </c>
      <c r="CT442" s="1384"/>
      <c r="CZ442" s="1795">
        <v>1.0900000000000001</v>
      </c>
      <c r="DA442" s="338" t="s">
        <v>331</v>
      </c>
      <c r="DF442" s="340">
        <v>309.05</v>
      </c>
      <c r="DG442" s="340" t="s">
        <v>296</v>
      </c>
      <c r="DP442" s="236">
        <v>111</v>
      </c>
      <c r="DQ442" s="236" t="s">
        <v>302</v>
      </c>
      <c r="DV442" s="340">
        <v>26.05</v>
      </c>
      <c r="DW442" s="340" t="s">
        <v>324</v>
      </c>
      <c r="DX442" s="1671"/>
      <c r="EB442" s="618"/>
      <c r="EC442" s="618"/>
      <c r="ED442" s="618"/>
      <c r="EE442" s="618"/>
      <c r="EF442" s="618"/>
      <c r="EG442" s="618"/>
      <c r="EH442" s="618"/>
      <c r="EI442" s="618"/>
      <c r="EJ442" s="618"/>
      <c r="EK442" s="618"/>
      <c r="EL442" s="618"/>
      <c r="EM442" s="618"/>
    </row>
    <row r="443" spans="6:143">
      <c r="F443" s="338">
        <v>19.03</v>
      </c>
      <c r="G443" s="338" t="s">
        <v>331</v>
      </c>
      <c r="L443" s="2481">
        <v>6</v>
      </c>
      <c r="M443" s="340" t="s">
        <v>297</v>
      </c>
      <c r="N443" s="1390"/>
      <c r="O443" s="2479"/>
      <c r="P443" s="2282"/>
      <c r="AA443" s="338">
        <v>120.02</v>
      </c>
      <c r="AB443" s="338" t="s">
        <v>331</v>
      </c>
      <c r="AG443" s="2297">
        <v>26.06</v>
      </c>
      <c r="AH443" s="2297" t="s">
        <v>304</v>
      </c>
      <c r="AI443" s="1390"/>
      <c r="AJ443" s="2282"/>
      <c r="AK443" s="2282"/>
      <c r="AL443" s="1037"/>
      <c r="AR443" s="338">
        <v>28</v>
      </c>
      <c r="AS443" s="338" t="s">
        <v>331</v>
      </c>
      <c r="AX443" s="340">
        <v>307.04000000000002</v>
      </c>
      <c r="AY443" s="340" t="s">
        <v>296</v>
      </c>
      <c r="BC443" s="341" t="str">
        <f t="array" ref="BC443">IFERROR(IF($BC$11="Yes",INDEX($AX$13:$AX$2950,SMALL(IF((County=$AY$13:$AY$2950),MATCH(ROW($AY$13:$AY$2950),ROW($AY$13:$AY$2950)),""),ROWS($A$13:$A501))),""),"")</f>
        <v/>
      </c>
      <c r="BH443" s="338">
        <v>110.1</v>
      </c>
      <c r="BI443" s="338" t="s">
        <v>316</v>
      </c>
      <c r="BN443" s="340">
        <v>25</v>
      </c>
      <c r="BO443" s="340" t="s">
        <v>304</v>
      </c>
      <c r="BP443" s="1385"/>
      <c r="BQ443" s="1388"/>
      <c r="BV443" s="338">
        <v>502.07</v>
      </c>
      <c r="BW443" s="338" t="s">
        <v>289</v>
      </c>
      <c r="CB443" s="340">
        <v>303.06</v>
      </c>
      <c r="CC443" s="340" t="s">
        <v>296</v>
      </c>
      <c r="CE443" s="341" t="str">
        <f t="array" ref="CE443">IFERROR(IF($CE$11="Metro",INDEX($BV$13:$BV$4972,SMALL(IF((County=$BW$13:$BW$4972),MATCH(ROW($BW$13:$BW$4972),ROW($BW$13:$BW$4972)),""),ROWS($A$13:$A501))),INDEX($BY$13:$BY$212,SMALL(IF((County=$BZ$13:$BZ$212),MATCH(ROW($BZ$13:$BZ$212),ROW($BZ$13:$BZ$212)),""),ROWS($A$13:$A501)))),"")</f>
        <v/>
      </c>
      <c r="CG443" s="341" t="str">
        <f t="array" ref="CG443">IFERROR(IF($CG$11="Yes",INDEX($CB$13:$CB$2950,SMALL(IF((County=$CC$13:$CC$2950),MATCH(ROW($CC$13:$CC$2950),ROW($CC$13:$CC$2950)),""),ROWS($A$13:$A501))),""),"")</f>
        <v/>
      </c>
      <c r="CL443" s="338">
        <v>12.03</v>
      </c>
      <c r="CM443" s="338" t="s">
        <v>276</v>
      </c>
      <c r="CR443" s="340">
        <v>25.02</v>
      </c>
      <c r="CS443" s="340" t="s">
        <v>302</v>
      </c>
      <c r="CT443" s="1384"/>
      <c r="CZ443" s="1795">
        <v>1.26</v>
      </c>
      <c r="DA443" s="338" t="s">
        <v>331</v>
      </c>
      <c r="DF443" s="340">
        <v>312.02</v>
      </c>
      <c r="DG443" s="340" t="s">
        <v>296</v>
      </c>
      <c r="DP443" s="236">
        <v>111.03</v>
      </c>
      <c r="DQ443" s="236" t="s">
        <v>297</v>
      </c>
      <c r="DV443" s="340">
        <v>26.05</v>
      </c>
      <c r="DW443" s="340" t="s">
        <v>329</v>
      </c>
      <c r="DX443" s="1671"/>
      <c r="EB443" s="618"/>
      <c r="EC443" s="618"/>
      <c r="ED443" s="618"/>
      <c r="EE443" s="618"/>
      <c r="EF443" s="618"/>
      <c r="EG443" s="618"/>
      <c r="EH443" s="618"/>
      <c r="EI443" s="618"/>
      <c r="EJ443" s="618"/>
      <c r="EK443" s="618"/>
      <c r="EL443" s="618"/>
      <c r="EM443" s="618"/>
    </row>
    <row r="444" spans="6:143">
      <c r="F444" s="338">
        <v>19.04</v>
      </c>
      <c r="G444" s="338" t="s">
        <v>331</v>
      </c>
      <c r="L444" s="2481">
        <v>101.02</v>
      </c>
      <c r="M444" s="340" t="s">
        <v>297</v>
      </c>
      <c r="N444" s="1390"/>
      <c r="O444" s="2479"/>
      <c r="P444" s="2282"/>
      <c r="AA444" s="338">
        <v>120.02</v>
      </c>
      <c r="AB444" s="338" t="s">
        <v>344</v>
      </c>
      <c r="AG444" s="2297">
        <v>26.06</v>
      </c>
      <c r="AH444" s="2297" t="s">
        <v>324</v>
      </c>
      <c r="AI444" s="1390"/>
      <c r="AJ444" s="2282"/>
      <c r="AK444" s="2282"/>
      <c r="AL444" s="1037"/>
      <c r="AR444" s="338">
        <v>29</v>
      </c>
      <c r="AS444" s="338" t="s">
        <v>331</v>
      </c>
      <c r="AX444" s="340">
        <v>307.05</v>
      </c>
      <c r="AY444" s="340" t="s">
        <v>296</v>
      </c>
      <c r="BC444" s="341" t="str">
        <f t="array" ref="BC444">IFERROR(IF($BC$11="Yes",INDEX($AX$13:$AX$2950,SMALL(IF((County=$AY$13:$AY$2950),MATCH(ROW($AY$13:$AY$2950),ROW($AY$13:$AY$2950)),""),ROWS($A$13:$A502))),""),"")</f>
        <v/>
      </c>
      <c r="BH444" s="338">
        <v>110.1</v>
      </c>
      <c r="BI444" s="338" t="s">
        <v>331</v>
      </c>
      <c r="BN444" s="340">
        <v>25.02</v>
      </c>
      <c r="BO444" s="340" t="s">
        <v>302</v>
      </c>
      <c r="BP444" s="1385"/>
      <c r="BQ444" s="1388"/>
      <c r="BV444" s="338">
        <v>502.08</v>
      </c>
      <c r="BW444" s="338" t="s">
        <v>289</v>
      </c>
      <c r="CB444" s="340">
        <v>305</v>
      </c>
      <c r="CC444" s="340" t="s">
        <v>296</v>
      </c>
      <c r="CE444" s="341" t="str">
        <f t="array" ref="CE444">IFERROR(IF($CE$11="Metro",INDEX($BV$13:$BV$4972,SMALL(IF((County=$BW$13:$BW$4972),MATCH(ROW($BW$13:$BW$4972),ROW($BW$13:$BW$4972)),""),ROWS($A$13:$A502))),INDEX($BY$13:$BY$212,SMALL(IF((County=$BZ$13:$BZ$212),MATCH(ROW($BZ$13:$BZ$212),ROW($BZ$13:$BZ$212)),""),ROWS($A$13:$A502)))),"")</f>
        <v/>
      </c>
      <c r="CG444" s="341" t="str">
        <f t="array" ref="CG444">IFERROR(IF($CG$11="Yes",INDEX($CB$13:$CB$2950,SMALL(IF((County=$CC$13:$CC$2950),MATCH(ROW($CC$13:$CC$2950),ROW($CC$13:$CC$2950)),""),ROWS($A$13:$A502))),""),"")</f>
        <v/>
      </c>
      <c r="CL444" s="236">
        <v>12.03</v>
      </c>
      <c r="CM444" s="236" t="s">
        <v>323</v>
      </c>
      <c r="CR444" s="340">
        <v>25.03</v>
      </c>
      <c r="CS444" s="340" t="s">
        <v>329</v>
      </c>
      <c r="CT444" s="1384"/>
      <c r="CZ444" s="1795">
        <v>1.32</v>
      </c>
      <c r="DA444" s="338" t="s">
        <v>331</v>
      </c>
      <c r="DF444" s="340">
        <v>312.02999999999997</v>
      </c>
      <c r="DG444" s="340" t="s">
        <v>296</v>
      </c>
      <c r="DP444" s="236">
        <v>112</v>
      </c>
      <c r="DQ444" s="236" t="s">
        <v>302</v>
      </c>
      <c r="DV444" s="340">
        <v>26.06</v>
      </c>
      <c r="DW444" s="340" t="s">
        <v>285</v>
      </c>
      <c r="DX444" s="1671"/>
      <c r="EB444" s="618"/>
      <c r="EC444" s="618"/>
      <c r="ED444" s="618"/>
      <c r="EE444" s="618"/>
      <c r="EF444" s="618"/>
      <c r="EG444" s="618"/>
      <c r="EH444" s="618"/>
      <c r="EI444" s="618"/>
      <c r="EJ444" s="618"/>
      <c r="EK444" s="618"/>
      <c r="EL444" s="618"/>
      <c r="EM444" s="618"/>
    </row>
    <row r="445" spans="6:143">
      <c r="F445" s="338">
        <v>20.03</v>
      </c>
      <c r="G445" s="338" t="s">
        <v>331</v>
      </c>
      <c r="L445" s="2481">
        <v>101.07</v>
      </c>
      <c r="M445" s="340" t="s">
        <v>297</v>
      </c>
      <c r="N445" s="1390"/>
      <c r="O445" s="2479"/>
      <c r="P445" s="2282"/>
      <c r="AA445" s="338">
        <v>121</v>
      </c>
      <c r="AB445" s="338" t="s">
        <v>302</v>
      </c>
      <c r="AG445" s="2297">
        <v>26.07</v>
      </c>
      <c r="AH445" s="2297" t="s">
        <v>285</v>
      </c>
      <c r="AI445" s="1390"/>
      <c r="AJ445" s="2282"/>
      <c r="AK445" s="2282"/>
      <c r="AL445" s="1037"/>
      <c r="AR445" s="338">
        <v>30.01</v>
      </c>
      <c r="AS445" s="338" t="s">
        <v>331</v>
      </c>
      <c r="AX445" s="340">
        <v>307.06</v>
      </c>
      <c r="AY445" s="340" t="s">
        <v>296</v>
      </c>
      <c r="BC445" s="341" t="str">
        <f t="array" ref="BC445">IFERROR(IF($BC$11="Yes",INDEX($AX$13:$AX$2950,SMALL(IF((County=$AY$13:$AY$2950),MATCH(ROW($AY$13:$AY$2950),ROW($AY$13:$AY$2950)),""),ROWS($A$13:$A503))),""),"")</f>
        <v/>
      </c>
      <c r="BH445" s="338">
        <v>110.11</v>
      </c>
      <c r="BI445" s="338" t="s">
        <v>331</v>
      </c>
      <c r="BN445" s="340">
        <v>25.03</v>
      </c>
      <c r="BO445" s="340" t="s">
        <v>329</v>
      </c>
      <c r="BP445" s="1385"/>
      <c r="BQ445" s="1388"/>
      <c r="BV445" s="338">
        <v>503.01</v>
      </c>
      <c r="BW445" s="338" t="s">
        <v>289</v>
      </c>
      <c r="CB445" s="340">
        <v>307.01</v>
      </c>
      <c r="CC445" s="340" t="s">
        <v>296</v>
      </c>
      <c r="CE445" s="341" t="str">
        <f t="array" ref="CE445">IFERROR(IF($CE$11="Metro",INDEX($BV$13:$BV$4972,SMALL(IF((County=$BW$13:$BW$4972),MATCH(ROW($BW$13:$BW$4972),ROW($BW$13:$BW$4972)),""),ROWS($A$13:$A503))),INDEX($BY$13:$BY$212,SMALL(IF((County=$BZ$13:$BZ$212),MATCH(ROW($BZ$13:$BZ$212),ROW($BZ$13:$BZ$212)),""),ROWS($A$13:$A503)))),"")</f>
        <v/>
      </c>
      <c r="CG445" s="341" t="str">
        <f t="array" ref="CG445">IFERROR(IF($CG$11="Yes",INDEX($CB$13:$CB$2950,SMALL(IF((County=$CC$13:$CC$2950),MATCH(ROW($CC$13:$CC$2950),ROW($CC$13:$CC$2950)),""),ROWS($A$13:$A503))),""),"")</f>
        <v/>
      </c>
      <c r="CL445" s="236">
        <v>12.03</v>
      </c>
      <c r="CM445" s="236" t="s">
        <v>328</v>
      </c>
      <c r="CR445" s="340">
        <v>25.04</v>
      </c>
      <c r="CS445" s="340" t="s">
        <v>329</v>
      </c>
      <c r="CT445" s="1384"/>
      <c r="CZ445" s="1795">
        <v>2.06</v>
      </c>
      <c r="DA445" s="338" t="s">
        <v>331</v>
      </c>
      <c r="DF445" s="340">
        <v>313.02</v>
      </c>
      <c r="DG445" s="340" t="s">
        <v>296</v>
      </c>
      <c r="DP445" s="236">
        <v>112.02</v>
      </c>
      <c r="DQ445" s="236" t="s">
        <v>344</v>
      </c>
      <c r="DV445" s="340">
        <v>26.06</v>
      </c>
      <c r="DW445" s="340" t="s">
        <v>304</v>
      </c>
      <c r="DX445" s="1671"/>
      <c r="EB445" s="618"/>
      <c r="EC445" s="618"/>
      <c r="ED445" s="618"/>
      <c r="EE445" s="618"/>
      <c r="EF445" s="618"/>
      <c r="EG445" s="618"/>
      <c r="EH445" s="618"/>
      <c r="EI445" s="618"/>
      <c r="EJ445" s="618"/>
      <c r="EK445" s="618"/>
      <c r="EL445" s="618"/>
      <c r="EM445" s="618"/>
    </row>
    <row r="446" spans="6:143">
      <c r="F446" s="338">
        <v>20.04</v>
      </c>
      <c r="G446" s="338" t="s">
        <v>331</v>
      </c>
      <c r="L446" s="2481">
        <v>101.08</v>
      </c>
      <c r="M446" s="340" t="s">
        <v>297</v>
      </c>
      <c r="N446" s="1390"/>
      <c r="O446" s="2479"/>
      <c r="P446" s="2282"/>
      <c r="AA446" s="338">
        <v>121</v>
      </c>
      <c r="AB446" s="338" t="s">
        <v>338</v>
      </c>
      <c r="AG446" s="2297">
        <v>26.07</v>
      </c>
      <c r="AH446" s="2297" t="s">
        <v>304</v>
      </c>
      <c r="AI446" s="1390"/>
      <c r="AJ446" s="2282"/>
      <c r="AK446" s="2282"/>
      <c r="AL446" s="1037"/>
      <c r="AR446" s="338">
        <v>30.04</v>
      </c>
      <c r="AS446" s="338" t="s">
        <v>331</v>
      </c>
      <c r="AX446" s="340">
        <v>307.07</v>
      </c>
      <c r="AY446" s="340" t="s">
        <v>296</v>
      </c>
      <c r="BC446" s="341" t="str">
        <f t="array" ref="BC446">IFERROR(IF($BC$11="Yes",INDEX($AX$13:$AX$2950,SMALL(IF((County=$AY$13:$AY$2950),MATCH(ROW($AY$13:$AY$2950),ROW($AY$13:$AY$2950)),""),ROWS($A$13:$A504))),""),"")</f>
        <v/>
      </c>
      <c r="BH446" s="338">
        <v>111</v>
      </c>
      <c r="BI446" s="338" t="s">
        <v>302</v>
      </c>
      <c r="BN446" s="340">
        <v>25.04</v>
      </c>
      <c r="BO446" s="340" t="s">
        <v>329</v>
      </c>
      <c r="BP446" s="1385"/>
      <c r="BQ446" s="1389"/>
      <c r="BR446" s="6"/>
      <c r="BV446" s="338">
        <v>503.06</v>
      </c>
      <c r="BW446" s="338" t="s">
        <v>289</v>
      </c>
      <c r="CB446" s="340">
        <v>307.04000000000002</v>
      </c>
      <c r="CC446" s="340" t="s">
        <v>296</v>
      </c>
      <c r="CE446" s="341" t="str">
        <f t="array" ref="CE446">IFERROR(IF($CE$11="Metro",INDEX($BV$13:$BV$4972,SMALL(IF((County=$BW$13:$BW$4972),MATCH(ROW($BW$13:$BW$4972),ROW($BW$13:$BW$4972)),""),ROWS($A$13:$A504))),INDEX($BY$13:$BY$212,SMALL(IF((County=$BZ$13:$BZ$212),MATCH(ROW($BZ$13:$BZ$212),ROW($BZ$13:$BZ$212)),""),ROWS($A$13:$A504)))),"")</f>
        <v/>
      </c>
      <c r="CG446" s="341" t="str">
        <f t="array" ref="CG446">IFERROR(IF($CG$11="Yes",INDEX($CB$13:$CB$2950,SMALL(IF((County=$CC$13:$CC$2950),MATCH(ROW($CC$13:$CC$2950),ROW($CC$13:$CC$2950)),""),ROWS($A$13:$A504))),""),"")</f>
        <v/>
      </c>
      <c r="CL446" s="236">
        <v>12.03</v>
      </c>
      <c r="CM446" s="236" t="s">
        <v>347</v>
      </c>
      <c r="CR446" s="340">
        <v>25.05</v>
      </c>
      <c r="CS446" s="340" t="s">
        <v>329</v>
      </c>
      <c r="CT446" s="1384"/>
      <c r="CZ446" s="1795">
        <v>2.12</v>
      </c>
      <c r="DA446" s="338" t="s">
        <v>331</v>
      </c>
      <c r="DF446" s="340">
        <v>9800</v>
      </c>
      <c r="DG446" s="340" t="s">
        <v>296</v>
      </c>
      <c r="DP446" s="236">
        <v>112.03</v>
      </c>
      <c r="DQ446" s="236" t="s">
        <v>344</v>
      </c>
      <c r="DV446" s="340">
        <v>26.06</v>
      </c>
      <c r="DW446" s="340" t="s">
        <v>324</v>
      </c>
      <c r="DX446" s="1671"/>
      <c r="EB446" s="618"/>
      <c r="EC446" s="618"/>
      <c r="ED446" s="618"/>
      <c r="EE446" s="618"/>
      <c r="EF446" s="618"/>
      <c r="EG446" s="618"/>
      <c r="EH446" s="618"/>
      <c r="EI446" s="618"/>
      <c r="EJ446" s="618"/>
      <c r="EK446" s="618"/>
      <c r="EL446" s="618"/>
      <c r="EM446" s="618"/>
    </row>
    <row r="447" spans="6:143">
      <c r="F447" s="338">
        <v>22.02</v>
      </c>
      <c r="G447" s="338" t="s">
        <v>331</v>
      </c>
      <c r="L447" s="2481">
        <v>101.09</v>
      </c>
      <c r="M447" s="340" t="s">
        <v>297</v>
      </c>
      <c r="N447" s="1390"/>
      <c r="O447" s="2479"/>
      <c r="P447" s="2282"/>
      <c r="AA447" s="338">
        <v>121.07</v>
      </c>
      <c r="AB447" s="338" t="s">
        <v>316</v>
      </c>
      <c r="AG447" s="2297">
        <v>26.08</v>
      </c>
      <c r="AH447" s="2297" t="s">
        <v>285</v>
      </c>
      <c r="AI447" s="1390"/>
      <c r="AJ447" s="2282"/>
      <c r="AK447" s="2282"/>
      <c r="AL447" s="1037"/>
      <c r="AR447" s="338">
        <v>30.05</v>
      </c>
      <c r="AS447" s="338" t="s">
        <v>331</v>
      </c>
      <c r="AX447" s="340">
        <v>307.08</v>
      </c>
      <c r="AY447" s="340" t="s">
        <v>296</v>
      </c>
      <c r="BC447" s="341" t="str">
        <f t="array" ref="BC447">IFERROR(IF($BC$11="Yes",INDEX($AX$13:$AX$2950,SMALL(IF((County=$AY$13:$AY$2950),MATCH(ROW($AY$13:$AY$2950),ROW($AY$13:$AY$2950)),""),ROWS($A$13:$A505))),""),"")</f>
        <v/>
      </c>
      <c r="BH447" s="338">
        <v>111</v>
      </c>
      <c r="BI447" s="338" t="s">
        <v>344</v>
      </c>
      <c r="BN447" s="340">
        <v>25.04</v>
      </c>
      <c r="BO447" s="340" t="s">
        <v>347</v>
      </c>
      <c r="BP447" s="1385"/>
      <c r="BQ447" s="1389"/>
      <c r="BR447" s="6"/>
      <c r="BV447" s="338">
        <v>503.08</v>
      </c>
      <c r="BW447" s="338" t="s">
        <v>289</v>
      </c>
      <c r="CB447" s="340">
        <v>307.05</v>
      </c>
      <c r="CC447" s="340" t="s">
        <v>296</v>
      </c>
      <c r="CE447" s="341" t="str">
        <f t="array" ref="CE447">IFERROR(IF($CE$11="Metro",INDEX($BV$13:$BV$4972,SMALL(IF((County=$BW$13:$BW$4972),MATCH(ROW($BW$13:$BW$4972),ROW($BW$13:$BW$4972)),""),ROWS($A$13:$A505))),INDEX($BY$13:$BY$212,SMALL(IF((County=$BZ$13:$BZ$212),MATCH(ROW($BZ$13:$BZ$212),ROW($BZ$13:$BZ$212)),""),ROWS($A$13:$A505)))),"")</f>
        <v/>
      </c>
      <c r="CG447" s="341" t="str">
        <f t="array" ref="CG447">IFERROR(IF($CG$11="Yes",INDEX($CB$13:$CB$2950,SMALL(IF((County=$CC$13:$CC$2950),MATCH(ROW($CC$13:$CC$2950),ROW($CC$13:$CC$2950)),""),ROWS($A$13:$A505))),""),"")</f>
        <v/>
      </c>
      <c r="CL447" s="236">
        <v>12.04</v>
      </c>
      <c r="CM447" s="236" t="s">
        <v>323</v>
      </c>
      <c r="CR447" s="340">
        <v>25.05</v>
      </c>
      <c r="CS447" s="340" t="s">
        <v>347</v>
      </c>
      <c r="CT447" s="1384"/>
      <c r="CZ447" s="1795">
        <v>2.1800000000000002</v>
      </c>
      <c r="DA447" s="338" t="s">
        <v>331</v>
      </c>
      <c r="DF447" s="340">
        <v>1.01</v>
      </c>
      <c r="DG447" s="340" t="s">
        <v>297</v>
      </c>
      <c r="DP447" s="236">
        <v>112.04</v>
      </c>
      <c r="DQ447" s="236" t="s">
        <v>297</v>
      </c>
      <c r="DV447" s="340">
        <v>26.07</v>
      </c>
      <c r="DW447" s="340" t="s">
        <v>285</v>
      </c>
      <c r="DX447" s="1671"/>
      <c r="EB447" s="618"/>
      <c r="EC447" s="618"/>
      <c r="ED447" s="618"/>
      <c r="EE447" s="618"/>
      <c r="EF447" s="618"/>
      <c r="EG447" s="618"/>
      <c r="EH447" s="618"/>
      <c r="EI447" s="618"/>
      <c r="EJ447" s="618"/>
      <c r="EK447" s="618"/>
      <c r="EL447" s="618"/>
      <c r="EM447" s="618"/>
    </row>
    <row r="448" spans="6:143">
      <c r="F448" s="338">
        <v>23</v>
      </c>
      <c r="G448" s="338" t="s">
        <v>331</v>
      </c>
      <c r="L448" s="2481">
        <v>101.11</v>
      </c>
      <c r="M448" s="340" t="s">
        <v>297</v>
      </c>
      <c r="N448" s="1390"/>
      <c r="O448" s="2479"/>
      <c r="P448" s="2282"/>
      <c r="AA448" s="338">
        <v>121.09</v>
      </c>
      <c r="AB448" s="338" t="s">
        <v>316</v>
      </c>
      <c r="AG448" s="2297">
        <v>26.08</v>
      </c>
      <c r="AH448" s="2297" t="s">
        <v>329</v>
      </c>
      <c r="AI448" s="1390"/>
      <c r="AJ448" s="2282"/>
      <c r="AK448" s="2282"/>
      <c r="AL448" s="1037"/>
      <c r="AR448" s="338">
        <v>30.06</v>
      </c>
      <c r="AS448" s="338" t="s">
        <v>331</v>
      </c>
      <c r="AX448" s="340">
        <v>308.01</v>
      </c>
      <c r="AY448" s="340" t="s">
        <v>296</v>
      </c>
      <c r="BC448" s="341" t="str">
        <f t="array" ref="BC448">IFERROR(IF($BC$11="Yes",INDEX($AX$13:$AX$2950,SMALL(IF((County=$AY$13:$AY$2950),MATCH(ROW($AY$13:$AY$2950),ROW($AY$13:$AY$2950)),""),ROWS($A$13:$A506))),""),"")</f>
        <v/>
      </c>
      <c r="BH448" s="338">
        <v>111.03</v>
      </c>
      <c r="BI448" s="338" t="s">
        <v>297</v>
      </c>
      <c r="BN448" s="340">
        <v>25.05</v>
      </c>
      <c r="BO448" s="340" t="s">
        <v>324</v>
      </c>
      <c r="BP448" s="1385"/>
      <c r="BQ448" s="1389"/>
      <c r="BR448" s="6"/>
      <c r="BV448" s="338">
        <v>503.09</v>
      </c>
      <c r="BW448" s="338" t="s">
        <v>289</v>
      </c>
      <c r="CB448" s="340">
        <v>307.06</v>
      </c>
      <c r="CC448" s="340" t="s">
        <v>296</v>
      </c>
      <c r="CE448" s="341" t="str">
        <f t="array" ref="CE448">IFERROR(IF($CE$11="Metro",INDEX($BV$13:$BV$4972,SMALL(IF((County=$BW$13:$BW$4972),MATCH(ROW($BW$13:$BW$4972),ROW($BW$13:$BW$4972)),""),ROWS($A$13:$A506))),INDEX($BY$13:$BY$212,SMALL(IF((County=$BZ$13:$BZ$212),MATCH(ROW($BZ$13:$BZ$212),ROW($BZ$13:$BZ$212)),""),ROWS($A$13:$A506)))),"")</f>
        <v/>
      </c>
      <c r="CG448" s="341" t="str">
        <f t="array" ref="CG448">IFERROR(IF($CG$11="Yes",INDEX($CB$13:$CB$2950,SMALL(IF((County=$CC$13:$CC$2950),MATCH(ROW($CC$13:$CC$2950),ROW($CC$13:$CC$2950)),""),ROWS($A$13:$A506))),""),"")</f>
        <v/>
      </c>
      <c r="CL448" s="236">
        <v>12.04</v>
      </c>
      <c r="CM448" s="236" t="s">
        <v>328</v>
      </c>
      <c r="CR448" s="340">
        <v>25.07</v>
      </c>
      <c r="CS448" s="340" t="s">
        <v>324</v>
      </c>
      <c r="CT448" s="1384"/>
      <c r="CZ448" s="1795">
        <v>2.19</v>
      </c>
      <c r="DA448" s="338" t="s">
        <v>331</v>
      </c>
      <c r="DF448" s="340">
        <v>2</v>
      </c>
      <c r="DG448" s="340" t="s">
        <v>297</v>
      </c>
      <c r="DP448" s="236">
        <v>112.04</v>
      </c>
      <c r="DQ448" s="236" t="s">
        <v>344</v>
      </c>
      <c r="DV448" s="340">
        <v>26.07</v>
      </c>
      <c r="DW448" s="340" t="s">
        <v>304</v>
      </c>
      <c r="DX448" s="1671"/>
      <c r="EB448" s="618"/>
      <c r="EC448" s="618"/>
      <c r="ED448" s="618"/>
      <c r="EE448" s="618"/>
      <c r="EF448" s="618"/>
      <c r="EG448" s="618"/>
      <c r="EH448" s="618"/>
      <c r="EI448" s="618"/>
      <c r="EJ448" s="618"/>
      <c r="EK448" s="618"/>
      <c r="EL448" s="618"/>
      <c r="EM448" s="618"/>
    </row>
    <row r="449" spans="6:143">
      <c r="F449" s="338">
        <v>24.02</v>
      </c>
      <c r="G449" s="338" t="s">
        <v>331</v>
      </c>
      <c r="L449" s="2481">
        <v>101.12</v>
      </c>
      <c r="M449" s="340" t="s">
        <v>297</v>
      </c>
      <c r="N449" s="1390"/>
      <c r="O449" s="2479"/>
      <c r="P449" s="2282"/>
      <c r="AA449" s="338">
        <v>121.1</v>
      </c>
      <c r="AB449" s="338" t="s">
        <v>316</v>
      </c>
      <c r="AG449" s="2297">
        <v>26.09</v>
      </c>
      <c r="AH449" s="2297" t="s">
        <v>285</v>
      </c>
      <c r="AI449" s="1390"/>
      <c r="AJ449" s="2282"/>
      <c r="AK449" s="2282"/>
      <c r="AL449" s="1037"/>
      <c r="AR449" s="338">
        <v>31</v>
      </c>
      <c r="AS449" s="338" t="s">
        <v>331</v>
      </c>
      <c r="AX449" s="340">
        <v>308.02</v>
      </c>
      <c r="AY449" s="340" t="s">
        <v>296</v>
      </c>
      <c r="BC449" s="341" t="str">
        <f t="array" ref="BC449">IFERROR(IF($BC$11="Yes",INDEX($AX$13:$AX$2950,SMALL(IF((County=$AY$13:$AY$2950),MATCH(ROW($AY$13:$AY$2950),ROW($AY$13:$AY$2950)),""),ROWS($A$13:$A507))),""),"")</f>
        <v/>
      </c>
      <c r="BH449" s="338">
        <v>111.03</v>
      </c>
      <c r="BI449" s="338" t="s">
        <v>331</v>
      </c>
      <c r="BN449" s="340">
        <v>25.05</v>
      </c>
      <c r="BO449" s="340" t="s">
        <v>329</v>
      </c>
      <c r="BP449" s="1385"/>
      <c r="BQ449" s="1389"/>
      <c r="BR449" s="6"/>
      <c r="BV449" s="338">
        <v>503.11</v>
      </c>
      <c r="BW449" s="338" t="s">
        <v>289</v>
      </c>
      <c r="CB449" s="340">
        <v>307.07</v>
      </c>
      <c r="CC449" s="340" t="s">
        <v>296</v>
      </c>
      <c r="CE449" s="341" t="str">
        <f t="array" ref="CE449">IFERROR(IF($CE$11="Metro",INDEX($BV$13:$BV$4972,SMALL(IF((County=$BW$13:$BW$4972),MATCH(ROW($BW$13:$BW$4972),ROW($BW$13:$BW$4972)),""),ROWS($A$13:$A507))),INDEX($BY$13:$BY$212,SMALL(IF((County=$BZ$13:$BZ$212),MATCH(ROW($BZ$13:$BZ$212),ROW($BZ$13:$BZ$212)),""),ROWS($A$13:$A507)))),"")</f>
        <v/>
      </c>
      <c r="CG449" s="341" t="str">
        <f t="array" ref="CG449">IFERROR(IF($CG$11="Yes",INDEX($CB$13:$CB$2950,SMALL(IF((County=$CC$13:$CC$2950),MATCH(ROW($CC$13:$CC$2950),ROW($CC$13:$CC$2950)),""),ROWS($A$13:$A507))),""),"")</f>
        <v/>
      </c>
      <c r="CL449" s="236">
        <v>12.04</v>
      </c>
      <c r="CM449" s="236" t="s">
        <v>329</v>
      </c>
      <c r="CR449" s="340">
        <v>25.07</v>
      </c>
      <c r="CS449" s="340" t="s">
        <v>329</v>
      </c>
      <c r="CT449" s="1384"/>
      <c r="CZ449" s="1795">
        <v>2.2400000000000002</v>
      </c>
      <c r="DA449" s="338" t="s">
        <v>331</v>
      </c>
      <c r="DF449" s="340">
        <v>3.01</v>
      </c>
      <c r="DG449" s="340" t="s">
        <v>297</v>
      </c>
      <c r="DP449" s="236">
        <v>112.05</v>
      </c>
      <c r="DQ449" s="236" t="s">
        <v>297</v>
      </c>
      <c r="DV449" s="340">
        <v>26.08</v>
      </c>
      <c r="DW449" s="340" t="s">
        <v>285</v>
      </c>
      <c r="DX449" s="1671"/>
      <c r="EB449" s="618"/>
      <c r="EC449" s="618"/>
      <c r="ED449" s="618"/>
      <c r="EE449" s="618"/>
      <c r="EF449" s="618"/>
      <c r="EG449" s="618"/>
      <c r="EH449" s="618"/>
      <c r="EI449" s="618"/>
      <c r="EJ449" s="618"/>
      <c r="EK449" s="618"/>
      <c r="EL449" s="618"/>
      <c r="EM449" s="618"/>
    </row>
    <row r="450" spans="6:143">
      <c r="F450" s="338">
        <v>24.03</v>
      </c>
      <c r="G450" s="338" t="s">
        <v>331</v>
      </c>
      <c r="L450" s="2481">
        <v>101.13</v>
      </c>
      <c r="M450" s="340" t="s">
        <v>297</v>
      </c>
      <c r="N450" s="1390"/>
      <c r="O450" s="2479"/>
      <c r="P450" s="2282"/>
      <c r="AA450" s="338">
        <v>122.01</v>
      </c>
      <c r="AB450" s="338" t="s">
        <v>302</v>
      </c>
      <c r="AG450" s="2297">
        <v>26.09</v>
      </c>
      <c r="AH450" s="2297" t="s">
        <v>329</v>
      </c>
      <c r="AI450" s="1390"/>
      <c r="AJ450" s="2282"/>
      <c r="AK450" s="2282"/>
      <c r="AL450" s="1037"/>
      <c r="AR450" s="338">
        <v>34</v>
      </c>
      <c r="AS450" s="338" t="s">
        <v>331</v>
      </c>
      <c r="AX450" s="340">
        <v>309.04000000000002</v>
      </c>
      <c r="AY450" s="340" t="s">
        <v>296</v>
      </c>
      <c r="BC450" s="341" t="str">
        <f t="array" ref="BC450">IFERROR(IF($BC$11="Yes",INDEX($AX$13:$AX$2950,SMALL(IF((County=$AY$13:$AY$2950),MATCH(ROW($AY$13:$AY$2950),ROW($AY$13:$AY$2950)),""),ROWS($A$13:$A508))),""),"")</f>
        <v/>
      </c>
      <c r="BH450" s="338">
        <v>111.04</v>
      </c>
      <c r="BI450" s="338" t="s">
        <v>331</v>
      </c>
      <c r="BN450" s="340">
        <v>25.05</v>
      </c>
      <c r="BO450" s="340" t="s">
        <v>347</v>
      </c>
      <c r="BP450" s="1385"/>
      <c r="BQ450" s="1389"/>
      <c r="BR450" s="6"/>
      <c r="BV450" s="338">
        <v>503.12</v>
      </c>
      <c r="BW450" s="338" t="s">
        <v>289</v>
      </c>
      <c r="CB450" s="340">
        <v>307.08</v>
      </c>
      <c r="CC450" s="340" t="s">
        <v>296</v>
      </c>
      <c r="CE450" s="341" t="str">
        <f t="array" ref="CE450">IFERROR(IF($CE$11="Metro",INDEX($BV$13:$BV$4972,SMALL(IF((County=$BW$13:$BW$4972),MATCH(ROW($BW$13:$BW$4972),ROW($BW$13:$BW$4972)),""),ROWS($A$13:$A508))),INDEX($BY$13:$BY$212,SMALL(IF((County=$BZ$13:$BZ$212),MATCH(ROW($BZ$13:$BZ$212),ROW($BZ$13:$BZ$212)),""),ROWS($A$13:$A508)))),"")</f>
        <v/>
      </c>
      <c r="CG450" s="341" t="str">
        <f t="array" ref="CG450">IFERROR(IF($CG$11="Yes",INDEX($CB$13:$CB$2950,SMALL(IF((County=$CC$13:$CC$2950),MATCH(ROW($CC$13:$CC$2950),ROW($CC$13:$CC$2950)),""),ROWS($A$13:$A508))),""),"")</f>
        <v/>
      </c>
      <c r="CL450" s="236">
        <v>12.04</v>
      </c>
      <c r="CM450" s="236" t="s">
        <v>331</v>
      </c>
      <c r="CR450" s="340">
        <v>25.1</v>
      </c>
      <c r="CS450" s="340" t="s">
        <v>347</v>
      </c>
      <c r="CT450" s="1384"/>
      <c r="CZ450" s="1795">
        <v>2.27</v>
      </c>
      <c r="DA450" s="338" t="s">
        <v>331</v>
      </c>
      <c r="DF450" s="340">
        <v>3.02</v>
      </c>
      <c r="DG450" s="340" t="s">
        <v>297</v>
      </c>
      <c r="DP450" s="236">
        <v>112.05</v>
      </c>
      <c r="DQ450" s="236" t="s">
        <v>331</v>
      </c>
      <c r="DV450" s="340">
        <v>26.08</v>
      </c>
      <c r="DW450" s="340" t="s">
        <v>329</v>
      </c>
      <c r="DX450" s="1671"/>
      <c r="EB450" s="618"/>
      <c r="EC450" s="618"/>
      <c r="ED450" s="618"/>
      <c r="EE450" s="618"/>
      <c r="EF450" s="618"/>
      <c r="EG450" s="618"/>
      <c r="EH450" s="618"/>
      <c r="EI450" s="618"/>
      <c r="EJ450" s="618"/>
      <c r="EK450" s="618"/>
      <c r="EL450" s="618"/>
      <c r="EM450" s="618"/>
    </row>
    <row r="451" spans="6:143">
      <c r="F451" s="338">
        <v>24.04</v>
      </c>
      <c r="G451" s="338" t="s">
        <v>331</v>
      </c>
      <c r="L451" s="2481">
        <v>101.14</v>
      </c>
      <c r="M451" s="340" t="s">
        <v>297</v>
      </c>
      <c r="N451" s="1390"/>
      <c r="O451" s="2479"/>
      <c r="P451" s="2282"/>
      <c r="AA451" s="338">
        <v>122.01</v>
      </c>
      <c r="AB451" s="338" t="s">
        <v>338</v>
      </c>
      <c r="AG451" s="2297">
        <v>27.01</v>
      </c>
      <c r="AH451" s="2297" t="s">
        <v>304</v>
      </c>
      <c r="AI451" s="1390"/>
      <c r="AJ451" s="2282"/>
      <c r="AK451" s="2282"/>
      <c r="AL451" s="1037"/>
      <c r="AR451" s="338">
        <v>36.03</v>
      </c>
      <c r="AS451" s="338" t="s">
        <v>331</v>
      </c>
      <c r="AX451" s="340">
        <v>309.05</v>
      </c>
      <c r="AY451" s="340" t="s">
        <v>296</v>
      </c>
      <c r="BC451" s="341" t="str">
        <f t="array" ref="BC451">IFERROR(IF($BC$11="Yes",INDEX($AX$13:$AX$2950,SMALL(IF((County=$AY$13:$AY$2950),MATCH(ROW($AY$13:$AY$2950),ROW($AY$13:$AY$2950)),""),ROWS($A$13:$A509))),""),"")</f>
        <v/>
      </c>
      <c r="BH451" s="338">
        <v>112</v>
      </c>
      <c r="BI451" s="338" t="s">
        <v>302</v>
      </c>
      <c r="BN451" s="340">
        <v>25.07</v>
      </c>
      <c r="BO451" s="340" t="s">
        <v>324</v>
      </c>
      <c r="BP451" s="1385"/>
      <c r="BQ451" s="1388"/>
      <c r="BV451" s="338">
        <v>503.13</v>
      </c>
      <c r="BW451" s="338" t="s">
        <v>289</v>
      </c>
      <c r="CB451" s="340">
        <v>308.01</v>
      </c>
      <c r="CC451" s="340" t="s">
        <v>296</v>
      </c>
      <c r="CE451" s="341" t="str">
        <f t="array" ref="CE451">IFERROR(IF($CE$11="Metro",INDEX($BV$13:$BV$4972,SMALL(IF((County=$BW$13:$BW$4972),MATCH(ROW($BW$13:$BW$4972),ROW($BW$13:$BW$4972)),""),ROWS($A$13:$A509))),INDEX($BY$13:$BY$212,SMALL(IF((County=$BZ$13:$BZ$212),MATCH(ROW($BZ$13:$BZ$212),ROW($BZ$13:$BZ$212)),""),ROWS($A$13:$A509)))),"")</f>
        <v/>
      </c>
      <c r="CG451" s="341" t="str">
        <f t="array" ref="CG451">IFERROR(IF($CG$11="Yes",INDEX($CB$13:$CB$2950,SMALL(IF((County=$CC$13:$CC$2950),MATCH(ROW($CC$13:$CC$2950),ROW($CC$13:$CC$2950)),""),ROWS($A$13:$A509))),""),"")</f>
        <v/>
      </c>
      <c r="CL451" s="236">
        <v>12.04</v>
      </c>
      <c r="CM451" s="236" t="s">
        <v>347</v>
      </c>
      <c r="CR451" s="340">
        <v>25.11</v>
      </c>
      <c r="CS451" s="340" t="s">
        <v>324</v>
      </c>
      <c r="CT451" s="1384"/>
      <c r="CZ451" s="1795">
        <v>2.2799999999999998</v>
      </c>
      <c r="DA451" s="338" t="s">
        <v>331</v>
      </c>
      <c r="DF451" s="340">
        <v>4.01</v>
      </c>
      <c r="DG451" s="340" t="s">
        <v>297</v>
      </c>
      <c r="DP451" s="236">
        <v>112.11</v>
      </c>
      <c r="DQ451" s="236" t="s">
        <v>297</v>
      </c>
      <c r="DV451" s="340">
        <v>26.09</v>
      </c>
      <c r="DW451" s="340" t="s">
        <v>285</v>
      </c>
      <c r="DX451" s="1671"/>
      <c r="EB451" s="618"/>
      <c r="EC451" s="618"/>
      <c r="ED451" s="618"/>
      <c r="EE451" s="618"/>
      <c r="EF451" s="618"/>
      <c r="EG451" s="618"/>
      <c r="EH451" s="618"/>
      <c r="EI451" s="618"/>
      <c r="EJ451" s="618"/>
      <c r="EK451" s="618"/>
      <c r="EL451" s="618"/>
      <c r="EM451" s="618"/>
    </row>
    <row r="452" spans="6:143">
      <c r="F452" s="338">
        <v>25.01</v>
      </c>
      <c r="G452" s="338" t="s">
        <v>331</v>
      </c>
      <c r="L452" s="2481">
        <v>102.05</v>
      </c>
      <c r="M452" s="340" t="s">
        <v>297</v>
      </c>
      <c r="N452" s="1390"/>
      <c r="O452" s="2479"/>
      <c r="P452" s="2282"/>
      <c r="AA452" s="338">
        <v>122.02</v>
      </c>
      <c r="AB452" s="338" t="s">
        <v>302</v>
      </c>
      <c r="AG452" s="2297">
        <v>27.02</v>
      </c>
      <c r="AH452" s="2297" t="s">
        <v>316</v>
      </c>
      <c r="AI452" s="1390"/>
      <c r="AJ452" s="2282"/>
      <c r="AK452" s="2282"/>
      <c r="AL452" s="1037"/>
      <c r="AR452" s="338">
        <v>36.04</v>
      </c>
      <c r="AS452" s="338" t="s">
        <v>331</v>
      </c>
      <c r="AX452" s="340">
        <v>311.01</v>
      </c>
      <c r="AY452" s="340" t="s">
        <v>296</v>
      </c>
      <c r="BC452" s="341" t="str">
        <f t="array" ref="BC452">IFERROR(IF($BC$11="Yes",INDEX($AX$13:$AX$2950,SMALL(IF((County=$AY$13:$AY$2950),MATCH(ROW($AY$13:$AY$2950),ROW($AY$13:$AY$2950)),""),ROWS($A$13:$A510))),""),"")</f>
        <v/>
      </c>
      <c r="BH452" s="338">
        <v>112.02</v>
      </c>
      <c r="BI452" s="338" t="s">
        <v>344</v>
      </c>
      <c r="BN452" s="340">
        <v>25.07</v>
      </c>
      <c r="BO452" s="340" t="s">
        <v>329</v>
      </c>
      <c r="BP452" s="1385"/>
      <c r="BQ452" s="1389"/>
      <c r="BR452" s="6"/>
      <c r="BV452" s="338">
        <v>503.14</v>
      </c>
      <c r="BW452" s="338" t="s">
        <v>289</v>
      </c>
      <c r="CB452" s="340">
        <v>308.02</v>
      </c>
      <c r="CC452" s="340" t="s">
        <v>296</v>
      </c>
      <c r="CE452" s="341" t="str">
        <f t="array" ref="CE452">IFERROR(IF($CE$11="Metro",INDEX($BV$13:$BV$4972,SMALL(IF((County=$BW$13:$BW$4972),MATCH(ROW($BW$13:$BW$4972),ROW($BW$13:$BW$4972)),""),ROWS($A$13:$A510))),INDEX($BY$13:$BY$212,SMALL(IF((County=$BZ$13:$BZ$212),MATCH(ROW($BZ$13:$BZ$212),ROW($BZ$13:$BZ$212)),""),ROWS($A$13:$A510)))),"")</f>
        <v/>
      </c>
      <c r="CG452" s="341" t="str">
        <f t="array" ref="CG452">IFERROR(IF($CG$11="Yes",INDEX($CB$13:$CB$2950,SMALL(IF((County=$CC$13:$CC$2950),MATCH(ROW($CC$13:$CC$2950),ROW($CC$13:$CC$2950)),""),ROWS($A$13:$A510))),""),"")</f>
        <v/>
      </c>
      <c r="CL452" s="236">
        <v>12.05</v>
      </c>
      <c r="CM452" s="236" t="s">
        <v>323</v>
      </c>
      <c r="CR452" s="340">
        <v>25.11</v>
      </c>
      <c r="CS452" s="340" t="s">
        <v>347</v>
      </c>
      <c r="CT452" s="1384"/>
      <c r="CZ452" s="1795">
        <v>3.06</v>
      </c>
      <c r="DA452" s="338" t="s">
        <v>331</v>
      </c>
      <c r="DF452" s="340">
        <v>4.0199999999999996</v>
      </c>
      <c r="DG452" s="340" t="s">
        <v>297</v>
      </c>
      <c r="DP452" s="236">
        <v>113</v>
      </c>
      <c r="DQ452" s="236" t="s">
        <v>302</v>
      </c>
      <c r="DV452" s="340">
        <v>27.01</v>
      </c>
      <c r="DW452" s="340" t="s">
        <v>304</v>
      </c>
      <c r="DX452" s="1671"/>
      <c r="EB452" s="618"/>
      <c r="EC452" s="618"/>
      <c r="ED452" s="618"/>
      <c r="EE452" s="618"/>
      <c r="EF452" s="618"/>
      <c r="EG452" s="618"/>
      <c r="EH452" s="618"/>
      <c r="EI452" s="618"/>
      <c r="EJ452" s="618"/>
      <c r="EK452" s="618"/>
      <c r="EL452" s="618"/>
      <c r="EM452" s="618"/>
    </row>
    <row r="453" spans="6:143">
      <c r="F453" s="338">
        <v>25.02</v>
      </c>
      <c r="G453" s="338" t="s">
        <v>331</v>
      </c>
      <c r="L453" s="2481">
        <v>102.08</v>
      </c>
      <c r="M453" s="340" t="s">
        <v>297</v>
      </c>
      <c r="N453" s="1390"/>
      <c r="O453" s="2479"/>
      <c r="P453" s="2282"/>
      <c r="AA453" s="338">
        <v>122.02</v>
      </c>
      <c r="AB453" s="338" t="s">
        <v>338</v>
      </c>
      <c r="AG453" s="2297">
        <v>27.02</v>
      </c>
      <c r="AH453" s="2297" t="s">
        <v>331</v>
      </c>
      <c r="AI453" s="1390"/>
      <c r="AJ453" s="2282"/>
      <c r="AK453" s="2282"/>
      <c r="AL453" s="1037"/>
      <c r="AR453" s="338">
        <v>36.049999999999997</v>
      </c>
      <c r="AS453" s="338" t="s">
        <v>331</v>
      </c>
      <c r="AX453" s="340">
        <v>312.02</v>
      </c>
      <c r="AY453" s="340" t="s">
        <v>296</v>
      </c>
      <c r="BC453" s="341" t="str">
        <f t="array" ref="BC453">IFERROR(IF($BC$11="Yes",INDEX($AX$13:$AX$2950,SMALL(IF((County=$AY$13:$AY$2950),MATCH(ROW($AY$13:$AY$2950),ROW($AY$13:$AY$2950)),""),ROWS($A$13:$A511))),""),"")</f>
        <v/>
      </c>
      <c r="BH453" s="338">
        <v>112.03</v>
      </c>
      <c r="BI453" s="338" t="s">
        <v>331</v>
      </c>
      <c r="BN453" s="340">
        <v>25.09</v>
      </c>
      <c r="BO453" s="340" t="s">
        <v>324</v>
      </c>
      <c r="BP453" s="1385"/>
      <c r="BQ453" s="1389"/>
      <c r="BR453" s="6"/>
      <c r="BV453" s="338">
        <v>503.15</v>
      </c>
      <c r="BW453" s="338" t="s">
        <v>289</v>
      </c>
      <c r="CB453" s="340">
        <v>309.04000000000002</v>
      </c>
      <c r="CC453" s="340" t="s">
        <v>296</v>
      </c>
      <c r="CE453" s="341" t="str">
        <f t="array" ref="CE453">IFERROR(IF($CE$11="Metro",INDEX($BV$13:$BV$4972,SMALL(IF((County=$BW$13:$BW$4972),MATCH(ROW($BW$13:$BW$4972),ROW($BW$13:$BW$4972)),""),ROWS($A$13:$A511))),INDEX($BY$13:$BY$212,SMALL(IF((County=$BZ$13:$BZ$212),MATCH(ROW($BZ$13:$BZ$212),ROW($BZ$13:$BZ$212)),""),ROWS($A$13:$A511)))),"")</f>
        <v/>
      </c>
      <c r="CG453" s="341" t="str">
        <f t="array" ref="CG453">IFERROR(IF($CG$11="Yes",INDEX($CB$13:$CB$2950,SMALL(IF((County=$CC$13:$CC$2950),MATCH(ROW($CC$13:$CC$2950),ROW($CC$13:$CC$2950)),""),ROWS($A$13:$A511))),""),"")</f>
        <v/>
      </c>
      <c r="CL453" s="236">
        <v>12.05</v>
      </c>
      <c r="CM453" s="236" t="s">
        <v>329</v>
      </c>
      <c r="CR453" s="340">
        <v>25.12</v>
      </c>
      <c r="CS453" s="340" t="s">
        <v>324</v>
      </c>
      <c r="CT453" s="1384"/>
      <c r="CZ453" s="1795">
        <v>3.1</v>
      </c>
      <c r="DA453" s="338" t="s">
        <v>331</v>
      </c>
      <c r="DF453" s="340">
        <v>5</v>
      </c>
      <c r="DG453" s="340" t="s">
        <v>297</v>
      </c>
      <c r="DP453" s="236">
        <v>113</v>
      </c>
      <c r="DQ453" s="236" t="s">
        <v>344</v>
      </c>
      <c r="DV453" s="340">
        <v>27.02</v>
      </c>
      <c r="DW453" s="340" t="s">
        <v>331</v>
      </c>
      <c r="DX453" s="1671"/>
      <c r="EB453" s="618"/>
      <c r="EC453" s="618"/>
      <c r="ED453" s="618"/>
      <c r="EE453" s="618"/>
      <c r="EF453" s="618"/>
      <c r="EG453" s="618"/>
      <c r="EH453" s="618"/>
      <c r="EI453" s="618"/>
      <c r="EJ453" s="618"/>
      <c r="EK453" s="618"/>
      <c r="EL453" s="618"/>
      <c r="EM453" s="618"/>
    </row>
    <row r="454" spans="6:143">
      <c r="F454" s="338">
        <v>28</v>
      </c>
      <c r="G454" s="338" t="s">
        <v>331</v>
      </c>
      <c r="L454" s="2481">
        <v>102.09</v>
      </c>
      <c r="M454" s="340" t="s">
        <v>297</v>
      </c>
      <c r="N454" s="1390"/>
      <c r="O454" s="2479"/>
      <c r="P454" s="2282"/>
      <c r="AA454" s="338">
        <v>122.12</v>
      </c>
      <c r="AB454" s="338" t="s">
        <v>316</v>
      </c>
      <c r="AG454" s="2297">
        <v>27.02</v>
      </c>
      <c r="AH454" s="2297" t="s">
        <v>340</v>
      </c>
      <c r="AI454" s="1390"/>
      <c r="AJ454" s="2282"/>
      <c r="AK454" s="2282"/>
      <c r="AL454" s="1037"/>
      <c r="AR454" s="338">
        <v>36.06</v>
      </c>
      <c r="AS454" s="338" t="s">
        <v>331</v>
      </c>
      <c r="AX454" s="340">
        <v>312.02999999999997</v>
      </c>
      <c r="AY454" s="340" t="s">
        <v>296</v>
      </c>
      <c r="BC454" s="341" t="str">
        <f t="array" ref="BC454">IFERROR(IF($BC$11="Yes",INDEX($AX$13:$AX$2950,SMALL(IF((County=$AY$13:$AY$2950),MATCH(ROW($AY$13:$AY$2950),ROW($AY$13:$AY$2950)),""),ROWS($A$13:$A512))),""),"")</f>
        <v/>
      </c>
      <c r="BH454" s="338">
        <v>112.03</v>
      </c>
      <c r="BI454" s="338" t="s">
        <v>344</v>
      </c>
      <c r="BN454" s="340">
        <v>25.1</v>
      </c>
      <c r="BO454" s="340" t="s">
        <v>347</v>
      </c>
      <c r="BP454" s="1385"/>
      <c r="BQ454" s="1389"/>
      <c r="BR454" s="6"/>
      <c r="BV454" s="338">
        <v>503.16</v>
      </c>
      <c r="BW454" s="338" t="s">
        <v>289</v>
      </c>
      <c r="CB454" s="340">
        <v>309.05</v>
      </c>
      <c r="CC454" s="340" t="s">
        <v>296</v>
      </c>
      <c r="CE454" s="341" t="str">
        <f t="array" ref="CE454">IFERROR(IF($CE$11="Metro",INDEX($BV$13:$BV$4972,SMALL(IF((County=$BW$13:$BW$4972),MATCH(ROW($BW$13:$BW$4972),ROW($BW$13:$BW$4972)),""),ROWS($A$13:$A512))),INDEX($BY$13:$BY$212,SMALL(IF((County=$BZ$13:$BZ$212),MATCH(ROW($BZ$13:$BZ$212),ROW($BZ$13:$BZ$212)),""),ROWS($A$13:$A512)))),"")</f>
        <v/>
      </c>
      <c r="CG454" s="341" t="str">
        <f t="array" ref="CG454">IFERROR(IF($CG$11="Yes",INDEX($CB$13:$CB$2950,SMALL(IF((County=$CC$13:$CC$2950),MATCH(ROW($CC$13:$CC$2950),ROW($CC$13:$CC$2950)),""),ROWS($A$13:$A512))),""),"")</f>
        <v/>
      </c>
      <c r="CL454" s="236">
        <v>12.05</v>
      </c>
      <c r="CM454" s="236" t="s">
        <v>331</v>
      </c>
      <c r="CR454" s="340">
        <v>25.13</v>
      </c>
      <c r="CS454" s="340" t="s">
        <v>324</v>
      </c>
      <c r="CT454" s="1384"/>
      <c r="CZ454" s="1795">
        <v>3.11</v>
      </c>
      <c r="DA454" s="338" t="s">
        <v>331</v>
      </c>
      <c r="DF454" s="340">
        <v>6</v>
      </c>
      <c r="DG454" s="340" t="s">
        <v>297</v>
      </c>
      <c r="DP454" s="236">
        <v>113.02</v>
      </c>
      <c r="DQ454" s="236" t="s">
        <v>331</v>
      </c>
      <c r="DV454" s="340">
        <v>27.02</v>
      </c>
      <c r="DW454" s="340" t="s">
        <v>340</v>
      </c>
      <c r="DX454" s="1671"/>
      <c r="EB454" s="618"/>
      <c r="EC454" s="618"/>
      <c r="ED454" s="618"/>
      <c r="EE454" s="618"/>
      <c r="EF454" s="618"/>
      <c r="EG454" s="618"/>
      <c r="EH454" s="618"/>
      <c r="EI454" s="618"/>
      <c r="EJ454" s="618"/>
      <c r="EK454" s="618"/>
      <c r="EL454" s="618"/>
      <c r="EM454" s="618"/>
    </row>
    <row r="455" spans="6:143">
      <c r="F455" s="338">
        <v>29</v>
      </c>
      <c r="G455" s="338" t="s">
        <v>331</v>
      </c>
      <c r="L455" s="2481">
        <v>102.1</v>
      </c>
      <c r="M455" s="340" t="s">
        <v>297</v>
      </c>
      <c r="N455" s="1390"/>
      <c r="O455" s="2479"/>
      <c r="P455" s="2282"/>
      <c r="AA455" s="338">
        <v>123</v>
      </c>
      <c r="AB455" s="338" t="s">
        <v>302</v>
      </c>
      <c r="AG455" s="2297">
        <v>27.03</v>
      </c>
      <c r="AH455" s="2297" t="s">
        <v>285</v>
      </c>
      <c r="AI455" s="1390"/>
      <c r="AJ455" s="2282"/>
      <c r="AK455" s="2282"/>
      <c r="AL455" s="1037"/>
      <c r="AR455" s="338">
        <v>36.07</v>
      </c>
      <c r="AS455" s="338" t="s">
        <v>331</v>
      </c>
      <c r="AX455" s="340">
        <v>313.02</v>
      </c>
      <c r="AY455" s="340" t="s">
        <v>296</v>
      </c>
      <c r="BC455" s="341" t="str">
        <f t="array" ref="BC455">IFERROR(IF($BC$11="Yes",INDEX($AX$13:$AX$2950,SMALL(IF((County=$AY$13:$AY$2950),MATCH(ROW($AY$13:$AY$2950),ROW($AY$13:$AY$2950)),""),ROWS($A$13:$A513))),""),"")</f>
        <v/>
      </c>
      <c r="BH455" s="338">
        <v>112.04</v>
      </c>
      <c r="BI455" s="338" t="s">
        <v>297</v>
      </c>
      <c r="BN455" s="340">
        <v>25.11</v>
      </c>
      <c r="BO455" s="340" t="s">
        <v>324</v>
      </c>
      <c r="BP455" s="1385"/>
      <c r="BQ455" s="1389"/>
      <c r="BR455" s="6"/>
      <c r="BV455" s="338">
        <v>504.01</v>
      </c>
      <c r="BW455" s="338" t="s">
        <v>289</v>
      </c>
      <c r="CB455" s="340">
        <v>311.01</v>
      </c>
      <c r="CC455" s="340" t="s">
        <v>296</v>
      </c>
      <c r="CE455" s="341" t="str">
        <f t="array" ref="CE455">IFERROR(IF($CE$11="Metro",INDEX($BV$13:$BV$4972,SMALL(IF((County=$BW$13:$BW$4972),MATCH(ROW($BW$13:$BW$4972),ROW($BW$13:$BW$4972)),""),ROWS($A$13:$A513))),INDEX($BY$13:$BY$212,SMALL(IF((County=$BZ$13:$BZ$212),MATCH(ROW($BZ$13:$BZ$212),ROW($BZ$13:$BZ$212)),""),ROWS($A$13:$A513)))),"")</f>
        <v/>
      </c>
      <c r="CG455" s="341" t="str">
        <f t="array" ref="CG455">IFERROR(IF($CG$11="Yes",INDEX($CB$13:$CB$2950,SMALL(IF((County=$CC$13:$CC$2950),MATCH(ROW($CC$13:$CC$2950),ROW($CC$13:$CC$2950)),""),ROWS($A$13:$A513))),""),"")</f>
        <v/>
      </c>
      <c r="CL455" s="236">
        <v>12.05</v>
      </c>
      <c r="CM455" s="236" t="s">
        <v>347</v>
      </c>
      <c r="CR455" s="340">
        <v>25.14</v>
      </c>
      <c r="CS455" s="340" t="s">
        <v>324</v>
      </c>
      <c r="CT455" s="1384"/>
      <c r="CZ455" s="1795">
        <v>4.08</v>
      </c>
      <c r="DA455" s="338" t="s">
        <v>331</v>
      </c>
      <c r="DF455" s="340">
        <v>101.02</v>
      </c>
      <c r="DG455" s="340" t="s">
        <v>297</v>
      </c>
      <c r="DP455" s="236">
        <v>113.03</v>
      </c>
      <c r="DQ455" s="236" t="s">
        <v>297</v>
      </c>
      <c r="DV455" s="340">
        <v>27.03</v>
      </c>
      <c r="DW455" s="340" t="s">
        <v>285</v>
      </c>
      <c r="DX455" s="1671"/>
      <c r="EB455" s="618"/>
      <c r="EC455" s="618"/>
      <c r="ED455" s="618"/>
      <c r="EE455" s="618"/>
      <c r="EF455" s="618"/>
      <c r="EG455" s="618"/>
      <c r="EH455" s="618"/>
      <c r="EI455" s="618"/>
      <c r="EJ455" s="618"/>
      <c r="EK455" s="618"/>
      <c r="EL455" s="618"/>
      <c r="EM455" s="618"/>
    </row>
    <row r="456" spans="6:143">
      <c r="F456" s="338">
        <v>30.04</v>
      </c>
      <c r="G456" s="338" t="s">
        <v>331</v>
      </c>
      <c r="L456" s="2481">
        <v>102.11</v>
      </c>
      <c r="M456" s="340" t="s">
        <v>297</v>
      </c>
      <c r="N456" s="1390"/>
      <c r="O456" s="2479"/>
      <c r="P456" s="2282"/>
      <c r="AA456" s="338">
        <v>123.04</v>
      </c>
      <c r="AB456" s="338" t="s">
        <v>338</v>
      </c>
      <c r="AG456" s="2297">
        <v>27.03</v>
      </c>
      <c r="AH456" s="2297" t="s">
        <v>340</v>
      </c>
      <c r="AI456" s="1390"/>
      <c r="AJ456" s="2282"/>
      <c r="AK456" s="2282"/>
      <c r="AL456" s="1037"/>
      <c r="AR456" s="338">
        <v>39.090000000000003</v>
      </c>
      <c r="AS456" s="338" t="s">
        <v>331</v>
      </c>
      <c r="AX456" s="340">
        <v>1.01</v>
      </c>
      <c r="AY456" s="340" t="s">
        <v>297</v>
      </c>
      <c r="BC456" s="341" t="str">
        <f t="array" ref="BC456">IFERROR(IF($BC$11="Yes",INDEX($AX$13:$AX$2950,SMALL(IF((County=$AY$13:$AY$2950),MATCH(ROW($AY$13:$AY$2950),ROW($AY$13:$AY$2950)),""),ROWS($A$13:$A514))),""),"")</f>
        <v/>
      </c>
      <c r="BH456" s="338">
        <v>112.04</v>
      </c>
      <c r="BI456" s="338" t="s">
        <v>331</v>
      </c>
      <c r="BN456" s="340">
        <v>25.11</v>
      </c>
      <c r="BO456" s="340" t="s">
        <v>347</v>
      </c>
      <c r="BP456" s="1385"/>
      <c r="BQ456" s="1389"/>
      <c r="BR456" s="6"/>
      <c r="BV456" s="338">
        <v>504.02</v>
      </c>
      <c r="BW456" s="338" t="s">
        <v>289</v>
      </c>
      <c r="CB456" s="340">
        <v>312.02</v>
      </c>
      <c r="CC456" s="340" t="s">
        <v>296</v>
      </c>
      <c r="CE456" s="341" t="str">
        <f t="array" ref="CE456">IFERROR(IF($CE$11="Metro",INDEX($BV$13:$BV$4972,SMALL(IF((County=$BW$13:$BW$4972),MATCH(ROW($BW$13:$BW$4972),ROW($BW$13:$BW$4972)),""),ROWS($A$13:$A514))),INDEX($BY$13:$BY$212,SMALL(IF((County=$BZ$13:$BZ$212),MATCH(ROW($BZ$13:$BZ$212),ROW($BZ$13:$BZ$212)),""),ROWS($A$13:$A514)))),"")</f>
        <v/>
      </c>
      <c r="CG456" s="341" t="str">
        <f t="array" ref="CG456">IFERROR(IF($CG$11="Yes",INDEX($CB$13:$CB$2950,SMALL(IF((County=$CC$13:$CC$2950),MATCH(ROW($CC$13:$CC$2950),ROW($CC$13:$CC$2950)),""),ROWS($A$13:$A514))),""),"")</f>
        <v/>
      </c>
      <c r="CL456" s="236">
        <v>12.06</v>
      </c>
      <c r="CM456" s="236" t="s">
        <v>323</v>
      </c>
      <c r="CR456" s="340">
        <v>25.15</v>
      </c>
      <c r="CS456" s="340" t="s">
        <v>324</v>
      </c>
      <c r="CT456" s="1384"/>
      <c r="CZ456" s="1795">
        <v>4.0999999999999996</v>
      </c>
      <c r="DA456" s="338" t="s">
        <v>331</v>
      </c>
      <c r="DF456" s="340">
        <v>101.08</v>
      </c>
      <c r="DG456" s="340" t="s">
        <v>297</v>
      </c>
      <c r="DP456" s="236">
        <v>113.05</v>
      </c>
      <c r="DQ456" s="236" t="s">
        <v>297</v>
      </c>
      <c r="DV456" s="340">
        <v>27.03</v>
      </c>
      <c r="DW456" s="340" t="s">
        <v>340</v>
      </c>
      <c r="DX456" s="1671"/>
      <c r="EB456" s="618"/>
      <c r="EC456" s="618"/>
      <c r="ED456" s="618"/>
      <c r="EE456" s="618"/>
      <c r="EF456" s="618"/>
      <c r="EG456" s="618"/>
      <c r="EH456" s="618"/>
      <c r="EI456" s="618"/>
      <c r="EJ456" s="618"/>
      <c r="EK456" s="618"/>
      <c r="EL456" s="618"/>
      <c r="EM456" s="618"/>
    </row>
    <row r="457" spans="6:143">
      <c r="F457" s="338">
        <v>30.06</v>
      </c>
      <c r="G457" s="338" t="s">
        <v>331</v>
      </c>
      <c r="L457" s="2481">
        <v>102.13</v>
      </c>
      <c r="M457" s="340" t="s">
        <v>297</v>
      </c>
      <c r="N457" s="1390"/>
      <c r="O457" s="2479"/>
      <c r="P457" s="2282"/>
      <c r="AA457" s="338">
        <v>123.05</v>
      </c>
      <c r="AB457" s="338" t="s">
        <v>338</v>
      </c>
      <c r="AG457" s="2297">
        <v>27.04</v>
      </c>
      <c r="AH457" s="2297" t="s">
        <v>329</v>
      </c>
      <c r="AI457" s="1390"/>
      <c r="AJ457" s="2282"/>
      <c r="AK457" s="2282"/>
      <c r="AL457" s="1037"/>
      <c r="AR457" s="338">
        <v>39.11</v>
      </c>
      <c r="AS457" s="338" t="s">
        <v>331</v>
      </c>
      <c r="AX457" s="340">
        <v>1.02</v>
      </c>
      <c r="AY457" s="340" t="s">
        <v>297</v>
      </c>
      <c r="BC457" s="341" t="str">
        <f t="array" ref="BC457">IFERROR(IF($BC$11="Yes",INDEX($AX$13:$AX$2950,SMALL(IF((County=$AY$13:$AY$2950),MATCH(ROW($AY$13:$AY$2950),ROW($AY$13:$AY$2950)),""),ROWS($A$13:$A515))),""),"")</f>
        <v/>
      </c>
      <c r="BH457" s="338">
        <v>112.04</v>
      </c>
      <c r="BI457" s="338" t="s">
        <v>344</v>
      </c>
      <c r="BN457" s="340">
        <v>25.12</v>
      </c>
      <c r="BO457" s="340" t="s">
        <v>324</v>
      </c>
      <c r="BP457" s="1385"/>
      <c r="BQ457" s="1389"/>
      <c r="BR457" s="6"/>
      <c r="BV457" s="338">
        <v>505.01</v>
      </c>
      <c r="BW457" s="338" t="s">
        <v>289</v>
      </c>
      <c r="CB457" s="340">
        <v>312.02999999999997</v>
      </c>
      <c r="CC457" s="340" t="s">
        <v>296</v>
      </c>
      <c r="CE457" s="341" t="str">
        <f t="array" ref="CE457">IFERROR(IF($CE$11="Metro",INDEX($BV$13:$BV$4972,SMALL(IF((County=$BW$13:$BW$4972),MATCH(ROW($BW$13:$BW$4972),ROW($BW$13:$BW$4972)),""),ROWS($A$13:$A515))),INDEX($BY$13:$BY$212,SMALL(IF((County=$BZ$13:$BZ$212),MATCH(ROW($BZ$13:$BZ$212),ROW($BZ$13:$BZ$212)),""),ROWS($A$13:$A515)))),"")</f>
        <v/>
      </c>
      <c r="CG457" s="341" t="str">
        <f t="array" ref="CG457">IFERROR(IF($CG$11="Yes",INDEX($CB$13:$CB$2950,SMALL(IF((County=$CC$13:$CC$2950),MATCH(ROW($CC$13:$CC$2950),ROW($CC$13:$CC$2950)),""),ROWS($A$13:$A515))),""),"")</f>
        <v/>
      </c>
      <c r="CL457" s="236">
        <v>12.06</v>
      </c>
      <c r="CM457" s="236" t="s">
        <v>329</v>
      </c>
      <c r="CR457" s="340">
        <v>25.16</v>
      </c>
      <c r="CS457" s="340" t="s">
        <v>324</v>
      </c>
      <c r="CT457" s="1384"/>
      <c r="CZ457" s="1795">
        <v>4.1100000000000003</v>
      </c>
      <c r="DA457" s="338" t="s">
        <v>331</v>
      </c>
      <c r="DF457" s="340">
        <v>101.09</v>
      </c>
      <c r="DG457" s="340" t="s">
        <v>297</v>
      </c>
      <c r="DP457" s="236">
        <v>113.06</v>
      </c>
      <c r="DQ457" s="236" t="s">
        <v>297</v>
      </c>
      <c r="DV457" s="340">
        <v>27.04</v>
      </c>
      <c r="DW457" s="340" t="s">
        <v>329</v>
      </c>
      <c r="DX457" s="1671"/>
      <c r="EB457" s="618"/>
      <c r="EC457" s="618"/>
      <c r="ED457" s="618"/>
      <c r="EE457" s="618"/>
      <c r="EF457" s="618"/>
      <c r="EG457" s="618"/>
      <c r="EH457" s="618"/>
      <c r="EI457" s="618"/>
      <c r="EJ457" s="618"/>
      <c r="EK457" s="618"/>
      <c r="EL457" s="618"/>
      <c r="EM457" s="618"/>
    </row>
    <row r="458" spans="6:143">
      <c r="F458" s="338">
        <v>31</v>
      </c>
      <c r="G458" s="338" t="s">
        <v>331</v>
      </c>
      <c r="L458" s="2481">
        <v>102.15</v>
      </c>
      <c r="M458" s="340" t="s">
        <v>297</v>
      </c>
      <c r="N458" s="1390"/>
      <c r="O458" s="2479"/>
      <c r="P458" s="2282"/>
      <c r="AA458" s="338">
        <v>123.07</v>
      </c>
      <c r="AB458" s="338" t="s">
        <v>338</v>
      </c>
      <c r="AG458" s="2297">
        <v>27.05</v>
      </c>
      <c r="AH458" s="2297" t="s">
        <v>329</v>
      </c>
      <c r="AI458" s="1390"/>
      <c r="AJ458" s="2282"/>
      <c r="AK458" s="2282"/>
      <c r="AL458" s="1037"/>
      <c r="AR458" s="338">
        <v>41.03</v>
      </c>
      <c r="AS458" s="338" t="s">
        <v>331</v>
      </c>
      <c r="AX458" s="340">
        <v>2</v>
      </c>
      <c r="AY458" s="340" t="s">
        <v>297</v>
      </c>
      <c r="BC458" s="341" t="str">
        <f t="array" ref="BC458">IFERROR(IF($BC$11="Yes",INDEX($AX$13:$AX$2950,SMALL(IF((County=$AY$13:$AY$2950),MATCH(ROW($AY$13:$AY$2950),ROW($AY$13:$AY$2950)),""),ROWS($A$13:$A516))),""),"")</f>
        <v/>
      </c>
      <c r="BH458" s="338">
        <v>112.05</v>
      </c>
      <c r="BI458" s="338" t="s">
        <v>297</v>
      </c>
      <c r="BN458" s="340">
        <v>25.13</v>
      </c>
      <c r="BO458" s="340" t="s">
        <v>324</v>
      </c>
      <c r="BP458" s="1385"/>
      <c r="BQ458" s="1389"/>
      <c r="BR458" s="6"/>
      <c r="BV458" s="338">
        <v>505.02</v>
      </c>
      <c r="BW458" s="338" t="s">
        <v>289</v>
      </c>
      <c r="CB458" s="340">
        <v>313.02</v>
      </c>
      <c r="CC458" s="340" t="s">
        <v>296</v>
      </c>
      <c r="CE458" s="341" t="str">
        <f t="array" ref="CE458">IFERROR(IF($CE$11="Metro",INDEX($BV$13:$BV$4972,SMALL(IF((County=$BW$13:$BW$4972),MATCH(ROW($BW$13:$BW$4972),ROW($BW$13:$BW$4972)),""),ROWS($A$13:$A516))),INDEX($BY$13:$BY$212,SMALL(IF((County=$BZ$13:$BZ$212),MATCH(ROW($BZ$13:$BZ$212),ROW($BZ$13:$BZ$212)),""),ROWS($A$13:$A516)))),"")</f>
        <v/>
      </c>
      <c r="CG458" s="341" t="str">
        <f t="array" ref="CG458">IFERROR(IF($CG$11="Yes",INDEX($CB$13:$CB$2950,SMALL(IF((County=$CC$13:$CC$2950),MATCH(ROW($CC$13:$CC$2950),ROW($CC$13:$CC$2950)),""),ROWS($A$13:$A516))),""),"")</f>
        <v/>
      </c>
      <c r="CL458" s="236">
        <v>12.06</v>
      </c>
      <c r="CM458" s="236" t="s">
        <v>331</v>
      </c>
      <c r="CR458" s="340">
        <v>25.17</v>
      </c>
      <c r="CS458" s="340" t="s">
        <v>324</v>
      </c>
      <c r="CT458" s="1384"/>
      <c r="CZ458" s="1795">
        <v>4.13</v>
      </c>
      <c r="DA458" s="338" t="s">
        <v>331</v>
      </c>
      <c r="DF458" s="340">
        <v>101.11</v>
      </c>
      <c r="DG458" s="340" t="s">
        <v>297</v>
      </c>
      <c r="DP458" s="236">
        <v>114</v>
      </c>
      <c r="DQ458" s="236" t="s">
        <v>297</v>
      </c>
      <c r="DV458" s="340">
        <v>27.05</v>
      </c>
      <c r="DW458" s="340" t="s">
        <v>331</v>
      </c>
      <c r="DX458" s="1671"/>
      <c r="EB458" s="618"/>
      <c r="EC458" s="618"/>
      <c r="ED458" s="618"/>
      <c r="EE458" s="618"/>
      <c r="EF458" s="618"/>
      <c r="EG458" s="618"/>
      <c r="EH458" s="618"/>
      <c r="EI458" s="618"/>
      <c r="EJ458" s="618"/>
      <c r="EK458" s="618"/>
      <c r="EL458" s="618"/>
      <c r="EM458" s="618"/>
    </row>
    <row r="459" spans="6:143">
      <c r="F459" s="338">
        <v>34</v>
      </c>
      <c r="G459" s="338" t="s">
        <v>331</v>
      </c>
      <c r="L459" s="2481">
        <v>102.16</v>
      </c>
      <c r="M459" s="340" t="s">
        <v>297</v>
      </c>
      <c r="N459" s="1390"/>
      <c r="O459" s="2479"/>
      <c r="P459" s="2282"/>
      <c r="AA459" s="338">
        <v>124.01</v>
      </c>
      <c r="AB459" s="338" t="s">
        <v>316</v>
      </c>
      <c r="AG459" s="2297">
        <v>27.05</v>
      </c>
      <c r="AH459" s="2297" t="s">
        <v>331</v>
      </c>
      <c r="AI459" s="1390"/>
      <c r="AJ459" s="2282"/>
      <c r="AK459" s="2282"/>
      <c r="AL459" s="1037"/>
      <c r="AR459" s="338">
        <v>44.04</v>
      </c>
      <c r="AS459" s="338" t="s">
        <v>331</v>
      </c>
      <c r="AX459" s="340">
        <v>3.01</v>
      </c>
      <c r="AY459" s="340" t="s">
        <v>297</v>
      </c>
      <c r="BC459" s="341" t="str">
        <f t="array" ref="BC459">IFERROR(IF($BC$11="Yes",INDEX($AX$13:$AX$2950,SMALL(IF((County=$AY$13:$AY$2950),MATCH(ROW($AY$13:$AY$2950),ROW($AY$13:$AY$2950)),""),ROWS($A$13:$A517))),""),"")</f>
        <v/>
      </c>
      <c r="BH459" s="338">
        <v>112.05</v>
      </c>
      <c r="BI459" s="338" t="s">
        <v>331</v>
      </c>
      <c r="BN459" s="340">
        <v>25.14</v>
      </c>
      <c r="BO459" s="340" t="s">
        <v>324</v>
      </c>
      <c r="BP459" s="1385"/>
      <c r="BQ459" s="1389"/>
      <c r="BR459" s="6"/>
      <c r="BV459" s="338">
        <v>506.01</v>
      </c>
      <c r="BW459" s="338" t="s">
        <v>289</v>
      </c>
      <c r="CB459" s="340">
        <v>9800</v>
      </c>
      <c r="CC459" s="340" t="s">
        <v>296</v>
      </c>
      <c r="CE459" s="341" t="str">
        <f t="array" ref="CE459">IFERROR(IF($CE$11="Metro",INDEX($BV$13:$BV$4972,SMALL(IF((County=$BW$13:$BW$4972),MATCH(ROW($BW$13:$BW$4972),ROW($BW$13:$BW$4972)),""),ROWS($A$13:$A517))),INDEX($BY$13:$BY$212,SMALL(IF((County=$BZ$13:$BZ$212),MATCH(ROW($BZ$13:$BZ$212),ROW($BZ$13:$BZ$212)),""),ROWS($A$13:$A517)))),"")</f>
        <v/>
      </c>
      <c r="CG459" s="341" t="str">
        <f t="array" ref="CG459">IFERROR(IF($CG$11="Yes",INDEX($CB$13:$CB$2950,SMALL(IF((County=$CC$13:$CC$2950),MATCH(ROW($CC$13:$CC$2950),ROW($CC$13:$CC$2950)),""),ROWS($A$13:$A517))),""),"")</f>
        <v/>
      </c>
      <c r="CL459" s="236">
        <v>12.06</v>
      </c>
      <c r="CM459" s="236" t="s">
        <v>347</v>
      </c>
      <c r="CR459" s="340">
        <v>26</v>
      </c>
      <c r="CS459" s="340" t="s">
        <v>331</v>
      </c>
      <c r="CT459" s="1384"/>
      <c r="CZ459" s="1795">
        <v>4.1399999999999997</v>
      </c>
      <c r="DA459" s="338" t="s">
        <v>331</v>
      </c>
      <c r="DF459" s="340">
        <v>101.12</v>
      </c>
      <c r="DG459" s="340" t="s">
        <v>297</v>
      </c>
      <c r="DP459" s="236">
        <v>114</v>
      </c>
      <c r="DQ459" s="236" t="s">
        <v>302</v>
      </c>
      <c r="DV459" s="340">
        <v>27.06</v>
      </c>
      <c r="DW459" s="340" t="s">
        <v>285</v>
      </c>
      <c r="DX459" s="1671"/>
      <c r="EB459" s="618"/>
      <c r="EC459" s="618"/>
      <c r="ED459" s="618"/>
      <c r="EE459" s="618"/>
      <c r="EF459" s="618"/>
      <c r="EG459" s="618"/>
      <c r="EH459" s="618"/>
      <c r="EI459" s="618"/>
      <c r="EJ459" s="618"/>
      <c r="EK459" s="618"/>
      <c r="EL459" s="618"/>
      <c r="EM459" s="618"/>
    </row>
    <row r="460" spans="6:143">
      <c r="F460" s="338">
        <v>36.03</v>
      </c>
      <c r="G460" s="338" t="s">
        <v>331</v>
      </c>
      <c r="L460" s="2481">
        <v>102.17</v>
      </c>
      <c r="M460" s="340" t="s">
        <v>297</v>
      </c>
      <c r="N460" s="1390"/>
      <c r="O460" s="2479"/>
      <c r="P460" s="2282"/>
      <c r="AA460" s="338">
        <v>124.02</v>
      </c>
      <c r="AB460" s="338" t="s">
        <v>338</v>
      </c>
      <c r="AG460" s="2297">
        <v>27.06</v>
      </c>
      <c r="AH460" s="2297" t="s">
        <v>285</v>
      </c>
      <c r="AI460" s="1390"/>
      <c r="AJ460" s="2282"/>
      <c r="AK460" s="2282"/>
      <c r="AL460" s="1037"/>
      <c r="AR460" s="338">
        <v>44.05</v>
      </c>
      <c r="AS460" s="338" t="s">
        <v>331</v>
      </c>
      <c r="AX460" s="340">
        <v>3.02</v>
      </c>
      <c r="AY460" s="340" t="s">
        <v>297</v>
      </c>
      <c r="BC460" s="341" t="str">
        <f t="array" ref="BC460">IFERROR(IF($BC$11="Yes",INDEX($AX$13:$AX$2950,SMALL(IF((County=$AY$13:$AY$2950),MATCH(ROW($AY$13:$AY$2950),ROW($AY$13:$AY$2950)),""),ROWS($A$13:$A518))),""),"")</f>
        <v/>
      </c>
      <c r="BH460" s="338">
        <v>112.06</v>
      </c>
      <c r="BI460" s="338" t="s">
        <v>316</v>
      </c>
      <c r="BN460" s="340">
        <v>25.15</v>
      </c>
      <c r="BO460" s="340" t="s">
        <v>324</v>
      </c>
      <c r="BP460" s="1385"/>
      <c r="BQ460" s="1389"/>
      <c r="BR460" s="6"/>
      <c r="BV460" s="338">
        <v>506.02</v>
      </c>
      <c r="BW460" s="338" t="s">
        <v>289</v>
      </c>
      <c r="CB460" s="340">
        <v>1.01</v>
      </c>
      <c r="CC460" s="340" t="s">
        <v>297</v>
      </c>
      <c r="CE460" s="341" t="str">
        <f t="array" ref="CE460">IFERROR(IF($CE$11="Metro",INDEX($BV$13:$BV$4972,SMALL(IF((County=$BW$13:$BW$4972),MATCH(ROW($BW$13:$BW$4972),ROW($BW$13:$BW$4972)),""),ROWS($A$13:$A518))),INDEX($BY$13:$BY$212,SMALL(IF((County=$BZ$13:$BZ$212),MATCH(ROW($BZ$13:$BZ$212),ROW($BZ$13:$BZ$212)),""),ROWS($A$13:$A518)))),"")</f>
        <v/>
      </c>
      <c r="CG460" s="341" t="str">
        <f t="array" ref="CG460">IFERROR(IF($CG$11="Yes",INDEX($CB$13:$CB$2950,SMALL(IF((County=$CC$13:$CC$2950),MATCH(ROW($CC$13:$CC$2950),ROW($CC$13:$CC$2950)),""),ROWS($A$13:$A518))),""),"")</f>
        <v/>
      </c>
      <c r="CL460" s="236">
        <v>12.07</v>
      </c>
      <c r="CM460" s="236" t="s">
        <v>323</v>
      </c>
      <c r="CR460" s="340">
        <v>26</v>
      </c>
      <c r="CS460" s="340" t="s">
        <v>340</v>
      </c>
      <c r="CT460" s="1384"/>
      <c r="CZ460" s="1795">
        <v>4.16</v>
      </c>
      <c r="DA460" s="338" t="s">
        <v>331</v>
      </c>
      <c r="DF460" s="340">
        <v>101.14</v>
      </c>
      <c r="DG460" s="340" t="s">
        <v>297</v>
      </c>
      <c r="DP460" s="236">
        <v>114</v>
      </c>
      <c r="DQ460" s="236" t="s">
        <v>344</v>
      </c>
      <c r="DV460" s="340">
        <v>27.06</v>
      </c>
      <c r="DW460" s="340" t="s">
        <v>329</v>
      </c>
      <c r="DX460" s="1671"/>
      <c r="EB460" s="618"/>
      <c r="EC460" s="618"/>
      <c r="ED460" s="618"/>
      <c r="EE460" s="618"/>
      <c r="EF460" s="618"/>
      <c r="EG460" s="618"/>
      <c r="EH460" s="618"/>
      <c r="EI460" s="618"/>
      <c r="EJ460" s="618"/>
      <c r="EK460" s="618"/>
      <c r="EL460" s="618"/>
      <c r="EM460" s="618"/>
    </row>
    <row r="461" spans="6:143">
      <c r="F461" s="338">
        <v>36.049999999999997</v>
      </c>
      <c r="G461" s="338" t="s">
        <v>331</v>
      </c>
      <c r="L461" s="2481">
        <v>103</v>
      </c>
      <c r="M461" s="340" t="s">
        <v>297</v>
      </c>
      <c r="N461" s="1390"/>
      <c r="O461" s="2479"/>
      <c r="P461" s="2282"/>
      <c r="AA461" s="338">
        <v>124.03</v>
      </c>
      <c r="AB461" s="338" t="s">
        <v>338</v>
      </c>
      <c r="AG461" s="2297">
        <v>27.06</v>
      </c>
      <c r="AH461" s="2297" t="s">
        <v>329</v>
      </c>
      <c r="AI461" s="1390"/>
      <c r="AJ461" s="2282"/>
      <c r="AK461" s="2282"/>
      <c r="AL461" s="1037"/>
      <c r="AR461" s="338">
        <v>49.01</v>
      </c>
      <c r="AS461" s="338" t="s">
        <v>331</v>
      </c>
      <c r="AX461" s="340">
        <v>4.01</v>
      </c>
      <c r="AY461" s="340" t="s">
        <v>297</v>
      </c>
      <c r="BC461" s="341" t="str">
        <f t="array" ref="BC461">IFERROR(IF($BC$11="Yes",INDEX($AX$13:$AX$2950,SMALL(IF((County=$AY$13:$AY$2950),MATCH(ROW($AY$13:$AY$2950),ROW($AY$13:$AY$2950)),""),ROWS($A$13:$A519))),""),"")</f>
        <v/>
      </c>
      <c r="BH461" s="338">
        <v>112.06</v>
      </c>
      <c r="BI461" s="338" t="s">
        <v>331</v>
      </c>
      <c r="BN461" s="340">
        <v>25.16</v>
      </c>
      <c r="BO461" s="340" t="s">
        <v>324</v>
      </c>
      <c r="BP461" s="1385"/>
      <c r="BQ461" s="1389"/>
      <c r="BR461" s="6"/>
      <c r="BV461" s="338">
        <v>507.01</v>
      </c>
      <c r="BW461" s="338" t="s">
        <v>289</v>
      </c>
      <c r="CB461" s="340">
        <v>1.02</v>
      </c>
      <c r="CC461" s="340" t="s">
        <v>297</v>
      </c>
      <c r="CE461" s="341" t="str">
        <f t="array" ref="CE461">IFERROR(IF($CE$11="Metro",INDEX($BV$13:$BV$4972,SMALL(IF((County=$BW$13:$BW$4972),MATCH(ROW($BW$13:$BW$4972),ROW($BW$13:$BW$4972)),""),ROWS($A$13:$A519))),INDEX($BY$13:$BY$212,SMALL(IF((County=$BZ$13:$BZ$212),MATCH(ROW($BZ$13:$BZ$212),ROW($BZ$13:$BZ$212)),""),ROWS($A$13:$A519)))),"")</f>
        <v/>
      </c>
      <c r="CG461" s="341" t="str">
        <f t="array" ref="CG461">IFERROR(IF($CG$11="Yes",INDEX($CB$13:$CB$2950,SMALL(IF((County=$CC$13:$CC$2950),MATCH(ROW($CC$13:$CC$2950),ROW($CC$13:$CC$2950)),""),ROWS($A$13:$A519))),""),"")</f>
        <v/>
      </c>
      <c r="CL461" s="236">
        <v>12.07</v>
      </c>
      <c r="CM461" s="236" t="s">
        <v>331</v>
      </c>
      <c r="CR461" s="340">
        <v>26.01</v>
      </c>
      <c r="CS461" s="340" t="s">
        <v>304</v>
      </c>
      <c r="CT461" s="1384"/>
      <c r="CZ461" s="1795">
        <v>4.17</v>
      </c>
      <c r="DA461" s="338" t="s">
        <v>331</v>
      </c>
      <c r="DF461" s="340">
        <v>102.05</v>
      </c>
      <c r="DG461" s="340" t="s">
        <v>297</v>
      </c>
      <c r="DP461" s="236">
        <v>114.07</v>
      </c>
      <c r="DQ461" s="236" t="s">
        <v>331</v>
      </c>
      <c r="DV461" s="340">
        <v>27.07</v>
      </c>
      <c r="DW461" s="340" t="s">
        <v>285</v>
      </c>
      <c r="DX461" s="1671"/>
      <c r="EB461" s="618"/>
      <c r="EC461" s="618"/>
      <c r="ED461" s="618"/>
      <c r="EE461" s="618"/>
      <c r="EF461" s="618"/>
      <c r="EG461" s="618"/>
      <c r="EH461" s="618"/>
      <c r="EI461" s="618"/>
      <c r="EJ461" s="618"/>
      <c r="EK461" s="618"/>
      <c r="EL461" s="618"/>
      <c r="EM461" s="618"/>
    </row>
    <row r="462" spans="6:143">
      <c r="F462" s="338">
        <v>36.06</v>
      </c>
      <c r="G462" s="338" t="s">
        <v>331</v>
      </c>
      <c r="L462" s="2481">
        <v>104.01</v>
      </c>
      <c r="M462" s="340" t="s">
        <v>297</v>
      </c>
      <c r="N462" s="1390"/>
      <c r="O462" s="2479"/>
      <c r="P462" s="2282"/>
      <c r="AA462" s="338">
        <v>124.05</v>
      </c>
      <c r="AB462" s="338" t="s">
        <v>338</v>
      </c>
      <c r="AG462" s="2297">
        <v>27.07</v>
      </c>
      <c r="AH462" s="2297" t="s">
        <v>285</v>
      </c>
      <c r="AI462" s="1390"/>
      <c r="AJ462" s="2282"/>
      <c r="AK462" s="2282"/>
      <c r="AL462" s="1037"/>
      <c r="AR462" s="338">
        <v>49.03</v>
      </c>
      <c r="AS462" s="338" t="s">
        <v>331</v>
      </c>
      <c r="AX462" s="340">
        <v>4.0199999999999996</v>
      </c>
      <c r="AY462" s="340" t="s">
        <v>297</v>
      </c>
      <c r="BC462" s="341" t="str">
        <f t="array" ref="BC462">IFERROR(IF($BC$11="Yes",INDEX($AX$13:$AX$2950,SMALL(IF((County=$AY$13:$AY$2950),MATCH(ROW($AY$13:$AY$2950),ROW($AY$13:$AY$2950)),""),ROWS($A$13:$A520))),""),"")</f>
        <v/>
      </c>
      <c r="BH462" s="338">
        <v>113</v>
      </c>
      <c r="BI462" s="338" t="s">
        <v>302</v>
      </c>
      <c r="BN462" s="340">
        <v>25.17</v>
      </c>
      <c r="BO462" s="340" t="s">
        <v>324</v>
      </c>
      <c r="BP462" s="1385"/>
      <c r="BQ462" s="1389"/>
      <c r="BR462" s="6"/>
      <c r="BV462" s="338">
        <v>507.02</v>
      </c>
      <c r="BW462" s="338" t="s">
        <v>289</v>
      </c>
      <c r="CB462" s="340">
        <v>2</v>
      </c>
      <c r="CC462" s="340" t="s">
        <v>297</v>
      </c>
      <c r="CE462" s="341" t="str">
        <f t="array" ref="CE462">IFERROR(IF($CE$11="Metro",INDEX($BV$13:$BV$4972,SMALL(IF((County=$BW$13:$BW$4972),MATCH(ROW($BW$13:$BW$4972),ROW($BW$13:$BW$4972)),""),ROWS($A$13:$A520))),INDEX($BY$13:$BY$212,SMALL(IF((County=$BZ$13:$BZ$212),MATCH(ROW($BZ$13:$BZ$212),ROW($BZ$13:$BZ$212)),""),ROWS($A$13:$A520)))),"")</f>
        <v/>
      </c>
      <c r="CG462" s="341" t="str">
        <f t="array" ref="CG462">IFERROR(IF($CG$11="Yes",INDEX($CB$13:$CB$2950,SMALL(IF((County=$CC$13:$CC$2950),MATCH(ROW($CC$13:$CC$2950),ROW($CC$13:$CC$2950)),""),ROWS($A$13:$A520))),""),"")</f>
        <v/>
      </c>
      <c r="CL462" s="236">
        <v>12.08</v>
      </c>
      <c r="CM462" s="236" t="s">
        <v>323</v>
      </c>
      <c r="CR462" s="340">
        <v>26.01</v>
      </c>
      <c r="CS462" s="340" t="s">
        <v>347</v>
      </c>
      <c r="CT462" s="1384"/>
      <c r="CZ462" s="1795">
        <v>4.18</v>
      </c>
      <c r="DA462" s="338" t="s">
        <v>331</v>
      </c>
      <c r="DF462" s="340">
        <v>102.08</v>
      </c>
      <c r="DG462" s="340" t="s">
        <v>297</v>
      </c>
      <c r="DP462" s="236">
        <v>115</v>
      </c>
      <c r="DQ462" s="236" t="s">
        <v>302</v>
      </c>
      <c r="DV462" s="340">
        <v>27.07</v>
      </c>
      <c r="DW462" s="340" t="s">
        <v>331</v>
      </c>
      <c r="DX462" s="1671"/>
      <c r="EB462" s="618"/>
      <c r="EC462" s="618"/>
      <c r="ED462" s="618"/>
      <c r="EE462" s="618"/>
      <c r="EF462" s="618"/>
      <c r="EG462" s="618"/>
      <c r="EH462" s="618"/>
      <c r="EI462" s="618"/>
      <c r="EJ462" s="618"/>
      <c r="EK462" s="618"/>
      <c r="EL462" s="618"/>
      <c r="EM462" s="618"/>
    </row>
    <row r="463" spans="6:143">
      <c r="F463" s="338">
        <v>36.07</v>
      </c>
      <c r="G463" s="338" t="s">
        <v>331</v>
      </c>
      <c r="L463" s="2481">
        <v>104.08</v>
      </c>
      <c r="M463" s="340" t="s">
        <v>297</v>
      </c>
      <c r="N463" s="1390"/>
      <c r="O463" s="2479"/>
      <c r="P463" s="2282"/>
      <c r="AA463" s="338">
        <v>126</v>
      </c>
      <c r="AB463" s="338" t="s">
        <v>316</v>
      </c>
      <c r="AG463" s="2297">
        <v>27.07</v>
      </c>
      <c r="AH463" s="2297" t="s">
        <v>331</v>
      </c>
      <c r="AI463" s="1390"/>
      <c r="AJ463" s="2282"/>
      <c r="AK463" s="2282"/>
      <c r="AL463" s="1037"/>
      <c r="AR463" s="338">
        <v>49.04</v>
      </c>
      <c r="AS463" s="338" t="s">
        <v>331</v>
      </c>
      <c r="AX463" s="340">
        <v>5</v>
      </c>
      <c r="AY463" s="340" t="s">
        <v>297</v>
      </c>
      <c r="BC463" s="341" t="str">
        <f t="array" ref="BC463">IFERROR(IF($BC$11="Yes",INDEX($AX$13:$AX$2950,SMALL(IF((County=$AY$13:$AY$2950),MATCH(ROW($AY$13:$AY$2950),ROW($AY$13:$AY$2950)),""),ROWS($A$13:$A521))),""),"")</f>
        <v/>
      </c>
      <c r="BH463" s="338">
        <v>113</v>
      </c>
      <c r="BI463" s="338" t="s">
        <v>344</v>
      </c>
      <c r="BN463" s="340">
        <v>26</v>
      </c>
      <c r="BO463" s="340" t="s">
        <v>331</v>
      </c>
      <c r="BP463" s="1385"/>
      <c r="BQ463" s="1389"/>
      <c r="BR463" s="6"/>
      <c r="BV463" s="338">
        <v>508</v>
      </c>
      <c r="BW463" s="338" t="s">
        <v>289</v>
      </c>
      <c r="CB463" s="340">
        <v>3.01</v>
      </c>
      <c r="CC463" s="340" t="s">
        <v>297</v>
      </c>
      <c r="CE463" s="341" t="str">
        <f t="array" ref="CE463">IFERROR(IF($CE$11="Metro",INDEX($BV$13:$BV$4972,SMALL(IF((County=$BW$13:$BW$4972),MATCH(ROW($BW$13:$BW$4972),ROW($BW$13:$BW$4972)),""),ROWS($A$13:$A521))),INDEX($BY$13:$BY$212,SMALL(IF((County=$BZ$13:$BZ$212),MATCH(ROW($BZ$13:$BZ$212),ROW($BZ$13:$BZ$212)),""),ROWS($A$13:$A521)))),"")</f>
        <v/>
      </c>
      <c r="CG463" s="341" t="str">
        <f t="array" ref="CG463">IFERROR(IF($CG$11="Yes",INDEX($CB$13:$CB$2950,SMALL(IF((County=$CC$13:$CC$2950),MATCH(ROW($CC$13:$CC$2950),ROW($CC$13:$CC$2950)),""),ROWS($A$13:$A521))),""),"")</f>
        <v/>
      </c>
      <c r="CL463" s="236">
        <v>12.08</v>
      </c>
      <c r="CM463" s="236" t="s">
        <v>329</v>
      </c>
      <c r="CR463" s="340">
        <v>26.02</v>
      </c>
      <c r="CS463" s="340" t="s">
        <v>304</v>
      </c>
      <c r="CT463" s="1384"/>
      <c r="CZ463" s="1795">
        <v>5.04</v>
      </c>
      <c r="DA463" s="338" t="s">
        <v>331</v>
      </c>
      <c r="DF463" s="340">
        <v>102.09</v>
      </c>
      <c r="DG463" s="340" t="s">
        <v>297</v>
      </c>
      <c r="DP463" s="236">
        <v>115.01</v>
      </c>
      <c r="DQ463" s="236" t="s">
        <v>344</v>
      </c>
      <c r="DV463" s="340">
        <v>27.08</v>
      </c>
      <c r="DW463" s="340" t="s">
        <v>331</v>
      </c>
      <c r="DX463" s="1671"/>
      <c r="EB463" s="618"/>
      <c r="EC463" s="618"/>
      <c r="ED463" s="618"/>
      <c r="EE463" s="618"/>
      <c r="EF463" s="618"/>
      <c r="EG463" s="618"/>
      <c r="EH463" s="618"/>
      <c r="EI463" s="618"/>
      <c r="EJ463" s="618"/>
      <c r="EK463" s="618"/>
      <c r="EL463" s="618"/>
      <c r="EM463" s="618"/>
    </row>
    <row r="464" spans="6:143">
      <c r="F464" s="338">
        <v>39.090000000000003</v>
      </c>
      <c r="G464" s="338" t="s">
        <v>331</v>
      </c>
      <c r="L464" s="2481">
        <v>104.16</v>
      </c>
      <c r="M464" s="340" t="s">
        <v>297</v>
      </c>
      <c r="N464" s="1390"/>
      <c r="O464" s="2479"/>
      <c r="P464" s="2282"/>
      <c r="AA464" s="338">
        <v>126.01</v>
      </c>
      <c r="AB464" s="338" t="s">
        <v>302</v>
      </c>
      <c r="AG464" s="2297">
        <v>27.08</v>
      </c>
      <c r="AH464" s="2297" t="s">
        <v>331</v>
      </c>
      <c r="AI464" s="1390"/>
      <c r="AJ464" s="2282"/>
      <c r="AK464" s="2282"/>
      <c r="AL464" s="1037"/>
      <c r="AR464" s="338">
        <v>50.02</v>
      </c>
      <c r="AS464" s="338" t="s">
        <v>331</v>
      </c>
      <c r="AX464" s="340">
        <v>6</v>
      </c>
      <c r="AY464" s="340" t="s">
        <v>297</v>
      </c>
      <c r="BC464" s="341" t="str">
        <f t="array" ref="BC464">IFERROR(IF($BC$11="Yes",INDEX($AX$13:$AX$2950,SMALL(IF((County=$AY$13:$AY$2950),MATCH(ROW($AY$13:$AY$2950),ROW($AY$13:$AY$2950)),""),ROWS($A$13:$A522))),""),"")</f>
        <v/>
      </c>
      <c r="BH464" s="338">
        <v>113.01</v>
      </c>
      <c r="BI464" s="338" t="s">
        <v>331</v>
      </c>
      <c r="BN464" s="340">
        <v>26</v>
      </c>
      <c r="BO464" s="340" t="s">
        <v>340</v>
      </c>
      <c r="BP464" s="1385"/>
      <c r="BQ464" s="1389"/>
      <c r="BR464" s="6"/>
      <c r="BV464" s="338">
        <v>509</v>
      </c>
      <c r="BW464" s="338" t="s">
        <v>289</v>
      </c>
      <c r="CB464" s="340">
        <v>3.02</v>
      </c>
      <c r="CC464" s="340" t="s">
        <v>297</v>
      </c>
      <c r="CE464" s="341" t="str">
        <f t="array" ref="CE464">IFERROR(IF($CE$11="Metro",INDEX($BV$13:$BV$4972,SMALL(IF((County=$BW$13:$BW$4972),MATCH(ROW($BW$13:$BW$4972),ROW($BW$13:$BW$4972)),""),ROWS($A$13:$A522))),INDEX($BY$13:$BY$212,SMALL(IF((County=$BZ$13:$BZ$212),MATCH(ROW($BZ$13:$BZ$212),ROW($BZ$13:$BZ$212)),""),ROWS($A$13:$A522)))),"")</f>
        <v/>
      </c>
      <c r="CG464" s="341" t="str">
        <f t="array" ref="CG464">IFERROR(IF($CG$11="Yes",INDEX($CB$13:$CB$2950,SMALL(IF((County=$CC$13:$CC$2950),MATCH(ROW($CC$13:$CC$2950),ROW($CC$13:$CC$2950)),""),ROWS($A$13:$A522))),""),"")</f>
        <v/>
      </c>
      <c r="CL464" s="236">
        <v>12.08</v>
      </c>
      <c r="CM464" s="236" t="s">
        <v>331</v>
      </c>
      <c r="CR464" s="340">
        <v>26.04</v>
      </c>
      <c r="CS464" s="340" t="s">
        <v>285</v>
      </c>
      <c r="CT464" s="1384"/>
      <c r="CZ464" s="1795">
        <v>5.05</v>
      </c>
      <c r="DA464" s="338" t="s">
        <v>331</v>
      </c>
      <c r="DF464" s="340">
        <v>102.1</v>
      </c>
      <c r="DG464" s="340" t="s">
        <v>297</v>
      </c>
      <c r="DP464" s="236">
        <v>116</v>
      </c>
      <c r="DQ464" s="236" t="s">
        <v>302</v>
      </c>
      <c r="DV464" s="340">
        <v>27.09</v>
      </c>
      <c r="DW464" s="340" t="s">
        <v>285</v>
      </c>
      <c r="DX464" s="1671"/>
      <c r="EB464" s="618"/>
      <c r="EC464" s="618"/>
      <c r="ED464" s="618"/>
      <c r="EE464" s="618"/>
      <c r="EF464" s="618"/>
      <c r="EG464" s="618"/>
      <c r="EH464" s="618"/>
      <c r="EI464" s="618"/>
      <c r="EJ464" s="618"/>
      <c r="EK464" s="618"/>
      <c r="EL464" s="618"/>
      <c r="EM464" s="618"/>
    </row>
    <row r="465" spans="6:143">
      <c r="F465" s="338">
        <v>39.11</v>
      </c>
      <c r="G465" s="338" t="s">
        <v>331</v>
      </c>
      <c r="L465" s="2481">
        <v>104.23</v>
      </c>
      <c r="M465" s="340" t="s">
        <v>297</v>
      </c>
      <c r="N465" s="1390"/>
      <c r="O465" s="2479"/>
      <c r="P465" s="2282"/>
      <c r="AA465" s="338">
        <v>126.02</v>
      </c>
      <c r="AB465" s="338" t="s">
        <v>302</v>
      </c>
      <c r="AG465" s="2297">
        <v>27.09</v>
      </c>
      <c r="AH465" s="2297" t="s">
        <v>331</v>
      </c>
      <c r="AI465" s="1390"/>
      <c r="AJ465" s="2282"/>
      <c r="AK465" s="2282"/>
      <c r="AL465" s="1037"/>
      <c r="AR465" s="338">
        <v>51.02</v>
      </c>
      <c r="AS465" s="338" t="s">
        <v>331</v>
      </c>
      <c r="AX465" s="340">
        <v>101.02</v>
      </c>
      <c r="AY465" s="340" t="s">
        <v>297</v>
      </c>
      <c r="BC465" s="341" t="str">
        <f t="array" ref="BC465">IFERROR(IF($BC$11="Yes",INDEX($AX$13:$AX$2950,SMALL(IF((County=$AY$13:$AY$2950),MATCH(ROW($AY$13:$AY$2950),ROW($AY$13:$AY$2950)),""),ROWS($A$13:$A523))),""),"")</f>
        <v/>
      </c>
      <c r="BH465" s="338">
        <v>113.02</v>
      </c>
      <c r="BI465" s="338" t="s">
        <v>331</v>
      </c>
      <c r="BN465" s="340">
        <v>26.01</v>
      </c>
      <c r="BO465" s="340" t="s">
        <v>304</v>
      </c>
      <c r="BP465" s="1385"/>
      <c r="BQ465" s="1389"/>
      <c r="BR465" s="6"/>
      <c r="BV465" s="338">
        <v>510.01</v>
      </c>
      <c r="BW465" s="338" t="s">
        <v>289</v>
      </c>
      <c r="CB465" s="340">
        <v>4.01</v>
      </c>
      <c r="CC465" s="340" t="s">
        <v>297</v>
      </c>
      <c r="CE465" s="341" t="str">
        <f t="array" ref="CE465">IFERROR(IF($CE$11="Metro",INDEX($BV$13:$BV$4972,SMALL(IF((County=$BW$13:$BW$4972),MATCH(ROW($BW$13:$BW$4972),ROW($BW$13:$BW$4972)),""),ROWS($A$13:$A523))),INDEX($BY$13:$BY$212,SMALL(IF((County=$BZ$13:$BZ$212),MATCH(ROW($BZ$13:$BZ$212),ROW($BZ$13:$BZ$212)),""),ROWS($A$13:$A523)))),"")</f>
        <v/>
      </c>
      <c r="CG465" s="341" t="str">
        <f t="array" ref="CG465">IFERROR(IF($CG$11="Yes",INDEX($CB$13:$CB$2950,SMALL(IF((County=$CC$13:$CC$2950),MATCH(ROW($CC$13:$CC$2950),ROW($CC$13:$CC$2950)),""),ROWS($A$13:$A523))),""),"")</f>
        <v/>
      </c>
      <c r="CL465" s="236">
        <v>12.09</v>
      </c>
      <c r="CM465" s="236" t="s">
        <v>323</v>
      </c>
      <c r="CR465" s="340">
        <v>26.04</v>
      </c>
      <c r="CS465" s="340" t="s">
        <v>304</v>
      </c>
      <c r="CT465" s="1384"/>
      <c r="CZ465" s="1795">
        <v>5.08</v>
      </c>
      <c r="DA465" s="338" t="s">
        <v>331</v>
      </c>
      <c r="DF465" s="340">
        <v>102.11</v>
      </c>
      <c r="DG465" s="340" t="s">
        <v>297</v>
      </c>
      <c r="DP465" s="236">
        <v>116</v>
      </c>
      <c r="DQ465" s="236" t="s">
        <v>338</v>
      </c>
      <c r="DV465" s="340">
        <v>27.09</v>
      </c>
      <c r="DW465" s="340" t="s">
        <v>331</v>
      </c>
      <c r="DX465" s="1671"/>
      <c r="EB465" s="618"/>
      <c r="EC465" s="618"/>
      <c r="ED465" s="618"/>
      <c r="EE465" s="618"/>
      <c r="EF465" s="618"/>
      <c r="EG465" s="618"/>
      <c r="EH465" s="618"/>
      <c r="EI465" s="618"/>
      <c r="EJ465" s="618"/>
      <c r="EK465" s="618"/>
      <c r="EL465" s="618"/>
      <c r="EM465" s="618"/>
    </row>
    <row r="466" spans="6:143">
      <c r="F466" s="338">
        <v>39.130000000000003</v>
      </c>
      <c r="G466" s="338" t="s">
        <v>331</v>
      </c>
      <c r="L466" s="2481">
        <v>104.24</v>
      </c>
      <c r="M466" s="340" t="s">
        <v>297</v>
      </c>
      <c r="N466" s="1390"/>
      <c r="O466" s="2479"/>
      <c r="P466" s="2282"/>
      <c r="AA466" s="338">
        <v>126.02</v>
      </c>
      <c r="AB466" s="338" t="s">
        <v>344</v>
      </c>
      <c r="AG466" s="2297">
        <v>27.1</v>
      </c>
      <c r="AH466" s="2297" t="s">
        <v>285</v>
      </c>
      <c r="AI466" s="1390"/>
      <c r="AJ466" s="2282"/>
      <c r="AK466" s="2282"/>
      <c r="AL466" s="1037"/>
      <c r="AR466" s="338">
        <v>51.03</v>
      </c>
      <c r="AS466" s="338" t="s">
        <v>331</v>
      </c>
      <c r="AX466" s="340">
        <v>101.08</v>
      </c>
      <c r="AY466" s="340" t="s">
        <v>297</v>
      </c>
      <c r="BC466" s="341" t="str">
        <f t="array" ref="BC466">IFERROR(IF($BC$11="Yes",INDEX($AX$13:$AX$2950,SMALL(IF((County=$AY$13:$AY$2950),MATCH(ROW($AY$13:$AY$2950),ROW($AY$13:$AY$2950)),""),ROWS($A$13:$A524))),""),"")</f>
        <v/>
      </c>
      <c r="BH466" s="338">
        <v>113.03</v>
      </c>
      <c r="BI466" s="338" t="s">
        <v>297</v>
      </c>
      <c r="BN466" s="340">
        <v>26.01</v>
      </c>
      <c r="BO466" s="340" t="s">
        <v>347</v>
      </c>
      <c r="BP466" s="1385"/>
      <c r="BQ466" s="1389"/>
      <c r="BR466" s="6"/>
      <c r="BV466" s="338">
        <v>510.02</v>
      </c>
      <c r="BW466" s="338" t="s">
        <v>289</v>
      </c>
      <c r="CB466" s="340">
        <v>4.0199999999999996</v>
      </c>
      <c r="CC466" s="340" t="s">
        <v>297</v>
      </c>
      <c r="CE466" s="341" t="str">
        <f t="array" ref="CE466">IFERROR(IF($CE$11="Metro",INDEX($BV$13:$BV$4972,SMALL(IF((County=$BW$13:$BW$4972),MATCH(ROW($BW$13:$BW$4972),ROW($BW$13:$BW$4972)),""),ROWS($A$13:$A524))),INDEX($BY$13:$BY$212,SMALL(IF((County=$BZ$13:$BZ$212),MATCH(ROW($BZ$13:$BZ$212),ROW($BZ$13:$BZ$212)),""),ROWS($A$13:$A524)))),"")</f>
        <v/>
      </c>
      <c r="CG466" s="341" t="str">
        <f t="array" ref="CG466">IFERROR(IF($CG$11="Yes",INDEX($CB$13:$CB$2950,SMALL(IF((County=$CC$13:$CC$2950),MATCH(ROW($CC$13:$CC$2950),ROW($CC$13:$CC$2950)),""),ROWS($A$13:$A524))),""),"")</f>
        <v/>
      </c>
      <c r="CL466" s="236">
        <v>12.09</v>
      </c>
      <c r="CM466" s="236" t="s">
        <v>329</v>
      </c>
      <c r="CR466" s="340">
        <v>26.04</v>
      </c>
      <c r="CS466" s="340" t="s">
        <v>347</v>
      </c>
      <c r="CT466" s="1384"/>
      <c r="CZ466" s="1795">
        <v>5.09</v>
      </c>
      <c r="DA466" s="338" t="s">
        <v>331</v>
      </c>
      <c r="DF466" s="340">
        <v>102.13</v>
      </c>
      <c r="DG466" s="340" t="s">
        <v>297</v>
      </c>
      <c r="DP466" s="236">
        <v>116.05</v>
      </c>
      <c r="DQ466" s="236" t="s">
        <v>316</v>
      </c>
      <c r="DV466" s="340">
        <v>27.1</v>
      </c>
      <c r="DW466" s="340" t="s">
        <v>285</v>
      </c>
      <c r="DX466" s="1671"/>
      <c r="EB466" s="618"/>
      <c r="EC466" s="618"/>
      <c r="ED466" s="618"/>
      <c r="EE466" s="618"/>
      <c r="EF466" s="618"/>
      <c r="EG466" s="618"/>
      <c r="EH466" s="618"/>
      <c r="EI466" s="618"/>
      <c r="EJ466" s="618"/>
      <c r="EK466" s="618"/>
      <c r="EL466" s="618"/>
      <c r="EM466" s="618"/>
    </row>
    <row r="467" spans="6:143">
      <c r="F467" s="338">
        <v>39.14</v>
      </c>
      <c r="G467" s="338" t="s">
        <v>331</v>
      </c>
      <c r="L467" s="2481">
        <v>104.25</v>
      </c>
      <c r="M467" s="340" t="s">
        <v>297</v>
      </c>
      <c r="N467" s="1390"/>
      <c r="O467" s="2479"/>
      <c r="P467" s="2282"/>
      <c r="AA467" s="338">
        <v>127.02</v>
      </c>
      <c r="AB467" s="338" t="s">
        <v>302</v>
      </c>
      <c r="AG467" s="2297">
        <v>27.1</v>
      </c>
      <c r="AH467" s="2297" t="s">
        <v>331</v>
      </c>
      <c r="AI467" s="1390"/>
      <c r="AJ467" s="2282"/>
      <c r="AK467" s="2282"/>
      <c r="AL467" s="1037"/>
      <c r="AR467" s="338">
        <v>51.04</v>
      </c>
      <c r="AS467" s="338" t="s">
        <v>331</v>
      </c>
      <c r="AX467" s="340">
        <v>101.09</v>
      </c>
      <c r="AY467" s="340" t="s">
        <v>297</v>
      </c>
      <c r="BC467" s="341" t="str">
        <f t="array" ref="BC467">IFERROR(IF($BC$11="Yes",INDEX($AX$13:$AX$2950,SMALL(IF((County=$AY$13:$AY$2950),MATCH(ROW($AY$13:$AY$2950),ROW($AY$13:$AY$2950)),""),ROWS($A$13:$A525))),""),"")</f>
        <v/>
      </c>
      <c r="BH467" s="338">
        <v>113.04</v>
      </c>
      <c r="BI467" s="338" t="s">
        <v>297</v>
      </c>
      <c r="BN467" s="340">
        <v>26.02</v>
      </c>
      <c r="BO467" s="340" t="s">
        <v>304</v>
      </c>
      <c r="BP467" s="1385"/>
      <c r="BQ467" s="1389"/>
      <c r="BR467" s="6"/>
      <c r="BV467" s="338">
        <v>601.04999999999995</v>
      </c>
      <c r="BW467" s="338" t="s">
        <v>289</v>
      </c>
      <c r="CB467" s="340">
        <v>5</v>
      </c>
      <c r="CC467" s="340" t="s">
        <v>297</v>
      </c>
      <c r="CE467" s="341" t="str">
        <f t="array" ref="CE467">IFERROR(IF($CE$11="Metro",INDEX($BV$13:$BV$4972,SMALL(IF((County=$BW$13:$BW$4972),MATCH(ROW($BW$13:$BW$4972),ROW($BW$13:$BW$4972)),""),ROWS($A$13:$A525))),INDEX($BY$13:$BY$212,SMALL(IF((County=$BZ$13:$BZ$212),MATCH(ROW($BZ$13:$BZ$212),ROW($BZ$13:$BZ$212)),""),ROWS($A$13:$A525)))),"")</f>
        <v/>
      </c>
      <c r="CG467" s="341" t="str">
        <f t="array" ref="CG467">IFERROR(IF($CG$11="Yes",INDEX($CB$13:$CB$2950,SMALL(IF((County=$CC$13:$CC$2950),MATCH(ROW($CC$13:$CC$2950),ROW($CC$13:$CC$2950)),""),ROWS($A$13:$A525))),""),"")</f>
        <v/>
      </c>
      <c r="CL467" s="236">
        <v>12.09</v>
      </c>
      <c r="CM467" s="236" t="s">
        <v>331</v>
      </c>
      <c r="CR467" s="340">
        <v>26.05</v>
      </c>
      <c r="CS467" s="340" t="s">
        <v>285</v>
      </c>
      <c r="CT467" s="1384"/>
      <c r="CZ467" s="1795">
        <v>6.07</v>
      </c>
      <c r="DA467" s="338" t="s">
        <v>331</v>
      </c>
      <c r="DF467" s="340">
        <v>102.15</v>
      </c>
      <c r="DG467" s="340" t="s">
        <v>297</v>
      </c>
      <c r="DP467" s="236">
        <v>116.1</v>
      </c>
      <c r="DQ467" s="236" t="s">
        <v>316</v>
      </c>
      <c r="DV467" s="340">
        <v>27.1</v>
      </c>
      <c r="DW467" s="340" t="s">
        <v>331</v>
      </c>
      <c r="DX467" s="1671"/>
      <c r="EB467" s="618"/>
      <c r="EC467" s="618"/>
      <c r="ED467" s="618"/>
      <c r="EE467" s="618"/>
      <c r="EF467" s="618"/>
      <c r="EG467" s="618"/>
      <c r="EH467" s="618"/>
      <c r="EI467" s="618"/>
      <c r="EJ467" s="618"/>
      <c r="EK467" s="618"/>
      <c r="EL467" s="618"/>
      <c r="EM467" s="618"/>
    </row>
    <row r="468" spans="6:143">
      <c r="F468" s="338">
        <v>41.03</v>
      </c>
      <c r="G468" s="338" t="s">
        <v>331</v>
      </c>
      <c r="L468" s="2481">
        <v>104.27</v>
      </c>
      <c r="M468" s="340" t="s">
        <v>297</v>
      </c>
      <c r="N468" s="1390"/>
      <c r="O468" s="2479"/>
      <c r="P468" s="2282"/>
      <c r="AA468" s="338">
        <v>127.04</v>
      </c>
      <c r="AB468" s="338" t="s">
        <v>302</v>
      </c>
      <c r="AG468" s="2297">
        <v>27.11</v>
      </c>
      <c r="AH468" s="2297" t="s">
        <v>285</v>
      </c>
      <c r="AI468" s="1390"/>
      <c r="AJ468" s="2282"/>
      <c r="AK468" s="2282"/>
      <c r="AL468" s="1037"/>
      <c r="AR468" s="338">
        <v>52.01</v>
      </c>
      <c r="AS468" s="338" t="s">
        <v>331</v>
      </c>
      <c r="AX468" s="340">
        <v>101.1</v>
      </c>
      <c r="AY468" s="340" t="s">
        <v>297</v>
      </c>
      <c r="BC468" s="341" t="str">
        <f t="array" ref="BC468">IFERROR(IF($BC$11="Yes",INDEX($AX$13:$AX$2950,SMALL(IF((County=$AY$13:$AY$2950),MATCH(ROW($AY$13:$AY$2950),ROW($AY$13:$AY$2950)),""),ROWS($A$13:$A526))),""),"")</f>
        <v/>
      </c>
      <c r="BH468" s="338">
        <v>113.05</v>
      </c>
      <c r="BI468" s="338" t="s">
        <v>297</v>
      </c>
      <c r="BN468" s="340">
        <v>26.04</v>
      </c>
      <c r="BO468" s="340" t="s">
        <v>304</v>
      </c>
      <c r="BP468" s="1385"/>
      <c r="BQ468" s="1389"/>
      <c r="BR468" s="6"/>
      <c r="BV468" s="338">
        <v>601.07000000000005</v>
      </c>
      <c r="BW468" s="338" t="s">
        <v>289</v>
      </c>
      <c r="CB468" s="340">
        <v>6</v>
      </c>
      <c r="CC468" s="340" t="s">
        <v>297</v>
      </c>
      <c r="CE468" s="341" t="str">
        <f t="array" ref="CE468">IFERROR(IF($CE$11="Metro",INDEX($BV$13:$BV$4972,SMALL(IF((County=$BW$13:$BW$4972),MATCH(ROW($BW$13:$BW$4972),ROW($BW$13:$BW$4972)),""),ROWS($A$13:$A526))),INDEX($BY$13:$BY$212,SMALL(IF((County=$BZ$13:$BZ$212),MATCH(ROW($BZ$13:$BZ$212),ROW($BZ$13:$BZ$212)),""),ROWS($A$13:$A526)))),"")</f>
        <v/>
      </c>
      <c r="CG468" s="341" t="str">
        <f t="array" ref="CG468">IFERROR(IF($CG$11="Yes",INDEX($CB$13:$CB$2950,SMALL(IF((County=$CC$13:$CC$2950),MATCH(ROW($CC$13:$CC$2950),ROW($CC$13:$CC$2950)),""),ROWS($A$13:$A526))),""),"")</f>
        <v/>
      </c>
      <c r="CL468" s="236">
        <v>12.1</v>
      </c>
      <c r="CM468" s="236" t="s">
        <v>329</v>
      </c>
      <c r="CR468" s="340">
        <v>26.05</v>
      </c>
      <c r="CS468" s="340" t="s">
        <v>304</v>
      </c>
      <c r="CT468" s="1384"/>
      <c r="CZ468" s="1795">
        <v>6.09</v>
      </c>
      <c r="DA468" s="338" t="s">
        <v>331</v>
      </c>
      <c r="DF468" s="340">
        <v>102.16</v>
      </c>
      <c r="DG468" s="340" t="s">
        <v>297</v>
      </c>
      <c r="DP468" s="236">
        <v>117.02</v>
      </c>
      <c r="DQ468" s="236" t="s">
        <v>338</v>
      </c>
      <c r="DV468" s="340">
        <v>27.11</v>
      </c>
      <c r="DW468" s="340" t="s">
        <v>285</v>
      </c>
      <c r="DX468" s="1671"/>
      <c r="EB468" s="618"/>
      <c r="EC468" s="618"/>
      <c r="ED468" s="618"/>
      <c r="EE468" s="618"/>
      <c r="EF468" s="618"/>
      <c r="EG468" s="618"/>
      <c r="EH468" s="618"/>
      <c r="EI468" s="618"/>
      <c r="EJ468" s="618"/>
      <c r="EK468" s="618"/>
      <c r="EL468" s="618"/>
      <c r="EM468" s="618"/>
    </row>
    <row r="469" spans="6:143">
      <c r="F469" s="338">
        <v>44.03</v>
      </c>
      <c r="G469" s="338" t="s">
        <v>331</v>
      </c>
      <c r="L469" s="2481">
        <v>104.3</v>
      </c>
      <c r="M469" s="340" t="s">
        <v>297</v>
      </c>
      <c r="N469" s="1390"/>
      <c r="O469" s="2479"/>
      <c r="P469" s="2282"/>
      <c r="AA469" s="338">
        <v>129</v>
      </c>
      <c r="AB469" s="338" t="s">
        <v>316</v>
      </c>
      <c r="AG469" s="2297">
        <v>27.12</v>
      </c>
      <c r="AH469" s="2297" t="s">
        <v>285</v>
      </c>
      <c r="AI469" s="1390"/>
      <c r="AJ469" s="2282"/>
      <c r="AK469" s="2282"/>
      <c r="AL469" s="1037"/>
      <c r="AR469" s="338">
        <v>52.02</v>
      </c>
      <c r="AS469" s="338" t="s">
        <v>331</v>
      </c>
      <c r="AX469" s="340">
        <v>101.11</v>
      </c>
      <c r="AY469" s="340" t="s">
        <v>297</v>
      </c>
      <c r="BC469" s="341" t="str">
        <f t="array" ref="BC469">IFERROR(IF($BC$11="Yes",INDEX($AX$13:$AX$2950,SMALL(IF((County=$AY$13:$AY$2950),MATCH(ROW($AY$13:$AY$2950),ROW($AY$13:$AY$2950)),""),ROWS($A$13:$A527))),""),"")</f>
        <v/>
      </c>
      <c r="BH469" s="338">
        <v>113.06</v>
      </c>
      <c r="BI469" s="338" t="s">
        <v>297</v>
      </c>
      <c r="BN469" s="340">
        <v>26.05</v>
      </c>
      <c r="BO469" s="340" t="s">
        <v>285</v>
      </c>
      <c r="BP469" s="1385"/>
      <c r="BQ469" s="1389"/>
      <c r="BR469" s="6"/>
      <c r="BV469" s="338">
        <v>601.09</v>
      </c>
      <c r="BW469" s="338" t="s">
        <v>289</v>
      </c>
      <c r="CB469" s="340">
        <v>101.02</v>
      </c>
      <c r="CC469" s="340" t="s">
        <v>297</v>
      </c>
      <c r="CE469" s="341" t="str">
        <f t="array" ref="CE469">IFERROR(IF($CE$11="Metro",INDEX($BV$13:$BV$4972,SMALL(IF((County=$BW$13:$BW$4972),MATCH(ROW($BW$13:$BW$4972),ROW($BW$13:$BW$4972)),""),ROWS($A$13:$A527))),INDEX($BY$13:$BY$212,SMALL(IF((County=$BZ$13:$BZ$212),MATCH(ROW($BZ$13:$BZ$212),ROW($BZ$13:$BZ$212)),""),ROWS($A$13:$A527)))),"")</f>
        <v/>
      </c>
      <c r="CG469" s="341" t="str">
        <f t="array" ref="CG469">IFERROR(IF($CG$11="Yes",INDEX($CB$13:$CB$2950,SMALL(IF((County=$CC$13:$CC$2950),MATCH(ROW($CC$13:$CC$2950),ROW($CC$13:$CC$2950)),""),ROWS($A$13:$A527))),""),"")</f>
        <v/>
      </c>
      <c r="CL469" s="236">
        <v>12.11</v>
      </c>
      <c r="CM469" s="236" t="s">
        <v>329</v>
      </c>
      <c r="CR469" s="340">
        <v>26.05</v>
      </c>
      <c r="CS469" s="340" t="s">
        <v>324</v>
      </c>
      <c r="CT469" s="1384"/>
      <c r="CZ469" s="1795">
        <v>6.1</v>
      </c>
      <c r="DA469" s="338" t="s">
        <v>331</v>
      </c>
      <c r="DF469" s="340">
        <v>102.17</v>
      </c>
      <c r="DG469" s="340" t="s">
        <v>297</v>
      </c>
      <c r="DP469" s="236">
        <v>117.04</v>
      </c>
      <c r="DQ469" s="236" t="s">
        <v>344</v>
      </c>
      <c r="DV469" s="340">
        <v>27.12</v>
      </c>
      <c r="DW469" s="340" t="s">
        <v>285</v>
      </c>
      <c r="DX469" s="1671"/>
      <c r="EB469" s="618"/>
      <c r="EC469" s="618"/>
      <c r="ED469" s="618"/>
      <c r="EE469" s="618"/>
      <c r="EF469" s="618"/>
      <c r="EG469" s="618"/>
      <c r="EH469" s="618"/>
      <c r="EI469" s="618"/>
      <c r="EJ469" s="618"/>
      <c r="EK469" s="618"/>
      <c r="EL469" s="618"/>
      <c r="EM469" s="618"/>
    </row>
    <row r="470" spans="6:143">
      <c r="F470" s="338">
        <v>44.04</v>
      </c>
      <c r="G470" s="338" t="s">
        <v>331</v>
      </c>
      <c r="L470" s="2481">
        <v>104.31</v>
      </c>
      <c r="M470" s="340" t="s">
        <v>297</v>
      </c>
      <c r="N470" s="1390"/>
      <c r="O470" s="2479"/>
      <c r="P470" s="2282"/>
      <c r="AA470" s="338">
        <v>130.02000000000001</v>
      </c>
      <c r="AB470" s="338" t="s">
        <v>344</v>
      </c>
      <c r="AG470" s="2297">
        <v>27.14</v>
      </c>
      <c r="AH470" s="2297" t="s">
        <v>347</v>
      </c>
      <c r="AI470" s="1390"/>
      <c r="AJ470" s="2282"/>
      <c r="AK470" s="2282"/>
      <c r="AL470" s="1037"/>
      <c r="AR470" s="338">
        <v>53.03</v>
      </c>
      <c r="AS470" s="338" t="s">
        <v>331</v>
      </c>
      <c r="AX470" s="340">
        <v>101.12</v>
      </c>
      <c r="AY470" s="340" t="s">
        <v>297</v>
      </c>
      <c r="BC470" s="341" t="str">
        <f t="array" ref="BC470">IFERROR(IF($BC$11="Yes",INDEX($AX$13:$AX$2950,SMALL(IF((County=$AY$13:$AY$2950),MATCH(ROW($AY$13:$AY$2950),ROW($AY$13:$AY$2950)),""),ROWS($A$13:$A528))),""),"")</f>
        <v/>
      </c>
      <c r="BH470" s="338">
        <v>114</v>
      </c>
      <c r="BI470" s="338" t="s">
        <v>297</v>
      </c>
      <c r="BN470" s="340">
        <v>26.05</v>
      </c>
      <c r="BO470" s="340" t="s">
        <v>304</v>
      </c>
      <c r="BP470" s="1385"/>
      <c r="BQ470" s="1389"/>
      <c r="BR470" s="6"/>
      <c r="BV470" s="338">
        <v>601.11</v>
      </c>
      <c r="BW470" s="338" t="s">
        <v>289</v>
      </c>
      <c r="CB470" s="340">
        <v>101.08</v>
      </c>
      <c r="CC470" s="340" t="s">
        <v>297</v>
      </c>
      <c r="CE470" s="341" t="str">
        <f t="array" ref="CE470">IFERROR(IF($CE$11="Metro",INDEX($BV$13:$BV$4972,SMALL(IF((County=$BW$13:$BW$4972),MATCH(ROW($BW$13:$BW$4972),ROW($BW$13:$BW$4972)),""),ROWS($A$13:$A528))),INDEX($BY$13:$BY$212,SMALL(IF((County=$BZ$13:$BZ$212),MATCH(ROW($BZ$13:$BZ$212),ROW($BZ$13:$BZ$212)),""),ROWS($A$13:$A528)))),"")</f>
        <v/>
      </c>
      <c r="CG470" s="341" t="str">
        <f t="array" ref="CG470">IFERROR(IF($CG$11="Yes",INDEX($CB$13:$CB$2950,SMALL(IF((County=$CC$13:$CC$2950),MATCH(ROW($CC$13:$CC$2950),ROW($CC$13:$CC$2950)),""),ROWS($A$13:$A528))),""),"")</f>
        <v/>
      </c>
      <c r="CL470" s="236">
        <v>13</v>
      </c>
      <c r="CM470" s="236" t="s">
        <v>302</v>
      </c>
      <c r="CR470" s="340">
        <v>26.05</v>
      </c>
      <c r="CS470" s="340" t="s">
        <v>329</v>
      </c>
      <c r="CT470" s="1384"/>
      <c r="CZ470" s="1795">
        <v>6.11</v>
      </c>
      <c r="DA470" s="338" t="s">
        <v>331</v>
      </c>
      <c r="DF470" s="340">
        <v>103</v>
      </c>
      <c r="DG470" s="340" t="s">
        <v>297</v>
      </c>
      <c r="DP470" s="236">
        <v>117.31</v>
      </c>
      <c r="DQ470" s="236" t="s">
        <v>344</v>
      </c>
      <c r="DV470" s="340">
        <v>27.13</v>
      </c>
      <c r="DW470" s="340" t="s">
        <v>285</v>
      </c>
      <c r="DX470" s="1671"/>
      <c r="EB470" s="618"/>
      <c r="EC470" s="618"/>
      <c r="ED470" s="618"/>
      <c r="EE470" s="618"/>
      <c r="EF470" s="618"/>
      <c r="EG470" s="618"/>
      <c r="EH470" s="618"/>
      <c r="EI470" s="618"/>
      <c r="EJ470" s="618"/>
      <c r="EK470" s="618"/>
      <c r="EL470" s="618"/>
      <c r="EM470" s="618"/>
    </row>
    <row r="471" spans="6:143">
      <c r="F471" s="338">
        <v>44.05</v>
      </c>
      <c r="G471" s="338" t="s">
        <v>331</v>
      </c>
      <c r="L471" s="2481">
        <v>104.32</v>
      </c>
      <c r="M471" s="340" t="s">
        <v>297</v>
      </c>
      <c r="N471" s="1390"/>
      <c r="O471" s="2479"/>
      <c r="P471" s="2282"/>
      <c r="AA471" s="338">
        <v>132</v>
      </c>
      <c r="AB471" s="338" t="s">
        <v>344</v>
      </c>
      <c r="AG471" s="2297">
        <v>27.16</v>
      </c>
      <c r="AH471" s="2297" t="s">
        <v>347</v>
      </c>
      <c r="AI471" s="1390"/>
      <c r="AJ471" s="2282"/>
      <c r="AK471" s="2282"/>
      <c r="AL471" s="1037"/>
      <c r="AR471" s="338">
        <v>53.04</v>
      </c>
      <c r="AS471" s="338" t="s">
        <v>331</v>
      </c>
      <c r="AX471" s="340">
        <v>101.13</v>
      </c>
      <c r="AY471" s="340" t="s">
        <v>297</v>
      </c>
      <c r="BC471" s="341" t="str">
        <f t="array" ref="BC471">IFERROR(IF($BC$11="Yes",INDEX($AX$13:$AX$2950,SMALL(IF((County=$AY$13:$AY$2950),MATCH(ROW($AY$13:$AY$2950),ROW($AY$13:$AY$2950)),""),ROWS($A$13:$A529))),""),"")</f>
        <v/>
      </c>
      <c r="BH471" s="338">
        <v>114</v>
      </c>
      <c r="BI471" s="338" t="s">
        <v>302</v>
      </c>
      <c r="BN471" s="340">
        <v>26.05</v>
      </c>
      <c r="BO471" s="340" t="s">
        <v>324</v>
      </c>
      <c r="BP471" s="1385"/>
      <c r="BQ471" s="1389"/>
      <c r="BR471" s="6"/>
      <c r="BV471" s="338">
        <v>601.13</v>
      </c>
      <c r="BW471" s="338" t="s">
        <v>289</v>
      </c>
      <c r="CB471" s="340">
        <v>101.09</v>
      </c>
      <c r="CC471" s="340" t="s">
        <v>297</v>
      </c>
      <c r="CE471" s="341" t="str">
        <f t="array" ref="CE471">IFERROR(IF($CE$11="Metro",INDEX($BV$13:$BV$4972,SMALL(IF((County=$BW$13:$BW$4972),MATCH(ROW($BW$13:$BW$4972),ROW($BW$13:$BW$4972)),""),ROWS($A$13:$A529))),INDEX($BY$13:$BY$212,SMALL(IF((County=$BZ$13:$BZ$212),MATCH(ROW($BZ$13:$BZ$212),ROW($BZ$13:$BZ$212)),""),ROWS($A$13:$A529)))),"")</f>
        <v/>
      </c>
      <c r="CG471" s="341" t="str">
        <f t="array" ref="CG471">IFERROR(IF($CG$11="Yes",INDEX($CB$13:$CB$2950,SMALL(IF((County=$CC$13:$CC$2950),MATCH(ROW($CC$13:$CC$2950),ROW($CC$13:$CC$2950)),""),ROWS($A$13:$A529))),""),"")</f>
        <v/>
      </c>
      <c r="CL471" s="236">
        <v>13</v>
      </c>
      <c r="CM471" s="236" t="s">
        <v>304</v>
      </c>
      <c r="CR471" s="340">
        <v>26.06</v>
      </c>
      <c r="CS471" s="340" t="s">
        <v>285</v>
      </c>
      <c r="CT471" s="1384"/>
      <c r="CZ471" s="1795">
        <v>7.05</v>
      </c>
      <c r="DA471" s="338" t="s">
        <v>331</v>
      </c>
      <c r="DF471" s="340">
        <v>104.01</v>
      </c>
      <c r="DG471" s="340" t="s">
        <v>297</v>
      </c>
      <c r="DP471" s="236">
        <v>118</v>
      </c>
      <c r="DQ471" s="236" t="s">
        <v>302</v>
      </c>
      <c r="DV471" s="340">
        <v>27.14</v>
      </c>
      <c r="DW471" s="340" t="s">
        <v>347</v>
      </c>
      <c r="DX471" s="1671"/>
      <c r="EB471" s="618"/>
      <c r="EC471" s="618"/>
      <c r="ED471" s="618"/>
      <c r="EE471" s="618"/>
      <c r="EF471" s="618"/>
      <c r="EG471" s="618"/>
      <c r="EH471" s="618"/>
      <c r="EI471" s="618"/>
      <c r="EJ471" s="618"/>
      <c r="EK471" s="618"/>
      <c r="EL471" s="618"/>
      <c r="EM471" s="618"/>
    </row>
    <row r="472" spans="6:143">
      <c r="F472" s="338">
        <v>49.01</v>
      </c>
      <c r="G472" s="338" t="s">
        <v>331</v>
      </c>
      <c r="L472" s="2481">
        <v>104.33</v>
      </c>
      <c r="M472" s="340" t="s">
        <v>297</v>
      </c>
      <c r="N472" s="1390"/>
      <c r="O472" s="2479"/>
      <c r="P472" s="2282"/>
      <c r="AA472" s="338">
        <v>133</v>
      </c>
      <c r="AB472" s="338" t="s">
        <v>344</v>
      </c>
      <c r="AG472" s="2297">
        <v>27.2</v>
      </c>
      <c r="AH472" s="2297" t="s">
        <v>347</v>
      </c>
      <c r="AI472" s="1390"/>
      <c r="AJ472" s="2282"/>
      <c r="AK472" s="2282"/>
      <c r="AL472" s="1037"/>
      <c r="AR472" s="338">
        <v>53.05</v>
      </c>
      <c r="AS472" s="338" t="s">
        <v>331</v>
      </c>
      <c r="AX472" s="340">
        <v>101.14</v>
      </c>
      <c r="AY472" s="340" t="s">
        <v>297</v>
      </c>
      <c r="BC472" s="341" t="str">
        <f t="array" ref="BC472">IFERROR(IF($BC$11="Yes",INDEX($AX$13:$AX$2950,SMALL(IF((County=$AY$13:$AY$2950),MATCH(ROW($AY$13:$AY$2950),ROW($AY$13:$AY$2950)),""),ROWS($A$13:$A530))),""),"")</f>
        <v/>
      </c>
      <c r="BH472" s="338">
        <v>114</v>
      </c>
      <c r="BI472" s="338" t="s">
        <v>344</v>
      </c>
      <c r="BN472" s="340">
        <v>26.05</v>
      </c>
      <c r="BO472" s="340" t="s">
        <v>329</v>
      </c>
      <c r="BP472" s="1385"/>
      <c r="BQ472" s="1389"/>
      <c r="BR472" s="6"/>
      <c r="BV472" s="338">
        <v>601.14</v>
      </c>
      <c r="BW472" s="338" t="s">
        <v>289</v>
      </c>
      <c r="CB472" s="340">
        <v>101.11</v>
      </c>
      <c r="CC472" s="340" t="s">
        <v>297</v>
      </c>
      <c r="CE472" s="341" t="str">
        <f t="array" ref="CE472">IFERROR(IF($CE$11="Metro",INDEX($BV$13:$BV$4972,SMALL(IF((County=$BW$13:$BW$4972),MATCH(ROW($BW$13:$BW$4972),ROW($BW$13:$BW$4972)),""),ROWS($A$13:$A530))),INDEX($BY$13:$BY$212,SMALL(IF((County=$BZ$13:$BZ$212),MATCH(ROW($BZ$13:$BZ$212),ROW($BZ$13:$BZ$212)),""),ROWS($A$13:$A530)))),"")</f>
        <v/>
      </c>
      <c r="CG472" s="341" t="str">
        <f t="array" ref="CG472">IFERROR(IF($CG$11="Yes",INDEX($CB$13:$CB$2950,SMALL(IF((County=$CC$13:$CC$2950),MATCH(ROW($CC$13:$CC$2950),ROW($CC$13:$CC$2950)),""),ROWS($A$13:$A530))),""),"")</f>
        <v/>
      </c>
      <c r="CL472" s="236">
        <v>13</v>
      </c>
      <c r="CM472" s="236" t="s">
        <v>316</v>
      </c>
      <c r="CR472" s="340">
        <v>26.06</v>
      </c>
      <c r="CS472" s="340" t="s">
        <v>304</v>
      </c>
      <c r="CT472" s="1384"/>
      <c r="CZ472" s="1795">
        <v>7.1</v>
      </c>
      <c r="DA472" s="338" t="s">
        <v>331</v>
      </c>
      <c r="DF472" s="340">
        <v>104.16</v>
      </c>
      <c r="DG472" s="340" t="s">
        <v>297</v>
      </c>
      <c r="DP472" s="236">
        <v>118.06</v>
      </c>
      <c r="DQ472" s="236" t="s">
        <v>316</v>
      </c>
      <c r="DV472" s="340">
        <v>27.16</v>
      </c>
      <c r="DW472" s="340" t="s">
        <v>347</v>
      </c>
      <c r="DX472" s="1671"/>
      <c r="EB472" s="618"/>
      <c r="EC472" s="618"/>
      <c r="ED472" s="618"/>
      <c r="EE472" s="618"/>
      <c r="EF472" s="618"/>
      <c r="EG472" s="618"/>
      <c r="EH472" s="618"/>
      <c r="EI472" s="618"/>
      <c r="EJ472" s="618"/>
      <c r="EK472" s="618"/>
      <c r="EL472" s="618"/>
      <c r="EM472" s="618"/>
    </row>
    <row r="473" spans="6:143">
      <c r="F473" s="338">
        <v>51.02</v>
      </c>
      <c r="G473" s="338" t="s">
        <v>331</v>
      </c>
      <c r="L473" s="2481">
        <v>104.34</v>
      </c>
      <c r="M473" s="340" t="s">
        <v>297</v>
      </c>
      <c r="N473" s="1390"/>
      <c r="O473" s="2479"/>
      <c r="P473" s="2282"/>
      <c r="AA473" s="338">
        <v>133.02000000000001</v>
      </c>
      <c r="AB473" s="338" t="s">
        <v>302</v>
      </c>
      <c r="AG473" s="2297">
        <v>27.25</v>
      </c>
      <c r="AH473" s="2297" t="s">
        <v>347</v>
      </c>
      <c r="AI473" s="1390"/>
      <c r="AJ473" s="2282"/>
      <c r="AK473" s="2282"/>
      <c r="AL473" s="1037"/>
      <c r="AR473" s="338">
        <v>53.06</v>
      </c>
      <c r="AS473" s="338" t="s">
        <v>331</v>
      </c>
      <c r="AX473" s="340">
        <v>102.05</v>
      </c>
      <c r="AY473" s="340" t="s">
        <v>297</v>
      </c>
      <c r="BC473" s="341" t="str">
        <f t="array" ref="BC473">IFERROR(IF($BC$11="Yes",INDEX($AX$13:$AX$2950,SMALL(IF((County=$AY$13:$AY$2950),MATCH(ROW($AY$13:$AY$2950),ROW($AY$13:$AY$2950)),""),ROWS($A$13:$A531))),""),"")</f>
        <v/>
      </c>
      <c r="BH473" s="338">
        <v>114.05</v>
      </c>
      <c r="BI473" s="338" t="s">
        <v>331</v>
      </c>
      <c r="BN473" s="340">
        <v>26.06</v>
      </c>
      <c r="BO473" s="340" t="s">
        <v>285</v>
      </c>
      <c r="BP473" s="1385"/>
      <c r="BQ473" s="1389"/>
      <c r="BR473" s="6"/>
      <c r="BV473" s="338">
        <v>601.15</v>
      </c>
      <c r="BW473" s="338" t="s">
        <v>289</v>
      </c>
      <c r="CB473" s="340">
        <v>101.12</v>
      </c>
      <c r="CC473" s="340" t="s">
        <v>297</v>
      </c>
      <c r="CE473" s="341" t="str">
        <f t="array" ref="CE473">IFERROR(IF($CE$11="Metro",INDEX($BV$13:$BV$4972,SMALL(IF((County=$BW$13:$BW$4972),MATCH(ROW($BW$13:$BW$4972),ROW($BW$13:$BW$4972)),""),ROWS($A$13:$A531))),INDEX($BY$13:$BY$212,SMALL(IF((County=$BZ$13:$BZ$212),MATCH(ROW($BZ$13:$BZ$212),ROW($BZ$13:$BZ$212)),""),ROWS($A$13:$A531)))),"")</f>
        <v/>
      </c>
      <c r="CG473" s="341" t="str">
        <f t="array" ref="CG473">IFERROR(IF($CG$11="Yes",INDEX($CB$13:$CB$2950,SMALL(IF((County=$CC$13:$CC$2950),MATCH(ROW($CC$13:$CC$2950),ROW($CC$13:$CC$2950)),""),ROWS($A$13:$A531))),""),"")</f>
        <v/>
      </c>
      <c r="CL473" s="236">
        <v>13</v>
      </c>
      <c r="CM473" s="236" t="s">
        <v>323</v>
      </c>
      <c r="CR473" s="340">
        <v>26.06</v>
      </c>
      <c r="CS473" s="340" t="s">
        <v>324</v>
      </c>
      <c r="CT473" s="1384"/>
      <c r="CZ473" s="1795">
        <v>7.11</v>
      </c>
      <c r="DA473" s="338" t="s">
        <v>331</v>
      </c>
      <c r="DF473" s="340">
        <v>104.23</v>
      </c>
      <c r="DG473" s="340" t="s">
        <v>297</v>
      </c>
      <c r="DP473" s="236">
        <v>119.08</v>
      </c>
      <c r="DQ473" s="236" t="s">
        <v>316</v>
      </c>
      <c r="DV473" s="340">
        <v>27.2</v>
      </c>
      <c r="DW473" s="340" t="s">
        <v>347</v>
      </c>
      <c r="DX473" s="1671"/>
      <c r="EB473" s="618"/>
      <c r="EC473" s="618"/>
      <c r="ED473" s="618"/>
      <c r="EE473" s="618"/>
      <c r="EF473" s="618"/>
      <c r="EG473" s="618"/>
      <c r="EH473" s="618"/>
      <c r="EI473" s="618"/>
      <c r="EJ473" s="618"/>
      <c r="EK473" s="618"/>
      <c r="EL473" s="618"/>
      <c r="EM473" s="618"/>
    </row>
    <row r="474" spans="6:143">
      <c r="F474" s="338">
        <v>51.03</v>
      </c>
      <c r="G474" s="338" t="s">
        <v>331</v>
      </c>
      <c r="L474" s="2481">
        <v>104.35</v>
      </c>
      <c r="M474" s="340" t="s">
        <v>297</v>
      </c>
      <c r="N474" s="1390"/>
      <c r="O474" s="2479"/>
      <c r="P474" s="2282"/>
      <c r="AA474" s="338">
        <v>133.11000000000001</v>
      </c>
      <c r="AB474" s="338" t="s">
        <v>316</v>
      </c>
      <c r="AG474" s="2297">
        <v>27.26</v>
      </c>
      <c r="AH474" s="2297" t="s">
        <v>347</v>
      </c>
      <c r="AI474" s="1390"/>
      <c r="AJ474" s="2282"/>
      <c r="AK474" s="2282"/>
      <c r="AL474" s="1037"/>
      <c r="AR474" s="338">
        <v>54.03</v>
      </c>
      <c r="AS474" s="338" t="s">
        <v>331</v>
      </c>
      <c r="AX474" s="340">
        <v>102.08</v>
      </c>
      <c r="AY474" s="340" t="s">
        <v>297</v>
      </c>
      <c r="BC474" s="341" t="str">
        <f t="array" ref="BC474">IFERROR(IF($BC$11="Yes",INDEX($AX$13:$AX$2950,SMALL(IF((County=$AY$13:$AY$2950),MATCH(ROW($AY$13:$AY$2950),ROW($AY$13:$AY$2950)),""),ROWS($A$13:$A532))),""),"")</f>
        <v/>
      </c>
      <c r="BH474" s="338">
        <v>114.06</v>
      </c>
      <c r="BI474" s="338" t="s">
        <v>331</v>
      </c>
      <c r="BN474" s="340">
        <v>26.06</v>
      </c>
      <c r="BO474" s="340" t="s">
        <v>304</v>
      </c>
      <c r="BP474" s="1385"/>
      <c r="BQ474" s="1389"/>
      <c r="BR474" s="6"/>
      <c r="BV474" s="338">
        <v>601.16</v>
      </c>
      <c r="BW474" s="338" t="s">
        <v>289</v>
      </c>
      <c r="CB474" s="340">
        <v>101.13</v>
      </c>
      <c r="CC474" s="340" t="s">
        <v>297</v>
      </c>
      <c r="CE474" s="341" t="str">
        <f t="array" ref="CE474">IFERROR(IF($CE$11="Metro",INDEX($BV$13:$BV$4972,SMALL(IF((County=$BW$13:$BW$4972),MATCH(ROW($BW$13:$BW$4972),ROW($BW$13:$BW$4972)),""),ROWS($A$13:$A532))),INDEX($BY$13:$BY$212,SMALL(IF((County=$BZ$13:$BZ$212),MATCH(ROW($BZ$13:$BZ$212),ROW($BZ$13:$BZ$212)),""),ROWS($A$13:$A532)))),"")</f>
        <v/>
      </c>
      <c r="CG474" s="341" t="str">
        <f t="array" ref="CG474">IFERROR(IF($CG$11="Yes",INDEX($CB$13:$CB$2950,SMALL(IF((County=$CC$13:$CC$2950),MATCH(ROW($CC$13:$CC$2950),ROW($CC$13:$CC$2950)),""),ROWS($A$13:$A532))),""),"")</f>
        <v/>
      </c>
      <c r="CL474" s="236">
        <v>13</v>
      </c>
      <c r="CM474" s="236" t="s">
        <v>324</v>
      </c>
      <c r="CR474" s="340">
        <v>26.07</v>
      </c>
      <c r="CS474" s="340" t="s">
        <v>285</v>
      </c>
      <c r="CT474" s="1384"/>
      <c r="CZ474" s="1795">
        <v>7.12</v>
      </c>
      <c r="DA474" s="338" t="s">
        <v>331</v>
      </c>
      <c r="DF474" s="340">
        <v>104.24</v>
      </c>
      <c r="DG474" s="340" t="s">
        <v>297</v>
      </c>
      <c r="DP474" s="236">
        <v>119.11</v>
      </c>
      <c r="DQ474" s="236" t="s">
        <v>316</v>
      </c>
      <c r="DV474" s="340">
        <v>27.25</v>
      </c>
      <c r="DW474" s="340" t="s">
        <v>347</v>
      </c>
      <c r="DX474" s="1671"/>
      <c r="EB474" s="618"/>
      <c r="EC474" s="618"/>
      <c r="ED474" s="618"/>
      <c r="EE474" s="618"/>
      <c r="EF474" s="618"/>
      <c r="EG474" s="618"/>
      <c r="EH474" s="618"/>
      <c r="EI474" s="618"/>
      <c r="EJ474" s="618"/>
      <c r="EK474" s="618"/>
      <c r="EL474" s="618"/>
      <c r="EM474" s="618"/>
    </row>
    <row r="475" spans="6:143">
      <c r="F475" s="338">
        <v>51.04</v>
      </c>
      <c r="G475" s="338" t="s">
        <v>331</v>
      </c>
      <c r="L475" s="2481">
        <v>104.36</v>
      </c>
      <c r="M475" s="340" t="s">
        <v>297</v>
      </c>
      <c r="N475" s="1390"/>
      <c r="O475" s="2479"/>
      <c r="P475" s="2282"/>
      <c r="AA475" s="338">
        <v>133.16999999999999</v>
      </c>
      <c r="AB475" s="338" t="s">
        <v>316</v>
      </c>
      <c r="AG475" s="2297">
        <v>27.27</v>
      </c>
      <c r="AH475" s="2297" t="s">
        <v>347</v>
      </c>
      <c r="AI475" s="1390"/>
      <c r="AJ475" s="2282"/>
      <c r="AK475" s="2282"/>
      <c r="AL475" s="1037"/>
      <c r="AR475" s="338">
        <v>54.05</v>
      </c>
      <c r="AS475" s="338" t="s">
        <v>331</v>
      </c>
      <c r="AX475" s="340">
        <v>102.09</v>
      </c>
      <c r="AY475" s="340" t="s">
        <v>297</v>
      </c>
      <c r="BC475" s="341" t="str">
        <f t="array" ref="BC475">IFERROR(IF($BC$11="Yes",INDEX($AX$13:$AX$2950,SMALL(IF((County=$AY$13:$AY$2950),MATCH(ROW($AY$13:$AY$2950),ROW($AY$13:$AY$2950)),""),ROWS($A$13:$A533))),""),"")</f>
        <v/>
      </c>
      <c r="BH475" s="338">
        <v>114.07</v>
      </c>
      <c r="BI475" s="338" t="s">
        <v>331</v>
      </c>
      <c r="BN475" s="340">
        <v>26.06</v>
      </c>
      <c r="BO475" s="340" t="s">
        <v>324</v>
      </c>
      <c r="BP475" s="1385"/>
      <c r="BQ475" s="1389"/>
      <c r="BR475" s="6"/>
      <c r="BV475" s="338">
        <v>601.16999999999996</v>
      </c>
      <c r="BW475" s="338" t="s">
        <v>289</v>
      </c>
      <c r="CB475" s="340">
        <v>101.14</v>
      </c>
      <c r="CC475" s="340" t="s">
        <v>297</v>
      </c>
      <c r="CE475" s="341" t="str">
        <f t="array" ref="CE475">IFERROR(IF($CE$11="Metro",INDEX($BV$13:$BV$4972,SMALL(IF((County=$BW$13:$BW$4972),MATCH(ROW($BW$13:$BW$4972),ROW($BW$13:$BW$4972)),""),ROWS($A$13:$A533))),INDEX($BY$13:$BY$212,SMALL(IF((County=$BZ$13:$BZ$212),MATCH(ROW($BZ$13:$BZ$212),ROW($BZ$13:$BZ$212)),""),ROWS($A$13:$A533)))),"")</f>
        <v/>
      </c>
      <c r="CG475" s="341" t="str">
        <f t="array" ref="CG475">IFERROR(IF($CG$11="Yes",INDEX($CB$13:$CB$2950,SMALL(IF((County=$CC$13:$CC$2950),MATCH(ROW($CC$13:$CC$2950),ROW($CC$13:$CC$2950)),""),ROWS($A$13:$A533))),""),"")</f>
        <v/>
      </c>
      <c r="CL475" s="236">
        <v>13</v>
      </c>
      <c r="CM475" s="236" t="s">
        <v>328</v>
      </c>
      <c r="CR475" s="340">
        <v>26.07</v>
      </c>
      <c r="CS475" s="340" t="s">
        <v>304</v>
      </c>
      <c r="CT475" s="1384"/>
      <c r="CZ475" s="1795">
        <v>7.14</v>
      </c>
      <c r="DA475" s="338" t="s">
        <v>331</v>
      </c>
      <c r="DF475" s="340">
        <v>104.25</v>
      </c>
      <c r="DG475" s="340" t="s">
        <v>297</v>
      </c>
      <c r="DP475" s="236">
        <v>120</v>
      </c>
      <c r="DQ475" s="236" t="s">
        <v>338</v>
      </c>
      <c r="DV475" s="340">
        <v>27.26</v>
      </c>
      <c r="DW475" s="340" t="s">
        <v>347</v>
      </c>
      <c r="DX475" s="1671"/>
      <c r="EB475" s="618"/>
      <c r="EC475" s="618"/>
      <c r="ED475" s="618"/>
      <c r="EE475" s="618"/>
      <c r="EF475" s="618"/>
      <c r="EG475" s="618"/>
      <c r="EH475" s="618"/>
      <c r="EI475" s="618"/>
      <c r="EJ475" s="618"/>
      <c r="EK475" s="618"/>
      <c r="EL475" s="618"/>
      <c r="EM475" s="618"/>
    </row>
    <row r="476" spans="6:143">
      <c r="F476" s="338">
        <v>52.01</v>
      </c>
      <c r="G476" s="338" t="s">
        <v>331</v>
      </c>
      <c r="L476" s="2481">
        <v>104.37</v>
      </c>
      <c r="M476" s="340" t="s">
        <v>297</v>
      </c>
      <c r="N476" s="1390"/>
      <c r="O476" s="2479"/>
      <c r="P476" s="2282"/>
      <c r="AA476" s="338">
        <v>134</v>
      </c>
      <c r="AB476" s="338" t="s">
        <v>331</v>
      </c>
      <c r="AG476" s="2297">
        <v>27.3</v>
      </c>
      <c r="AH476" s="2297" t="s">
        <v>347</v>
      </c>
      <c r="AI476" s="1390"/>
      <c r="AJ476" s="2282"/>
      <c r="AK476" s="2282"/>
      <c r="AL476" s="1037"/>
      <c r="AR476" s="338">
        <v>54.06</v>
      </c>
      <c r="AS476" s="338" t="s">
        <v>331</v>
      </c>
      <c r="AX476" s="340">
        <v>102.1</v>
      </c>
      <c r="AY476" s="340" t="s">
        <v>297</v>
      </c>
      <c r="BC476" s="341" t="str">
        <f t="array" ref="BC476">IFERROR(IF($BC$11="Yes",INDEX($AX$13:$AX$2950,SMALL(IF((County=$AY$13:$AY$2950),MATCH(ROW($AY$13:$AY$2950),ROW($AY$13:$AY$2950)),""),ROWS($A$13:$A534))),""),"")</f>
        <v/>
      </c>
      <c r="BH476" s="338">
        <v>114.08</v>
      </c>
      <c r="BI476" s="338" t="s">
        <v>331</v>
      </c>
      <c r="BN476" s="340">
        <v>26.07</v>
      </c>
      <c r="BO476" s="340" t="s">
        <v>285</v>
      </c>
      <c r="BP476" s="1385"/>
      <c r="BQ476" s="1389"/>
      <c r="BR476" s="6"/>
      <c r="BV476" s="338">
        <v>601.17999999999995</v>
      </c>
      <c r="BW476" s="338" t="s">
        <v>289</v>
      </c>
      <c r="CB476" s="340">
        <v>102.05</v>
      </c>
      <c r="CC476" s="340" t="s">
        <v>297</v>
      </c>
      <c r="CE476" s="341" t="str">
        <f t="array" ref="CE476">IFERROR(IF($CE$11="Metro",INDEX($BV$13:$BV$4972,SMALL(IF((County=$BW$13:$BW$4972),MATCH(ROW($BW$13:$BW$4972),ROW($BW$13:$BW$4972)),""),ROWS($A$13:$A534))),INDEX($BY$13:$BY$212,SMALL(IF((County=$BZ$13:$BZ$212),MATCH(ROW($BZ$13:$BZ$212),ROW($BZ$13:$BZ$212)),""),ROWS($A$13:$A534)))),"")</f>
        <v/>
      </c>
      <c r="CG476" s="341" t="str">
        <f t="array" ref="CG476">IFERROR(IF($CG$11="Yes",INDEX($CB$13:$CB$2950,SMALL(IF((County=$CC$13:$CC$2950),MATCH(ROW($CC$13:$CC$2950),ROW($CC$13:$CC$2950)),""),ROWS($A$13:$A534))),""),"")</f>
        <v/>
      </c>
      <c r="CL476" s="338">
        <v>13.01</v>
      </c>
      <c r="CM476" s="338" t="s">
        <v>285</v>
      </c>
      <c r="CR476" s="340">
        <v>26.08</v>
      </c>
      <c r="CS476" s="340" t="s">
        <v>285</v>
      </c>
      <c r="CT476" s="1384"/>
      <c r="CZ476" s="1795">
        <v>7.15</v>
      </c>
      <c r="DA476" s="338" t="s">
        <v>331</v>
      </c>
      <c r="DF476" s="340">
        <v>104.26</v>
      </c>
      <c r="DG476" s="340" t="s">
        <v>297</v>
      </c>
      <c r="DP476" s="236">
        <v>120.01</v>
      </c>
      <c r="DQ476" s="236" t="s">
        <v>331</v>
      </c>
      <c r="DV476" s="340">
        <v>27.27</v>
      </c>
      <c r="DW476" s="340" t="s">
        <v>347</v>
      </c>
      <c r="DX476" s="1671"/>
      <c r="EB476" s="618"/>
      <c r="EC476" s="618"/>
      <c r="ED476" s="618"/>
      <c r="EE476" s="618"/>
      <c r="EF476" s="618"/>
      <c r="EG476" s="618"/>
      <c r="EH476" s="618"/>
      <c r="EI476" s="618"/>
      <c r="EJ476" s="618"/>
      <c r="EK476" s="618"/>
      <c r="EL476" s="618"/>
      <c r="EM476" s="618"/>
    </row>
    <row r="477" spans="6:143">
      <c r="F477" s="338">
        <v>52.02</v>
      </c>
      <c r="G477" s="338" t="s">
        <v>331</v>
      </c>
      <c r="L477" s="2481">
        <v>104.38</v>
      </c>
      <c r="M477" s="340" t="s">
        <v>297</v>
      </c>
      <c r="N477" s="1390"/>
      <c r="O477" s="2479"/>
      <c r="P477" s="2282"/>
      <c r="AA477" s="338">
        <v>134</v>
      </c>
      <c r="AB477" s="338" t="s">
        <v>344</v>
      </c>
      <c r="AG477" s="2297">
        <v>27.31</v>
      </c>
      <c r="AH477" s="2297" t="s">
        <v>347</v>
      </c>
      <c r="AI477" s="1390"/>
      <c r="AJ477" s="2282"/>
      <c r="AK477" s="2282"/>
      <c r="AL477" s="1037"/>
      <c r="AR477" s="338">
        <v>54.09</v>
      </c>
      <c r="AS477" s="338" t="s">
        <v>331</v>
      </c>
      <c r="AX477" s="340">
        <v>102.11</v>
      </c>
      <c r="AY477" s="340" t="s">
        <v>297</v>
      </c>
      <c r="BC477" s="341" t="str">
        <f t="array" ref="BC477">IFERROR(IF($BC$11="Yes",INDEX($AX$13:$AX$2950,SMALL(IF((County=$AY$13:$AY$2950),MATCH(ROW($AY$13:$AY$2950),ROW($AY$13:$AY$2950)),""),ROWS($A$13:$A535))),""),"")</f>
        <v/>
      </c>
      <c r="BH477" s="338">
        <v>115</v>
      </c>
      <c r="BI477" s="338" t="s">
        <v>302</v>
      </c>
      <c r="BN477" s="340">
        <v>26.07</v>
      </c>
      <c r="BO477" s="340" t="s">
        <v>304</v>
      </c>
      <c r="BP477" s="1385"/>
      <c r="BQ477" s="1389"/>
      <c r="BR477" s="6"/>
      <c r="BV477" s="338">
        <v>601.19000000000005</v>
      </c>
      <c r="BW477" s="338" t="s">
        <v>289</v>
      </c>
      <c r="CB477" s="340">
        <v>102.08</v>
      </c>
      <c r="CC477" s="340" t="s">
        <v>297</v>
      </c>
      <c r="CE477" s="341" t="str">
        <f t="array" ref="CE477">IFERROR(IF($CE$11="Metro",INDEX($BV$13:$BV$4972,SMALL(IF((County=$BW$13:$BW$4972),MATCH(ROW($BW$13:$BW$4972),ROW($BW$13:$BW$4972)),""),ROWS($A$13:$A535))),INDEX($BY$13:$BY$212,SMALL(IF((County=$BZ$13:$BZ$212),MATCH(ROW($BZ$13:$BZ$212),ROW($BZ$13:$BZ$212)),""),ROWS($A$13:$A535)))),"")</f>
        <v/>
      </c>
      <c r="CG477" s="341" t="str">
        <f t="array" ref="CG477">IFERROR(IF($CG$11="Yes",INDEX($CB$13:$CB$2950,SMALL(IF((County=$CC$13:$CC$2950),MATCH(ROW($CC$13:$CC$2950),ROW($CC$13:$CC$2950)),""),ROWS($A$13:$A535))),""),"")</f>
        <v/>
      </c>
      <c r="CL477" s="236">
        <v>13.01</v>
      </c>
      <c r="CM477" s="236" t="s">
        <v>329</v>
      </c>
      <c r="CR477" s="340">
        <v>26.08</v>
      </c>
      <c r="CS477" s="340" t="s">
        <v>329</v>
      </c>
      <c r="CT477" s="1384"/>
      <c r="CZ477" s="1795">
        <v>7.19</v>
      </c>
      <c r="DA477" s="338" t="s">
        <v>331</v>
      </c>
      <c r="DF477" s="340">
        <v>104.27</v>
      </c>
      <c r="DG477" s="340" t="s">
        <v>297</v>
      </c>
      <c r="DP477" s="236">
        <v>120.02</v>
      </c>
      <c r="DQ477" s="236" t="s">
        <v>316</v>
      </c>
      <c r="DV477" s="340">
        <v>27.28</v>
      </c>
      <c r="DW477" s="340" t="s">
        <v>347</v>
      </c>
      <c r="DX477" s="1671"/>
      <c r="EB477" s="618"/>
      <c r="EC477" s="618"/>
      <c r="ED477" s="618"/>
      <c r="EE477" s="618"/>
      <c r="EF477" s="618"/>
      <c r="EG477" s="618"/>
      <c r="EH477" s="618"/>
      <c r="EI477" s="618"/>
      <c r="EJ477" s="618"/>
      <c r="EK477" s="618"/>
      <c r="EL477" s="618"/>
      <c r="EM477" s="618"/>
    </row>
    <row r="478" spans="6:143">
      <c r="F478" s="338">
        <v>53.03</v>
      </c>
      <c r="G478" s="338" t="s">
        <v>331</v>
      </c>
      <c r="L478" s="2481">
        <v>105.13</v>
      </c>
      <c r="M478" s="340" t="s">
        <v>297</v>
      </c>
      <c r="N478" s="1390"/>
      <c r="O478" s="2479"/>
      <c r="P478" s="2282"/>
      <c r="AA478" s="338">
        <v>134.03</v>
      </c>
      <c r="AB478" s="338" t="s">
        <v>302</v>
      </c>
      <c r="AG478" s="2297">
        <v>27.32</v>
      </c>
      <c r="AH478" s="2297" t="s">
        <v>347</v>
      </c>
      <c r="AI478" s="1390"/>
      <c r="AJ478" s="2282"/>
      <c r="AK478" s="2282"/>
      <c r="AL478" s="1037"/>
      <c r="AR478" s="338">
        <v>54.1</v>
      </c>
      <c r="AS478" s="338" t="s">
        <v>331</v>
      </c>
      <c r="AX478" s="340">
        <v>102.13</v>
      </c>
      <c r="AY478" s="340" t="s">
        <v>297</v>
      </c>
      <c r="BC478" s="341" t="str">
        <f t="array" ref="BC478">IFERROR(IF($BC$11="Yes",INDEX($AX$13:$AX$2950,SMALL(IF((County=$AY$13:$AY$2950),MATCH(ROW($AY$13:$AY$2950),ROW($AY$13:$AY$2950)),""),ROWS($A$13:$A536))),""),"")</f>
        <v/>
      </c>
      <c r="BH478" s="338">
        <v>115.01</v>
      </c>
      <c r="BI478" s="338" t="s">
        <v>344</v>
      </c>
      <c r="BN478" s="340">
        <v>26.08</v>
      </c>
      <c r="BO478" s="340" t="s">
        <v>285</v>
      </c>
      <c r="BP478" s="1385"/>
      <c r="BQ478" s="1389"/>
      <c r="BR478" s="6"/>
      <c r="BV478" s="338">
        <v>601.20000000000005</v>
      </c>
      <c r="BW478" s="338" t="s">
        <v>289</v>
      </c>
      <c r="CB478" s="340">
        <v>102.09</v>
      </c>
      <c r="CC478" s="340" t="s">
        <v>297</v>
      </c>
      <c r="CE478" s="341" t="str">
        <f t="array" ref="CE478">IFERROR(IF($CE$11="Metro",INDEX($BV$13:$BV$4972,SMALL(IF((County=$BW$13:$BW$4972),MATCH(ROW($BW$13:$BW$4972),ROW($BW$13:$BW$4972)),""),ROWS($A$13:$A536))),INDEX($BY$13:$BY$212,SMALL(IF((County=$BZ$13:$BZ$212),MATCH(ROW($BZ$13:$BZ$212),ROW($BZ$13:$BZ$212)),""),ROWS($A$13:$A536)))),"")</f>
        <v/>
      </c>
      <c r="CG478" s="341" t="str">
        <f t="array" ref="CG478">IFERROR(IF($CG$11="Yes",INDEX($CB$13:$CB$2950,SMALL(IF((County=$CC$13:$CC$2950),MATCH(ROW($CC$13:$CC$2950),ROW($CC$13:$CC$2950)),""),ROWS($A$13:$A536))),""),"")</f>
        <v/>
      </c>
      <c r="CL478" s="236">
        <v>13.01</v>
      </c>
      <c r="CM478" s="236" t="s">
        <v>330</v>
      </c>
      <c r="CR478" s="340">
        <v>26.09</v>
      </c>
      <c r="CS478" s="340" t="s">
        <v>285</v>
      </c>
      <c r="CT478" s="1384"/>
      <c r="CZ478" s="1795">
        <v>7.2</v>
      </c>
      <c r="DA478" s="338" t="s">
        <v>331</v>
      </c>
      <c r="DF478" s="340">
        <v>104.3</v>
      </c>
      <c r="DG478" s="340" t="s">
        <v>297</v>
      </c>
      <c r="DP478" s="236">
        <v>120.02</v>
      </c>
      <c r="DQ478" s="236" t="s">
        <v>331</v>
      </c>
      <c r="DV478" s="340">
        <v>27.3</v>
      </c>
      <c r="DW478" s="340" t="s">
        <v>347</v>
      </c>
      <c r="DX478" s="1671"/>
      <c r="EB478" s="618"/>
      <c r="EC478" s="618"/>
      <c r="ED478" s="618"/>
      <c r="EE478" s="618"/>
      <c r="EF478" s="618"/>
      <c r="EG478" s="618"/>
      <c r="EH478" s="618"/>
      <c r="EI478" s="618"/>
      <c r="EJ478" s="618"/>
      <c r="EK478" s="618"/>
      <c r="EL478" s="618"/>
      <c r="EM478" s="618"/>
    </row>
    <row r="479" spans="6:143">
      <c r="F479" s="338">
        <v>53.04</v>
      </c>
      <c r="G479" s="338" t="s">
        <v>331</v>
      </c>
      <c r="L479" s="2481">
        <v>105.18</v>
      </c>
      <c r="M479" s="340" t="s">
        <v>297</v>
      </c>
      <c r="N479" s="1390"/>
      <c r="O479" s="2479"/>
      <c r="P479" s="2282"/>
      <c r="AA479" s="338">
        <v>134.04</v>
      </c>
      <c r="AB479" s="338" t="s">
        <v>302</v>
      </c>
      <c r="AG479" s="2297">
        <v>27.33</v>
      </c>
      <c r="AH479" s="2297" t="s">
        <v>347</v>
      </c>
      <c r="AI479" s="1390"/>
      <c r="AJ479" s="2282"/>
      <c r="AK479" s="2282"/>
      <c r="AL479" s="1037"/>
      <c r="AR479" s="338">
        <v>55.03</v>
      </c>
      <c r="AS479" s="338" t="s">
        <v>331</v>
      </c>
      <c r="AX479" s="340">
        <v>102.15</v>
      </c>
      <c r="AY479" s="340" t="s">
        <v>297</v>
      </c>
      <c r="BC479" s="341" t="str">
        <f t="array" ref="BC479">IFERROR(IF($BC$11="Yes",INDEX($AX$13:$AX$2950,SMALL(IF((County=$AY$13:$AY$2950),MATCH(ROW($AY$13:$AY$2950),ROW($AY$13:$AY$2950)),""),ROWS($A$13:$A537))),""),"")</f>
        <v/>
      </c>
      <c r="BH479" s="338">
        <v>116</v>
      </c>
      <c r="BI479" s="338" t="s">
        <v>302</v>
      </c>
      <c r="BN479" s="340">
        <v>26.09</v>
      </c>
      <c r="BO479" s="340" t="s">
        <v>285</v>
      </c>
      <c r="BP479" s="1385"/>
      <c r="BQ479" s="1389"/>
      <c r="BR479" s="6"/>
      <c r="BV479" s="338">
        <v>601.21</v>
      </c>
      <c r="BW479" s="338" t="s">
        <v>289</v>
      </c>
      <c r="CB479" s="340">
        <v>102.1</v>
      </c>
      <c r="CC479" s="340" t="s">
        <v>297</v>
      </c>
      <c r="CE479" s="341" t="str">
        <f t="array" ref="CE479">IFERROR(IF($CE$11="Metro",INDEX($BV$13:$BV$4972,SMALL(IF((County=$BW$13:$BW$4972),MATCH(ROW($BW$13:$BW$4972),ROW($BW$13:$BW$4972)),""),ROWS($A$13:$A537))),INDEX($BY$13:$BY$212,SMALL(IF((County=$BZ$13:$BZ$212),MATCH(ROW($BZ$13:$BZ$212),ROW($BZ$13:$BZ$212)),""),ROWS($A$13:$A537)))),"")</f>
        <v/>
      </c>
      <c r="CG479" s="341" t="str">
        <f t="array" ref="CG479">IFERROR(IF($CG$11="Yes",INDEX($CB$13:$CB$2950,SMALL(IF((County=$CC$13:$CC$2950),MATCH(ROW($CC$13:$CC$2950),ROW($CC$13:$CC$2950)),""),ROWS($A$13:$A537))),""),"")</f>
        <v/>
      </c>
      <c r="CL479" s="236">
        <v>13.01</v>
      </c>
      <c r="CM479" s="236" t="s">
        <v>331</v>
      </c>
      <c r="CR479" s="340">
        <v>26.1</v>
      </c>
      <c r="CS479" s="340" t="s">
        <v>329</v>
      </c>
      <c r="CT479" s="1384"/>
      <c r="CZ479" s="1795">
        <v>8.0399999999999991</v>
      </c>
      <c r="DA479" s="338" t="s">
        <v>331</v>
      </c>
      <c r="DF479" s="340">
        <v>104.31</v>
      </c>
      <c r="DG479" s="340" t="s">
        <v>297</v>
      </c>
      <c r="DP479" s="236">
        <v>120.02</v>
      </c>
      <c r="DQ479" s="236" t="s">
        <v>344</v>
      </c>
      <c r="DV479" s="340">
        <v>27.31</v>
      </c>
      <c r="DW479" s="340" t="s">
        <v>347</v>
      </c>
      <c r="DX479" s="1671"/>
      <c r="EB479" s="618"/>
      <c r="EC479" s="618"/>
      <c r="ED479" s="618"/>
      <c r="EE479" s="618"/>
      <c r="EF479" s="618"/>
      <c r="EG479" s="618"/>
      <c r="EH479" s="618"/>
      <c r="EI479" s="618"/>
      <c r="EJ479" s="618"/>
      <c r="EK479" s="618"/>
      <c r="EL479" s="618"/>
      <c r="EM479" s="618"/>
    </row>
    <row r="480" spans="6:143">
      <c r="F480" s="338">
        <v>53.05</v>
      </c>
      <c r="G480" s="338" t="s">
        <v>331</v>
      </c>
      <c r="L480" s="2481">
        <v>106.04</v>
      </c>
      <c r="M480" s="340" t="s">
        <v>297</v>
      </c>
      <c r="N480" s="1390"/>
      <c r="O480" s="2479"/>
      <c r="P480" s="2282"/>
      <c r="AA480" s="338">
        <v>134.05000000000001</v>
      </c>
      <c r="AB480" s="338" t="s">
        <v>338</v>
      </c>
      <c r="AG480" s="2297">
        <v>27.34</v>
      </c>
      <c r="AH480" s="2297" t="s">
        <v>347</v>
      </c>
      <c r="AI480" s="1390"/>
      <c r="AJ480" s="2282"/>
      <c r="AK480" s="2282"/>
      <c r="AL480" s="1037"/>
      <c r="AR480" s="338">
        <v>55.04</v>
      </c>
      <c r="AS480" s="338" t="s">
        <v>331</v>
      </c>
      <c r="AX480" s="340">
        <v>102.16</v>
      </c>
      <c r="AY480" s="340" t="s">
        <v>297</v>
      </c>
      <c r="BC480" s="341" t="str">
        <f t="array" ref="BC480">IFERROR(IF($BC$11="Yes",INDEX($AX$13:$AX$2950,SMALL(IF((County=$AY$13:$AY$2950),MATCH(ROW($AY$13:$AY$2950),ROW($AY$13:$AY$2950)),""),ROWS($A$13:$A538))),""),"")</f>
        <v/>
      </c>
      <c r="BH480" s="338">
        <v>116</v>
      </c>
      <c r="BI480" s="338" t="s">
        <v>338</v>
      </c>
      <c r="BN480" s="340">
        <v>27.01</v>
      </c>
      <c r="BO480" s="340" t="s">
        <v>304</v>
      </c>
      <c r="BP480" s="1385"/>
      <c r="BQ480" s="1389"/>
      <c r="BR480" s="6"/>
      <c r="BV480" s="338">
        <v>601.22</v>
      </c>
      <c r="BW480" s="338" t="s">
        <v>289</v>
      </c>
      <c r="CB480" s="340">
        <v>102.11</v>
      </c>
      <c r="CC480" s="340" t="s">
        <v>297</v>
      </c>
      <c r="CE480" s="341" t="str">
        <f t="array" ref="CE480">IFERROR(IF($CE$11="Metro",INDEX($BV$13:$BV$4972,SMALL(IF((County=$BW$13:$BW$4972),MATCH(ROW($BW$13:$BW$4972),ROW($BW$13:$BW$4972)),""),ROWS($A$13:$A538))),INDEX($BY$13:$BY$212,SMALL(IF((County=$BZ$13:$BZ$212),MATCH(ROW($BZ$13:$BZ$212),ROW($BZ$13:$BZ$212)),""),ROWS($A$13:$A538)))),"")</f>
        <v/>
      </c>
      <c r="CG480" s="341" t="str">
        <f t="array" ref="CG480">IFERROR(IF($CG$11="Yes",INDEX($CB$13:$CB$2950,SMALL(IF((County=$CC$13:$CC$2950),MATCH(ROW($CC$13:$CC$2950),ROW($CC$13:$CC$2950)),""),ROWS($A$13:$A538))),""),"")</f>
        <v/>
      </c>
      <c r="CL480" s="236">
        <v>13.01</v>
      </c>
      <c r="CM480" s="236" t="s">
        <v>340</v>
      </c>
      <c r="CR480" s="340">
        <v>27.02</v>
      </c>
      <c r="CS480" s="340" t="s">
        <v>331</v>
      </c>
      <c r="CT480" s="1384"/>
      <c r="CZ480" s="1795">
        <v>8.0500000000000007</v>
      </c>
      <c r="DA480" s="338" t="s">
        <v>331</v>
      </c>
      <c r="DF480" s="340">
        <v>104.32</v>
      </c>
      <c r="DG480" s="340" t="s">
        <v>297</v>
      </c>
      <c r="DP480" s="236">
        <v>121</v>
      </c>
      <c r="DQ480" s="236" t="s">
        <v>302</v>
      </c>
      <c r="DV480" s="340">
        <v>27.32</v>
      </c>
      <c r="DW480" s="340" t="s">
        <v>347</v>
      </c>
      <c r="DX480" s="1671"/>
      <c r="EB480" s="618"/>
      <c r="EC480" s="618"/>
      <c r="ED480" s="618"/>
      <c r="EE480" s="618"/>
      <c r="EF480" s="618"/>
      <c r="EG480" s="618"/>
      <c r="EH480" s="618"/>
      <c r="EI480" s="618"/>
      <c r="EJ480" s="618"/>
      <c r="EK480" s="618"/>
      <c r="EL480" s="618"/>
      <c r="EM480" s="618"/>
    </row>
    <row r="481" spans="6:143">
      <c r="F481" s="338">
        <v>54.05</v>
      </c>
      <c r="G481" s="338" t="s">
        <v>331</v>
      </c>
      <c r="L481" s="2481">
        <v>107.02</v>
      </c>
      <c r="M481" s="340" t="s">
        <v>297</v>
      </c>
      <c r="N481" s="1390"/>
      <c r="O481" s="2479"/>
      <c r="P481" s="2282"/>
      <c r="AA481" s="338">
        <v>135.03</v>
      </c>
      <c r="AB481" s="338" t="s">
        <v>316</v>
      </c>
      <c r="AG481" s="2297">
        <v>27.35</v>
      </c>
      <c r="AH481" s="2297" t="s">
        <v>347</v>
      </c>
      <c r="AI481" s="1390"/>
      <c r="AJ481" s="2282"/>
      <c r="AK481" s="2282"/>
      <c r="AL481" s="1037"/>
      <c r="AR481" s="338">
        <v>55.05</v>
      </c>
      <c r="AS481" s="338" t="s">
        <v>331</v>
      </c>
      <c r="AX481" s="340">
        <v>102.17</v>
      </c>
      <c r="AY481" s="340" t="s">
        <v>297</v>
      </c>
      <c r="BC481" s="341" t="str">
        <f t="array" ref="BC481">IFERROR(IF($BC$11="Yes",INDEX($AX$13:$AX$2950,SMALL(IF((County=$AY$13:$AY$2950),MATCH(ROW($AY$13:$AY$2950),ROW($AY$13:$AY$2950)),""),ROWS($A$13:$A539))),""),"")</f>
        <v/>
      </c>
      <c r="BH481" s="338">
        <v>116.04</v>
      </c>
      <c r="BI481" s="338" t="s">
        <v>344</v>
      </c>
      <c r="BN481" s="340">
        <v>27.02</v>
      </c>
      <c r="BO481" s="340" t="s">
        <v>331</v>
      </c>
      <c r="BP481" s="1385"/>
      <c r="BQ481" s="1389"/>
      <c r="BR481" s="6"/>
      <c r="BV481" s="338">
        <v>601.23</v>
      </c>
      <c r="BW481" s="338" t="s">
        <v>289</v>
      </c>
      <c r="CB481" s="340">
        <v>102.13</v>
      </c>
      <c r="CC481" s="340" t="s">
        <v>297</v>
      </c>
      <c r="CE481" s="341" t="str">
        <f t="array" ref="CE481">IFERROR(IF($CE$11="Metro",INDEX($BV$13:$BV$4972,SMALL(IF((County=$BW$13:$BW$4972),MATCH(ROW($BW$13:$BW$4972),ROW($BW$13:$BW$4972)),""),ROWS($A$13:$A539))),INDEX($BY$13:$BY$212,SMALL(IF((County=$BZ$13:$BZ$212),MATCH(ROW($BZ$13:$BZ$212),ROW($BZ$13:$BZ$212)),""),ROWS($A$13:$A539)))),"")</f>
        <v/>
      </c>
      <c r="CG481" s="341" t="str">
        <f t="array" ref="CG481">IFERROR(IF($CG$11="Yes",INDEX($CB$13:$CB$2950,SMALL(IF((County=$CC$13:$CC$2950),MATCH(ROW($CC$13:$CC$2950),ROW($CC$13:$CC$2950)),""),ROWS($A$13:$A539))),""),"")</f>
        <v/>
      </c>
      <c r="CL481" s="236">
        <v>13.01</v>
      </c>
      <c r="CM481" s="236" t="s">
        <v>347</v>
      </c>
      <c r="CR481" s="340">
        <v>27.02</v>
      </c>
      <c r="CS481" s="340" t="s">
        <v>340</v>
      </c>
      <c r="CT481" s="1384"/>
      <c r="CZ481" s="1795">
        <v>8.06</v>
      </c>
      <c r="DA481" s="338" t="s">
        <v>331</v>
      </c>
      <c r="DF481" s="340">
        <v>104.33</v>
      </c>
      <c r="DG481" s="340" t="s">
        <v>297</v>
      </c>
      <c r="DP481" s="236">
        <v>121</v>
      </c>
      <c r="DQ481" s="236" t="s">
        <v>338</v>
      </c>
      <c r="DV481" s="340">
        <v>27.33</v>
      </c>
      <c r="DW481" s="340" t="s">
        <v>347</v>
      </c>
      <c r="DX481" s="1671"/>
      <c r="EB481" s="618"/>
      <c r="EC481" s="618"/>
      <c r="ED481" s="618"/>
      <c r="EE481" s="618"/>
      <c r="EF481" s="618"/>
      <c r="EG481" s="618"/>
      <c r="EH481" s="618"/>
      <c r="EI481" s="618"/>
      <c r="EJ481" s="618"/>
      <c r="EK481" s="618"/>
      <c r="EL481" s="618"/>
      <c r="EM481" s="618"/>
    </row>
    <row r="482" spans="6:143">
      <c r="F482" s="338">
        <v>54.07</v>
      </c>
      <c r="G482" s="338" t="s">
        <v>331</v>
      </c>
      <c r="L482" s="2481">
        <v>108.06</v>
      </c>
      <c r="M482" s="340" t="s">
        <v>297</v>
      </c>
      <c r="N482" s="1390"/>
      <c r="O482" s="2479"/>
      <c r="P482" s="2282"/>
      <c r="AA482" s="338">
        <v>135.03</v>
      </c>
      <c r="AB482" s="338" t="s">
        <v>338</v>
      </c>
      <c r="AG482" s="2297">
        <v>27.37</v>
      </c>
      <c r="AH482" s="2297" t="s">
        <v>347</v>
      </c>
      <c r="AI482" s="1390"/>
      <c r="AJ482" s="2282"/>
      <c r="AK482" s="2282"/>
      <c r="AL482" s="1037"/>
      <c r="AR482" s="338">
        <v>57.01</v>
      </c>
      <c r="AS482" s="338" t="s">
        <v>331</v>
      </c>
      <c r="AX482" s="340">
        <v>104.01</v>
      </c>
      <c r="AY482" s="340" t="s">
        <v>297</v>
      </c>
      <c r="BC482" s="341" t="str">
        <f t="array" ref="BC482">IFERROR(IF($BC$11="Yes",INDEX($AX$13:$AX$2950,SMALL(IF((County=$AY$13:$AY$2950),MATCH(ROW($AY$13:$AY$2950),ROW($AY$13:$AY$2950)),""),ROWS($A$13:$A540))),""),"")</f>
        <v/>
      </c>
      <c r="BH482" s="338">
        <v>116.1</v>
      </c>
      <c r="BI482" s="338" t="s">
        <v>316</v>
      </c>
      <c r="BN482" s="340">
        <v>27.02</v>
      </c>
      <c r="BO482" s="340" t="s">
        <v>340</v>
      </c>
      <c r="BP482" s="1385"/>
      <c r="BQ482" s="1389"/>
      <c r="BR482" s="6"/>
      <c r="BV482" s="338">
        <v>601.24</v>
      </c>
      <c r="BW482" s="338" t="s">
        <v>289</v>
      </c>
      <c r="CB482" s="340">
        <v>102.15</v>
      </c>
      <c r="CC482" s="340" t="s">
        <v>297</v>
      </c>
      <c r="CE482" s="341" t="str">
        <f t="array" ref="CE482">IFERROR(IF($CE$11="Metro",INDEX($BV$13:$BV$4972,SMALL(IF((County=$BW$13:$BW$4972),MATCH(ROW($BW$13:$BW$4972),ROW($BW$13:$BW$4972)),""),ROWS($A$13:$A540))),INDEX($BY$13:$BY$212,SMALL(IF((County=$BZ$13:$BZ$212),MATCH(ROW($BZ$13:$BZ$212),ROW($BZ$13:$BZ$212)),""),ROWS($A$13:$A540)))),"")</f>
        <v/>
      </c>
      <c r="CG482" s="341" t="str">
        <f t="array" ref="CG482">IFERROR(IF($CG$11="Yes",INDEX($CB$13:$CB$2950,SMALL(IF((County=$CC$13:$CC$2950),MATCH(ROW($CC$13:$CC$2950),ROW($CC$13:$CC$2950)),""),ROWS($A$13:$A540))),""),"")</f>
        <v/>
      </c>
      <c r="CL482" s="338">
        <v>13.02</v>
      </c>
      <c r="CM482" s="338" t="s">
        <v>285</v>
      </c>
      <c r="CR482" s="340">
        <v>27.03</v>
      </c>
      <c r="CS482" s="340" t="s">
        <v>285</v>
      </c>
      <c r="CT482" s="1384"/>
      <c r="CZ482" s="1795">
        <v>8.07</v>
      </c>
      <c r="DA482" s="338" t="s">
        <v>331</v>
      </c>
      <c r="DF482" s="340">
        <v>104.34</v>
      </c>
      <c r="DG482" s="340" t="s">
        <v>297</v>
      </c>
      <c r="DP482" s="236">
        <v>121.07</v>
      </c>
      <c r="DQ482" s="236" t="s">
        <v>316</v>
      </c>
      <c r="DV482" s="340">
        <v>27.34</v>
      </c>
      <c r="DW482" s="340" t="s">
        <v>347</v>
      </c>
      <c r="DX482" s="1671"/>
      <c r="EB482" s="618"/>
      <c r="EC482" s="618"/>
      <c r="ED482" s="618"/>
      <c r="EE482" s="618"/>
      <c r="EF482" s="618"/>
      <c r="EG482" s="618"/>
      <c r="EH482" s="618"/>
      <c r="EI482" s="618"/>
      <c r="EJ482" s="618"/>
      <c r="EK482" s="618"/>
      <c r="EL482" s="618"/>
      <c r="EM482" s="618"/>
    </row>
    <row r="483" spans="6:143">
      <c r="F483" s="338">
        <v>54.09</v>
      </c>
      <c r="G483" s="338" t="s">
        <v>331</v>
      </c>
      <c r="L483" s="2481">
        <v>108.07</v>
      </c>
      <c r="M483" s="340" t="s">
        <v>297</v>
      </c>
      <c r="N483" s="1390"/>
      <c r="O483" s="2479"/>
      <c r="P483" s="2282"/>
      <c r="AA483" s="338">
        <v>135.04</v>
      </c>
      <c r="AB483" s="338" t="s">
        <v>302</v>
      </c>
      <c r="AG483" s="2297">
        <v>27.38</v>
      </c>
      <c r="AH483" s="2297" t="s">
        <v>347</v>
      </c>
      <c r="AI483" s="1390"/>
      <c r="AJ483" s="2282"/>
      <c r="AK483" s="2282"/>
      <c r="AL483" s="1037"/>
      <c r="AR483" s="338">
        <v>57.05</v>
      </c>
      <c r="AS483" s="338" t="s">
        <v>331</v>
      </c>
      <c r="AX483" s="340">
        <v>104.08</v>
      </c>
      <c r="AY483" s="340" t="s">
        <v>297</v>
      </c>
      <c r="BC483" s="341" t="str">
        <f t="array" ref="BC483">IFERROR(IF($BC$11="Yes",INDEX($AX$13:$AX$2950,SMALL(IF((County=$AY$13:$AY$2950),MATCH(ROW($AY$13:$AY$2950),ROW($AY$13:$AY$2950)),""),ROWS($A$13:$A541))),""),"")</f>
        <v/>
      </c>
      <c r="BH483" s="338">
        <v>116.14</v>
      </c>
      <c r="BI483" s="338" t="s">
        <v>316</v>
      </c>
      <c r="BN483" s="340">
        <v>27.03</v>
      </c>
      <c r="BO483" s="340" t="s">
        <v>285</v>
      </c>
      <c r="BP483" s="1385"/>
      <c r="BQ483" s="1389"/>
      <c r="BR483" s="6"/>
      <c r="BV483" s="338">
        <v>601.25</v>
      </c>
      <c r="BW483" s="338" t="s">
        <v>289</v>
      </c>
      <c r="CB483" s="340">
        <v>102.16</v>
      </c>
      <c r="CC483" s="340" t="s">
        <v>297</v>
      </c>
      <c r="CE483" s="341" t="str">
        <f t="array" ref="CE483">IFERROR(IF($CE$11="Metro",INDEX($BV$13:$BV$4972,SMALL(IF((County=$BW$13:$BW$4972),MATCH(ROW($BW$13:$BW$4972),ROW($BW$13:$BW$4972)),""),ROWS($A$13:$A541))),INDEX($BY$13:$BY$212,SMALL(IF((County=$BZ$13:$BZ$212),MATCH(ROW($BZ$13:$BZ$212),ROW($BZ$13:$BZ$212)),""),ROWS($A$13:$A541)))),"")</f>
        <v/>
      </c>
      <c r="CG483" s="341" t="str">
        <f t="array" ref="CG483">IFERROR(IF($CG$11="Yes",INDEX($CB$13:$CB$2950,SMALL(IF((County=$CC$13:$CC$2950),MATCH(ROW($CC$13:$CC$2950),ROW($CC$13:$CC$2950)),""),ROWS($A$13:$A541))),""),"")</f>
        <v/>
      </c>
      <c r="CL483" s="236">
        <v>13.02</v>
      </c>
      <c r="CM483" s="236" t="s">
        <v>329</v>
      </c>
      <c r="CR483" s="340">
        <v>27.03</v>
      </c>
      <c r="CS483" s="340" t="s">
        <v>329</v>
      </c>
      <c r="CT483" s="1384"/>
      <c r="CZ483" s="1795">
        <v>8.08</v>
      </c>
      <c r="DA483" s="338" t="s">
        <v>331</v>
      </c>
      <c r="DF483" s="340">
        <v>104.35</v>
      </c>
      <c r="DG483" s="340" t="s">
        <v>297</v>
      </c>
      <c r="DP483" s="236">
        <v>121.09</v>
      </c>
      <c r="DQ483" s="236" t="s">
        <v>316</v>
      </c>
      <c r="DV483" s="340">
        <v>27.35</v>
      </c>
      <c r="DW483" s="340" t="s">
        <v>347</v>
      </c>
      <c r="DX483" s="1671"/>
      <c r="EB483" s="618"/>
      <c r="EC483" s="618"/>
      <c r="ED483" s="618"/>
      <c r="EE483" s="618"/>
      <c r="EF483" s="618"/>
      <c r="EG483" s="618"/>
      <c r="EH483" s="618"/>
      <c r="EI483" s="618"/>
      <c r="EJ483" s="618"/>
      <c r="EK483" s="618"/>
      <c r="EL483" s="618"/>
      <c r="EM483" s="618"/>
    </row>
    <row r="484" spans="6:143">
      <c r="F484" s="338">
        <v>54.1</v>
      </c>
      <c r="G484" s="338" t="s">
        <v>331</v>
      </c>
      <c r="L484" s="2481">
        <v>108.08</v>
      </c>
      <c r="M484" s="340" t="s">
        <v>297</v>
      </c>
      <c r="N484" s="1390"/>
      <c r="O484" s="2479"/>
      <c r="P484" s="2282"/>
      <c r="AA484" s="338">
        <v>135.05000000000001</v>
      </c>
      <c r="AB484" s="338" t="s">
        <v>316</v>
      </c>
      <c r="AG484" s="2297">
        <v>27.42</v>
      </c>
      <c r="AH484" s="2297" t="s">
        <v>347</v>
      </c>
      <c r="AI484" s="1390"/>
      <c r="AJ484" s="2282"/>
      <c r="AK484" s="2282"/>
      <c r="AL484" s="1037"/>
      <c r="AR484" s="338">
        <v>57.06</v>
      </c>
      <c r="AS484" s="338" t="s">
        <v>331</v>
      </c>
      <c r="AX484" s="340">
        <v>104.11</v>
      </c>
      <c r="AY484" s="340" t="s">
        <v>297</v>
      </c>
      <c r="BC484" s="341" t="str">
        <f t="array" ref="BC484">IFERROR(IF($BC$11="Yes",INDEX($AX$13:$AX$2950,SMALL(IF((County=$AY$13:$AY$2950),MATCH(ROW($AY$13:$AY$2950),ROW($AY$13:$AY$2950)),""),ROWS($A$13:$A542))),""),"")</f>
        <v/>
      </c>
      <c r="BH484" s="338">
        <v>117.01</v>
      </c>
      <c r="BI484" s="338" t="s">
        <v>331</v>
      </c>
      <c r="BN484" s="340">
        <v>27.03</v>
      </c>
      <c r="BO484" s="340" t="s">
        <v>340</v>
      </c>
      <c r="BP484" s="1385"/>
      <c r="BQ484" s="1389"/>
      <c r="BR484" s="6"/>
      <c r="BV484" s="338">
        <v>601.26</v>
      </c>
      <c r="BW484" s="338" t="s">
        <v>289</v>
      </c>
      <c r="CB484" s="340">
        <v>103</v>
      </c>
      <c r="CC484" s="340" t="s">
        <v>297</v>
      </c>
      <c r="CE484" s="341" t="str">
        <f t="array" ref="CE484">IFERROR(IF($CE$11="Metro",INDEX($BV$13:$BV$4972,SMALL(IF((County=$BW$13:$BW$4972),MATCH(ROW($BW$13:$BW$4972),ROW($BW$13:$BW$4972)),""),ROWS($A$13:$A542))),INDEX($BY$13:$BY$212,SMALL(IF((County=$BZ$13:$BZ$212),MATCH(ROW($BZ$13:$BZ$212),ROW($BZ$13:$BZ$212)),""),ROWS($A$13:$A542)))),"")</f>
        <v/>
      </c>
      <c r="CG484" s="341" t="str">
        <f t="array" ref="CG484">IFERROR(IF($CG$11="Yes",INDEX($CB$13:$CB$2950,SMALL(IF((County=$CC$13:$CC$2950),MATCH(ROW($CC$13:$CC$2950),ROW($CC$13:$CC$2950)),""),ROWS($A$13:$A542))),""),"")</f>
        <v/>
      </c>
      <c r="CL484" s="236">
        <v>13.02</v>
      </c>
      <c r="CM484" s="236" t="s">
        <v>330</v>
      </c>
      <c r="CR484" s="340">
        <v>27.03</v>
      </c>
      <c r="CS484" s="340" t="s">
        <v>340</v>
      </c>
      <c r="CT484" s="1384"/>
      <c r="CZ484" s="1795">
        <v>10.029999999999999</v>
      </c>
      <c r="DA484" s="338" t="s">
        <v>331</v>
      </c>
      <c r="DF484" s="340">
        <v>104.36</v>
      </c>
      <c r="DG484" s="340" t="s">
        <v>297</v>
      </c>
      <c r="DP484" s="236">
        <v>122.01</v>
      </c>
      <c r="DQ484" s="236" t="s">
        <v>302</v>
      </c>
      <c r="DV484" s="340">
        <v>27.37</v>
      </c>
      <c r="DW484" s="340" t="s">
        <v>347</v>
      </c>
      <c r="DX484" s="1671"/>
      <c r="EB484" s="618"/>
      <c r="EC484" s="618"/>
      <c r="ED484" s="618"/>
      <c r="EE484" s="618"/>
      <c r="EF484" s="618"/>
      <c r="EG484" s="618"/>
      <c r="EH484" s="618"/>
      <c r="EI484" s="618"/>
      <c r="EJ484" s="618"/>
      <c r="EK484" s="618"/>
      <c r="EL484" s="618"/>
      <c r="EM484" s="618"/>
    </row>
    <row r="485" spans="6:143">
      <c r="F485" s="338">
        <v>55.06</v>
      </c>
      <c r="G485" s="338" t="s">
        <v>331</v>
      </c>
      <c r="L485" s="2481">
        <v>109.02</v>
      </c>
      <c r="M485" s="340" t="s">
        <v>297</v>
      </c>
      <c r="N485" s="1390"/>
      <c r="O485" s="2479"/>
      <c r="P485" s="2282"/>
      <c r="AA485" s="338">
        <v>135.1</v>
      </c>
      <c r="AB485" s="338" t="s">
        <v>338</v>
      </c>
      <c r="AG485" s="2297">
        <v>27.43</v>
      </c>
      <c r="AH485" s="2297" t="s">
        <v>347</v>
      </c>
      <c r="AI485" s="1390"/>
      <c r="AJ485" s="2282"/>
      <c r="AK485" s="2282"/>
      <c r="AL485" s="1037"/>
      <c r="AR485" s="338">
        <v>57.07</v>
      </c>
      <c r="AS485" s="338" t="s">
        <v>331</v>
      </c>
      <c r="AX485" s="340">
        <v>104.16</v>
      </c>
      <c r="AY485" s="340" t="s">
        <v>297</v>
      </c>
      <c r="BC485" s="341" t="str">
        <f t="array" ref="BC485">IFERROR(IF($BC$11="Yes",INDEX($AX$13:$AX$2950,SMALL(IF((County=$AY$13:$AY$2950),MATCH(ROW($AY$13:$AY$2950),ROW($AY$13:$AY$2950)),""),ROWS($A$13:$A543))),""),"")</f>
        <v/>
      </c>
      <c r="BH485" s="338">
        <v>117.02</v>
      </c>
      <c r="BI485" s="338" t="s">
        <v>331</v>
      </c>
      <c r="BN485" s="340">
        <v>27.04</v>
      </c>
      <c r="BO485" s="340" t="s">
        <v>329</v>
      </c>
      <c r="BP485" s="1385"/>
      <c r="BQ485" s="1389"/>
      <c r="BR485" s="6"/>
      <c r="BV485" s="338">
        <v>601.27</v>
      </c>
      <c r="BW485" s="338" t="s">
        <v>289</v>
      </c>
      <c r="CB485" s="340">
        <v>104.01</v>
      </c>
      <c r="CC485" s="340" t="s">
        <v>297</v>
      </c>
      <c r="CE485" s="341" t="str">
        <f t="array" ref="CE485">IFERROR(IF($CE$11="Metro",INDEX($BV$13:$BV$4972,SMALL(IF((County=$BW$13:$BW$4972),MATCH(ROW($BW$13:$BW$4972),ROW($BW$13:$BW$4972)),""),ROWS($A$13:$A543))),INDEX($BY$13:$BY$212,SMALL(IF((County=$BZ$13:$BZ$212),MATCH(ROW($BZ$13:$BZ$212),ROW($BZ$13:$BZ$212)),""),ROWS($A$13:$A543)))),"")</f>
        <v/>
      </c>
      <c r="CG485" s="341" t="str">
        <f t="array" ref="CG485">IFERROR(IF($CG$11="Yes",INDEX($CB$13:$CB$2950,SMALL(IF((County=$CC$13:$CC$2950),MATCH(ROW($CC$13:$CC$2950),ROW($CC$13:$CC$2950)),""),ROWS($A$13:$A543))),""),"")</f>
        <v/>
      </c>
      <c r="CL485" s="236">
        <v>13.02</v>
      </c>
      <c r="CM485" s="236" t="s">
        <v>331</v>
      </c>
      <c r="CR485" s="340">
        <v>27.04</v>
      </c>
      <c r="CS485" s="340" t="s">
        <v>329</v>
      </c>
      <c r="CT485" s="1384"/>
      <c r="CZ485" s="1795">
        <v>10.039999999999999</v>
      </c>
      <c r="DA485" s="338" t="s">
        <v>331</v>
      </c>
      <c r="DF485" s="340">
        <v>104.38</v>
      </c>
      <c r="DG485" s="340" t="s">
        <v>297</v>
      </c>
      <c r="DP485" s="236">
        <v>122.01</v>
      </c>
      <c r="DQ485" s="236" t="s">
        <v>338</v>
      </c>
      <c r="DV485" s="340">
        <v>27.38</v>
      </c>
      <c r="DW485" s="340" t="s">
        <v>347</v>
      </c>
      <c r="DX485" s="1671"/>
      <c r="EB485" s="618"/>
      <c r="EC485" s="618"/>
      <c r="ED485" s="618"/>
      <c r="EE485" s="618"/>
      <c r="EF485" s="618"/>
      <c r="EG485" s="618"/>
      <c r="EH485" s="618"/>
      <c r="EI485" s="618"/>
      <c r="EJ485" s="618"/>
      <c r="EK485" s="618"/>
      <c r="EL485" s="618"/>
      <c r="EM485" s="618"/>
    </row>
    <row r="486" spans="6:143">
      <c r="F486" s="338">
        <v>57.01</v>
      </c>
      <c r="G486" s="338" t="s">
        <v>331</v>
      </c>
      <c r="L486" s="2481">
        <v>109.05</v>
      </c>
      <c r="M486" s="340" t="s">
        <v>297</v>
      </c>
      <c r="N486" s="1390"/>
      <c r="O486" s="2479"/>
      <c r="P486" s="2282"/>
      <c r="AA486" s="338">
        <v>135.11000000000001</v>
      </c>
      <c r="AB486" s="338" t="s">
        <v>338</v>
      </c>
      <c r="AG486" s="2297">
        <v>27.44</v>
      </c>
      <c r="AH486" s="2297" t="s">
        <v>347</v>
      </c>
      <c r="AI486" s="1390"/>
      <c r="AJ486" s="2282"/>
      <c r="AK486" s="2282"/>
      <c r="AL486" s="1037"/>
      <c r="AR486" s="338">
        <v>57.08</v>
      </c>
      <c r="AS486" s="338" t="s">
        <v>331</v>
      </c>
      <c r="AX486" s="340">
        <v>104.23</v>
      </c>
      <c r="AY486" s="340" t="s">
        <v>297</v>
      </c>
      <c r="BC486" s="341" t="str">
        <f t="array" ref="BC486">IFERROR(IF($BC$11="Yes",INDEX($AX$13:$AX$2950,SMALL(IF((County=$AY$13:$AY$2950),MATCH(ROW($AY$13:$AY$2950),ROW($AY$13:$AY$2950)),""),ROWS($A$13:$A544))),""),"")</f>
        <v/>
      </c>
      <c r="BH486" s="338">
        <v>117.02</v>
      </c>
      <c r="BI486" s="338" t="s">
        <v>338</v>
      </c>
      <c r="BN486" s="340">
        <v>27.05</v>
      </c>
      <c r="BO486" s="340" t="s">
        <v>331</v>
      </c>
      <c r="BP486" s="1385"/>
      <c r="BQ486" s="1389"/>
      <c r="BR486" s="6"/>
      <c r="BV486" s="338">
        <v>601.28</v>
      </c>
      <c r="BW486" s="338" t="s">
        <v>289</v>
      </c>
      <c r="CB486" s="340">
        <v>104.16</v>
      </c>
      <c r="CC486" s="340" t="s">
        <v>297</v>
      </c>
      <c r="CE486" s="341" t="str">
        <f t="array" ref="CE486">IFERROR(IF($CE$11="Metro",INDEX($BV$13:$BV$4972,SMALL(IF((County=$BW$13:$BW$4972),MATCH(ROW($BW$13:$BW$4972),ROW($BW$13:$BW$4972)),""),ROWS($A$13:$A544))),INDEX($BY$13:$BY$212,SMALL(IF((County=$BZ$13:$BZ$212),MATCH(ROW($BZ$13:$BZ$212),ROW($BZ$13:$BZ$212)),""),ROWS($A$13:$A544)))),"")</f>
        <v/>
      </c>
      <c r="CG486" s="341" t="str">
        <f t="array" ref="CG486">IFERROR(IF($CG$11="Yes",INDEX($CB$13:$CB$2950,SMALL(IF((County=$CC$13:$CC$2950),MATCH(ROW($CC$13:$CC$2950),ROW($CC$13:$CC$2950)),""),ROWS($A$13:$A544))),""),"")</f>
        <v/>
      </c>
      <c r="CL486" s="236">
        <v>13.02</v>
      </c>
      <c r="CM486" s="236" t="s">
        <v>340</v>
      </c>
      <c r="CR486" s="340">
        <v>27.05</v>
      </c>
      <c r="CS486" s="340" t="s">
        <v>331</v>
      </c>
      <c r="CT486" s="1384"/>
      <c r="CZ486" s="1795">
        <v>10.050000000000001</v>
      </c>
      <c r="DA486" s="338" t="s">
        <v>331</v>
      </c>
      <c r="DF486" s="340">
        <v>105.13</v>
      </c>
      <c r="DG486" s="340" t="s">
        <v>297</v>
      </c>
      <c r="DP486" s="236">
        <v>122.02</v>
      </c>
      <c r="DQ486" s="236" t="s">
        <v>302</v>
      </c>
      <c r="DV486" s="340">
        <v>27.42</v>
      </c>
      <c r="DW486" s="340" t="s">
        <v>347</v>
      </c>
      <c r="DX486" s="1671"/>
      <c r="EB486" s="618"/>
      <c r="EC486" s="618"/>
      <c r="ED486" s="618"/>
      <c r="EE486" s="618"/>
      <c r="EF486" s="618"/>
      <c r="EG486" s="618"/>
      <c r="EH486" s="618"/>
      <c r="EI486" s="618"/>
      <c r="EJ486" s="618"/>
      <c r="EK486" s="618"/>
      <c r="EL486" s="618"/>
      <c r="EM486" s="618"/>
    </row>
    <row r="487" spans="6:143">
      <c r="F487" s="338">
        <v>57.05</v>
      </c>
      <c r="G487" s="338" t="s">
        <v>331</v>
      </c>
      <c r="L487" s="2481">
        <v>109.06</v>
      </c>
      <c r="M487" s="340" t="s">
        <v>297</v>
      </c>
      <c r="N487" s="1390"/>
      <c r="O487" s="2479"/>
      <c r="P487" s="2282"/>
      <c r="AA487" s="338">
        <v>135.12</v>
      </c>
      <c r="AB487" s="338" t="s">
        <v>338</v>
      </c>
      <c r="AG487" s="2297">
        <v>27.46</v>
      </c>
      <c r="AH487" s="2297" t="s">
        <v>347</v>
      </c>
      <c r="AI487" s="1390"/>
      <c r="AJ487" s="2282"/>
      <c r="AK487" s="2282"/>
      <c r="AL487" s="1037"/>
      <c r="AR487" s="338">
        <v>63.03</v>
      </c>
      <c r="AS487" s="338" t="s">
        <v>331</v>
      </c>
      <c r="AX487" s="340">
        <v>104.25</v>
      </c>
      <c r="AY487" s="340" t="s">
        <v>297</v>
      </c>
      <c r="BC487" s="341" t="str">
        <f t="array" ref="BC487">IFERROR(IF($BC$11="Yes",INDEX($AX$13:$AX$2950,SMALL(IF((County=$AY$13:$AY$2950),MATCH(ROW($AY$13:$AY$2950),ROW($AY$13:$AY$2950)),""),ROWS($A$13:$A545))),""),"")</f>
        <v/>
      </c>
      <c r="BH487" s="338">
        <v>117.04</v>
      </c>
      <c r="BI487" s="338" t="s">
        <v>344</v>
      </c>
      <c r="BN487" s="340">
        <v>27.06</v>
      </c>
      <c r="BO487" s="340" t="s">
        <v>285</v>
      </c>
      <c r="BP487" s="1385"/>
      <c r="BQ487" s="1388"/>
      <c r="BV487" s="338">
        <v>601.29</v>
      </c>
      <c r="BW487" s="338" t="s">
        <v>289</v>
      </c>
      <c r="CB487" s="340">
        <v>104.23</v>
      </c>
      <c r="CC487" s="340" t="s">
        <v>297</v>
      </c>
      <c r="CE487" s="341" t="str">
        <f t="array" ref="CE487">IFERROR(IF($CE$11="Metro",INDEX($BV$13:$BV$4972,SMALL(IF((County=$BW$13:$BW$4972),MATCH(ROW($BW$13:$BW$4972),ROW($BW$13:$BW$4972)),""),ROWS($A$13:$A545))),INDEX($BY$13:$BY$212,SMALL(IF((County=$BZ$13:$BZ$212),MATCH(ROW($BZ$13:$BZ$212),ROW($BZ$13:$BZ$212)),""),ROWS($A$13:$A545)))),"")</f>
        <v/>
      </c>
      <c r="CG487" s="341" t="str">
        <f t="array" ref="CG487">IFERROR(IF($CG$11="Yes",INDEX($CB$13:$CB$2950,SMALL(IF((County=$CC$13:$CC$2950),MATCH(ROW($CC$13:$CC$2950),ROW($CC$13:$CC$2950)),""),ROWS($A$13:$A545))),""),"")</f>
        <v/>
      </c>
      <c r="CL487" s="236">
        <v>13.02</v>
      </c>
      <c r="CM487" s="236" t="s">
        <v>347</v>
      </c>
      <c r="CR487" s="340">
        <v>27.06</v>
      </c>
      <c r="CS487" s="340" t="s">
        <v>285</v>
      </c>
      <c r="CT487" s="1384"/>
      <c r="CZ487" s="1795">
        <v>10.06</v>
      </c>
      <c r="DA487" s="338" t="s">
        <v>331</v>
      </c>
      <c r="DF487" s="340">
        <v>105.18</v>
      </c>
      <c r="DG487" s="340" t="s">
        <v>297</v>
      </c>
      <c r="DP487" s="236">
        <v>122.02</v>
      </c>
      <c r="DQ487" s="236" t="s">
        <v>338</v>
      </c>
      <c r="DV487" s="340">
        <v>27.44</v>
      </c>
      <c r="DW487" s="340" t="s">
        <v>347</v>
      </c>
      <c r="DX487" s="1671"/>
      <c r="EB487" s="618"/>
      <c r="EC487" s="618"/>
      <c r="ED487" s="618"/>
      <c r="EE487" s="618"/>
      <c r="EF487" s="618"/>
      <c r="EG487" s="618"/>
      <c r="EH487" s="618"/>
      <c r="EI487" s="618"/>
      <c r="EJ487" s="618"/>
      <c r="EK487" s="618"/>
      <c r="EL487" s="618"/>
      <c r="EM487" s="618"/>
    </row>
    <row r="488" spans="6:143">
      <c r="F488" s="338">
        <v>57.08</v>
      </c>
      <c r="G488" s="338" t="s">
        <v>331</v>
      </c>
      <c r="L488" s="2481">
        <v>109.07</v>
      </c>
      <c r="M488" s="340" t="s">
        <v>297</v>
      </c>
      <c r="N488" s="1390"/>
      <c r="O488" s="2479"/>
      <c r="P488" s="2282"/>
      <c r="AA488" s="338">
        <v>135.13</v>
      </c>
      <c r="AB488" s="338" t="s">
        <v>338</v>
      </c>
      <c r="AG488" s="2297">
        <v>28</v>
      </c>
      <c r="AH488" s="2297" t="s">
        <v>316</v>
      </c>
      <c r="AI488" s="1390"/>
      <c r="AJ488" s="2282"/>
      <c r="AK488" s="2282"/>
      <c r="AL488" s="1037"/>
      <c r="AR488" s="338">
        <v>63.04</v>
      </c>
      <c r="AS488" s="338" t="s">
        <v>331</v>
      </c>
      <c r="AX488" s="340">
        <v>104.26</v>
      </c>
      <c r="AY488" s="340" t="s">
        <v>297</v>
      </c>
      <c r="BC488" s="341" t="str">
        <f t="array" ref="BC488">IFERROR(IF($BC$11="Yes",INDEX($AX$13:$AX$2950,SMALL(IF((County=$AY$13:$AY$2950),MATCH(ROW($AY$13:$AY$2950),ROW($AY$13:$AY$2950)),""),ROWS($A$13:$A546))),""),"")</f>
        <v/>
      </c>
      <c r="BH488" s="338">
        <v>117.22</v>
      </c>
      <c r="BI488" s="338" t="s">
        <v>344</v>
      </c>
      <c r="BN488" s="340">
        <v>27.07</v>
      </c>
      <c r="BO488" s="340" t="s">
        <v>285</v>
      </c>
      <c r="BP488" s="1385"/>
      <c r="BQ488" s="1389"/>
      <c r="BR488" s="6"/>
      <c r="BV488" s="338">
        <v>601.29999999999995</v>
      </c>
      <c r="BW488" s="338" t="s">
        <v>289</v>
      </c>
      <c r="CB488" s="340">
        <v>104.24</v>
      </c>
      <c r="CC488" s="340" t="s">
        <v>297</v>
      </c>
      <c r="CE488" s="341" t="str">
        <f t="array" ref="CE488">IFERROR(IF($CE$11="Metro",INDEX($BV$13:$BV$4972,SMALL(IF((County=$BW$13:$BW$4972),MATCH(ROW($BW$13:$BW$4972),ROW($BW$13:$BW$4972)),""),ROWS($A$13:$A546))),INDEX($BY$13:$BY$212,SMALL(IF((County=$BZ$13:$BZ$212),MATCH(ROW($BZ$13:$BZ$212),ROW($BZ$13:$BZ$212)),""),ROWS($A$13:$A546)))),"")</f>
        <v/>
      </c>
      <c r="CG488" s="341" t="str">
        <f t="array" ref="CG488">IFERROR(IF($CG$11="Yes",INDEX($CB$13:$CB$2950,SMALL(IF((County=$CC$13:$CC$2950),MATCH(ROW($CC$13:$CC$2950),ROW($CC$13:$CC$2950)),""),ROWS($A$13:$A546))),""),"")</f>
        <v/>
      </c>
      <c r="CL488" s="236">
        <v>13.03</v>
      </c>
      <c r="CM488" s="236" t="s">
        <v>347</v>
      </c>
      <c r="CR488" s="340">
        <v>27.06</v>
      </c>
      <c r="CS488" s="340" t="s">
        <v>329</v>
      </c>
      <c r="CT488" s="1384"/>
      <c r="CZ488" s="1795">
        <v>12.09</v>
      </c>
      <c r="DA488" s="338" t="s">
        <v>331</v>
      </c>
      <c r="DF488" s="340">
        <v>105.19</v>
      </c>
      <c r="DG488" s="340" t="s">
        <v>297</v>
      </c>
      <c r="DP488" s="236">
        <v>122.12</v>
      </c>
      <c r="DQ488" s="236" t="s">
        <v>316</v>
      </c>
      <c r="DV488" s="340">
        <v>27.45</v>
      </c>
      <c r="DW488" s="340" t="s">
        <v>347</v>
      </c>
      <c r="DX488" s="1671"/>
      <c r="EB488" s="618"/>
      <c r="EC488" s="618"/>
      <c r="ED488" s="618"/>
      <c r="EE488" s="618"/>
      <c r="EF488" s="618"/>
      <c r="EG488" s="618"/>
      <c r="EH488" s="618"/>
      <c r="EI488" s="618"/>
      <c r="EJ488" s="618"/>
      <c r="EK488" s="618"/>
      <c r="EL488" s="618"/>
      <c r="EM488" s="618"/>
    </row>
    <row r="489" spans="6:143">
      <c r="F489" s="338">
        <v>59.03</v>
      </c>
      <c r="G489" s="338" t="s">
        <v>331</v>
      </c>
      <c r="L489" s="2481">
        <v>110.03</v>
      </c>
      <c r="M489" s="340" t="s">
        <v>297</v>
      </c>
      <c r="N489" s="1390"/>
      <c r="O489" s="2479"/>
      <c r="P489" s="2282"/>
      <c r="AA489" s="338">
        <v>136</v>
      </c>
      <c r="AB489" s="338" t="s">
        <v>331</v>
      </c>
      <c r="AG489" s="2297">
        <v>28.02</v>
      </c>
      <c r="AH489" s="2297" t="s">
        <v>304</v>
      </c>
      <c r="AI489" s="1390"/>
      <c r="AJ489" s="2282"/>
      <c r="AK489" s="2282"/>
      <c r="AL489" s="1037"/>
      <c r="AR489" s="338">
        <v>64.02</v>
      </c>
      <c r="AS489" s="338" t="s">
        <v>331</v>
      </c>
      <c r="AX489" s="340">
        <v>104.27</v>
      </c>
      <c r="AY489" s="340" t="s">
        <v>297</v>
      </c>
      <c r="BC489" s="341" t="str">
        <f t="array" ref="BC489">IFERROR(IF($BC$11="Yes",INDEX($AX$13:$AX$2950,SMALL(IF((County=$AY$13:$AY$2950),MATCH(ROW($AY$13:$AY$2950),ROW($AY$13:$AY$2950)),""),ROWS($A$13:$A547))),""),"")</f>
        <v/>
      </c>
      <c r="BH489" s="338">
        <v>117.31</v>
      </c>
      <c r="BI489" s="338" t="s">
        <v>344</v>
      </c>
      <c r="BN489" s="340">
        <v>27.07</v>
      </c>
      <c r="BO489" s="340" t="s">
        <v>331</v>
      </c>
      <c r="BP489" s="1385"/>
      <c r="BQ489" s="1389"/>
      <c r="BR489" s="6"/>
      <c r="BV489" s="338">
        <v>602.03</v>
      </c>
      <c r="BW489" s="338" t="s">
        <v>289</v>
      </c>
      <c r="CB489" s="340">
        <v>104.25</v>
      </c>
      <c r="CC489" s="340" t="s">
        <v>297</v>
      </c>
      <c r="CE489" s="341" t="str">
        <f t="array" ref="CE489">IFERROR(IF($CE$11="Metro",INDEX($BV$13:$BV$4972,SMALL(IF((County=$BW$13:$BW$4972),MATCH(ROW($BW$13:$BW$4972),ROW($BW$13:$BW$4972)),""),ROWS($A$13:$A547))),INDEX($BY$13:$BY$212,SMALL(IF((County=$BZ$13:$BZ$212),MATCH(ROW($BZ$13:$BZ$212),ROW($BZ$13:$BZ$212)),""),ROWS($A$13:$A547)))),"")</f>
        <v/>
      </c>
      <c r="CG489" s="341" t="str">
        <f t="array" ref="CG489">IFERROR(IF($CG$11="Yes",INDEX($CB$13:$CB$2950,SMALL(IF((County=$CC$13:$CC$2950),MATCH(ROW($CC$13:$CC$2950),ROW($CC$13:$CC$2950)),""),ROWS($A$13:$A547))),""),"")</f>
        <v/>
      </c>
      <c r="CL489" s="236">
        <v>13.04</v>
      </c>
      <c r="CM489" s="236" t="s">
        <v>347</v>
      </c>
      <c r="CR489" s="340">
        <v>27.07</v>
      </c>
      <c r="CS489" s="340" t="s">
        <v>285</v>
      </c>
      <c r="CT489" s="1384"/>
      <c r="CZ489" s="1795">
        <v>14.01</v>
      </c>
      <c r="DA489" s="338" t="s">
        <v>331</v>
      </c>
      <c r="DF489" s="340">
        <v>106.04</v>
      </c>
      <c r="DG489" s="340" t="s">
        <v>297</v>
      </c>
      <c r="DP489" s="236">
        <v>123.04</v>
      </c>
      <c r="DQ489" s="236" t="s">
        <v>338</v>
      </c>
      <c r="DV489" s="340">
        <v>27.47</v>
      </c>
      <c r="DW489" s="340" t="s">
        <v>347</v>
      </c>
      <c r="DX489" s="1671"/>
      <c r="EB489" s="618"/>
      <c r="EC489" s="618"/>
      <c r="ED489" s="618"/>
      <c r="EE489" s="618"/>
      <c r="EF489" s="618"/>
      <c r="EG489" s="618"/>
      <c r="EH489" s="618"/>
      <c r="EI489" s="618"/>
      <c r="EJ489" s="618"/>
      <c r="EK489" s="618"/>
      <c r="EL489" s="618"/>
      <c r="EM489" s="618"/>
    </row>
    <row r="490" spans="6:143">
      <c r="F490" s="338">
        <v>59.04</v>
      </c>
      <c r="G490" s="338" t="s">
        <v>331</v>
      </c>
      <c r="L490" s="2481">
        <v>111.08</v>
      </c>
      <c r="M490" s="340" t="s">
        <v>297</v>
      </c>
      <c r="N490" s="1390"/>
      <c r="O490" s="2479"/>
      <c r="P490" s="2282"/>
      <c r="AA490" s="338">
        <v>136.03</v>
      </c>
      <c r="AB490" s="338" t="s">
        <v>338</v>
      </c>
      <c r="AG490" s="2297">
        <v>28.04</v>
      </c>
      <c r="AH490" s="2297" t="s">
        <v>304</v>
      </c>
      <c r="AI490" s="1390"/>
      <c r="AJ490" s="2282"/>
      <c r="AK490" s="2282"/>
      <c r="AL490" s="1037"/>
      <c r="AR490" s="338">
        <v>64.03</v>
      </c>
      <c r="AS490" s="338" t="s">
        <v>331</v>
      </c>
      <c r="AX490" s="340">
        <v>104.29</v>
      </c>
      <c r="AY490" s="340" t="s">
        <v>297</v>
      </c>
      <c r="BC490" s="341" t="str">
        <f t="array" ref="BC490">IFERROR(IF($BC$11="Yes",INDEX($AX$13:$AX$2950,SMALL(IF((County=$AY$13:$AY$2950),MATCH(ROW($AY$13:$AY$2950),ROW($AY$13:$AY$2950)),""),ROWS($A$13:$A548))),""),"")</f>
        <v/>
      </c>
      <c r="BH490" s="338">
        <v>117.32</v>
      </c>
      <c r="BI490" s="338" t="s">
        <v>344</v>
      </c>
      <c r="BN490" s="340">
        <v>27.08</v>
      </c>
      <c r="BO490" s="340" t="s">
        <v>285</v>
      </c>
      <c r="BP490" s="1385"/>
      <c r="BQ490" s="1388"/>
      <c r="BV490" s="338">
        <v>602.05999999999995</v>
      </c>
      <c r="BW490" s="338" t="s">
        <v>289</v>
      </c>
      <c r="CB490" s="340">
        <v>104.27</v>
      </c>
      <c r="CC490" s="340" t="s">
        <v>297</v>
      </c>
      <c r="CE490" s="341" t="str">
        <f t="array" ref="CE490">IFERROR(IF($CE$11="Metro",INDEX($BV$13:$BV$4972,SMALL(IF((County=$BW$13:$BW$4972),MATCH(ROW($BW$13:$BW$4972),ROW($BW$13:$BW$4972)),""),ROWS($A$13:$A548))),INDEX($BY$13:$BY$212,SMALL(IF((County=$BZ$13:$BZ$212),MATCH(ROW($BZ$13:$BZ$212),ROW($BZ$13:$BZ$212)),""),ROWS($A$13:$A548)))),"")</f>
        <v/>
      </c>
      <c r="CG490" s="341" t="str">
        <f t="array" ref="CG490">IFERROR(IF($CG$11="Yes",INDEX($CB$13:$CB$2950,SMALL(IF((County=$CC$13:$CC$2950),MATCH(ROW($CC$13:$CC$2950),ROW($CC$13:$CC$2950)),""),ROWS($A$13:$A548))),""),"")</f>
        <v/>
      </c>
      <c r="CL490" s="338">
        <v>14</v>
      </c>
      <c r="CM490" s="338" t="s">
        <v>276</v>
      </c>
      <c r="CR490" s="340">
        <v>27.07</v>
      </c>
      <c r="CS490" s="340" t="s">
        <v>331</v>
      </c>
      <c r="CT490" s="1384"/>
      <c r="CZ490" s="1795">
        <v>14.02</v>
      </c>
      <c r="DA490" s="338" t="s">
        <v>331</v>
      </c>
      <c r="DF490" s="340">
        <v>107.02</v>
      </c>
      <c r="DG490" s="340" t="s">
        <v>297</v>
      </c>
      <c r="DP490" s="236">
        <v>123.05</v>
      </c>
      <c r="DQ490" s="236" t="s">
        <v>338</v>
      </c>
      <c r="DV490" s="340">
        <v>27.48</v>
      </c>
      <c r="DW490" s="340" t="s">
        <v>347</v>
      </c>
      <c r="DX490" s="1671"/>
      <c r="EB490" s="618"/>
      <c r="EC490" s="618"/>
      <c r="ED490" s="618"/>
      <c r="EE490" s="618"/>
      <c r="EF490" s="618"/>
      <c r="EG490" s="618"/>
      <c r="EH490" s="618"/>
      <c r="EI490" s="618"/>
      <c r="EJ490" s="618"/>
      <c r="EK490" s="618"/>
      <c r="EL490" s="618"/>
      <c r="EM490" s="618"/>
    </row>
    <row r="491" spans="6:143">
      <c r="F491" s="338">
        <v>63.03</v>
      </c>
      <c r="G491" s="338" t="s">
        <v>331</v>
      </c>
      <c r="L491" s="2481">
        <v>111.09</v>
      </c>
      <c r="M491" s="340" t="s">
        <v>297</v>
      </c>
      <c r="N491" s="1390"/>
      <c r="O491" s="2479"/>
      <c r="P491" s="2282"/>
      <c r="AA491" s="338">
        <v>136.04</v>
      </c>
      <c r="AB491" s="338" t="s">
        <v>316</v>
      </c>
      <c r="AG491" s="2297">
        <v>30.04</v>
      </c>
      <c r="AH491" s="2297" t="s">
        <v>331</v>
      </c>
      <c r="AI491" s="1390"/>
      <c r="AJ491" s="2282"/>
      <c r="AK491" s="2282"/>
      <c r="AL491" s="1037"/>
      <c r="AR491" s="338">
        <v>70.05</v>
      </c>
      <c r="AS491" s="338" t="s">
        <v>331</v>
      </c>
      <c r="AX491" s="340">
        <v>104.3</v>
      </c>
      <c r="AY491" s="340" t="s">
        <v>297</v>
      </c>
      <c r="BC491" s="341" t="str">
        <f t="array" ref="BC491">IFERROR(IF($BC$11="Yes",INDEX($AX$13:$AX$2950,SMALL(IF((County=$AY$13:$AY$2950),MATCH(ROW($AY$13:$AY$2950),ROW($AY$13:$AY$2950)),""),ROWS($A$13:$A549))),""),"")</f>
        <v/>
      </c>
      <c r="BH491" s="338">
        <v>118</v>
      </c>
      <c r="BI491" s="338" t="s">
        <v>302</v>
      </c>
      <c r="BN491" s="340">
        <v>27.08</v>
      </c>
      <c r="BO491" s="340" t="s">
        <v>331</v>
      </c>
      <c r="BP491" s="1385"/>
      <c r="BQ491" s="1389"/>
      <c r="BR491" s="6"/>
      <c r="BV491" s="338">
        <v>602.07000000000005</v>
      </c>
      <c r="BW491" s="338" t="s">
        <v>289</v>
      </c>
      <c r="CB491" s="340">
        <v>104.3</v>
      </c>
      <c r="CC491" s="340" t="s">
        <v>297</v>
      </c>
      <c r="CE491" s="341" t="str">
        <f t="array" ref="CE491">IFERROR(IF($CE$11="Metro",INDEX($BV$13:$BV$4972,SMALL(IF((County=$BW$13:$BW$4972),MATCH(ROW($BW$13:$BW$4972),ROW($BW$13:$BW$4972)),""),ROWS($A$13:$A549))),INDEX($BY$13:$BY$212,SMALL(IF((County=$BZ$13:$BZ$212),MATCH(ROW($BZ$13:$BZ$212),ROW($BZ$13:$BZ$212)),""),ROWS($A$13:$A549)))),"")</f>
        <v/>
      </c>
      <c r="CG491" s="341" t="str">
        <f t="array" ref="CG491">IFERROR(IF($CG$11="Yes",INDEX($CB$13:$CB$2950,SMALL(IF((County=$CC$13:$CC$2950),MATCH(ROW($CC$13:$CC$2950),ROW($CC$13:$CC$2950)),""),ROWS($A$13:$A549))),""),"")</f>
        <v/>
      </c>
      <c r="CL491" s="236">
        <v>14</v>
      </c>
      <c r="CM491" s="236" t="s">
        <v>316</v>
      </c>
      <c r="CR491" s="340">
        <v>27.08</v>
      </c>
      <c r="CS491" s="340" t="s">
        <v>285</v>
      </c>
      <c r="CT491" s="1384"/>
      <c r="CZ491" s="1795">
        <v>15.01</v>
      </c>
      <c r="DA491" s="338" t="s">
        <v>331</v>
      </c>
      <c r="DF491" s="340">
        <v>108.06</v>
      </c>
      <c r="DG491" s="340" t="s">
        <v>297</v>
      </c>
      <c r="DP491" s="236">
        <v>123.07</v>
      </c>
      <c r="DQ491" s="236" t="s">
        <v>338</v>
      </c>
      <c r="DV491" s="340">
        <v>28</v>
      </c>
      <c r="DW491" s="340" t="s">
        <v>316</v>
      </c>
      <c r="DX491" s="1671"/>
      <c r="EB491" s="618"/>
      <c r="EC491" s="618"/>
      <c r="ED491" s="618"/>
      <c r="EE491" s="618"/>
      <c r="EF491" s="618"/>
      <c r="EG491" s="618"/>
      <c r="EH491" s="618"/>
      <c r="EI491" s="618"/>
      <c r="EJ491" s="618"/>
      <c r="EK491" s="618"/>
      <c r="EL491" s="618"/>
      <c r="EM491" s="618"/>
    </row>
    <row r="492" spans="6:143">
      <c r="F492" s="338">
        <v>63.04</v>
      </c>
      <c r="G492" s="338" t="s">
        <v>331</v>
      </c>
      <c r="L492" s="2481">
        <v>111.11</v>
      </c>
      <c r="M492" s="340" t="s">
        <v>297</v>
      </c>
      <c r="N492" s="1390"/>
      <c r="O492" s="2479"/>
      <c r="P492" s="2282"/>
      <c r="AA492" s="338">
        <v>136.06</v>
      </c>
      <c r="AB492" s="338" t="s">
        <v>338</v>
      </c>
      <c r="AG492" s="2297">
        <v>32.04</v>
      </c>
      <c r="AH492" s="2297" t="s">
        <v>304</v>
      </c>
      <c r="AI492" s="1390"/>
      <c r="AJ492" s="2282"/>
      <c r="AK492" s="2282"/>
      <c r="AL492" s="1037"/>
      <c r="AR492" s="338">
        <v>70.06</v>
      </c>
      <c r="AS492" s="338" t="s">
        <v>331</v>
      </c>
      <c r="AX492" s="340">
        <v>104.31</v>
      </c>
      <c r="AY492" s="340" t="s">
        <v>297</v>
      </c>
      <c r="BC492" s="341" t="str">
        <f t="array" ref="BC492">IFERROR(IF($BC$11="Yes",INDEX($AX$13:$AX$2950,SMALL(IF((County=$AY$13:$AY$2950),MATCH(ROW($AY$13:$AY$2950),ROW($AY$13:$AY$2950)),""),ROWS($A$13:$A550))),""),"")</f>
        <v/>
      </c>
      <c r="BH492" s="338">
        <v>119.05</v>
      </c>
      <c r="BI492" s="338" t="s">
        <v>316</v>
      </c>
      <c r="BN492" s="340">
        <v>27.09</v>
      </c>
      <c r="BO492" s="340" t="s">
        <v>285</v>
      </c>
      <c r="BP492" s="1385"/>
      <c r="BQ492" s="1388"/>
      <c r="BV492" s="338">
        <v>602.08000000000004</v>
      </c>
      <c r="BW492" s="338" t="s">
        <v>289</v>
      </c>
      <c r="CB492" s="340">
        <v>104.31</v>
      </c>
      <c r="CC492" s="340" t="s">
        <v>297</v>
      </c>
      <c r="CE492" s="341" t="str">
        <f t="array" ref="CE492">IFERROR(IF($CE$11="Metro",INDEX($BV$13:$BV$4972,SMALL(IF((County=$BW$13:$BW$4972),MATCH(ROW($BW$13:$BW$4972),ROW($BW$13:$BW$4972)),""),ROWS($A$13:$A550))),INDEX($BY$13:$BY$212,SMALL(IF((County=$BZ$13:$BZ$212),MATCH(ROW($BZ$13:$BZ$212),ROW($BZ$13:$BZ$212)),""),ROWS($A$13:$A550)))),"")</f>
        <v/>
      </c>
      <c r="CG492" s="341" t="str">
        <f t="array" ref="CG492">IFERROR(IF($CG$11="Yes",INDEX($CB$13:$CB$2950,SMALL(IF((County=$CC$13:$CC$2950),MATCH(ROW($CC$13:$CC$2950),ROW($CC$13:$CC$2950)),""),ROWS($A$13:$A550))),""),"")</f>
        <v/>
      </c>
      <c r="CL492" s="236">
        <v>14.01</v>
      </c>
      <c r="CM492" s="236" t="s">
        <v>302</v>
      </c>
      <c r="CR492" s="340">
        <v>27.08</v>
      </c>
      <c r="CS492" s="340" t="s">
        <v>331</v>
      </c>
      <c r="CT492" s="1384"/>
      <c r="CZ492" s="1795">
        <v>15.02</v>
      </c>
      <c r="DA492" s="338" t="s">
        <v>331</v>
      </c>
      <c r="DF492" s="340">
        <v>108.07</v>
      </c>
      <c r="DG492" s="340" t="s">
        <v>297</v>
      </c>
      <c r="DP492" s="236">
        <v>124.01</v>
      </c>
      <c r="DQ492" s="236" t="s">
        <v>316</v>
      </c>
      <c r="DV492" s="340">
        <v>28.04</v>
      </c>
      <c r="DW492" s="340" t="s">
        <v>304</v>
      </c>
      <c r="DX492" s="1671"/>
      <c r="EB492" s="618"/>
      <c r="EC492" s="618"/>
      <c r="ED492" s="618"/>
      <c r="EE492" s="618"/>
      <c r="EF492" s="618"/>
      <c r="EG492" s="618"/>
      <c r="EH492" s="618"/>
      <c r="EI492" s="618"/>
      <c r="EJ492" s="618"/>
      <c r="EK492" s="618"/>
      <c r="EL492" s="618"/>
      <c r="EM492" s="618"/>
    </row>
    <row r="493" spans="6:143">
      <c r="F493" s="338">
        <v>64.010000000000005</v>
      </c>
      <c r="G493" s="338" t="s">
        <v>331</v>
      </c>
      <c r="L493" s="2481">
        <v>111.12</v>
      </c>
      <c r="M493" s="340" t="s">
        <v>297</v>
      </c>
      <c r="N493" s="1390"/>
      <c r="O493" s="2479"/>
      <c r="P493" s="2282"/>
      <c r="AA493" s="338">
        <v>137</v>
      </c>
      <c r="AB493" s="338" t="s">
        <v>331</v>
      </c>
      <c r="AG493" s="2297">
        <v>33.01</v>
      </c>
      <c r="AH493" s="2297" t="s">
        <v>304</v>
      </c>
      <c r="AI493" s="1390"/>
      <c r="AJ493" s="2282"/>
      <c r="AK493" s="2282"/>
      <c r="AL493" s="1037"/>
      <c r="AR493" s="338">
        <v>70.069999999999993</v>
      </c>
      <c r="AS493" s="338" t="s">
        <v>331</v>
      </c>
      <c r="AX493" s="340">
        <v>104.32</v>
      </c>
      <c r="AY493" s="340" t="s">
        <v>297</v>
      </c>
      <c r="BC493" s="341" t="str">
        <f t="array" ref="BC493">IFERROR(IF($BC$11="Yes",INDEX($AX$13:$AX$2950,SMALL(IF((County=$AY$13:$AY$2950),MATCH(ROW($AY$13:$AY$2950),ROW($AY$13:$AY$2950)),""),ROWS($A$13:$A551))),""),"")</f>
        <v/>
      </c>
      <c r="BH493" s="338">
        <v>120</v>
      </c>
      <c r="BI493" s="338" t="s">
        <v>338</v>
      </c>
      <c r="BN493" s="340">
        <v>27.09</v>
      </c>
      <c r="BO493" s="340" t="s">
        <v>331</v>
      </c>
      <c r="BP493" s="1385"/>
      <c r="BQ493" s="1389"/>
      <c r="BR493" s="6"/>
      <c r="BV493" s="338">
        <v>602.09</v>
      </c>
      <c r="BW493" s="338" t="s">
        <v>289</v>
      </c>
      <c r="CB493" s="340">
        <v>104.32</v>
      </c>
      <c r="CC493" s="340" t="s">
        <v>297</v>
      </c>
      <c r="CE493" s="341" t="str">
        <f t="array" ref="CE493">IFERROR(IF($CE$11="Metro",INDEX($BV$13:$BV$4972,SMALL(IF((County=$BW$13:$BW$4972),MATCH(ROW($BW$13:$BW$4972),ROW($BW$13:$BW$4972)),""),ROWS($A$13:$A551))),INDEX($BY$13:$BY$212,SMALL(IF((County=$BZ$13:$BZ$212),MATCH(ROW($BZ$13:$BZ$212),ROW($BZ$13:$BZ$212)),""),ROWS($A$13:$A551)))),"")</f>
        <v/>
      </c>
      <c r="CG493" s="341" t="str">
        <f t="array" ref="CG493">IFERROR(IF($CG$11="Yes",INDEX($CB$13:$CB$2950,SMALL(IF((County=$CC$13:$CC$2950),MATCH(ROW($CC$13:$CC$2950),ROW($CC$13:$CC$2950)),""),ROWS($A$13:$A551))),""),"")</f>
        <v/>
      </c>
      <c r="CL493" s="236">
        <v>14.01</v>
      </c>
      <c r="CM493" s="236" t="s">
        <v>304</v>
      </c>
      <c r="CR493" s="340">
        <v>27.09</v>
      </c>
      <c r="CS493" s="340" t="s">
        <v>285</v>
      </c>
      <c r="CT493" s="1384"/>
      <c r="CZ493" s="1795">
        <v>16.05</v>
      </c>
      <c r="DA493" s="338" t="s">
        <v>331</v>
      </c>
      <c r="DF493" s="340">
        <v>109.02</v>
      </c>
      <c r="DG493" s="340" t="s">
        <v>297</v>
      </c>
      <c r="DP493" s="236">
        <v>124.02</v>
      </c>
      <c r="DQ493" s="236" t="s">
        <v>338</v>
      </c>
      <c r="DV493" s="340">
        <v>30.01</v>
      </c>
      <c r="DW493" s="340" t="s">
        <v>331</v>
      </c>
      <c r="DX493" s="1671"/>
      <c r="EB493" s="618"/>
      <c r="EC493" s="618"/>
      <c r="ED493" s="618"/>
      <c r="EE493" s="618"/>
      <c r="EF493" s="618"/>
      <c r="EG493" s="618"/>
      <c r="EH493" s="618"/>
      <c r="EI493" s="618"/>
      <c r="EJ493" s="618"/>
      <c r="EK493" s="618"/>
      <c r="EL493" s="618"/>
      <c r="EM493" s="618"/>
    </row>
    <row r="494" spans="6:143">
      <c r="F494" s="338">
        <v>66.03</v>
      </c>
      <c r="G494" s="338" t="s">
        <v>331</v>
      </c>
      <c r="L494" s="2481">
        <v>112.06</v>
      </c>
      <c r="M494" s="340" t="s">
        <v>297</v>
      </c>
      <c r="N494" s="1390"/>
      <c r="O494" s="2479"/>
      <c r="P494" s="2282"/>
      <c r="AA494" s="338">
        <v>137.01</v>
      </c>
      <c r="AB494" s="338" t="s">
        <v>344</v>
      </c>
      <c r="AG494" s="2297">
        <v>33.049999999999997</v>
      </c>
      <c r="AH494" s="2297" t="s">
        <v>304</v>
      </c>
      <c r="AI494" s="1390"/>
      <c r="AJ494" s="2282"/>
      <c r="AK494" s="2282"/>
      <c r="AL494" s="1037"/>
      <c r="AR494" s="338">
        <v>72</v>
      </c>
      <c r="AS494" s="338" t="s">
        <v>331</v>
      </c>
      <c r="AX494" s="340">
        <v>104.33</v>
      </c>
      <c r="AY494" s="340" t="s">
        <v>297</v>
      </c>
      <c r="BC494" s="341" t="str">
        <f t="array" ref="BC494">IFERROR(IF($BC$11="Yes",INDEX($AX$13:$AX$2950,SMALL(IF((County=$AY$13:$AY$2950),MATCH(ROW($AY$13:$AY$2950),ROW($AY$13:$AY$2950)),""),ROWS($A$13:$A552))),""),"")</f>
        <v/>
      </c>
      <c r="BH494" s="338">
        <v>120.01</v>
      </c>
      <c r="BI494" s="338" t="s">
        <v>331</v>
      </c>
      <c r="BN494" s="340">
        <v>27.1</v>
      </c>
      <c r="BO494" s="340" t="s">
        <v>285</v>
      </c>
      <c r="BP494" s="1385"/>
      <c r="BQ494" s="1389"/>
      <c r="BR494" s="6"/>
      <c r="BV494" s="338">
        <v>602.1</v>
      </c>
      <c r="BW494" s="338" t="s">
        <v>289</v>
      </c>
      <c r="CB494" s="340">
        <v>104.33</v>
      </c>
      <c r="CC494" s="340" t="s">
        <v>297</v>
      </c>
      <c r="CE494" s="341" t="str">
        <f t="array" ref="CE494">IFERROR(IF($CE$11="Metro",INDEX($BV$13:$BV$4972,SMALL(IF((County=$BW$13:$BW$4972),MATCH(ROW($BW$13:$BW$4972),ROW($BW$13:$BW$4972)),""),ROWS($A$13:$A552))),INDEX($BY$13:$BY$212,SMALL(IF((County=$BZ$13:$BZ$212),MATCH(ROW($BZ$13:$BZ$212),ROW($BZ$13:$BZ$212)),""),ROWS($A$13:$A552)))),"")</f>
        <v/>
      </c>
      <c r="CG494" s="341" t="str">
        <f t="array" ref="CG494">IFERROR(IF($CG$11="Yes",INDEX($CB$13:$CB$2950,SMALL(IF((County=$CC$13:$CC$2950),MATCH(ROW($CC$13:$CC$2950),ROW($CC$13:$CC$2950)),""),ROWS($A$13:$A552))),""),"")</f>
        <v/>
      </c>
      <c r="CL494" s="236">
        <v>14.01</v>
      </c>
      <c r="CM494" s="236" t="s">
        <v>323</v>
      </c>
      <c r="CR494" s="340">
        <v>27.09</v>
      </c>
      <c r="CS494" s="340" t="s">
        <v>331</v>
      </c>
      <c r="CT494" s="1384"/>
      <c r="CZ494" s="1795">
        <v>16.059999999999999</v>
      </c>
      <c r="DA494" s="338" t="s">
        <v>331</v>
      </c>
      <c r="DF494" s="340">
        <v>109.05</v>
      </c>
      <c r="DG494" s="340" t="s">
        <v>297</v>
      </c>
      <c r="DP494" s="236">
        <v>124.03</v>
      </c>
      <c r="DQ494" s="236" t="s">
        <v>316</v>
      </c>
      <c r="DV494" s="340">
        <v>30.02</v>
      </c>
      <c r="DW494" s="340" t="s">
        <v>304</v>
      </c>
      <c r="DX494" s="1671"/>
      <c r="EB494" s="618"/>
      <c r="EC494" s="618"/>
      <c r="ED494" s="618"/>
      <c r="EE494" s="618"/>
      <c r="EF494" s="618"/>
      <c r="EG494" s="618"/>
      <c r="EH494" s="618"/>
      <c r="EI494" s="618"/>
      <c r="EJ494" s="618"/>
      <c r="EK494" s="618"/>
      <c r="EL494" s="618"/>
      <c r="EM494" s="618"/>
    </row>
    <row r="495" spans="6:143">
      <c r="F495" s="338">
        <v>70.06</v>
      </c>
      <c r="G495" s="338" t="s">
        <v>331</v>
      </c>
      <c r="L495" s="2481">
        <v>112.08</v>
      </c>
      <c r="M495" s="340" t="s">
        <v>297</v>
      </c>
      <c r="N495" s="1390"/>
      <c r="O495" s="2479"/>
      <c r="P495" s="2282"/>
      <c r="AA495" s="338">
        <v>138.01</v>
      </c>
      <c r="AB495" s="338" t="s">
        <v>316</v>
      </c>
      <c r="AG495" s="2297">
        <v>33.08</v>
      </c>
      <c r="AH495" s="2297" t="s">
        <v>304</v>
      </c>
      <c r="AI495" s="1390"/>
      <c r="AJ495" s="2282"/>
      <c r="AK495" s="2282"/>
      <c r="AL495" s="1037"/>
      <c r="AR495" s="338">
        <v>76.03</v>
      </c>
      <c r="AS495" s="338" t="s">
        <v>331</v>
      </c>
      <c r="AX495" s="340">
        <v>104.34</v>
      </c>
      <c r="AY495" s="340" t="s">
        <v>297</v>
      </c>
      <c r="BC495" s="341" t="str">
        <f t="array" ref="BC495">IFERROR(IF($BC$11="Yes",INDEX($AX$13:$AX$2950,SMALL(IF((County=$AY$13:$AY$2950),MATCH(ROW($AY$13:$AY$2950),ROW($AY$13:$AY$2950)),""),ROWS($A$13:$A553))),""),"")</f>
        <v/>
      </c>
      <c r="BH495" s="338">
        <v>120.02</v>
      </c>
      <c r="BI495" s="338" t="s">
        <v>316</v>
      </c>
      <c r="BN495" s="340">
        <v>27.1</v>
      </c>
      <c r="BO495" s="340" t="s">
        <v>331</v>
      </c>
      <c r="BP495" s="1385"/>
      <c r="BQ495" s="1389"/>
      <c r="BR495" s="6"/>
      <c r="BV495" s="338">
        <v>602.11</v>
      </c>
      <c r="BW495" s="338" t="s">
        <v>289</v>
      </c>
      <c r="CB495" s="340">
        <v>104.34</v>
      </c>
      <c r="CC495" s="340" t="s">
        <v>297</v>
      </c>
      <c r="CE495" s="341" t="str">
        <f t="array" ref="CE495">IFERROR(IF($CE$11="Metro",INDEX($BV$13:$BV$4972,SMALL(IF((County=$BW$13:$BW$4972),MATCH(ROW($BW$13:$BW$4972),ROW($BW$13:$BW$4972)),""),ROWS($A$13:$A553))),INDEX($BY$13:$BY$212,SMALL(IF((County=$BZ$13:$BZ$212),MATCH(ROW($BZ$13:$BZ$212),ROW($BZ$13:$BZ$212)),""),ROWS($A$13:$A553)))),"")</f>
        <v/>
      </c>
      <c r="CG495" s="341" t="str">
        <f t="array" ref="CG495">IFERROR(IF($CG$11="Yes",INDEX($CB$13:$CB$2950,SMALL(IF((County=$CC$13:$CC$2950),MATCH(ROW($CC$13:$CC$2950),ROW($CC$13:$CC$2950)),""),ROWS($A$13:$A553))),""),"")</f>
        <v/>
      </c>
      <c r="CL495" s="236">
        <v>14.01</v>
      </c>
      <c r="CM495" s="236" t="s">
        <v>324</v>
      </c>
      <c r="CR495" s="340">
        <v>27.1</v>
      </c>
      <c r="CS495" s="340" t="s">
        <v>285</v>
      </c>
      <c r="CT495" s="1384"/>
      <c r="CZ495" s="1795">
        <v>17.010000000000002</v>
      </c>
      <c r="DA495" s="338" t="s">
        <v>331</v>
      </c>
      <c r="DF495" s="340">
        <v>109.06</v>
      </c>
      <c r="DG495" s="340" t="s">
        <v>297</v>
      </c>
      <c r="DP495" s="236">
        <v>124.03</v>
      </c>
      <c r="DQ495" s="236" t="s">
        <v>338</v>
      </c>
      <c r="DV495" s="340">
        <v>33.01</v>
      </c>
      <c r="DW495" s="340" t="s">
        <v>304</v>
      </c>
      <c r="DX495" s="1671"/>
      <c r="EB495" s="618"/>
      <c r="EC495" s="618"/>
      <c r="ED495" s="618"/>
      <c r="EE495" s="618"/>
      <c r="EF495" s="618"/>
      <c r="EG495" s="618"/>
      <c r="EH495" s="618"/>
      <c r="EI495" s="618"/>
      <c r="EJ495" s="618"/>
      <c r="EK495" s="618"/>
      <c r="EL495" s="618"/>
      <c r="EM495" s="618"/>
    </row>
    <row r="496" spans="6:143">
      <c r="F496" s="338">
        <v>76.03</v>
      </c>
      <c r="G496" s="338" t="s">
        <v>331</v>
      </c>
      <c r="L496" s="2481">
        <v>112.09</v>
      </c>
      <c r="M496" s="340" t="s">
        <v>297</v>
      </c>
      <c r="N496" s="1390"/>
      <c r="O496" s="2479"/>
      <c r="P496" s="2282"/>
      <c r="AA496" s="338">
        <v>138.01</v>
      </c>
      <c r="AB496" s="338" t="s">
        <v>344</v>
      </c>
      <c r="AG496" s="2297">
        <v>33.1</v>
      </c>
      <c r="AH496" s="2297" t="s">
        <v>304</v>
      </c>
      <c r="AI496" s="1390"/>
      <c r="AJ496" s="2282"/>
      <c r="AK496" s="2282"/>
      <c r="AL496" s="1037"/>
      <c r="AR496" s="338">
        <v>83.09</v>
      </c>
      <c r="AS496" s="338" t="s">
        <v>331</v>
      </c>
      <c r="AX496" s="340">
        <v>104.35</v>
      </c>
      <c r="AY496" s="340" t="s">
        <v>297</v>
      </c>
      <c r="BC496" s="341" t="str">
        <f t="array" ref="BC496">IFERROR(IF($BC$11="Yes",INDEX($AX$13:$AX$2950,SMALL(IF((County=$AY$13:$AY$2950),MATCH(ROW($AY$13:$AY$2950),ROW($AY$13:$AY$2950)),""),ROWS($A$13:$A554))),""),"")</f>
        <v/>
      </c>
      <c r="BH496" s="338">
        <v>120.02</v>
      </c>
      <c r="BI496" s="338" t="s">
        <v>331</v>
      </c>
      <c r="BN496" s="340">
        <v>27.11</v>
      </c>
      <c r="BO496" s="340" t="s">
        <v>285</v>
      </c>
      <c r="BP496" s="1385"/>
      <c r="BQ496" s="1388"/>
      <c r="BV496" s="338">
        <v>602.12</v>
      </c>
      <c r="BW496" s="338" t="s">
        <v>289</v>
      </c>
      <c r="CB496" s="340">
        <v>104.35</v>
      </c>
      <c r="CC496" s="340" t="s">
        <v>297</v>
      </c>
      <c r="CE496" s="341" t="str">
        <f t="array" ref="CE496">IFERROR(IF($CE$11="Metro",INDEX($BV$13:$BV$4972,SMALL(IF((County=$BW$13:$BW$4972),MATCH(ROW($BW$13:$BW$4972),ROW($BW$13:$BW$4972)),""),ROWS($A$13:$A554))),INDEX($BY$13:$BY$212,SMALL(IF((County=$BZ$13:$BZ$212),MATCH(ROW($BZ$13:$BZ$212),ROW($BZ$13:$BZ$212)),""),ROWS($A$13:$A554)))),"")</f>
        <v/>
      </c>
      <c r="CG496" s="341" t="str">
        <f t="array" ref="CG496">IFERROR(IF($CG$11="Yes",INDEX($CB$13:$CB$2950,SMALL(IF((County=$CC$13:$CC$2950),MATCH(ROW($CC$13:$CC$2950),ROW($CC$13:$CC$2950)),""),ROWS($A$13:$A554))),""),"")</f>
        <v/>
      </c>
      <c r="CL496" s="236">
        <v>14.01</v>
      </c>
      <c r="CM496" s="236" t="s">
        <v>329</v>
      </c>
      <c r="CR496" s="340">
        <v>27.1</v>
      </c>
      <c r="CS496" s="340" t="s">
        <v>331</v>
      </c>
      <c r="CT496" s="1384"/>
      <c r="CZ496" s="1795">
        <v>17.02</v>
      </c>
      <c r="DA496" s="338" t="s">
        <v>331</v>
      </c>
      <c r="DF496" s="340">
        <v>109.07</v>
      </c>
      <c r="DG496" s="340" t="s">
        <v>297</v>
      </c>
      <c r="DP496" s="236">
        <v>124.04</v>
      </c>
      <c r="DQ496" s="236" t="s">
        <v>338</v>
      </c>
      <c r="DV496" s="340">
        <v>33.049999999999997</v>
      </c>
      <c r="DW496" s="340" t="s">
        <v>304</v>
      </c>
      <c r="DX496" s="1671"/>
      <c r="EB496" s="618"/>
      <c r="EC496" s="618"/>
      <c r="ED496" s="618"/>
      <c r="EE496" s="618"/>
      <c r="EF496" s="618"/>
      <c r="EG496" s="618"/>
      <c r="EH496" s="618"/>
      <c r="EI496" s="618"/>
      <c r="EJ496" s="618"/>
      <c r="EK496" s="618"/>
      <c r="EL496" s="618"/>
      <c r="EM496" s="618"/>
    </row>
    <row r="497" spans="6:143">
      <c r="F497" s="338">
        <v>83.09</v>
      </c>
      <c r="G497" s="338" t="s">
        <v>331</v>
      </c>
      <c r="L497" s="2481">
        <v>112.1</v>
      </c>
      <c r="M497" s="340" t="s">
        <v>297</v>
      </c>
      <c r="N497" s="1390"/>
      <c r="O497" s="2479"/>
      <c r="P497" s="2282"/>
      <c r="AA497" s="338">
        <v>138.02000000000001</v>
      </c>
      <c r="AB497" s="338" t="s">
        <v>316</v>
      </c>
      <c r="AG497" s="2297">
        <v>34</v>
      </c>
      <c r="AH497" s="2297" t="s">
        <v>340</v>
      </c>
      <c r="AI497" s="1390"/>
      <c r="AJ497" s="2282"/>
      <c r="AK497" s="2282"/>
      <c r="AL497" s="1037"/>
      <c r="AR497" s="338">
        <v>88.05</v>
      </c>
      <c r="AS497" s="338" t="s">
        <v>331</v>
      </c>
      <c r="AX497" s="340">
        <v>104.36</v>
      </c>
      <c r="AY497" s="340" t="s">
        <v>297</v>
      </c>
      <c r="BC497" s="341" t="str">
        <f t="array" ref="BC497">IFERROR(IF($BC$11="Yes",INDEX($AX$13:$AX$2950,SMALL(IF((County=$AY$13:$AY$2950),MATCH(ROW($AY$13:$AY$2950),ROW($AY$13:$AY$2950)),""),ROWS($A$13:$A555))),""),"")</f>
        <v/>
      </c>
      <c r="BH497" s="338">
        <v>121</v>
      </c>
      <c r="BI497" s="338" t="s">
        <v>302</v>
      </c>
      <c r="BN497" s="340">
        <v>27.12</v>
      </c>
      <c r="BO497" s="340" t="s">
        <v>285</v>
      </c>
      <c r="BP497" s="1385"/>
      <c r="BQ497" s="1389"/>
      <c r="BR497" s="6"/>
      <c r="BV497" s="338">
        <v>602.14</v>
      </c>
      <c r="BW497" s="338" t="s">
        <v>289</v>
      </c>
      <c r="CB497" s="340">
        <v>104.36</v>
      </c>
      <c r="CC497" s="340" t="s">
        <v>297</v>
      </c>
      <c r="CE497" s="341" t="str">
        <f t="array" ref="CE497">IFERROR(IF($CE$11="Metro",INDEX($BV$13:$BV$4972,SMALL(IF((County=$BW$13:$BW$4972),MATCH(ROW($BW$13:$BW$4972),ROW($BW$13:$BW$4972)),""),ROWS($A$13:$A555))),INDEX($BY$13:$BY$212,SMALL(IF((County=$BZ$13:$BZ$212),MATCH(ROW($BZ$13:$BZ$212),ROW($BZ$13:$BZ$212)),""),ROWS($A$13:$A555)))),"")</f>
        <v/>
      </c>
      <c r="CG497" s="341" t="str">
        <f t="array" ref="CG497">IFERROR(IF($CG$11="Yes",INDEX($CB$13:$CB$2950,SMALL(IF((County=$CC$13:$CC$2950),MATCH(ROW($CC$13:$CC$2950),ROW($CC$13:$CC$2950)),""),ROWS($A$13:$A555))),""),"")</f>
        <v/>
      </c>
      <c r="CL497" s="236">
        <v>14.01</v>
      </c>
      <c r="CM497" s="236" t="s">
        <v>331</v>
      </c>
      <c r="CR497" s="340">
        <v>27.11</v>
      </c>
      <c r="CS497" s="340" t="s">
        <v>285</v>
      </c>
      <c r="CT497" s="1384"/>
      <c r="CZ497" s="1795">
        <v>17.04</v>
      </c>
      <c r="DA497" s="338" t="s">
        <v>331</v>
      </c>
      <c r="DF497" s="340">
        <v>110.03</v>
      </c>
      <c r="DG497" s="340" t="s">
        <v>297</v>
      </c>
      <c r="DP497" s="236">
        <v>124.05</v>
      </c>
      <c r="DQ497" s="236" t="s">
        <v>338</v>
      </c>
      <c r="DV497" s="340">
        <v>33.1</v>
      </c>
      <c r="DW497" s="340" t="s">
        <v>304</v>
      </c>
      <c r="DX497" s="1671"/>
      <c r="EB497" s="618"/>
      <c r="EC497" s="618"/>
      <c r="ED497" s="618"/>
      <c r="EE497" s="618"/>
      <c r="EF497" s="618"/>
      <c r="EG497" s="618"/>
      <c r="EH497" s="618"/>
      <c r="EI497" s="618"/>
      <c r="EJ497" s="618"/>
      <c r="EK497" s="618"/>
      <c r="EL497" s="618"/>
      <c r="EM497" s="618"/>
    </row>
    <row r="498" spans="6:143">
      <c r="F498" s="338">
        <v>84.3</v>
      </c>
      <c r="G498" s="338" t="s">
        <v>331</v>
      </c>
      <c r="L498" s="2481">
        <v>112.12</v>
      </c>
      <c r="M498" s="340" t="s">
        <v>297</v>
      </c>
      <c r="N498" s="1390"/>
      <c r="O498" s="2479"/>
      <c r="P498" s="2282"/>
      <c r="AA498" s="338">
        <v>138.03</v>
      </c>
      <c r="AB498" s="338" t="s">
        <v>316</v>
      </c>
      <c r="AG498" s="2297">
        <v>35.06</v>
      </c>
      <c r="AH498" s="2297" t="s">
        <v>304</v>
      </c>
      <c r="AI498" s="1390"/>
      <c r="AJ498" s="2282"/>
      <c r="AK498" s="2282"/>
      <c r="AL498" s="1037"/>
      <c r="AR498" s="338">
        <v>90.2</v>
      </c>
      <c r="AS498" s="338" t="s">
        <v>331</v>
      </c>
      <c r="AX498" s="340">
        <v>104.38</v>
      </c>
      <c r="AY498" s="340" t="s">
        <v>297</v>
      </c>
      <c r="BC498" s="341" t="str">
        <f t="array" ref="BC498">IFERROR(IF($BC$11="Yes",INDEX($AX$13:$AX$2950,SMALL(IF((County=$AY$13:$AY$2950),MATCH(ROW($AY$13:$AY$2950),ROW($AY$13:$AY$2950)),""),ROWS($A$13:$A556))),""),"")</f>
        <v/>
      </c>
      <c r="BH498" s="338">
        <v>121</v>
      </c>
      <c r="BI498" s="338" t="s">
        <v>338</v>
      </c>
      <c r="BN498" s="340">
        <v>27.14</v>
      </c>
      <c r="BO498" s="340" t="s">
        <v>347</v>
      </c>
      <c r="BP498" s="1385"/>
      <c r="BQ498" s="1389"/>
      <c r="BR498" s="6"/>
      <c r="BV498" s="338">
        <v>602.15</v>
      </c>
      <c r="BW498" s="338" t="s">
        <v>289</v>
      </c>
      <c r="CB498" s="340">
        <v>104.37</v>
      </c>
      <c r="CC498" s="340" t="s">
        <v>297</v>
      </c>
      <c r="CE498" s="341" t="str">
        <f t="array" ref="CE498">IFERROR(IF($CE$11="Metro",INDEX($BV$13:$BV$4972,SMALL(IF((County=$BW$13:$BW$4972),MATCH(ROW($BW$13:$BW$4972),ROW($BW$13:$BW$4972)),""),ROWS($A$13:$A556))),INDEX($BY$13:$BY$212,SMALL(IF((County=$BZ$13:$BZ$212),MATCH(ROW($BZ$13:$BZ$212),ROW($BZ$13:$BZ$212)),""),ROWS($A$13:$A556)))),"")</f>
        <v/>
      </c>
      <c r="CG498" s="341" t="str">
        <f t="array" ref="CG498">IFERROR(IF($CG$11="Yes",INDEX($CB$13:$CB$2950,SMALL(IF((County=$CC$13:$CC$2950),MATCH(ROW($CC$13:$CC$2950),ROW($CC$13:$CC$2950)),""),ROWS($A$13:$A556))),""),"")</f>
        <v/>
      </c>
      <c r="CL498" s="338">
        <v>14.02</v>
      </c>
      <c r="CM498" s="338" t="s">
        <v>285</v>
      </c>
      <c r="CR498" s="340">
        <v>27.12</v>
      </c>
      <c r="CS498" s="340" t="s">
        <v>285</v>
      </c>
      <c r="CT498" s="1384"/>
      <c r="CZ498" s="1795">
        <v>18.010000000000002</v>
      </c>
      <c r="DA498" s="338" t="s">
        <v>331</v>
      </c>
      <c r="DF498" s="340">
        <v>111.09</v>
      </c>
      <c r="DG498" s="340" t="s">
        <v>297</v>
      </c>
      <c r="DP498" s="236">
        <v>125.01</v>
      </c>
      <c r="DQ498" s="236" t="s">
        <v>316</v>
      </c>
      <c r="DV498" s="340">
        <v>33.11</v>
      </c>
      <c r="DW498" s="340" t="s">
        <v>304</v>
      </c>
      <c r="DX498" s="1671"/>
      <c r="EB498" s="618"/>
      <c r="EC498" s="618"/>
      <c r="ED498" s="618"/>
      <c r="EE498" s="618"/>
      <c r="EF498" s="618"/>
      <c r="EG498" s="618"/>
      <c r="EH498" s="618"/>
      <c r="EI498" s="618"/>
      <c r="EJ498" s="618"/>
      <c r="EK498" s="618"/>
      <c r="EL498" s="618"/>
      <c r="EM498" s="618"/>
    </row>
    <row r="499" spans="6:143">
      <c r="F499" s="338">
        <v>84.31</v>
      </c>
      <c r="G499" s="338" t="s">
        <v>331</v>
      </c>
      <c r="L499" s="2481">
        <v>112.13</v>
      </c>
      <c r="M499" s="340" t="s">
        <v>297</v>
      </c>
      <c r="N499" s="1390"/>
      <c r="O499" s="2479"/>
      <c r="P499" s="2282"/>
      <c r="AA499" s="338">
        <v>139.01</v>
      </c>
      <c r="AB499" s="338" t="s">
        <v>344</v>
      </c>
      <c r="AG499" s="2297">
        <v>35.07</v>
      </c>
      <c r="AH499" s="2297" t="s">
        <v>340</v>
      </c>
      <c r="AI499" s="1390"/>
      <c r="AJ499" s="2282"/>
      <c r="AK499" s="2282"/>
      <c r="AL499" s="1037"/>
      <c r="AR499" s="338">
        <v>90.21</v>
      </c>
      <c r="AS499" s="338" t="s">
        <v>331</v>
      </c>
      <c r="AX499" s="340">
        <v>105.12</v>
      </c>
      <c r="AY499" s="340" t="s">
        <v>297</v>
      </c>
      <c r="BC499" s="341" t="str">
        <f t="array" ref="BC499">IFERROR(IF($BC$11="Yes",INDEX($AX$13:$AX$2950,SMALL(IF((County=$AY$13:$AY$2950),MATCH(ROW($AY$13:$AY$2950),ROW($AY$13:$AY$2950)),""),ROWS($A$13:$A557))),""),"")</f>
        <v/>
      </c>
      <c r="BH499" s="338">
        <v>122.01</v>
      </c>
      <c r="BI499" s="338" t="s">
        <v>302</v>
      </c>
      <c r="BN499" s="340">
        <v>27.16</v>
      </c>
      <c r="BO499" s="340" t="s">
        <v>347</v>
      </c>
      <c r="BP499" s="1385"/>
      <c r="BQ499" s="1389"/>
      <c r="BR499" s="6"/>
      <c r="BV499" s="338">
        <v>603.02</v>
      </c>
      <c r="BW499" s="338" t="s">
        <v>289</v>
      </c>
      <c r="CB499" s="340">
        <v>104.38</v>
      </c>
      <c r="CC499" s="340" t="s">
        <v>297</v>
      </c>
      <c r="CE499" s="341" t="str">
        <f t="array" ref="CE499">IFERROR(IF($CE$11="Metro",INDEX($BV$13:$BV$4972,SMALL(IF((County=$BW$13:$BW$4972),MATCH(ROW($BW$13:$BW$4972),ROW($BW$13:$BW$4972)),""),ROWS($A$13:$A557))),INDEX($BY$13:$BY$212,SMALL(IF((County=$BZ$13:$BZ$212),MATCH(ROW($BZ$13:$BZ$212),ROW($BZ$13:$BZ$212)),""),ROWS($A$13:$A557)))),"")</f>
        <v/>
      </c>
      <c r="CG499" s="341" t="str">
        <f t="array" ref="CG499">IFERROR(IF($CG$11="Yes",INDEX($CB$13:$CB$2950,SMALL(IF((County=$CC$13:$CC$2950),MATCH(ROW($CC$13:$CC$2950),ROW($CC$13:$CC$2950)),""),ROWS($A$13:$A557))),""),"")</f>
        <v/>
      </c>
      <c r="CL499" s="236">
        <v>14.02</v>
      </c>
      <c r="CM499" s="236" t="s">
        <v>302</v>
      </c>
      <c r="CR499" s="340">
        <v>27.13</v>
      </c>
      <c r="CS499" s="340" t="s">
        <v>285</v>
      </c>
      <c r="CT499" s="1384"/>
      <c r="CZ499" s="1795">
        <v>18.02</v>
      </c>
      <c r="DA499" s="338" t="s">
        <v>331</v>
      </c>
      <c r="DF499" s="340">
        <v>111.11</v>
      </c>
      <c r="DG499" s="340" t="s">
        <v>297</v>
      </c>
      <c r="DP499" s="236">
        <v>126</v>
      </c>
      <c r="DQ499" s="236" t="s">
        <v>316</v>
      </c>
      <c r="DV499" s="340">
        <v>34</v>
      </c>
      <c r="DW499" s="340" t="s">
        <v>340</v>
      </c>
      <c r="DX499" s="1671"/>
      <c r="EB499" s="618"/>
      <c r="EC499" s="618"/>
      <c r="ED499" s="618"/>
      <c r="EE499" s="618"/>
      <c r="EF499" s="618"/>
      <c r="EG499" s="618"/>
      <c r="EH499" s="618"/>
      <c r="EI499" s="618"/>
      <c r="EJ499" s="618"/>
      <c r="EK499" s="618"/>
      <c r="EL499" s="618"/>
      <c r="EM499" s="618"/>
    </row>
    <row r="500" spans="6:143">
      <c r="F500" s="338">
        <v>88.05</v>
      </c>
      <c r="G500" s="338" t="s">
        <v>331</v>
      </c>
      <c r="L500" s="2481">
        <v>1102.01</v>
      </c>
      <c r="M500" s="340" t="s">
        <v>298</v>
      </c>
      <c r="N500" s="1390"/>
      <c r="O500" s="2479"/>
      <c r="P500" s="2282"/>
      <c r="AA500" s="338">
        <v>140.13999999999999</v>
      </c>
      <c r="AB500" s="338" t="s">
        <v>316</v>
      </c>
      <c r="AG500" s="2297">
        <v>35.11</v>
      </c>
      <c r="AH500" s="2297" t="s">
        <v>304</v>
      </c>
      <c r="AI500" s="1390"/>
      <c r="AJ500" s="2282"/>
      <c r="AK500" s="2282"/>
      <c r="AL500" s="1037"/>
      <c r="AR500" s="338">
        <v>90.26</v>
      </c>
      <c r="AS500" s="338" t="s">
        <v>331</v>
      </c>
      <c r="AX500" s="340">
        <v>105.16</v>
      </c>
      <c r="AY500" s="340" t="s">
        <v>297</v>
      </c>
      <c r="BC500" s="341" t="str">
        <f t="array" ref="BC500">IFERROR(IF($BC$11="Yes",INDEX($AX$13:$AX$2950,SMALL(IF((County=$AY$13:$AY$2950),MATCH(ROW($AY$13:$AY$2950),ROW($AY$13:$AY$2950)),""),ROWS($A$13:$A558))),""),"")</f>
        <v/>
      </c>
      <c r="BH500" s="338">
        <v>122.01</v>
      </c>
      <c r="BI500" s="338" t="s">
        <v>338</v>
      </c>
      <c r="BN500" s="340">
        <v>27.2</v>
      </c>
      <c r="BO500" s="340" t="s">
        <v>347</v>
      </c>
      <c r="BP500" s="1385"/>
      <c r="BQ500" s="1389"/>
      <c r="BR500" s="6"/>
      <c r="BV500" s="338">
        <v>603.03</v>
      </c>
      <c r="BW500" s="338" t="s">
        <v>289</v>
      </c>
      <c r="CB500" s="340">
        <v>105.13</v>
      </c>
      <c r="CC500" s="340" t="s">
        <v>297</v>
      </c>
      <c r="CE500" s="341" t="str">
        <f t="array" ref="CE500">IFERROR(IF($CE$11="Metro",INDEX($BV$13:$BV$4972,SMALL(IF((County=$BW$13:$BW$4972),MATCH(ROW($BW$13:$BW$4972),ROW($BW$13:$BW$4972)),""),ROWS($A$13:$A558))),INDEX($BY$13:$BY$212,SMALL(IF((County=$BZ$13:$BZ$212),MATCH(ROW($BZ$13:$BZ$212),ROW($BZ$13:$BZ$212)),""),ROWS($A$13:$A558)))),"")</f>
        <v/>
      </c>
      <c r="CG500" s="341" t="str">
        <f t="array" ref="CG500">IFERROR(IF($CG$11="Yes",INDEX($CB$13:$CB$2950,SMALL(IF((County=$CC$13:$CC$2950),MATCH(ROW($CC$13:$CC$2950),ROW($CC$13:$CC$2950)),""),ROWS($A$13:$A558))),""),"")</f>
        <v/>
      </c>
      <c r="CL500" s="236">
        <v>14.02</v>
      </c>
      <c r="CM500" s="236" t="s">
        <v>304</v>
      </c>
      <c r="CR500" s="340">
        <v>27.16</v>
      </c>
      <c r="CS500" s="340" t="s">
        <v>347</v>
      </c>
      <c r="CT500" s="1384"/>
      <c r="CZ500" s="1795">
        <v>18.03</v>
      </c>
      <c r="DA500" s="338" t="s">
        <v>331</v>
      </c>
      <c r="DF500" s="340">
        <v>111.12</v>
      </c>
      <c r="DG500" s="340" t="s">
        <v>297</v>
      </c>
      <c r="DP500" s="236">
        <v>126.01</v>
      </c>
      <c r="DQ500" s="236" t="s">
        <v>302</v>
      </c>
      <c r="DV500" s="340">
        <v>35.06</v>
      </c>
      <c r="DW500" s="340" t="s">
        <v>304</v>
      </c>
      <c r="DX500" s="1671"/>
      <c r="EB500" s="618"/>
      <c r="EC500" s="618"/>
      <c r="ED500" s="618"/>
      <c r="EE500" s="618"/>
      <c r="EF500" s="618"/>
      <c r="EG500" s="618"/>
      <c r="EH500" s="618"/>
      <c r="EI500" s="618"/>
      <c r="EJ500" s="618"/>
      <c r="EK500" s="618"/>
      <c r="EL500" s="618"/>
      <c r="EM500" s="618"/>
    </row>
    <row r="501" spans="6:143">
      <c r="F501" s="338">
        <v>89.07</v>
      </c>
      <c r="G501" s="338" t="s">
        <v>331</v>
      </c>
      <c r="L501" s="2481">
        <v>1105</v>
      </c>
      <c r="M501" s="340" t="s">
        <v>298</v>
      </c>
      <c r="N501" s="1390"/>
      <c r="O501" s="2479"/>
      <c r="P501" s="2282"/>
      <c r="AA501" s="338">
        <v>141.04</v>
      </c>
      <c r="AB501" s="338" t="s">
        <v>344</v>
      </c>
      <c r="AG501" s="2297">
        <v>35.119999999999997</v>
      </c>
      <c r="AH501" s="2297" t="s">
        <v>340</v>
      </c>
      <c r="AI501" s="1390"/>
      <c r="AJ501" s="2282"/>
      <c r="AK501" s="2282"/>
      <c r="AL501" s="1037"/>
      <c r="AR501" s="338">
        <v>91.02</v>
      </c>
      <c r="AS501" s="338" t="s">
        <v>331</v>
      </c>
      <c r="AX501" s="340">
        <v>105.17</v>
      </c>
      <c r="AY501" s="340" t="s">
        <v>297</v>
      </c>
      <c r="BC501" s="341" t="str">
        <f t="array" ref="BC501">IFERROR(IF($BC$11="Yes",INDEX($AX$13:$AX$2950,SMALL(IF((County=$AY$13:$AY$2950),MATCH(ROW($AY$13:$AY$2950),ROW($AY$13:$AY$2950)),""),ROWS($A$13:$A559))),""),"")</f>
        <v/>
      </c>
      <c r="BH501" s="338">
        <v>122.02</v>
      </c>
      <c r="BI501" s="338" t="s">
        <v>302</v>
      </c>
      <c r="BN501" s="340">
        <v>27.25</v>
      </c>
      <c r="BO501" s="340" t="s">
        <v>347</v>
      </c>
      <c r="BP501" s="1385"/>
      <c r="BQ501" s="1389"/>
      <c r="BR501" s="6"/>
      <c r="BV501" s="338">
        <v>603.04</v>
      </c>
      <c r="BW501" s="338" t="s">
        <v>289</v>
      </c>
      <c r="CB501" s="340">
        <v>105.14</v>
      </c>
      <c r="CC501" s="340" t="s">
        <v>297</v>
      </c>
      <c r="CE501" s="341" t="str">
        <f t="array" ref="CE501">IFERROR(IF($CE$11="Metro",INDEX($BV$13:$BV$4972,SMALL(IF((County=$BW$13:$BW$4972),MATCH(ROW($BW$13:$BW$4972),ROW($BW$13:$BW$4972)),""),ROWS($A$13:$A559))),INDEX($BY$13:$BY$212,SMALL(IF((County=$BZ$13:$BZ$212),MATCH(ROW($BZ$13:$BZ$212),ROW($BZ$13:$BZ$212)),""),ROWS($A$13:$A559)))),"")</f>
        <v/>
      </c>
      <c r="CG501" s="341" t="str">
        <f t="array" ref="CG501">IFERROR(IF($CG$11="Yes",INDEX($CB$13:$CB$2950,SMALL(IF((County=$CC$13:$CC$2950),MATCH(ROW($CC$13:$CC$2950),ROW($CC$13:$CC$2950)),""),ROWS($A$13:$A559))),""),"")</f>
        <v/>
      </c>
      <c r="CL501" s="236">
        <v>14.02</v>
      </c>
      <c r="CM501" s="236" t="s">
        <v>323</v>
      </c>
      <c r="CR501" s="340">
        <v>27.2</v>
      </c>
      <c r="CS501" s="340" t="s">
        <v>347</v>
      </c>
      <c r="CT501" s="1384"/>
      <c r="CZ501" s="1795">
        <v>19.010000000000002</v>
      </c>
      <c r="DA501" s="338" t="s">
        <v>331</v>
      </c>
      <c r="DF501" s="340">
        <v>111.13</v>
      </c>
      <c r="DG501" s="340" t="s">
        <v>297</v>
      </c>
      <c r="DP501" s="236">
        <v>126.02</v>
      </c>
      <c r="DQ501" s="236" t="s">
        <v>302</v>
      </c>
      <c r="DV501" s="340">
        <v>35.07</v>
      </c>
      <c r="DW501" s="340" t="s">
        <v>304</v>
      </c>
      <c r="DX501" s="1671"/>
      <c r="EB501" s="618"/>
      <c r="EC501" s="618"/>
      <c r="ED501" s="618"/>
      <c r="EE501" s="618"/>
      <c r="EF501" s="618"/>
      <c r="EG501" s="618"/>
      <c r="EH501" s="618"/>
      <c r="EI501" s="618"/>
      <c r="EJ501" s="618"/>
      <c r="EK501" s="618"/>
      <c r="EL501" s="618"/>
      <c r="EM501" s="618"/>
    </row>
    <row r="502" spans="6:143">
      <c r="F502" s="338">
        <v>90.21</v>
      </c>
      <c r="G502" s="338" t="s">
        <v>331</v>
      </c>
      <c r="L502" s="2481">
        <v>1106.02</v>
      </c>
      <c r="M502" s="340" t="s">
        <v>298</v>
      </c>
      <c r="N502" s="1390"/>
      <c r="O502" s="2479"/>
      <c r="P502" s="2282"/>
      <c r="AA502" s="338">
        <v>142</v>
      </c>
      <c r="AB502" s="338" t="s">
        <v>316</v>
      </c>
      <c r="AG502" s="2297">
        <v>35.130000000000003</v>
      </c>
      <c r="AH502" s="2297" t="s">
        <v>340</v>
      </c>
      <c r="AI502" s="1390"/>
      <c r="AJ502" s="2282"/>
      <c r="AK502" s="2282"/>
      <c r="AL502" s="1037"/>
      <c r="AR502" s="338">
        <v>93.14</v>
      </c>
      <c r="AS502" s="338" t="s">
        <v>331</v>
      </c>
      <c r="AX502" s="340">
        <v>105.18</v>
      </c>
      <c r="AY502" s="340" t="s">
        <v>297</v>
      </c>
      <c r="BC502" s="341" t="str">
        <f t="array" ref="BC502">IFERROR(IF($BC$11="Yes",INDEX($AX$13:$AX$2950,SMALL(IF((County=$AY$13:$AY$2950),MATCH(ROW($AY$13:$AY$2950),ROW($AY$13:$AY$2950)),""),ROWS($A$13:$A560))),""),"")</f>
        <v/>
      </c>
      <c r="BH502" s="338">
        <v>122.02</v>
      </c>
      <c r="BI502" s="338" t="s">
        <v>338</v>
      </c>
      <c r="BN502" s="340">
        <v>27.26</v>
      </c>
      <c r="BO502" s="340" t="s">
        <v>347</v>
      </c>
      <c r="BP502" s="1385"/>
      <c r="BQ502" s="1389"/>
      <c r="BR502" s="6"/>
      <c r="BV502" s="338">
        <v>603.04999999999995</v>
      </c>
      <c r="BW502" s="338" t="s">
        <v>289</v>
      </c>
      <c r="CB502" s="340">
        <v>105.18</v>
      </c>
      <c r="CC502" s="340" t="s">
        <v>297</v>
      </c>
      <c r="CE502" s="341" t="str">
        <f t="array" ref="CE502">IFERROR(IF($CE$11="Metro",INDEX($BV$13:$BV$4972,SMALL(IF((County=$BW$13:$BW$4972),MATCH(ROW($BW$13:$BW$4972),ROW($BW$13:$BW$4972)),""),ROWS($A$13:$A560))),INDEX($BY$13:$BY$212,SMALL(IF((County=$BZ$13:$BZ$212),MATCH(ROW($BZ$13:$BZ$212),ROW($BZ$13:$BZ$212)),""),ROWS($A$13:$A560)))),"")</f>
        <v/>
      </c>
      <c r="CG502" s="341" t="str">
        <f t="array" ref="CG502">IFERROR(IF($CG$11="Yes",INDEX($CB$13:$CB$2950,SMALL(IF((County=$CC$13:$CC$2950),MATCH(ROW($CC$13:$CC$2950),ROW($CC$13:$CC$2950)),""),ROWS($A$13:$A560))),""),"")</f>
        <v/>
      </c>
      <c r="CL502" s="236">
        <v>14.02</v>
      </c>
      <c r="CM502" s="236" t="s">
        <v>324</v>
      </c>
      <c r="CR502" s="340">
        <v>27.25</v>
      </c>
      <c r="CS502" s="340" t="s">
        <v>347</v>
      </c>
      <c r="CT502" s="1384"/>
      <c r="CZ502" s="1795">
        <v>19.03</v>
      </c>
      <c r="DA502" s="338" t="s">
        <v>331</v>
      </c>
      <c r="DF502" s="340">
        <v>112.06</v>
      </c>
      <c r="DG502" s="340" t="s">
        <v>297</v>
      </c>
      <c r="DP502" s="236">
        <v>126.02</v>
      </c>
      <c r="DQ502" s="236" t="s">
        <v>344</v>
      </c>
      <c r="DV502" s="340">
        <v>35.07</v>
      </c>
      <c r="DW502" s="340" t="s">
        <v>340</v>
      </c>
      <c r="DX502" s="1671"/>
      <c r="EB502" s="618"/>
      <c r="EC502" s="618"/>
      <c r="ED502" s="618"/>
      <c r="EE502" s="618"/>
      <c r="EF502" s="618"/>
      <c r="EG502" s="618"/>
      <c r="EH502" s="618"/>
      <c r="EI502" s="618"/>
      <c r="EJ502" s="618"/>
      <c r="EK502" s="618"/>
      <c r="EL502" s="618"/>
      <c r="EM502" s="618"/>
    </row>
    <row r="503" spans="6:143">
      <c r="F503" s="338">
        <v>90.26</v>
      </c>
      <c r="G503" s="338" t="s">
        <v>331</v>
      </c>
      <c r="L503" s="2481">
        <v>1106.04</v>
      </c>
      <c r="M503" s="340" t="s">
        <v>298</v>
      </c>
      <c r="N503" s="1390"/>
      <c r="O503" s="2479"/>
      <c r="P503" s="2282"/>
      <c r="AA503" s="338">
        <v>142.02000000000001</v>
      </c>
      <c r="AB503" s="338" t="s">
        <v>338</v>
      </c>
      <c r="AG503" s="2297">
        <v>35.14</v>
      </c>
      <c r="AH503" s="2297" t="s">
        <v>340</v>
      </c>
      <c r="AI503" s="1390"/>
      <c r="AJ503" s="2282"/>
      <c r="AK503" s="2282"/>
      <c r="AL503" s="1037"/>
      <c r="AR503" s="338">
        <v>93.15</v>
      </c>
      <c r="AS503" s="338" t="s">
        <v>331</v>
      </c>
      <c r="AX503" s="340">
        <v>105.19</v>
      </c>
      <c r="AY503" s="340" t="s">
        <v>297</v>
      </c>
      <c r="BC503" s="341" t="str">
        <f t="array" ref="BC503">IFERROR(IF($BC$11="Yes",INDEX($AX$13:$AX$2950,SMALL(IF((County=$AY$13:$AY$2950),MATCH(ROW($AY$13:$AY$2950),ROW($AY$13:$AY$2950)),""),ROWS($A$13:$A561))),""),"")</f>
        <v/>
      </c>
      <c r="BH503" s="338">
        <v>122.11</v>
      </c>
      <c r="BI503" s="338" t="s">
        <v>316</v>
      </c>
      <c r="BN503" s="340">
        <v>27.27</v>
      </c>
      <c r="BO503" s="340" t="s">
        <v>347</v>
      </c>
      <c r="BP503" s="1385"/>
      <c r="BQ503" s="1389"/>
      <c r="BR503" s="6"/>
      <c r="BV503" s="338">
        <v>603.05999999999995</v>
      </c>
      <c r="BW503" s="338" t="s">
        <v>289</v>
      </c>
      <c r="CB503" s="340">
        <v>105.19</v>
      </c>
      <c r="CC503" s="340" t="s">
        <v>297</v>
      </c>
      <c r="CE503" s="341" t="str">
        <f t="array" ref="CE503">IFERROR(IF($CE$11="Metro",INDEX($BV$13:$BV$4972,SMALL(IF((County=$BW$13:$BW$4972),MATCH(ROW($BW$13:$BW$4972),ROW($BW$13:$BW$4972)),""),ROWS($A$13:$A561))),INDEX($BY$13:$BY$212,SMALL(IF((County=$BZ$13:$BZ$212),MATCH(ROW($BZ$13:$BZ$212),ROW($BZ$13:$BZ$212)),""),ROWS($A$13:$A561)))),"")</f>
        <v/>
      </c>
      <c r="CG503" s="341" t="str">
        <f t="array" ref="CG503">IFERROR(IF($CG$11="Yes",INDEX($CB$13:$CB$2950,SMALL(IF((County=$CC$13:$CC$2950),MATCH(ROW($CC$13:$CC$2950),ROW($CC$13:$CC$2950)),""),ROWS($A$13:$A561))),""),"")</f>
        <v/>
      </c>
      <c r="CL503" s="236">
        <v>14.02</v>
      </c>
      <c r="CM503" s="236" t="s">
        <v>328</v>
      </c>
      <c r="CR503" s="340">
        <v>27.26</v>
      </c>
      <c r="CS503" s="340" t="s">
        <v>347</v>
      </c>
      <c r="CT503" s="1384"/>
      <c r="CZ503" s="1795">
        <v>19.04</v>
      </c>
      <c r="DA503" s="338" t="s">
        <v>331</v>
      </c>
      <c r="DF503" s="340">
        <v>112.08</v>
      </c>
      <c r="DG503" s="340" t="s">
        <v>297</v>
      </c>
      <c r="DP503" s="236">
        <v>127.02</v>
      </c>
      <c r="DQ503" s="236" t="s">
        <v>316</v>
      </c>
      <c r="DV503" s="340">
        <v>35.11</v>
      </c>
      <c r="DW503" s="340" t="s">
        <v>304</v>
      </c>
      <c r="DX503" s="1671"/>
      <c r="EB503" s="618"/>
      <c r="EC503" s="618"/>
      <c r="ED503" s="618"/>
      <c r="EE503" s="618"/>
      <c r="EF503" s="618"/>
      <c r="EG503" s="618"/>
      <c r="EH503" s="618"/>
      <c r="EI503" s="618"/>
      <c r="EJ503" s="618"/>
      <c r="EK503" s="618"/>
      <c r="EL503" s="618"/>
      <c r="EM503" s="618"/>
    </row>
    <row r="504" spans="6:143">
      <c r="F504" s="338">
        <v>90.3</v>
      </c>
      <c r="G504" s="338" t="s">
        <v>331</v>
      </c>
      <c r="L504" s="2481">
        <v>1107</v>
      </c>
      <c r="M504" s="340" t="s">
        <v>298</v>
      </c>
      <c r="N504" s="1390"/>
      <c r="O504" s="2479"/>
      <c r="P504" s="2282"/>
      <c r="AA504" s="338">
        <v>142.03</v>
      </c>
      <c r="AB504" s="338" t="s">
        <v>344</v>
      </c>
      <c r="AG504" s="2297">
        <v>36</v>
      </c>
      <c r="AH504" s="2297" t="s">
        <v>340</v>
      </c>
      <c r="AI504" s="1390"/>
      <c r="AJ504" s="2282"/>
      <c r="AK504" s="2282"/>
      <c r="AL504" s="1037"/>
      <c r="AR504" s="338">
        <v>93.16</v>
      </c>
      <c r="AS504" s="338" t="s">
        <v>331</v>
      </c>
      <c r="AX504" s="340">
        <v>105.2</v>
      </c>
      <c r="AY504" s="340" t="s">
        <v>297</v>
      </c>
      <c r="BC504" s="341" t="str">
        <f t="array" ref="BC504">IFERROR(IF($BC$11="Yes",INDEX($AX$13:$AX$2950,SMALL(IF((County=$AY$13:$AY$2950),MATCH(ROW($AY$13:$AY$2950),ROW($AY$13:$AY$2950)),""),ROWS($A$13:$A562))),""),"")</f>
        <v/>
      </c>
      <c r="BH504" s="338">
        <v>123.07</v>
      </c>
      <c r="BI504" s="338" t="s">
        <v>338</v>
      </c>
      <c r="BN504" s="340">
        <v>27.28</v>
      </c>
      <c r="BO504" s="340" t="s">
        <v>347</v>
      </c>
      <c r="BP504" s="1385"/>
      <c r="BQ504" s="1389"/>
      <c r="BR504" s="6"/>
      <c r="BV504" s="338">
        <v>604.01</v>
      </c>
      <c r="BW504" s="338" t="s">
        <v>289</v>
      </c>
      <c r="CB504" s="340">
        <v>108.05</v>
      </c>
      <c r="CC504" s="340" t="s">
        <v>297</v>
      </c>
      <c r="CE504" s="341" t="str">
        <f t="array" ref="CE504">IFERROR(IF($CE$11="Metro",INDEX($BV$13:$BV$4972,SMALL(IF((County=$BW$13:$BW$4972),MATCH(ROW($BW$13:$BW$4972),ROW($BW$13:$BW$4972)),""),ROWS($A$13:$A562))),INDEX($BY$13:$BY$212,SMALL(IF((County=$BZ$13:$BZ$212),MATCH(ROW($BZ$13:$BZ$212),ROW($BZ$13:$BZ$212)),""),ROWS($A$13:$A562)))),"")</f>
        <v/>
      </c>
      <c r="CG504" s="341" t="str">
        <f t="array" ref="CG504">IFERROR(IF($CG$11="Yes",INDEX($CB$13:$CB$2950,SMALL(IF((County=$CC$13:$CC$2950),MATCH(ROW($CC$13:$CC$2950),ROW($CC$13:$CC$2950)),""),ROWS($A$13:$A562))),""),"")</f>
        <v/>
      </c>
      <c r="CL504" s="236">
        <v>14.02</v>
      </c>
      <c r="CM504" s="236" t="s">
        <v>331</v>
      </c>
      <c r="CR504" s="340">
        <v>27.27</v>
      </c>
      <c r="CS504" s="340" t="s">
        <v>347</v>
      </c>
      <c r="CT504" s="1384"/>
      <c r="CZ504" s="1795">
        <v>20.03</v>
      </c>
      <c r="DA504" s="338" t="s">
        <v>331</v>
      </c>
      <c r="DF504" s="340">
        <v>112.09</v>
      </c>
      <c r="DG504" s="340" t="s">
        <v>297</v>
      </c>
      <c r="DP504" s="236">
        <v>127.02</v>
      </c>
      <c r="DQ504" s="236" t="s">
        <v>344</v>
      </c>
      <c r="DV504" s="340">
        <v>35.119999999999997</v>
      </c>
      <c r="DW504" s="340" t="s">
        <v>304</v>
      </c>
      <c r="DX504" s="1671"/>
      <c r="EB504" s="618"/>
      <c r="EC504" s="618"/>
      <c r="ED504" s="618"/>
      <c r="EE504" s="618"/>
      <c r="EF504" s="618"/>
      <c r="EG504" s="618"/>
      <c r="EH504" s="618"/>
      <c r="EI504" s="618"/>
      <c r="EJ504" s="618"/>
      <c r="EK504" s="618"/>
      <c r="EL504" s="618"/>
      <c r="EM504" s="618"/>
    </row>
    <row r="505" spans="6:143">
      <c r="F505" s="338">
        <v>90.31</v>
      </c>
      <c r="G505" s="338" t="s">
        <v>331</v>
      </c>
      <c r="L505" s="2481">
        <v>1108</v>
      </c>
      <c r="M505" s="340" t="s">
        <v>298</v>
      </c>
      <c r="N505" s="1390"/>
      <c r="O505" s="2479"/>
      <c r="P505" s="2282"/>
      <c r="AA505" s="338">
        <v>143.01</v>
      </c>
      <c r="AB505" s="338" t="s">
        <v>344</v>
      </c>
      <c r="AG505" s="2297">
        <v>36.03</v>
      </c>
      <c r="AH505" s="2297" t="s">
        <v>304</v>
      </c>
      <c r="AI505" s="1390"/>
      <c r="AJ505" s="2282"/>
      <c r="AK505" s="2282"/>
      <c r="AL505" s="1037"/>
      <c r="AR505" s="338">
        <v>93.17</v>
      </c>
      <c r="AS505" s="338" t="s">
        <v>331</v>
      </c>
      <c r="AX505" s="340">
        <v>106.04</v>
      </c>
      <c r="AY505" s="340" t="s">
        <v>297</v>
      </c>
      <c r="BC505" s="341" t="str">
        <f t="array" ref="BC505">IFERROR(IF($BC$11="Yes",INDEX($AX$13:$AX$2950,SMALL(IF((County=$AY$13:$AY$2950),MATCH(ROW($AY$13:$AY$2950),ROW($AY$13:$AY$2950)),""),ROWS($A$13:$A563))),""),"")</f>
        <v/>
      </c>
      <c r="BH505" s="338">
        <v>123.07</v>
      </c>
      <c r="BI505" s="338" t="s">
        <v>344</v>
      </c>
      <c r="BN505" s="340">
        <v>27.3</v>
      </c>
      <c r="BO505" s="340" t="s">
        <v>347</v>
      </c>
      <c r="BP505" s="1385"/>
      <c r="BQ505" s="1389"/>
      <c r="BR505" s="6"/>
      <c r="BV505" s="338">
        <v>604.02</v>
      </c>
      <c r="BW505" s="338" t="s">
        <v>289</v>
      </c>
      <c r="CB505" s="340">
        <v>108.06</v>
      </c>
      <c r="CC505" s="340" t="s">
        <v>297</v>
      </c>
      <c r="CE505" s="341" t="str">
        <f t="array" ref="CE505">IFERROR(IF($CE$11="Metro",INDEX($BV$13:$BV$4972,SMALL(IF((County=$BW$13:$BW$4972),MATCH(ROW($BW$13:$BW$4972),ROW($BW$13:$BW$4972)),""),ROWS($A$13:$A563))),INDEX($BY$13:$BY$212,SMALL(IF((County=$BZ$13:$BZ$212),MATCH(ROW($BZ$13:$BZ$212),ROW($BZ$13:$BZ$212)),""),ROWS($A$13:$A563)))),"")</f>
        <v/>
      </c>
      <c r="CG505" s="341" t="str">
        <f t="array" ref="CG505">IFERROR(IF($CG$11="Yes",INDEX($CB$13:$CB$2950,SMALL(IF((County=$CC$13:$CC$2950),MATCH(ROW($CC$13:$CC$2950),ROW($CC$13:$CC$2950)),""),ROWS($A$13:$A563))),""),"")</f>
        <v/>
      </c>
      <c r="CL505" s="236">
        <v>14.02</v>
      </c>
      <c r="CM505" s="236" t="s">
        <v>340</v>
      </c>
      <c r="CR505" s="340">
        <v>27.28</v>
      </c>
      <c r="CS505" s="340" t="s">
        <v>347</v>
      </c>
      <c r="CT505" s="1384"/>
      <c r="CZ505" s="1795">
        <v>20.04</v>
      </c>
      <c r="DA505" s="338" t="s">
        <v>331</v>
      </c>
      <c r="DF505" s="340">
        <v>112.1</v>
      </c>
      <c r="DG505" s="340" t="s">
        <v>297</v>
      </c>
      <c r="DP505" s="236">
        <v>127.04</v>
      </c>
      <c r="DQ505" s="236" t="s">
        <v>302</v>
      </c>
      <c r="DV505" s="340">
        <v>35.130000000000003</v>
      </c>
      <c r="DW505" s="340" t="s">
        <v>340</v>
      </c>
      <c r="DX505" s="1671"/>
      <c r="EB505" s="618"/>
      <c r="EC505" s="618"/>
      <c r="ED505" s="618"/>
      <c r="EE505" s="618"/>
      <c r="EF505" s="618"/>
      <c r="EG505" s="618"/>
      <c r="EH505" s="618"/>
      <c r="EI505" s="618"/>
      <c r="EJ505" s="618"/>
      <c r="EK505" s="618"/>
      <c r="EL505" s="618"/>
      <c r="EM505" s="618"/>
    </row>
    <row r="506" spans="6:143">
      <c r="F506" s="338">
        <v>90.61</v>
      </c>
      <c r="G506" s="338" t="s">
        <v>331</v>
      </c>
      <c r="L506" s="2481">
        <v>1109.03</v>
      </c>
      <c r="M506" s="340" t="s">
        <v>298</v>
      </c>
      <c r="N506" s="1390"/>
      <c r="O506" s="2479"/>
      <c r="P506" s="2282"/>
      <c r="AA506" s="338">
        <v>143.02000000000001</v>
      </c>
      <c r="AB506" s="338" t="s">
        <v>338</v>
      </c>
      <c r="AG506" s="2297">
        <v>36.03</v>
      </c>
      <c r="AH506" s="2297" t="s">
        <v>331</v>
      </c>
      <c r="AI506" s="1390"/>
      <c r="AJ506" s="2282"/>
      <c r="AK506" s="2282"/>
      <c r="AL506" s="1037"/>
      <c r="AR506" s="338">
        <v>93.2</v>
      </c>
      <c r="AS506" s="338" t="s">
        <v>331</v>
      </c>
      <c r="AX506" s="340">
        <v>108.06</v>
      </c>
      <c r="AY506" s="340" t="s">
        <v>297</v>
      </c>
      <c r="BC506" s="341" t="str">
        <f t="array" ref="BC506">IFERROR(IF($BC$11="Yes",INDEX($AX$13:$AX$2950,SMALL(IF((County=$AY$13:$AY$2950),MATCH(ROW($AY$13:$AY$2950),ROW($AY$13:$AY$2950)),""),ROWS($A$13:$A564))),""),"")</f>
        <v/>
      </c>
      <c r="BH506" s="338">
        <v>124.01</v>
      </c>
      <c r="BI506" s="338" t="s">
        <v>316</v>
      </c>
      <c r="BN506" s="340">
        <v>27.31</v>
      </c>
      <c r="BO506" s="340" t="s">
        <v>347</v>
      </c>
      <c r="BP506" s="1385"/>
      <c r="BQ506" s="1389"/>
      <c r="BR506" s="6"/>
      <c r="BV506" s="338">
        <v>604.04</v>
      </c>
      <c r="BW506" s="338" t="s">
        <v>289</v>
      </c>
      <c r="CB506" s="340">
        <v>108.07</v>
      </c>
      <c r="CC506" s="340" t="s">
        <v>297</v>
      </c>
      <c r="CE506" s="341" t="str">
        <f t="array" ref="CE506">IFERROR(IF($CE$11="Metro",INDEX($BV$13:$BV$4972,SMALL(IF((County=$BW$13:$BW$4972),MATCH(ROW($BW$13:$BW$4972),ROW($BW$13:$BW$4972)),""),ROWS($A$13:$A564))),INDEX($BY$13:$BY$212,SMALL(IF((County=$BZ$13:$BZ$212),MATCH(ROW($BZ$13:$BZ$212),ROW($BZ$13:$BZ$212)),""),ROWS($A$13:$A564)))),"")</f>
        <v/>
      </c>
      <c r="CG506" s="341" t="str">
        <f t="array" ref="CG506">IFERROR(IF($CG$11="Yes",INDEX($CB$13:$CB$2950,SMALL(IF((County=$CC$13:$CC$2950),MATCH(ROW($CC$13:$CC$2950),ROW($CC$13:$CC$2950)),""),ROWS($A$13:$A564))),""),"")</f>
        <v/>
      </c>
      <c r="CL506" s="236">
        <v>14.02</v>
      </c>
      <c r="CM506" s="236" t="s">
        <v>347</v>
      </c>
      <c r="CR506" s="340">
        <v>27.3</v>
      </c>
      <c r="CS506" s="340" t="s">
        <v>347</v>
      </c>
      <c r="CT506" s="1384"/>
      <c r="CZ506" s="1795">
        <v>22.02</v>
      </c>
      <c r="DA506" s="338" t="s">
        <v>331</v>
      </c>
      <c r="DF506" s="340">
        <v>112.12</v>
      </c>
      <c r="DG506" s="340" t="s">
        <v>297</v>
      </c>
      <c r="DP506" s="236">
        <v>128</v>
      </c>
      <c r="DQ506" s="236" t="s">
        <v>302</v>
      </c>
      <c r="DV506" s="340">
        <v>35.14</v>
      </c>
      <c r="DW506" s="340" t="s">
        <v>340</v>
      </c>
      <c r="DX506" s="1671"/>
      <c r="EB506" s="618"/>
      <c r="EC506" s="618"/>
      <c r="ED506" s="618"/>
      <c r="EE506" s="618"/>
      <c r="EF506" s="618"/>
      <c r="EG506" s="618"/>
      <c r="EH506" s="618"/>
      <c r="EI506" s="618"/>
      <c r="EJ506" s="618"/>
      <c r="EK506" s="618"/>
      <c r="EL506" s="618"/>
      <c r="EM506" s="618"/>
    </row>
    <row r="507" spans="6:143">
      <c r="F507" s="338">
        <v>91.02</v>
      </c>
      <c r="G507" s="338" t="s">
        <v>331</v>
      </c>
      <c r="L507" s="2481">
        <v>1109.04</v>
      </c>
      <c r="M507" s="340" t="s">
        <v>298</v>
      </c>
      <c r="N507" s="1390"/>
      <c r="O507" s="2479"/>
      <c r="P507" s="2282"/>
      <c r="AA507" s="338">
        <v>143.11000000000001</v>
      </c>
      <c r="AB507" s="338" t="s">
        <v>302</v>
      </c>
      <c r="AG507" s="2297">
        <v>36.07</v>
      </c>
      <c r="AH507" s="2297" t="s">
        <v>304</v>
      </c>
      <c r="AI507" s="1390"/>
      <c r="AJ507" s="2282"/>
      <c r="AK507" s="2282"/>
      <c r="AL507" s="1037"/>
      <c r="AR507" s="338">
        <v>93.21</v>
      </c>
      <c r="AS507" s="338" t="s">
        <v>331</v>
      </c>
      <c r="AX507" s="340">
        <v>108.07</v>
      </c>
      <c r="AY507" s="340" t="s">
        <v>297</v>
      </c>
      <c r="BC507" s="341" t="str">
        <f t="array" ref="BC507">IFERROR(IF($BC$11="Yes",INDEX($AX$13:$AX$2950,SMALL(IF((County=$AY$13:$AY$2950),MATCH(ROW($AY$13:$AY$2950),ROW($AY$13:$AY$2950)),""),ROWS($A$13:$A565))),""),"")</f>
        <v/>
      </c>
      <c r="BH507" s="338">
        <v>124.02</v>
      </c>
      <c r="BI507" s="338" t="s">
        <v>338</v>
      </c>
      <c r="BN507" s="340">
        <v>27.32</v>
      </c>
      <c r="BO507" s="340" t="s">
        <v>347</v>
      </c>
      <c r="BP507" s="1385"/>
      <c r="BQ507" s="1389"/>
      <c r="BR507" s="6"/>
      <c r="BV507" s="338">
        <v>604.04999999999995</v>
      </c>
      <c r="BW507" s="338" t="s">
        <v>289</v>
      </c>
      <c r="CB507" s="340">
        <v>109.02</v>
      </c>
      <c r="CC507" s="340" t="s">
        <v>297</v>
      </c>
      <c r="CE507" s="341" t="str">
        <f t="array" ref="CE507">IFERROR(IF($CE$11="Metro",INDEX($BV$13:$BV$4972,SMALL(IF((County=$BW$13:$BW$4972),MATCH(ROW($BW$13:$BW$4972),ROW($BW$13:$BW$4972)),""),ROWS($A$13:$A565))),INDEX($BY$13:$BY$212,SMALL(IF((County=$BZ$13:$BZ$212),MATCH(ROW($BZ$13:$BZ$212),ROW($BZ$13:$BZ$212)),""),ROWS($A$13:$A565)))),"")</f>
        <v/>
      </c>
      <c r="CG507" s="341" t="str">
        <f t="array" ref="CG507">IFERROR(IF($CG$11="Yes",INDEX($CB$13:$CB$2950,SMALL(IF((County=$CC$13:$CC$2950),MATCH(ROW($CC$13:$CC$2950),ROW($CC$13:$CC$2950)),""),ROWS($A$13:$A565))),""),"")</f>
        <v/>
      </c>
      <c r="CL507" s="338">
        <v>14.03</v>
      </c>
      <c r="CM507" s="338" t="s">
        <v>285</v>
      </c>
      <c r="CR507" s="340">
        <v>27.31</v>
      </c>
      <c r="CS507" s="340" t="s">
        <v>347</v>
      </c>
      <c r="CT507" s="1384"/>
      <c r="CZ507" s="1795">
        <v>23</v>
      </c>
      <c r="DA507" s="338" t="s">
        <v>331</v>
      </c>
      <c r="DF507" s="340">
        <v>112.13</v>
      </c>
      <c r="DG507" s="340" t="s">
        <v>297</v>
      </c>
      <c r="DP507" s="236">
        <v>129</v>
      </c>
      <c r="DQ507" s="236" t="s">
        <v>302</v>
      </c>
      <c r="DV507" s="340">
        <v>36</v>
      </c>
      <c r="DW507" s="340" t="s">
        <v>340</v>
      </c>
      <c r="DX507" s="1671"/>
      <c r="EB507" s="618"/>
      <c r="EC507" s="618"/>
      <c r="ED507" s="618"/>
      <c r="EE507" s="618"/>
      <c r="EF507" s="618"/>
      <c r="EG507" s="618"/>
      <c r="EH507" s="618"/>
      <c r="EI507" s="618"/>
      <c r="EJ507" s="618"/>
      <c r="EK507" s="618"/>
      <c r="EL507" s="618"/>
      <c r="EM507" s="618"/>
    </row>
    <row r="508" spans="6:143">
      <c r="F508" s="338">
        <v>93.14</v>
      </c>
      <c r="G508" s="338" t="s">
        <v>331</v>
      </c>
      <c r="L508" s="2481">
        <v>101.01</v>
      </c>
      <c r="M508" s="340" t="s">
        <v>300</v>
      </c>
      <c r="N508" s="1390"/>
      <c r="O508" s="2479"/>
      <c r="P508" s="2282"/>
      <c r="AA508" s="338">
        <v>145.02000000000001</v>
      </c>
      <c r="AB508" s="338" t="s">
        <v>338</v>
      </c>
      <c r="AG508" s="2297">
        <v>36.08</v>
      </c>
      <c r="AH508" s="2297" t="s">
        <v>304</v>
      </c>
      <c r="AI508" s="1390"/>
      <c r="AJ508" s="2282"/>
      <c r="AK508" s="2282"/>
      <c r="AL508" s="1037"/>
      <c r="AR508" s="338">
        <v>93.22</v>
      </c>
      <c r="AS508" s="338" t="s">
        <v>331</v>
      </c>
      <c r="AX508" s="340">
        <v>109.02</v>
      </c>
      <c r="AY508" s="340" t="s">
        <v>297</v>
      </c>
      <c r="BC508" s="341" t="str">
        <f t="array" ref="BC508">IFERROR(IF($BC$11="Yes",INDEX($AX$13:$AX$2950,SMALL(IF((County=$AY$13:$AY$2950),MATCH(ROW($AY$13:$AY$2950),ROW($AY$13:$AY$2950)),""),ROWS($A$13:$A566))),""),"")</f>
        <v/>
      </c>
      <c r="BH508" s="338">
        <v>124.03</v>
      </c>
      <c r="BI508" s="338" t="s">
        <v>316</v>
      </c>
      <c r="BN508" s="340">
        <v>27.33</v>
      </c>
      <c r="BO508" s="340" t="s">
        <v>347</v>
      </c>
      <c r="BP508" s="1385"/>
      <c r="BQ508" s="1389"/>
      <c r="BR508" s="6"/>
      <c r="BV508" s="338">
        <v>605.01</v>
      </c>
      <c r="BW508" s="338" t="s">
        <v>289</v>
      </c>
      <c r="CB508" s="340">
        <v>109.04</v>
      </c>
      <c r="CC508" s="340" t="s">
        <v>297</v>
      </c>
      <c r="CE508" s="341" t="str">
        <f t="array" ref="CE508">IFERROR(IF($CE$11="Metro",INDEX($BV$13:$BV$4972,SMALL(IF((County=$BW$13:$BW$4972),MATCH(ROW($BW$13:$BW$4972),ROW($BW$13:$BW$4972)),""),ROWS($A$13:$A566))),INDEX($BY$13:$BY$212,SMALL(IF((County=$BZ$13:$BZ$212),MATCH(ROW($BZ$13:$BZ$212),ROW($BZ$13:$BZ$212)),""),ROWS($A$13:$A566)))),"")</f>
        <v/>
      </c>
      <c r="CG508" s="341" t="str">
        <f t="array" ref="CG508">IFERROR(IF($CG$11="Yes",INDEX($CB$13:$CB$2950,SMALL(IF((County=$CC$13:$CC$2950),MATCH(ROW($CC$13:$CC$2950),ROW($CC$13:$CC$2950)),""),ROWS($A$13:$A566))),""),"")</f>
        <v/>
      </c>
      <c r="CL508" s="236">
        <v>14.03</v>
      </c>
      <c r="CM508" s="236" t="s">
        <v>329</v>
      </c>
      <c r="CR508" s="340">
        <v>27.32</v>
      </c>
      <c r="CS508" s="340" t="s">
        <v>347</v>
      </c>
      <c r="CT508" s="1384"/>
      <c r="CZ508" s="1795">
        <v>24.02</v>
      </c>
      <c r="DA508" s="338" t="s">
        <v>331</v>
      </c>
      <c r="DF508" s="340">
        <v>1102.01</v>
      </c>
      <c r="DG508" s="340" t="s">
        <v>298</v>
      </c>
      <c r="DP508" s="236">
        <v>129</v>
      </c>
      <c r="DQ508" s="236" t="s">
        <v>316</v>
      </c>
      <c r="DV508" s="340">
        <v>36.03</v>
      </c>
      <c r="DW508" s="340" t="s">
        <v>304</v>
      </c>
      <c r="DX508" s="1671"/>
      <c r="EB508" s="618"/>
      <c r="EC508" s="618"/>
      <c r="ED508" s="618"/>
      <c r="EE508" s="618"/>
      <c r="EF508" s="618"/>
      <c r="EG508" s="618"/>
      <c r="EH508" s="618"/>
      <c r="EI508" s="618"/>
      <c r="EJ508" s="618"/>
      <c r="EK508" s="618"/>
      <c r="EL508" s="618"/>
      <c r="EM508" s="618"/>
    </row>
    <row r="509" spans="6:143">
      <c r="F509" s="338">
        <v>93.15</v>
      </c>
      <c r="G509" s="338" t="s">
        <v>331</v>
      </c>
      <c r="L509" s="2481">
        <v>104.03</v>
      </c>
      <c r="M509" s="340" t="s">
        <v>300</v>
      </c>
      <c r="N509" s="1390"/>
      <c r="O509" s="2479"/>
      <c r="P509" s="2282"/>
      <c r="AA509" s="338">
        <v>145.02000000000001</v>
      </c>
      <c r="AB509" s="338" t="s">
        <v>344</v>
      </c>
      <c r="AG509" s="2297">
        <v>36.1</v>
      </c>
      <c r="AH509" s="2297" t="s">
        <v>304</v>
      </c>
      <c r="AI509" s="1390"/>
      <c r="AJ509" s="2282"/>
      <c r="AK509" s="2282"/>
      <c r="AL509" s="1037"/>
      <c r="AR509" s="338">
        <v>93.23</v>
      </c>
      <c r="AS509" s="338" t="s">
        <v>331</v>
      </c>
      <c r="AX509" s="340">
        <v>109.04</v>
      </c>
      <c r="AY509" s="340" t="s">
        <v>297</v>
      </c>
      <c r="BC509" s="341" t="str">
        <f t="array" ref="BC509">IFERROR(IF($BC$11="Yes",INDEX($AX$13:$AX$2950,SMALL(IF((County=$AY$13:$AY$2950),MATCH(ROW($AY$13:$AY$2950),ROW($AY$13:$AY$2950)),""),ROWS($A$13:$A567))),""),"")</f>
        <v/>
      </c>
      <c r="BH509" s="338">
        <v>124.03</v>
      </c>
      <c r="BI509" s="338" t="s">
        <v>338</v>
      </c>
      <c r="BN509" s="340">
        <v>27.34</v>
      </c>
      <c r="BO509" s="340" t="s">
        <v>347</v>
      </c>
      <c r="BP509" s="1385"/>
      <c r="BQ509" s="1389"/>
      <c r="BR509" s="6"/>
      <c r="BV509" s="338">
        <v>605.03</v>
      </c>
      <c r="BW509" s="338" t="s">
        <v>289</v>
      </c>
      <c r="CB509" s="340">
        <v>109.05</v>
      </c>
      <c r="CC509" s="340" t="s">
        <v>297</v>
      </c>
      <c r="CE509" s="341" t="str">
        <f t="array" ref="CE509">IFERROR(IF($CE$11="Metro",INDEX($BV$13:$BV$4972,SMALL(IF((County=$BW$13:$BW$4972),MATCH(ROW($BW$13:$BW$4972),ROW($BW$13:$BW$4972)),""),ROWS($A$13:$A567))),INDEX($BY$13:$BY$212,SMALL(IF((County=$BZ$13:$BZ$212),MATCH(ROW($BZ$13:$BZ$212),ROW($BZ$13:$BZ$212)),""),ROWS($A$13:$A567)))),"")</f>
        <v/>
      </c>
      <c r="CG509" s="341" t="str">
        <f t="array" ref="CG509">IFERROR(IF($CG$11="Yes",INDEX($CB$13:$CB$2950,SMALL(IF((County=$CC$13:$CC$2950),MATCH(ROW($CC$13:$CC$2950),ROW($CC$13:$CC$2950)),""),ROWS($A$13:$A567))),""),"")</f>
        <v/>
      </c>
      <c r="CL509" s="236">
        <v>14.03</v>
      </c>
      <c r="CM509" s="236" t="s">
        <v>340</v>
      </c>
      <c r="CR509" s="340">
        <v>27.33</v>
      </c>
      <c r="CS509" s="340" t="s">
        <v>347</v>
      </c>
      <c r="CT509" s="1384"/>
      <c r="CZ509" s="1795">
        <v>24.03</v>
      </c>
      <c r="DA509" s="338" t="s">
        <v>331</v>
      </c>
      <c r="DF509" s="340">
        <v>1106.02</v>
      </c>
      <c r="DG509" s="340" t="s">
        <v>298</v>
      </c>
      <c r="DP509" s="236">
        <v>130.02000000000001</v>
      </c>
      <c r="DQ509" s="236" t="s">
        <v>344</v>
      </c>
      <c r="DV509" s="340">
        <v>36.08</v>
      </c>
      <c r="DW509" s="340" t="s">
        <v>304</v>
      </c>
      <c r="DX509" s="1671"/>
      <c r="EB509" s="618"/>
      <c r="EC509" s="618"/>
      <c r="ED509" s="618"/>
      <c r="EE509" s="618"/>
      <c r="EF509" s="618"/>
      <c r="EG509" s="618"/>
      <c r="EH509" s="618"/>
      <c r="EI509" s="618"/>
      <c r="EJ509" s="618"/>
      <c r="EK509" s="618"/>
      <c r="EL509" s="618"/>
      <c r="EM509" s="618"/>
    </row>
    <row r="510" spans="6:143">
      <c r="F510" s="338">
        <v>93.2</v>
      </c>
      <c r="G510" s="338" t="s">
        <v>331</v>
      </c>
      <c r="L510" s="2481">
        <v>104.05</v>
      </c>
      <c r="M510" s="340" t="s">
        <v>300</v>
      </c>
      <c r="N510" s="1390"/>
      <c r="O510" s="2479"/>
      <c r="P510" s="2282"/>
      <c r="AA510" s="338">
        <v>145.03</v>
      </c>
      <c r="AB510" s="338" t="s">
        <v>338</v>
      </c>
      <c r="AG510" s="2297">
        <v>36.11</v>
      </c>
      <c r="AH510" s="2297" t="s">
        <v>304</v>
      </c>
      <c r="AI510" s="1390"/>
      <c r="AJ510" s="2282"/>
      <c r="AK510" s="2282"/>
      <c r="AL510" s="1037"/>
      <c r="AR510" s="338">
        <v>93.24</v>
      </c>
      <c r="AS510" s="338" t="s">
        <v>331</v>
      </c>
      <c r="AX510" s="340">
        <v>109.05</v>
      </c>
      <c r="AY510" s="340" t="s">
        <v>297</v>
      </c>
      <c r="BC510" s="341" t="str">
        <f t="array" ref="BC510">IFERROR(IF($BC$11="Yes",INDEX($AX$13:$AX$2950,SMALL(IF((County=$AY$13:$AY$2950),MATCH(ROW($AY$13:$AY$2950),ROW($AY$13:$AY$2950)),""),ROWS($A$13:$A568))),""),"")</f>
        <v/>
      </c>
      <c r="BH510" s="338">
        <v>126.01</v>
      </c>
      <c r="BI510" s="338" t="s">
        <v>302</v>
      </c>
      <c r="BN510" s="340">
        <v>27.35</v>
      </c>
      <c r="BO510" s="340" t="s">
        <v>347</v>
      </c>
      <c r="BP510" s="1385"/>
      <c r="BQ510" s="1389"/>
      <c r="BR510" s="6"/>
      <c r="BV510" s="338">
        <v>605.04</v>
      </c>
      <c r="BW510" s="338" t="s">
        <v>289</v>
      </c>
      <c r="CB510" s="340">
        <v>109.07</v>
      </c>
      <c r="CC510" s="340" t="s">
        <v>297</v>
      </c>
      <c r="CE510" s="341" t="str">
        <f t="array" ref="CE510">IFERROR(IF($CE$11="Metro",INDEX($BV$13:$BV$4972,SMALL(IF((County=$BW$13:$BW$4972),MATCH(ROW($BW$13:$BW$4972),ROW($BW$13:$BW$4972)),""),ROWS($A$13:$A568))),INDEX($BY$13:$BY$212,SMALL(IF((County=$BZ$13:$BZ$212),MATCH(ROW($BZ$13:$BZ$212),ROW($BZ$13:$BZ$212)),""),ROWS($A$13:$A568)))),"")</f>
        <v/>
      </c>
      <c r="CG510" s="341" t="str">
        <f t="array" ref="CG510">IFERROR(IF($CG$11="Yes",INDEX($CB$13:$CB$2950,SMALL(IF((County=$CC$13:$CC$2950),MATCH(ROW($CC$13:$CC$2950),ROW($CC$13:$CC$2950)),""),ROWS($A$13:$A568))),""),"")</f>
        <v/>
      </c>
      <c r="CL510" s="236">
        <v>14.03</v>
      </c>
      <c r="CM510" s="236" t="s">
        <v>347</v>
      </c>
      <c r="CR510" s="340">
        <v>27.34</v>
      </c>
      <c r="CS510" s="340" t="s">
        <v>347</v>
      </c>
      <c r="CT510" s="1384"/>
      <c r="CZ510" s="1795">
        <v>24.04</v>
      </c>
      <c r="DA510" s="338" t="s">
        <v>331</v>
      </c>
      <c r="DF510" s="340">
        <v>1106.04</v>
      </c>
      <c r="DG510" s="340" t="s">
        <v>298</v>
      </c>
      <c r="DP510" s="236">
        <v>132</v>
      </c>
      <c r="DQ510" s="236" t="s">
        <v>344</v>
      </c>
      <c r="DV510" s="340">
        <v>36.090000000000003</v>
      </c>
      <c r="DW510" s="340" t="s">
        <v>304</v>
      </c>
      <c r="DX510" s="1671"/>
      <c r="EB510" s="618"/>
      <c r="EC510" s="618"/>
      <c r="ED510" s="618"/>
      <c r="EE510" s="618"/>
      <c r="EF510" s="618"/>
      <c r="EG510" s="618"/>
      <c r="EH510" s="618"/>
      <c r="EI510" s="618"/>
      <c r="EJ510" s="618"/>
      <c r="EK510" s="618"/>
      <c r="EL510" s="618"/>
      <c r="EM510" s="618"/>
    </row>
    <row r="511" spans="6:143">
      <c r="F511" s="338">
        <v>93.24</v>
      </c>
      <c r="G511" s="338" t="s">
        <v>331</v>
      </c>
      <c r="L511" s="2481">
        <v>104.06</v>
      </c>
      <c r="M511" s="340" t="s">
        <v>300</v>
      </c>
      <c r="N511" s="1390"/>
      <c r="O511" s="2479"/>
      <c r="P511" s="2282"/>
      <c r="AA511" s="338">
        <v>146.01</v>
      </c>
      <c r="AB511" s="338" t="s">
        <v>338</v>
      </c>
      <c r="AG511" s="2297">
        <v>36.119999999999997</v>
      </c>
      <c r="AH511" s="2297" t="s">
        <v>304</v>
      </c>
      <c r="AI511" s="1390"/>
      <c r="AJ511" s="2282"/>
      <c r="AK511" s="2282"/>
      <c r="AL511" s="1037"/>
      <c r="AR511" s="338">
        <v>93.25</v>
      </c>
      <c r="AS511" s="338" t="s">
        <v>331</v>
      </c>
      <c r="AX511" s="340">
        <v>109.07</v>
      </c>
      <c r="AY511" s="340" t="s">
        <v>297</v>
      </c>
      <c r="BC511" s="341" t="str">
        <f t="array" ref="BC511">IFERROR(IF($BC$11="Yes",INDEX($AX$13:$AX$2950,SMALL(IF((County=$AY$13:$AY$2950),MATCH(ROW($AY$13:$AY$2950),ROW($AY$13:$AY$2950)),""),ROWS($A$13:$A569))),""),"")</f>
        <v/>
      </c>
      <c r="BH511" s="338">
        <v>126.01</v>
      </c>
      <c r="BI511" s="338" t="s">
        <v>344</v>
      </c>
      <c r="BN511" s="340">
        <v>27.37</v>
      </c>
      <c r="BO511" s="340" t="s">
        <v>347</v>
      </c>
      <c r="BP511" s="1385"/>
      <c r="BQ511" s="1389"/>
      <c r="BR511" s="6"/>
      <c r="BV511" s="338">
        <v>605.04999999999995</v>
      </c>
      <c r="BW511" s="338" t="s">
        <v>289</v>
      </c>
      <c r="CB511" s="340">
        <v>110.03</v>
      </c>
      <c r="CC511" s="340" t="s">
        <v>297</v>
      </c>
      <c r="CE511" s="341" t="str">
        <f t="array" ref="CE511">IFERROR(IF($CE$11="Metro",INDEX($BV$13:$BV$4972,SMALL(IF((County=$BW$13:$BW$4972),MATCH(ROW($BW$13:$BW$4972),ROW($BW$13:$BW$4972)),""),ROWS($A$13:$A569))),INDEX($BY$13:$BY$212,SMALL(IF((County=$BZ$13:$BZ$212),MATCH(ROW($BZ$13:$BZ$212),ROW($BZ$13:$BZ$212)),""),ROWS($A$13:$A569)))),"")</f>
        <v/>
      </c>
      <c r="CG511" s="341" t="str">
        <f t="array" ref="CG511">IFERROR(IF($CG$11="Yes",INDEX($CB$13:$CB$2950,SMALL(IF((County=$CC$13:$CC$2950),MATCH(ROW($CC$13:$CC$2950),ROW($CC$13:$CC$2950)),""),ROWS($A$13:$A569))),""),"")</f>
        <v/>
      </c>
      <c r="CL511" s="338">
        <v>14.04</v>
      </c>
      <c r="CM511" s="338" t="s">
        <v>285</v>
      </c>
      <c r="CR511" s="340">
        <v>27.35</v>
      </c>
      <c r="CS511" s="340" t="s">
        <v>347</v>
      </c>
      <c r="CT511" s="1384"/>
      <c r="CZ511" s="1795">
        <v>25.01</v>
      </c>
      <c r="DA511" s="338" t="s">
        <v>331</v>
      </c>
      <c r="DF511" s="340">
        <v>1107</v>
      </c>
      <c r="DG511" s="340" t="s">
        <v>298</v>
      </c>
      <c r="DP511" s="236">
        <v>133</v>
      </c>
      <c r="DQ511" s="236" t="s">
        <v>344</v>
      </c>
      <c r="DV511" s="340">
        <v>36.1</v>
      </c>
      <c r="DW511" s="340" t="s">
        <v>304</v>
      </c>
      <c r="DX511" s="1671"/>
      <c r="EB511" s="618"/>
      <c r="EC511" s="618"/>
      <c r="ED511" s="618"/>
      <c r="EE511" s="618"/>
      <c r="EF511" s="618"/>
      <c r="EG511" s="618"/>
      <c r="EH511" s="618"/>
      <c r="EI511" s="618"/>
      <c r="EJ511" s="618"/>
      <c r="EK511" s="618"/>
      <c r="EL511" s="618"/>
      <c r="EM511" s="618"/>
    </row>
    <row r="512" spans="6:143">
      <c r="F512" s="338">
        <v>97.06</v>
      </c>
      <c r="G512" s="338" t="s">
        <v>331</v>
      </c>
      <c r="L512" s="2481">
        <v>9701.0300000000007</v>
      </c>
      <c r="M512" s="340" t="s">
        <v>301</v>
      </c>
      <c r="N512" s="1390"/>
      <c r="O512" s="2479"/>
      <c r="P512" s="2282"/>
      <c r="AA512" s="338">
        <v>146.04</v>
      </c>
      <c r="AB512" s="338" t="s">
        <v>302</v>
      </c>
      <c r="AG512" s="2297">
        <v>36.130000000000003</v>
      </c>
      <c r="AH512" s="2297" t="s">
        <v>304</v>
      </c>
      <c r="AI512" s="1390"/>
      <c r="AJ512" s="2282"/>
      <c r="AK512" s="2282"/>
      <c r="AL512" s="1037"/>
      <c r="AR512" s="338">
        <v>93.26</v>
      </c>
      <c r="AS512" s="338" t="s">
        <v>331</v>
      </c>
      <c r="AX512" s="340">
        <v>110.03</v>
      </c>
      <c r="AY512" s="340" t="s">
        <v>297</v>
      </c>
      <c r="BC512" s="341" t="str">
        <f t="array" ref="BC512">IFERROR(IF($BC$11="Yes",INDEX($AX$13:$AX$2950,SMALL(IF((County=$AY$13:$AY$2950),MATCH(ROW($AY$13:$AY$2950),ROW($AY$13:$AY$2950)),""),ROWS($A$13:$A570))),""),"")</f>
        <v/>
      </c>
      <c r="BH512" s="338">
        <v>126.02</v>
      </c>
      <c r="BI512" s="338" t="s">
        <v>344</v>
      </c>
      <c r="BN512" s="340">
        <v>27.38</v>
      </c>
      <c r="BO512" s="340" t="s">
        <v>347</v>
      </c>
      <c r="BP512" s="1385"/>
      <c r="BQ512" s="1389"/>
      <c r="BR512" s="6"/>
      <c r="BV512" s="338">
        <v>606.03</v>
      </c>
      <c r="BW512" s="338" t="s">
        <v>289</v>
      </c>
      <c r="CB512" s="340">
        <v>111.07</v>
      </c>
      <c r="CC512" s="340" t="s">
        <v>297</v>
      </c>
      <c r="CE512" s="341" t="str">
        <f t="array" ref="CE512">IFERROR(IF($CE$11="Metro",INDEX($BV$13:$BV$4972,SMALL(IF((County=$BW$13:$BW$4972),MATCH(ROW($BW$13:$BW$4972),ROW($BW$13:$BW$4972)),""),ROWS($A$13:$A570))),INDEX($BY$13:$BY$212,SMALL(IF((County=$BZ$13:$BZ$212),MATCH(ROW($BZ$13:$BZ$212),ROW($BZ$13:$BZ$212)),""),ROWS($A$13:$A570)))),"")</f>
        <v/>
      </c>
      <c r="CG512" s="341" t="str">
        <f t="array" ref="CG512">IFERROR(IF($CG$11="Yes",INDEX($CB$13:$CB$2950,SMALL(IF((County=$CC$13:$CC$2950),MATCH(ROW($CC$13:$CC$2950),ROW($CC$13:$CC$2950)),""),ROWS($A$13:$A570))),""),"")</f>
        <v/>
      </c>
      <c r="CL512" s="236">
        <v>14.04</v>
      </c>
      <c r="CM512" s="236" t="s">
        <v>328</v>
      </c>
      <c r="CR512" s="340">
        <v>27.36</v>
      </c>
      <c r="CS512" s="340" t="s">
        <v>347</v>
      </c>
      <c r="CT512" s="1384"/>
      <c r="CZ512" s="1795">
        <v>25.02</v>
      </c>
      <c r="DA512" s="338" t="s">
        <v>331</v>
      </c>
      <c r="DF512" s="340">
        <v>1108</v>
      </c>
      <c r="DG512" s="340" t="s">
        <v>298</v>
      </c>
      <c r="DP512" s="236">
        <v>133.02000000000001</v>
      </c>
      <c r="DQ512" s="236" t="s">
        <v>302</v>
      </c>
      <c r="DV512" s="340">
        <v>36.11</v>
      </c>
      <c r="DW512" s="340" t="s">
        <v>304</v>
      </c>
      <c r="DX512" s="1671"/>
      <c r="EB512" s="618"/>
      <c r="EC512" s="618"/>
      <c r="ED512" s="618"/>
      <c r="EE512" s="618"/>
      <c r="EF512" s="618"/>
      <c r="EG512" s="618"/>
      <c r="EH512" s="618"/>
      <c r="EI512" s="618"/>
      <c r="EJ512" s="618"/>
      <c r="EK512" s="618"/>
      <c r="EL512" s="618"/>
      <c r="EM512" s="618"/>
    </row>
    <row r="513" spans="6:143">
      <c r="F513" s="338">
        <v>100.1</v>
      </c>
      <c r="G513" s="338" t="s">
        <v>331</v>
      </c>
      <c r="L513" s="2481">
        <v>9702.01</v>
      </c>
      <c r="M513" s="340" t="s">
        <v>301</v>
      </c>
      <c r="N513" s="1390"/>
      <c r="O513" s="2479"/>
      <c r="P513" s="2282"/>
      <c r="AA513" s="338">
        <v>146.05000000000001</v>
      </c>
      <c r="AB513" s="338" t="s">
        <v>338</v>
      </c>
      <c r="AG513" s="2297">
        <v>37</v>
      </c>
      <c r="AH513" s="2297" t="s">
        <v>304</v>
      </c>
      <c r="AI513" s="1390"/>
      <c r="AJ513" s="2282"/>
      <c r="AK513" s="2282"/>
      <c r="AL513" s="1037"/>
      <c r="AR513" s="338">
        <v>93.27</v>
      </c>
      <c r="AS513" s="338" t="s">
        <v>331</v>
      </c>
      <c r="AX513" s="340">
        <v>111.07</v>
      </c>
      <c r="AY513" s="340" t="s">
        <v>297</v>
      </c>
      <c r="BC513" s="341" t="str">
        <f t="array" ref="BC513">IFERROR(IF($BC$11="Yes",INDEX($AX$13:$AX$2950,SMALL(IF((County=$AY$13:$AY$2950),MATCH(ROW($AY$13:$AY$2950),ROW($AY$13:$AY$2950)),""),ROWS($A$13:$A571))),""),"")</f>
        <v/>
      </c>
      <c r="BH513" s="338">
        <v>129</v>
      </c>
      <c r="BI513" s="338" t="s">
        <v>316</v>
      </c>
      <c r="BN513" s="340">
        <v>27.42</v>
      </c>
      <c r="BO513" s="340" t="s">
        <v>347</v>
      </c>
      <c r="BP513" s="1385"/>
      <c r="BQ513" s="1389"/>
      <c r="BR513" s="6"/>
      <c r="BV513" s="338">
        <v>606.04999999999995</v>
      </c>
      <c r="BW513" s="338" t="s">
        <v>289</v>
      </c>
      <c r="CB513" s="340">
        <v>111.09</v>
      </c>
      <c r="CC513" s="340" t="s">
        <v>297</v>
      </c>
      <c r="CE513" s="341" t="str">
        <f t="array" ref="CE513">IFERROR(IF($CE$11="Metro",INDEX($BV$13:$BV$4972,SMALL(IF((County=$BW$13:$BW$4972),MATCH(ROW($BW$13:$BW$4972),ROW($BW$13:$BW$4972)),""),ROWS($A$13:$A571))),INDEX($BY$13:$BY$212,SMALL(IF((County=$BZ$13:$BZ$212),MATCH(ROW($BZ$13:$BZ$212),ROW($BZ$13:$BZ$212)),""),ROWS($A$13:$A571)))),"")</f>
        <v/>
      </c>
      <c r="CG513" s="341" t="str">
        <f t="array" ref="CG513">IFERROR(IF($CG$11="Yes",INDEX($CB$13:$CB$2950,SMALL(IF((County=$CC$13:$CC$2950),MATCH(ROW($CC$13:$CC$2950),ROW($CC$13:$CC$2950)),""),ROWS($A$13:$A571))),""),"")</f>
        <v/>
      </c>
      <c r="CL513" s="236">
        <v>14.04</v>
      </c>
      <c r="CM513" s="236" t="s">
        <v>329</v>
      </c>
      <c r="CR513" s="340">
        <v>27.37</v>
      </c>
      <c r="CS513" s="340" t="s">
        <v>347</v>
      </c>
      <c r="CT513" s="1384"/>
      <c r="CZ513" s="1795">
        <v>28</v>
      </c>
      <c r="DA513" s="338" t="s">
        <v>331</v>
      </c>
      <c r="DF513" s="340">
        <v>1109.03</v>
      </c>
      <c r="DG513" s="340" t="s">
        <v>298</v>
      </c>
      <c r="DP513" s="236">
        <v>133.16999999999999</v>
      </c>
      <c r="DQ513" s="236" t="s">
        <v>316</v>
      </c>
      <c r="DV513" s="340">
        <v>36.119999999999997</v>
      </c>
      <c r="DW513" s="340" t="s">
        <v>304</v>
      </c>
      <c r="DX513" s="1671"/>
      <c r="EB513" s="618"/>
      <c r="EC513" s="618"/>
      <c r="ED513" s="618"/>
      <c r="EE513" s="618"/>
      <c r="EF513" s="618"/>
      <c r="EG513" s="618"/>
      <c r="EH513" s="618"/>
      <c r="EI513" s="618"/>
      <c r="EJ513" s="618"/>
      <c r="EK513" s="618"/>
      <c r="EL513" s="618"/>
      <c r="EM513" s="618"/>
    </row>
    <row r="514" spans="6:143">
      <c r="F514" s="338">
        <v>100.15</v>
      </c>
      <c r="G514" s="338" t="s">
        <v>331</v>
      </c>
      <c r="L514" s="2481">
        <v>9702.02</v>
      </c>
      <c r="M514" s="340" t="s">
        <v>301</v>
      </c>
      <c r="N514" s="1390"/>
      <c r="O514" s="2479"/>
      <c r="P514" s="2282"/>
      <c r="AA514" s="338">
        <v>146.06</v>
      </c>
      <c r="AB514" s="338" t="s">
        <v>338</v>
      </c>
      <c r="AG514" s="2297">
        <v>37.03</v>
      </c>
      <c r="AH514" s="2297" t="s">
        <v>331</v>
      </c>
      <c r="AI514" s="1390"/>
      <c r="AJ514" s="2282"/>
      <c r="AK514" s="2282"/>
      <c r="AL514" s="1037"/>
      <c r="AR514" s="338">
        <v>95.05</v>
      </c>
      <c r="AS514" s="338" t="s">
        <v>331</v>
      </c>
      <c r="AX514" s="340">
        <v>111.09</v>
      </c>
      <c r="AY514" s="340" t="s">
        <v>297</v>
      </c>
      <c r="BC514" s="1383" t="s">
        <v>2328</v>
      </c>
      <c r="BH514" s="338">
        <v>130.02000000000001</v>
      </c>
      <c r="BI514" s="338" t="s">
        <v>344</v>
      </c>
      <c r="BN514" s="340">
        <v>27.45</v>
      </c>
      <c r="BO514" s="340" t="s">
        <v>347</v>
      </c>
      <c r="BP514" s="1385"/>
      <c r="BQ514" s="1389"/>
      <c r="BR514" s="6"/>
      <c r="BV514" s="338">
        <v>606.05999999999995</v>
      </c>
      <c r="BW514" s="338" t="s">
        <v>289</v>
      </c>
      <c r="CB514" s="340">
        <v>111.11</v>
      </c>
      <c r="CC514" s="340" t="s">
        <v>297</v>
      </c>
      <c r="CE514" s="341" t="str">
        <f t="array" ref="CE514">IFERROR(IF($CE$11="Metro",INDEX($BV$13:$BV$4972,SMALL(IF((County=$BW$13:$BW$4972),MATCH(ROW($BW$13:$BW$4972),ROW($BW$13:$BW$4972)),""),ROWS($A$13:$A572))),INDEX($BY$13:$BY$212,SMALL(IF((County=$BZ$13:$BZ$212),MATCH(ROW($BZ$13:$BZ$212),ROW($BZ$13:$BZ$212)),""),ROWS($A$13:$A572)))),"")</f>
        <v/>
      </c>
      <c r="CG514" s="1383" t="s">
        <v>2328</v>
      </c>
      <c r="CL514" s="236">
        <v>14.04</v>
      </c>
      <c r="CM514" s="236" t="s">
        <v>330</v>
      </c>
      <c r="CR514" s="340">
        <v>27.38</v>
      </c>
      <c r="CS514" s="340" t="s">
        <v>347</v>
      </c>
      <c r="CT514" s="1384"/>
      <c r="CZ514" s="1795">
        <v>29</v>
      </c>
      <c r="DA514" s="338" t="s">
        <v>331</v>
      </c>
      <c r="DF514" s="340">
        <v>1109.04</v>
      </c>
      <c r="DG514" s="340" t="s">
        <v>298</v>
      </c>
      <c r="DP514" s="236">
        <v>134</v>
      </c>
      <c r="DQ514" s="236" t="s">
        <v>331</v>
      </c>
      <c r="DV514" s="340">
        <v>36.130000000000003</v>
      </c>
      <c r="DW514" s="340" t="s">
        <v>304</v>
      </c>
      <c r="DX514" s="1671"/>
      <c r="EB514" s="618"/>
      <c r="EC514" s="618"/>
      <c r="ED514" s="618"/>
      <c r="EE514" s="618"/>
      <c r="EF514" s="618"/>
      <c r="EG514" s="618"/>
      <c r="EH514" s="618"/>
      <c r="EI514" s="618"/>
      <c r="EJ514" s="618"/>
      <c r="EK514" s="618"/>
      <c r="EL514" s="618"/>
      <c r="EM514" s="618"/>
    </row>
    <row r="515" spans="6:143">
      <c r="F515" s="338">
        <v>100.19</v>
      </c>
      <c r="G515" s="338" t="s">
        <v>331</v>
      </c>
      <c r="L515" s="2481">
        <v>7</v>
      </c>
      <c r="M515" s="340" t="s">
        <v>302</v>
      </c>
      <c r="N515" s="1390"/>
      <c r="O515" s="2479"/>
      <c r="P515" s="2282"/>
      <c r="AA515" s="338">
        <v>146.08000000000001</v>
      </c>
      <c r="AB515" s="338" t="s">
        <v>338</v>
      </c>
      <c r="AG515" s="2297">
        <v>37.049999999999997</v>
      </c>
      <c r="AH515" s="2297" t="s">
        <v>331</v>
      </c>
      <c r="AI515" s="1390"/>
      <c r="AJ515" s="2282"/>
      <c r="AK515" s="2282"/>
      <c r="AL515" s="1037"/>
      <c r="AR515" s="338">
        <v>95.06</v>
      </c>
      <c r="AS515" s="338" t="s">
        <v>331</v>
      </c>
      <c r="AX515" s="340">
        <v>111.11</v>
      </c>
      <c r="AY515" s="340" t="s">
        <v>297</v>
      </c>
      <c r="BH515" s="338">
        <v>131.02000000000001</v>
      </c>
      <c r="BI515" s="338" t="s">
        <v>344</v>
      </c>
      <c r="BN515" s="340">
        <v>27.47</v>
      </c>
      <c r="BO515" s="340" t="s">
        <v>347</v>
      </c>
      <c r="BP515" s="1385"/>
      <c r="BQ515" s="1389"/>
      <c r="BR515" s="6"/>
      <c r="BV515" s="338">
        <v>606.07000000000005</v>
      </c>
      <c r="BW515" s="338" t="s">
        <v>289</v>
      </c>
      <c r="CB515" s="340">
        <v>111.12</v>
      </c>
      <c r="CC515" s="340" t="s">
        <v>297</v>
      </c>
      <c r="CE515" s="341" t="str">
        <f t="array" ref="CE515">IFERROR(IF($CE$11="Metro",INDEX($BV$13:$BV$4972,SMALL(IF((County=$BW$13:$BW$4972),MATCH(ROW($BW$13:$BW$4972),ROW($BW$13:$BW$4972)),""),ROWS($A$13:$A573))),INDEX($BY$13:$BY$212,SMALL(IF((County=$BZ$13:$BZ$212),MATCH(ROW($BZ$13:$BZ$212),ROW($BZ$13:$BZ$212)),""),ROWS($A$13:$A573)))),"")</f>
        <v/>
      </c>
      <c r="CL515" s="236">
        <v>14.04</v>
      </c>
      <c r="CM515" s="236" t="s">
        <v>340</v>
      </c>
      <c r="CR515" s="340">
        <v>27.42</v>
      </c>
      <c r="CS515" s="340" t="s">
        <v>347</v>
      </c>
      <c r="CT515" s="1384"/>
      <c r="CZ515" s="1795">
        <v>30.04</v>
      </c>
      <c r="DA515" s="338" t="s">
        <v>331</v>
      </c>
      <c r="DF515" s="340">
        <v>101.01</v>
      </c>
      <c r="DG515" s="340" t="s">
        <v>300</v>
      </c>
      <c r="DP515" s="236">
        <v>134</v>
      </c>
      <c r="DQ515" s="236" t="s">
        <v>344</v>
      </c>
      <c r="DV515" s="340">
        <v>37</v>
      </c>
      <c r="DW515" s="340" t="s">
        <v>304</v>
      </c>
      <c r="DX515" s="1671"/>
      <c r="EB515" s="618"/>
      <c r="EC515" s="618"/>
      <c r="ED515" s="618"/>
      <c r="EE515" s="618"/>
      <c r="EF515" s="618"/>
      <c r="EG515" s="618"/>
      <c r="EH515" s="618"/>
      <c r="EI515" s="618"/>
      <c r="EJ515" s="618"/>
      <c r="EK515" s="618"/>
      <c r="EL515" s="618"/>
      <c r="EM515" s="618"/>
    </row>
    <row r="516" spans="6:143">
      <c r="F516" s="338">
        <v>100.23</v>
      </c>
      <c r="G516" s="338" t="s">
        <v>331</v>
      </c>
      <c r="L516" s="2481">
        <v>8</v>
      </c>
      <c r="M516" s="340" t="s">
        <v>302</v>
      </c>
      <c r="N516" s="1390"/>
      <c r="O516" s="2479"/>
      <c r="P516" s="2282"/>
      <c r="AA516" s="338">
        <v>146.09</v>
      </c>
      <c r="AB516" s="338" t="s">
        <v>338</v>
      </c>
      <c r="AG516" s="2297">
        <v>37.06</v>
      </c>
      <c r="AH516" s="2297" t="s">
        <v>331</v>
      </c>
      <c r="AI516" s="1390"/>
      <c r="AJ516" s="2282"/>
      <c r="AK516" s="2282"/>
      <c r="AL516" s="1037"/>
      <c r="AR516" s="338">
        <v>96.01</v>
      </c>
      <c r="AS516" s="338" t="s">
        <v>331</v>
      </c>
      <c r="AX516" s="340">
        <v>111.12</v>
      </c>
      <c r="AY516" s="340" t="s">
        <v>297</v>
      </c>
      <c r="BH516" s="338">
        <v>131.03</v>
      </c>
      <c r="BI516" s="338" t="s">
        <v>344</v>
      </c>
      <c r="BN516" s="340">
        <v>28</v>
      </c>
      <c r="BO516" s="340" t="s">
        <v>316</v>
      </c>
      <c r="BP516" s="1385"/>
      <c r="BQ516" s="1389"/>
      <c r="BR516" s="6"/>
      <c r="BV516" s="338">
        <v>606.08000000000004</v>
      </c>
      <c r="BW516" s="338" t="s">
        <v>289</v>
      </c>
      <c r="CB516" s="340">
        <v>111.13</v>
      </c>
      <c r="CC516" s="340" t="s">
        <v>297</v>
      </c>
      <c r="CE516" s="341" t="str">
        <f t="array" ref="CE516">IFERROR(IF($CE$11="Metro",INDEX($BV$13:$BV$4972,SMALL(IF((County=$BW$13:$BW$4972),MATCH(ROW($BW$13:$BW$4972),ROW($BW$13:$BW$4972)),""),ROWS($A$13:$A574))),INDEX($BY$13:$BY$212,SMALL(IF((County=$BZ$13:$BZ$212),MATCH(ROW($BZ$13:$BZ$212),ROW($BZ$13:$BZ$212)),""),ROWS($A$13:$A574)))),"")</f>
        <v/>
      </c>
      <c r="CL516" s="236">
        <v>14.04</v>
      </c>
      <c r="CM516" s="236" t="s">
        <v>347</v>
      </c>
      <c r="CR516" s="340">
        <v>27.44</v>
      </c>
      <c r="CS516" s="340" t="s">
        <v>347</v>
      </c>
      <c r="CT516" s="1384"/>
      <c r="CZ516" s="1795">
        <v>30.06</v>
      </c>
      <c r="DA516" s="338" t="s">
        <v>331</v>
      </c>
      <c r="DF516" s="340">
        <v>104.03</v>
      </c>
      <c r="DG516" s="340" t="s">
        <v>300</v>
      </c>
      <c r="DP516" s="236">
        <v>134.02000000000001</v>
      </c>
      <c r="DQ516" s="236" t="s">
        <v>302</v>
      </c>
      <c r="DV516" s="340">
        <v>37.03</v>
      </c>
      <c r="DW516" s="340" t="s">
        <v>331</v>
      </c>
      <c r="DX516" s="1671"/>
      <c r="EB516" s="618"/>
      <c r="EC516" s="618"/>
      <c r="ED516" s="618"/>
      <c r="EE516" s="618"/>
      <c r="EF516" s="618"/>
      <c r="EG516" s="618"/>
      <c r="EH516" s="618"/>
      <c r="EI516" s="618"/>
      <c r="EJ516" s="618"/>
      <c r="EK516" s="618"/>
      <c r="EL516" s="618"/>
      <c r="EM516" s="618"/>
    </row>
    <row r="517" spans="6:143">
      <c r="F517" s="338">
        <v>100.24</v>
      </c>
      <c r="G517" s="338" t="s">
        <v>331</v>
      </c>
      <c r="L517" s="2481">
        <v>11</v>
      </c>
      <c r="M517" s="340" t="s">
        <v>302</v>
      </c>
      <c r="N517" s="1390"/>
      <c r="O517" s="2479"/>
      <c r="P517" s="2282"/>
      <c r="AA517" s="338">
        <v>147.01</v>
      </c>
      <c r="AB517" s="338" t="s">
        <v>338</v>
      </c>
      <c r="AG517" s="2297">
        <v>37.07</v>
      </c>
      <c r="AH517" s="2297" t="s">
        <v>331</v>
      </c>
      <c r="AI517" s="1390"/>
      <c r="AJ517" s="2282"/>
      <c r="AK517" s="2282"/>
      <c r="AL517" s="1037"/>
      <c r="AR517" s="338">
        <v>96.02</v>
      </c>
      <c r="AS517" s="338" t="s">
        <v>331</v>
      </c>
      <c r="AX517" s="340">
        <v>111.13</v>
      </c>
      <c r="AY517" s="340" t="s">
        <v>297</v>
      </c>
      <c r="BH517" s="338">
        <v>132</v>
      </c>
      <c r="BI517" s="338" t="s">
        <v>344</v>
      </c>
      <c r="BN517" s="340">
        <v>28.02</v>
      </c>
      <c r="BO517" s="340" t="s">
        <v>304</v>
      </c>
      <c r="BP517" s="1385"/>
      <c r="BQ517" s="1389"/>
      <c r="BR517" s="6"/>
      <c r="BV517" s="338">
        <v>606.09</v>
      </c>
      <c r="BW517" s="338" t="s">
        <v>289</v>
      </c>
      <c r="CB517" s="340">
        <v>112.06</v>
      </c>
      <c r="CC517" s="340" t="s">
        <v>297</v>
      </c>
      <c r="CE517" s="341" t="str">
        <f t="array" ref="CE517">IFERROR(IF($CE$11="Metro",INDEX($BV$13:$BV$4972,SMALL(IF((County=$BW$13:$BW$4972),MATCH(ROW($BW$13:$BW$4972),ROW($BW$13:$BW$4972)),""),ROWS($A$13:$A575))),INDEX($BY$13:$BY$212,SMALL(IF((County=$BZ$13:$BZ$212),MATCH(ROW($BZ$13:$BZ$212),ROW($BZ$13:$BZ$212)),""),ROWS($A$13:$A575)))),"")</f>
        <v/>
      </c>
      <c r="CL517" s="236">
        <v>14.05</v>
      </c>
      <c r="CM517" s="236" t="s">
        <v>328</v>
      </c>
      <c r="CR517" s="340">
        <v>27.47</v>
      </c>
      <c r="CS517" s="340" t="s">
        <v>347</v>
      </c>
      <c r="CT517" s="1384"/>
      <c r="CZ517" s="1795">
        <v>31</v>
      </c>
      <c r="DA517" s="338" t="s">
        <v>331</v>
      </c>
      <c r="DF517" s="340">
        <v>104.06</v>
      </c>
      <c r="DG517" s="340" t="s">
        <v>300</v>
      </c>
      <c r="DP517" s="236">
        <v>134.03</v>
      </c>
      <c r="DQ517" s="236" t="s">
        <v>302</v>
      </c>
      <c r="DV517" s="340">
        <v>37.04</v>
      </c>
      <c r="DW517" s="340" t="s">
        <v>331</v>
      </c>
      <c r="DX517" s="1671"/>
      <c r="EB517" s="618"/>
      <c r="EC517" s="618"/>
      <c r="ED517" s="618"/>
      <c r="EE517" s="618"/>
      <c r="EF517" s="618"/>
      <c r="EG517" s="618"/>
      <c r="EH517" s="618"/>
      <c r="EI517" s="618"/>
      <c r="EJ517" s="618"/>
      <c r="EK517" s="618"/>
      <c r="EL517" s="618"/>
      <c r="EM517" s="618"/>
    </row>
    <row r="518" spans="6:143">
      <c r="F518" s="338">
        <v>100.26</v>
      </c>
      <c r="G518" s="338" t="s">
        <v>331</v>
      </c>
      <c r="L518" s="2481">
        <v>12</v>
      </c>
      <c r="M518" s="340" t="s">
        <v>302</v>
      </c>
      <c r="N518" s="1390"/>
      <c r="O518" s="2479"/>
      <c r="P518" s="2282"/>
      <c r="AA518" s="338">
        <v>147.02000000000001</v>
      </c>
      <c r="AB518" s="338" t="s">
        <v>338</v>
      </c>
      <c r="AG518" s="2297">
        <v>37.08</v>
      </c>
      <c r="AH518" s="2297" t="s">
        <v>331</v>
      </c>
      <c r="AI518" s="1390"/>
      <c r="AJ518" s="2282"/>
      <c r="AK518" s="2282"/>
      <c r="AL518" s="1037"/>
      <c r="AR518" s="338">
        <v>97.05</v>
      </c>
      <c r="AS518" s="338" t="s">
        <v>331</v>
      </c>
      <c r="AX518" s="340">
        <v>112.06</v>
      </c>
      <c r="AY518" s="340" t="s">
        <v>297</v>
      </c>
      <c r="BH518" s="338">
        <v>133</v>
      </c>
      <c r="BI518" s="338" t="s">
        <v>344</v>
      </c>
      <c r="BN518" s="340">
        <v>28.04</v>
      </c>
      <c r="BO518" s="340" t="s">
        <v>304</v>
      </c>
      <c r="BP518" s="1385"/>
      <c r="BQ518" s="1389"/>
      <c r="BR518" s="6"/>
      <c r="BV518" s="338">
        <v>607</v>
      </c>
      <c r="BW518" s="338" t="s">
        <v>289</v>
      </c>
      <c r="CB518" s="340">
        <v>112.07</v>
      </c>
      <c r="CC518" s="340" t="s">
        <v>297</v>
      </c>
      <c r="CE518" s="341" t="str">
        <f t="array" ref="CE518">IFERROR(IF($CE$11="Metro",INDEX($BV$13:$BV$4972,SMALL(IF((County=$BW$13:$BW$4972),MATCH(ROW($BW$13:$BW$4972),ROW($BW$13:$BW$4972)),""),ROWS($A$13:$A576))),INDEX($BY$13:$BY$212,SMALL(IF((County=$BZ$13:$BZ$212),MATCH(ROW($BZ$13:$BZ$212),ROW($BZ$13:$BZ$212)),""),ROWS($A$13:$A576)))),"")</f>
        <v/>
      </c>
      <c r="CL518" s="236">
        <v>14.05</v>
      </c>
      <c r="CM518" s="236" t="s">
        <v>347</v>
      </c>
      <c r="CR518" s="340">
        <v>27.48</v>
      </c>
      <c r="CS518" s="340" t="s">
        <v>347</v>
      </c>
      <c r="CT518" s="1384"/>
      <c r="CZ518" s="1795">
        <v>34</v>
      </c>
      <c r="DA518" s="338" t="s">
        <v>331</v>
      </c>
      <c r="DF518" s="340">
        <v>9702.01</v>
      </c>
      <c r="DG518" s="340" t="s">
        <v>301</v>
      </c>
      <c r="DP518" s="236">
        <v>134.04</v>
      </c>
      <c r="DQ518" s="236" t="s">
        <v>302</v>
      </c>
      <c r="DV518" s="340">
        <v>37.049999999999997</v>
      </c>
      <c r="DW518" s="340" t="s">
        <v>331</v>
      </c>
      <c r="DX518" s="1671"/>
      <c r="EB518" s="618"/>
      <c r="EC518" s="618"/>
      <c r="ED518" s="618"/>
      <c r="EE518" s="618"/>
      <c r="EF518" s="618"/>
      <c r="EG518" s="618"/>
      <c r="EH518" s="618"/>
      <c r="EI518" s="618"/>
      <c r="EJ518" s="618"/>
      <c r="EK518" s="618"/>
      <c r="EL518" s="618"/>
      <c r="EM518" s="618"/>
    </row>
    <row r="519" spans="6:143">
      <c r="F519" s="338">
        <v>102.07</v>
      </c>
      <c r="G519" s="338" t="s">
        <v>331</v>
      </c>
      <c r="L519" s="2481">
        <v>21.01</v>
      </c>
      <c r="M519" s="340" t="s">
        <v>302</v>
      </c>
      <c r="N519" s="1390"/>
      <c r="O519" s="2479"/>
      <c r="P519" s="2282"/>
      <c r="AA519" s="338">
        <v>148</v>
      </c>
      <c r="AB519" s="338" t="s">
        <v>302</v>
      </c>
      <c r="AG519" s="2297">
        <v>37.090000000000003</v>
      </c>
      <c r="AH519" s="2297" t="s">
        <v>331</v>
      </c>
      <c r="AI519" s="1390"/>
      <c r="AJ519" s="2282"/>
      <c r="AK519" s="2282"/>
      <c r="AL519" s="1037"/>
      <c r="AR519" s="338">
        <v>100.1</v>
      </c>
      <c r="AS519" s="338" t="s">
        <v>331</v>
      </c>
      <c r="AX519" s="340">
        <v>112.07</v>
      </c>
      <c r="AY519" s="340" t="s">
        <v>297</v>
      </c>
      <c r="BH519" s="338">
        <v>133.16999999999999</v>
      </c>
      <c r="BI519" s="338" t="s">
        <v>316</v>
      </c>
      <c r="BN519" s="340">
        <v>33</v>
      </c>
      <c r="BO519" s="340" t="s">
        <v>340</v>
      </c>
      <c r="BP519" s="1385"/>
      <c r="BQ519" s="1389"/>
      <c r="BR519" s="6"/>
      <c r="BV519" s="338">
        <v>608.01</v>
      </c>
      <c r="BW519" s="338" t="s">
        <v>289</v>
      </c>
      <c r="CB519" s="340">
        <v>112.08</v>
      </c>
      <c r="CC519" s="340" t="s">
        <v>297</v>
      </c>
      <c r="CE519" s="341" t="str">
        <f t="array" ref="CE519">IFERROR(IF($CE$11="Metro",INDEX($BV$13:$BV$4972,SMALL(IF((County=$BW$13:$BW$4972),MATCH(ROW($BW$13:$BW$4972),ROW($BW$13:$BW$4972)),""),ROWS($A$13:$A577))),INDEX($BY$13:$BY$212,SMALL(IF((County=$BZ$13:$BZ$212),MATCH(ROW($BZ$13:$BZ$212),ROW($BZ$13:$BZ$212)),""),ROWS($A$13:$A577)))),"")</f>
        <v/>
      </c>
      <c r="CL519" s="236">
        <v>14.06</v>
      </c>
      <c r="CM519" s="236" t="s">
        <v>328</v>
      </c>
      <c r="CR519" s="340">
        <v>28</v>
      </c>
      <c r="CS519" s="340" t="s">
        <v>316</v>
      </c>
      <c r="CT519" s="1384"/>
      <c r="CZ519" s="1795">
        <v>36.03</v>
      </c>
      <c r="DA519" s="338" t="s">
        <v>331</v>
      </c>
      <c r="DF519" s="340">
        <v>9702.02</v>
      </c>
      <c r="DG519" s="340" t="s">
        <v>301</v>
      </c>
      <c r="DP519" s="236">
        <v>134.05000000000001</v>
      </c>
      <c r="DQ519" s="236" t="s">
        <v>338</v>
      </c>
      <c r="DV519" s="340">
        <v>37.06</v>
      </c>
      <c r="DW519" s="340" t="s">
        <v>331</v>
      </c>
      <c r="DX519" s="1671"/>
      <c r="EB519" s="618"/>
      <c r="EC519" s="618"/>
      <c r="ED519" s="618"/>
      <c r="EE519" s="618"/>
      <c r="EF519" s="618"/>
      <c r="EG519" s="618"/>
      <c r="EH519" s="618"/>
      <c r="EI519" s="618"/>
      <c r="EJ519" s="618"/>
      <c r="EK519" s="618"/>
      <c r="EL519" s="618"/>
      <c r="EM519" s="618"/>
    </row>
    <row r="520" spans="6:143">
      <c r="F520" s="338">
        <v>102.08</v>
      </c>
      <c r="G520" s="338" t="s">
        <v>331</v>
      </c>
      <c r="L520" s="2481">
        <v>21.02</v>
      </c>
      <c r="M520" s="340" t="s">
        <v>302</v>
      </c>
      <c r="N520" s="1390"/>
      <c r="O520" s="2479"/>
      <c r="P520" s="2282"/>
      <c r="AA520" s="338">
        <v>148</v>
      </c>
      <c r="AB520" s="338" t="s">
        <v>331</v>
      </c>
      <c r="AG520" s="2297">
        <v>37.1</v>
      </c>
      <c r="AH520" s="2297" t="s">
        <v>331</v>
      </c>
      <c r="AI520" s="1390"/>
      <c r="AJ520" s="2282"/>
      <c r="AK520" s="2282"/>
      <c r="AL520" s="1037"/>
      <c r="AR520" s="338">
        <v>100.15</v>
      </c>
      <c r="AS520" s="338" t="s">
        <v>331</v>
      </c>
      <c r="AX520" s="340">
        <v>112.09</v>
      </c>
      <c r="AY520" s="340" t="s">
        <v>297</v>
      </c>
      <c r="BH520" s="338">
        <v>134</v>
      </c>
      <c r="BI520" s="338" t="s">
        <v>331</v>
      </c>
      <c r="BN520" s="340">
        <v>33.01</v>
      </c>
      <c r="BO520" s="340" t="s">
        <v>304</v>
      </c>
      <c r="BP520" s="1385"/>
      <c r="BQ520" s="1389"/>
      <c r="BR520" s="6"/>
      <c r="BV520" s="338">
        <v>608.02</v>
      </c>
      <c r="BW520" s="338" t="s">
        <v>289</v>
      </c>
      <c r="CB520" s="340">
        <v>112.09</v>
      </c>
      <c r="CC520" s="340" t="s">
        <v>297</v>
      </c>
      <c r="CE520" s="341" t="str">
        <f t="array" ref="CE520">IFERROR(IF($CE$11="Metro",INDEX($BV$13:$BV$4972,SMALL(IF((County=$BW$13:$BW$4972),MATCH(ROW($BW$13:$BW$4972),ROW($BW$13:$BW$4972)),""),ROWS($A$13:$A578))),INDEX($BY$13:$BY$212,SMALL(IF((County=$BZ$13:$BZ$212),MATCH(ROW($BZ$13:$BZ$212),ROW($BZ$13:$BZ$212)),""),ROWS($A$13:$A578)))),"")</f>
        <v/>
      </c>
      <c r="CL520" s="236">
        <v>14.06</v>
      </c>
      <c r="CM520" s="236" t="s">
        <v>330</v>
      </c>
      <c r="CR520" s="340">
        <v>28.04</v>
      </c>
      <c r="CS520" s="340" t="s">
        <v>304</v>
      </c>
      <c r="CT520" s="1384"/>
      <c r="CZ520" s="1795">
        <v>36.049999999999997</v>
      </c>
      <c r="DA520" s="338" t="s">
        <v>331</v>
      </c>
      <c r="DF520" s="340">
        <v>7</v>
      </c>
      <c r="DG520" s="340" t="s">
        <v>302</v>
      </c>
      <c r="DP520" s="236">
        <v>135.03</v>
      </c>
      <c r="DQ520" s="236" t="s">
        <v>316</v>
      </c>
      <c r="DV520" s="340">
        <v>37.07</v>
      </c>
      <c r="DW520" s="340" t="s">
        <v>331</v>
      </c>
      <c r="DX520" s="1671"/>
      <c r="EB520" s="618"/>
      <c r="EC520" s="618"/>
      <c r="ED520" s="618"/>
      <c r="EE520" s="618"/>
      <c r="EF520" s="618"/>
      <c r="EG520" s="618"/>
      <c r="EH520" s="618"/>
      <c r="EI520" s="618"/>
      <c r="EJ520" s="618"/>
      <c r="EK520" s="618"/>
      <c r="EL520" s="618"/>
      <c r="EM520" s="618"/>
    </row>
    <row r="521" spans="6:143">
      <c r="F521" s="338">
        <v>102.13</v>
      </c>
      <c r="G521" s="338" t="s">
        <v>331</v>
      </c>
      <c r="L521" s="2481">
        <v>22</v>
      </c>
      <c r="M521" s="340" t="s">
        <v>302</v>
      </c>
      <c r="N521" s="1390"/>
      <c r="O521" s="2479"/>
      <c r="P521" s="2282"/>
      <c r="AA521" s="338">
        <v>149.04</v>
      </c>
      <c r="AB521" s="338" t="s">
        <v>344</v>
      </c>
      <c r="AG521" s="2297">
        <v>38</v>
      </c>
      <c r="AH521" s="2297" t="s">
        <v>304</v>
      </c>
      <c r="AI521" s="1390"/>
      <c r="AJ521" s="2282"/>
      <c r="AK521" s="2282"/>
      <c r="AL521" s="1037"/>
      <c r="AR521" s="338">
        <v>100.21</v>
      </c>
      <c r="AS521" s="338" t="s">
        <v>331</v>
      </c>
      <c r="AX521" s="340">
        <v>112.1</v>
      </c>
      <c r="AY521" s="340" t="s">
        <v>297</v>
      </c>
      <c r="BH521" s="338">
        <v>134</v>
      </c>
      <c r="BI521" s="338" t="s">
        <v>344</v>
      </c>
      <c r="BN521" s="340">
        <v>33.049999999999997</v>
      </c>
      <c r="BO521" s="340" t="s">
        <v>304</v>
      </c>
      <c r="BP521" s="1385"/>
      <c r="BQ521" s="1389"/>
      <c r="BR521" s="6"/>
      <c r="BV521" s="338">
        <v>609</v>
      </c>
      <c r="BW521" s="338" t="s">
        <v>289</v>
      </c>
      <c r="CB521" s="340">
        <v>112.1</v>
      </c>
      <c r="CC521" s="340" t="s">
        <v>297</v>
      </c>
      <c r="CE521" s="341" t="str">
        <f t="array" ref="CE521">IFERROR(IF($CE$11="Metro",INDEX($BV$13:$BV$4972,SMALL(IF((County=$BW$13:$BW$4972),MATCH(ROW($BW$13:$BW$4972),ROW($BW$13:$BW$4972)),""),ROWS($A$13:$A579))),INDEX($BY$13:$BY$212,SMALL(IF((County=$BZ$13:$BZ$212),MATCH(ROW($BZ$13:$BZ$212),ROW($BZ$13:$BZ$212)),""),ROWS($A$13:$A579)))),"")</f>
        <v/>
      </c>
      <c r="CL521" s="236">
        <v>14.07</v>
      </c>
      <c r="CM521" s="236" t="s">
        <v>330</v>
      </c>
      <c r="CR521" s="340">
        <v>32.04</v>
      </c>
      <c r="CS521" s="340" t="s">
        <v>304</v>
      </c>
      <c r="CT521" s="1384"/>
      <c r="CZ521" s="1795">
        <v>36.06</v>
      </c>
      <c r="DA521" s="338" t="s">
        <v>331</v>
      </c>
      <c r="DF521" s="340">
        <v>8</v>
      </c>
      <c r="DG521" s="340" t="s">
        <v>302</v>
      </c>
      <c r="DP521" s="236">
        <v>135.03</v>
      </c>
      <c r="DQ521" s="236" t="s">
        <v>338</v>
      </c>
      <c r="DV521" s="340">
        <v>37.08</v>
      </c>
      <c r="DW521" s="340" t="s">
        <v>331</v>
      </c>
      <c r="DX521" s="1671"/>
      <c r="EB521" s="618"/>
      <c r="EC521" s="618"/>
      <c r="ED521" s="618"/>
      <c r="EE521" s="618"/>
      <c r="EF521" s="618"/>
      <c r="EG521" s="618"/>
      <c r="EH521" s="618"/>
      <c r="EI521" s="618"/>
      <c r="EJ521" s="618"/>
      <c r="EK521" s="618"/>
      <c r="EL521" s="618"/>
      <c r="EM521" s="618"/>
    </row>
    <row r="522" spans="6:143">
      <c r="F522" s="338">
        <v>105.01</v>
      </c>
      <c r="G522" s="338" t="s">
        <v>331</v>
      </c>
      <c r="L522" s="2481">
        <v>23</v>
      </c>
      <c r="M522" s="340" t="s">
        <v>302</v>
      </c>
      <c r="N522" s="1390"/>
      <c r="O522" s="2479"/>
      <c r="P522" s="2282"/>
      <c r="AA522" s="338">
        <v>149.08000000000001</v>
      </c>
      <c r="AB522" s="338" t="s">
        <v>338</v>
      </c>
      <c r="AG522" s="2297">
        <v>38</v>
      </c>
      <c r="AH522" s="2297" t="s">
        <v>316</v>
      </c>
      <c r="AI522" s="1390"/>
      <c r="AJ522" s="2282"/>
      <c r="AK522" s="2282"/>
      <c r="AL522" s="1037"/>
      <c r="AR522" s="338">
        <v>100.22</v>
      </c>
      <c r="AS522" s="338" t="s">
        <v>331</v>
      </c>
      <c r="AX522" s="340">
        <v>112.12</v>
      </c>
      <c r="AY522" s="340" t="s">
        <v>297</v>
      </c>
      <c r="BH522" s="338">
        <v>134.02000000000001</v>
      </c>
      <c r="BI522" s="338" t="s">
        <v>302</v>
      </c>
      <c r="BN522" s="340">
        <v>33.1</v>
      </c>
      <c r="BO522" s="340" t="s">
        <v>304</v>
      </c>
      <c r="BP522" s="1385"/>
      <c r="BQ522" s="1389"/>
      <c r="BR522" s="6"/>
      <c r="BV522" s="338">
        <v>610.01</v>
      </c>
      <c r="BW522" s="338" t="s">
        <v>289</v>
      </c>
      <c r="CB522" s="340">
        <v>112.12</v>
      </c>
      <c r="CC522" s="340" t="s">
        <v>297</v>
      </c>
      <c r="CE522" s="341" t="str">
        <f t="array" ref="CE522">IFERROR(IF($CE$11="Metro",INDEX($BV$13:$BV$4972,SMALL(IF((County=$BW$13:$BW$4972),MATCH(ROW($BW$13:$BW$4972),ROW($BW$13:$BW$4972)),""),ROWS($A$13:$A580))),INDEX($BY$13:$BY$212,SMALL(IF((County=$BZ$13:$BZ$212),MATCH(ROW($BZ$13:$BZ$212),ROW($BZ$13:$BZ$212)),""),ROWS($A$13:$A580)))),"")</f>
        <v/>
      </c>
      <c r="CL522" s="236">
        <v>14.08</v>
      </c>
      <c r="CM522" s="236" t="s">
        <v>330</v>
      </c>
      <c r="CR522" s="340">
        <v>33</v>
      </c>
      <c r="CS522" s="340" t="s">
        <v>340</v>
      </c>
      <c r="CT522" s="1384"/>
      <c r="CZ522" s="1795">
        <v>36.07</v>
      </c>
      <c r="DA522" s="338" t="s">
        <v>331</v>
      </c>
      <c r="DF522" s="340">
        <v>11</v>
      </c>
      <c r="DG522" s="340" t="s">
        <v>302</v>
      </c>
      <c r="DP522" s="236">
        <v>135.04</v>
      </c>
      <c r="DQ522" s="236" t="s">
        <v>302</v>
      </c>
      <c r="DV522" s="340">
        <v>37.090000000000003</v>
      </c>
      <c r="DW522" s="340" t="s">
        <v>331</v>
      </c>
      <c r="DX522" s="1671"/>
      <c r="EB522" s="618"/>
      <c r="EC522" s="618"/>
      <c r="ED522" s="618"/>
      <c r="EE522" s="618"/>
      <c r="EF522" s="618"/>
      <c r="EG522" s="618"/>
      <c r="EH522" s="618"/>
      <c r="EI522" s="618"/>
      <c r="EJ522" s="618"/>
      <c r="EK522" s="618"/>
      <c r="EL522" s="618"/>
      <c r="EM522" s="618"/>
    </row>
    <row r="523" spans="6:143">
      <c r="F523" s="338">
        <v>106.09</v>
      </c>
      <c r="G523" s="338" t="s">
        <v>331</v>
      </c>
      <c r="L523" s="2481">
        <v>24</v>
      </c>
      <c r="M523" s="340" t="s">
        <v>302</v>
      </c>
      <c r="N523" s="1390"/>
      <c r="O523" s="2479"/>
      <c r="P523" s="2282"/>
      <c r="AA523" s="338">
        <v>150</v>
      </c>
      <c r="AB523" s="338" t="s">
        <v>344</v>
      </c>
      <c r="AG523" s="2297">
        <v>38.01</v>
      </c>
      <c r="AH523" s="2297" t="s">
        <v>331</v>
      </c>
      <c r="AI523" s="1390"/>
      <c r="AJ523" s="2282"/>
      <c r="AK523" s="2282"/>
      <c r="AL523" s="1037"/>
      <c r="AR523" s="338">
        <v>100.23</v>
      </c>
      <c r="AS523" s="338" t="s">
        <v>331</v>
      </c>
      <c r="AX523" s="340">
        <v>112.13</v>
      </c>
      <c r="AY523" s="340" t="s">
        <v>297</v>
      </c>
      <c r="BH523" s="338">
        <v>134.03</v>
      </c>
      <c r="BI523" s="338" t="s">
        <v>338</v>
      </c>
      <c r="BN523" s="340">
        <v>33.11</v>
      </c>
      <c r="BO523" s="340" t="s">
        <v>304</v>
      </c>
      <c r="BP523" s="1385"/>
      <c r="BQ523" s="1389"/>
      <c r="BR523" s="6"/>
      <c r="BV523" s="338">
        <v>610.03</v>
      </c>
      <c r="BW523" s="338" t="s">
        <v>289</v>
      </c>
      <c r="CB523" s="340">
        <v>112.13</v>
      </c>
      <c r="CC523" s="340" t="s">
        <v>297</v>
      </c>
      <c r="CE523" s="341" t="str">
        <f t="array" ref="CE523">IFERROR(IF($CE$11="Metro",INDEX($BV$13:$BV$4972,SMALL(IF((County=$BW$13:$BW$4972),MATCH(ROW($BW$13:$BW$4972),ROW($BW$13:$BW$4972)),""),ROWS($A$13:$A581))),INDEX($BY$13:$BY$212,SMALL(IF((County=$BZ$13:$BZ$212),MATCH(ROW($BZ$13:$BZ$212),ROW($BZ$13:$BZ$212)),""),ROWS($A$13:$A581)))),"")</f>
        <v/>
      </c>
      <c r="CL523" s="236">
        <v>14.09</v>
      </c>
      <c r="CM523" s="236" t="s">
        <v>330</v>
      </c>
      <c r="CR523" s="340">
        <v>33.01</v>
      </c>
      <c r="CS523" s="340" t="s">
        <v>304</v>
      </c>
      <c r="CT523" s="1384"/>
      <c r="CZ523" s="1795">
        <v>39.090000000000003</v>
      </c>
      <c r="DA523" s="338" t="s">
        <v>331</v>
      </c>
      <c r="DF523" s="340">
        <v>12</v>
      </c>
      <c r="DG523" s="340" t="s">
        <v>302</v>
      </c>
      <c r="DP523" s="236">
        <v>135.05000000000001</v>
      </c>
      <c r="DQ523" s="236" t="s">
        <v>316</v>
      </c>
      <c r="DV523" s="340">
        <v>37.1</v>
      </c>
      <c r="DW523" s="340" t="s">
        <v>331</v>
      </c>
      <c r="DX523" s="1671"/>
      <c r="EB523" s="618"/>
      <c r="EC523" s="618"/>
      <c r="ED523" s="618"/>
      <c r="EE523" s="618"/>
      <c r="EF523" s="618"/>
      <c r="EG523" s="618"/>
      <c r="EH523" s="618"/>
      <c r="EI523" s="618"/>
      <c r="EJ523" s="618"/>
      <c r="EK523" s="618"/>
      <c r="EL523" s="618"/>
      <c r="EM523" s="618"/>
    </row>
    <row r="524" spans="6:143">
      <c r="F524" s="338">
        <v>107.08</v>
      </c>
      <c r="G524" s="338" t="s">
        <v>331</v>
      </c>
      <c r="L524" s="2481">
        <v>25.01</v>
      </c>
      <c r="M524" s="340" t="s">
        <v>302</v>
      </c>
      <c r="N524" s="1390"/>
      <c r="O524" s="2479"/>
      <c r="P524" s="2282"/>
      <c r="AA524" s="338">
        <v>150.01</v>
      </c>
      <c r="AB524" s="338" t="s">
        <v>338</v>
      </c>
      <c r="AG524" s="2297">
        <v>38.01</v>
      </c>
      <c r="AH524" s="2297" t="s">
        <v>340</v>
      </c>
      <c r="AI524" s="1390"/>
      <c r="AJ524" s="2282"/>
      <c r="AK524" s="2282"/>
      <c r="AL524" s="1037"/>
      <c r="AR524" s="338">
        <v>100.24</v>
      </c>
      <c r="AS524" s="338" t="s">
        <v>331</v>
      </c>
      <c r="AX524" s="340">
        <v>112.14</v>
      </c>
      <c r="AY524" s="340" t="s">
        <v>297</v>
      </c>
      <c r="BH524" s="338">
        <v>134.05000000000001</v>
      </c>
      <c r="BI524" s="338" t="s">
        <v>338</v>
      </c>
      <c r="BN524" s="340">
        <v>34</v>
      </c>
      <c r="BO524" s="340" t="s">
        <v>340</v>
      </c>
      <c r="BP524" s="1385"/>
      <c r="BQ524" s="1389"/>
      <c r="BR524" s="6"/>
      <c r="BV524" s="338">
        <v>610.04</v>
      </c>
      <c r="BW524" s="338" t="s">
        <v>289</v>
      </c>
      <c r="CB524" s="340">
        <v>113.04</v>
      </c>
      <c r="CC524" s="340" t="s">
        <v>297</v>
      </c>
      <c r="CE524" s="341" t="str">
        <f t="array" ref="CE524">IFERROR(IF($CE$11="Metro",INDEX($BV$13:$BV$4972,SMALL(IF((County=$BW$13:$BW$4972),MATCH(ROW($BW$13:$BW$4972),ROW($BW$13:$BW$4972)),""),ROWS($A$13:$A582))),INDEX($BY$13:$BY$212,SMALL(IF((County=$BZ$13:$BZ$212),MATCH(ROW($BZ$13:$BZ$212),ROW($BZ$13:$BZ$212)),""),ROWS($A$13:$A582)))),"")</f>
        <v/>
      </c>
      <c r="CL524" s="236">
        <v>14.1</v>
      </c>
      <c r="CM524" s="236" t="s">
        <v>330</v>
      </c>
      <c r="CR524" s="340">
        <v>33.049999999999997</v>
      </c>
      <c r="CS524" s="340" t="s">
        <v>304</v>
      </c>
      <c r="CT524" s="1384"/>
      <c r="CZ524" s="1795">
        <v>39.11</v>
      </c>
      <c r="DA524" s="338" t="s">
        <v>331</v>
      </c>
      <c r="DF524" s="340">
        <v>21.01</v>
      </c>
      <c r="DG524" s="340" t="s">
        <v>302</v>
      </c>
      <c r="DP524" s="236">
        <v>135.11000000000001</v>
      </c>
      <c r="DQ524" s="236" t="s">
        <v>338</v>
      </c>
      <c r="DV524" s="340">
        <v>38</v>
      </c>
      <c r="DW524" s="340" t="s">
        <v>304</v>
      </c>
      <c r="DX524" s="1671"/>
      <c r="EB524" s="618"/>
      <c r="EC524" s="618"/>
      <c r="ED524" s="618"/>
      <c r="EE524" s="618"/>
      <c r="EF524" s="618"/>
      <c r="EG524" s="618"/>
      <c r="EH524" s="618"/>
      <c r="EI524" s="618"/>
      <c r="EJ524" s="618"/>
      <c r="EK524" s="618"/>
      <c r="EL524" s="618"/>
      <c r="EM524" s="618"/>
    </row>
    <row r="525" spans="6:143">
      <c r="F525" s="338">
        <v>108.04</v>
      </c>
      <c r="G525" s="338" t="s">
        <v>331</v>
      </c>
      <c r="L525" s="2481">
        <v>25.02</v>
      </c>
      <c r="M525" s="340" t="s">
        <v>302</v>
      </c>
      <c r="N525" s="1390"/>
      <c r="O525" s="2479"/>
      <c r="P525" s="2282"/>
      <c r="AA525" s="338">
        <v>151.06</v>
      </c>
      <c r="AB525" s="338" t="s">
        <v>338</v>
      </c>
      <c r="AG525" s="2297">
        <v>38.03</v>
      </c>
      <c r="AH525" s="2297" t="s">
        <v>331</v>
      </c>
      <c r="AI525" s="1390"/>
      <c r="AJ525" s="2282"/>
      <c r="AK525" s="2282"/>
      <c r="AL525" s="1037"/>
      <c r="AR525" s="338">
        <v>100.25</v>
      </c>
      <c r="AS525" s="338" t="s">
        <v>331</v>
      </c>
      <c r="AX525" s="340">
        <v>113.04</v>
      </c>
      <c r="AY525" s="340" t="s">
        <v>297</v>
      </c>
      <c r="BH525" s="338">
        <v>135</v>
      </c>
      <c r="BI525" s="338" t="s">
        <v>331</v>
      </c>
      <c r="BN525" s="340">
        <v>35.06</v>
      </c>
      <c r="BO525" s="340" t="s">
        <v>304</v>
      </c>
      <c r="BP525" s="1385"/>
      <c r="BQ525" s="1389"/>
      <c r="BR525" s="6"/>
      <c r="BV525" s="338">
        <v>611</v>
      </c>
      <c r="BW525" s="338" t="s">
        <v>289</v>
      </c>
      <c r="CB525" s="340">
        <v>1102.01</v>
      </c>
      <c r="CC525" s="340" t="s">
        <v>298</v>
      </c>
      <c r="CE525" s="341" t="str">
        <f t="array" ref="CE525">IFERROR(IF($CE$11="Metro",INDEX($BV$13:$BV$4972,SMALL(IF((County=$BW$13:$BW$4972),MATCH(ROW($BW$13:$BW$4972),ROW($BW$13:$BW$4972)),""),ROWS($A$13:$A583))),INDEX($BY$13:$BY$212,SMALL(IF((County=$BZ$13:$BZ$212),MATCH(ROW($BZ$13:$BZ$212),ROW($BZ$13:$BZ$212)),""),ROWS($A$13:$A583)))),"")</f>
        <v/>
      </c>
      <c r="CL525" s="236">
        <v>15</v>
      </c>
      <c r="CM525" s="236" t="s">
        <v>302</v>
      </c>
      <c r="CR525" s="340">
        <v>33.1</v>
      </c>
      <c r="CS525" s="340" t="s">
        <v>304</v>
      </c>
      <c r="CT525" s="1384"/>
      <c r="CZ525" s="1795">
        <v>39.130000000000003</v>
      </c>
      <c r="DA525" s="338" t="s">
        <v>331</v>
      </c>
      <c r="DF525" s="340">
        <v>21.02</v>
      </c>
      <c r="DG525" s="340" t="s">
        <v>302</v>
      </c>
      <c r="DP525" s="236">
        <v>135.12</v>
      </c>
      <c r="DQ525" s="236" t="s">
        <v>338</v>
      </c>
      <c r="DV525" s="340">
        <v>38.01</v>
      </c>
      <c r="DW525" s="340" t="s">
        <v>331</v>
      </c>
      <c r="DX525" s="1671"/>
      <c r="EB525" s="618"/>
      <c r="EC525" s="618"/>
      <c r="ED525" s="618"/>
      <c r="EE525" s="618"/>
      <c r="EF525" s="618"/>
      <c r="EG525" s="618"/>
      <c r="EH525" s="618"/>
      <c r="EI525" s="618"/>
      <c r="EJ525" s="618"/>
      <c r="EK525" s="618"/>
      <c r="EL525" s="618"/>
      <c r="EM525" s="618"/>
    </row>
    <row r="526" spans="6:143">
      <c r="F526" s="338">
        <v>108.05</v>
      </c>
      <c r="G526" s="338" t="s">
        <v>331</v>
      </c>
      <c r="L526" s="2481">
        <v>101.01</v>
      </c>
      <c r="M526" s="340" t="s">
        <v>302</v>
      </c>
      <c r="N526" s="1390"/>
      <c r="O526" s="2479"/>
      <c r="P526" s="2282"/>
      <c r="AA526" s="338">
        <v>152</v>
      </c>
      <c r="AB526" s="338" t="s">
        <v>344</v>
      </c>
      <c r="AG526" s="2297">
        <v>38.04</v>
      </c>
      <c r="AH526" s="2297" t="s">
        <v>331</v>
      </c>
      <c r="AI526" s="1390"/>
      <c r="AJ526" s="2282"/>
      <c r="AK526" s="2282"/>
      <c r="AL526" s="1037"/>
      <c r="AR526" s="338">
        <v>100.26</v>
      </c>
      <c r="AS526" s="338" t="s">
        <v>331</v>
      </c>
      <c r="AX526" s="340">
        <v>1102.01</v>
      </c>
      <c r="AY526" s="340" t="s">
        <v>298</v>
      </c>
      <c r="BH526" s="338">
        <v>135.03</v>
      </c>
      <c r="BI526" s="338" t="s">
        <v>338</v>
      </c>
      <c r="BN526" s="340">
        <v>35.07</v>
      </c>
      <c r="BO526" s="340" t="s">
        <v>304</v>
      </c>
      <c r="BP526" s="1385"/>
      <c r="BQ526" s="1389"/>
      <c r="BR526" s="6"/>
      <c r="BV526" s="338">
        <v>701.02</v>
      </c>
      <c r="BW526" s="338" t="s">
        <v>289</v>
      </c>
      <c r="CB526" s="340">
        <v>1106.02</v>
      </c>
      <c r="CC526" s="340" t="s">
        <v>298</v>
      </c>
      <c r="CE526" s="341" t="str">
        <f t="array" ref="CE526">IFERROR(IF($CE$11="Metro",INDEX($BV$13:$BV$4972,SMALL(IF((County=$BW$13:$BW$4972),MATCH(ROW($BW$13:$BW$4972),ROW($BW$13:$BW$4972)),""),ROWS($A$13:$A584))),INDEX($BY$13:$BY$212,SMALL(IF((County=$BZ$13:$BZ$212),MATCH(ROW($BZ$13:$BZ$212),ROW($BZ$13:$BZ$212)),""),ROWS($A$13:$A584)))),"")</f>
        <v/>
      </c>
      <c r="CL526" s="236">
        <v>15</v>
      </c>
      <c r="CM526" s="236" t="s">
        <v>304</v>
      </c>
      <c r="CR526" s="340">
        <v>33.11</v>
      </c>
      <c r="CS526" s="340" t="s">
        <v>304</v>
      </c>
      <c r="CT526" s="1384"/>
      <c r="CZ526" s="1795">
        <v>39.14</v>
      </c>
      <c r="DA526" s="338" t="s">
        <v>331</v>
      </c>
      <c r="DF526" s="340">
        <v>22</v>
      </c>
      <c r="DG526" s="340" t="s">
        <v>302</v>
      </c>
      <c r="DP526" s="236">
        <v>135.13</v>
      </c>
      <c r="DQ526" s="236" t="s">
        <v>338</v>
      </c>
      <c r="DV526" s="340">
        <v>38.01</v>
      </c>
      <c r="DW526" s="340" t="s">
        <v>340</v>
      </c>
      <c r="DX526" s="1671"/>
      <c r="EB526" s="618"/>
      <c r="EC526" s="618"/>
      <c r="ED526" s="618"/>
      <c r="EE526" s="618"/>
      <c r="EF526" s="618"/>
      <c r="EG526" s="618"/>
      <c r="EH526" s="618"/>
      <c r="EI526" s="618"/>
      <c r="EJ526" s="618"/>
      <c r="EK526" s="618"/>
      <c r="EL526" s="618"/>
      <c r="EM526" s="618"/>
    </row>
    <row r="527" spans="6:143">
      <c r="F527" s="338">
        <v>109</v>
      </c>
      <c r="G527" s="338" t="s">
        <v>331</v>
      </c>
      <c r="L527" s="2481">
        <v>101.04</v>
      </c>
      <c r="M527" s="340" t="s">
        <v>302</v>
      </c>
      <c r="N527" s="1390"/>
      <c r="O527" s="2479"/>
      <c r="P527" s="2282"/>
      <c r="AA527" s="338">
        <v>152.02000000000001</v>
      </c>
      <c r="AB527" s="338" t="s">
        <v>338</v>
      </c>
      <c r="AG527" s="2297">
        <v>39</v>
      </c>
      <c r="AH527" s="2297" t="s">
        <v>304</v>
      </c>
      <c r="AI527" s="1390"/>
      <c r="AJ527" s="2282"/>
      <c r="AK527" s="2282"/>
      <c r="AL527" s="1037"/>
      <c r="AR527" s="338">
        <v>102.07</v>
      </c>
      <c r="AS527" s="338" t="s">
        <v>331</v>
      </c>
      <c r="AX527" s="340">
        <v>1105</v>
      </c>
      <c r="AY527" s="340" t="s">
        <v>298</v>
      </c>
      <c r="BH527" s="338">
        <v>135.04</v>
      </c>
      <c r="BI527" s="338" t="s">
        <v>316</v>
      </c>
      <c r="BN527" s="340">
        <v>35.07</v>
      </c>
      <c r="BO527" s="340" t="s">
        <v>340</v>
      </c>
      <c r="BP527" s="1385"/>
      <c r="BQ527" s="1389"/>
      <c r="BR527" s="6"/>
      <c r="BV527" s="338">
        <v>701.03</v>
      </c>
      <c r="BW527" s="338" t="s">
        <v>289</v>
      </c>
      <c r="CB527" s="340">
        <v>1106.04</v>
      </c>
      <c r="CC527" s="340" t="s">
        <v>298</v>
      </c>
      <c r="CE527" s="341" t="str">
        <f t="array" ref="CE527">IFERROR(IF($CE$11="Metro",INDEX($BV$13:$BV$4972,SMALL(IF((County=$BW$13:$BW$4972),MATCH(ROW($BW$13:$BW$4972),ROW($BW$13:$BW$4972)),""),ROWS($A$13:$A585))),INDEX($BY$13:$BY$212,SMALL(IF((County=$BZ$13:$BZ$212),MATCH(ROW($BZ$13:$BZ$212),ROW($BZ$13:$BZ$212)),""),ROWS($A$13:$A585)))),"")</f>
        <v/>
      </c>
      <c r="CL527" s="236">
        <v>15</v>
      </c>
      <c r="CM527" s="236" t="s">
        <v>316</v>
      </c>
      <c r="CR527" s="340">
        <v>34</v>
      </c>
      <c r="CS527" s="340" t="s">
        <v>340</v>
      </c>
      <c r="CT527" s="1384"/>
      <c r="CZ527" s="1795">
        <v>41.03</v>
      </c>
      <c r="DA527" s="338" t="s">
        <v>331</v>
      </c>
      <c r="DF527" s="340">
        <v>23</v>
      </c>
      <c r="DG527" s="340" t="s">
        <v>302</v>
      </c>
      <c r="DP527" s="236">
        <v>135.25</v>
      </c>
      <c r="DQ527" s="236" t="s">
        <v>302</v>
      </c>
      <c r="DV527" s="340">
        <v>38.03</v>
      </c>
      <c r="DW527" s="340" t="s">
        <v>331</v>
      </c>
      <c r="DX527" s="1671"/>
      <c r="EB527" s="618"/>
      <c r="EC527" s="618"/>
      <c r="ED527" s="618"/>
      <c r="EE527" s="618"/>
      <c r="EF527" s="618"/>
      <c r="EG527" s="618"/>
      <c r="EH527" s="618"/>
      <c r="EI527" s="618"/>
      <c r="EJ527" s="618"/>
      <c r="EK527" s="618"/>
      <c r="EL527" s="618"/>
      <c r="EM527" s="618"/>
    </row>
    <row r="528" spans="6:143">
      <c r="F528" s="338">
        <v>110.1</v>
      </c>
      <c r="G528" s="338" t="s">
        <v>331</v>
      </c>
      <c r="L528" s="2481">
        <v>101.05</v>
      </c>
      <c r="M528" s="340" t="s">
        <v>302</v>
      </c>
      <c r="N528" s="1390"/>
      <c r="O528" s="2479"/>
      <c r="P528" s="2282"/>
      <c r="AA528" s="338">
        <v>153</v>
      </c>
      <c r="AB528" s="338" t="s">
        <v>302</v>
      </c>
      <c r="AG528" s="2297">
        <v>39.06</v>
      </c>
      <c r="AH528" s="2297" t="s">
        <v>331</v>
      </c>
      <c r="AI528" s="1390"/>
      <c r="AJ528" s="2282"/>
      <c r="AK528" s="2282"/>
      <c r="AL528" s="1037"/>
      <c r="AR528" s="338">
        <v>102.08</v>
      </c>
      <c r="AS528" s="338" t="s">
        <v>331</v>
      </c>
      <c r="AX528" s="340">
        <v>1106.02</v>
      </c>
      <c r="AY528" s="340" t="s">
        <v>298</v>
      </c>
      <c r="BH528" s="338">
        <v>135.11000000000001</v>
      </c>
      <c r="BI528" s="338" t="s">
        <v>338</v>
      </c>
      <c r="BN528" s="340">
        <v>35.090000000000003</v>
      </c>
      <c r="BO528" s="340" t="s">
        <v>304</v>
      </c>
      <c r="BP528" s="1385"/>
      <c r="BQ528" s="1389"/>
      <c r="BR528" s="6"/>
      <c r="BV528" s="338">
        <v>701.04</v>
      </c>
      <c r="BW528" s="338" t="s">
        <v>289</v>
      </c>
      <c r="CB528" s="340">
        <v>1107</v>
      </c>
      <c r="CC528" s="340" t="s">
        <v>298</v>
      </c>
      <c r="CE528" s="341" t="str">
        <f t="array" ref="CE528">IFERROR(IF($CE$11="Metro",INDEX($BV$13:$BV$4972,SMALL(IF((County=$BW$13:$BW$4972),MATCH(ROW($BW$13:$BW$4972),ROW($BW$13:$BW$4972)),""),ROWS($A$13:$A586))),INDEX($BY$13:$BY$212,SMALL(IF((County=$BZ$13:$BZ$212),MATCH(ROW($BZ$13:$BZ$212),ROW($BZ$13:$BZ$212)),""),ROWS($A$13:$A586)))),"")</f>
        <v/>
      </c>
      <c r="CL528" s="236">
        <v>15</v>
      </c>
      <c r="CM528" s="236" t="s">
        <v>324</v>
      </c>
      <c r="CR528" s="340">
        <v>35.06</v>
      </c>
      <c r="CS528" s="340" t="s">
        <v>304</v>
      </c>
      <c r="CT528" s="1384"/>
      <c r="CZ528" s="1795">
        <v>44.03</v>
      </c>
      <c r="DA528" s="338" t="s">
        <v>331</v>
      </c>
      <c r="DF528" s="340">
        <v>24</v>
      </c>
      <c r="DG528" s="340" t="s">
        <v>302</v>
      </c>
      <c r="DP528" s="236">
        <v>136</v>
      </c>
      <c r="DQ528" s="236" t="s">
        <v>331</v>
      </c>
      <c r="DV528" s="340">
        <v>38.04</v>
      </c>
      <c r="DW528" s="340" t="s">
        <v>331</v>
      </c>
      <c r="DX528" s="1671"/>
      <c r="EB528" s="618"/>
      <c r="EC528" s="618"/>
      <c r="ED528" s="618"/>
      <c r="EE528" s="618"/>
      <c r="EF528" s="618"/>
      <c r="EG528" s="618"/>
      <c r="EH528" s="618"/>
      <c r="EI528" s="618"/>
      <c r="EJ528" s="618"/>
      <c r="EK528" s="618"/>
      <c r="EL528" s="618"/>
      <c r="EM528" s="618"/>
    </row>
    <row r="529" spans="6:143">
      <c r="F529" s="338">
        <v>110.11</v>
      </c>
      <c r="G529" s="338" t="s">
        <v>331</v>
      </c>
      <c r="L529" s="2481">
        <v>101.06</v>
      </c>
      <c r="M529" s="340" t="s">
        <v>302</v>
      </c>
      <c r="N529" s="1390"/>
      <c r="O529" s="2479"/>
      <c r="P529" s="2282"/>
      <c r="AA529" s="338">
        <v>154</v>
      </c>
      <c r="AB529" s="338" t="s">
        <v>302</v>
      </c>
      <c r="AG529" s="2297">
        <v>39.090000000000003</v>
      </c>
      <c r="AH529" s="2297" t="s">
        <v>331</v>
      </c>
      <c r="AI529" s="1390"/>
      <c r="AJ529" s="2282"/>
      <c r="AK529" s="2282"/>
      <c r="AL529" s="1037"/>
      <c r="AR529" s="338">
        <v>102.13</v>
      </c>
      <c r="AS529" s="338" t="s">
        <v>331</v>
      </c>
      <c r="AX529" s="340">
        <v>1106.04</v>
      </c>
      <c r="AY529" s="340" t="s">
        <v>298</v>
      </c>
      <c r="BH529" s="338">
        <v>135.12</v>
      </c>
      <c r="BI529" s="338" t="s">
        <v>338</v>
      </c>
      <c r="BN529" s="340">
        <v>35.11</v>
      </c>
      <c r="BO529" s="340" t="s">
        <v>304</v>
      </c>
      <c r="BP529" s="1385"/>
      <c r="BQ529" s="1389"/>
      <c r="BR529" s="6"/>
      <c r="BV529" s="338">
        <v>702.04</v>
      </c>
      <c r="BW529" s="338" t="s">
        <v>289</v>
      </c>
      <c r="CB529" s="340">
        <v>1108</v>
      </c>
      <c r="CC529" s="340" t="s">
        <v>298</v>
      </c>
      <c r="CE529" s="341" t="str">
        <f t="array" ref="CE529">IFERROR(IF($CE$11="Metro",INDEX($BV$13:$BV$4972,SMALL(IF((County=$BW$13:$BW$4972),MATCH(ROW($BW$13:$BW$4972),ROW($BW$13:$BW$4972)),""),ROWS($A$13:$A587))),INDEX($BY$13:$BY$212,SMALL(IF((County=$BZ$13:$BZ$212),MATCH(ROW($BZ$13:$BZ$212),ROW($BZ$13:$BZ$212)),""),ROWS($A$13:$A587)))),"")</f>
        <v/>
      </c>
      <c r="CL529" s="236">
        <v>15</v>
      </c>
      <c r="CM529" s="236" t="s">
        <v>329</v>
      </c>
      <c r="CR529" s="340">
        <v>35.07</v>
      </c>
      <c r="CS529" s="340" t="s">
        <v>304</v>
      </c>
      <c r="CT529" s="1384"/>
      <c r="CZ529" s="1795">
        <v>44.04</v>
      </c>
      <c r="DA529" s="338" t="s">
        <v>331</v>
      </c>
      <c r="DF529" s="340">
        <v>25.01</v>
      </c>
      <c r="DG529" s="340" t="s">
        <v>302</v>
      </c>
      <c r="DP529" s="236">
        <v>136.03</v>
      </c>
      <c r="DQ529" s="236" t="s">
        <v>338</v>
      </c>
      <c r="DV529" s="340">
        <v>39.06</v>
      </c>
      <c r="DW529" s="340" t="s">
        <v>331</v>
      </c>
      <c r="DX529" s="1671"/>
      <c r="EB529" s="618"/>
      <c r="EC529" s="618"/>
      <c r="ED529" s="618"/>
      <c r="EE529" s="618"/>
      <c r="EF529" s="618"/>
      <c r="EG529" s="618"/>
      <c r="EH529" s="618"/>
      <c r="EI529" s="618"/>
      <c r="EJ529" s="618"/>
      <c r="EK529" s="618"/>
      <c r="EL529" s="618"/>
      <c r="EM529" s="618"/>
    </row>
    <row r="530" spans="6:143">
      <c r="F530" s="338">
        <v>110.12</v>
      </c>
      <c r="G530" s="338" t="s">
        <v>331</v>
      </c>
      <c r="L530" s="2481">
        <v>102.03</v>
      </c>
      <c r="M530" s="340" t="s">
        <v>302</v>
      </c>
      <c r="N530" s="1390"/>
      <c r="O530" s="2479"/>
      <c r="P530" s="2282"/>
      <c r="AA530" s="338">
        <v>154.05000000000001</v>
      </c>
      <c r="AB530" s="338" t="s">
        <v>344</v>
      </c>
      <c r="AG530" s="2297">
        <v>39.119999999999997</v>
      </c>
      <c r="AH530" s="2297" t="s">
        <v>331</v>
      </c>
      <c r="AI530" s="1390"/>
      <c r="AJ530" s="2282"/>
      <c r="AK530" s="2282"/>
      <c r="AL530" s="1037"/>
      <c r="AR530" s="338">
        <v>106.09</v>
      </c>
      <c r="AS530" s="338" t="s">
        <v>331</v>
      </c>
      <c r="AX530" s="340">
        <v>1107</v>
      </c>
      <c r="AY530" s="340" t="s">
        <v>298</v>
      </c>
      <c r="BH530" s="338">
        <v>136</v>
      </c>
      <c r="BI530" s="338" t="s">
        <v>331</v>
      </c>
      <c r="BN530" s="340">
        <v>35.119999999999997</v>
      </c>
      <c r="BO530" s="340" t="s">
        <v>304</v>
      </c>
      <c r="BP530" s="1385"/>
      <c r="BQ530" s="1389"/>
      <c r="BR530" s="6"/>
      <c r="BV530" s="338">
        <v>702.05</v>
      </c>
      <c r="BW530" s="338" t="s">
        <v>289</v>
      </c>
      <c r="CB530" s="340">
        <v>1109.03</v>
      </c>
      <c r="CC530" s="340" t="s">
        <v>298</v>
      </c>
      <c r="CE530" s="341" t="str">
        <f t="array" ref="CE530">IFERROR(IF($CE$11="Metro",INDEX($BV$13:$BV$4972,SMALL(IF((County=$BW$13:$BW$4972),MATCH(ROW($BW$13:$BW$4972),ROW($BW$13:$BW$4972)),""),ROWS($A$13:$A588))),INDEX($BY$13:$BY$212,SMALL(IF((County=$BZ$13:$BZ$212),MATCH(ROW($BZ$13:$BZ$212),ROW($BZ$13:$BZ$212)),""),ROWS($A$13:$A588)))),"")</f>
        <v/>
      </c>
      <c r="CL530" s="236">
        <v>15</v>
      </c>
      <c r="CM530" s="236" t="s">
        <v>330</v>
      </c>
      <c r="CR530" s="340">
        <v>35.07</v>
      </c>
      <c r="CS530" s="340" t="s">
        <v>340</v>
      </c>
      <c r="CT530" s="1384"/>
      <c r="CZ530" s="1795">
        <v>44.05</v>
      </c>
      <c r="DA530" s="338" t="s">
        <v>331</v>
      </c>
      <c r="DF530" s="340">
        <v>25.02</v>
      </c>
      <c r="DG530" s="340" t="s">
        <v>302</v>
      </c>
      <c r="DP530" s="236">
        <v>136.04</v>
      </c>
      <c r="DQ530" s="236" t="s">
        <v>316</v>
      </c>
      <c r="DV530" s="340">
        <v>39.090000000000003</v>
      </c>
      <c r="DW530" s="340" t="s">
        <v>331</v>
      </c>
      <c r="DX530" s="1671"/>
      <c r="EB530" s="618"/>
      <c r="EC530" s="618"/>
      <c r="ED530" s="618"/>
      <c r="EE530" s="618"/>
      <c r="EF530" s="618"/>
      <c r="EG530" s="618"/>
      <c r="EH530" s="618"/>
      <c r="EI530" s="618"/>
      <c r="EJ530" s="618"/>
      <c r="EK530" s="618"/>
      <c r="EL530" s="618"/>
      <c r="EM530" s="618"/>
    </row>
    <row r="531" spans="6:143">
      <c r="F531" s="338">
        <v>110.13</v>
      </c>
      <c r="G531" s="338" t="s">
        <v>331</v>
      </c>
      <c r="L531" s="2481">
        <v>102.04</v>
      </c>
      <c r="M531" s="340" t="s">
        <v>302</v>
      </c>
      <c r="N531" s="1390"/>
      <c r="O531" s="2479"/>
      <c r="P531" s="2282"/>
      <c r="AA531" s="338">
        <v>155</v>
      </c>
      <c r="AB531" s="338" t="s">
        <v>344</v>
      </c>
      <c r="AG531" s="2297">
        <v>39.159999999999997</v>
      </c>
      <c r="AH531" s="2297" t="s">
        <v>331</v>
      </c>
      <c r="AI531" s="1390"/>
      <c r="AJ531" s="2282"/>
      <c r="AK531" s="2282"/>
      <c r="AL531" s="1037"/>
      <c r="AR531" s="338">
        <v>107.06</v>
      </c>
      <c r="AS531" s="338" t="s">
        <v>331</v>
      </c>
      <c r="AX531" s="340">
        <v>1109.04</v>
      </c>
      <c r="AY531" s="340" t="s">
        <v>298</v>
      </c>
      <c r="BH531" s="338">
        <v>136.01</v>
      </c>
      <c r="BI531" s="338" t="s">
        <v>344</v>
      </c>
      <c r="BN531" s="340">
        <v>35.130000000000003</v>
      </c>
      <c r="BO531" s="340" t="s">
        <v>340</v>
      </c>
      <c r="BP531" s="1385"/>
      <c r="BQ531" s="1389"/>
      <c r="BR531" s="6"/>
      <c r="BV531" s="338">
        <v>702.08</v>
      </c>
      <c r="BW531" s="338" t="s">
        <v>289</v>
      </c>
      <c r="CB531" s="340">
        <v>1109.04</v>
      </c>
      <c r="CC531" s="340" t="s">
        <v>298</v>
      </c>
      <c r="CE531" s="341" t="str">
        <f t="array" ref="CE531">IFERROR(IF($CE$11="Metro",INDEX($BV$13:$BV$4972,SMALL(IF((County=$BW$13:$BW$4972),MATCH(ROW($BW$13:$BW$4972),ROW($BW$13:$BW$4972)),""),ROWS($A$13:$A589))),INDEX($BY$13:$BY$212,SMALL(IF((County=$BZ$13:$BZ$212),MATCH(ROW($BZ$13:$BZ$212),ROW($BZ$13:$BZ$212)),""),ROWS($A$13:$A589)))),"")</f>
        <v/>
      </c>
      <c r="CL531" s="236">
        <v>15</v>
      </c>
      <c r="CM531" s="236" t="s">
        <v>340</v>
      </c>
      <c r="CR531" s="340">
        <v>35.090000000000003</v>
      </c>
      <c r="CS531" s="340" t="s">
        <v>304</v>
      </c>
      <c r="CT531" s="1384"/>
      <c r="CZ531" s="1795">
        <v>49.01</v>
      </c>
      <c r="DA531" s="338" t="s">
        <v>331</v>
      </c>
      <c r="DF531" s="340">
        <v>101.01</v>
      </c>
      <c r="DG531" s="340" t="s">
        <v>302</v>
      </c>
      <c r="DP531" s="236">
        <v>136.06</v>
      </c>
      <c r="DQ531" s="236" t="s">
        <v>338</v>
      </c>
      <c r="DV531" s="340">
        <v>39.14</v>
      </c>
      <c r="DW531" s="340" t="s">
        <v>331</v>
      </c>
      <c r="DX531" s="1671"/>
      <c r="EB531" s="618"/>
      <c r="EC531" s="618"/>
      <c r="ED531" s="618"/>
      <c r="EE531" s="618"/>
      <c r="EF531" s="618"/>
      <c r="EG531" s="618"/>
      <c r="EH531" s="618"/>
      <c r="EI531" s="618"/>
      <c r="EJ531" s="618"/>
      <c r="EK531" s="618"/>
      <c r="EL531" s="618"/>
      <c r="EM531" s="618"/>
    </row>
    <row r="532" spans="6:143">
      <c r="F532" s="338">
        <v>112.05</v>
      </c>
      <c r="G532" s="338" t="s">
        <v>331</v>
      </c>
      <c r="L532" s="2481">
        <v>103.01</v>
      </c>
      <c r="M532" s="340" t="s">
        <v>302</v>
      </c>
      <c r="N532" s="1390"/>
      <c r="O532" s="2479"/>
      <c r="P532" s="2282"/>
      <c r="AA532" s="338">
        <v>155.02000000000001</v>
      </c>
      <c r="AB532" s="338" t="s">
        <v>302</v>
      </c>
      <c r="AG532" s="2297">
        <v>39.17</v>
      </c>
      <c r="AH532" s="2297" t="s">
        <v>331</v>
      </c>
      <c r="AI532" s="1390"/>
      <c r="AJ532" s="2282"/>
      <c r="AK532" s="2282"/>
      <c r="AL532" s="1037"/>
      <c r="AR532" s="338">
        <v>108.03</v>
      </c>
      <c r="AS532" s="338" t="s">
        <v>331</v>
      </c>
      <c r="AX532" s="340">
        <v>101.01</v>
      </c>
      <c r="AY532" s="340" t="s">
        <v>300</v>
      </c>
      <c r="BH532" s="338">
        <v>136.02000000000001</v>
      </c>
      <c r="BI532" s="338" t="s">
        <v>344</v>
      </c>
      <c r="BN532" s="340">
        <v>35.14</v>
      </c>
      <c r="BO532" s="340" t="s">
        <v>340</v>
      </c>
      <c r="BP532" s="1385"/>
      <c r="BQ532" s="1389"/>
      <c r="BR532" s="6"/>
      <c r="BV532" s="338">
        <v>702.09</v>
      </c>
      <c r="BW532" s="338" t="s">
        <v>289</v>
      </c>
      <c r="CB532" s="340">
        <v>101.01</v>
      </c>
      <c r="CC532" s="340" t="s">
        <v>300</v>
      </c>
      <c r="CE532" s="341" t="str">
        <f t="array" ref="CE532">IFERROR(IF($CE$11="Metro",INDEX($BV$13:$BV$4972,SMALL(IF((County=$BW$13:$BW$4972),MATCH(ROW($BW$13:$BW$4972),ROW($BW$13:$BW$4972)),""),ROWS($A$13:$A590))),INDEX($BY$13:$BY$212,SMALL(IF((County=$BZ$13:$BZ$212),MATCH(ROW($BZ$13:$BZ$212),ROW($BZ$13:$BZ$212)),""),ROWS($A$13:$A590)))),"")</f>
        <v/>
      </c>
      <c r="CL532" s="338">
        <v>15.01</v>
      </c>
      <c r="CM532" s="338" t="s">
        <v>285</v>
      </c>
      <c r="CR532" s="340">
        <v>35.1</v>
      </c>
      <c r="CS532" s="340" t="s">
        <v>304</v>
      </c>
      <c r="CT532" s="1384"/>
      <c r="CZ532" s="1795">
        <v>50.02</v>
      </c>
      <c r="DA532" s="338" t="s">
        <v>331</v>
      </c>
      <c r="DF532" s="340">
        <v>101.04</v>
      </c>
      <c r="DG532" s="340" t="s">
        <v>302</v>
      </c>
      <c r="DP532" s="236">
        <v>137</v>
      </c>
      <c r="DQ532" s="236" t="s">
        <v>331</v>
      </c>
      <c r="DV532" s="340">
        <v>39.15</v>
      </c>
      <c r="DW532" s="340" t="s">
        <v>331</v>
      </c>
      <c r="DX532" s="1671"/>
      <c r="EB532" s="618"/>
      <c r="EC532" s="618"/>
      <c r="ED532" s="618"/>
      <c r="EE532" s="618"/>
      <c r="EF532" s="618"/>
      <c r="EG532" s="618"/>
      <c r="EH532" s="618"/>
      <c r="EI532" s="618"/>
      <c r="EJ532" s="618"/>
      <c r="EK532" s="618"/>
      <c r="EL532" s="618"/>
      <c r="EM532" s="618"/>
    </row>
    <row r="533" spans="6:143">
      <c r="F533" s="338">
        <v>113.02</v>
      </c>
      <c r="G533" s="338" t="s">
        <v>331</v>
      </c>
      <c r="L533" s="2481">
        <v>103.06</v>
      </c>
      <c r="M533" s="340" t="s">
        <v>302</v>
      </c>
      <c r="N533" s="1390"/>
      <c r="O533" s="2479"/>
      <c r="P533" s="2282"/>
      <c r="AA533" s="338">
        <v>158.05000000000001</v>
      </c>
      <c r="AB533" s="338" t="s">
        <v>302</v>
      </c>
      <c r="AG533" s="2297">
        <v>39.18</v>
      </c>
      <c r="AH533" s="2297" t="s">
        <v>331</v>
      </c>
      <c r="AI533" s="1390"/>
      <c r="AJ533" s="2282"/>
      <c r="AK533" s="2282"/>
      <c r="AL533" s="1037"/>
      <c r="AR533" s="338">
        <v>108.04</v>
      </c>
      <c r="AS533" s="338" t="s">
        <v>331</v>
      </c>
      <c r="AX533" s="340">
        <v>102</v>
      </c>
      <c r="AY533" s="340" t="s">
        <v>300</v>
      </c>
      <c r="BH533" s="338">
        <v>136.05000000000001</v>
      </c>
      <c r="BI533" s="338" t="s">
        <v>338</v>
      </c>
      <c r="BN533" s="340">
        <v>36</v>
      </c>
      <c r="BO533" s="340" t="s">
        <v>340</v>
      </c>
      <c r="BP533" s="1385"/>
      <c r="BQ533" s="1388"/>
      <c r="BV533" s="338">
        <v>702.1</v>
      </c>
      <c r="BW533" s="338" t="s">
        <v>289</v>
      </c>
      <c r="CB533" s="340">
        <v>103.02</v>
      </c>
      <c r="CC533" s="340" t="s">
        <v>300</v>
      </c>
      <c r="CE533" s="341" t="str">
        <f t="array" ref="CE533">IFERROR(IF($CE$11="Metro",INDEX($BV$13:$BV$4972,SMALL(IF((County=$BW$13:$BW$4972),MATCH(ROW($BW$13:$BW$4972),ROW($BW$13:$BW$4972)),""),ROWS($A$13:$A591))),INDEX($BY$13:$BY$212,SMALL(IF((County=$BZ$13:$BZ$212),MATCH(ROW($BZ$13:$BZ$212),ROW($BZ$13:$BZ$212)),""),ROWS($A$13:$A591)))),"")</f>
        <v/>
      </c>
      <c r="CL533" s="236">
        <v>15.01</v>
      </c>
      <c r="CM533" s="236" t="s">
        <v>323</v>
      </c>
      <c r="CR533" s="340">
        <v>35.11</v>
      </c>
      <c r="CS533" s="340" t="s">
        <v>304</v>
      </c>
      <c r="CT533" s="1384"/>
      <c r="CZ533" s="1795">
        <v>51.02</v>
      </c>
      <c r="DA533" s="338" t="s">
        <v>331</v>
      </c>
      <c r="DF533" s="340">
        <v>101.05</v>
      </c>
      <c r="DG533" s="340" t="s">
        <v>302</v>
      </c>
      <c r="DP533" s="236">
        <v>137.01</v>
      </c>
      <c r="DQ533" s="236" t="s">
        <v>344</v>
      </c>
      <c r="DV533" s="340">
        <v>39.159999999999997</v>
      </c>
      <c r="DW533" s="340" t="s">
        <v>331</v>
      </c>
      <c r="DX533" s="1671"/>
      <c r="EB533" s="618"/>
      <c r="EC533" s="618"/>
      <c r="ED533" s="618"/>
      <c r="EE533" s="618"/>
      <c r="EF533" s="618"/>
      <c r="EG533" s="618"/>
      <c r="EH533" s="618"/>
      <c r="EI533" s="618"/>
      <c r="EJ533" s="618"/>
      <c r="EK533" s="618"/>
      <c r="EL533" s="618"/>
      <c r="EM533" s="618"/>
    </row>
    <row r="534" spans="6:143">
      <c r="F534" s="338">
        <v>114.07</v>
      </c>
      <c r="G534" s="338" t="s">
        <v>331</v>
      </c>
      <c r="L534" s="2481">
        <v>103.08</v>
      </c>
      <c r="M534" s="340" t="s">
        <v>302</v>
      </c>
      <c r="N534" s="1390"/>
      <c r="O534" s="2479"/>
      <c r="P534" s="2282"/>
      <c r="AA534" s="338">
        <v>160.01</v>
      </c>
      <c r="AB534" s="338" t="s">
        <v>344</v>
      </c>
      <c r="AG534" s="2297">
        <v>39.19</v>
      </c>
      <c r="AH534" s="2297" t="s">
        <v>331</v>
      </c>
      <c r="AI534" s="1390"/>
      <c r="AJ534" s="2282"/>
      <c r="AK534" s="2282"/>
      <c r="AL534" s="1037"/>
      <c r="AR534" s="338">
        <v>108.05</v>
      </c>
      <c r="AS534" s="338" t="s">
        <v>331</v>
      </c>
      <c r="AX534" s="340">
        <v>104.03</v>
      </c>
      <c r="AY534" s="340" t="s">
        <v>300</v>
      </c>
      <c r="BH534" s="338">
        <v>136.06</v>
      </c>
      <c r="BI534" s="338" t="s">
        <v>338</v>
      </c>
      <c r="BN534" s="340">
        <v>36.03</v>
      </c>
      <c r="BO534" s="340" t="s">
        <v>304</v>
      </c>
      <c r="BP534" s="1385"/>
      <c r="BQ534" s="1388"/>
      <c r="BV534" s="338">
        <v>702.11</v>
      </c>
      <c r="BW534" s="338" t="s">
        <v>289</v>
      </c>
      <c r="CB534" s="340">
        <v>104.03</v>
      </c>
      <c r="CC534" s="340" t="s">
        <v>300</v>
      </c>
      <c r="CE534" s="341" t="str">
        <f t="array" ref="CE534">IFERROR(IF($CE$11="Metro",INDEX($BV$13:$BV$4972,SMALL(IF((County=$BW$13:$BW$4972),MATCH(ROW($BW$13:$BW$4972),ROW($BW$13:$BW$4972)),""),ROWS($A$13:$A592))),INDEX($BY$13:$BY$212,SMALL(IF((County=$BZ$13:$BZ$212),MATCH(ROW($BZ$13:$BZ$212),ROW($BZ$13:$BZ$212)),""),ROWS($A$13:$A592)))),"")</f>
        <v/>
      </c>
      <c r="CL534" s="236">
        <v>15.01</v>
      </c>
      <c r="CM534" s="236" t="s">
        <v>328</v>
      </c>
      <c r="CR534" s="340">
        <v>35.119999999999997</v>
      </c>
      <c r="CS534" s="340" t="s">
        <v>304</v>
      </c>
      <c r="CT534" s="1384"/>
      <c r="CZ534" s="1795">
        <v>51.03</v>
      </c>
      <c r="DA534" s="338" t="s">
        <v>331</v>
      </c>
      <c r="DF534" s="340">
        <v>101.06</v>
      </c>
      <c r="DG534" s="340" t="s">
        <v>302</v>
      </c>
      <c r="DP534" s="236">
        <v>138.01</v>
      </c>
      <c r="DQ534" s="236" t="s">
        <v>316</v>
      </c>
      <c r="DV534" s="340">
        <v>39.17</v>
      </c>
      <c r="DW534" s="340" t="s">
        <v>331</v>
      </c>
      <c r="DX534" s="1671"/>
      <c r="EB534" s="618"/>
      <c r="EC534" s="618"/>
      <c r="ED534" s="618"/>
      <c r="EE534" s="618"/>
      <c r="EF534" s="618"/>
      <c r="EG534" s="618"/>
      <c r="EH534" s="618"/>
      <c r="EI534" s="618"/>
      <c r="EJ534" s="618"/>
      <c r="EK534" s="618"/>
      <c r="EL534" s="618"/>
      <c r="EM534" s="618"/>
    </row>
    <row r="535" spans="6:143">
      <c r="F535" s="338">
        <v>120.01</v>
      </c>
      <c r="G535" s="338" t="s">
        <v>331</v>
      </c>
      <c r="L535" s="2481">
        <v>105.01</v>
      </c>
      <c r="M535" s="340" t="s">
        <v>302</v>
      </c>
      <c r="N535" s="1390"/>
      <c r="O535" s="2479"/>
      <c r="P535" s="2282"/>
      <c r="AA535" s="338">
        <v>160.03</v>
      </c>
      <c r="AB535" s="338" t="s">
        <v>344</v>
      </c>
      <c r="AG535" s="2297">
        <v>39.21</v>
      </c>
      <c r="AH535" s="2297" t="s">
        <v>331</v>
      </c>
      <c r="AI535" s="1390"/>
      <c r="AJ535" s="2282"/>
      <c r="AK535" s="2282"/>
      <c r="AL535" s="1037"/>
      <c r="AR535" s="338">
        <v>108.06</v>
      </c>
      <c r="AS535" s="338" t="s">
        <v>331</v>
      </c>
      <c r="AX535" s="340">
        <v>104.05</v>
      </c>
      <c r="AY535" s="340" t="s">
        <v>300</v>
      </c>
      <c r="BH535" s="338">
        <v>137.01</v>
      </c>
      <c r="BI535" s="338" t="s">
        <v>344</v>
      </c>
      <c r="BN535" s="340">
        <v>36.04</v>
      </c>
      <c r="BO535" s="340" t="s">
        <v>331</v>
      </c>
      <c r="BP535" s="1385"/>
      <c r="BQ535" s="1388"/>
      <c r="BV535" s="338">
        <v>702.12</v>
      </c>
      <c r="BW535" s="338" t="s">
        <v>289</v>
      </c>
      <c r="CB535" s="340">
        <v>104.05</v>
      </c>
      <c r="CC535" s="340" t="s">
        <v>300</v>
      </c>
      <c r="CE535" s="341" t="str">
        <f t="array" ref="CE535">IFERROR(IF($CE$11="Metro",INDEX($BV$13:$BV$4972,SMALL(IF((County=$BW$13:$BW$4972),MATCH(ROW($BW$13:$BW$4972),ROW($BW$13:$BW$4972)),""),ROWS($A$13:$A593))),INDEX($BY$13:$BY$212,SMALL(IF((County=$BZ$13:$BZ$212),MATCH(ROW($BZ$13:$BZ$212),ROW($BZ$13:$BZ$212)),""),ROWS($A$13:$A593)))),"")</f>
        <v/>
      </c>
      <c r="CL535" s="236">
        <v>15.01</v>
      </c>
      <c r="CM535" s="236" t="s">
        <v>331</v>
      </c>
      <c r="CR535" s="340">
        <v>35.119999999999997</v>
      </c>
      <c r="CS535" s="340" t="s">
        <v>340</v>
      </c>
      <c r="CT535" s="1384"/>
      <c r="CZ535" s="1795">
        <v>51.04</v>
      </c>
      <c r="DA535" s="338" t="s">
        <v>331</v>
      </c>
      <c r="DF535" s="340">
        <v>102.02</v>
      </c>
      <c r="DG535" s="340" t="s">
        <v>302</v>
      </c>
      <c r="DP535" s="236">
        <v>138.01</v>
      </c>
      <c r="DQ535" s="236" t="s">
        <v>344</v>
      </c>
      <c r="DV535" s="340">
        <v>39.18</v>
      </c>
      <c r="DW535" s="340" t="s">
        <v>331</v>
      </c>
      <c r="DX535" s="1671"/>
      <c r="EB535" s="618"/>
      <c r="EC535" s="618"/>
      <c r="ED535" s="618"/>
      <c r="EE535" s="618"/>
      <c r="EF535" s="618"/>
      <c r="EG535" s="618"/>
      <c r="EH535" s="618"/>
      <c r="EI535" s="618"/>
      <c r="EJ535" s="618"/>
      <c r="EK535" s="618"/>
      <c r="EL535" s="618"/>
      <c r="EM535" s="618"/>
    </row>
    <row r="536" spans="6:143">
      <c r="F536" s="338">
        <v>120.02</v>
      </c>
      <c r="G536" s="338" t="s">
        <v>331</v>
      </c>
      <c r="L536" s="2481">
        <v>105.02</v>
      </c>
      <c r="M536" s="340" t="s">
        <v>302</v>
      </c>
      <c r="N536" s="1390"/>
      <c r="O536" s="2479"/>
      <c r="P536" s="2282"/>
      <c r="AA536" s="338">
        <v>161</v>
      </c>
      <c r="AB536" s="338" t="s">
        <v>344</v>
      </c>
      <c r="AG536" s="2297">
        <v>39.22</v>
      </c>
      <c r="AH536" s="2297" t="s">
        <v>331</v>
      </c>
      <c r="AI536" s="1390"/>
      <c r="AJ536" s="2282"/>
      <c r="AK536" s="2282"/>
      <c r="AL536" s="1037"/>
      <c r="AR536" s="338">
        <v>109</v>
      </c>
      <c r="AS536" s="338" t="s">
        <v>331</v>
      </c>
      <c r="AX536" s="340">
        <v>104.06</v>
      </c>
      <c r="AY536" s="340" t="s">
        <v>300</v>
      </c>
      <c r="BH536" s="338">
        <v>138.01</v>
      </c>
      <c r="BI536" s="338" t="s">
        <v>316</v>
      </c>
      <c r="BN536" s="340">
        <v>36.08</v>
      </c>
      <c r="BO536" s="340" t="s">
        <v>304</v>
      </c>
      <c r="BP536" s="1385"/>
      <c r="BQ536" s="1388"/>
      <c r="BV536" s="338">
        <v>702.13</v>
      </c>
      <c r="BW536" s="338" t="s">
        <v>289</v>
      </c>
      <c r="CB536" s="340">
        <v>104.06</v>
      </c>
      <c r="CC536" s="340" t="s">
        <v>300</v>
      </c>
      <c r="CE536" s="341" t="str">
        <f t="array" ref="CE536">IFERROR(IF($CE$11="Metro",INDEX($BV$13:$BV$4972,SMALL(IF((County=$BW$13:$BW$4972),MATCH(ROW($BW$13:$BW$4972),ROW($BW$13:$BW$4972)),""),ROWS($A$13:$A594))),INDEX($BY$13:$BY$212,SMALL(IF((County=$BZ$13:$BZ$212),MATCH(ROW($BZ$13:$BZ$212),ROW($BZ$13:$BZ$212)),""),ROWS($A$13:$A594)))),"")</f>
        <v/>
      </c>
      <c r="CL536" s="338">
        <v>15.02</v>
      </c>
      <c r="CM536" s="338" t="s">
        <v>285</v>
      </c>
      <c r="CR536" s="340">
        <v>35.14</v>
      </c>
      <c r="CS536" s="340" t="s">
        <v>340</v>
      </c>
      <c r="CT536" s="1384"/>
      <c r="CZ536" s="1795">
        <v>52.01</v>
      </c>
      <c r="DA536" s="338" t="s">
        <v>331</v>
      </c>
      <c r="DF536" s="340">
        <v>102.04</v>
      </c>
      <c r="DG536" s="340" t="s">
        <v>302</v>
      </c>
      <c r="DP536" s="236">
        <v>138.02000000000001</v>
      </c>
      <c r="DQ536" s="236" t="s">
        <v>316</v>
      </c>
      <c r="DV536" s="340">
        <v>39.19</v>
      </c>
      <c r="DW536" s="340" t="s">
        <v>331</v>
      </c>
      <c r="DX536" s="1671"/>
      <c r="EB536" s="618"/>
      <c r="EC536" s="618"/>
      <c r="ED536" s="618"/>
      <c r="EE536" s="618"/>
      <c r="EF536" s="618"/>
      <c r="EG536" s="618"/>
      <c r="EH536" s="618"/>
      <c r="EI536" s="618"/>
      <c r="EJ536" s="618"/>
      <c r="EK536" s="618"/>
      <c r="EL536" s="618"/>
      <c r="EM536" s="618"/>
    </row>
    <row r="537" spans="6:143">
      <c r="F537" s="338">
        <v>134</v>
      </c>
      <c r="G537" s="338" t="s">
        <v>331</v>
      </c>
      <c r="L537" s="2481">
        <v>119.01</v>
      </c>
      <c r="M537" s="340" t="s">
        <v>302</v>
      </c>
      <c r="N537" s="1390"/>
      <c r="O537" s="2479"/>
      <c r="P537" s="2282"/>
      <c r="AA537" s="338">
        <v>162</v>
      </c>
      <c r="AB537" s="338" t="s">
        <v>302</v>
      </c>
      <c r="AG537" s="2297">
        <v>40</v>
      </c>
      <c r="AH537" s="2297" t="s">
        <v>331</v>
      </c>
      <c r="AI537" s="1390"/>
      <c r="AJ537" s="2282"/>
      <c r="AK537" s="2282"/>
      <c r="AL537" s="1037"/>
      <c r="AR537" s="338">
        <v>110.1</v>
      </c>
      <c r="AS537" s="338" t="s">
        <v>331</v>
      </c>
      <c r="AX537" s="340">
        <v>9701.01</v>
      </c>
      <c r="AY537" s="340" t="s">
        <v>301</v>
      </c>
      <c r="BH537" s="338">
        <v>138.01</v>
      </c>
      <c r="BI537" s="338" t="s">
        <v>331</v>
      </c>
      <c r="BN537" s="340">
        <v>36.090000000000003</v>
      </c>
      <c r="BO537" s="340" t="s">
        <v>304</v>
      </c>
      <c r="BP537" s="1385"/>
      <c r="BQ537" s="1388"/>
      <c r="BV537" s="338">
        <v>703.04</v>
      </c>
      <c r="BW537" s="338" t="s">
        <v>289</v>
      </c>
      <c r="CB537" s="340">
        <v>9701.01</v>
      </c>
      <c r="CC537" s="340" t="s">
        <v>301</v>
      </c>
      <c r="CE537" s="341" t="str">
        <f t="array" ref="CE537">IFERROR(IF($CE$11="Metro",INDEX($BV$13:$BV$4972,SMALL(IF((County=$BW$13:$BW$4972),MATCH(ROW($BW$13:$BW$4972),ROW($BW$13:$BW$4972)),""),ROWS($A$13:$A595))),INDEX($BY$13:$BY$212,SMALL(IF((County=$BZ$13:$BZ$212),MATCH(ROW($BZ$13:$BZ$212),ROW($BZ$13:$BZ$212)),""),ROWS($A$13:$A595)))),"")</f>
        <v/>
      </c>
      <c r="CL537" s="236">
        <v>15.02</v>
      </c>
      <c r="CM537" s="236" t="s">
        <v>323</v>
      </c>
      <c r="CR537" s="340">
        <v>36</v>
      </c>
      <c r="CS537" s="340" t="s">
        <v>340</v>
      </c>
      <c r="CT537" s="1384"/>
      <c r="CZ537" s="1795">
        <v>52.02</v>
      </c>
      <c r="DA537" s="338" t="s">
        <v>331</v>
      </c>
      <c r="DF537" s="340">
        <v>103.01</v>
      </c>
      <c r="DG537" s="340" t="s">
        <v>302</v>
      </c>
      <c r="DP537" s="236">
        <v>138.03</v>
      </c>
      <c r="DQ537" s="236" t="s">
        <v>316</v>
      </c>
      <c r="DV537" s="340">
        <v>39.21</v>
      </c>
      <c r="DW537" s="340" t="s">
        <v>331</v>
      </c>
      <c r="DX537" s="1671"/>
      <c r="EB537" s="618"/>
      <c r="EC537" s="618"/>
      <c r="ED537" s="618"/>
      <c r="EE537" s="618"/>
      <c r="EF537" s="618"/>
      <c r="EG537" s="618"/>
      <c r="EH537" s="618"/>
      <c r="EI537" s="618"/>
      <c r="EJ537" s="618"/>
      <c r="EK537" s="618"/>
      <c r="EL537" s="618"/>
      <c r="EM537" s="618"/>
    </row>
    <row r="538" spans="6:143">
      <c r="F538" s="338">
        <v>136</v>
      </c>
      <c r="G538" s="338" t="s">
        <v>331</v>
      </c>
      <c r="L538" s="2481">
        <v>119.04</v>
      </c>
      <c r="M538" s="340" t="s">
        <v>302</v>
      </c>
      <c r="N538" s="1390"/>
      <c r="O538" s="2479"/>
      <c r="P538" s="2282"/>
      <c r="AA538" s="338">
        <v>163</v>
      </c>
      <c r="AB538" s="338" t="s">
        <v>302</v>
      </c>
      <c r="AG538" s="2297">
        <v>41.02</v>
      </c>
      <c r="AH538" s="2297" t="s">
        <v>331</v>
      </c>
      <c r="AI538" s="1390"/>
      <c r="AJ538" s="2282"/>
      <c r="AK538" s="2282"/>
      <c r="AL538" s="1037"/>
      <c r="AR538" s="338">
        <v>110.11</v>
      </c>
      <c r="AS538" s="338" t="s">
        <v>331</v>
      </c>
      <c r="AX538" s="340">
        <v>9701.0300000000007</v>
      </c>
      <c r="AY538" s="340" t="s">
        <v>301</v>
      </c>
      <c r="BH538" s="338">
        <v>138.02000000000001</v>
      </c>
      <c r="BI538" s="338" t="s">
        <v>331</v>
      </c>
      <c r="BN538" s="340">
        <v>36.1</v>
      </c>
      <c r="BO538" s="340" t="s">
        <v>304</v>
      </c>
      <c r="BP538" s="1385"/>
      <c r="BQ538" s="1388"/>
      <c r="BV538" s="338">
        <v>703.06</v>
      </c>
      <c r="BW538" s="338" t="s">
        <v>289</v>
      </c>
      <c r="CB538" s="340">
        <v>9702.01</v>
      </c>
      <c r="CC538" s="340" t="s">
        <v>301</v>
      </c>
      <c r="CE538" s="341" t="str">
        <f t="array" ref="CE538">IFERROR(IF($CE$11="Metro",INDEX($BV$13:$BV$4972,SMALL(IF((County=$BW$13:$BW$4972),MATCH(ROW($BW$13:$BW$4972),ROW($BW$13:$BW$4972)),""),ROWS($A$13:$A596))),INDEX($BY$13:$BY$212,SMALL(IF((County=$BZ$13:$BZ$212),MATCH(ROW($BZ$13:$BZ$212),ROW($BZ$13:$BZ$212)),""),ROWS($A$13:$A596)))),"")</f>
        <v/>
      </c>
      <c r="CL538" s="236">
        <v>15.02</v>
      </c>
      <c r="CM538" s="236" t="s">
        <v>328</v>
      </c>
      <c r="CR538" s="340">
        <v>36.03</v>
      </c>
      <c r="CS538" s="340" t="s">
        <v>304</v>
      </c>
      <c r="CT538" s="1384"/>
      <c r="CZ538" s="1795">
        <v>53.03</v>
      </c>
      <c r="DA538" s="338" t="s">
        <v>331</v>
      </c>
      <c r="DF538" s="340">
        <v>103.06</v>
      </c>
      <c r="DG538" s="340" t="s">
        <v>302</v>
      </c>
      <c r="DP538" s="236">
        <v>140.13999999999999</v>
      </c>
      <c r="DQ538" s="236" t="s">
        <v>316</v>
      </c>
      <c r="DV538" s="340">
        <v>39.22</v>
      </c>
      <c r="DW538" s="340" t="s">
        <v>331</v>
      </c>
      <c r="DX538" s="1671"/>
      <c r="EB538" s="618"/>
      <c r="EC538" s="618"/>
      <c r="ED538" s="618"/>
      <c r="EE538" s="618"/>
      <c r="EF538" s="618"/>
      <c r="EG538" s="618"/>
      <c r="EH538" s="618"/>
      <c r="EI538" s="618"/>
      <c r="EJ538" s="618"/>
      <c r="EK538" s="618"/>
      <c r="EL538" s="618"/>
      <c r="EM538" s="618"/>
    </row>
    <row r="539" spans="6:143">
      <c r="F539" s="338">
        <v>137</v>
      </c>
      <c r="G539" s="338" t="s">
        <v>331</v>
      </c>
      <c r="L539" s="2481">
        <v>120</v>
      </c>
      <c r="M539" s="340" t="s">
        <v>302</v>
      </c>
      <c r="N539" s="1390"/>
      <c r="O539" s="2479"/>
      <c r="P539" s="2282"/>
      <c r="AA539" s="338">
        <v>163.02000000000001</v>
      </c>
      <c r="AB539" s="338" t="s">
        <v>338</v>
      </c>
      <c r="AG539" s="2297">
        <v>41.05</v>
      </c>
      <c r="AH539" s="2297" t="s">
        <v>331</v>
      </c>
      <c r="AI539" s="1390"/>
      <c r="AJ539" s="2282"/>
      <c r="AK539" s="2282"/>
      <c r="AL539" s="1037"/>
      <c r="AR539" s="338">
        <v>111.03</v>
      </c>
      <c r="AS539" s="338" t="s">
        <v>331</v>
      </c>
      <c r="AX539" s="340">
        <v>9701.0400000000009</v>
      </c>
      <c r="AY539" s="340" t="s">
        <v>301</v>
      </c>
      <c r="BH539" s="338">
        <v>138.03</v>
      </c>
      <c r="BI539" s="338" t="s">
        <v>316</v>
      </c>
      <c r="BN539" s="340">
        <v>36.11</v>
      </c>
      <c r="BO539" s="340" t="s">
        <v>304</v>
      </c>
      <c r="BP539" s="1385"/>
      <c r="BQ539" s="1388"/>
      <c r="BV539" s="338">
        <v>703.1</v>
      </c>
      <c r="BW539" s="338" t="s">
        <v>289</v>
      </c>
      <c r="CB539" s="340">
        <v>9702.02</v>
      </c>
      <c r="CC539" s="340" t="s">
        <v>301</v>
      </c>
      <c r="CE539" s="341" t="str">
        <f t="array" ref="CE539">IFERROR(IF($CE$11="Metro",INDEX($BV$13:$BV$4972,SMALL(IF((County=$BW$13:$BW$4972),MATCH(ROW($BW$13:$BW$4972),ROW($BW$13:$BW$4972)),""),ROWS($A$13:$A597))),INDEX($BY$13:$BY$212,SMALL(IF((County=$BZ$13:$BZ$212),MATCH(ROW($BZ$13:$BZ$212),ROW($BZ$13:$BZ$212)),""),ROWS($A$13:$A597)))),"")</f>
        <v/>
      </c>
      <c r="CL539" s="236">
        <v>15.02</v>
      </c>
      <c r="CM539" s="236" t="s">
        <v>331</v>
      </c>
      <c r="CR539" s="340">
        <v>36.04</v>
      </c>
      <c r="CS539" s="340" t="s">
        <v>331</v>
      </c>
      <c r="CT539" s="1384"/>
      <c r="CZ539" s="1795">
        <v>53.04</v>
      </c>
      <c r="DA539" s="338" t="s">
        <v>331</v>
      </c>
      <c r="DF539" s="340">
        <v>103.07</v>
      </c>
      <c r="DG539" s="340" t="s">
        <v>302</v>
      </c>
      <c r="DP539" s="236">
        <v>141.04</v>
      </c>
      <c r="DQ539" s="236" t="s">
        <v>316</v>
      </c>
      <c r="DV539" s="340">
        <v>40</v>
      </c>
      <c r="DW539" s="340" t="s">
        <v>331</v>
      </c>
      <c r="DX539" s="1671"/>
      <c r="EB539" s="618"/>
      <c r="EC539" s="618"/>
      <c r="ED539" s="618"/>
      <c r="EE539" s="618"/>
      <c r="EF539" s="618"/>
      <c r="EG539" s="618"/>
      <c r="EH539" s="618"/>
      <c r="EI539" s="618"/>
      <c r="EJ539" s="618"/>
      <c r="EK539" s="618"/>
      <c r="EL539" s="618"/>
      <c r="EM539" s="618"/>
    </row>
    <row r="540" spans="6:143">
      <c r="F540" s="338">
        <v>148</v>
      </c>
      <c r="G540" s="338" t="s">
        <v>331</v>
      </c>
      <c r="L540" s="2481">
        <v>124</v>
      </c>
      <c r="M540" s="340" t="s">
        <v>302</v>
      </c>
      <c r="N540" s="1390"/>
      <c r="O540" s="2479"/>
      <c r="P540" s="2282"/>
      <c r="AA540" s="338">
        <v>164</v>
      </c>
      <c r="AB540" s="338" t="s">
        <v>344</v>
      </c>
      <c r="AG540" s="2297">
        <v>41.06</v>
      </c>
      <c r="AH540" s="2297" t="s">
        <v>331</v>
      </c>
      <c r="AI540" s="1390"/>
      <c r="AJ540" s="2282"/>
      <c r="AK540" s="2282"/>
      <c r="AL540" s="1037"/>
      <c r="AR540" s="338">
        <v>111.04</v>
      </c>
      <c r="AS540" s="338" t="s">
        <v>331</v>
      </c>
      <c r="AX540" s="340">
        <v>9702.01</v>
      </c>
      <c r="AY540" s="340" t="s">
        <v>301</v>
      </c>
      <c r="BH540" s="338">
        <v>140.02000000000001</v>
      </c>
      <c r="BI540" s="338" t="s">
        <v>316</v>
      </c>
      <c r="BN540" s="340">
        <v>36.119999999999997</v>
      </c>
      <c r="BO540" s="340" t="s">
        <v>304</v>
      </c>
      <c r="BP540" s="1385"/>
      <c r="BQ540" s="1388"/>
      <c r="BV540" s="338">
        <v>703.11</v>
      </c>
      <c r="BW540" s="338" t="s">
        <v>289</v>
      </c>
      <c r="CB540" s="340">
        <v>7</v>
      </c>
      <c r="CC540" s="340" t="s">
        <v>302</v>
      </c>
      <c r="CE540" s="341" t="str">
        <f t="array" ref="CE540">IFERROR(IF($CE$11="Metro",INDEX($BV$13:$BV$4972,SMALL(IF((County=$BW$13:$BW$4972),MATCH(ROW($BW$13:$BW$4972),ROW($BW$13:$BW$4972)),""),ROWS($A$13:$A598))),INDEX($BY$13:$BY$212,SMALL(IF((County=$BZ$13:$BZ$212),MATCH(ROW($BZ$13:$BZ$212),ROW($BZ$13:$BZ$212)),""),ROWS($A$13:$A598)))),"")</f>
        <v/>
      </c>
      <c r="CL540" s="236">
        <v>15.03</v>
      </c>
      <c r="CM540" s="236" t="s">
        <v>347</v>
      </c>
      <c r="CR540" s="340">
        <v>36.08</v>
      </c>
      <c r="CS540" s="340" t="s">
        <v>304</v>
      </c>
      <c r="CT540" s="1384"/>
      <c r="CZ540" s="1795">
        <v>54.05</v>
      </c>
      <c r="DA540" s="338" t="s">
        <v>331</v>
      </c>
      <c r="DF540" s="340">
        <v>103.08</v>
      </c>
      <c r="DG540" s="340" t="s">
        <v>302</v>
      </c>
      <c r="DP540" s="236">
        <v>141.08000000000001</v>
      </c>
      <c r="DQ540" s="236" t="s">
        <v>316</v>
      </c>
      <c r="DV540" s="340">
        <v>41.02</v>
      </c>
      <c r="DW540" s="340" t="s">
        <v>331</v>
      </c>
      <c r="DX540" s="1671"/>
      <c r="EB540" s="618"/>
      <c r="EC540" s="618"/>
      <c r="ED540" s="618"/>
      <c r="EE540" s="618"/>
      <c r="EF540" s="618"/>
      <c r="EG540" s="618"/>
      <c r="EH540" s="618"/>
      <c r="EI540" s="618"/>
      <c r="EJ540" s="618"/>
      <c r="EK540" s="618"/>
      <c r="EL540" s="618"/>
      <c r="EM540" s="618"/>
    </row>
    <row r="541" spans="6:143">
      <c r="F541" s="338">
        <v>171.01</v>
      </c>
      <c r="G541" s="338" t="s">
        <v>331</v>
      </c>
      <c r="L541" s="2481">
        <v>128</v>
      </c>
      <c r="M541" s="340" t="s">
        <v>302</v>
      </c>
      <c r="N541" s="1390"/>
      <c r="O541" s="2479"/>
      <c r="P541" s="2282"/>
      <c r="AA541" s="338">
        <v>165.1</v>
      </c>
      <c r="AB541" s="338" t="s">
        <v>338</v>
      </c>
      <c r="AG541" s="2297">
        <v>42.05</v>
      </c>
      <c r="AH541" s="2297" t="s">
        <v>331</v>
      </c>
      <c r="AI541" s="1390"/>
      <c r="AJ541" s="2282"/>
      <c r="AK541" s="2282"/>
      <c r="AL541" s="1037"/>
      <c r="AR541" s="338">
        <v>112.03</v>
      </c>
      <c r="AS541" s="338" t="s">
        <v>331</v>
      </c>
      <c r="AX541" s="340">
        <v>9702.02</v>
      </c>
      <c r="AY541" s="340" t="s">
        <v>301</v>
      </c>
      <c r="BH541" s="338">
        <v>140.13</v>
      </c>
      <c r="BI541" s="338" t="s">
        <v>316</v>
      </c>
      <c r="BN541" s="340">
        <v>36.130000000000003</v>
      </c>
      <c r="BO541" s="340" t="s">
        <v>304</v>
      </c>
      <c r="BP541" s="1385"/>
      <c r="BQ541" s="1388"/>
      <c r="BV541" s="338">
        <v>703.12</v>
      </c>
      <c r="BW541" s="338" t="s">
        <v>289</v>
      </c>
      <c r="CB541" s="340">
        <v>8</v>
      </c>
      <c r="CC541" s="340" t="s">
        <v>302</v>
      </c>
      <c r="CE541" s="341" t="str">
        <f t="array" ref="CE541">IFERROR(IF($CE$11="Metro",INDEX($BV$13:$BV$4972,SMALL(IF((County=$BW$13:$BW$4972),MATCH(ROW($BW$13:$BW$4972),ROW($BW$13:$BW$4972)),""),ROWS($A$13:$A599))),INDEX($BY$13:$BY$212,SMALL(IF((County=$BZ$13:$BZ$212),MATCH(ROW($BZ$13:$BZ$212),ROW($BZ$13:$BZ$212)),""),ROWS($A$13:$A599)))),"")</f>
        <v/>
      </c>
      <c r="CL541" s="236">
        <v>15.04</v>
      </c>
      <c r="CM541" s="236" t="s">
        <v>347</v>
      </c>
      <c r="CR541" s="340">
        <v>36.090000000000003</v>
      </c>
      <c r="CS541" s="340" t="s">
        <v>304</v>
      </c>
      <c r="CT541" s="1384"/>
      <c r="CZ541" s="1795">
        <v>54.07</v>
      </c>
      <c r="DA541" s="338" t="s">
        <v>331</v>
      </c>
      <c r="DF541" s="340">
        <v>105.01</v>
      </c>
      <c r="DG541" s="340" t="s">
        <v>302</v>
      </c>
      <c r="DP541" s="236">
        <v>141.27000000000001</v>
      </c>
      <c r="DQ541" s="236" t="s">
        <v>344</v>
      </c>
      <c r="DV541" s="340">
        <v>41.03</v>
      </c>
      <c r="DW541" s="340" t="s">
        <v>331</v>
      </c>
      <c r="DX541" s="1671"/>
      <c r="EB541" s="618"/>
      <c r="EC541" s="618"/>
      <c r="ED541" s="618"/>
      <c r="EE541" s="618"/>
      <c r="EF541" s="618"/>
      <c r="EG541" s="618"/>
      <c r="EH541" s="618"/>
      <c r="EI541" s="618"/>
      <c r="EJ541" s="618"/>
      <c r="EK541" s="618"/>
      <c r="EL541" s="618"/>
      <c r="EM541" s="618"/>
    </row>
    <row r="542" spans="6:143">
      <c r="F542" s="338">
        <v>175</v>
      </c>
      <c r="G542" s="338" t="s">
        <v>331</v>
      </c>
      <c r="L542" s="2481">
        <v>130</v>
      </c>
      <c r="M542" s="340" t="s">
        <v>302</v>
      </c>
      <c r="N542" s="1390"/>
      <c r="O542" s="2479"/>
      <c r="P542" s="2282"/>
      <c r="AA542" s="338">
        <v>166.06</v>
      </c>
      <c r="AB542" s="338" t="s">
        <v>302</v>
      </c>
      <c r="AG542" s="2297">
        <v>42.05</v>
      </c>
      <c r="AH542" s="2297" t="s">
        <v>340</v>
      </c>
      <c r="AI542" s="1390"/>
      <c r="AJ542" s="2282"/>
      <c r="AK542" s="2282"/>
      <c r="AL542" s="1037"/>
      <c r="AR542" s="338">
        <v>112.04</v>
      </c>
      <c r="AS542" s="338" t="s">
        <v>331</v>
      </c>
      <c r="AX542" s="340">
        <v>7</v>
      </c>
      <c r="AY542" s="340" t="s">
        <v>302</v>
      </c>
      <c r="BH542" s="338">
        <v>141.08000000000001</v>
      </c>
      <c r="BI542" s="338" t="s">
        <v>316</v>
      </c>
      <c r="BN542" s="340">
        <v>36.14</v>
      </c>
      <c r="BO542" s="340" t="s">
        <v>304</v>
      </c>
      <c r="BP542" s="1385"/>
      <c r="BQ542" s="1388"/>
      <c r="BV542" s="338">
        <v>703.14</v>
      </c>
      <c r="BW542" s="338" t="s">
        <v>289</v>
      </c>
      <c r="CB542" s="340">
        <v>11</v>
      </c>
      <c r="CC542" s="340" t="s">
        <v>302</v>
      </c>
      <c r="CE542" s="341" t="str">
        <f t="array" ref="CE542">IFERROR(IF($CE$11="Metro",INDEX($BV$13:$BV$4972,SMALL(IF((County=$BW$13:$BW$4972),MATCH(ROW($BW$13:$BW$4972),ROW($BW$13:$BW$4972)),""),ROWS($A$13:$A600))),INDEX($BY$13:$BY$212,SMALL(IF((County=$BZ$13:$BZ$212),MATCH(ROW($BZ$13:$BZ$212),ROW($BZ$13:$BZ$212)),""),ROWS($A$13:$A600)))),"")</f>
        <v/>
      </c>
      <c r="CL542" s="236">
        <v>15.05</v>
      </c>
      <c r="CM542" s="236" t="s">
        <v>347</v>
      </c>
      <c r="CR542" s="340">
        <v>36.1</v>
      </c>
      <c r="CS542" s="340" t="s">
        <v>304</v>
      </c>
      <c r="CT542" s="1384"/>
      <c r="CZ542" s="1795">
        <v>54.09</v>
      </c>
      <c r="DA542" s="338" t="s">
        <v>331</v>
      </c>
      <c r="DF542" s="340">
        <v>105.02</v>
      </c>
      <c r="DG542" s="340" t="s">
        <v>302</v>
      </c>
      <c r="DP542" s="236">
        <v>142</v>
      </c>
      <c r="DQ542" s="236" t="s">
        <v>316</v>
      </c>
      <c r="DV542" s="340">
        <v>41.05</v>
      </c>
      <c r="DW542" s="340" t="s">
        <v>331</v>
      </c>
      <c r="DX542" s="1671"/>
      <c r="EB542" s="618"/>
      <c r="EC542" s="618"/>
      <c r="ED542" s="618"/>
      <c r="EE542" s="618"/>
      <c r="EF542" s="618"/>
      <c r="EG542" s="618"/>
      <c r="EH542" s="618"/>
      <c r="EI542" s="618"/>
      <c r="EJ542" s="618"/>
      <c r="EK542" s="618"/>
      <c r="EL542" s="618"/>
      <c r="EM542" s="618"/>
    </row>
    <row r="543" spans="6:143">
      <c r="F543" s="338">
        <v>176</v>
      </c>
      <c r="G543" s="338" t="s">
        <v>331</v>
      </c>
      <c r="L543" s="2481">
        <v>131</v>
      </c>
      <c r="M543" s="340" t="s">
        <v>302</v>
      </c>
      <c r="N543" s="1390"/>
      <c r="O543" s="2479"/>
      <c r="P543" s="2282"/>
      <c r="AA543" s="338">
        <v>167.25</v>
      </c>
      <c r="AB543" s="338" t="s">
        <v>302</v>
      </c>
      <c r="AG543" s="2297">
        <v>42.07</v>
      </c>
      <c r="AH543" s="2297" t="s">
        <v>331</v>
      </c>
      <c r="AI543" s="1390"/>
      <c r="AJ543" s="2282"/>
      <c r="AK543" s="2282"/>
      <c r="AL543" s="1037"/>
      <c r="AR543" s="338">
        <v>112.05</v>
      </c>
      <c r="AS543" s="338" t="s">
        <v>331</v>
      </c>
      <c r="AX543" s="340">
        <v>8</v>
      </c>
      <c r="AY543" s="340" t="s">
        <v>302</v>
      </c>
      <c r="BH543" s="338">
        <v>141.21</v>
      </c>
      <c r="BI543" s="338" t="s">
        <v>344</v>
      </c>
      <c r="BN543" s="340">
        <v>37</v>
      </c>
      <c r="BO543" s="340" t="s">
        <v>304</v>
      </c>
      <c r="BP543" s="1385"/>
      <c r="BQ543" s="1388"/>
      <c r="BV543" s="338">
        <v>703.15</v>
      </c>
      <c r="BW543" s="338" t="s">
        <v>289</v>
      </c>
      <c r="CB543" s="340">
        <v>12</v>
      </c>
      <c r="CC543" s="340" t="s">
        <v>302</v>
      </c>
      <c r="CE543" s="341" t="str">
        <f t="array" ref="CE543">IFERROR(IF($CE$11="Metro",INDEX($BV$13:$BV$4972,SMALL(IF((County=$BW$13:$BW$4972),MATCH(ROW($BW$13:$BW$4972),ROW($BW$13:$BW$4972)),""),ROWS($A$13:$A601))),INDEX($BY$13:$BY$212,SMALL(IF((County=$BZ$13:$BZ$212),MATCH(ROW($BZ$13:$BZ$212),ROW($BZ$13:$BZ$212)),""),ROWS($A$13:$A601)))),"")</f>
        <v/>
      </c>
      <c r="CL543" s="236">
        <v>15.08</v>
      </c>
      <c r="CM543" s="236" t="s">
        <v>347</v>
      </c>
      <c r="CR543" s="340">
        <v>36.11</v>
      </c>
      <c r="CS543" s="340" t="s">
        <v>304</v>
      </c>
      <c r="CT543" s="1384"/>
      <c r="CZ543" s="1795">
        <v>54.1</v>
      </c>
      <c r="DA543" s="338" t="s">
        <v>331</v>
      </c>
      <c r="DF543" s="340">
        <v>106.01</v>
      </c>
      <c r="DG543" s="340" t="s">
        <v>302</v>
      </c>
      <c r="DP543" s="236">
        <v>142.02000000000001</v>
      </c>
      <c r="DQ543" s="236" t="s">
        <v>338</v>
      </c>
      <c r="DV543" s="340">
        <v>41.06</v>
      </c>
      <c r="DW543" s="340" t="s">
        <v>331</v>
      </c>
      <c r="DX543" s="1671"/>
      <c r="EB543" s="618"/>
      <c r="EC543" s="618"/>
      <c r="ED543" s="618"/>
      <c r="EE543" s="618"/>
      <c r="EF543" s="618"/>
      <c r="EG543" s="618"/>
      <c r="EH543" s="618"/>
      <c r="EI543" s="618"/>
      <c r="EJ543" s="618"/>
      <c r="EK543" s="618"/>
      <c r="EL543" s="618"/>
      <c r="EM543" s="618"/>
    </row>
    <row r="544" spans="6:143">
      <c r="F544" s="338">
        <v>178</v>
      </c>
      <c r="G544" s="338" t="s">
        <v>331</v>
      </c>
      <c r="L544" s="2481">
        <v>133.01</v>
      </c>
      <c r="M544" s="340" t="s">
        <v>302</v>
      </c>
      <c r="N544" s="1390"/>
      <c r="O544" s="2479"/>
      <c r="P544" s="2282"/>
      <c r="AA544" s="338">
        <v>167.27</v>
      </c>
      <c r="AB544" s="338" t="s">
        <v>302</v>
      </c>
      <c r="AG544" s="2297">
        <v>42.08</v>
      </c>
      <c r="AH544" s="2297" t="s">
        <v>331</v>
      </c>
      <c r="AI544" s="1390"/>
      <c r="AJ544" s="2282"/>
      <c r="AK544" s="2282"/>
      <c r="AL544" s="1037"/>
      <c r="AR544" s="338">
        <v>112.06</v>
      </c>
      <c r="AS544" s="338" t="s">
        <v>331</v>
      </c>
      <c r="AX544" s="340">
        <v>11</v>
      </c>
      <c r="AY544" s="340" t="s">
        <v>302</v>
      </c>
      <c r="BH544" s="338">
        <v>142</v>
      </c>
      <c r="BI544" s="338" t="s">
        <v>316</v>
      </c>
      <c r="BN544" s="340">
        <v>37.03</v>
      </c>
      <c r="BO544" s="340" t="s">
        <v>331</v>
      </c>
      <c r="BP544" s="1385"/>
      <c r="BQ544" s="1388"/>
      <c r="BV544" s="338">
        <v>703.16</v>
      </c>
      <c r="BW544" s="338" t="s">
        <v>289</v>
      </c>
      <c r="CB544" s="340">
        <v>21.01</v>
      </c>
      <c r="CC544" s="340" t="s">
        <v>302</v>
      </c>
      <c r="CE544" s="341" t="str">
        <f t="array" ref="CE544">IFERROR(IF($CE$11="Metro",INDEX($BV$13:$BV$4972,SMALL(IF((County=$BW$13:$BW$4972),MATCH(ROW($BW$13:$BW$4972),ROW($BW$13:$BW$4972)),""),ROWS($A$13:$A602))),INDEX($BY$13:$BY$212,SMALL(IF((County=$BZ$13:$BZ$212),MATCH(ROW($BZ$13:$BZ$212),ROW($BZ$13:$BZ$212)),""),ROWS($A$13:$A602)))),"")</f>
        <v/>
      </c>
      <c r="CL544" s="236">
        <v>15.09</v>
      </c>
      <c r="CM544" s="236" t="s">
        <v>347</v>
      </c>
      <c r="CR544" s="340">
        <v>36.119999999999997</v>
      </c>
      <c r="CS544" s="340" t="s">
        <v>304</v>
      </c>
      <c r="CT544" s="1384"/>
      <c r="CZ544" s="1795">
        <v>55.06</v>
      </c>
      <c r="DA544" s="338" t="s">
        <v>331</v>
      </c>
      <c r="DF544" s="340">
        <v>119.01</v>
      </c>
      <c r="DG544" s="340" t="s">
        <v>302</v>
      </c>
      <c r="DP544" s="236">
        <v>142.03</v>
      </c>
      <c r="DQ544" s="236" t="s">
        <v>344</v>
      </c>
      <c r="DV544" s="340">
        <v>42</v>
      </c>
      <c r="DW544" s="340" t="s">
        <v>316</v>
      </c>
      <c r="DX544" s="1671"/>
      <c r="EB544" s="618"/>
      <c r="EC544" s="618"/>
      <c r="ED544" s="618"/>
      <c r="EE544" s="618"/>
      <c r="EF544" s="618"/>
      <c r="EG544" s="618"/>
      <c r="EH544" s="618"/>
      <c r="EI544" s="618"/>
      <c r="EJ544" s="618"/>
      <c r="EK544" s="618"/>
      <c r="EL544" s="618"/>
      <c r="EM544" s="618"/>
    </row>
    <row r="545" spans="6:143">
      <c r="F545" s="338">
        <v>202</v>
      </c>
      <c r="G545" s="338" t="s">
        <v>331</v>
      </c>
      <c r="L545" s="2481">
        <v>134.04</v>
      </c>
      <c r="M545" s="340" t="s">
        <v>302</v>
      </c>
      <c r="N545" s="1390"/>
      <c r="O545" s="2479"/>
      <c r="P545" s="2282"/>
      <c r="AA545" s="338">
        <v>167.33</v>
      </c>
      <c r="AB545" s="338" t="s">
        <v>338</v>
      </c>
      <c r="AG545" s="2297">
        <v>43</v>
      </c>
      <c r="AH545" s="2297" t="s">
        <v>340</v>
      </c>
      <c r="AI545" s="1390"/>
      <c r="AJ545" s="2282"/>
      <c r="AK545" s="2282"/>
      <c r="AL545" s="1037"/>
      <c r="AR545" s="338">
        <v>113.01</v>
      </c>
      <c r="AS545" s="338" t="s">
        <v>331</v>
      </c>
      <c r="AX545" s="340">
        <v>21.01</v>
      </c>
      <c r="AY545" s="340" t="s">
        <v>302</v>
      </c>
      <c r="BH545" s="338">
        <v>142.01</v>
      </c>
      <c r="BI545" s="338" t="s">
        <v>344</v>
      </c>
      <c r="BN545" s="340">
        <v>37.04</v>
      </c>
      <c r="BO545" s="340" t="s">
        <v>331</v>
      </c>
      <c r="BP545" s="1385"/>
      <c r="BQ545" s="1388"/>
      <c r="BV545" s="338">
        <v>703.18</v>
      </c>
      <c r="BW545" s="338" t="s">
        <v>289</v>
      </c>
      <c r="CB545" s="340">
        <v>21.02</v>
      </c>
      <c r="CC545" s="340" t="s">
        <v>302</v>
      </c>
      <c r="CE545" s="341" t="str">
        <f t="array" ref="CE545">IFERROR(IF($CE$11="Metro",INDEX($BV$13:$BV$4972,SMALL(IF((County=$BW$13:$BW$4972),MATCH(ROW($BW$13:$BW$4972),ROW($BW$13:$BW$4972)),""),ROWS($A$13:$A603))),INDEX($BY$13:$BY$212,SMALL(IF((County=$BZ$13:$BZ$212),MATCH(ROW($BZ$13:$BZ$212),ROW($BZ$13:$BZ$212)),""),ROWS($A$13:$A603)))),"")</f>
        <v/>
      </c>
      <c r="CL545" s="236">
        <v>15.1</v>
      </c>
      <c r="CM545" s="236" t="s">
        <v>347</v>
      </c>
      <c r="CR545" s="340">
        <v>36.130000000000003</v>
      </c>
      <c r="CS545" s="340" t="s">
        <v>304</v>
      </c>
      <c r="CT545" s="1384"/>
      <c r="CZ545" s="1795">
        <v>57.05</v>
      </c>
      <c r="DA545" s="338" t="s">
        <v>331</v>
      </c>
      <c r="DF545" s="340">
        <v>119.03</v>
      </c>
      <c r="DG545" s="340" t="s">
        <v>302</v>
      </c>
      <c r="DP545" s="236">
        <v>143.01</v>
      </c>
      <c r="DQ545" s="236" t="s">
        <v>344</v>
      </c>
      <c r="DV545" s="340">
        <v>42.05</v>
      </c>
      <c r="DW545" s="340" t="s">
        <v>331</v>
      </c>
      <c r="DX545" s="1671"/>
      <c r="EB545" s="618"/>
      <c r="EC545" s="618"/>
      <c r="ED545" s="618"/>
      <c r="EE545" s="618"/>
      <c r="EF545" s="618"/>
      <c r="EG545" s="618"/>
      <c r="EH545" s="618"/>
      <c r="EI545" s="618"/>
      <c r="EJ545" s="618"/>
      <c r="EK545" s="618"/>
      <c r="EL545" s="618"/>
      <c r="EM545" s="618"/>
    </row>
    <row r="546" spans="6:143">
      <c r="F546" s="338">
        <v>503.05</v>
      </c>
      <c r="G546" s="338" t="s">
        <v>335</v>
      </c>
      <c r="L546" s="2481">
        <v>135.02000000000001</v>
      </c>
      <c r="M546" s="340" t="s">
        <v>302</v>
      </c>
      <c r="N546" s="1390"/>
      <c r="O546" s="2479"/>
      <c r="P546" s="2282"/>
      <c r="AA546" s="338">
        <v>167.39</v>
      </c>
      <c r="AB546" s="338" t="s">
        <v>338</v>
      </c>
      <c r="AG546" s="2297">
        <v>43.01</v>
      </c>
      <c r="AH546" s="2297" t="s">
        <v>331</v>
      </c>
      <c r="AI546" s="1390"/>
      <c r="AJ546" s="2282"/>
      <c r="AK546" s="2282"/>
      <c r="AL546" s="1037"/>
      <c r="AR546" s="338">
        <v>113.02</v>
      </c>
      <c r="AS546" s="338" t="s">
        <v>331</v>
      </c>
      <c r="AX546" s="340">
        <v>21.02</v>
      </c>
      <c r="AY546" s="340" t="s">
        <v>302</v>
      </c>
      <c r="BH546" s="338">
        <v>142.03</v>
      </c>
      <c r="BI546" s="338" t="s">
        <v>344</v>
      </c>
      <c r="BN546" s="340">
        <v>37.049999999999997</v>
      </c>
      <c r="BO546" s="340" t="s">
        <v>331</v>
      </c>
      <c r="BP546" s="1385"/>
      <c r="BQ546" s="1388"/>
      <c r="BV546" s="338">
        <v>703.19</v>
      </c>
      <c r="BW546" s="338" t="s">
        <v>289</v>
      </c>
      <c r="CB546" s="340">
        <v>22</v>
      </c>
      <c r="CC546" s="340" t="s">
        <v>302</v>
      </c>
      <c r="CE546" s="341" t="str">
        <f t="array" ref="CE546">IFERROR(IF($CE$11="Metro",INDEX($BV$13:$BV$4972,SMALL(IF((County=$BW$13:$BW$4972),MATCH(ROW($BW$13:$BW$4972),ROW($BW$13:$BW$4972)),""),ROWS($A$13:$A604))),INDEX($BY$13:$BY$212,SMALL(IF((County=$BZ$13:$BZ$212),MATCH(ROW($BZ$13:$BZ$212),ROW($BZ$13:$BZ$212)),""),ROWS($A$13:$A604)))),"")</f>
        <v/>
      </c>
      <c r="CL546" s="236">
        <v>15.11</v>
      </c>
      <c r="CM546" s="236" t="s">
        <v>347</v>
      </c>
      <c r="CR546" s="340">
        <v>37</v>
      </c>
      <c r="CS546" s="340" t="s">
        <v>304</v>
      </c>
      <c r="CT546" s="1384"/>
      <c r="CZ546" s="1795">
        <v>57.06</v>
      </c>
      <c r="DA546" s="338" t="s">
        <v>331</v>
      </c>
      <c r="DF546" s="340">
        <v>119.04</v>
      </c>
      <c r="DG546" s="340" t="s">
        <v>302</v>
      </c>
      <c r="DP546" s="236">
        <v>143.02000000000001</v>
      </c>
      <c r="DQ546" s="236" t="s">
        <v>338</v>
      </c>
      <c r="DV546" s="340">
        <v>42.05</v>
      </c>
      <c r="DW546" s="340" t="s">
        <v>340</v>
      </c>
      <c r="DX546" s="1671"/>
      <c r="EB546" s="618"/>
      <c r="EC546" s="618"/>
      <c r="ED546" s="618"/>
      <c r="EE546" s="618"/>
      <c r="EF546" s="618"/>
      <c r="EG546" s="618"/>
      <c r="EH546" s="618"/>
      <c r="EI546" s="618"/>
      <c r="EJ546" s="618"/>
      <c r="EK546" s="618"/>
      <c r="EL546" s="618"/>
      <c r="EM546" s="618"/>
    </row>
    <row r="547" spans="6:143">
      <c r="F547" s="338">
        <v>219.01</v>
      </c>
      <c r="G547" s="338" t="s">
        <v>336</v>
      </c>
      <c r="L547" s="2481">
        <v>135.22</v>
      </c>
      <c r="M547" s="340" t="s">
        <v>302</v>
      </c>
      <c r="N547" s="1390"/>
      <c r="O547" s="2479"/>
      <c r="P547" s="2282"/>
      <c r="AA547" s="338">
        <v>169.02</v>
      </c>
      <c r="AB547" s="338" t="s">
        <v>338</v>
      </c>
      <c r="AG547" s="2297">
        <v>43.04</v>
      </c>
      <c r="AH547" s="2297" t="s">
        <v>331</v>
      </c>
      <c r="AI547" s="1390"/>
      <c r="AJ547" s="2282"/>
      <c r="AK547" s="2282"/>
      <c r="AL547" s="1037"/>
      <c r="AR547" s="338">
        <v>114.05</v>
      </c>
      <c r="AS547" s="338" t="s">
        <v>331</v>
      </c>
      <c r="AX547" s="340">
        <v>22</v>
      </c>
      <c r="AY547" s="340" t="s">
        <v>302</v>
      </c>
      <c r="BH547" s="338">
        <v>143.01</v>
      </c>
      <c r="BI547" s="338" t="s">
        <v>344</v>
      </c>
      <c r="BN547" s="340">
        <v>37.07</v>
      </c>
      <c r="BO547" s="340" t="s">
        <v>331</v>
      </c>
      <c r="BP547" s="1385"/>
      <c r="BQ547" s="1389"/>
      <c r="BR547" s="6"/>
      <c r="BV547" s="338">
        <v>703.2</v>
      </c>
      <c r="BW547" s="338" t="s">
        <v>289</v>
      </c>
      <c r="CB547" s="340">
        <v>23</v>
      </c>
      <c r="CC547" s="340" t="s">
        <v>302</v>
      </c>
      <c r="CE547" s="341" t="str">
        <f t="array" ref="CE547">IFERROR(IF($CE$11="Metro",INDEX($BV$13:$BV$4972,SMALL(IF((County=$BW$13:$BW$4972),MATCH(ROW($BW$13:$BW$4972),ROW($BW$13:$BW$4972)),""),ROWS($A$13:$A605))),INDEX($BY$13:$BY$212,SMALL(IF((County=$BZ$13:$BZ$212),MATCH(ROW($BZ$13:$BZ$212),ROW($BZ$13:$BZ$212)),""),ROWS($A$13:$A605)))),"")</f>
        <v/>
      </c>
      <c r="CL547" s="338">
        <v>15.14</v>
      </c>
      <c r="CM547" s="338" t="s">
        <v>276</v>
      </c>
      <c r="CR547" s="340">
        <v>37.03</v>
      </c>
      <c r="CS547" s="340" t="s">
        <v>331</v>
      </c>
      <c r="CT547" s="1384"/>
      <c r="CZ547" s="1795">
        <v>57.07</v>
      </c>
      <c r="DA547" s="338" t="s">
        <v>331</v>
      </c>
      <c r="DF547" s="340">
        <v>123</v>
      </c>
      <c r="DG547" s="340" t="s">
        <v>302</v>
      </c>
      <c r="DP547" s="236">
        <v>143.11000000000001</v>
      </c>
      <c r="DQ547" s="236" t="s">
        <v>302</v>
      </c>
      <c r="DV547" s="340">
        <v>42.07</v>
      </c>
      <c r="DW547" s="340" t="s">
        <v>331</v>
      </c>
      <c r="DX547" s="1671"/>
      <c r="EB547" s="618"/>
      <c r="EC547" s="618"/>
      <c r="ED547" s="618"/>
      <c r="EE547" s="618"/>
      <c r="EF547" s="618"/>
      <c r="EG547" s="618"/>
      <c r="EH547" s="618"/>
      <c r="EI547" s="618"/>
      <c r="EJ547" s="618"/>
      <c r="EK547" s="618"/>
      <c r="EL547" s="618"/>
      <c r="EM547" s="618"/>
    </row>
    <row r="548" spans="6:143">
      <c r="F548" s="338">
        <v>220.01</v>
      </c>
      <c r="G548" s="338" t="s">
        <v>336</v>
      </c>
      <c r="L548" s="2481">
        <v>135.25</v>
      </c>
      <c r="M548" s="340" t="s">
        <v>302</v>
      </c>
      <c r="N548" s="1390"/>
      <c r="O548" s="2479"/>
      <c r="P548" s="2282"/>
      <c r="AA548" s="338">
        <v>169.04</v>
      </c>
      <c r="AB548" s="338" t="s">
        <v>338</v>
      </c>
      <c r="AG548" s="2297">
        <v>44.05</v>
      </c>
      <c r="AH548" s="2297" t="s">
        <v>331</v>
      </c>
      <c r="AI548" s="1390"/>
      <c r="AJ548" s="2282"/>
      <c r="AK548" s="2282"/>
      <c r="AL548" s="1037"/>
      <c r="AR548" s="338">
        <v>114.06</v>
      </c>
      <c r="AS548" s="338" t="s">
        <v>331</v>
      </c>
      <c r="AX548" s="340">
        <v>23</v>
      </c>
      <c r="AY548" s="340" t="s">
        <v>302</v>
      </c>
      <c r="BH548" s="338">
        <v>143.02000000000001</v>
      </c>
      <c r="BI548" s="338" t="s">
        <v>338</v>
      </c>
      <c r="BN548" s="340">
        <v>37.08</v>
      </c>
      <c r="BO548" s="340" t="s">
        <v>331</v>
      </c>
      <c r="BP548" s="1385"/>
      <c r="BQ548" s="1388"/>
      <c r="BV548" s="338">
        <v>703.21</v>
      </c>
      <c r="BW548" s="338" t="s">
        <v>289</v>
      </c>
      <c r="CB548" s="340">
        <v>24</v>
      </c>
      <c r="CC548" s="340" t="s">
        <v>302</v>
      </c>
      <c r="CE548" s="341" t="str">
        <f t="array" ref="CE548">IFERROR(IF($CE$11="Metro",INDEX($BV$13:$BV$4972,SMALL(IF((County=$BW$13:$BW$4972),MATCH(ROW($BW$13:$BW$4972),ROW($BW$13:$BW$4972)),""),ROWS($A$13:$A606))),INDEX($BY$13:$BY$212,SMALL(IF((County=$BZ$13:$BZ$212),MATCH(ROW($BZ$13:$BZ$212),ROW($BZ$13:$BZ$212)),""),ROWS($A$13:$A606)))),"")</f>
        <v/>
      </c>
      <c r="CL548" s="338">
        <v>15.15</v>
      </c>
      <c r="CM548" s="338" t="s">
        <v>276</v>
      </c>
      <c r="CR548" s="340">
        <v>37.04</v>
      </c>
      <c r="CS548" s="340" t="s">
        <v>331</v>
      </c>
      <c r="CT548" s="1384"/>
      <c r="CZ548" s="1795">
        <v>57.08</v>
      </c>
      <c r="DA548" s="338" t="s">
        <v>331</v>
      </c>
      <c r="DF548" s="340">
        <v>124</v>
      </c>
      <c r="DG548" s="340" t="s">
        <v>302</v>
      </c>
      <c r="DP548" s="236">
        <v>145.02000000000001</v>
      </c>
      <c r="DQ548" s="236" t="s">
        <v>338</v>
      </c>
      <c r="DV548" s="340">
        <v>42.08</v>
      </c>
      <c r="DW548" s="340" t="s">
        <v>331</v>
      </c>
      <c r="DX548" s="1671"/>
      <c r="EB548" s="618"/>
      <c r="EC548" s="618"/>
      <c r="ED548" s="618"/>
      <c r="EE548" s="618"/>
      <c r="EF548" s="618"/>
      <c r="EG548" s="618"/>
      <c r="EH548" s="618"/>
      <c r="EI548" s="618"/>
      <c r="EJ548" s="618"/>
      <c r="EK548" s="618"/>
      <c r="EL548" s="618"/>
      <c r="EM548" s="618"/>
    </row>
    <row r="549" spans="6:143">
      <c r="F549" s="338">
        <v>226</v>
      </c>
      <c r="G549" s="338" t="s">
        <v>336</v>
      </c>
      <c r="L549" s="2481">
        <v>135.26</v>
      </c>
      <c r="M549" s="340" t="s">
        <v>302</v>
      </c>
      <c r="N549" s="1390"/>
      <c r="O549" s="2479"/>
      <c r="P549" s="2282"/>
      <c r="AA549" s="338">
        <v>169.06</v>
      </c>
      <c r="AB549" s="338" t="s">
        <v>338</v>
      </c>
      <c r="AG549" s="2297">
        <v>44.06</v>
      </c>
      <c r="AH549" s="2297" t="s">
        <v>331</v>
      </c>
      <c r="AI549" s="1390"/>
      <c r="AJ549" s="2282"/>
      <c r="AK549" s="2282"/>
      <c r="AL549" s="1037"/>
      <c r="AR549" s="338">
        <v>114.07</v>
      </c>
      <c r="AS549" s="338" t="s">
        <v>331</v>
      </c>
      <c r="AX549" s="340">
        <v>24</v>
      </c>
      <c r="AY549" s="340" t="s">
        <v>302</v>
      </c>
      <c r="BH549" s="338">
        <v>143.11000000000001</v>
      </c>
      <c r="BI549" s="338" t="s">
        <v>302</v>
      </c>
      <c r="BN549" s="340">
        <v>37.090000000000003</v>
      </c>
      <c r="BO549" s="340" t="s">
        <v>331</v>
      </c>
      <c r="BP549" s="1385"/>
      <c r="BQ549" s="1388"/>
      <c r="BV549" s="338">
        <v>703.23</v>
      </c>
      <c r="BW549" s="338" t="s">
        <v>289</v>
      </c>
      <c r="CB549" s="340">
        <v>25.02</v>
      </c>
      <c r="CC549" s="340" t="s">
        <v>302</v>
      </c>
      <c r="CE549" s="341" t="str">
        <f t="array" ref="CE549">IFERROR(IF($CE$11="Metro",INDEX($BV$13:$BV$4972,SMALL(IF((County=$BW$13:$BW$4972),MATCH(ROW($BW$13:$BW$4972),ROW($BW$13:$BW$4972)),""),ROWS($A$13:$A607))),INDEX($BY$13:$BY$212,SMALL(IF((County=$BZ$13:$BZ$212),MATCH(ROW($BZ$13:$BZ$212),ROW($BZ$13:$BZ$212)),""),ROWS($A$13:$A607)))),"")</f>
        <v/>
      </c>
      <c r="CL549" s="338">
        <v>15.16</v>
      </c>
      <c r="CM549" s="338" t="s">
        <v>276</v>
      </c>
      <c r="CR549" s="340">
        <v>37.049999999999997</v>
      </c>
      <c r="CS549" s="340" t="s">
        <v>331</v>
      </c>
      <c r="CT549" s="1384"/>
      <c r="CZ549" s="1795">
        <v>59.03</v>
      </c>
      <c r="DA549" s="338" t="s">
        <v>331</v>
      </c>
      <c r="DF549" s="340">
        <v>127.03</v>
      </c>
      <c r="DG549" s="340" t="s">
        <v>302</v>
      </c>
      <c r="DP549" s="236">
        <v>145.02000000000001</v>
      </c>
      <c r="DQ549" s="236" t="s">
        <v>344</v>
      </c>
      <c r="DV549" s="340">
        <v>43</v>
      </c>
      <c r="DW549" s="340" t="s">
        <v>340</v>
      </c>
      <c r="DX549" s="1671"/>
      <c r="EB549" s="618"/>
      <c r="EC549" s="618"/>
      <c r="ED549" s="618"/>
      <c r="EE549" s="618"/>
      <c r="EF549" s="618"/>
      <c r="EG549" s="618"/>
      <c r="EH549" s="618"/>
      <c r="EI549" s="618"/>
      <c r="EJ549" s="618"/>
      <c r="EK549" s="618"/>
      <c r="EL549" s="618"/>
      <c r="EM549" s="618"/>
    </row>
    <row r="550" spans="6:143">
      <c r="F550" s="338">
        <v>228</v>
      </c>
      <c r="G550" s="338" t="s">
        <v>336</v>
      </c>
      <c r="L550" s="2481">
        <v>137.22999999999999</v>
      </c>
      <c r="M550" s="340" t="s">
        <v>302</v>
      </c>
      <c r="N550" s="1390"/>
      <c r="O550" s="2479"/>
      <c r="P550" s="2282"/>
      <c r="AA550" s="338">
        <v>169.07</v>
      </c>
      <c r="AB550" s="338" t="s">
        <v>338</v>
      </c>
      <c r="AG550" s="2297">
        <v>45</v>
      </c>
      <c r="AH550" s="2297" t="s">
        <v>331</v>
      </c>
      <c r="AI550" s="1390"/>
      <c r="AJ550" s="2282"/>
      <c r="AK550" s="2282"/>
      <c r="AL550" s="1037"/>
      <c r="AR550" s="338">
        <v>114.08</v>
      </c>
      <c r="AS550" s="338" t="s">
        <v>331</v>
      </c>
      <c r="AX550" s="340">
        <v>25.02</v>
      </c>
      <c r="AY550" s="340" t="s">
        <v>302</v>
      </c>
      <c r="BH550" s="338">
        <v>145.02000000000001</v>
      </c>
      <c r="BI550" s="338" t="s">
        <v>338</v>
      </c>
      <c r="BN550" s="340">
        <v>37.1</v>
      </c>
      <c r="BO550" s="340" t="s">
        <v>331</v>
      </c>
      <c r="BP550" s="1385"/>
      <c r="BQ550" s="1388"/>
      <c r="BV550" s="338">
        <v>703.24</v>
      </c>
      <c r="BW550" s="338" t="s">
        <v>289</v>
      </c>
      <c r="CB550" s="340">
        <v>101.01</v>
      </c>
      <c r="CC550" s="340" t="s">
        <v>302</v>
      </c>
      <c r="CE550" s="341" t="str">
        <f t="array" ref="CE550">IFERROR(IF($CE$11="Metro",INDEX($BV$13:$BV$4972,SMALL(IF((County=$BW$13:$BW$4972),MATCH(ROW($BW$13:$BW$4972),ROW($BW$13:$BW$4972)),""),ROWS($A$13:$A608))),INDEX($BY$13:$BY$212,SMALL(IF((County=$BZ$13:$BZ$212),MATCH(ROW($BZ$13:$BZ$212),ROW($BZ$13:$BZ$212)),""),ROWS($A$13:$A608)))),"")</f>
        <v/>
      </c>
      <c r="CL550" s="338">
        <v>15.17</v>
      </c>
      <c r="CM550" s="338" t="s">
        <v>276</v>
      </c>
      <c r="CR550" s="340">
        <v>37.06</v>
      </c>
      <c r="CS550" s="340" t="s">
        <v>331</v>
      </c>
      <c r="CT550" s="1384"/>
      <c r="CZ550" s="1795">
        <v>63.03</v>
      </c>
      <c r="DA550" s="338" t="s">
        <v>331</v>
      </c>
      <c r="DF550" s="340">
        <v>130</v>
      </c>
      <c r="DG550" s="340" t="s">
        <v>302</v>
      </c>
      <c r="DP550" s="236">
        <v>145.03</v>
      </c>
      <c r="DQ550" s="236" t="s">
        <v>338</v>
      </c>
      <c r="DV550" s="340">
        <v>43.01</v>
      </c>
      <c r="DW550" s="340" t="s">
        <v>331</v>
      </c>
      <c r="DX550" s="1671"/>
      <c r="EB550" s="618"/>
      <c r="EC550" s="618"/>
      <c r="ED550" s="618"/>
      <c r="EE550" s="618"/>
      <c r="EF550" s="618"/>
      <c r="EG550" s="618"/>
      <c r="EH550" s="618"/>
      <c r="EI550" s="618"/>
      <c r="EJ550" s="618"/>
      <c r="EK550" s="618"/>
      <c r="EL550" s="618"/>
      <c r="EM550" s="618"/>
    </row>
    <row r="551" spans="6:143">
      <c r="F551" s="338">
        <v>104</v>
      </c>
      <c r="G551" s="338" t="s">
        <v>338</v>
      </c>
      <c r="L551" s="2481">
        <v>137.29</v>
      </c>
      <c r="M551" s="340" t="s">
        <v>302</v>
      </c>
      <c r="N551" s="1390"/>
      <c r="O551" s="2479"/>
      <c r="P551" s="2282"/>
      <c r="AA551" s="338">
        <v>169.08</v>
      </c>
      <c r="AB551" s="338" t="s">
        <v>338</v>
      </c>
      <c r="AG551" s="2297">
        <v>46.01</v>
      </c>
      <c r="AH551" s="2297" t="s">
        <v>316</v>
      </c>
      <c r="AI551" s="1390"/>
      <c r="AJ551" s="2282"/>
      <c r="AK551" s="2282"/>
      <c r="AL551" s="1037"/>
      <c r="AR551" s="338">
        <v>117.01</v>
      </c>
      <c r="AS551" s="338" t="s">
        <v>331</v>
      </c>
      <c r="AX551" s="340">
        <v>101.01</v>
      </c>
      <c r="AY551" s="340" t="s">
        <v>302</v>
      </c>
      <c r="BH551" s="338">
        <v>145.02000000000001</v>
      </c>
      <c r="BI551" s="338" t="s">
        <v>344</v>
      </c>
      <c r="BN551" s="340">
        <v>38</v>
      </c>
      <c r="BO551" s="340" t="s">
        <v>304</v>
      </c>
      <c r="BP551" s="1385"/>
      <c r="BQ551" s="1388"/>
      <c r="BV551" s="338">
        <v>703.25</v>
      </c>
      <c r="BW551" s="338" t="s">
        <v>289</v>
      </c>
      <c r="CB551" s="340">
        <v>101.04</v>
      </c>
      <c r="CC551" s="340" t="s">
        <v>302</v>
      </c>
      <c r="CE551" s="341" t="str">
        <f t="array" ref="CE551">IFERROR(IF($CE$11="Metro",INDEX($BV$13:$BV$4972,SMALL(IF((County=$BW$13:$BW$4972),MATCH(ROW($BW$13:$BW$4972),ROW($BW$13:$BW$4972)),""),ROWS($A$13:$A609))),INDEX($BY$13:$BY$212,SMALL(IF((County=$BZ$13:$BZ$212),MATCH(ROW($BZ$13:$BZ$212),ROW($BZ$13:$BZ$212)),""),ROWS($A$13:$A609)))),"")</f>
        <v/>
      </c>
      <c r="CL551" s="338">
        <v>15.19</v>
      </c>
      <c r="CM551" s="338" t="s">
        <v>276</v>
      </c>
      <c r="CR551" s="340">
        <v>37.07</v>
      </c>
      <c r="CS551" s="340" t="s">
        <v>331</v>
      </c>
      <c r="CT551" s="1384"/>
      <c r="CZ551" s="1795">
        <v>63.04</v>
      </c>
      <c r="DA551" s="338" t="s">
        <v>331</v>
      </c>
      <c r="DF551" s="340">
        <v>131</v>
      </c>
      <c r="DG551" s="340" t="s">
        <v>302</v>
      </c>
      <c r="DP551" s="236">
        <v>146.01</v>
      </c>
      <c r="DQ551" s="236" t="s">
        <v>331</v>
      </c>
      <c r="DV551" s="340">
        <v>43.03</v>
      </c>
      <c r="DW551" s="340" t="s">
        <v>331</v>
      </c>
      <c r="DX551" s="1671"/>
      <c r="EB551" s="618"/>
      <c r="EC551" s="618"/>
      <c r="ED551" s="618"/>
      <c r="EE551" s="618"/>
      <c r="EF551" s="618"/>
      <c r="EG551" s="618"/>
      <c r="EH551" s="618"/>
      <c r="EI551" s="618"/>
      <c r="EJ551" s="618"/>
      <c r="EK551" s="618"/>
      <c r="EL551" s="618"/>
      <c r="EM551" s="618"/>
    </row>
    <row r="552" spans="6:143">
      <c r="F552" s="338">
        <v>105</v>
      </c>
      <c r="G552" s="338" t="s">
        <v>338</v>
      </c>
      <c r="L552" s="2481">
        <v>137.30000000000001</v>
      </c>
      <c r="M552" s="340" t="s">
        <v>302</v>
      </c>
      <c r="N552" s="1390"/>
      <c r="O552" s="2479"/>
      <c r="P552" s="2282"/>
      <c r="AA552" s="338">
        <v>170.19</v>
      </c>
      <c r="AB552" s="338" t="s">
        <v>338</v>
      </c>
      <c r="AG552" s="2297">
        <v>46.02</v>
      </c>
      <c r="AH552" s="2297" t="s">
        <v>316</v>
      </c>
      <c r="AI552" s="1390"/>
      <c r="AJ552" s="2282"/>
      <c r="AK552" s="2282"/>
      <c r="AL552" s="1037"/>
      <c r="AR552" s="338">
        <v>117.02</v>
      </c>
      <c r="AS552" s="338" t="s">
        <v>331</v>
      </c>
      <c r="AX552" s="340">
        <v>101.04</v>
      </c>
      <c r="AY552" s="340" t="s">
        <v>302</v>
      </c>
      <c r="BH552" s="338">
        <v>145.03</v>
      </c>
      <c r="BI552" s="338" t="s">
        <v>338</v>
      </c>
      <c r="BN552" s="340">
        <v>38.01</v>
      </c>
      <c r="BO552" s="340" t="s">
        <v>331</v>
      </c>
      <c r="BP552" s="1385"/>
      <c r="BQ552" s="1388"/>
      <c r="BV552" s="338">
        <v>703.26</v>
      </c>
      <c r="BW552" s="338" t="s">
        <v>289</v>
      </c>
      <c r="CB552" s="340">
        <v>101.05</v>
      </c>
      <c r="CC552" s="340" t="s">
        <v>302</v>
      </c>
      <c r="CE552" s="341" t="str">
        <f t="array" ref="CE552">IFERROR(IF($CE$11="Metro",INDEX($BV$13:$BV$4972,SMALL(IF((County=$BW$13:$BW$4972),MATCH(ROW($BW$13:$BW$4972),ROW($BW$13:$BW$4972)),""),ROWS($A$13:$A610))),INDEX($BY$13:$BY$212,SMALL(IF((County=$BZ$13:$BZ$212),MATCH(ROW($BZ$13:$BZ$212),ROW($BZ$13:$BZ$212)),""),ROWS($A$13:$A610)))),"")</f>
        <v/>
      </c>
      <c r="CL552" s="338">
        <v>15.22</v>
      </c>
      <c r="CM552" s="338" t="s">
        <v>276</v>
      </c>
      <c r="CR552" s="340">
        <v>37.08</v>
      </c>
      <c r="CS552" s="340" t="s">
        <v>331</v>
      </c>
      <c r="CT552" s="1384"/>
      <c r="CZ552" s="1795">
        <v>64.010000000000005</v>
      </c>
      <c r="DA552" s="338" t="s">
        <v>331</v>
      </c>
      <c r="DF552" s="340">
        <v>132</v>
      </c>
      <c r="DG552" s="340" t="s">
        <v>302</v>
      </c>
      <c r="DP552" s="236">
        <v>146.01</v>
      </c>
      <c r="DQ552" s="236" t="s">
        <v>338</v>
      </c>
      <c r="DV552" s="340">
        <v>43.04</v>
      </c>
      <c r="DW552" s="340" t="s">
        <v>331</v>
      </c>
      <c r="DX552" s="1671"/>
      <c r="EB552" s="618"/>
      <c r="EC552" s="618"/>
      <c r="ED552" s="618"/>
      <c r="EE552" s="618"/>
      <c r="EF552" s="618"/>
      <c r="EG552" s="618"/>
      <c r="EH552" s="618"/>
      <c r="EI552" s="618"/>
      <c r="EJ552" s="618"/>
      <c r="EK552" s="618"/>
      <c r="EL552" s="618"/>
      <c r="EM552" s="618"/>
    </row>
    <row r="553" spans="6:143">
      <c r="F553" s="338">
        <v>117.02</v>
      </c>
      <c r="G553" s="338" t="s">
        <v>338</v>
      </c>
      <c r="L553" s="2481">
        <v>137.31</v>
      </c>
      <c r="M553" s="340" t="s">
        <v>302</v>
      </c>
      <c r="N553" s="1390"/>
      <c r="O553" s="2479"/>
      <c r="P553" s="2282"/>
      <c r="AA553" s="338">
        <v>171.01</v>
      </c>
      <c r="AB553" s="338" t="s">
        <v>331</v>
      </c>
      <c r="AG553" s="2297">
        <v>46.02</v>
      </c>
      <c r="AH553" s="2297" t="s">
        <v>331</v>
      </c>
      <c r="AI553" s="1390"/>
      <c r="AJ553" s="2282"/>
      <c r="AK553" s="2282"/>
      <c r="AL553" s="1037"/>
      <c r="AR553" s="338">
        <v>120.01</v>
      </c>
      <c r="AS553" s="338" t="s">
        <v>331</v>
      </c>
      <c r="AX553" s="340">
        <v>101.05</v>
      </c>
      <c r="AY553" s="340" t="s">
        <v>302</v>
      </c>
      <c r="BH553" s="338">
        <v>146.01</v>
      </c>
      <c r="BI553" s="338" t="s">
        <v>331</v>
      </c>
      <c r="BN553" s="340">
        <v>38.020000000000003</v>
      </c>
      <c r="BO553" s="340" t="s">
        <v>340</v>
      </c>
      <c r="BP553" s="1385"/>
      <c r="BQ553" s="1388"/>
      <c r="BV553" s="338">
        <v>703.27</v>
      </c>
      <c r="BW553" s="338" t="s">
        <v>289</v>
      </c>
      <c r="CB553" s="340">
        <v>101.06</v>
      </c>
      <c r="CC553" s="340" t="s">
        <v>302</v>
      </c>
      <c r="CE553" s="341" t="str">
        <f t="array" ref="CE553">IFERROR(IF($CE$11="Metro",INDEX($BV$13:$BV$4972,SMALL(IF((County=$BW$13:$BW$4972),MATCH(ROW($BW$13:$BW$4972),ROW($BW$13:$BW$4972)),""),ROWS($A$13:$A611))),INDEX($BY$13:$BY$212,SMALL(IF((County=$BZ$13:$BZ$212),MATCH(ROW($BZ$13:$BZ$212),ROW($BZ$13:$BZ$212)),""),ROWS($A$13:$A611)))),"")</f>
        <v/>
      </c>
      <c r="CL553" s="338">
        <v>16</v>
      </c>
      <c r="CM553" s="338" t="s">
        <v>285</v>
      </c>
      <c r="CR553" s="340">
        <v>37.090000000000003</v>
      </c>
      <c r="CS553" s="340" t="s">
        <v>331</v>
      </c>
      <c r="CT553" s="1384"/>
      <c r="CZ553" s="1795">
        <v>64.02</v>
      </c>
      <c r="DA553" s="338" t="s">
        <v>331</v>
      </c>
      <c r="DF553" s="340">
        <v>133.01</v>
      </c>
      <c r="DG553" s="340" t="s">
        <v>302</v>
      </c>
      <c r="DP553" s="236">
        <v>146.04</v>
      </c>
      <c r="DQ553" s="236" t="s">
        <v>302</v>
      </c>
      <c r="DV553" s="340">
        <v>44.06</v>
      </c>
      <c r="DW553" s="340" t="s">
        <v>331</v>
      </c>
      <c r="DX553" s="1671"/>
      <c r="EB553" s="618"/>
      <c r="EC553" s="618"/>
      <c r="ED553" s="618"/>
      <c r="EE553" s="618"/>
      <c r="EF553" s="618"/>
      <c r="EG553" s="618"/>
      <c r="EH553" s="618"/>
      <c r="EI553" s="618"/>
      <c r="EJ553" s="618"/>
      <c r="EK553" s="618"/>
      <c r="EL553" s="618"/>
      <c r="EM553" s="618"/>
    </row>
    <row r="554" spans="6:143">
      <c r="F554" s="338">
        <v>120</v>
      </c>
      <c r="G554" s="338" t="s">
        <v>338</v>
      </c>
      <c r="L554" s="2481">
        <v>137.33000000000001</v>
      </c>
      <c r="M554" s="340" t="s">
        <v>302</v>
      </c>
      <c r="N554" s="1390"/>
      <c r="O554" s="2479"/>
      <c r="P554" s="2282"/>
      <c r="AA554" s="338">
        <v>172</v>
      </c>
      <c r="AB554" s="338" t="s">
        <v>302</v>
      </c>
      <c r="AG554" s="2297">
        <v>46.07</v>
      </c>
      <c r="AH554" s="2297" t="s">
        <v>331</v>
      </c>
      <c r="AI554" s="1390"/>
      <c r="AJ554" s="2282"/>
      <c r="AK554" s="2282"/>
      <c r="AL554" s="1037"/>
      <c r="AR554" s="338">
        <v>120.02</v>
      </c>
      <c r="AS554" s="338" t="s">
        <v>331</v>
      </c>
      <c r="AX554" s="340">
        <v>101.06</v>
      </c>
      <c r="AY554" s="340" t="s">
        <v>302</v>
      </c>
      <c r="BH554" s="338">
        <v>146.01</v>
      </c>
      <c r="BI554" s="338" t="s">
        <v>338</v>
      </c>
      <c r="BN554" s="340">
        <v>38.03</v>
      </c>
      <c r="BO554" s="340" t="s">
        <v>331</v>
      </c>
      <c r="BP554" s="1385"/>
      <c r="BQ554" s="1388"/>
      <c r="BV554" s="338">
        <v>703.28</v>
      </c>
      <c r="BW554" s="338" t="s">
        <v>289</v>
      </c>
      <c r="CB554" s="340">
        <v>101.07</v>
      </c>
      <c r="CC554" s="340" t="s">
        <v>302</v>
      </c>
      <c r="CE554" s="341" t="str">
        <f t="array" ref="CE554">IFERROR(IF($CE$11="Metro",INDEX($BV$13:$BV$4972,SMALL(IF((County=$BW$13:$BW$4972),MATCH(ROW($BW$13:$BW$4972),ROW($BW$13:$BW$4972)),""),ROWS($A$13:$A612))),INDEX($BY$13:$BY$212,SMALL(IF((County=$BZ$13:$BZ$212),MATCH(ROW($BZ$13:$BZ$212),ROW($BZ$13:$BZ$212)),""),ROWS($A$13:$A612)))),"")</f>
        <v/>
      </c>
      <c r="CL554" s="236">
        <v>16</v>
      </c>
      <c r="CM554" s="236" t="s">
        <v>302</v>
      </c>
      <c r="CR554" s="340">
        <v>37.1</v>
      </c>
      <c r="CS554" s="340" t="s">
        <v>331</v>
      </c>
      <c r="CT554" s="1384"/>
      <c r="CZ554" s="1795">
        <v>64.03</v>
      </c>
      <c r="DA554" s="338" t="s">
        <v>331</v>
      </c>
      <c r="DF554" s="340">
        <v>134.04</v>
      </c>
      <c r="DG554" s="340" t="s">
        <v>302</v>
      </c>
      <c r="DP554" s="236">
        <v>146.05000000000001</v>
      </c>
      <c r="DQ554" s="236" t="s">
        <v>338</v>
      </c>
      <c r="DV554" s="340">
        <v>45</v>
      </c>
      <c r="DW554" s="340" t="s">
        <v>331</v>
      </c>
      <c r="DX554" s="1671"/>
      <c r="EB554" s="618"/>
      <c r="EC554" s="618"/>
      <c r="ED554" s="618"/>
      <c r="EE554" s="618"/>
      <c r="EF554" s="618"/>
      <c r="EG554" s="618"/>
      <c r="EH554" s="618"/>
      <c r="EI554" s="618"/>
      <c r="EJ554" s="618"/>
      <c r="EK554" s="618"/>
      <c r="EL554" s="618"/>
      <c r="EM554" s="618"/>
    </row>
    <row r="555" spans="6:143">
      <c r="F555" s="338">
        <v>121</v>
      </c>
      <c r="G555" s="338" t="s">
        <v>338</v>
      </c>
      <c r="L555" s="2481">
        <v>138</v>
      </c>
      <c r="M555" s="340" t="s">
        <v>302</v>
      </c>
      <c r="N555" s="1390"/>
      <c r="O555" s="2479"/>
      <c r="P555" s="2282"/>
      <c r="AA555" s="338">
        <v>174</v>
      </c>
      <c r="AB555" s="338" t="s">
        <v>302</v>
      </c>
      <c r="AG555" s="2297">
        <v>46.08</v>
      </c>
      <c r="AH555" s="2297" t="s">
        <v>331</v>
      </c>
      <c r="AI555" s="1390"/>
      <c r="AJ555" s="2282"/>
      <c r="AK555" s="2282"/>
      <c r="AL555" s="1037"/>
      <c r="AR555" s="338">
        <v>134</v>
      </c>
      <c r="AS555" s="338" t="s">
        <v>331</v>
      </c>
      <c r="AX555" s="340">
        <v>101.07</v>
      </c>
      <c r="AY555" s="340" t="s">
        <v>302</v>
      </c>
      <c r="BH555" s="338">
        <v>146.05000000000001</v>
      </c>
      <c r="BI555" s="338" t="s">
        <v>338</v>
      </c>
      <c r="BN555" s="340">
        <v>38.04</v>
      </c>
      <c r="BO555" s="340" t="s">
        <v>331</v>
      </c>
      <c r="BP555" s="1385"/>
      <c r="BQ555" s="1388"/>
      <c r="BV555" s="338">
        <v>703.29</v>
      </c>
      <c r="BW555" s="338" t="s">
        <v>289</v>
      </c>
      <c r="CB555" s="340">
        <v>102.04</v>
      </c>
      <c r="CC555" s="340" t="s">
        <v>302</v>
      </c>
      <c r="CE555" s="341" t="str">
        <f t="array" ref="CE555">IFERROR(IF($CE$11="Metro",INDEX($BV$13:$BV$4972,SMALL(IF((County=$BW$13:$BW$4972),MATCH(ROW($BW$13:$BW$4972),ROW($BW$13:$BW$4972)),""),ROWS($A$13:$A613))),INDEX($BY$13:$BY$212,SMALL(IF((County=$BZ$13:$BZ$212),MATCH(ROW($BZ$13:$BZ$212),ROW($BZ$13:$BZ$212)),""),ROWS($A$13:$A613)))),"")</f>
        <v/>
      </c>
      <c r="CL555" s="236">
        <v>16</v>
      </c>
      <c r="CM555" s="236" t="s">
        <v>304</v>
      </c>
      <c r="CR555" s="340">
        <v>38.01</v>
      </c>
      <c r="CS555" s="340" t="s">
        <v>331</v>
      </c>
      <c r="CT555" s="1384"/>
      <c r="CZ555" s="1795">
        <v>70.06</v>
      </c>
      <c r="DA555" s="338" t="s">
        <v>331</v>
      </c>
      <c r="DF555" s="340">
        <v>135.22</v>
      </c>
      <c r="DG555" s="340" t="s">
        <v>302</v>
      </c>
      <c r="DP555" s="236">
        <v>146.06</v>
      </c>
      <c r="DQ555" s="236" t="s">
        <v>338</v>
      </c>
      <c r="DV555" s="340">
        <v>46.01</v>
      </c>
      <c r="DW555" s="340" t="s">
        <v>316</v>
      </c>
      <c r="DX555" s="1671"/>
      <c r="EB555" s="618"/>
      <c r="EC555" s="618"/>
      <c r="ED555" s="618"/>
      <c r="EE555" s="618"/>
      <c r="EF555" s="618"/>
      <c r="EG555" s="618"/>
      <c r="EH555" s="618"/>
      <c r="EI555" s="618"/>
      <c r="EJ555" s="618"/>
      <c r="EK555" s="618"/>
      <c r="EL555" s="618"/>
      <c r="EM555" s="618"/>
    </row>
    <row r="556" spans="6:143">
      <c r="F556" s="338">
        <v>122.01</v>
      </c>
      <c r="G556" s="338" t="s">
        <v>338</v>
      </c>
      <c r="L556" s="2481">
        <v>139.01</v>
      </c>
      <c r="M556" s="340" t="s">
        <v>302</v>
      </c>
      <c r="N556" s="1390"/>
      <c r="O556" s="2479"/>
      <c r="P556" s="2282"/>
      <c r="AA556" s="338">
        <v>174.02</v>
      </c>
      <c r="AB556" s="338" t="s">
        <v>338</v>
      </c>
      <c r="AG556" s="2297">
        <v>47</v>
      </c>
      <c r="AH556" s="2297" t="s">
        <v>316</v>
      </c>
      <c r="AI556" s="1390"/>
      <c r="AJ556" s="2282"/>
      <c r="AK556" s="2282"/>
      <c r="AL556" s="1037"/>
      <c r="AR556" s="338">
        <v>135</v>
      </c>
      <c r="AS556" s="338" t="s">
        <v>331</v>
      </c>
      <c r="AX556" s="340">
        <v>102.02</v>
      </c>
      <c r="AY556" s="340" t="s">
        <v>302</v>
      </c>
      <c r="BH556" s="338">
        <v>146.06</v>
      </c>
      <c r="BI556" s="338" t="s">
        <v>338</v>
      </c>
      <c r="BN556" s="340">
        <v>39.06</v>
      </c>
      <c r="BO556" s="340" t="s">
        <v>331</v>
      </c>
      <c r="BP556" s="1385"/>
      <c r="BQ556" s="1388"/>
      <c r="BV556" s="338">
        <v>703.3</v>
      </c>
      <c r="BW556" s="338" t="s">
        <v>289</v>
      </c>
      <c r="CB556" s="340">
        <v>103.01</v>
      </c>
      <c r="CC556" s="340" t="s">
        <v>302</v>
      </c>
      <c r="CE556" s="341" t="str">
        <f t="array" ref="CE556">IFERROR(IF($CE$11="Metro",INDEX($BV$13:$BV$4972,SMALL(IF((County=$BW$13:$BW$4972),MATCH(ROW($BW$13:$BW$4972),ROW($BW$13:$BW$4972)),""),ROWS($A$13:$A614))),INDEX($BY$13:$BY$212,SMALL(IF((County=$BZ$13:$BZ$212),MATCH(ROW($BZ$13:$BZ$212),ROW($BZ$13:$BZ$212)),""),ROWS($A$13:$A614)))),"")</f>
        <v/>
      </c>
      <c r="CL556" s="236">
        <v>16</v>
      </c>
      <c r="CM556" s="236" t="s">
        <v>316</v>
      </c>
      <c r="CR556" s="340">
        <v>38.03</v>
      </c>
      <c r="CS556" s="340" t="s">
        <v>331</v>
      </c>
      <c r="CT556" s="1384"/>
      <c r="CZ556" s="1795">
        <v>76.03</v>
      </c>
      <c r="DA556" s="338" t="s">
        <v>331</v>
      </c>
      <c r="DF556" s="340">
        <v>137.22999999999999</v>
      </c>
      <c r="DG556" s="340" t="s">
        <v>302</v>
      </c>
      <c r="DP556" s="236">
        <v>146.08000000000001</v>
      </c>
      <c r="DQ556" s="236" t="s">
        <v>338</v>
      </c>
      <c r="DV556" s="340">
        <v>46.02</v>
      </c>
      <c r="DW556" s="340" t="s">
        <v>316</v>
      </c>
      <c r="DX556" s="1671"/>
      <c r="EB556" s="618"/>
      <c r="EC556" s="618"/>
      <c r="ED556" s="618"/>
      <c r="EE556" s="618"/>
      <c r="EF556" s="618"/>
      <c r="EG556" s="618"/>
      <c r="EH556" s="618"/>
      <c r="EI556" s="618"/>
      <c r="EJ556" s="618"/>
      <c r="EK556" s="618"/>
      <c r="EL556" s="618"/>
      <c r="EM556" s="618"/>
    </row>
    <row r="557" spans="6:143">
      <c r="F557" s="338">
        <v>122.02</v>
      </c>
      <c r="G557" s="338" t="s">
        <v>338</v>
      </c>
      <c r="L557" s="2481">
        <v>139.02000000000001</v>
      </c>
      <c r="M557" s="340" t="s">
        <v>302</v>
      </c>
      <c r="N557" s="1390"/>
      <c r="O557" s="2479"/>
      <c r="P557" s="2282"/>
      <c r="AA557" s="338">
        <v>175</v>
      </c>
      <c r="AB557" s="338" t="s">
        <v>331</v>
      </c>
      <c r="AG557" s="2297">
        <v>47.01</v>
      </c>
      <c r="AH557" s="2297" t="s">
        <v>331</v>
      </c>
      <c r="AI557" s="1390"/>
      <c r="AJ557" s="2282"/>
      <c r="AK557" s="2282"/>
      <c r="AL557" s="1037"/>
      <c r="AR557" s="338">
        <v>136</v>
      </c>
      <c r="AS557" s="338" t="s">
        <v>331</v>
      </c>
      <c r="AX557" s="340">
        <v>103.07</v>
      </c>
      <c r="AY557" s="340" t="s">
        <v>302</v>
      </c>
      <c r="BH557" s="338">
        <v>146.08000000000001</v>
      </c>
      <c r="BI557" s="338" t="s">
        <v>338</v>
      </c>
      <c r="BN557" s="340">
        <v>39.090000000000003</v>
      </c>
      <c r="BO557" s="340" t="s">
        <v>331</v>
      </c>
      <c r="BP557" s="1385"/>
      <c r="BQ557" s="1388"/>
      <c r="BV557" s="338">
        <v>703.31</v>
      </c>
      <c r="BW557" s="338" t="s">
        <v>289</v>
      </c>
      <c r="CB557" s="340">
        <v>103.08</v>
      </c>
      <c r="CC557" s="340" t="s">
        <v>302</v>
      </c>
      <c r="CE557" s="341" t="str">
        <f t="array" ref="CE557">IFERROR(IF($CE$11="Metro",INDEX($BV$13:$BV$4972,SMALL(IF((County=$BW$13:$BW$4972),MATCH(ROW($BW$13:$BW$4972),ROW($BW$13:$BW$4972)),""),ROWS($A$13:$A615))),INDEX($BY$13:$BY$212,SMALL(IF((County=$BZ$13:$BZ$212),MATCH(ROW($BZ$13:$BZ$212),ROW($BZ$13:$BZ$212)),""),ROWS($A$13:$A615)))),"")</f>
        <v/>
      </c>
      <c r="CL557" s="236">
        <v>16</v>
      </c>
      <c r="CM557" s="236" t="s">
        <v>329</v>
      </c>
      <c r="CR557" s="340">
        <v>38.04</v>
      </c>
      <c r="CS557" s="340" t="s">
        <v>331</v>
      </c>
      <c r="CT557" s="1384"/>
      <c r="CZ557" s="1795">
        <v>83.09</v>
      </c>
      <c r="DA557" s="338" t="s">
        <v>331</v>
      </c>
      <c r="DF557" s="340">
        <v>137.28</v>
      </c>
      <c r="DG557" s="340" t="s">
        <v>302</v>
      </c>
      <c r="DP557" s="236">
        <v>146.09</v>
      </c>
      <c r="DQ557" s="236" t="s">
        <v>338</v>
      </c>
      <c r="DV557" s="340">
        <v>46.02</v>
      </c>
      <c r="DW557" s="340" t="s">
        <v>331</v>
      </c>
      <c r="DX557" s="1671"/>
      <c r="EB557" s="618"/>
      <c r="EC557" s="618"/>
      <c r="ED557" s="618"/>
      <c r="EE557" s="618"/>
      <c r="EF557" s="618"/>
      <c r="EG557" s="618"/>
      <c r="EH557" s="618"/>
      <c r="EI557" s="618"/>
      <c r="EJ557" s="618"/>
      <c r="EK557" s="618"/>
      <c r="EL557" s="618"/>
      <c r="EM557" s="618"/>
    </row>
    <row r="558" spans="6:143">
      <c r="F558" s="338">
        <v>123.04</v>
      </c>
      <c r="G558" s="338" t="s">
        <v>338</v>
      </c>
      <c r="L558" s="2481">
        <v>139.05000000000001</v>
      </c>
      <c r="M558" s="340" t="s">
        <v>302</v>
      </c>
      <c r="N558" s="1390"/>
      <c r="O558" s="2479"/>
      <c r="P558" s="2282"/>
      <c r="AA558" s="338">
        <v>176</v>
      </c>
      <c r="AB558" s="338" t="s">
        <v>331</v>
      </c>
      <c r="AG558" s="2297">
        <v>47.02</v>
      </c>
      <c r="AH558" s="2297" t="s">
        <v>340</v>
      </c>
      <c r="AI558" s="1390"/>
      <c r="AJ558" s="2282"/>
      <c r="AK558" s="2282"/>
      <c r="AL558" s="1037"/>
      <c r="AR558" s="338">
        <v>138.01</v>
      </c>
      <c r="AS558" s="338" t="s">
        <v>331</v>
      </c>
      <c r="AX558" s="340">
        <v>103.08</v>
      </c>
      <c r="AY558" s="340" t="s">
        <v>302</v>
      </c>
      <c r="BH558" s="338">
        <v>146.09</v>
      </c>
      <c r="BI558" s="338" t="s">
        <v>338</v>
      </c>
      <c r="BN558" s="340">
        <v>39.119999999999997</v>
      </c>
      <c r="BO558" s="340" t="s">
        <v>331</v>
      </c>
      <c r="BP558" s="1385"/>
      <c r="BQ558" s="1389"/>
      <c r="BR558" s="6"/>
      <c r="BV558" s="338">
        <v>704.01</v>
      </c>
      <c r="BW558" s="338" t="s">
        <v>289</v>
      </c>
      <c r="CB558" s="340">
        <v>105.01</v>
      </c>
      <c r="CC558" s="340" t="s">
        <v>302</v>
      </c>
      <c r="CE558" s="341" t="str">
        <f t="array" ref="CE558">IFERROR(IF($CE$11="Metro",INDEX($BV$13:$BV$4972,SMALL(IF((County=$BW$13:$BW$4972),MATCH(ROW($BW$13:$BW$4972),ROW($BW$13:$BW$4972)),""),ROWS($A$13:$A616))),INDEX($BY$13:$BY$212,SMALL(IF((County=$BZ$13:$BZ$212),MATCH(ROW($BZ$13:$BZ$212),ROW($BZ$13:$BZ$212)),""),ROWS($A$13:$A616)))),"")</f>
        <v/>
      </c>
      <c r="CL558" s="236">
        <v>16</v>
      </c>
      <c r="CM558" s="236" t="s">
        <v>340</v>
      </c>
      <c r="CR558" s="340">
        <v>39.06</v>
      </c>
      <c r="CS558" s="340" t="s">
        <v>331</v>
      </c>
      <c r="CT558" s="1384"/>
      <c r="CZ558" s="1795">
        <v>83.12</v>
      </c>
      <c r="DA558" s="338" t="s">
        <v>331</v>
      </c>
      <c r="DF558" s="340">
        <v>137.29</v>
      </c>
      <c r="DG558" s="340" t="s">
        <v>302</v>
      </c>
      <c r="DP558" s="236">
        <v>147.01</v>
      </c>
      <c r="DQ558" s="236" t="s">
        <v>338</v>
      </c>
      <c r="DV558" s="340">
        <v>46.07</v>
      </c>
      <c r="DW558" s="340" t="s">
        <v>331</v>
      </c>
      <c r="DX558" s="1671"/>
      <c r="EB558" s="618"/>
      <c r="EC558" s="618"/>
      <c r="ED558" s="618"/>
      <c r="EE558" s="618"/>
      <c r="EF558" s="618"/>
      <c r="EG558" s="618"/>
      <c r="EH558" s="618"/>
      <c r="EI558" s="618"/>
      <c r="EJ558" s="618"/>
      <c r="EK558" s="618"/>
      <c r="EL558" s="618"/>
      <c r="EM558" s="618"/>
    </row>
    <row r="559" spans="6:143">
      <c r="F559" s="338">
        <v>123.05</v>
      </c>
      <c r="G559" s="338" t="s">
        <v>338</v>
      </c>
      <c r="L559" s="2481">
        <v>139.06</v>
      </c>
      <c r="M559" s="340" t="s">
        <v>302</v>
      </c>
      <c r="N559" s="1390"/>
      <c r="O559" s="2479"/>
      <c r="P559" s="2282"/>
      <c r="AA559" s="338">
        <v>176</v>
      </c>
      <c r="AB559" s="338" t="s">
        <v>338</v>
      </c>
      <c r="AG559" s="2297">
        <v>47.03</v>
      </c>
      <c r="AH559" s="2297" t="s">
        <v>331</v>
      </c>
      <c r="AI559" s="1390"/>
      <c r="AJ559" s="2282"/>
      <c r="AK559" s="2282"/>
      <c r="AL559" s="1037"/>
      <c r="AR559" s="338">
        <v>138.02000000000001</v>
      </c>
      <c r="AS559" s="338" t="s">
        <v>331</v>
      </c>
      <c r="AX559" s="340">
        <v>105.01</v>
      </c>
      <c r="AY559" s="340" t="s">
        <v>302</v>
      </c>
      <c r="BH559" s="338">
        <v>147.01</v>
      </c>
      <c r="BI559" s="338" t="s">
        <v>338</v>
      </c>
      <c r="BN559" s="340">
        <v>39.130000000000003</v>
      </c>
      <c r="BO559" s="340" t="s">
        <v>331</v>
      </c>
      <c r="BP559" s="1385"/>
      <c r="BQ559" s="1389"/>
      <c r="BR559" s="6"/>
      <c r="BV559" s="338">
        <v>704.02</v>
      </c>
      <c r="BW559" s="338" t="s">
        <v>289</v>
      </c>
      <c r="CB559" s="340">
        <v>106.01</v>
      </c>
      <c r="CC559" s="340" t="s">
        <v>302</v>
      </c>
      <c r="CE559" s="341" t="str">
        <f t="array" ref="CE559">IFERROR(IF($CE$11="Metro",INDEX($BV$13:$BV$4972,SMALL(IF((County=$BW$13:$BW$4972),MATCH(ROW($BW$13:$BW$4972),ROW($BW$13:$BW$4972)),""),ROWS($A$13:$A617))),INDEX($BY$13:$BY$212,SMALL(IF((County=$BZ$13:$BZ$212),MATCH(ROW($BZ$13:$BZ$212),ROW($BZ$13:$BZ$212)),""),ROWS($A$13:$A617)))),"")</f>
        <v/>
      </c>
      <c r="CL559" s="236">
        <v>16.010000000000002</v>
      </c>
      <c r="CM559" s="236" t="s">
        <v>323</v>
      </c>
      <c r="CR559" s="340">
        <v>39.090000000000003</v>
      </c>
      <c r="CS559" s="340" t="s">
        <v>331</v>
      </c>
      <c r="CT559" s="1384"/>
      <c r="CZ559" s="1795">
        <v>88.05</v>
      </c>
      <c r="DA559" s="338" t="s">
        <v>331</v>
      </c>
      <c r="DF559" s="340">
        <v>137.30000000000001</v>
      </c>
      <c r="DG559" s="340" t="s">
        <v>302</v>
      </c>
      <c r="DP559" s="236">
        <v>147.02000000000001</v>
      </c>
      <c r="DQ559" s="236" t="s">
        <v>338</v>
      </c>
      <c r="DV559" s="340">
        <v>46.08</v>
      </c>
      <c r="DW559" s="340" t="s">
        <v>331</v>
      </c>
      <c r="DX559" s="1671"/>
      <c r="EB559" s="618"/>
      <c r="EC559" s="618"/>
      <c r="ED559" s="618"/>
      <c r="EE559" s="618"/>
      <c r="EF559" s="618"/>
      <c r="EG559" s="618"/>
      <c r="EH559" s="618"/>
      <c r="EI559" s="618"/>
      <c r="EJ559" s="618"/>
      <c r="EK559" s="618"/>
      <c r="EL559" s="618"/>
      <c r="EM559" s="618"/>
    </row>
    <row r="560" spans="6:143">
      <c r="F560" s="338">
        <v>123.07</v>
      </c>
      <c r="G560" s="338" t="s">
        <v>338</v>
      </c>
      <c r="L560" s="2481">
        <v>140.01</v>
      </c>
      <c r="M560" s="340" t="s">
        <v>302</v>
      </c>
      <c r="N560" s="1390"/>
      <c r="O560" s="2479"/>
      <c r="P560" s="2282"/>
      <c r="AA560" s="338">
        <v>177.03</v>
      </c>
      <c r="AB560" s="338" t="s">
        <v>338</v>
      </c>
      <c r="AG560" s="2297">
        <v>47.04</v>
      </c>
      <c r="AH560" s="2297" t="s">
        <v>331</v>
      </c>
      <c r="AI560" s="1390"/>
      <c r="AJ560" s="2282"/>
      <c r="AK560" s="2282"/>
      <c r="AL560" s="1037"/>
      <c r="AR560" s="338">
        <v>146.01</v>
      </c>
      <c r="AS560" s="338" t="s">
        <v>331</v>
      </c>
      <c r="AX560" s="340">
        <v>106.01</v>
      </c>
      <c r="AY560" s="340" t="s">
        <v>302</v>
      </c>
      <c r="BH560" s="338">
        <v>148</v>
      </c>
      <c r="BI560" s="338" t="s">
        <v>302</v>
      </c>
      <c r="BN560" s="340">
        <v>39.14</v>
      </c>
      <c r="BO560" s="340" t="s">
        <v>331</v>
      </c>
      <c r="BP560" s="1385"/>
      <c r="BQ560" s="1389"/>
      <c r="BR560" s="6"/>
      <c r="BV560" s="338">
        <v>704.03</v>
      </c>
      <c r="BW560" s="338" t="s">
        <v>289</v>
      </c>
      <c r="CB560" s="340">
        <v>106.02</v>
      </c>
      <c r="CC560" s="340" t="s">
        <v>302</v>
      </c>
      <c r="CE560" s="341" t="str">
        <f t="array" ref="CE560">IFERROR(IF($CE$11="Metro",INDEX($BV$13:$BV$4972,SMALL(IF((County=$BW$13:$BW$4972),MATCH(ROW($BW$13:$BW$4972),ROW($BW$13:$BW$4972)),""),ROWS($A$13:$A618))),INDEX($BY$13:$BY$212,SMALL(IF((County=$BZ$13:$BZ$212),MATCH(ROW($BZ$13:$BZ$212),ROW($BZ$13:$BZ$212)),""),ROWS($A$13:$A618)))),"")</f>
        <v/>
      </c>
      <c r="CL560" s="236">
        <v>16.010000000000002</v>
      </c>
      <c r="CM560" s="236" t="s">
        <v>324</v>
      </c>
      <c r="CR560" s="340">
        <v>39.130000000000003</v>
      </c>
      <c r="CS560" s="340" t="s">
        <v>331</v>
      </c>
      <c r="CT560" s="1384"/>
      <c r="CZ560" s="1795">
        <v>89.07</v>
      </c>
      <c r="DA560" s="338" t="s">
        <v>331</v>
      </c>
      <c r="DF560" s="340">
        <v>137.31</v>
      </c>
      <c r="DG560" s="340" t="s">
        <v>302</v>
      </c>
      <c r="DP560" s="236">
        <v>147.04</v>
      </c>
      <c r="DQ560" s="236" t="s">
        <v>302</v>
      </c>
      <c r="DV560" s="340">
        <v>47</v>
      </c>
      <c r="DW560" s="340" t="s">
        <v>316</v>
      </c>
      <c r="DX560" s="1671"/>
      <c r="EB560" s="618"/>
      <c r="EC560" s="618"/>
      <c r="ED560" s="618"/>
      <c r="EE560" s="618"/>
      <c r="EF560" s="618"/>
      <c r="EG560" s="618"/>
      <c r="EH560" s="618"/>
      <c r="EI560" s="618"/>
      <c r="EJ560" s="618"/>
      <c r="EK560" s="618"/>
      <c r="EL560" s="618"/>
      <c r="EM560" s="618"/>
    </row>
    <row r="561" spans="6:143">
      <c r="F561" s="338">
        <v>124.02</v>
      </c>
      <c r="G561" s="338" t="s">
        <v>338</v>
      </c>
      <c r="L561" s="2481">
        <v>140.02000000000001</v>
      </c>
      <c r="M561" s="340" t="s">
        <v>302</v>
      </c>
      <c r="N561" s="1390"/>
      <c r="O561" s="2479"/>
      <c r="P561" s="2282"/>
      <c r="AA561" s="338">
        <v>178</v>
      </c>
      <c r="AB561" s="338" t="s">
        <v>331</v>
      </c>
      <c r="AG561" s="2297">
        <v>47.05</v>
      </c>
      <c r="AH561" s="2297" t="s">
        <v>331</v>
      </c>
      <c r="AI561" s="1390"/>
      <c r="AJ561" s="2282"/>
      <c r="AK561" s="2282"/>
      <c r="AL561" s="1037"/>
      <c r="AR561" s="338">
        <v>148</v>
      </c>
      <c r="AS561" s="338" t="s">
        <v>331</v>
      </c>
      <c r="AX561" s="340">
        <v>117</v>
      </c>
      <c r="AY561" s="340" t="s">
        <v>302</v>
      </c>
      <c r="BH561" s="338">
        <v>148</v>
      </c>
      <c r="BI561" s="338" t="s">
        <v>331</v>
      </c>
      <c r="BN561" s="340">
        <v>39.15</v>
      </c>
      <c r="BO561" s="340" t="s">
        <v>331</v>
      </c>
      <c r="BP561" s="1385"/>
      <c r="BQ561" s="1389"/>
      <c r="BR561" s="6"/>
      <c r="BV561" s="338">
        <v>704.04</v>
      </c>
      <c r="BW561" s="338" t="s">
        <v>289</v>
      </c>
      <c r="CB561" s="340">
        <v>117</v>
      </c>
      <c r="CC561" s="340" t="s">
        <v>302</v>
      </c>
      <c r="CE561" s="341" t="str">
        <f t="array" ref="CE561">IFERROR(IF($CE$11="Metro",INDEX($BV$13:$BV$4972,SMALL(IF((County=$BW$13:$BW$4972),MATCH(ROW($BW$13:$BW$4972),ROW($BW$13:$BW$4972)),""),ROWS($A$13:$A619))),INDEX($BY$13:$BY$212,SMALL(IF((County=$BZ$13:$BZ$212),MATCH(ROW($BZ$13:$BZ$212),ROW($BZ$13:$BZ$212)),""),ROWS($A$13:$A619)))),"")</f>
        <v/>
      </c>
      <c r="CL561" s="236">
        <v>16.010000000000002</v>
      </c>
      <c r="CM561" s="236" t="s">
        <v>330</v>
      </c>
      <c r="CR561" s="340">
        <v>39.14</v>
      </c>
      <c r="CS561" s="340" t="s">
        <v>331</v>
      </c>
      <c r="CT561" s="1384"/>
      <c r="CZ561" s="1795">
        <v>90.21</v>
      </c>
      <c r="DA561" s="338" t="s">
        <v>331</v>
      </c>
      <c r="DF561" s="340">
        <v>137.32</v>
      </c>
      <c r="DG561" s="340" t="s">
        <v>302</v>
      </c>
      <c r="DP561" s="236">
        <v>148</v>
      </c>
      <c r="DQ561" s="236" t="s">
        <v>302</v>
      </c>
      <c r="DV561" s="340">
        <v>47.01</v>
      </c>
      <c r="DW561" s="340" t="s">
        <v>331</v>
      </c>
      <c r="DX561" s="1671"/>
      <c r="EB561" s="618"/>
      <c r="EC561" s="618"/>
      <c r="ED561" s="618"/>
      <c r="EE561" s="618"/>
      <c r="EF561" s="618"/>
      <c r="EG561" s="618"/>
      <c r="EH561" s="618"/>
      <c r="EI561" s="618"/>
      <c r="EJ561" s="618"/>
      <c r="EK561" s="618"/>
      <c r="EL561" s="618"/>
      <c r="EM561" s="618"/>
    </row>
    <row r="562" spans="6:143">
      <c r="F562" s="338">
        <v>124.03</v>
      </c>
      <c r="G562" s="338" t="s">
        <v>338</v>
      </c>
      <c r="L562" s="2481">
        <v>141.01</v>
      </c>
      <c r="M562" s="340" t="s">
        <v>302</v>
      </c>
      <c r="N562" s="1390"/>
      <c r="O562" s="2479"/>
      <c r="P562" s="2282"/>
      <c r="AA562" s="338">
        <v>180</v>
      </c>
      <c r="AB562" s="338" t="s">
        <v>338</v>
      </c>
      <c r="AG562" s="2297">
        <v>48</v>
      </c>
      <c r="AH562" s="2297" t="s">
        <v>316</v>
      </c>
      <c r="AI562" s="1390"/>
      <c r="AJ562" s="2282"/>
      <c r="AK562" s="2282"/>
      <c r="AL562" s="1037"/>
      <c r="AR562" s="338">
        <v>175</v>
      </c>
      <c r="AS562" s="338" t="s">
        <v>331</v>
      </c>
      <c r="AX562" s="340">
        <v>119.01</v>
      </c>
      <c r="AY562" s="340" t="s">
        <v>302</v>
      </c>
      <c r="BH562" s="338">
        <v>148.12</v>
      </c>
      <c r="BI562" s="338" t="s">
        <v>338</v>
      </c>
      <c r="BN562" s="340">
        <v>39.159999999999997</v>
      </c>
      <c r="BO562" s="340" t="s">
        <v>331</v>
      </c>
      <c r="BP562" s="1385"/>
      <c r="BQ562" s="1389"/>
      <c r="BR562" s="6"/>
      <c r="BV562" s="338">
        <v>704.05</v>
      </c>
      <c r="BW562" s="338" t="s">
        <v>289</v>
      </c>
      <c r="CB562" s="340">
        <v>119.01</v>
      </c>
      <c r="CC562" s="340" t="s">
        <v>302</v>
      </c>
      <c r="CE562" s="341" t="str">
        <f t="array" ref="CE562">IFERROR(IF($CE$11="Metro",INDEX($BV$13:$BV$4972,SMALL(IF((County=$BW$13:$BW$4972),MATCH(ROW($BW$13:$BW$4972),ROW($BW$13:$BW$4972)),""),ROWS($A$13:$A620))),INDEX($BY$13:$BY$212,SMALL(IF((County=$BZ$13:$BZ$212),MATCH(ROW($BZ$13:$BZ$212),ROW($BZ$13:$BZ$212)),""),ROWS($A$13:$A620)))),"")</f>
        <v/>
      </c>
      <c r="CL562" s="236">
        <v>16.010000000000002</v>
      </c>
      <c r="CM562" s="236" t="s">
        <v>347</v>
      </c>
      <c r="CR562" s="340">
        <v>39.15</v>
      </c>
      <c r="CS562" s="340" t="s">
        <v>331</v>
      </c>
      <c r="CT562" s="1384"/>
      <c r="CZ562" s="1795">
        <v>90.31</v>
      </c>
      <c r="DA562" s="338" t="s">
        <v>331</v>
      </c>
      <c r="DF562" s="340">
        <v>137.33000000000001</v>
      </c>
      <c r="DG562" s="340" t="s">
        <v>302</v>
      </c>
      <c r="DP562" s="236">
        <v>148</v>
      </c>
      <c r="DQ562" s="236" t="s">
        <v>331</v>
      </c>
      <c r="DV562" s="340">
        <v>47.03</v>
      </c>
      <c r="DW562" s="340" t="s">
        <v>331</v>
      </c>
      <c r="DX562" s="1671"/>
      <c r="EB562" s="618"/>
      <c r="EC562" s="618"/>
      <c r="ED562" s="618"/>
      <c r="EE562" s="618"/>
      <c r="EF562" s="618"/>
      <c r="EG562" s="618"/>
      <c r="EH562" s="618"/>
      <c r="EI562" s="618"/>
      <c r="EJ562" s="618"/>
      <c r="EK562" s="618"/>
      <c r="EL562" s="618"/>
      <c r="EM562" s="618"/>
    </row>
    <row r="563" spans="6:143">
      <c r="F563" s="338">
        <v>124.05</v>
      </c>
      <c r="G563" s="338" t="s">
        <v>338</v>
      </c>
      <c r="L563" s="2481">
        <v>141.03</v>
      </c>
      <c r="M563" s="340" t="s">
        <v>302</v>
      </c>
      <c r="N563" s="1390"/>
      <c r="O563" s="2479"/>
      <c r="P563" s="2282"/>
      <c r="AA563" s="338">
        <v>183</v>
      </c>
      <c r="AB563" s="338" t="s">
        <v>338</v>
      </c>
      <c r="AG563" s="2297">
        <v>48.13</v>
      </c>
      <c r="AH563" s="2297" t="s">
        <v>340</v>
      </c>
      <c r="AI563" s="1390"/>
      <c r="AJ563" s="2282"/>
      <c r="AK563" s="2282"/>
      <c r="AL563" s="1037"/>
      <c r="AR563" s="338">
        <v>9807</v>
      </c>
      <c r="AS563" s="338" t="s">
        <v>331</v>
      </c>
      <c r="AX563" s="340">
        <v>119.03</v>
      </c>
      <c r="AY563" s="340" t="s">
        <v>302</v>
      </c>
      <c r="BH563" s="338">
        <v>149.03</v>
      </c>
      <c r="BI563" s="338" t="s">
        <v>344</v>
      </c>
      <c r="BN563" s="340">
        <v>39.17</v>
      </c>
      <c r="BO563" s="340" t="s">
        <v>331</v>
      </c>
      <c r="BP563" s="1385"/>
      <c r="BQ563" s="1389"/>
      <c r="BR563" s="6"/>
      <c r="BV563" s="338">
        <v>705.01</v>
      </c>
      <c r="BW563" s="338" t="s">
        <v>289</v>
      </c>
      <c r="CB563" s="340">
        <v>119.03</v>
      </c>
      <c r="CC563" s="340" t="s">
        <v>302</v>
      </c>
      <c r="CE563" s="341" t="str">
        <f t="array" ref="CE563">IFERROR(IF($CE$11="Metro",INDEX($BV$13:$BV$4972,SMALL(IF((County=$BW$13:$BW$4972),MATCH(ROW($BW$13:$BW$4972),ROW($BW$13:$BW$4972)),""),ROWS($A$13:$A621))),INDEX($BY$13:$BY$212,SMALL(IF((County=$BZ$13:$BZ$212),MATCH(ROW($BZ$13:$BZ$212),ROW($BZ$13:$BZ$212)),""),ROWS($A$13:$A621)))),"")</f>
        <v/>
      </c>
      <c r="CL563" s="236">
        <v>16.02</v>
      </c>
      <c r="CM563" s="236" t="s">
        <v>323</v>
      </c>
      <c r="CR563" s="340">
        <v>39.159999999999997</v>
      </c>
      <c r="CS563" s="340" t="s">
        <v>331</v>
      </c>
      <c r="CT563" s="1384"/>
      <c r="CZ563" s="1795">
        <v>90.61</v>
      </c>
      <c r="DA563" s="338" t="s">
        <v>331</v>
      </c>
      <c r="DF563" s="340">
        <v>138</v>
      </c>
      <c r="DG563" s="340" t="s">
        <v>302</v>
      </c>
      <c r="DP563" s="236">
        <v>148.12</v>
      </c>
      <c r="DQ563" s="236" t="s">
        <v>338</v>
      </c>
      <c r="DV563" s="340">
        <v>47.04</v>
      </c>
      <c r="DW563" s="340" t="s">
        <v>331</v>
      </c>
      <c r="DX563" s="1671"/>
      <c r="EB563" s="618"/>
      <c r="EC563" s="618"/>
      <c r="ED563" s="618"/>
      <c r="EE563" s="618"/>
      <c r="EF563" s="618"/>
      <c r="EG563" s="618"/>
      <c r="EH563" s="618"/>
      <c r="EI563" s="618"/>
      <c r="EJ563" s="618"/>
      <c r="EK563" s="618"/>
      <c r="EL563" s="618"/>
      <c r="EM563" s="618"/>
    </row>
    <row r="564" spans="6:143">
      <c r="F564" s="338">
        <v>134.05000000000001</v>
      </c>
      <c r="G564" s="338" t="s">
        <v>338</v>
      </c>
      <c r="L564" s="2481">
        <v>141.04</v>
      </c>
      <c r="M564" s="340" t="s">
        <v>302</v>
      </c>
      <c r="N564" s="1390"/>
      <c r="O564" s="2479"/>
      <c r="P564" s="2282"/>
      <c r="AA564" s="338">
        <v>187</v>
      </c>
      <c r="AB564" s="338" t="s">
        <v>338</v>
      </c>
      <c r="AG564" s="2297">
        <v>48.15</v>
      </c>
      <c r="AH564" s="2297" t="s">
        <v>340</v>
      </c>
      <c r="AI564" s="1390"/>
      <c r="AJ564" s="2282"/>
      <c r="AK564" s="2282"/>
      <c r="AL564" s="1037"/>
      <c r="AR564" s="338">
        <v>226</v>
      </c>
      <c r="AS564" s="338" t="s">
        <v>336</v>
      </c>
      <c r="AX564" s="340">
        <v>119.04</v>
      </c>
      <c r="AY564" s="340" t="s">
        <v>302</v>
      </c>
      <c r="BH564" s="338">
        <v>149.04</v>
      </c>
      <c r="BI564" s="338" t="s">
        <v>338</v>
      </c>
      <c r="BN564" s="340">
        <v>39.18</v>
      </c>
      <c r="BO564" s="340" t="s">
        <v>331</v>
      </c>
      <c r="BP564" s="1385"/>
      <c r="BQ564" s="1389"/>
      <c r="BR564" s="6"/>
      <c r="BV564" s="338">
        <v>705.03</v>
      </c>
      <c r="BW564" s="338" t="s">
        <v>289</v>
      </c>
      <c r="CB564" s="340">
        <v>119.04</v>
      </c>
      <c r="CC564" s="340" t="s">
        <v>302</v>
      </c>
      <c r="CE564" s="341" t="str">
        <f t="array" ref="CE564">IFERROR(IF($CE$11="Metro",INDEX($BV$13:$BV$4972,SMALL(IF((County=$BW$13:$BW$4972),MATCH(ROW($BW$13:$BW$4972),ROW($BW$13:$BW$4972)),""),ROWS($A$13:$A622))),INDEX($BY$13:$BY$212,SMALL(IF((County=$BZ$13:$BZ$212),MATCH(ROW($BZ$13:$BZ$212),ROW($BZ$13:$BZ$212)),""),ROWS($A$13:$A622)))),"")</f>
        <v/>
      </c>
      <c r="CL564" s="236">
        <v>16.02</v>
      </c>
      <c r="CM564" s="236" t="s">
        <v>324</v>
      </c>
      <c r="CR564" s="340">
        <v>39.17</v>
      </c>
      <c r="CS564" s="340" t="s">
        <v>331</v>
      </c>
      <c r="CT564" s="1384"/>
      <c r="CZ564" s="1795">
        <v>90.63</v>
      </c>
      <c r="DA564" s="338" t="s">
        <v>331</v>
      </c>
      <c r="DF564" s="340">
        <v>139.02000000000001</v>
      </c>
      <c r="DG564" s="340" t="s">
        <v>302</v>
      </c>
      <c r="DP564" s="236">
        <v>149.04</v>
      </c>
      <c r="DQ564" s="236" t="s">
        <v>338</v>
      </c>
      <c r="DV564" s="340">
        <v>47.05</v>
      </c>
      <c r="DW564" s="340" t="s">
        <v>331</v>
      </c>
      <c r="DX564" s="1671"/>
      <c r="EB564" s="618"/>
      <c r="EC564" s="618"/>
      <c r="ED564" s="618"/>
      <c r="EE564" s="618"/>
      <c r="EF564" s="618"/>
      <c r="EG564" s="618"/>
      <c r="EH564" s="618"/>
      <c r="EI564" s="618"/>
      <c r="EJ564" s="618"/>
      <c r="EK564" s="618"/>
      <c r="EL564" s="618"/>
      <c r="EM564" s="618"/>
    </row>
    <row r="565" spans="6:143">
      <c r="F565" s="338">
        <v>135.03</v>
      </c>
      <c r="G565" s="338" t="s">
        <v>338</v>
      </c>
      <c r="L565" s="2481">
        <v>142.03</v>
      </c>
      <c r="M565" s="340" t="s">
        <v>302</v>
      </c>
      <c r="N565" s="1390"/>
      <c r="O565" s="2479"/>
      <c r="P565" s="2282"/>
      <c r="AA565" s="338">
        <v>189.01</v>
      </c>
      <c r="AB565" s="338" t="s">
        <v>338</v>
      </c>
      <c r="AG565" s="2297">
        <v>48.22</v>
      </c>
      <c r="AH565" s="2297" t="s">
        <v>340</v>
      </c>
      <c r="AI565" s="1390"/>
      <c r="AJ565" s="2282"/>
      <c r="AK565" s="2282"/>
      <c r="AL565" s="1037"/>
      <c r="AR565" s="338">
        <v>228</v>
      </c>
      <c r="AS565" s="338" t="s">
        <v>336</v>
      </c>
      <c r="AX565" s="340">
        <v>127.03</v>
      </c>
      <c r="AY565" s="340" t="s">
        <v>302</v>
      </c>
      <c r="BH565" s="338">
        <v>149.04</v>
      </c>
      <c r="BI565" s="338" t="s">
        <v>344</v>
      </c>
      <c r="BN565" s="340">
        <v>39.19</v>
      </c>
      <c r="BO565" s="340" t="s">
        <v>331</v>
      </c>
      <c r="BP565" s="1385"/>
      <c r="BQ565" s="1389"/>
      <c r="BR565" s="6"/>
      <c r="BV565" s="338">
        <v>705.04</v>
      </c>
      <c r="BW565" s="338" t="s">
        <v>289</v>
      </c>
      <c r="CB565" s="340">
        <v>123</v>
      </c>
      <c r="CC565" s="340" t="s">
        <v>302</v>
      </c>
      <c r="CE565" s="341" t="str">
        <f t="array" ref="CE565">IFERROR(IF($CE$11="Metro",INDEX($BV$13:$BV$4972,SMALL(IF((County=$BW$13:$BW$4972),MATCH(ROW($BW$13:$BW$4972),ROW($BW$13:$BW$4972)),""),ROWS($A$13:$A623))),INDEX($BY$13:$BY$212,SMALL(IF((County=$BZ$13:$BZ$212),MATCH(ROW($BZ$13:$BZ$212),ROW($BZ$13:$BZ$212)),""),ROWS($A$13:$A623)))),"")</f>
        <v/>
      </c>
      <c r="CL565" s="236">
        <v>16.02</v>
      </c>
      <c r="CM565" s="236" t="s">
        <v>328</v>
      </c>
      <c r="CR565" s="340">
        <v>39.18</v>
      </c>
      <c r="CS565" s="340" t="s">
        <v>331</v>
      </c>
      <c r="CT565" s="1384"/>
      <c r="CZ565" s="1795">
        <v>91.02</v>
      </c>
      <c r="DA565" s="338" t="s">
        <v>331</v>
      </c>
      <c r="DF565" s="340">
        <v>139.05000000000001</v>
      </c>
      <c r="DG565" s="340" t="s">
        <v>302</v>
      </c>
      <c r="DP565" s="236">
        <v>149.04</v>
      </c>
      <c r="DQ565" s="236" t="s">
        <v>344</v>
      </c>
      <c r="DV565" s="340">
        <v>48</v>
      </c>
      <c r="DW565" s="340" t="s">
        <v>316</v>
      </c>
      <c r="DX565" s="1671"/>
      <c r="EB565" s="618"/>
      <c r="EC565" s="618"/>
      <c r="ED565" s="618"/>
      <c r="EE565" s="618"/>
      <c r="EF565" s="618"/>
      <c r="EG565" s="618"/>
      <c r="EH565" s="618"/>
      <c r="EI565" s="618"/>
      <c r="EJ565" s="618"/>
      <c r="EK565" s="618"/>
      <c r="EL565" s="618"/>
      <c r="EM565" s="618"/>
    </row>
    <row r="566" spans="6:143">
      <c r="F566" s="338">
        <v>135.1</v>
      </c>
      <c r="G566" s="338" t="s">
        <v>338</v>
      </c>
      <c r="L566" s="2481">
        <v>142.04</v>
      </c>
      <c r="M566" s="340" t="s">
        <v>302</v>
      </c>
      <c r="N566" s="1390"/>
      <c r="O566" s="2479"/>
      <c r="P566" s="2282"/>
      <c r="AA566" s="338">
        <v>201.01</v>
      </c>
      <c r="AB566" s="338" t="s">
        <v>348</v>
      </c>
      <c r="AG566" s="2297">
        <v>48.23</v>
      </c>
      <c r="AH566" s="2297" t="s">
        <v>340</v>
      </c>
      <c r="AI566" s="1390"/>
      <c r="AJ566" s="2282"/>
      <c r="AK566" s="2282"/>
      <c r="AL566" s="1037"/>
      <c r="AR566" s="338">
        <v>104</v>
      </c>
      <c r="AS566" s="338" t="s">
        <v>338</v>
      </c>
      <c r="AX566" s="340">
        <v>130</v>
      </c>
      <c r="AY566" s="340" t="s">
        <v>302</v>
      </c>
      <c r="BH566" s="338">
        <v>150.01</v>
      </c>
      <c r="BI566" s="338" t="s">
        <v>338</v>
      </c>
      <c r="BN566" s="340">
        <v>39.21</v>
      </c>
      <c r="BO566" s="340" t="s">
        <v>331</v>
      </c>
      <c r="BP566" s="1385"/>
      <c r="BQ566" s="1389"/>
      <c r="BR566" s="6"/>
      <c r="BV566" s="338">
        <v>706.01</v>
      </c>
      <c r="BW566" s="338" t="s">
        <v>289</v>
      </c>
      <c r="CB566" s="340">
        <v>124</v>
      </c>
      <c r="CC566" s="340" t="s">
        <v>302</v>
      </c>
      <c r="CE566" s="341" t="str">
        <f t="array" ref="CE566">IFERROR(IF($CE$11="Metro",INDEX($BV$13:$BV$4972,SMALL(IF((County=$BW$13:$BW$4972),MATCH(ROW($BW$13:$BW$4972),ROW($BW$13:$BW$4972)),""),ROWS($A$13:$A624))),INDEX($BY$13:$BY$212,SMALL(IF((County=$BZ$13:$BZ$212),MATCH(ROW($BZ$13:$BZ$212),ROW($BZ$13:$BZ$212)),""),ROWS($A$13:$A624)))),"")</f>
        <v/>
      </c>
      <c r="CL566" s="236">
        <v>16.02</v>
      </c>
      <c r="CM566" s="236" t="s">
        <v>330</v>
      </c>
      <c r="CR566" s="340">
        <v>39.19</v>
      </c>
      <c r="CS566" s="340" t="s">
        <v>331</v>
      </c>
      <c r="CT566" s="1384"/>
      <c r="CZ566" s="1795">
        <v>93.14</v>
      </c>
      <c r="DA566" s="338" t="s">
        <v>331</v>
      </c>
      <c r="DF566" s="340">
        <v>139.06</v>
      </c>
      <c r="DG566" s="340" t="s">
        <v>302</v>
      </c>
      <c r="DP566" s="236">
        <v>149.08000000000001</v>
      </c>
      <c r="DQ566" s="236" t="s">
        <v>338</v>
      </c>
      <c r="DV566" s="340">
        <v>48.13</v>
      </c>
      <c r="DW566" s="340" t="s">
        <v>340</v>
      </c>
      <c r="DX566" s="1671"/>
      <c r="EB566" s="618"/>
      <c r="EC566" s="618"/>
      <c r="ED566" s="618"/>
      <c r="EE566" s="618"/>
      <c r="EF566" s="618"/>
      <c r="EG566" s="618"/>
      <c r="EH566" s="618"/>
      <c r="EI566" s="618"/>
      <c r="EJ566" s="618"/>
      <c r="EK566" s="618"/>
      <c r="EL566" s="618"/>
      <c r="EM566" s="618"/>
    </row>
    <row r="567" spans="6:143">
      <c r="F567" s="338">
        <v>135.11000000000001</v>
      </c>
      <c r="G567" s="338" t="s">
        <v>338</v>
      </c>
      <c r="L567" s="2481">
        <v>142.05000000000001</v>
      </c>
      <c r="M567" s="340" t="s">
        <v>302</v>
      </c>
      <c r="N567" s="1390"/>
      <c r="O567" s="2479"/>
      <c r="P567" s="2282"/>
      <c r="AA567" s="338">
        <v>202</v>
      </c>
      <c r="AB567" s="338" t="s">
        <v>331</v>
      </c>
      <c r="AG567" s="2297">
        <v>49.01</v>
      </c>
      <c r="AH567" s="2297" t="s">
        <v>316</v>
      </c>
      <c r="AI567" s="1390"/>
      <c r="AJ567" s="2282"/>
      <c r="AK567" s="2282"/>
      <c r="AL567" s="1037"/>
      <c r="AR567" s="338">
        <v>105</v>
      </c>
      <c r="AS567" s="338" t="s">
        <v>338</v>
      </c>
      <c r="AX567" s="340">
        <v>131</v>
      </c>
      <c r="AY567" s="340" t="s">
        <v>302</v>
      </c>
      <c r="BH567" s="338">
        <v>152</v>
      </c>
      <c r="BI567" s="338" t="s">
        <v>344</v>
      </c>
      <c r="BN567" s="340">
        <v>39.22</v>
      </c>
      <c r="BO567" s="340" t="s">
        <v>331</v>
      </c>
      <c r="BP567" s="1385"/>
      <c r="BQ567" s="1389"/>
      <c r="BR567" s="6"/>
      <c r="BV567" s="338">
        <v>706.02</v>
      </c>
      <c r="BW567" s="338" t="s">
        <v>289</v>
      </c>
      <c r="CB567" s="340">
        <v>127.03</v>
      </c>
      <c r="CC567" s="340" t="s">
        <v>302</v>
      </c>
      <c r="CE567" s="341" t="str">
        <f t="array" ref="CE567">IFERROR(IF($CE$11="Metro",INDEX($BV$13:$BV$4972,SMALL(IF((County=$BW$13:$BW$4972),MATCH(ROW($BW$13:$BW$4972),ROW($BW$13:$BW$4972)),""),ROWS($A$13:$A625))),INDEX($BY$13:$BY$212,SMALL(IF((County=$BZ$13:$BZ$212),MATCH(ROW($BZ$13:$BZ$212),ROW($BZ$13:$BZ$212)),""),ROWS($A$13:$A625)))),"")</f>
        <v/>
      </c>
      <c r="CL567" s="236">
        <v>16.02</v>
      </c>
      <c r="CM567" s="236" t="s">
        <v>347</v>
      </c>
      <c r="CR567" s="340">
        <v>39.21</v>
      </c>
      <c r="CS567" s="340" t="s">
        <v>331</v>
      </c>
      <c r="CT567" s="1384"/>
      <c r="CZ567" s="1795">
        <v>93.15</v>
      </c>
      <c r="DA567" s="338" t="s">
        <v>331</v>
      </c>
      <c r="DF567" s="340">
        <v>140.01</v>
      </c>
      <c r="DG567" s="340" t="s">
        <v>302</v>
      </c>
      <c r="DP567" s="236">
        <v>150</v>
      </c>
      <c r="DQ567" s="236" t="s">
        <v>344</v>
      </c>
      <c r="DV567" s="340">
        <v>49.01</v>
      </c>
      <c r="DW567" s="340" t="s">
        <v>316</v>
      </c>
      <c r="DX567" s="1671"/>
      <c r="EB567" s="618"/>
      <c r="EC567" s="618"/>
      <c r="ED567" s="618"/>
      <c r="EE567" s="618"/>
      <c r="EF567" s="618"/>
      <c r="EG567" s="618"/>
      <c r="EH567" s="618"/>
      <c r="EI567" s="618"/>
      <c r="EJ567" s="618"/>
      <c r="EK567" s="618"/>
      <c r="EL567" s="618"/>
      <c r="EM567" s="618"/>
    </row>
    <row r="568" spans="6:143">
      <c r="F568" s="338">
        <v>135.12</v>
      </c>
      <c r="G568" s="338" t="s">
        <v>338</v>
      </c>
      <c r="L568" s="2481">
        <v>142.06</v>
      </c>
      <c r="M568" s="340" t="s">
        <v>302</v>
      </c>
      <c r="N568" s="1390"/>
      <c r="O568" s="2479"/>
      <c r="P568" s="2282"/>
      <c r="AA568" s="338">
        <v>202.06</v>
      </c>
      <c r="AB568" s="338" t="s">
        <v>342</v>
      </c>
      <c r="AG568" s="2297">
        <v>49.02</v>
      </c>
      <c r="AH568" s="2297" t="s">
        <v>316</v>
      </c>
      <c r="AI568" s="1390"/>
      <c r="AJ568" s="2282"/>
      <c r="AK568" s="2282"/>
      <c r="AL568" s="1037"/>
      <c r="AR568" s="338">
        <v>110</v>
      </c>
      <c r="AS568" s="338" t="s">
        <v>338</v>
      </c>
      <c r="AX568" s="340">
        <v>132</v>
      </c>
      <c r="AY568" s="340" t="s">
        <v>302</v>
      </c>
      <c r="BH568" s="338">
        <v>154</v>
      </c>
      <c r="BI568" s="338" t="s">
        <v>302</v>
      </c>
      <c r="BN568" s="340">
        <v>40</v>
      </c>
      <c r="BO568" s="340" t="s">
        <v>331</v>
      </c>
      <c r="BP568" s="1385"/>
      <c r="BQ568" s="1389"/>
      <c r="BR568" s="6"/>
      <c r="BV568" s="338">
        <v>801.02</v>
      </c>
      <c r="BW568" s="338" t="s">
        <v>289</v>
      </c>
      <c r="CB568" s="340">
        <v>130</v>
      </c>
      <c r="CC568" s="340" t="s">
        <v>302</v>
      </c>
      <c r="CE568" s="341" t="str">
        <f t="array" ref="CE568">IFERROR(IF($CE$11="Metro",INDEX($BV$13:$BV$4972,SMALL(IF((County=$BW$13:$BW$4972),MATCH(ROW($BW$13:$BW$4972),ROW($BW$13:$BW$4972)),""),ROWS($A$13:$A626))),INDEX($BY$13:$BY$212,SMALL(IF((County=$BZ$13:$BZ$212),MATCH(ROW($BZ$13:$BZ$212),ROW($BZ$13:$BZ$212)),""),ROWS($A$13:$A626)))),"")</f>
        <v/>
      </c>
      <c r="CL568" s="236">
        <v>16.03</v>
      </c>
      <c r="CM568" s="236" t="s">
        <v>328</v>
      </c>
      <c r="CR568" s="340">
        <v>39.22</v>
      </c>
      <c r="CS568" s="340" t="s">
        <v>331</v>
      </c>
      <c r="CT568" s="1384"/>
      <c r="CZ568" s="1795">
        <v>93.2</v>
      </c>
      <c r="DA568" s="338" t="s">
        <v>331</v>
      </c>
      <c r="DF568" s="340">
        <v>140.02000000000001</v>
      </c>
      <c r="DG568" s="340" t="s">
        <v>302</v>
      </c>
      <c r="DP568" s="236">
        <v>150.01</v>
      </c>
      <c r="DQ568" s="236" t="s">
        <v>338</v>
      </c>
      <c r="DV568" s="340">
        <v>49.02</v>
      </c>
      <c r="DW568" s="340" t="s">
        <v>316</v>
      </c>
      <c r="DX568" s="1671"/>
      <c r="EB568" s="618"/>
      <c r="EC568" s="618"/>
      <c r="ED568" s="618"/>
      <c r="EE568" s="618"/>
      <c r="EF568" s="618"/>
      <c r="EG568" s="618"/>
      <c r="EH568" s="618"/>
      <c r="EI568" s="618"/>
      <c r="EJ568" s="618"/>
      <c r="EK568" s="618"/>
      <c r="EL568" s="618"/>
      <c r="EM568" s="618"/>
    </row>
    <row r="569" spans="6:143">
      <c r="F569" s="338">
        <v>135.13</v>
      </c>
      <c r="G569" s="338" t="s">
        <v>338</v>
      </c>
      <c r="L569" s="2481">
        <v>143.12</v>
      </c>
      <c r="M569" s="340" t="s">
        <v>302</v>
      </c>
      <c r="N569" s="1390"/>
      <c r="O569" s="2479"/>
      <c r="P569" s="2282"/>
      <c r="AA569" s="338">
        <v>202.11</v>
      </c>
      <c r="AB569" s="338" t="s">
        <v>289</v>
      </c>
      <c r="AG569" s="2297">
        <v>49.02</v>
      </c>
      <c r="AH569" s="2297" t="s">
        <v>340</v>
      </c>
      <c r="AI569" s="1390"/>
      <c r="AJ569" s="2282"/>
      <c r="AK569" s="2282"/>
      <c r="AL569" s="1037"/>
      <c r="AR569" s="338">
        <v>116</v>
      </c>
      <c r="AS569" s="338" t="s">
        <v>338</v>
      </c>
      <c r="AX569" s="340">
        <v>133.01</v>
      </c>
      <c r="AY569" s="340" t="s">
        <v>302</v>
      </c>
      <c r="BH569" s="338">
        <v>154.05000000000001</v>
      </c>
      <c r="BI569" s="338" t="s">
        <v>344</v>
      </c>
      <c r="BN569" s="340">
        <v>41.02</v>
      </c>
      <c r="BO569" s="340" t="s">
        <v>331</v>
      </c>
      <c r="BP569" s="1385"/>
      <c r="BQ569" s="1389"/>
      <c r="BR569" s="6"/>
      <c r="BV569" s="338">
        <v>801.03</v>
      </c>
      <c r="BW569" s="338" t="s">
        <v>289</v>
      </c>
      <c r="CB569" s="340">
        <v>131</v>
      </c>
      <c r="CC569" s="340" t="s">
        <v>302</v>
      </c>
      <c r="CE569" s="341" t="str">
        <f t="array" ref="CE569">IFERROR(IF($CE$11="Metro",INDEX($BV$13:$BV$4972,SMALL(IF((County=$BW$13:$BW$4972),MATCH(ROW($BW$13:$BW$4972),ROW($BW$13:$BW$4972)),""),ROWS($A$13:$A627))),INDEX($BY$13:$BY$212,SMALL(IF((County=$BZ$13:$BZ$212),MATCH(ROW($BZ$13:$BZ$212),ROW($BZ$13:$BZ$212)),""),ROWS($A$13:$A627)))),"")</f>
        <v/>
      </c>
      <c r="CL569" s="236">
        <v>16.03</v>
      </c>
      <c r="CM569" s="236" t="s">
        <v>331</v>
      </c>
      <c r="CR569" s="340">
        <v>40</v>
      </c>
      <c r="CS569" s="340" t="s">
        <v>331</v>
      </c>
      <c r="CT569" s="1384"/>
      <c r="CZ569" s="1795">
        <v>93.24</v>
      </c>
      <c r="DA569" s="338" t="s">
        <v>331</v>
      </c>
      <c r="DF569" s="340">
        <v>141.01</v>
      </c>
      <c r="DG569" s="340" t="s">
        <v>302</v>
      </c>
      <c r="DP569" s="236">
        <v>151.06</v>
      </c>
      <c r="DQ569" s="236" t="s">
        <v>338</v>
      </c>
      <c r="DV569" s="340">
        <v>49.02</v>
      </c>
      <c r="DW569" s="340" t="s">
        <v>340</v>
      </c>
      <c r="DX569" s="1671"/>
      <c r="EB569" s="618"/>
      <c r="EC569" s="618"/>
      <c r="ED569" s="618"/>
      <c r="EE569" s="618"/>
      <c r="EF569" s="618"/>
      <c r="EG569" s="618"/>
      <c r="EH569" s="618"/>
      <c r="EI569" s="618"/>
      <c r="EJ569" s="618"/>
      <c r="EK569" s="618"/>
      <c r="EL569" s="618"/>
      <c r="EM569" s="618"/>
    </row>
    <row r="570" spans="6:143">
      <c r="F570" s="338">
        <v>136.03</v>
      </c>
      <c r="G570" s="338" t="s">
        <v>338</v>
      </c>
      <c r="L570" s="2481">
        <v>143.28</v>
      </c>
      <c r="M570" s="340" t="s">
        <v>302</v>
      </c>
      <c r="N570" s="1390"/>
      <c r="O570" s="2479"/>
      <c r="P570" s="2282"/>
      <c r="AA570" s="338">
        <v>203</v>
      </c>
      <c r="AB570" s="338" t="s">
        <v>307</v>
      </c>
      <c r="AG570" s="2297">
        <v>50.02</v>
      </c>
      <c r="AH570" s="2297" t="s">
        <v>331</v>
      </c>
      <c r="AI570" s="1390"/>
      <c r="AJ570" s="2282"/>
      <c r="AK570" s="2282"/>
      <c r="AL570" s="1037"/>
      <c r="AR570" s="338">
        <v>117.02</v>
      </c>
      <c r="AS570" s="338" t="s">
        <v>338</v>
      </c>
      <c r="AX570" s="340">
        <v>134.04</v>
      </c>
      <c r="AY570" s="340" t="s">
        <v>302</v>
      </c>
      <c r="BH570" s="338">
        <v>155</v>
      </c>
      <c r="BI570" s="338" t="s">
        <v>344</v>
      </c>
      <c r="BN570" s="340">
        <v>41.03</v>
      </c>
      <c r="BO570" s="340" t="s">
        <v>331</v>
      </c>
      <c r="BP570" s="1385"/>
      <c r="BQ570" s="1389"/>
      <c r="BR570" s="6"/>
      <c r="BV570" s="338">
        <v>801.04</v>
      </c>
      <c r="BW570" s="338" t="s">
        <v>289</v>
      </c>
      <c r="CB570" s="340">
        <v>132</v>
      </c>
      <c r="CC570" s="340" t="s">
        <v>302</v>
      </c>
      <c r="CE570" s="341" t="str">
        <f t="array" ref="CE570">IFERROR(IF($CE$11="Metro",INDEX($BV$13:$BV$4972,SMALL(IF((County=$BW$13:$BW$4972),MATCH(ROW($BW$13:$BW$4972),ROW($BW$13:$BW$4972)),""),ROWS($A$13:$A628))),INDEX($BY$13:$BY$212,SMALL(IF((County=$BZ$13:$BZ$212),MATCH(ROW($BZ$13:$BZ$212),ROW($BZ$13:$BZ$212)),""),ROWS($A$13:$A628)))),"")</f>
        <v/>
      </c>
      <c r="CL570" s="236">
        <v>16.04</v>
      </c>
      <c r="CM570" s="236" t="s">
        <v>328</v>
      </c>
      <c r="CR570" s="340">
        <v>41.02</v>
      </c>
      <c r="CS570" s="340" t="s">
        <v>331</v>
      </c>
      <c r="CT570" s="1384"/>
      <c r="CZ570" s="1795">
        <v>95.06</v>
      </c>
      <c r="DA570" s="338" t="s">
        <v>331</v>
      </c>
      <c r="DF570" s="340">
        <v>141.03</v>
      </c>
      <c r="DG570" s="340" t="s">
        <v>302</v>
      </c>
      <c r="DP570" s="236">
        <v>152</v>
      </c>
      <c r="DQ570" s="236" t="s">
        <v>344</v>
      </c>
      <c r="DV570" s="340">
        <v>51.01</v>
      </c>
      <c r="DW570" s="340" t="s">
        <v>316</v>
      </c>
      <c r="DX570" s="1671"/>
      <c r="EB570" s="618"/>
      <c r="EC570" s="618"/>
      <c r="ED570" s="618"/>
      <c r="EE570" s="618"/>
      <c r="EF570" s="618"/>
      <c r="EG570" s="618"/>
      <c r="EH570" s="618"/>
      <c r="EI570" s="618"/>
      <c r="EJ570" s="618"/>
      <c r="EK570" s="618"/>
      <c r="EL570" s="618"/>
      <c r="EM570" s="618"/>
    </row>
    <row r="571" spans="6:143">
      <c r="F571" s="338">
        <v>136.06</v>
      </c>
      <c r="G571" s="338" t="s">
        <v>338</v>
      </c>
      <c r="L571" s="2481">
        <v>143.29</v>
      </c>
      <c r="M571" s="340" t="s">
        <v>302</v>
      </c>
      <c r="N571" s="1390"/>
      <c r="O571" s="2479"/>
      <c r="P571" s="2282"/>
      <c r="AA571" s="338">
        <v>203</v>
      </c>
      <c r="AB571" s="338" t="s">
        <v>349</v>
      </c>
      <c r="AG571" s="2297">
        <v>51.01</v>
      </c>
      <c r="AH571" s="2297" t="s">
        <v>316</v>
      </c>
      <c r="AI571" s="1390"/>
      <c r="AJ571" s="2282"/>
      <c r="AK571" s="2282"/>
      <c r="AL571" s="1037"/>
      <c r="AR571" s="338">
        <v>120</v>
      </c>
      <c r="AS571" s="338" t="s">
        <v>338</v>
      </c>
      <c r="AX571" s="340">
        <v>135.22</v>
      </c>
      <c r="AY571" s="340" t="s">
        <v>302</v>
      </c>
      <c r="BH571" s="338">
        <v>155.02000000000001</v>
      </c>
      <c r="BI571" s="338" t="s">
        <v>302</v>
      </c>
      <c r="BN571" s="340">
        <v>41.05</v>
      </c>
      <c r="BO571" s="340" t="s">
        <v>331</v>
      </c>
      <c r="BP571" s="1385"/>
      <c r="BQ571" s="1389"/>
      <c r="BR571" s="6"/>
      <c r="BV571" s="338">
        <v>801.05</v>
      </c>
      <c r="BW571" s="338" t="s">
        <v>289</v>
      </c>
      <c r="CB571" s="340">
        <v>133.01</v>
      </c>
      <c r="CC571" s="340" t="s">
        <v>302</v>
      </c>
      <c r="CE571" s="341" t="str">
        <f t="array" ref="CE571">IFERROR(IF($CE$11="Metro",INDEX($BV$13:$BV$4972,SMALL(IF((County=$BW$13:$BW$4972),MATCH(ROW($BW$13:$BW$4972),ROW($BW$13:$BW$4972)),""),ROWS($A$13:$A629))),INDEX($BY$13:$BY$212,SMALL(IF((County=$BZ$13:$BZ$212),MATCH(ROW($BZ$13:$BZ$212),ROW($BZ$13:$BZ$212)),""),ROWS($A$13:$A629)))),"")</f>
        <v/>
      </c>
      <c r="CL571" s="338">
        <v>16.05</v>
      </c>
      <c r="CM571" s="338" t="s">
        <v>276</v>
      </c>
      <c r="CR571" s="340">
        <v>41.03</v>
      </c>
      <c r="CS571" s="340" t="s">
        <v>331</v>
      </c>
      <c r="CT571" s="1384"/>
      <c r="CZ571" s="1795">
        <v>100.1</v>
      </c>
      <c r="DA571" s="338" t="s">
        <v>331</v>
      </c>
      <c r="DF571" s="340">
        <v>141.04</v>
      </c>
      <c r="DG571" s="340" t="s">
        <v>302</v>
      </c>
      <c r="DP571" s="236">
        <v>152.02000000000001</v>
      </c>
      <c r="DQ571" s="236" t="s">
        <v>338</v>
      </c>
      <c r="DV571" s="340">
        <v>51.02</v>
      </c>
      <c r="DW571" s="340" t="s">
        <v>316</v>
      </c>
      <c r="DX571" s="1671"/>
      <c r="EB571" s="618"/>
      <c r="EC571" s="618"/>
      <c r="ED571" s="618"/>
      <c r="EE571" s="618"/>
      <c r="EF571" s="618"/>
      <c r="EG571" s="618"/>
      <c r="EH571" s="618"/>
      <c r="EI571" s="618"/>
      <c r="EJ571" s="618"/>
      <c r="EK571" s="618"/>
      <c r="EL571" s="618"/>
      <c r="EM571" s="618"/>
    </row>
    <row r="572" spans="6:143">
      <c r="F572" s="338">
        <v>142.02000000000001</v>
      </c>
      <c r="G572" s="338" t="s">
        <v>338</v>
      </c>
      <c r="L572" s="2481">
        <v>143.30000000000001</v>
      </c>
      <c r="M572" s="340" t="s">
        <v>302</v>
      </c>
      <c r="N572" s="1390"/>
      <c r="O572" s="2479"/>
      <c r="P572" s="2282"/>
      <c r="AA572" s="338">
        <v>203.02</v>
      </c>
      <c r="AB572" s="338" t="s">
        <v>323</v>
      </c>
      <c r="AG572" s="2297">
        <v>51.02</v>
      </c>
      <c r="AH572" s="2297" t="s">
        <v>316</v>
      </c>
      <c r="AI572" s="1390"/>
      <c r="AJ572" s="2282"/>
      <c r="AK572" s="2282"/>
      <c r="AL572" s="1037"/>
      <c r="AR572" s="338">
        <v>121</v>
      </c>
      <c r="AS572" s="338" t="s">
        <v>338</v>
      </c>
      <c r="AX572" s="340">
        <v>135.22999999999999</v>
      </c>
      <c r="AY572" s="340" t="s">
        <v>302</v>
      </c>
      <c r="BH572" s="338">
        <v>158.02000000000001</v>
      </c>
      <c r="BI572" s="338" t="s">
        <v>344</v>
      </c>
      <c r="BN572" s="340">
        <v>41.06</v>
      </c>
      <c r="BO572" s="340" t="s">
        <v>331</v>
      </c>
      <c r="BP572" s="1385"/>
      <c r="BQ572" s="1389"/>
      <c r="BR572" s="6"/>
      <c r="BV572" s="338">
        <v>802</v>
      </c>
      <c r="BW572" s="338" t="s">
        <v>289</v>
      </c>
      <c r="CB572" s="340">
        <v>134.03</v>
      </c>
      <c r="CC572" s="340" t="s">
        <v>302</v>
      </c>
      <c r="CE572" s="341" t="str">
        <f t="array" ref="CE572">IFERROR(IF($CE$11="Metro",INDEX($BV$13:$BV$4972,SMALL(IF((County=$BW$13:$BW$4972),MATCH(ROW($BW$13:$BW$4972),ROW($BW$13:$BW$4972)),""),ROWS($A$13:$A630))),INDEX($BY$13:$BY$212,SMALL(IF((County=$BZ$13:$BZ$212),MATCH(ROW($BZ$13:$BZ$212),ROW($BZ$13:$BZ$212)),""),ROWS($A$13:$A630)))),"")</f>
        <v/>
      </c>
      <c r="CL572" s="236">
        <v>16.05</v>
      </c>
      <c r="CM572" s="236" t="s">
        <v>331</v>
      </c>
      <c r="CR572" s="340">
        <v>41.05</v>
      </c>
      <c r="CS572" s="340" t="s">
        <v>331</v>
      </c>
      <c r="CT572" s="1384"/>
      <c r="CZ572" s="1795">
        <v>100.15</v>
      </c>
      <c r="DA572" s="338" t="s">
        <v>331</v>
      </c>
      <c r="DF572" s="340">
        <v>142.03</v>
      </c>
      <c r="DG572" s="340" t="s">
        <v>302</v>
      </c>
      <c r="DP572" s="236">
        <v>153</v>
      </c>
      <c r="DQ572" s="236" t="s">
        <v>302</v>
      </c>
      <c r="DV572" s="340">
        <v>53.01</v>
      </c>
      <c r="DW572" s="340" t="s">
        <v>316</v>
      </c>
      <c r="DX572" s="1671"/>
      <c r="EB572" s="618"/>
      <c r="EC572" s="618"/>
      <c r="ED572" s="618"/>
      <c r="EE572" s="618"/>
      <c r="EF572" s="618"/>
      <c r="EG572" s="618"/>
      <c r="EH572" s="618"/>
      <c r="EI572" s="618"/>
      <c r="EJ572" s="618"/>
      <c r="EK572" s="618"/>
      <c r="EL572" s="618"/>
      <c r="EM572" s="618"/>
    </row>
    <row r="573" spans="6:143">
      <c r="F573" s="338">
        <v>143.02000000000001</v>
      </c>
      <c r="G573" s="338" t="s">
        <v>338</v>
      </c>
      <c r="L573" s="2481">
        <v>143.31</v>
      </c>
      <c r="M573" s="340" t="s">
        <v>302</v>
      </c>
      <c r="N573" s="1390"/>
      <c r="O573" s="2479"/>
      <c r="P573" s="2282"/>
      <c r="AA573" s="338">
        <v>203.02</v>
      </c>
      <c r="AB573" s="338" t="s">
        <v>348</v>
      </c>
      <c r="AG573" s="2297">
        <v>51.02</v>
      </c>
      <c r="AH573" s="2297" t="s">
        <v>331</v>
      </c>
      <c r="AI573" s="1390"/>
      <c r="AJ573" s="2282"/>
      <c r="AK573" s="2282"/>
      <c r="AL573" s="1037"/>
      <c r="AR573" s="338">
        <v>122.01</v>
      </c>
      <c r="AS573" s="338" t="s">
        <v>338</v>
      </c>
      <c r="AX573" s="340">
        <v>137.22999999999999</v>
      </c>
      <c r="AY573" s="340" t="s">
        <v>302</v>
      </c>
      <c r="BH573" s="338">
        <v>160.01</v>
      </c>
      <c r="BI573" s="338" t="s">
        <v>302</v>
      </c>
      <c r="BN573" s="340">
        <v>42.05</v>
      </c>
      <c r="BO573" s="340" t="s">
        <v>331</v>
      </c>
      <c r="BP573" s="1385"/>
      <c r="BQ573" s="1389"/>
      <c r="BR573" s="6"/>
      <c r="BV573" s="338">
        <v>804.02</v>
      </c>
      <c r="BW573" s="338" t="s">
        <v>289</v>
      </c>
      <c r="CB573" s="340">
        <v>134.04</v>
      </c>
      <c r="CC573" s="340" t="s">
        <v>302</v>
      </c>
      <c r="CE573" s="341" t="str">
        <f t="array" ref="CE573">IFERROR(IF($CE$11="Metro",INDEX($BV$13:$BV$4972,SMALL(IF((County=$BW$13:$BW$4972),MATCH(ROW($BW$13:$BW$4972),ROW($BW$13:$BW$4972)),""),ROWS($A$13:$A631))),INDEX($BY$13:$BY$212,SMALL(IF((County=$BZ$13:$BZ$212),MATCH(ROW($BZ$13:$BZ$212),ROW($BZ$13:$BZ$212)),""),ROWS($A$13:$A631)))),"")</f>
        <v/>
      </c>
      <c r="CL573" s="236">
        <v>16.059999999999999</v>
      </c>
      <c r="CM573" s="236" t="s">
        <v>331</v>
      </c>
      <c r="CR573" s="340">
        <v>41.06</v>
      </c>
      <c r="CS573" s="340" t="s">
        <v>331</v>
      </c>
      <c r="CT573" s="1384"/>
      <c r="CZ573" s="1795">
        <v>100.19</v>
      </c>
      <c r="DA573" s="338" t="s">
        <v>331</v>
      </c>
      <c r="DF573" s="340">
        <v>142.04</v>
      </c>
      <c r="DG573" s="340" t="s">
        <v>302</v>
      </c>
      <c r="DP573" s="236">
        <v>154</v>
      </c>
      <c r="DQ573" s="236" t="s">
        <v>302</v>
      </c>
      <c r="DV573" s="340">
        <v>54.01</v>
      </c>
      <c r="DW573" s="340" t="s">
        <v>316</v>
      </c>
      <c r="DX573" s="1671"/>
      <c r="EB573" s="618"/>
      <c r="EC573" s="618"/>
      <c r="ED573" s="618"/>
      <c r="EE573" s="618"/>
      <c r="EF573" s="618"/>
      <c r="EG573" s="618"/>
      <c r="EH573" s="618"/>
      <c r="EI573" s="618"/>
      <c r="EJ573" s="618"/>
      <c r="EK573" s="618"/>
      <c r="EL573" s="618"/>
      <c r="EM573" s="618"/>
    </row>
    <row r="574" spans="6:143">
      <c r="F574" s="338">
        <v>145.02000000000001</v>
      </c>
      <c r="G574" s="338" t="s">
        <v>338</v>
      </c>
      <c r="L574" s="2481">
        <v>143.33000000000001</v>
      </c>
      <c r="M574" s="340" t="s">
        <v>302</v>
      </c>
      <c r="N574" s="1390"/>
      <c r="O574" s="2479"/>
      <c r="P574" s="2282"/>
      <c r="AA574" s="338">
        <v>203.08</v>
      </c>
      <c r="AB574" s="338" t="s">
        <v>289</v>
      </c>
      <c r="AG574" s="2297">
        <v>53.01</v>
      </c>
      <c r="AH574" s="2297" t="s">
        <v>316</v>
      </c>
      <c r="AI574" s="1390"/>
      <c r="AJ574" s="2282"/>
      <c r="AK574" s="2282"/>
      <c r="AL574" s="1037"/>
      <c r="AR574" s="338">
        <v>122.02</v>
      </c>
      <c r="AS574" s="338" t="s">
        <v>338</v>
      </c>
      <c r="AX574" s="340">
        <v>137.28</v>
      </c>
      <c r="AY574" s="340" t="s">
        <v>302</v>
      </c>
      <c r="BH574" s="338">
        <v>160.02000000000001</v>
      </c>
      <c r="BI574" s="338" t="s">
        <v>302</v>
      </c>
      <c r="BN574" s="340">
        <v>42.05</v>
      </c>
      <c r="BO574" s="340" t="s">
        <v>340</v>
      </c>
      <c r="BP574" s="1385"/>
      <c r="BQ574" s="1389"/>
      <c r="BR574" s="6"/>
      <c r="BV574" s="338">
        <v>804.03</v>
      </c>
      <c r="BW574" s="338" t="s">
        <v>289</v>
      </c>
      <c r="CB574" s="340">
        <v>135.22</v>
      </c>
      <c r="CC574" s="340" t="s">
        <v>302</v>
      </c>
      <c r="CE574" s="341" t="str">
        <f t="array" ref="CE574">IFERROR(IF($CE$11="Metro",INDEX($BV$13:$BV$4972,SMALL(IF((County=$BW$13:$BW$4972),MATCH(ROW($BW$13:$BW$4972),ROW($BW$13:$BW$4972)),""),ROWS($A$13:$A632))),INDEX($BY$13:$BY$212,SMALL(IF((County=$BZ$13:$BZ$212),MATCH(ROW($BZ$13:$BZ$212),ROW($BZ$13:$BZ$212)),""),ROWS($A$13:$A632)))),"")</f>
        <v/>
      </c>
      <c r="CL574" s="236">
        <v>16.07</v>
      </c>
      <c r="CM574" s="236" t="s">
        <v>331</v>
      </c>
      <c r="CR574" s="340">
        <v>42.05</v>
      </c>
      <c r="CS574" s="340" t="s">
        <v>331</v>
      </c>
      <c r="CT574" s="1384"/>
      <c r="CZ574" s="1795">
        <v>100.23</v>
      </c>
      <c r="DA574" s="338" t="s">
        <v>331</v>
      </c>
      <c r="DF574" s="340">
        <v>142.05000000000001</v>
      </c>
      <c r="DG574" s="340" t="s">
        <v>302</v>
      </c>
      <c r="DP574" s="236">
        <v>154.05000000000001</v>
      </c>
      <c r="DQ574" s="236" t="s">
        <v>344</v>
      </c>
      <c r="DV574" s="340">
        <v>54.11</v>
      </c>
      <c r="DW574" s="340" t="s">
        <v>340</v>
      </c>
      <c r="DX574" s="1671"/>
      <c r="EB574" s="618"/>
      <c r="EC574" s="618"/>
      <c r="ED574" s="618"/>
      <c r="EE574" s="618"/>
      <c r="EF574" s="618"/>
      <c r="EG574" s="618"/>
      <c r="EH574" s="618"/>
      <c r="EI574" s="618"/>
      <c r="EJ574" s="618"/>
      <c r="EK574" s="618"/>
      <c r="EL574" s="618"/>
      <c r="EM574" s="618"/>
    </row>
    <row r="575" spans="6:143">
      <c r="F575" s="338">
        <v>145.03</v>
      </c>
      <c r="G575" s="338" t="s">
        <v>338</v>
      </c>
      <c r="L575" s="2481">
        <v>143.34</v>
      </c>
      <c r="M575" s="340" t="s">
        <v>302</v>
      </c>
      <c r="N575" s="1390"/>
      <c r="O575" s="2479"/>
      <c r="P575" s="2282"/>
      <c r="AA575" s="338">
        <v>204</v>
      </c>
      <c r="AB575" s="338" t="s">
        <v>307</v>
      </c>
      <c r="AG575" s="2297">
        <v>54.01</v>
      </c>
      <c r="AH575" s="2297" t="s">
        <v>316</v>
      </c>
      <c r="AI575" s="1390"/>
      <c r="AJ575" s="2282"/>
      <c r="AK575" s="2282"/>
      <c r="AL575" s="1037"/>
      <c r="AR575" s="338">
        <v>123.07</v>
      </c>
      <c r="AS575" s="338" t="s">
        <v>338</v>
      </c>
      <c r="AX575" s="340">
        <v>137.30000000000001</v>
      </c>
      <c r="AY575" s="340" t="s">
        <v>302</v>
      </c>
      <c r="BH575" s="338">
        <v>163</v>
      </c>
      <c r="BI575" s="338" t="s">
        <v>302</v>
      </c>
      <c r="BN575" s="340">
        <v>42.07</v>
      </c>
      <c r="BO575" s="340" t="s">
        <v>331</v>
      </c>
      <c r="BP575" s="1385"/>
      <c r="BQ575" s="1389"/>
      <c r="BR575" s="6"/>
      <c r="BV575" s="338">
        <v>804.05</v>
      </c>
      <c r="BW575" s="338" t="s">
        <v>289</v>
      </c>
      <c r="CB575" s="340">
        <v>135.22999999999999</v>
      </c>
      <c r="CC575" s="340" t="s">
        <v>302</v>
      </c>
      <c r="CE575" s="341" t="str">
        <f t="array" ref="CE575">IFERROR(IF($CE$11="Metro",INDEX($BV$13:$BV$4972,SMALL(IF((County=$BW$13:$BW$4972),MATCH(ROW($BW$13:$BW$4972),ROW($BW$13:$BW$4972)),""),ROWS($A$13:$A633))),INDEX($BY$13:$BY$212,SMALL(IF((County=$BZ$13:$BZ$212),MATCH(ROW($BZ$13:$BZ$212),ROW($BZ$13:$BZ$212)),""),ROWS($A$13:$A633)))),"")</f>
        <v/>
      </c>
      <c r="CL575" s="236">
        <v>16.079999999999998</v>
      </c>
      <c r="CM575" s="236" t="s">
        <v>331</v>
      </c>
      <c r="CR575" s="340">
        <v>42.05</v>
      </c>
      <c r="CS575" s="340" t="s">
        <v>340</v>
      </c>
      <c r="CT575" s="1384"/>
      <c r="CZ575" s="1795">
        <v>100.24</v>
      </c>
      <c r="DA575" s="338" t="s">
        <v>331</v>
      </c>
      <c r="DF575" s="340">
        <v>142.06</v>
      </c>
      <c r="DG575" s="340" t="s">
        <v>302</v>
      </c>
      <c r="DP575" s="236">
        <v>155</v>
      </c>
      <c r="DQ575" s="236" t="s">
        <v>344</v>
      </c>
      <c r="DV575" s="340">
        <v>54.12</v>
      </c>
      <c r="DW575" s="340" t="s">
        <v>340</v>
      </c>
      <c r="DX575" s="1671"/>
      <c r="EB575" s="618"/>
      <c r="EC575" s="618"/>
      <c r="ED575" s="618"/>
      <c r="EE575" s="618"/>
      <c r="EF575" s="618"/>
      <c r="EG575" s="618"/>
      <c r="EH575" s="618"/>
      <c r="EI575" s="618"/>
      <c r="EJ575" s="618"/>
      <c r="EK575" s="618"/>
      <c r="EL575" s="618"/>
      <c r="EM575" s="618"/>
    </row>
    <row r="576" spans="6:143">
      <c r="F576" s="338">
        <v>146.01</v>
      </c>
      <c r="G576" s="338" t="s">
        <v>338</v>
      </c>
      <c r="L576" s="2481">
        <v>143.35</v>
      </c>
      <c r="M576" s="340" t="s">
        <v>302</v>
      </c>
      <c r="N576" s="1390"/>
      <c r="O576" s="2479"/>
      <c r="P576" s="2282"/>
      <c r="AA576" s="338">
        <v>204.01</v>
      </c>
      <c r="AB576" s="338" t="s">
        <v>348</v>
      </c>
      <c r="AG576" s="2297">
        <v>54.11</v>
      </c>
      <c r="AH576" s="2297" t="s">
        <v>340</v>
      </c>
      <c r="AI576" s="1390"/>
      <c r="AJ576" s="2282"/>
      <c r="AK576" s="2282"/>
      <c r="AL576" s="1037"/>
      <c r="AR576" s="338">
        <v>124.02</v>
      </c>
      <c r="AS576" s="338" t="s">
        <v>338</v>
      </c>
      <c r="AX576" s="340">
        <v>137.31</v>
      </c>
      <c r="AY576" s="340" t="s">
        <v>302</v>
      </c>
      <c r="BH576" s="338">
        <v>163.02000000000001</v>
      </c>
      <c r="BI576" s="338" t="s">
        <v>338</v>
      </c>
      <c r="BN576" s="340">
        <v>42.08</v>
      </c>
      <c r="BO576" s="340" t="s">
        <v>331</v>
      </c>
      <c r="BP576" s="1385"/>
      <c r="BQ576" s="1389"/>
      <c r="BR576" s="6"/>
      <c r="BV576" s="338">
        <v>804.06</v>
      </c>
      <c r="BW576" s="338" t="s">
        <v>289</v>
      </c>
      <c r="CB576" s="340">
        <v>137.22999999999999</v>
      </c>
      <c r="CC576" s="340" t="s">
        <v>302</v>
      </c>
      <c r="CE576" s="341" t="str">
        <f t="array" ref="CE576">IFERROR(IF($CE$11="Metro",INDEX($BV$13:$BV$4972,SMALL(IF((County=$BW$13:$BW$4972),MATCH(ROW($BW$13:$BW$4972),ROW($BW$13:$BW$4972)),""),ROWS($A$13:$A634))),INDEX($BY$13:$BY$212,SMALL(IF((County=$BZ$13:$BZ$212),MATCH(ROW($BZ$13:$BZ$212),ROW($BZ$13:$BZ$212)),""),ROWS($A$13:$A634)))),"")</f>
        <v/>
      </c>
      <c r="CL576" s="338">
        <v>17</v>
      </c>
      <c r="CM576" s="338" t="s">
        <v>285</v>
      </c>
      <c r="CR576" s="340">
        <v>42.06</v>
      </c>
      <c r="CS576" s="340" t="s">
        <v>331</v>
      </c>
      <c r="CT576" s="1384"/>
      <c r="CZ576" s="1795">
        <v>100.25</v>
      </c>
      <c r="DA576" s="338" t="s">
        <v>331</v>
      </c>
      <c r="DF576" s="340">
        <v>143.12</v>
      </c>
      <c r="DG576" s="340" t="s">
        <v>302</v>
      </c>
      <c r="DP576" s="236">
        <v>155.02000000000001</v>
      </c>
      <c r="DQ576" s="236" t="s">
        <v>302</v>
      </c>
      <c r="DV576" s="340">
        <v>54.13</v>
      </c>
      <c r="DW576" s="340" t="s">
        <v>340</v>
      </c>
      <c r="DX576" s="1671"/>
      <c r="EB576" s="618"/>
      <c r="EC576" s="618"/>
      <c r="ED576" s="618"/>
      <c r="EE576" s="618"/>
      <c r="EF576" s="618"/>
      <c r="EG576" s="618"/>
      <c r="EH576" s="618"/>
      <c r="EI576" s="618"/>
      <c r="EJ576" s="618"/>
      <c r="EK576" s="618"/>
      <c r="EL576" s="618"/>
      <c r="EM576" s="618"/>
    </row>
    <row r="577" spans="6:143">
      <c r="F577" s="338">
        <v>146.05000000000001</v>
      </c>
      <c r="G577" s="338" t="s">
        <v>338</v>
      </c>
      <c r="L577" s="2481">
        <v>143.36000000000001</v>
      </c>
      <c r="M577" s="340" t="s">
        <v>302</v>
      </c>
      <c r="N577" s="1390"/>
      <c r="O577" s="2479"/>
      <c r="P577" s="2282"/>
      <c r="AA577" s="338">
        <v>204.05</v>
      </c>
      <c r="AB577" s="338" t="s">
        <v>289</v>
      </c>
      <c r="AG577" s="2297">
        <v>54.12</v>
      </c>
      <c r="AH577" s="2297" t="s">
        <v>340</v>
      </c>
      <c r="AI577" s="1390"/>
      <c r="AJ577" s="2282"/>
      <c r="AK577" s="2282"/>
      <c r="AL577" s="1037"/>
      <c r="AR577" s="338">
        <v>124.03</v>
      </c>
      <c r="AS577" s="338" t="s">
        <v>338</v>
      </c>
      <c r="AX577" s="340">
        <v>137.32</v>
      </c>
      <c r="AY577" s="340" t="s">
        <v>302</v>
      </c>
      <c r="BH577" s="338">
        <v>164</v>
      </c>
      <c r="BI577" s="338" t="s">
        <v>344</v>
      </c>
      <c r="BN577" s="340">
        <v>43</v>
      </c>
      <c r="BO577" s="340" t="s">
        <v>340</v>
      </c>
      <c r="BP577" s="1385"/>
      <c r="BQ577" s="1389"/>
      <c r="BR577" s="6"/>
      <c r="BV577" s="338">
        <v>805</v>
      </c>
      <c r="BW577" s="338" t="s">
        <v>289</v>
      </c>
      <c r="CB577" s="340">
        <v>137.28</v>
      </c>
      <c r="CC577" s="340" t="s">
        <v>302</v>
      </c>
      <c r="CE577" s="341" t="str">
        <f t="array" ref="CE577">IFERROR(IF($CE$11="Metro",INDEX($BV$13:$BV$4972,SMALL(IF((County=$BW$13:$BW$4972),MATCH(ROW($BW$13:$BW$4972),ROW($BW$13:$BW$4972)),""),ROWS($A$13:$A635))),INDEX($BY$13:$BY$212,SMALL(IF((County=$BZ$13:$BZ$212),MATCH(ROW($BZ$13:$BZ$212),ROW($BZ$13:$BZ$212)),""),ROWS($A$13:$A635)))),"")</f>
        <v/>
      </c>
      <c r="CL577" s="236">
        <v>17</v>
      </c>
      <c r="CM577" s="236" t="s">
        <v>304</v>
      </c>
      <c r="CR577" s="340">
        <v>42.06</v>
      </c>
      <c r="CS577" s="340" t="s">
        <v>340</v>
      </c>
      <c r="CT577" s="1384"/>
      <c r="CZ577" s="1795">
        <v>100.26</v>
      </c>
      <c r="DA577" s="338" t="s">
        <v>331</v>
      </c>
      <c r="DF577" s="340">
        <v>143.28</v>
      </c>
      <c r="DG577" s="340" t="s">
        <v>302</v>
      </c>
      <c r="DP577" s="236">
        <v>158.05000000000001</v>
      </c>
      <c r="DQ577" s="236" t="s">
        <v>302</v>
      </c>
      <c r="DV577" s="340">
        <v>55</v>
      </c>
      <c r="DW577" s="340" t="s">
        <v>316</v>
      </c>
      <c r="DX577" s="1671"/>
      <c r="EB577" s="618"/>
      <c r="EC577" s="618"/>
      <c r="ED577" s="618"/>
      <c r="EE577" s="618"/>
      <c r="EF577" s="618"/>
      <c r="EG577" s="618"/>
      <c r="EH577" s="618"/>
      <c r="EI577" s="618"/>
      <c r="EJ577" s="618"/>
      <c r="EK577" s="618"/>
      <c r="EL577" s="618"/>
      <c r="EM577" s="618"/>
    </row>
    <row r="578" spans="6:143">
      <c r="F578" s="338">
        <v>146.06</v>
      </c>
      <c r="G578" s="338" t="s">
        <v>338</v>
      </c>
      <c r="L578" s="2481">
        <v>143.38</v>
      </c>
      <c r="M578" s="340" t="s">
        <v>302</v>
      </c>
      <c r="N578" s="1390"/>
      <c r="O578" s="2479"/>
      <c r="P578" s="2282"/>
      <c r="AA578" s="338">
        <v>204.12</v>
      </c>
      <c r="AB578" s="338" t="s">
        <v>289</v>
      </c>
      <c r="AG578" s="2297">
        <v>54.13</v>
      </c>
      <c r="AH578" s="2297" t="s">
        <v>340</v>
      </c>
      <c r="AI578" s="1390"/>
      <c r="AJ578" s="2282"/>
      <c r="AK578" s="2282"/>
      <c r="AL578" s="1037"/>
      <c r="AR578" s="338">
        <v>134.03</v>
      </c>
      <c r="AS578" s="338" t="s">
        <v>338</v>
      </c>
      <c r="AX578" s="340">
        <v>137.33000000000001</v>
      </c>
      <c r="AY578" s="340" t="s">
        <v>302</v>
      </c>
      <c r="BH578" s="338">
        <v>164.07</v>
      </c>
      <c r="BI578" s="338" t="s">
        <v>338</v>
      </c>
      <c r="BN578" s="340">
        <v>43.01</v>
      </c>
      <c r="BO578" s="340" t="s">
        <v>331</v>
      </c>
      <c r="BP578" s="1385"/>
      <c r="BQ578" s="1389"/>
      <c r="BR578" s="6"/>
      <c r="BV578" s="338">
        <v>901.02</v>
      </c>
      <c r="BW578" s="338" t="s">
        <v>289</v>
      </c>
      <c r="CB578" s="340">
        <v>137.29</v>
      </c>
      <c r="CC578" s="340" t="s">
        <v>302</v>
      </c>
      <c r="CE578" s="341" t="str">
        <f t="array" ref="CE578">IFERROR(IF($CE$11="Metro",INDEX($BV$13:$BV$4972,SMALL(IF((County=$BW$13:$BW$4972),MATCH(ROW($BW$13:$BW$4972),ROW($BW$13:$BW$4972)),""),ROWS($A$13:$A636))),INDEX($BY$13:$BY$212,SMALL(IF((County=$BZ$13:$BZ$212),MATCH(ROW($BZ$13:$BZ$212),ROW($BZ$13:$BZ$212)),""),ROWS($A$13:$A636)))),"")</f>
        <v/>
      </c>
      <c r="CL578" s="236">
        <v>17</v>
      </c>
      <c r="CM578" s="236" t="s">
        <v>316</v>
      </c>
      <c r="CR578" s="340">
        <v>42.07</v>
      </c>
      <c r="CS578" s="340" t="s">
        <v>331</v>
      </c>
      <c r="CT578" s="1384"/>
      <c r="CZ578" s="1795">
        <v>102.07</v>
      </c>
      <c r="DA578" s="338" t="s">
        <v>331</v>
      </c>
      <c r="DF578" s="340">
        <v>143.29</v>
      </c>
      <c r="DG578" s="340" t="s">
        <v>302</v>
      </c>
      <c r="DP578" s="236">
        <v>160.01</v>
      </c>
      <c r="DQ578" s="236" t="s">
        <v>344</v>
      </c>
      <c r="DV578" s="340">
        <v>56.02</v>
      </c>
      <c r="DW578" s="340" t="s">
        <v>340</v>
      </c>
      <c r="DX578" s="1671"/>
      <c r="EB578" s="618"/>
      <c r="EC578" s="618"/>
      <c r="ED578" s="618"/>
      <c r="EE578" s="618"/>
      <c r="EF578" s="618"/>
      <c r="EG578" s="618"/>
      <c r="EH578" s="618"/>
      <c r="EI578" s="618"/>
      <c r="EJ578" s="618"/>
      <c r="EK578" s="618"/>
      <c r="EL578" s="618"/>
      <c r="EM578" s="618"/>
    </row>
    <row r="579" spans="6:143">
      <c r="F579" s="338">
        <v>146.08000000000001</v>
      </c>
      <c r="G579" s="338" t="s">
        <v>338</v>
      </c>
      <c r="L579" s="2481">
        <v>143.38999999999999</v>
      </c>
      <c r="M579" s="340" t="s">
        <v>302</v>
      </c>
      <c r="N579" s="1390"/>
      <c r="O579" s="2479"/>
      <c r="P579" s="2282"/>
      <c r="AA579" s="338">
        <v>205</v>
      </c>
      <c r="AB579" s="338" t="s">
        <v>342</v>
      </c>
      <c r="AG579" s="2297">
        <v>55</v>
      </c>
      <c r="AH579" s="2297" t="s">
        <v>316</v>
      </c>
      <c r="AI579" s="1390"/>
      <c r="AJ579" s="2282"/>
      <c r="AK579" s="2282"/>
      <c r="AL579" s="1037"/>
      <c r="AR579" s="338">
        <v>134.05000000000001</v>
      </c>
      <c r="AS579" s="338" t="s">
        <v>338</v>
      </c>
      <c r="AX579" s="340">
        <v>138</v>
      </c>
      <c r="AY579" s="340" t="s">
        <v>302</v>
      </c>
      <c r="BH579" s="338">
        <v>165.03</v>
      </c>
      <c r="BI579" s="338" t="s">
        <v>338</v>
      </c>
      <c r="BN579" s="340">
        <v>43.03</v>
      </c>
      <c r="BO579" s="340" t="s">
        <v>331</v>
      </c>
      <c r="BP579" s="1385"/>
      <c r="BQ579" s="1388"/>
      <c r="BV579" s="338">
        <v>901.03</v>
      </c>
      <c r="BW579" s="338" t="s">
        <v>289</v>
      </c>
      <c r="CB579" s="340">
        <v>137.30000000000001</v>
      </c>
      <c r="CC579" s="340" t="s">
        <v>302</v>
      </c>
      <c r="CE579" s="341" t="str">
        <f t="array" ref="CE579">IFERROR(IF($CE$11="Metro",INDEX($BV$13:$BV$4972,SMALL(IF((County=$BW$13:$BW$4972),MATCH(ROW($BW$13:$BW$4972),ROW($BW$13:$BW$4972)),""),ROWS($A$13:$A637))),INDEX($BY$13:$BY$212,SMALL(IF((County=$BZ$13:$BZ$212),MATCH(ROW($BZ$13:$BZ$212),ROW($BZ$13:$BZ$212)),""),ROWS($A$13:$A637)))),"")</f>
        <v/>
      </c>
      <c r="CL579" s="236">
        <v>17</v>
      </c>
      <c r="CM579" s="236" t="s">
        <v>329</v>
      </c>
      <c r="CR579" s="340">
        <v>43</v>
      </c>
      <c r="CS579" s="340" t="s">
        <v>340</v>
      </c>
      <c r="CT579" s="1384"/>
      <c r="CZ579" s="1795">
        <v>102.08</v>
      </c>
      <c r="DA579" s="338" t="s">
        <v>331</v>
      </c>
      <c r="DF579" s="340">
        <v>143.30000000000001</v>
      </c>
      <c r="DG579" s="340" t="s">
        <v>302</v>
      </c>
      <c r="DP579" s="236">
        <v>160.03</v>
      </c>
      <c r="DQ579" s="236" t="s">
        <v>344</v>
      </c>
      <c r="DV579" s="340">
        <v>57</v>
      </c>
      <c r="DW579" s="340" t="s">
        <v>316</v>
      </c>
      <c r="DX579" s="1671"/>
      <c r="EB579" s="618"/>
      <c r="EC579" s="618"/>
      <c r="ED579" s="618"/>
      <c r="EE579" s="618"/>
      <c r="EF579" s="618"/>
      <c r="EG579" s="618"/>
      <c r="EH579" s="618"/>
      <c r="EI579" s="618"/>
      <c r="EJ579" s="618"/>
      <c r="EK579" s="618"/>
      <c r="EL579" s="618"/>
      <c r="EM579" s="618"/>
    </row>
    <row r="580" spans="6:143">
      <c r="F580" s="338">
        <v>146.09</v>
      </c>
      <c r="G580" s="338" t="s">
        <v>338</v>
      </c>
      <c r="L580" s="2481">
        <v>143.4</v>
      </c>
      <c r="M580" s="340" t="s">
        <v>302</v>
      </c>
      <c r="N580" s="1390"/>
      <c r="O580" s="2479"/>
      <c r="P580" s="2282"/>
      <c r="AA580" s="338">
        <v>205</v>
      </c>
      <c r="AB580" s="338" t="s">
        <v>348</v>
      </c>
      <c r="AG580" s="2297">
        <v>55.03</v>
      </c>
      <c r="AH580" s="2297" t="s">
        <v>331</v>
      </c>
      <c r="AI580" s="1390"/>
      <c r="AJ580" s="2282"/>
      <c r="AK580" s="2282"/>
      <c r="AL580" s="1037"/>
      <c r="AR580" s="338">
        <v>135.03</v>
      </c>
      <c r="AS580" s="338" t="s">
        <v>338</v>
      </c>
      <c r="AX580" s="340">
        <v>139.01</v>
      </c>
      <c r="AY580" s="340" t="s">
        <v>302</v>
      </c>
      <c r="BH580" s="338">
        <v>165.1</v>
      </c>
      <c r="BI580" s="338" t="s">
        <v>338</v>
      </c>
      <c r="BN580" s="340">
        <v>43.04</v>
      </c>
      <c r="BO580" s="340" t="s">
        <v>331</v>
      </c>
      <c r="BP580" s="1385"/>
      <c r="BV580" s="338">
        <v>901.04</v>
      </c>
      <c r="BW580" s="338" t="s">
        <v>289</v>
      </c>
      <c r="CB580" s="340">
        <v>137.31</v>
      </c>
      <c r="CC580" s="340" t="s">
        <v>302</v>
      </c>
      <c r="CE580" s="341" t="str">
        <f t="array" ref="CE580">IFERROR(IF($CE$11="Metro",INDEX($BV$13:$BV$4972,SMALL(IF((County=$BW$13:$BW$4972),MATCH(ROW($BW$13:$BW$4972),ROW($BW$13:$BW$4972)),""),ROWS($A$13:$A638))),INDEX($BY$13:$BY$212,SMALL(IF((County=$BZ$13:$BZ$212),MATCH(ROW($BZ$13:$BZ$212),ROW($BZ$13:$BZ$212)),""),ROWS($A$13:$A638)))),"")</f>
        <v/>
      </c>
      <c r="CL580" s="236">
        <v>17</v>
      </c>
      <c r="CM580" s="236" t="s">
        <v>340</v>
      </c>
      <c r="CR580" s="340">
        <v>43.01</v>
      </c>
      <c r="CS580" s="340" t="s">
        <v>331</v>
      </c>
      <c r="CT580" s="1384"/>
      <c r="CZ580" s="1795">
        <v>102.11</v>
      </c>
      <c r="DA580" s="338" t="s">
        <v>331</v>
      </c>
      <c r="DF580" s="340">
        <v>143.33000000000001</v>
      </c>
      <c r="DG580" s="340" t="s">
        <v>302</v>
      </c>
      <c r="DP580" s="236">
        <v>161</v>
      </c>
      <c r="DQ580" s="236" t="s">
        <v>344</v>
      </c>
      <c r="DV580" s="340">
        <v>58</v>
      </c>
      <c r="DW580" s="340" t="s">
        <v>316</v>
      </c>
      <c r="DX580" s="1671"/>
      <c r="EB580" s="618"/>
      <c r="EC580" s="618"/>
      <c r="ED580" s="618"/>
      <c r="EE580" s="618"/>
      <c r="EF580" s="618"/>
      <c r="EG580" s="618"/>
      <c r="EH580" s="618"/>
      <c r="EI580" s="618"/>
      <c r="EJ580" s="618"/>
      <c r="EK580" s="618"/>
      <c r="EL580" s="618"/>
      <c r="EM580" s="618"/>
    </row>
    <row r="581" spans="6:143">
      <c r="F581" s="338">
        <v>147.01</v>
      </c>
      <c r="G581" s="338" t="s">
        <v>338</v>
      </c>
      <c r="L581" s="2481">
        <v>143.41</v>
      </c>
      <c r="M581" s="340" t="s">
        <v>302</v>
      </c>
      <c r="N581" s="1390"/>
      <c r="O581" s="2479"/>
      <c r="P581" s="2282"/>
      <c r="AA581" s="338">
        <v>205.01</v>
      </c>
      <c r="AB581" s="338" t="s">
        <v>323</v>
      </c>
      <c r="AG581" s="2297">
        <v>57</v>
      </c>
      <c r="AH581" s="2297" t="s">
        <v>316</v>
      </c>
      <c r="AI581" s="1390"/>
      <c r="AJ581" s="2282"/>
      <c r="AK581" s="2282"/>
      <c r="AL581" s="1037"/>
      <c r="AR581" s="338">
        <v>135.11000000000001</v>
      </c>
      <c r="AS581" s="338" t="s">
        <v>338</v>
      </c>
      <c r="AX581" s="340">
        <v>139.02000000000001</v>
      </c>
      <c r="AY581" s="340" t="s">
        <v>302</v>
      </c>
      <c r="BH581" s="338">
        <v>165.11</v>
      </c>
      <c r="BI581" s="338" t="s">
        <v>338</v>
      </c>
      <c r="BN581" s="340">
        <v>44.01</v>
      </c>
      <c r="BO581" s="340" t="s">
        <v>340</v>
      </c>
      <c r="BP581" s="1385"/>
      <c r="BV581" s="338">
        <v>902</v>
      </c>
      <c r="BW581" s="338" t="s">
        <v>289</v>
      </c>
      <c r="CB581" s="340">
        <v>137.32</v>
      </c>
      <c r="CC581" s="340" t="s">
        <v>302</v>
      </c>
      <c r="CE581" s="341" t="str">
        <f t="array" ref="CE581">IFERROR(IF($CE$11="Metro",INDEX($BV$13:$BV$4972,SMALL(IF((County=$BW$13:$BW$4972),MATCH(ROW($BW$13:$BW$4972),ROW($BW$13:$BW$4972)),""),ROWS($A$13:$A639))),INDEX($BY$13:$BY$212,SMALL(IF((County=$BZ$13:$BZ$212),MATCH(ROW($BZ$13:$BZ$212),ROW($BZ$13:$BZ$212)),""),ROWS($A$13:$A639)))),"")</f>
        <v/>
      </c>
      <c r="CL581" s="338">
        <v>17.010000000000002</v>
      </c>
      <c r="CM581" s="338" t="s">
        <v>276</v>
      </c>
      <c r="CR581" s="340">
        <v>43.03</v>
      </c>
      <c r="CS581" s="340" t="s">
        <v>331</v>
      </c>
      <c r="CT581" s="1384"/>
      <c r="CZ581" s="1795">
        <v>102.13</v>
      </c>
      <c r="DA581" s="338" t="s">
        <v>331</v>
      </c>
      <c r="DF581" s="340">
        <v>143.34</v>
      </c>
      <c r="DG581" s="340" t="s">
        <v>302</v>
      </c>
      <c r="DP581" s="236">
        <v>161.02000000000001</v>
      </c>
      <c r="DQ581" s="236" t="s">
        <v>302</v>
      </c>
      <c r="DV581" s="340">
        <v>58.05</v>
      </c>
      <c r="DW581" s="340" t="s">
        <v>331</v>
      </c>
      <c r="DX581" s="1671"/>
      <c r="EB581" s="618"/>
      <c r="EC581" s="618"/>
      <c r="ED581" s="618"/>
      <c r="EE581" s="618"/>
      <c r="EF581" s="618"/>
      <c r="EG581" s="618"/>
      <c r="EH581" s="618"/>
      <c r="EI581" s="618"/>
      <c r="EJ581" s="618"/>
      <c r="EK581" s="618"/>
      <c r="EL581" s="618"/>
      <c r="EM581" s="618"/>
    </row>
    <row r="582" spans="6:143">
      <c r="F582" s="338">
        <v>147.02000000000001</v>
      </c>
      <c r="G582" s="338" t="s">
        <v>338</v>
      </c>
      <c r="L582" s="2481">
        <v>143.41999999999999</v>
      </c>
      <c r="M582" s="340" t="s">
        <v>302</v>
      </c>
      <c r="N582" s="1390"/>
      <c r="O582" s="2479"/>
      <c r="P582" s="2282"/>
      <c r="AA582" s="338">
        <v>207</v>
      </c>
      <c r="AB582" s="338" t="s">
        <v>294</v>
      </c>
      <c r="AG582" s="2297">
        <v>57.01</v>
      </c>
      <c r="AH582" s="2297" t="s">
        <v>331</v>
      </c>
      <c r="AI582" s="1390"/>
      <c r="AJ582" s="2282"/>
      <c r="AK582" s="2282"/>
      <c r="AL582" s="1037"/>
      <c r="AR582" s="338">
        <v>135.12</v>
      </c>
      <c r="AS582" s="338" t="s">
        <v>338</v>
      </c>
      <c r="AX582" s="340">
        <v>139.04</v>
      </c>
      <c r="AY582" s="340" t="s">
        <v>302</v>
      </c>
      <c r="BH582" s="338">
        <v>165.12</v>
      </c>
      <c r="BI582" s="338" t="s">
        <v>338</v>
      </c>
      <c r="BN582" s="340">
        <v>44.03</v>
      </c>
      <c r="BO582" s="340" t="s">
        <v>331</v>
      </c>
      <c r="BP582" s="1385"/>
      <c r="BV582" s="338">
        <v>903.01</v>
      </c>
      <c r="BW582" s="338" t="s">
        <v>289</v>
      </c>
      <c r="CB582" s="340">
        <v>137.33000000000001</v>
      </c>
      <c r="CC582" s="340" t="s">
        <v>302</v>
      </c>
      <c r="CE582" s="341" t="str">
        <f t="array" ref="CE582">IFERROR(IF($CE$11="Metro",INDEX($BV$13:$BV$4972,SMALL(IF((County=$BW$13:$BW$4972),MATCH(ROW($BW$13:$BW$4972),ROW($BW$13:$BW$4972)),""),ROWS($A$13:$A640))),INDEX($BY$13:$BY$212,SMALL(IF((County=$BZ$13:$BZ$212),MATCH(ROW($BZ$13:$BZ$212),ROW($BZ$13:$BZ$212)),""),ROWS($A$13:$A640)))),"")</f>
        <v/>
      </c>
      <c r="CL582" s="236">
        <v>17.010000000000002</v>
      </c>
      <c r="CM582" s="236" t="s">
        <v>323</v>
      </c>
      <c r="CR582" s="340">
        <v>43.04</v>
      </c>
      <c r="CS582" s="340" t="s">
        <v>331</v>
      </c>
      <c r="CT582" s="1384"/>
      <c r="CZ582" s="1795">
        <v>105.01</v>
      </c>
      <c r="DA582" s="338" t="s">
        <v>331</v>
      </c>
      <c r="DF582" s="340">
        <v>143.35</v>
      </c>
      <c r="DG582" s="340" t="s">
        <v>302</v>
      </c>
      <c r="DP582" s="236">
        <v>162</v>
      </c>
      <c r="DQ582" s="236" t="s">
        <v>302</v>
      </c>
      <c r="DV582" s="340">
        <v>58.06</v>
      </c>
      <c r="DW582" s="340" t="s">
        <v>331</v>
      </c>
      <c r="DX582" s="1671"/>
      <c r="EB582" s="618"/>
      <c r="EC582" s="618"/>
      <c r="ED582" s="618"/>
      <c r="EE582" s="618"/>
      <c r="EF582" s="618"/>
      <c r="EG582" s="618"/>
      <c r="EH582" s="618"/>
      <c r="EI582" s="618"/>
      <c r="EJ582" s="618"/>
      <c r="EK582" s="618"/>
      <c r="EL582" s="618"/>
      <c r="EM582" s="618"/>
    </row>
    <row r="583" spans="6:143">
      <c r="F583" s="338">
        <v>149.08000000000001</v>
      </c>
      <c r="G583" s="338" t="s">
        <v>338</v>
      </c>
      <c r="L583" s="2481">
        <v>143.43</v>
      </c>
      <c r="M583" s="340" t="s">
        <v>302</v>
      </c>
      <c r="N583" s="1390"/>
      <c r="O583" s="2479"/>
      <c r="P583" s="2282"/>
      <c r="AA583" s="338">
        <v>207.01</v>
      </c>
      <c r="AB583" s="338" t="s">
        <v>307</v>
      </c>
      <c r="AG583" s="2297">
        <v>58</v>
      </c>
      <c r="AH583" s="2297" t="s">
        <v>316</v>
      </c>
      <c r="AI583" s="1390"/>
      <c r="AJ583" s="2282"/>
      <c r="AK583" s="2282"/>
      <c r="AL583" s="1037"/>
      <c r="AR583" s="338">
        <v>136.05000000000001</v>
      </c>
      <c r="AS583" s="338" t="s">
        <v>338</v>
      </c>
      <c r="AX583" s="340">
        <v>139.05000000000001</v>
      </c>
      <c r="AY583" s="340" t="s">
        <v>302</v>
      </c>
      <c r="BH583" s="338">
        <v>165.13</v>
      </c>
      <c r="BI583" s="338" t="s">
        <v>338</v>
      </c>
      <c r="BN583" s="340">
        <v>44.05</v>
      </c>
      <c r="BO583" s="340" t="s">
        <v>331</v>
      </c>
      <c r="BP583" s="1385"/>
      <c r="BV583" s="338">
        <v>903.03</v>
      </c>
      <c r="BW583" s="338" t="s">
        <v>289</v>
      </c>
      <c r="CB583" s="340">
        <v>138</v>
      </c>
      <c r="CC583" s="340" t="s">
        <v>302</v>
      </c>
      <c r="CE583" s="341" t="str">
        <f t="array" ref="CE583">IFERROR(IF($CE$11="Metro",INDEX($BV$13:$BV$4972,SMALL(IF((County=$BW$13:$BW$4972),MATCH(ROW($BW$13:$BW$4972),ROW($BW$13:$BW$4972)),""),ROWS($A$13:$A641))),INDEX($BY$13:$BY$212,SMALL(IF((County=$BZ$13:$BZ$212),MATCH(ROW($BZ$13:$BZ$212),ROW($BZ$13:$BZ$212)),""),ROWS($A$13:$A641)))),"")</f>
        <v/>
      </c>
      <c r="CL583" s="236">
        <v>17.010000000000002</v>
      </c>
      <c r="CM583" s="236" t="s">
        <v>324</v>
      </c>
      <c r="CR583" s="340">
        <v>44.01</v>
      </c>
      <c r="CS583" s="340" t="s">
        <v>340</v>
      </c>
      <c r="CT583" s="1384"/>
      <c r="CZ583" s="1795">
        <v>106.09</v>
      </c>
      <c r="DA583" s="338" t="s">
        <v>331</v>
      </c>
      <c r="DF583" s="340">
        <v>143.36000000000001</v>
      </c>
      <c r="DG583" s="340" t="s">
        <v>302</v>
      </c>
      <c r="DP583" s="236">
        <v>163</v>
      </c>
      <c r="DQ583" s="236" t="s">
        <v>302</v>
      </c>
      <c r="DV583" s="340">
        <v>58.11</v>
      </c>
      <c r="DW583" s="340" t="s">
        <v>340</v>
      </c>
      <c r="DX583" s="1671"/>
      <c r="EB583" s="618"/>
      <c r="EC583" s="618"/>
      <c r="ED583" s="618"/>
      <c r="EE583" s="618"/>
      <c r="EF583" s="618"/>
      <c r="EG583" s="618"/>
      <c r="EH583" s="618"/>
      <c r="EI583" s="618"/>
      <c r="EJ583" s="618"/>
      <c r="EK583" s="618"/>
      <c r="EL583" s="618"/>
      <c r="EM583" s="618"/>
    </row>
    <row r="584" spans="6:143">
      <c r="F584" s="338">
        <v>150.01</v>
      </c>
      <c r="G584" s="338" t="s">
        <v>338</v>
      </c>
      <c r="L584" s="2481">
        <v>143.44</v>
      </c>
      <c r="M584" s="340" t="s">
        <v>302</v>
      </c>
      <c r="N584" s="1390"/>
      <c r="O584" s="2479"/>
      <c r="P584" s="2282"/>
      <c r="AA584" s="338">
        <v>207.02</v>
      </c>
      <c r="AB584" s="338" t="s">
        <v>307</v>
      </c>
      <c r="AG584" s="2297">
        <v>58.05</v>
      </c>
      <c r="AH584" s="2297" t="s">
        <v>331</v>
      </c>
      <c r="AI584" s="1390"/>
      <c r="AJ584" s="2282"/>
      <c r="AK584" s="2282"/>
      <c r="AL584" s="1037"/>
      <c r="AR584" s="338">
        <v>136.06</v>
      </c>
      <c r="AS584" s="338" t="s">
        <v>338</v>
      </c>
      <c r="AX584" s="340">
        <v>139.06</v>
      </c>
      <c r="AY584" s="340" t="s">
        <v>302</v>
      </c>
      <c r="BH584" s="338">
        <v>166.05</v>
      </c>
      <c r="BI584" s="338" t="s">
        <v>302</v>
      </c>
      <c r="BN584" s="340">
        <v>44.06</v>
      </c>
      <c r="BO584" s="340" t="s">
        <v>331</v>
      </c>
      <c r="BP584" s="1385"/>
      <c r="BV584" s="338">
        <v>903.04</v>
      </c>
      <c r="BW584" s="338" t="s">
        <v>289</v>
      </c>
      <c r="CB584" s="340">
        <v>139.01</v>
      </c>
      <c r="CC584" s="340" t="s">
        <v>302</v>
      </c>
      <c r="CE584" s="341" t="str">
        <f t="array" ref="CE584">IFERROR(IF($CE$11="Metro",INDEX($BV$13:$BV$4972,SMALL(IF((County=$BW$13:$BW$4972),MATCH(ROW($BW$13:$BW$4972),ROW($BW$13:$BW$4972)),""),ROWS($A$13:$A642))),INDEX($BY$13:$BY$212,SMALL(IF((County=$BZ$13:$BZ$212),MATCH(ROW($BZ$13:$BZ$212),ROW($BZ$13:$BZ$212)),""),ROWS($A$13:$A642)))),"")</f>
        <v/>
      </c>
      <c r="CL584" s="236">
        <v>17.010000000000002</v>
      </c>
      <c r="CM584" s="236" t="s">
        <v>328</v>
      </c>
      <c r="CR584" s="340">
        <v>44.06</v>
      </c>
      <c r="CS584" s="340" t="s">
        <v>331</v>
      </c>
      <c r="CT584" s="1384"/>
      <c r="CZ584" s="1795">
        <v>107.06</v>
      </c>
      <c r="DA584" s="338" t="s">
        <v>331</v>
      </c>
      <c r="DF584" s="340">
        <v>143.38</v>
      </c>
      <c r="DG584" s="340" t="s">
        <v>302</v>
      </c>
      <c r="DP584" s="236">
        <v>163.02000000000001</v>
      </c>
      <c r="DQ584" s="236" t="s">
        <v>338</v>
      </c>
      <c r="DV584" s="340">
        <v>58.13</v>
      </c>
      <c r="DW584" s="340" t="s">
        <v>340</v>
      </c>
      <c r="DX584" s="1671"/>
      <c r="EB584" s="618"/>
      <c r="EC584" s="618"/>
      <c r="ED584" s="618"/>
      <c r="EE584" s="618"/>
      <c r="EF584" s="618"/>
      <c r="EG584" s="618"/>
      <c r="EH584" s="618"/>
      <c r="EI584" s="618"/>
      <c r="EJ584" s="618"/>
      <c r="EK584" s="618"/>
      <c r="EL584" s="618"/>
      <c r="EM584" s="618"/>
    </row>
    <row r="585" spans="6:143">
      <c r="F585" s="338">
        <v>151.06</v>
      </c>
      <c r="G585" s="338" t="s">
        <v>338</v>
      </c>
      <c r="L585" s="2481">
        <v>144.08000000000001</v>
      </c>
      <c r="M585" s="340" t="s">
        <v>302</v>
      </c>
      <c r="N585" s="1390"/>
      <c r="O585" s="2479"/>
      <c r="P585" s="2282"/>
      <c r="AA585" s="338">
        <v>208</v>
      </c>
      <c r="AB585" s="338" t="s">
        <v>342</v>
      </c>
      <c r="AG585" s="2297">
        <v>58.06</v>
      </c>
      <c r="AH585" s="2297" t="s">
        <v>331</v>
      </c>
      <c r="AI585" s="1390"/>
      <c r="AJ585" s="2282"/>
      <c r="AK585" s="2282"/>
      <c r="AL585" s="1037"/>
      <c r="AR585" s="338">
        <v>143.02000000000001</v>
      </c>
      <c r="AS585" s="338" t="s">
        <v>338</v>
      </c>
      <c r="AX585" s="340">
        <v>140.01</v>
      </c>
      <c r="AY585" s="340" t="s">
        <v>302</v>
      </c>
      <c r="BH585" s="338">
        <v>166.06</v>
      </c>
      <c r="BI585" s="338" t="s">
        <v>302</v>
      </c>
      <c r="BN585" s="340">
        <v>45</v>
      </c>
      <c r="BO585" s="340" t="s">
        <v>331</v>
      </c>
      <c r="BP585" s="1385"/>
      <c r="BV585" s="338">
        <v>904.01</v>
      </c>
      <c r="BW585" s="338" t="s">
        <v>289</v>
      </c>
      <c r="CB585" s="340">
        <v>139.02000000000001</v>
      </c>
      <c r="CC585" s="340" t="s">
        <v>302</v>
      </c>
      <c r="CE585" s="341" t="str">
        <f t="array" ref="CE585">IFERROR(IF($CE$11="Metro",INDEX($BV$13:$BV$4972,SMALL(IF((County=$BW$13:$BW$4972),MATCH(ROW($BW$13:$BW$4972),ROW($BW$13:$BW$4972)),""),ROWS($A$13:$A643))),INDEX($BY$13:$BY$212,SMALL(IF((County=$BZ$13:$BZ$212),MATCH(ROW($BZ$13:$BZ$212),ROW($BZ$13:$BZ$212)),""),ROWS($A$13:$A643)))),"")</f>
        <v/>
      </c>
      <c r="CL585" s="236">
        <v>17.010000000000002</v>
      </c>
      <c r="CM585" s="236" t="s">
        <v>330</v>
      </c>
      <c r="CR585" s="340">
        <v>45</v>
      </c>
      <c r="CS585" s="340" t="s">
        <v>331</v>
      </c>
      <c r="CT585" s="1384"/>
      <c r="CZ585" s="1795">
        <v>107.08</v>
      </c>
      <c r="DA585" s="338" t="s">
        <v>331</v>
      </c>
      <c r="DF585" s="340">
        <v>143.38999999999999</v>
      </c>
      <c r="DG585" s="340" t="s">
        <v>302</v>
      </c>
      <c r="DP585" s="236">
        <v>164</v>
      </c>
      <c r="DQ585" s="236" t="s">
        <v>344</v>
      </c>
      <c r="DV585" s="340">
        <v>58.2</v>
      </c>
      <c r="DW585" s="340" t="s">
        <v>340</v>
      </c>
      <c r="DX585" s="1671"/>
      <c r="EB585" s="618"/>
      <c r="EC585" s="618"/>
      <c r="ED585" s="618"/>
      <c r="EE585" s="618"/>
      <c r="EF585" s="618"/>
      <c r="EG585" s="618"/>
      <c r="EH585" s="618"/>
      <c r="EI585" s="618"/>
      <c r="EJ585" s="618"/>
      <c r="EK585" s="618"/>
      <c r="EL585" s="618"/>
      <c r="EM585" s="618"/>
    </row>
    <row r="586" spans="6:143">
      <c r="F586" s="338">
        <v>152.02000000000001</v>
      </c>
      <c r="G586" s="338" t="s">
        <v>338</v>
      </c>
      <c r="L586" s="2481">
        <v>144.13</v>
      </c>
      <c r="M586" s="340" t="s">
        <v>302</v>
      </c>
      <c r="N586" s="1390"/>
      <c r="O586" s="2479"/>
      <c r="P586" s="2282"/>
      <c r="AA586" s="338">
        <v>208.02</v>
      </c>
      <c r="AB586" s="338" t="s">
        <v>323</v>
      </c>
      <c r="AG586" s="2297">
        <v>58.11</v>
      </c>
      <c r="AH586" s="2297" t="s">
        <v>340</v>
      </c>
      <c r="AI586" s="1390"/>
      <c r="AJ586" s="2282"/>
      <c r="AK586" s="2282"/>
      <c r="AL586" s="1037"/>
      <c r="AR586" s="338">
        <v>145.02000000000001</v>
      </c>
      <c r="AS586" s="338" t="s">
        <v>338</v>
      </c>
      <c r="AX586" s="340">
        <v>140.02000000000001</v>
      </c>
      <c r="AY586" s="340" t="s">
        <v>302</v>
      </c>
      <c r="BH586" s="338">
        <v>167.09</v>
      </c>
      <c r="BI586" s="338" t="s">
        <v>338</v>
      </c>
      <c r="BN586" s="340">
        <v>46.01</v>
      </c>
      <c r="BO586" s="340" t="s">
        <v>316</v>
      </c>
      <c r="BP586" s="1385"/>
      <c r="BV586" s="338">
        <v>904.03</v>
      </c>
      <c r="BW586" s="338" t="s">
        <v>289</v>
      </c>
      <c r="CB586" s="340">
        <v>139.05000000000001</v>
      </c>
      <c r="CC586" s="340" t="s">
        <v>302</v>
      </c>
      <c r="CE586" s="341" t="str">
        <f t="array" ref="CE586">IFERROR(IF($CE$11="Metro",INDEX($BV$13:$BV$4972,SMALL(IF((County=$BW$13:$BW$4972),MATCH(ROW($BW$13:$BW$4972),ROW($BW$13:$BW$4972)),""),ROWS($A$13:$A644))),INDEX($BY$13:$BY$212,SMALL(IF((County=$BZ$13:$BZ$212),MATCH(ROW($BZ$13:$BZ$212),ROW($BZ$13:$BZ$212)),""),ROWS($A$13:$A644)))),"")</f>
        <v/>
      </c>
      <c r="CL586" s="236">
        <v>17.010000000000002</v>
      </c>
      <c r="CM586" s="236" t="s">
        <v>331</v>
      </c>
      <c r="CR586" s="340">
        <v>46.01</v>
      </c>
      <c r="CS586" s="340" t="s">
        <v>316</v>
      </c>
      <c r="CT586" s="1384"/>
      <c r="CZ586" s="1795">
        <v>108.04</v>
      </c>
      <c r="DA586" s="338" t="s">
        <v>331</v>
      </c>
      <c r="DF586" s="340">
        <v>143.4</v>
      </c>
      <c r="DG586" s="340" t="s">
        <v>302</v>
      </c>
      <c r="DP586" s="236">
        <v>165.03</v>
      </c>
      <c r="DQ586" s="236" t="s">
        <v>338</v>
      </c>
      <c r="DV586" s="340">
        <v>59</v>
      </c>
      <c r="DW586" s="340" t="s">
        <v>316</v>
      </c>
      <c r="DX586" s="1671"/>
      <c r="EB586" s="618"/>
      <c r="EC586" s="618"/>
      <c r="ED586" s="618"/>
      <c r="EE586" s="618"/>
      <c r="EF586" s="618"/>
      <c r="EG586" s="618"/>
      <c r="EH586" s="618"/>
      <c r="EI586" s="618"/>
      <c r="EJ586" s="618"/>
      <c r="EK586" s="618"/>
      <c r="EL586" s="618"/>
      <c r="EM586" s="618"/>
    </row>
    <row r="587" spans="6:143">
      <c r="F587" s="338">
        <v>163.02000000000001</v>
      </c>
      <c r="G587" s="338" t="s">
        <v>338</v>
      </c>
      <c r="L587" s="2481">
        <v>144.13999999999999</v>
      </c>
      <c r="M587" s="340" t="s">
        <v>302</v>
      </c>
      <c r="N587" s="1390"/>
      <c r="O587" s="2479"/>
      <c r="P587" s="2282"/>
      <c r="AA587" s="338">
        <v>209.01</v>
      </c>
      <c r="AB587" s="338" t="s">
        <v>348</v>
      </c>
      <c r="AG587" s="2297">
        <v>58.2</v>
      </c>
      <c r="AH587" s="2297" t="s">
        <v>340</v>
      </c>
      <c r="AI587" s="1390"/>
      <c r="AJ587" s="2282"/>
      <c r="AK587" s="2282"/>
      <c r="AL587" s="1037"/>
      <c r="AR587" s="338">
        <v>145.03</v>
      </c>
      <c r="AS587" s="338" t="s">
        <v>338</v>
      </c>
      <c r="AX587" s="340">
        <v>141.01</v>
      </c>
      <c r="AY587" s="340" t="s">
        <v>302</v>
      </c>
      <c r="BH587" s="338">
        <v>167.38</v>
      </c>
      <c r="BI587" s="338" t="s">
        <v>338</v>
      </c>
      <c r="BN587" s="340">
        <v>46.02</v>
      </c>
      <c r="BO587" s="340" t="s">
        <v>316</v>
      </c>
      <c r="BP587" s="1385"/>
      <c r="BV587" s="338">
        <v>904.04</v>
      </c>
      <c r="BW587" s="338" t="s">
        <v>289</v>
      </c>
      <c r="CB587" s="340">
        <v>139.06</v>
      </c>
      <c r="CC587" s="340" t="s">
        <v>302</v>
      </c>
      <c r="CE587" s="341" t="str">
        <f t="array" ref="CE587">IFERROR(IF($CE$11="Metro",INDEX($BV$13:$BV$4972,SMALL(IF((County=$BW$13:$BW$4972),MATCH(ROW($BW$13:$BW$4972),ROW($BW$13:$BW$4972)),""),ROWS($A$13:$A645))),INDEX($BY$13:$BY$212,SMALL(IF((County=$BZ$13:$BZ$212),MATCH(ROW($BZ$13:$BZ$212),ROW($BZ$13:$BZ$212)),""),ROWS($A$13:$A645)))),"")</f>
        <v/>
      </c>
      <c r="CL587" s="338">
        <v>17.02</v>
      </c>
      <c r="CM587" s="338" t="s">
        <v>276</v>
      </c>
      <c r="CR587" s="340">
        <v>46.02</v>
      </c>
      <c r="CS587" s="340" t="s">
        <v>316</v>
      </c>
      <c r="CT587" s="1384"/>
      <c r="CZ587" s="1795">
        <v>108.05</v>
      </c>
      <c r="DA587" s="338" t="s">
        <v>331</v>
      </c>
      <c r="DF587" s="340">
        <v>143.41</v>
      </c>
      <c r="DG587" s="340" t="s">
        <v>302</v>
      </c>
      <c r="DP587" s="236">
        <v>165.1</v>
      </c>
      <c r="DQ587" s="236" t="s">
        <v>338</v>
      </c>
      <c r="DV587" s="340">
        <v>59.01</v>
      </c>
      <c r="DW587" s="340" t="s">
        <v>331</v>
      </c>
      <c r="DX587" s="1671"/>
      <c r="EB587" s="618"/>
      <c r="EC587" s="618"/>
      <c r="ED587" s="618"/>
      <c r="EE587" s="618"/>
      <c r="EF587" s="618"/>
      <c r="EG587" s="618"/>
      <c r="EH587" s="618"/>
      <c r="EI587" s="618"/>
      <c r="EJ587" s="618"/>
      <c r="EK587" s="618"/>
      <c r="EL587" s="618"/>
      <c r="EM587" s="618"/>
    </row>
    <row r="588" spans="6:143">
      <c r="F588" s="338">
        <v>165.1</v>
      </c>
      <c r="G588" s="338" t="s">
        <v>338</v>
      </c>
      <c r="L588" s="2481">
        <v>144.16</v>
      </c>
      <c r="M588" s="340" t="s">
        <v>302</v>
      </c>
      <c r="N588" s="1390"/>
      <c r="O588" s="2479"/>
      <c r="P588" s="2282"/>
      <c r="AA588" s="338">
        <v>209.02</v>
      </c>
      <c r="AB588" s="338" t="s">
        <v>348</v>
      </c>
      <c r="AG588" s="2297">
        <v>59</v>
      </c>
      <c r="AH588" s="2297" t="s">
        <v>316</v>
      </c>
      <c r="AI588" s="1390"/>
      <c r="AJ588" s="2282"/>
      <c r="AK588" s="2282"/>
      <c r="AL588" s="1037"/>
      <c r="AR588" s="338">
        <v>146.01</v>
      </c>
      <c r="AS588" s="338" t="s">
        <v>338</v>
      </c>
      <c r="AX588" s="340">
        <v>141.03</v>
      </c>
      <c r="AY588" s="340" t="s">
        <v>302</v>
      </c>
      <c r="BH588" s="338">
        <v>167.39</v>
      </c>
      <c r="BI588" s="338" t="s">
        <v>338</v>
      </c>
      <c r="BN588" s="340">
        <v>46.02</v>
      </c>
      <c r="BO588" s="340" t="s">
        <v>331</v>
      </c>
      <c r="BP588" s="1385"/>
      <c r="BV588" s="338">
        <v>905.02</v>
      </c>
      <c r="BW588" s="338" t="s">
        <v>289</v>
      </c>
      <c r="CB588" s="340">
        <v>140.01</v>
      </c>
      <c r="CC588" s="340" t="s">
        <v>302</v>
      </c>
      <c r="CE588" s="341" t="str">
        <f t="array" ref="CE588">IFERROR(IF($CE$11="Metro",INDEX($BV$13:$BV$4972,SMALL(IF((County=$BW$13:$BW$4972),MATCH(ROW($BW$13:$BW$4972),ROW($BW$13:$BW$4972)),""),ROWS($A$13:$A646))),INDEX($BY$13:$BY$212,SMALL(IF((County=$BZ$13:$BZ$212),MATCH(ROW($BZ$13:$BZ$212),ROW($BZ$13:$BZ$212)),""),ROWS($A$13:$A646)))),"")</f>
        <v/>
      </c>
      <c r="CL588" s="236">
        <v>17.02</v>
      </c>
      <c r="CM588" s="236" t="s">
        <v>324</v>
      </c>
      <c r="CR588" s="340">
        <v>46.02</v>
      </c>
      <c r="CS588" s="340" t="s">
        <v>331</v>
      </c>
      <c r="CT588" s="1384"/>
      <c r="CZ588" s="1795">
        <v>109</v>
      </c>
      <c r="DA588" s="338" t="s">
        <v>331</v>
      </c>
      <c r="DF588" s="340">
        <v>143.41999999999999</v>
      </c>
      <c r="DG588" s="340" t="s">
        <v>302</v>
      </c>
      <c r="DP588" s="236">
        <v>165.11</v>
      </c>
      <c r="DQ588" s="236" t="s">
        <v>338</v>
      </c>
      <c r="DV588" s="340">
        <v>59.16</v>
      </c>
      <c r="DW588" s="340" t="s">
        <v>340</v>
      </c>
      <c r="DX588" s="1671"/>
      <c r="EB588" s="618"/>
      <c r="EC588" s="618"/>
      <c r="ED588" s="618"/>
      <c r="EE588" s="618"/>
      <c r="EF588" s="618"/>
      <c r="EG588" s="618"/>
      <c r="EH588" s="618"/>
      <c r="EI588" s="618"/>
      <c r="EJ588" s="618"/>
      <c r="EK588" s="618"/>
      <c r="EL588" s="618"/>
      <c r="EM588" s="618"/>
    </row>
    <row r="589" spans="6:143">
      <c r="F589" s="338">
        <v>167.33</v>
      </c>
      <c r="G589" s="338" t="s">
        <v>338</v>
      </c>
      <c r="L589" s="2481">
        <v>144.16999999999999</v>
      </c>
      <c r="M589" s="340" t="s">
        <v>302</v>
      </c>
      <c r="N589" s="1390"/>
      <c r="O589" s="2479"/>
      <c r="P589" s="2282"/>
      <c r="AA589" s="338">
        <v>212</v>
      </c>
      <c r="AB589" s="338" t="s">
        <v>342</v>
      </c>
      <c r="AG589" s="2297">
        <v>59.01</v>
      </c>
      <c r="AH589" s="2297" t="s">
        <v>331</v>
      </c>
      <c r="AI589" s="1390"/>
      <c r="AJ589" s="2282"/>
      <c r="AK589" s="2282"/>
      <c r="AL589" s="1037"/>
      <c r="AR589" s="338">
        <v>146.05000000000001</v>
      </c>
      <c r="AS589" s="338" t="s">
        <v>338</v>
      </c>
      <c r="AX589" s="340">
        <v>141.04</v>
      </c>
      <c r="AY589" s="340" t="s">
        <v>302</v>
      </c>
      <c r="BH589" s="338">
        <v>167.4</v>
      </c>
      <c r="BI589" s="338" t="s">
        <v>338</v>
      </c>
      <c r="BN589" s="340">
        <v>46.05</v>
      </c>
      <c r="BO589" s="340" t="s">
        <v>331</v>
      </c>
      <c r="BP589" s="1385"/>
      <c r="BV589" s="338">
        <v>905.03</v>
      </c>
      <c r="BW589" s="338" t="s">
        <v>289</v>
      </c>
      <c r="CB589" s="340">
        <v>140.02000000000001</v>
      </c>
      <c r="CC589" s="340" t="s">
        <v>302</v>
      </c>
      <c r="CE589" s="341" t="str">
        <f t="array" ref="CE589">IFERROR(IF($CE$11="Metro",INDEX($BV$13:$BV$4972,SMALL(IF((County=$BW$13:$BW$4972),MATCH(ROW($BW$13:$BW$4972),ROW($BW$13:$BW$4972)),""),ROWS($A$13:$A647))),INDEX($BY$13:$BY$212,SMALL(IF((County=$BZ$13:$BZ$212),MATCH(ROW($BZ$13:$BZ$212),ROW($BZ$13:$BZ$212)),""),ROWS($A$13:$A647)))),"")</f>
        <v/>
      </c>
      <c r="CL589" s="236">
        <v>17.02</v>
      </c>
      <c r="CM589" s="236" t="s">
        <v>330</v>
      </c>
      <c r="CR589" s="340">
        <v>46.05</v>
      </c>
      <c r="CS589" s="340" t="s">
        <v>331</v>
      </c>
      <c r="CT589" s="1384"/>
      <c r="CZ589" s="1795">
        <v>110.1</v>
      </c>
      <c r="DA589" s="338" t="s">
        <v>331</v>
      </c>
      <c r="DF589" s="340">
        <v>143.43</v>
      </c>
      <c r="DG589" s="340" t="s">
        <v>302</v>
      </c>
      <c r="DP589" s="236">
        <v>165.13</v>
      </c>
      <c r="DQ589" s="236" t="s">
        <v>338</v>
      </c>
      <c r="DV589" s="340">
        <v>59.17</v>
      </c>
      <c r="DW589" s="340" t="s">
        <v>340</v>
      </c>
      <c r="DX589" s="1671"/>
      <c r="EB589" s="618"/>
      <c r="EC589" s="618"/>
      <c r="ED589" s="618"/>
      <c r="EE589" s="618"/>
      <c r="EF589" s="618"/>
      <c r="EG589" s="618"/>
      <c r="EH589" s="618"/>
      <c r="EI589" s="618"/>
      <c r="EJ589" s="618"/>
      <c r="EK589" s="618"/>
      <c r="EL589" s="618"/>
      <c r="EM589" s="618"/>
    </row>
    <row r="590" spans="6:143">
      <c r="F590" s="338">
        <v>167.39</v>
      </c>
      <c r="G590" s="338" t="s">
        <v>338</v>
      </c>
      <c r="L590" s="2481">
        <v>144.18</v>
      </c>
      <c r="M590" s="340" t="s">
        <v>302</v>
      </c>
      <c r="N590" s="1390"/>
      <c r="O590" s="2479"/>
      <c r="P590" s="2282"/>
      <c r="AA590" s="338">
        <v>215.02</v>
      </c>
      <c r="AB590" s="338" t="s">
        <v>342</v>
      </c>
      <c r="AG590" s="2297">
        <v>59.02</v>
      </c>
      <c r="AH590" s="2297" t="s">
        <v>331</v>
      </c>
      <c r="AI590" s="1390"/>
      <c r="AJ590" s="2282"/>
      <c r="AK590" s="2282"/>
      <c r="AL590" s="1037"/>
      <c r="AR590" s="338">
        <v>146.06</v>
      </c>
      <c r="AS590" s="338" t="s">
        <v>338</v>
      </c>
      <c r="AX590" s="340">
        <v>142.03</v>
      </c>
      <c r="AY590" s="340" t="s">
        <v>302</v>
      </c>
      <c r="BH590" s="338">
        <v>167.41</v>
      </c>
      <c r="BI590" s="338" t="s">
        <v>338</v>
      </c>
      <c r="BN590" s="340">
        <v>46.07</v>
      </c>
      <c r="BO590" s="340" t="s">
        <v>331</v>
      </c>
      <c r="BP590" s="1385"/>
      <c r="BV590" s="338">
        <v>905.04</v>
      </c>
      <c r="BW590" s="338" t="s">
        <v>289</v>
      </c>
      <c r="CB590" s="340">
        <v>141.01</v>
      </c>
      <c r="CC590" s="340" t="s">
        <v>302</v>
      </c>
      <c r="CE590" s="341" t="str">
        <f t="array" ref="CE590">IFERROR(IF($CE$11="Metro",INDEX($BV$13:$BV$4972,SMALL(IF((County=$BW$13:$BW$4972),MATCH(ROW($BW$13:$BW$4972),ROW($BW$13:$BW$4972)),""),ROWS($A$13:$A648))),INDEX($BY$13:$BY$212,SMALL(IF((County=$BZ$13:$BZ$212),MATCH(ROW($BZ$13:$BZ$212),ROW($BZ$13:$BZ$212)),""),ROWS($A$13:$A648)))),"")</f>
        <v/>
      </c>
      <c r="CL590" s="236">
        <v>17.02</v>
      </c>
      <c r="CM590" s="236" t="s">
        <v>331</v>
      </c>
      <c r="CR590" s="340">
        <v>46.07</v>
      </c>
      <c r="CS590" s="340" t="s">
        <v>331</v>
      </c>
      <c r="CT590" s="1384"/>
      <c r="CZ590" s="1795">
        <v>110.11</v>
      </c>
      <c r="DA590" s="338" t="s">
        <v>331</v>
      </c>
      <c r="DF590" s="340">
        <v>143.44</v>
      </c>
      <c r="DG590" s="340" t="s">
        <v>302</v>
      </c>
      <c r="DP590" s="236">
        <v>166.06</v>
      </c>
      <c r="DQ590" s="236" t="s">
        <v>302</v>
      </c>
      <c r="DV590" s="340">
        <v>59.18</v>
      </c>
      <c r="DW590" s="340" t="s">
        <v>340</v>
      </c>
      <c r="DX590" s="1671"/>
      <c r="EB590" s="618"/>
      <c r="EC590" s="618"/>
      <c r="ED590" s="618"/>
      <c r="EE590" s="618"/>
      <c r="EF590" s="618"/>
      <c r="EG590" s="618"/>
      <c r="EH590" s="618"/>
      <c r="EI590" s="618"/>
      <c r="EJ590" s="618"/>
      <c r="EK590" s="618"/>
      <c r="EL590" s="618"/>
      <c r="EM590" s="618"/>
    </row>
    <row r="591" spans="6:143">
      <c r="F591" s="338">
        <v>169.02</v>
      </c>
      <c r="G591" s="338" t="s">
        <v>338</v>
      </c>
      <c r="L591" s="2481">
        <v>144.19</v>
      </c>
      <c r="M591" s="340" t="s">
        <v>302</v>
      </c>
      <c r="N591" s="1390"/>
      <c r="O591" s="2479"/>
      <c r="P591" s="2282"/>
      <c r="AA591" s="338">
        <v>216</v>
      </c>
      <c r="AB591" s="338" t="s">
        <v>342</v>
      </c>
      <c r="AG591" s="2297">
        <v>59.16</v>
      </c>
      <c r="AH591" s="2297" t="s">
        <v>340</v>
      </c>
      <c r="AI591" s="1390"/>
      <c r="AJ591" s="2282"/>
      <c r="AK591" s="2282"/>
      <c r="AL591" s="1037"/>
      <c r="AR591" s="338">
        <v>146.08000000000001</v>
      </c>
      <c r="AS591" s="338" t="s">
        <v>338</v>
      </c>
      <c r="AX591" s="340">
        <v>142.04</v>
      </c>
      <c r="AY591" s="340" t="s">
        <v>302</v>
      </c>
      <c r="BH591" s="338">
        <v>167.42</v>
      </c>
      <c r="BI591" s="338" t="s">
        <v>338</v>
      </c>
      <c r="BN591" s="340">
        <v>46.08</v>
      </c>
      <c r="BO591" s="340" t="s">
        <v>331</v>
      </c>
      <c r="BP591" s="1385"/>
      <c r="BV591" s="338">
        <v>906.01</v>
      </c>
      <c r="BW591" s="338" t="s">
        <v>289</v>
      </c>
      <c r="CB591" s="340">
        <v>141.03</v>
      </c>
      <c r="CC591" s="340" t="s">
        <v>302</v>
      </c>
      <c r="CE591" s="341" t="str">
        <f t="array" ref="CE591">IFERROR(IF($CE$11="Metro",INDEX($BV$13:$BV$4972,SMALL(IF((County=$BW$13:$BW$4972),MATCH(ROW($BW$13:$BW$4972),ROW($BW$13:$BW$4972)),""),ROWS($A$13:$A649))),INDEX($BY$13:$BY$212,SMALL(IF((County=$BZ$13:$BZ$212),MATCH(ROW($BZ$13:$BZ$212),ROW($BZ$13:$BZ$212)),""),ROWS($A$13:$A649)))),"")</f>
        <v/>
      </c>
      <c r="CL591" s="236">
        <v>17.02</v>
      </c>
      <c r="CM591" s="236" t="s">
        <v>347</v>
      </c>
      <c r="CR591" s="340">
        <v>46.08</v>
      </c>
      <c r="CS591" s="340" t="s">
        <v>331</v>
      </c>
      <c r="CT591" s="1384"/>
      <c r="CZ591" s="1795">
        <v>112.05</v>
      </c>
      <c r="DA591" s="338" t="s">
        <v>331</v>
      </c>
      <c r="DF591" s="340">
        <v>144.08000000000001</v>
      </c>
      <c r="DG591" s="340" t="s">
        <v>302</v>
      </c>
      <c r="DP591" s="236">
        <v>167.27</v>
      </c>
      <c r="DQ591" s="236" t="s">
        <v>302</v>
      </c>
      <c r="DV591" s="340">
        <v>59.21</v>
      </c>
      <c r="DW591" s="340" t="s">
        <v>340</v>
      </c>
      <c r="DX591" s="1671"/>
      <c r="EB591" s="618"/>
      <c r="EC591" s="618"/>
      <c r="ED591" s="618"/>
      <c r="EE591" s="618"/>
      <c r="EF591" s="618"/>
      <c r="EG591" s="618"/>
      <c r="EH591" s="618"/>
      <c r="EI591" s="618"/>
      <c r="EJ591" s="618"/>
      <c r="EK591" s="618"/>
      <c r="EL591" s="618"/>
      <c r="EM591" s="618"/>
    </row>
    <row r="592" spans="6:143">
      <c r="F592" s="338">
        <v>169.04</v>
      </c>
      <c r="G592" s="338" t="s">
        <v>338</v>
      </c>
      <c r="L592" s="2481">
        <v>144.19999999999999</v>
      </c>
      <c r="M592" s="340" t="s">
        <v>302</v>
      </c>
      <c r="N592" s="1390"/>
      <c r="O592" s="2479"/>
      <c r="P592" s="2282"/>
      <c r="AA592" s="338">
        <v>219.01</v>
      </c>
      <c r="AB592" s="338" t="s">
        <v>336</v>
      </c>
      <c r="AG592" s="2297">
        <v>59.17</v>
      </c>
      <c r="AH592" s="2297" t="s">
        <v>340</v>
      </c>
      <c r="AI592" s="1390"/>
      <c r="AJ592" s="2282"/>
      <c r="AK592" s="2282"/>
      <c r="AL592" s="1037"/>
      <c r="AR592" s="338">
        <v>146.09</v>
      </c>
      <c r="AS592" s="338" t="s">
        <v>338</v>
      </c>
      <c r="AX592" s="340">
        <v>142.06</v>
      </c>
      <c r="AY592" s="340" t="s">
        <v>302</v>
      </c>
      <c r="BH592" s="338">
        <v>169.02</v>
      </c>
      <c r="BI592" s="338" t="s">
        <v>338</v>
      </c>
      <c r="BN592" s="340">
        <v>47</v>
      </c>
      <c r="BO592" s="340" t="s">
        <v>316</v>
      </c>
      <c r="BP592" s="1385"/>
      <c r="BV592" s="338">
        <v>906.02</v>
      </c>
      <c r="BW592" s="338" t="s">
        <v>289</v>
      </c>
      <c r="CB592" s="340">
        <v>141.04</v>
      </c>
      <c r="CC592" s="340" t="s">
        <v>302</v>
      </c>
      <c r="CE592" s="341" t="str">
        <f t="array" ref="CE592">IFERROR(IF($CE$11="Metro",INDEX($BV$13:$BV$4972,SMALL(IF((County=$BW$13:$BW$4972),MATCH(ROW($BW$13:$BW$4972),ROW($BW$13:$BW$4972)),""),ROWS($A$13:$A650))),INDEX($BY$13:$BY$212,SMALL(IF((County=$BZ$13:$BZ$212),MATCH(ROW($BZ$13:$BZ$212),ROW($BZ$13:$BZ$212)),""),ROWS($A$13:$A650)))),"")</f>
        <v/>
      </c>
      <c r="CL592" s="236">
        <v>17.03</v>
      </c>
      <c r="CM592" s="236" t="s">
        <v>330</v>
      </c>
      <c r="CR592" s="340">
        <v>47</v>
      </c>
      <c r="CS592" s="340" t="s">
        <v>316</v>
      </c>
      <c r="CT592" s="1384"/>
      <c r="CZ592" s="1795">
        <v>113.02</v>
      </c>
      <c r="DA592" s="338" t="s">
        <v>331</v>
      </c>
      <c r="DF592" s="340">
        <v>144.13</v>
      </c>
      <c r="DG592" s="340" t="s">
        <v>302</v>
      </c>
      <c r="DP592" s="236">
        <v>167.39</v>
      </c>
      <c r="DQ592" s="236" t="s">
        <v>338</v>
      </c>
      <c r="DV592" s="340">
        <v>59.22</v>
      </c>
      <c r="DW592" s="340" t="s">
        <v>340</v>
      </c>
      <c r="DX592" s="1671"/>
      <c r="EB592" s="618"/>
      <c r="EC592" s="618"/>
      <c r="ED592" s="618"/>
      <c r="EE592" s="618"/>
      <c r="EF592" s="618"/>
      <c r="EG592" s="618"/>
      <c r="EH592" s="618"/>
      <c r="EI592" s="618"/>
      <c r="EJ592" s="618"/>
      <c r="EK592" s="618"/>
      <c r="EL592" s="618"/>
      <c r="EM592" s="618"/>
    </row>
    <row r="593" spans="6:143">
      <c r="F593" s="338">
        <v>169.06</v>
      </c>
      <c r="G593" s="338" t="s">
        <v>338</v>
      </c>
      <c r="L593" s="2481">
        <v>144.21</v>
      </c>
      <c r="M593" s="340" t="s">
        <v>302</v>
      </c>
      <c r="N593" s="1390"/>
      <c r="O593" s="2479"/>
      <c r="P593" s="2282"/>
      <c r="AA593" s="338">
        <v>220</v>
      </c>
      <c r="AB593" s="338" t="s">
        <v>342</v>
      </c>
      <c r="AG593" s="2297">
        <v>59.18</v>
      </c>
      <c r="AH593" s="2297" t="s">
        <v>340</v>
      </c>
      <c r="AI593" s="1390"/>
      <c r="AJ593" s="2282"/>
      <c r="AK593" s="2282"/>
      <c r="AL593" s="1037"/>
      <c r="AR593" s="338">
        <v>147.01</v>
      </c>
      <c r="AS593" s="338" t="s">
        <v>338</v>
      </c>
      <c r="AX593" s="340">
        <v>143.12</v>
      </c>
      <c r="AY593" s="340" t="s">
        <v>302</v>
      </c>
      <c r="BH593" s="338">
        <v>169.04</v>
      </c>
      <c r="BI593" s="338" t="s">
        <v>338</v>
      </c>
      <c r="BN593" s="340">
        <v>47.01</v>
      </c>
      <c r="BO593" s="340" t="s">
        <v>331</v>
      </c>
      <c r="BP593" s="1385"/>
      <c r="BV593" s="338">
        <v>907</v>
      </c>
      <c r="BW593" s="338" t="s">
        <v>289</v>
      </c>
      <c r="CB593" s="340">
        <v>142.03</v>
      </c>
      <c r="CC593" s="340" t="s">
        <v>302</v>
      </c>
      <c r="CE593" s="341" t="str">
        <f t="array" ref="CE593">IFERROR(IF($CE$11="Metro",INDEX($BV$13:$BV$4972,SMALL(IF((County=$BW$13:$BW$4972),MATCH(ROW($BW$13:$BW$4972),ROW($BW$13:$BW$4972)),""),ROWS($A$13:$A651))),INDEX($BY$13:$BY$212,SMALL(IF((County=$BZ$13:$BZ$212),MATCH(ROW($BZ$13:$BZ$212),ROW($BZ$13:$BZ$212)),""),ROWS($A$13:$A651)))),"")</f>
        <v/>
      </c>
      <c r="CL593" s="236">
        <v>17.03</v>
      </c>
      <c r="CM593" s="236" t="s">
        <v>347</v>
      </c>
      <c r="CR593" s="340">
        <v>47.01</v>
      </c>
      <c r="CS593" s="340" t="s">
        <v>331</v>
      </c>
      <c r="CT593" s="1384"/>
      <c r="CZ593" s="1795">
        <v>114.07</v>
      </c>
      <c r="DA593" s="338" t="s">
        <v>331</v>
      </c>
      <c r="DF593" s="340">
        <v>144.13999999999999</v>
      </c>
      <c r="DG593" s="340" t="s">
        <v>302</v>
      </c>
      <c r="DP593" s="236">
        <v>169.02</v>
      </c>
      <c r="DQ593" s="236" t="s">
        <v>338</v>
      </c>
      <c r="DV593" s="340">
        <v>59.23</v>
      </c>
      <c r="DW593" s="340" t="s">
        <v>340</v>
      </c>
      <c r="DX593" s="1671"/>
      <c r="EB593" s="618"/>
      <c r="EC593" s="618"/>
      <c r="ED593" s="618"/>
      <c r="EE593" s="618"/>
      <c r="EF593" s="618"/>
      <c r="EG593" s="618"/>
      <c r="EH593" s="618"/>
      <c r="EI593" s="618"/>
      <c r="EJ593" s="618"/>
      <c r="EK593" s="618"/>
      <c r="EL593" s="618"/>
      <c r="EM593" s="618"/>
    </row>
    <row r="594" spans="6:143">
      <c r="F594" s="338">
        <v>169.07</v>
      </c>
      <c r="G594" s="338" t="s">
        <v>338</v>
      </c>
      <c r="L594" s="2481">
        <v>144.22</v>
      </c>
      <c r="M594" s="340" t="s">
        <v>302</v>
      </c>
      <c r="N594" s="1390"/>
      <c r="O594" s="2479"/>
      <c r="P594" s="2282"/>
      <c r="AA594" s="338">
        <v>220.01</v>
      </c>
      <c r="AB594" s="338" t="s">
        <v>336</v>
      </c>
      <c r="AG594" s="2297">
        <v>59.21</v>
      </c>
      <c r="AH594" s="2297" t="s">
        <v>340</v>
      </c>
      <c r="AI594" s="1390"/>
      <c r="AJ594" s="2282"/>
      <c r="AK594" s="2282"/>
      <c r="AL594" s="1037"/>
      <c r="AR594" s="338">
        <v>148.12</v>
      </c>
      <c r="AS594" s="338" t="s">
        <v>338</v>
      </c>
      <c r="AX594" s="340">
        <v>143.28</v>
      </c>
      <c r="AY594" s="340" t="s">
        <v>302</v>
      </c>
      <c r="BH594" s="338">
        <v>169.06</v>
      </c>
      <c r="BI594" s="338" t="s">
        <v>338</v>
      </c>
      <c r="BN594" s="340">
        <v>47.02</v>
      </c>
      <c r="BO594" s="340" t="s">
        <v>340</v>
      </c>
      <c r="BP594" s="1385"/>
      <c r="BV594" s="338">
        <v>908.01</v>
      </c>
      <c r="BW594" s="338" t="s">
        <v>289</v>
      </c>
      <c r="CB594" s="340">
        <v>142.04</v>
      </c>
      <c r="CC594" s="340" t="s">
        <v>302</v>
      </c>
      <c r="CE594" s="341" t="str">
        <f t="array" ref="CE594">IFERROR(IF($CE$11="Metro",INDEX($BV$13:$BV$4972,SMALL(IF((County=$BW$13:$BW$4972),MATCH(ROW($BW$13:$BW$4972),ROW($BW$13:$BW$4972)),""),ROWS($A$13:$A652))),INDEX($BY$13:$BY$212,SMALL(IF((County=$BZ$13:$BZ$212),MATCH(ROW($BZ$13:$BZ$212),ROW($BZ$13:$BZ$212)),""),ROWS($A$13:$A652)))),"")</f>
        <v/>
      </c>
      <c r="CL594" s="236">
        <v>17.04</v>
      </c>
      <c r="CM594" s="236" t="s">
        <v>331</v>
      </c>
      <c r="CR594" s="340">
        <v>47.02</v>
      </c>
      <c r="CS594" s="340" t="s">
        <v>340</v>
      </c>
      <c r="CT594" s="1384"/>
      <c r="CZ594" s="1795">
        <v>120.01</v>
      </c>
      <c r="DA594" s="338" t="s">
        <v>331</v>
      </c>
      <c r="DF594" s="340">
        <v>144.16</v>
      </c>
      <c r="DG594" s="340" t="s">
        <v>302</v>
      </c>
      <c r="DP594" s="236">
        <v>169.04</v>
      </c>
      <c r="DQ594" s="236" t="s">
        <v>338</v>
      </c>
      <c r="DV594" s="340">
        <v>59.26</v>
      </c>
      <c r="DW594" s="340" t="s">
        <v>340</v>
      </c>
      <c r="DX594" s="1671"/>
      <c r="EB594" s="618"/>
      <c r="EC594" s="618"/>
      <c r="ED594" s="618"/>
      <c r="EE594" s="618"/>
      <c r="EF594" s="618"/>
      <c r="EG594" s="618"/>
      <c r="EH594" s="618"/>
      <c r="EI594" s="618"/>
      <c r="EJ594" s="618"/>
      <c r="EK594" s="618"/>
      <c r="EL594" s="618"/>
      <c r="EM594" s="618"/>
    </row>
    <row r="595" spans="6:143">
      <c r="F595" s="338">
        <v>169.08</v>
      </c>
      <c r="G595" s="338" t="s">
        <v>338</v>
      </c>
      <c r="L595" s="2481">
        <v>144.22999999999999</v>
      </c>
      <c r="M595" s="340" t="s">
        <v>302</v>
      </c>
      <c r="N595" s="1390"/>
      <c r="O595" s="2479"/>
      <c r="P595" s="2282"/>
      <c r="AA595" s="338">
        <v>220.01</v>
      </c>
      <c r="AB595" s="338" t="s">
        <v>348</v>
      </c>
      <c r="AG595" s="2297">
        <v>59.22</v>
      </c>
      <c r="AH595" s="2297" t="s">
        <v>340</v>
      </c>
      <c r="AI595" s="1390"/>
      <c r="AJ595" s="2282"/>
      <c r="AK595" s="2282"/>
      <c r="AL595" s="1037"/>
      <c r="AR595" s="338">
        <v>149.04</v>
      </c>
      <c r="AS595" s="338" t="s">
        <v>338</v>
      </c>
      <c r="AX595" s="340">
        <v>143.29</v>
      </c>
      <c r="AY595" s="340" t="s">
        <v>302</v>
      </c>
      <c r="BH595" s="338">
        <v>169.07</v>
      </c>
      <c r="BI595" s="338" t="s">
        <v>338</v>
      </c>
      <c r="BN595" s="340">
        <v>47.03</v>
      </c>
      <c r="BO595" s="340" t="s">
        <v>331</v>
      </c>
      <c r="BP595" s="1385"/>
      <c r="BV595" s="338">
        <v>908.02</v>
      </c>
      <c r="BW595" s="338" t="s">
        <v>289</v>
      </c>
      <c r="CB595" s="340">
        <v>142.05000000000001</v>
      </c>
      <c r="CC595" s="340" t="s">
        <v>302</v>
      </c>
      <c r="CE595" s="341" t="str">
        <f t="array" ref="CE595">IFERROR(IF($CE$11="Metro",INDEX($BV$13:$BV$4972,SMALL(IF((County=$BW$13:$BW$4972),MATCH(ROW($BW$13:$BW$4972),ROW($BW$13:$BW$4972)),""),ROWS($A$13:$A653))),INDEX($BY$13:$BY$212,SMALL(IF((County=$BZ$13:$BZ$212),MATCH(ROW($BZ$13:$BZ$212),ROW($BZ$13:$BZ$212)),""),ROWS($A$13:$A653)))),"")</f>
        <v/>
      </c>
      <c r="CL595" s="236">
        <v>17.04</v>
      </c>
      <c r="CM595" s="236" t="s">
        <v>347</v>
      </c>
      <c r="CR595" s="340">
        <v>47.03</v>
      </c>
      <c r="CS595" s="340" t="s">
        <v>331</v>
      </c>
      <c r="CT595" s="1384"/>
      <c r="CZ595" s="1795">
        <v>120.02</v>
      </c>
      <c r="DA595" s="338" t="s">
        <v>331</v>
      </c>
      <c r="DF595" s="340">
        <v>144.16999999999999</v>
      </c>
      <c r="DG595" s="340" t="s">
        <v>302</v>
      </c>
      <c r="DP595" s="236">
        <v>169.06</v>
      </c>
      <c r="DQ595" s="236" t="s">
        <v>338</v>
      </c>
      <c r="DV595" s="340">
        <v>59.31</v>
      </c>
      <c r="DW595" s="340" t="s">
        <v>340</v>
      </c>
      <c r="DX595" s="1671"/>
      <c r="EB595" s="618"/>
      <c r="EC595" s="618"/>
      <c r="ED595" s="618"/>
      <c r="EE595" s="618"/>
      <c r="EF595" s="618"/>
      <c r="EG595" s="618"/>
      <c r="EH595" s="618"/>
      <c r="EI595" s="618"/>
      <c r="EJ595" s="618"/>
      <c r="EK595" s="618"/>
      <c r="EL595" s="618"/>
      <c r="EM595" s="618"/>
    </row>
    <row r="596" spans="6:143">
      <c r="F596" s="338">
        <v>170.19</v>
      </c>
      <c r="G596" s="338" t="s">
        <v>338</v>
      </c>
      <c r="L596" s="2481">
        <v>144.24</v>
      </c>
      <c r="M596" s="340" t="s">
        <v>302</v>
      </c>
      <c r="N596" s="1390"/>
      <c r="O596" s="2479"/>
      <c r="P596" s="2282"/>
      <c r="AA596" s="338">
        <v>221.01</v>
      </c>
      <c r="AB596" s="338" t="s">
        <v>342</v>
      </c>
      <c r="AG596" s="2297">
        <v>59.23</v>
      </c>
      <c r="AH596" s="2297" t="s">
        <v>340</v>
      </c>
      <c r="AI596" s="1390"/>
      <c r="AJ596" s="2282"/>
      <c r="AK596" s="2282"/>
      <c r="AL596" s="1037"/>
      <c r="AR596" s="338">
        <v>150.01</v>
      </c>
      <c r="AS596" s="338" t="s">
        <v>338</v>
      </c>
      <c r="AX596" s="340">
        <v>143.30000000000001</v>
      </c>
      <c r="AY596" s="340" t="s">
        <v>302</v>
      </c>
      <c r="BH596" s="338">
        <v>172</v>
      </c>
      <c r="BI596" s="338" t="s">
        <v>302</v>
      </c>
      <c r="BN596" s="340">
        <v>47.04</v>
      </c>
      <c r="BO596" s="340" t="s">
        <v>331</v>
      </c>
      <c r="BP596" s="1385"/>
      <c r="BV596" s="338">
        <v>909</v>
      </c>
      <c r="BW596" s="338" t="s">
        <v>289</v>
      </c>
      <c r="CB596" s="340">
        <v>142.06</v>
      </c>
      <c r="CC596" s="340" t="s">
        <v>302</v>
      </c>
      <c r="CE596" s="341" t="str">
        <f t="array" ref="CE596">IFERROR(IF($CE$11="Metro",INDEX($BV$13:$BV$4972,SMALL(IF((County=$BW$13:$BW$4972),MATCH(ROW($BW$13:$BW$4972),ROW($BW$13:$BW$4972)),""),ROWS($A$13:$A654))),INDEX($BY$13:$BY$212,SMALL(IF((County=$BZ$13:$BZ$212),MATCH(ROW($BZ$13:$BZ$212),ROW($BZ$13:$BZ$212)),""),ROWS($A$13:$A654)))),"")</f>
        <v/>
      </c>
      <c r="CL596" s="236">
        <v>17.05</v>
      </c>
      <c r="CM596" s="236" t="s">
        <v>323</v>
      </c>
      <c r="CR596" s="340">
        <v>47.04</v>
      </c>
      <c r="CS596" s="340" t="s">
        <v>331</v>
      </c>
      <c r="CT596" s="1384"/>
      <c r="CZ596" s="1795">
        <v>134</v>
      </c>
      <c r="DA596" s="338" t="s">
        <v>331</v>
      </c>
      <c r="DF596" s="340">
        <v>144.18</v>
      </c>
      <c r="DG596" s="340" t="s">
        <v>302</v>
      </c>
      <c r="DP596" s="236">
        <v>169.07</v>
      </c>
      <c r="DQ596" s="236" t="s">
        <v>338</v>
      </c>
      <c r="DV596" s="340">
        <v>59.34</v>
      </c>
      <c r="DW596" s="340" t="s">
        <v>340</v>
      </c>
      <c r="DX596" s="1671"/>
      <c r="EB596" s="618"/>
      <c r="EC596" s="618"/>
      <c r="ED596" s="618"/>
      <c r="EE596" s="618"/>
      <c r="EF596" s="618"/>
      <c r="EG596" s="618"/>
      <c r="EH596" s="618"/>
      <c r="EI596" s="618"/>
      <c r="EJ596" s="618"/>
      <c r="EK596" s="618"/>
      <c r="EL596" s="618"/>
      <c r="EM596" s="618"/>
    </row>
    <row r="597" spans="6:143">
      <c r="F597" s="338">
        <v>174.02</v>
      </c>
      <c r="G597" s="338" t="s">
        <v>338</v>
      </c>
      <c r="L597" s="2481">
        <v>144.25</v>
      </c>
      <c r="M597" s="340" t="s">
        <v>302</v>
      </c>
      <c r="N597" s="1390"/>
      <c r="O597" s="2479"/>
      <c r="P597" s="2282"/>
      <c r="AA597" s="338">
        <v>226</v>
      </c>
      <c r="AB597" s="338" t="s">
        <v>336</v>
      </c>
      <c r="AG597" s="2297">
        <v>59.26</v>
      </c>
      <c r="AH597" s="2297" t="s">
        <v>340</v>
      </c>
      <c r="AI597" s="1390"/>
      <c r="AJ597" s="2282"/>
      <c r="AK597" s="2282"/>
      <c r="AL597" s="1037"/>
      <c r="AR597" s="338">
        <v>163.02000000000001</v>
      </c>
      <c r="AS597" s="338" t="s">
        <v>338</v>
      </c>
      <c r="AX597" s="340">
        <v>143.33000000000001</v>
      </c>
      <c r="AY597" s="340" t="s">
        <v>302</v>
      </c>
      <c r="BH597" s="338">
        <v>174</v>
      </c>
      <c r="BI597" s="338" t="s">
        <v>302</v>
      </c>
      <c r="BN597" s="340">
        <v>47.05</v>
      </c>
      <c r="BO597" s="340" t="s">
        <v>331</v>
      </c>
      <c r="BP597" s="1385"/>
      <c r="BV597" s="338">
        <v>910</v>
      </c>
      <c r="BW597" s="338" t="s">
        <v>289</v>
      </c>
      <c r="CB597" s="340">
        <v>143.12</v>
      </c>
      <c r="CC597" s="340" t="s">
        <v>302</v>
      </c>
      <c r="CE597" s="341" t="str">
        <f t="array" ref="CE597">IFERROR(IF($CE$11="Metro",INDEX($BV$13:$BV$4972,SMALL(IF((County=$BW$13:$BW$4972),MATCH(ROW($BW$13:$BW$4972),ROW($BW$13:$BW$4972)),""),ROWS($A$13:$A655))),INDEX($BY$13:$BY$212,SMALL(IF((County=$BZ$13:$BZ$212),MATCH(ROW($BZ$13:$BZ$212),ROW($BZ$13:$BZ$212)),""),ROWS($A$13:$A655)))),"")</f>
        <v/>
      </c>
      <c r="CL597" s="236">
        <v>17.05</v>
      </c>
      <c r="CM597" s="236" t="s">
        <v>328</v>
      </c>
      <c r="CR597" s="340">
        <v>47.05</v>
      </c>
      <c r="CS597" s="340" t="s">
        <v>331</v>
      </c>
      <c r="CT597" s="1384"/>
      <c r="CZ597" s="1795">
        <v>136</v>
      </c>
      <c r="DA597" s="338" t="s">
        <v>331</v>
      </c>
      <c r="DF597" s="340">
        <v>144.19</v>
      </c>
      <c r="DG597" s="340" t="s">
        <v>302</v>
      </c>
      <c r="DP597" s="236">
        <v>169.11</v>
      </c>
      <c r="DQ597" s="236" t="s">
        <v>338</v>
      </c>
      <c r="DV597" s="340">
        <v>59.37</v>
      </c>
      <c r="DW597" s="340" t="s">
        <v>340</v>
      </c>
      <c r="DX597" s="1671"/>
      <c r="EB597" s="618"/>
      <c r="EC597" s="618"/>
      <c r="ED597" s="618"/>
      <c r="EE597" s="618"/>
      <c r="EF597" s="618"/>
      <c r="EG597" s="618"/>
      <c r="EH597" s="618"/>
      <c r="EI597" s="618"/>
      <c r="EJ597" s="618"/>
      <c r="EK597" s="618"/>
      <c r="EL597" s="618"/>
      <c r="EM597" s="618"/>
    </row>
    <row r="598" spans="6:143">
      <c r="F598" s="338">
        <v>176</v>
      </c>
      <c r="G598" s="338" t="s">
        <v>338</v>
      </c>
      <c r="L598" s="2481">
        <v>144.26</v>
      </c>
      <c r="M598" s="340" t="s">
        <v>302</v>
      </c>
      <c r="N598" s="1390"/>
      <c r="O598" s="2479"/>
      <c r="P598" s="2282"/>
      <c r="AA598" s="338">
        <v>228</v>
      </c>
      <c r="AB598" s="338" t="s">
        <v>336</v>
      </c>
      <c r="AG598" s="2297">
        <v>59.34</v>
      </c>
      <c r="AH598" s="2297" t="s">
        <v>340</v>
      </c>
      <c r="AI598" s="1390"/>
      <c r="AJ598" s="2282"/>
      <c r="AK598" s="2282"/>
      <c r="AL598" s="1037"/>
      <c r="AR598" s="338">
        <v>164.07</v>
      </c>
      <c r="AS598" s="338" t="s">
        <v>338</v>
      </c>
      <c r="AX598" s="340">
        <v>143.34</v>
      </c>
      <c r="AY598" s="340" t="s">
        <v>302</v>
      </c>
      <c r="BH598" s="338">
        <v>175</v>
      </c>
      <c r="BI598" s="338" t="s">
        <v>331</v>
      </c>
      <c r="BN598" s="340">
        <v>48</v>
      </c>
      <c r="BO598" s="340" t="s">
        <v>316</v>
      </c>
      <c r="BP598" s="1385"/>
      <c r="BV598" s="338">
        <v>911</v>
      </c>
      <c r="BW598" s="338" t="s">
        <v>289</v>
      </c>
      <c r="CB598" s="340">
        <v>143.28</v>
      </c>
      <c r="CC598" s="340" t="s">
        <v>302</v>
      </c>
      <c r="CE598" s="341" t="str">
        <f t="array" ref="CE598">IFERROR(IF($CE$11="Metro",INDEX($BV$13:$BV$4972,SMALL(IF((County=$BW$13:$BW$4972),MATCH(ROW($BW$13:$BW$4972),ROW($BW$13:$BW$4972)),""),ROWS($A$13:$A656))),INDEX($BY$13:$BY$212,SMALL(IF((County=$BZ$13:$BZ$212),MATCH(ROW($BZ$13:$BZ$212),ROW($BZ$13:$BZ$212)),""),ROWS($A$13:$A656)))),"")</f>
        <v/>
      </c>
      <c r="CL598" s="236">
        <v>17.05</v>
      </c>
      <c r="CM598" s="236" t="s">
        <v>331</v>
      </c>
      <c r="CR598" s="340">
        <v>48</v>
      </c>
      <c r="CS598" s="340" t="s">
        <v>316</v>
      </c>
      <c r="CT598" s="1384"/>
      <c r="CZ598" s="1795">
        <v>137</v>
      </c>
      <c r="DA598" s="338" t="s">
        <v>331</v>
      </c>
      <c r="DF598" s="340">
        <v>144.19999999999999</v>
      </c>
      <c r="DG598" s="340" t="s">
        <v>302</v>
      </c>
      <c r="DP598" s="236">
        <v>170.19</v>
      </c>
      <c r="DQ598" s="236" t="s">
        <v>338</v>
      </c>
      <c r="DV598" s="340">
        <v>59.38</v>
      </c>
      <c r="DW598" s="340" t="s">
        <v>340</v>
      </c>
      <c r="DX598" s="1671"/>
      <c r="EB598" s="618"/>
      <c r="EC598" s="618"/>
      <c r="ED598" s="618"/>
      <c r="EE598" s="618"/>
      <c r="EF598" s="618"/>
      <c r="EG598" s="618"/>
      <c r="EH598" s="618"/>
      <c r="EI598" s="618"/>
      <c r="EJ598" s="618"/>
      <c r="EK598" s="618"/>
      <c r="EL598" s="618"/>
      <c r="EM598" s="618"/>
    </row>
    <row r="599" spans="6:143">
      <c r="F599" s="338">
        <v>177.03</v>
      </c>
      <c r="G599" s="338" t="s">
        <v>338</v>
      </c>
      <c r="L599" s="2481">
        <v>144.27000000000001</v>
      </c>
      <c r="M599" s="340" t="s">
        <v>302</v>
      </c>
      <c r="N599" s="1390"/>
      <c r="O599" s="2479"/>
      <c r="P599" s="2282"/>
      <c r="AA599" s="338">
        <v>229.02</v>
      </c>
      <c r="AB599" s="338" t="s">
        <v>342</v>
      </c>
      <c r="AG599" s="2297">
        <v>59.37</v>
      </c>
      <c r="AH599" s="2297" t="s">
        <v>340</v>
      </c>
      <c r="AI599" s="1390"/>
      <c r="AJ599" s="2282"/>
      <c r="AK599" s="2282"/>
      <c r="AL599" s="1037"/>
      <c r="AR599" s="338">
        <v>165.03</v>
      </c>
      <c r="AS599" s="338" t="s">
        <v>338</v>
      </c>
      <c r="AX599" s="340">
        <v>143.35</v>
      </c>
      <c r="AY599" s="340" t="s">
        <v>302</v>
      </c>
      <c r="BH599" s="338">
        <v>176</v>
      </c>
      <c r="BI599" s="338" t="s">
        <v>338</v>
      </c>
      <c r="BN599" s="340">
        <v>48.15</v>
      </c>
      <c r="BO599" s="340" t="s">
        <v>340</v>
      </c>
      <c r="BP599" s="1385"/>
      <c r="BV599" s="338">
        <v>912.01</v>
      </c>
      <c r="BW599" s="338" t="s">
        <v>289</v>
      </c>
      <c r="CB599" s="340">
        <v>143.29</v>
      </c>
      <c r="CC599" s="340" t="s">
        <v>302</v>
      </c>
      <c r="CE599" s="341" t="str">
        <f t="array" ref="CE599">IFERROR(IF($CE$11="Metro",INDEX($BV$13:$BV$4972,SMALL(IF((County=$BW$13:$BW$4972),MATCH(ROW($BW$13:$BW$4972),ROW($BW$13:$BW$4972)),""),ROWS($A$13:$A657))),INDEX($BY$13:$BY$212,SMALL(IF((County=$BZ$13:$BZ$212),MATCH(ROW($BZ$13:$BZ$212),ROW($BZ$13:$BZ$212)),""),ROWS($A$13:$A657)))),"")</f>
        <v/>
      </c>
      <c r="CL599" s="236">
        <v>17.059999999999999</v>
      </c>
      <c r="CM599" s="236" t="s">
        <v>323</v>
      </c>
      <c r="CR599" s="340">
        <v>48.13</v>
      </c>
      <c r="CS599" s="340" t="s">
        <v>340</v>
      </c>
      <c r="CT599" s="1384"/>
      <c r="CZ599" s="1795">
        <v>146.01</v>
      </c>
      <c r="DA599" s="338" t="s">
        <v>331</v>
      </c>
      <c r="DF599" s="340">
        <v>144.21</v>
      </c>
      <c r="DG599" s="340" t="s">
        <v>302</v>
      </c>
      <c r="DP599" s="236">
        <v>171.01</v>
      </c>
      <c r="DQ599" s="236" t="s">
        <v>331</v>
      </c>
      <c r="DV599" s="340">
        <v>59.42</v>
      </c>
      <c r="DW599" s="340" t="s">
        <v>340</v>
      </c>
      <c r="DX599" s="1671"/>
      <c r="EB599" s="618"/>
      <c r="EC599" s="618"/>
      <c r="ED599" s="618"/>
      <c r="EE599" s="618"/>
      <c r="EF599" s="618"/>
      <c r="EG599" s="618"/>
      <c r="EH599" s="618"/>
      <c r="EI599" s="618"/>
      <c r="EJ599" s="618"/>
      <c r="EK599" s="618"/>
      <c r="EL599" s="618"/>
      <c r="EM599" s="618"/>
    </row>
    <row r="600" spans="6:143">
      <c r="F600" s="338">
        <v>180</v>
      </c>
      <c r="G600" s="338" t="s">
        <v>338</v>
      </c>
      <c r="L600" s="2481">
        <v>144.28</v>
      </c>
      <c r="M600" s="340" t="s">
        <v>302</v>
      </c>
      <c r="N600" s="1390"/>
      <c r="O600" s="2479"/>
      <c r="P600" s="2282"/>
      <c r="AA600" s="338">
        <v>234</v>
      </c>
      <c r="AB600" s="338" t="s">
        <v>342</v>
      </c>
      <c r="AG600" s="2297">
        <v>59.38</v>
      </c>
      <c r="AH600" s="2297" t="s">
        <v>340</v>
      </c>
      <c r="AI600" s="1390"/>
      <c r="AJ600" s="2282"/>
      <c r="AK600" s="2282"/>
      <c r="AL600" s="1037"/>
      <c r="AR600" s="338">
        <v>165.1</v>
      </c>
      <c r="AS600" s="338" t="s">
        <v>338</v>
      </c>
      <c r="AX600" s="340">
        <v>143.36000000000001</v>
      </c>
      <c r="AY600" s="340" t="s">
        <v>302</v>
      </c>
      <c r="BH600" s="338">
        <v>180</v>
      </c>
      <c r="BI600" s="338" t="s">
        <v>338</v>
      </c>
      <c r="BN600" s="340">
        <v>48.16</v>
      </c>
      <c r="BO600" s="340" t="s">
        <v>340</v>
      </c>
      <c r="BP600" s="1385"/>
      <c r="BV600" s="338">
        <v>912.02</v>
      </c>
      <c r="BW600" s="338" t="s">
        <v>289</v>
      </c>
      <c r="CB600" s="340">
        <v>143.30000000000001</v>
      </c>
      <c r="CC600" s="340" t="s">
        <v>302</v>
      </c>
      <c r="CE600" s="341" t="str">
        <f t="array" ref="CE600">IFERROR(IF($CE$11="Metro",INDEX($BV$13:$BV$4972,SMALL(IF((County=$BW$13:$BW$4972),MATCH(ROW($BW$13:$BW$4972),ROW($BW$13:$BW$4972)),""),ROWS($A$13:$A658))),INDEX($BY$13:$BY$212,SMALL(IF((County=$BZ$13:$BZ$212),MATCH(ROW($BZ$13:$BZ$212),ROW($BZ$13:$BZ$212)),""),ROWS($A$13:$A658)))),"")</f>
        <v/>
      </c>
      <c r="CL600" s="236">
        <v>17.079999999999998</v>
      </c>
      <c r="CM600" s="236" t="s">
        <v>323</v>
      </c>
      <c r="CR600" s="340">
        <v>48.21</v>
      </c>
      <c r="CS600" s="340" t="s">
        <v>340</v>
      </c>
      <c r="CT600" s="1384"/>
      <c r="CZ600" s="1795">
        <v>148</v>
      </c>
      <c r="DA600" s="338" t="s">
        <v>331</v>
      </c>
      <c r="DF600" s="340">
        <v>144.22</v>
      </c>
      <c r="DG600" s="340" t="s">
        <v>302</v>
      </c>
      <c r="DP600" s="236">
        <v>172</v>
      </c>
      <c r="DQ600" s="236" t="s">
        <v>302</v>
      </c>
      <c r="DV600" s="340">
        <v>59.45</v>
      </c>
      <c r="DW600" s="340" t="s">
        <v>340</v>
      </c>
      <c r="DX600" s="1671"/>
      <c r="EB600" s="618"/>
      <c r="EC600" s="618"/>
      <c r="ED600" s="618"/>
      <c r="EE600" s="618"/>
      <c r="EF600" s="618"/>
      <c r="EG600" s="618"/>
      <c r="EH600" s="618"/>
      <c r="EI600" s="618"/>
      <c r="EJ600" s="618"/>
      <c r="EK600" s="618"/>
      <c r="EL600" s="618"/>
      <c r="EM600" s="618"/>
    </row>
    <row r="601" spans="6:143">
      <c r="F601" s="338">
        <v>183</v>
      </c>
      <c r="G601" s="338" t="s">
        <v>338</v>
      </c>
      <c r="L601" s="2481">
        <v>146.01</v>
      </c>
      <c r="M601" s="340" t="s">
        <v>302</v>
      </c>
      <c r="N601" s="1390"/>
      <c r="O601" s="2479"/>
      <c r="P601" s="2282"/>
      <c r="AA601" s="338">
        <v>245.1</v>
      </c>
      <c r="AB601" s="338" t="s">
        <v>342</v>
      </c>
      <c r="AG601" s="2297">
        <v>59.42</v>
      </c>
      <c r="AH601" s="2297" t="s">
        <v>340</v>
      </c>
      <c r="AI601" s="1390"/>
      <c r="AJ601" s="2282"/>
      <c r="AK601" s="2282"/>
      <c r="AL601" s="1037"/>
      <c r="AR601" s="338">
        <v>165.11</v>
      </c>
      <c r="AS601" s="338" t="s">
        <v>338</v>
      </c>
      <c r="AX601" s="340">
        <v>143.38</v>
      </c>
      <c r="AY601" s="340" t="s">
        <v>302</v>
      </c>
      <c r="BH601" s="338">
        <v>185</v>
      </c>
      <c r="BI601" s="338" t="s">
        <v>338</v>
      </c>
      <c r="BN601" s="340">
        <v>48.21</v>
      </c>
      <c r="BO601" s="340" t="s">
        <v>340</v>
      </c>
      <c r="BP601" s="1385"/>
      <c r="BV601" s="338">
        <v>913</v>
      </c>
      <c r="BW601" s="338" t="s">
        <v>289</v>
      </c>
      <c r="CB601" s="340">
        <v>143.33000000000001</v>
      </c>
      <c r="CC601" s="340" t="s">
        <v>302</v>
      </c>
      <c r="CE601" s="341" t="str">
        <f t="array" ref="CE601">IFERROR(IF($CE$11="Metro",INDEX($BV$13:$BV$4972,SMALL(IF((County=$BW$13:$BW$4972),MATCH(ROW($BW$13:$BW$4972),ROW($BW$13:$BW$4972)),""),ROWS($A$13:$A659))),INDEX($BY$13:$BY$212,SMALL(IF((County=$BZ$13:$BZ$212),MATCH(ROW($BZ$13:$BZ$212),ROW($BZ$13:$BZ$212)),""),ROWS($A$13:$A659)))),"")</f>
        <v/>
      </c>
      <c r="CL601" s="236">
        <v>17.09</v>
      </c>
      <c r="CM601" s="236" t="s">
        <v>323</v>
      </c>
      <c r="CR601" s="340">
        <v>48.23</v>
      </c>
      <c r="CS601" s="340" t="s">
        <v>340</v>
      </c>
      <c r="CT601" s="1384"/>
      <c r="CZ601" s="1795">
        <v>171.01</v>
      </c>
      <c r="DA601" s="338" t="s">
        <v>331</v>
      </c>
      <c r="DF601" s="340">
        <v>144.22999999999999</v>
      </c>
      <c r="DG601" s="340" t="s">
        <v>302</v>
      </c>
      <c r="DP601" s="236">
        <v>174</v>
      </c>
      <c r="DQ601" s="236" t="s">
        <v>302</v>
      </c>
      <c r="DV601" s="340">
        <v>59.46</v>
      </c>
      <c r="DW601" s="340" t="s">
        <v>340</v>
      </c>
      <c r="DX601" s="1671"/>
      <c r="EB601" s="618"/>
      <c r="EC601" s="618"/>
      <c r="ED601" s="618"/>
      <c r="EE601" s="618"/>
      <c r="EF601" s="618"/>
      <c r="EG601" s="618"/>
      <c r="EH601" s="618"/>
      <c r="EI601" s="618"/>
      <c r="EJ601" s="618"/>
      <c r="EK601" s="618"/>
      <c r="EL601" s="618"/>
      <c r="EM601" s="618"/>
    </row>
    <row r="602" spans="6:143">
      <c r="F602" s="338">
        <v>187</v>
      </c>
      <c r="G602" s="338" t="s">
        <v>338</v>
      </c>
      <c r="L602" s="2481">
        <v>146.03</v>
      </c>
      <c r="M602" s="340" t="s">
        <v>302</v>
      </c>
      <c r="N602" s="1390"/>
      <c r="O602" s="2479"/>
      <c r="P602" s="2282"/>
      <c r="AA602" s="338">
        <v>246.03</v>
      </c>
      <c r="AB602" s="338" t="s">
        <v>342</v>
      </c>
      <c r="AG602" s="2297">
        <v>59.43</v>
      </c>
      <c r="AH602" s="2297" t="s">
        <v>340</v>
      </c>
      <c r="AI602" s="1390"/>
      <c r="AJ602" s="2282"/>
      <c r="AK602" s="2282"/>
      <c r="AL602" s="1037"/>
      <c r="AR602" s="338">
        <v>165.12</v>
      </c>
      <c r="AS602" s="338" t="s">
        <v>338</v>
      </c>
      <c r="AX602" s="340">
        <v>143.38999999999999</v>
      </c>
      <c r="AY602" s="340" t="s">
        <v>302</v>
      </c>
      <c r="BH602" s="338">
        <v>187</v>
      </c>
      <c r="BI602" s="338" t="s">
        <v>338</v>
      </c>
      <c r="BN602" s="340">
        <v>48.23</v>
      </c>
      <c r="BO602" s="340" t="s">
        <v>340</v>
      </c>
      <c r="BP602" s="1385"/>
      <c r="BV602" s="338">
        <v>914</v>
      </c>
      <c r="BW602" s="338" t="s">
        <v>289</v>
      </c>
      <c r="CB602" s="340">
        <v>143.34</v>
      </c>
      <c r="CC602" s="340" t="s">
        <v>302</v>
      </c>
      <c r="CE602" s="341" t="str">
        <f t="array" ref="CE602">IFERROR(IF($CE$11="Metro",INDEX($BV$13:$BV$4972,SMALL(IF((County=$BW$13:$BW$4972),MATCH(ROW($BW$13:$BW$4972),ROW($BW$13:$BW$4972)),""),ROWS($A$13:$A660))),INDEX($BY$13:$BY$212,SMALL(IF((County=$BZ$13:$BZ$212),MATCH(ROW($BZ$13:$BZ$212),ROW($BZ$13:$BZ$212)),""),ROWS($A$13:$A660)))),"")</f>
        <v/>
      </c>
      <c r="CL602" s="236">
        <v>17.100000000000001</v>
      </c>
      <c r="CM602" s="236" t="s">
        <v>323</v>
      </c>
      <c r="CR602" s="340">
        <v>49.01</v>
      </c>
      <c r="CS602" s="340" t="s">
        <v>316</v>
      </c>
      <c r="CT602" s="1384"/>
      <c r="CZ602" s="1795">
        <v>175</v>
      </c>
      <c r="DA602" s="338" t="s">
        <v>331</v>
      </c>
      <c r="DF602" s="340">
        <v>144.24</v>
      </c>
      <c r="DG602" s="340" t="s">
        <v>302</v>
      </c>
      <c r="DP602" s="236">
        <v>174.02</v>
      </c>
      <c r="DQ602" s="236" t="s">
        <v>338</v>
      </c>
      <c r="DV602" s="340">
        <v>59.47</v>
      </c>
      <c r="DW602" s="340" t="s">
        <v>340</v>
      </c>
      <c r="DX602" s="1671"/>
      <c r="EB602" s="618"/>
      <c r="EC602" s="618"/>
      <c r="ED602" s="618"/>
      <c r="EE602" s="618"/>
      <c r="EF602" s="618"/>
      <c r="EG602" s="618"/>
      <c r="EH602" s="618"/>
      <c r="EI602" s="618"/>
      <c r="EJ602" s="618"/>
      <c r="EK602" s="618"/>
      <c r="EL602" s="618"/>
      <c r="EM602" s="618"/>
    </row>
    <row r="603" spans="6:143">
      <c r="F603" s="338">
        <v>189.01</v>
      </c>
      <c r="G603" s="338" t="s">
        <v>338</v>
      </c>
      <c r="L603" s="2481">
        <v>147.02000000000001</v>
      </c>
      <c r="M603" s="340" t="s">
        <v>302</v>
      </c>
      <c r="N603" s="1390"/>
      <c r="O603" s="2479"/>
      <c r="P603" s="2282"/>
      <c r="AA603" s="338">
        <v>246.04</v>
      </c>
      <c r="AB603" s="338" t="s">
        <v>342</v>
      </c>
      <c r="AG603" s="2297">
        <v>59.44</v>
      </c>
      <c r="AH603" s="2297" t="s">
        <v>340</v>
      </c>
      <c r="AI603" s="1390"/>
      <c r="AJ603" s="2282"/>
      <c r="AK603" s="2282"/>
      <c r="AL603" s="1037"/>
      <c r="AR603" s="338">
        <v>165.13</v>
      </c>
      <c r="AS603" s="338" t="s">
        <v>338</v>
      </c>
      <c r="AX603" s="340">
        <v>143.4</v>
      </c>
      <c r="AY603" s="340" t="s">
        <v>302</v>
      </c>
      <c r="BH603" s="338">
        <v>189.01</v>
      </c>
      <c r="BI603" s="338" t="s">
        <v>338</v>
      </c>
      <c r="BN603" s="340">
        <v>49.01</v>
      </c>
      <c r="BO603" s="340" t="s">
        <v>316</v>
      </c>
      <c r="BP603" s="1385"/>
      <c r="BV603" s="338">
        <v>915</v>
      </c>
      <c r="BW603" s="338" t="s">
        <v>289</v>
      </c>
      <c r="CB603" s="340">
        <v>143.35</v>
      </c>
      <c r="CC603" s="340" t="s">
        <v>302</v>
      </c>
      <c r="CE603" s="341" t="str">
        <f t="array" ref="CE603">IFERROR(IF($CE$11="Metro",INDEX($BV$13:$BV$4972,SMALL(IF((County=$BW$13:$BW$4972),MATCH(ROW($BW$13:$BW$4972),ROW($BW$13:$BW$4972)),""),ROWS($A$13:$A661))),INDEX($BY$13:$BY$212,SMALL(IF((County=$BZ$13:$BZ$212),MATCH(ROW($BZ$13:$BZ$212),ROW($BZ$13:$BZ$212)),""),ROWS($A$13:$A661)))),"")</f>
        <v/>
      </c>
      <c r="CL603" s="236">
        <v>17.11</v>
      </c>
      <c r="CM603" s="236" t="s">
        <v>323</v>
      </c>
      <c r="CR603" s="340">
        <v>49.02</v>
      </c>
      <c r="CS603" s="340" t="s">
        <v>316</v>
      </c>
      <c r="CT603" s="1384"/>
      <c r="CZ603" s="1795">
        <v>178</v>
      </c>
      <c r="DA603" s="338" t="s">
        <v>331</v>
      </c>
      <c r="DF603" s="340">
        <v>144.25</v>
      </c>
      <c r="DG603" s="340" t="s">
        <v>302</v>
      </c>
      <c r="DP603" s="236">
        <v>175</v>
      </c>
      <c r="DQ603" s="236" t="s">
        <v>331</v>
      </c>
      <c r="DV603" s="340">
        <v>59.49</v>
      </c>
      <c r="DW603" s="340" t="s">
        <v>340</v>
      </c>
      <c r="DX603" s="1671"/>
      <c r="EB603" s="618"/>
      <c r="EC603" s="618"/>
      <c r="ED603" s="618"/>
      <c r="EE603" s="618"/>
      <c r="EF603" s="618"/>
      <c r="EG603" s="618"/>
      <c r="EH603" s="618"/>
      <c r="EI603" s="618"/>
      <c r="EJ603" s="618"/>
      <c r="EK603" s="618"/>
      <c r="EL603" s="618"/>
      <c r="EM603" s="618"/>
    </row>
    <row r="604" spans="6:143">
      <c r="F604" s="338">
        <v>409.04</v>
      </c>
      <c r="G604" s="338" t="s">
        <v>339</v>
      </c>
      <c r="L604" s="2481">
        <v>147.03</v>
      </c>
      <c r="M604" s="340" t="s">
        <v>302</v>
      </c>
      <c r="N604" s="1390"/>
      <c r="O604" s="2479"/>
      <c r="P604" s="2282"/>
      <c r="AA604" s="338">
        <v>247.01</v>
      </c>
      <c r="AB604" s="338" t="s">
        <v>342</v>
      </c>
      <c r="AG604" s="2297">
        <v>59.45</v>
      </c>
      <c r="AH604" s="2297" t="s">
        <v>340</v>
      </c>
      <c r="AI604" s="1390"/>
      <c r="AJ604" s="2282"/>
      <c r="AK604" s="2282"/>
      <c r="AL604" s="1037"/>
      <c r="AR604" s="338">
        <v>167.09</v>
      </c>
      <c r="AS604" s="338" t="s">
        <v>338</v>
      </c>
      <c r="AX604" s="340">
        <v>143.41</v>
      </c>
      <c r="AY604" s="340" t="s">
        <v>302</v>
      </c>
      <c r="BH604" s="338">
        <v>189.02</v>
      </c>
      <c r="BI604" s="338" t="s">
        <v>338</v>
      </c>
      <c r="BN604" s="340">
        <v>49.01</v>
      </c>
      <c r="BO604" s="340" t="s">
        <v>331</v>
      </c>
      <c r="BP604" s="1385"/>
      <c r="BV604" s="338">
        <v>916.01</v>
      </c>
      <c r="BW604" s="338" t="s">
        <v>289</v>
      </c>
      <c r="CB604" s="340">
        <v>143.36000000000001</v>
      </c>
      <c r="CC604" s="340" t="s">
        <v>302</v>
      </c>
      <c r="CE604" s="341" t="str">
        <f t="array" ref="CE604">IFERROR(IF($CE$11="Metro",INDEX($BV$13:$BV$4972,SMALL(IF((County=$BW$13:$BW$4972),MATCH(ROW($BW$13:$BW$4972),ROW($BW$13:$BW$4972)),""),ROWS($A$13:$A662))),INDEX($BY$13:$BY$212,SMALL(IF((County=$BZ$13:$BZ$212),MATCH(ROW($BZ$13:$BZ$212),ROW($BZ$13:$BZ$212)),""),ROWS($A$13:$A662)))),"")</f>
        <v/>
      </c>
      <c r="CL604" s="338">
        <v>18</v>
      </c>
      <c r="CM604" s="338" t="s">
        <v>285</v>
      </c>
      <c r="CR604" s="340">
        <v>49.02</v>
      </c>
      <c r="CS604" s="340" t="s">
        <v>340</v>
      </c>
      <c r="CT604" s="1384"/>
      <c r="CZ604" s="1795">
        <v>202</v>
      </c>
      <c r="DA604" s="338" t="s">
        <v>331</v>
      </c>
      <c r="DF604" s="340">
        <v>144.26</v>
      </c>
      <c r="DG604" s="340" t="s">
        <v>302</v>
      </c>
      <c r="DP604" s="236">
        <v>175.03</v>
      </c>
      <c r="DQ604" s="236" t="s">
        <v>338</v>
      </c>
      <c r="DV604" s="340">
        <v>59.5</v>
      </c>
      <c r="DW604" s="340" t="s">
        <v>340</v>
      </c>
      <c r="DX604" s="1671"/>
      <c r="EB604" s="618"/>
      <c r="EC604" s="618"/>
      <c r="ED604" s="618"/>
      <c r="EE604" s="618"/>
      <c r="EF604" s="618"/>
      <c r="EG604" s="618"/>
      <c r="EH604" s="618"/>
      <c r="EI604" s="618"/>
      <c r="EJ604" s="618"/>
      <c r="EK604" s="618"/>
      <c r="EL604" s="618"/>
      <c r="EM604" s="618"/>
    </row>
    <row r="605" spans="6:143">
      <c r="F605" s="338">
        <v>410.05</v>
      </c>
      <c r="G605" s="338" t="s">
        <v>339</v>
      </c>
      <c r="L605" s="2481">
        <v>149.01</v>
      </c>
      <c r="M605" s="340" t="s">
        <v>302</v>
      </c>
      <c r="N605" s="1390"/>
      <c r="O605" s="2479"/>
      <c r="P605" s="2282"/>
      <c r="AA605" s="338">
        <v>247.02</v>
      </c>
      <c r="AB605" s="338" t="s">
        <v>342</v>
      </c>
      <c r="AG605" s="2297">
        <v>59.46</v>
      </c>
      <c r="AH605" s="2297" t="s">
        <v>340</v>
      </c>
      <c r="AI605" s="1390"/>
      <c r="AJ605" s="2282"/>
      <c r="AK605" s="2282"/>
      <c r="AL605" s="1037"/>
      <c r="AR605" s="338">
        <v>167.38</v>
      </c>
      <c r="AS605" s="338" t="s">
        <v>338</v>
      </c>
      <c r="AX605" s="340">
        <v>143.41999999999999</v>
      </c>
      <c r="AY605" s="340" t="s">
        <v>302</v>
      </c>
      <c r="BH605" s="338">
        <v>201.01</v>
      </c>
      <c r="BI605" s="338" t="s">
        <v>348</v>
      </c>
      <c r="BN605" s="340">
        <v>49.02</v>
      </c>
      <c r="BO605" s="340" t="s">
        <v>316</v>
      </c>
      <c r="BP605" s="1385"/>
      <c r="BV605" s="338">
        <v>916.02</v>
      </c>
      <c r="BW605" s="338" t="s">
        <v>289</v>
      </c>
      <c r="CB605" s="340">
        <v>143.38</v>
      </c>
      <c r="CC605" s="340" t="s">
        <v>302</v>
      </c>
      <c r="CE605" s="341" t="str">
        <f t="array" ref="CE605">IFERROR(IF($CE$11="Metro",INDEX($BV$13:$BV$4972,SMALL(IF((County=$BW$13:$BW$4972),MATCH(ROW($BW$13:$BW$4972),ROW($BW$13:$BW$4972)),""),ROWS($A$13:$A663))),INDEX($BY$13:$BY$212,SMALL(IF((County=$BZ$13:$BZ$212),MATCH(ROW($BZ$13:$BZ$212),ROW($BZ$13:$BZ$212)),""),ROWS($A$13:$A663)))),"")</f>
        <v/>
      </c>
      <c r="CL605" s="236">
        <v>18</v>
      </c>
      <c r="CM605" s="236" t="s">
        <v>304</v>
      </c>
      <c r="CR605" s="340">
        <v>49.04</v>
      </c>
      <c r="CS605" s="340" t="s">
        <v>331</v>
      </c>
      <c r="CT605" s="1384"/>
      <c r="CZ605" s="1795">
        <v>9713</v>
      </c>
      <c r="DA605" s="338" t="s">
        <v>333</v>
      </c>
      <c r="DF605" s="340">
        <v>144.28</v>
      </c>
      <c r="DG605" s="340" t="s">
        <v>302</v>
      </c>
      <c r="DP605" s="236">
        <v>176</v>
      </c>
      <c r="DQ605" s="236" t="s">
        <v>338</v>
      </c>
      <c r="DV605" s="340">
        <v>59.52</v>
      </c>
      <c r="DW605" s="340" t="s">
        <v>340</v>
      </c>
      <c r="DX605" s="1671"/>
      <c r="EB605" s="618"/>
      <c r="EC605" s="618"/>
      <c r="ED605" s="618"/>
      <c r="EE605" s="618"/>
      <c r="EF605" s="618"/>
      <c r="EG605" s="618"/>
      <c r="EH605" s="618"/>
      <c r="EI605" s="618"/>
      <c r="EJ605" s="618"/>
      <c r="EK605" s="618"/>
      <c r="EL605" s="618"/>
      <c r="EM605" s="618"/>
    </row>
    <row r="606" spans="6:143">
      <c r="F606" s="338">
        <v>411.01</v>
      </c>
      <c r="G606" s="338" t="s">
        <v>339</v>
      </c>
      <c r="L606" s="2481">
        <v>149.02000000000001</v>
      </c>
      <c r="M606" s="340" t="s">
        <v>302</v>
      </c>
      <c r="N606" s="1390"/>
      <c r="O606" s="2479"/>
      <c r="P606" s="2282"/>
      <c r="AA606" s="338">
        <v>247.03</v>
      </c>
      <c r="AB606" s="338" t="s">
        <v>342</v>
      </c>
      <c r="AG606" s="2297">
        <v>59.47</v>
      </c>
      <c r="AH606" s="2297" t="s">
        <v>340</v>
      </c>
      <c r="AI606" s="1390"/>
      <c r="AJ606" s="2282"/>
      <c r="AK606" s="2282"/>
      <c r="AL606" s="1037"/>
      <c r="AR606" s="338">
        <v>167.39</v>
      </c>
      <c r="AS606" s="338" t="s">
        <v>338</v>
      </c>
      <c r="AX606" s="340">
        <v>143.43</v>
      </c>
      <c r="AY606" s="340" t="s">
        <v>302</v>
      </c>
      <c r="BH606" s="338">
        <v>201.09</v>
      </c>
      <c r="BI606" s="338" t="s">
        <v>342</v>
      </c>
      <c r="BN606" s="340">
        <v>49.02</v>
      </c>
      <c r="BO606" s="340" t="s">
        <v>340</v>
      </c>
      <c r="BP606" s="1385"/>
      <c r="BV606" s="338">
        <v>917.01</v>
      </c>
      <c r="BW606" s="338" t="s">
        <v>289</v>
      </c>
      <c r="CB606" s="340">
        <v>143.38999999999999</v>
      </c>
      <c r="CC606" s="340" t="s">
        <v>302</v>
      </c>
      <c r="CE606" s="341" t="str">
        <f t="array" ref="CE606">IFERROR(IF($CE$11="Metro",INDEX($BV$13:$BV$4972,SMALL(IF((County=$BW$13:$BW$4972),MATCH(ROW($BW$13:$BW$4972),ROW($BW$13:$BW$4972)),""),ROWS($A$13:$A664))),INDEX($BY$13:$BY$212,SMALL(IF((County=$BZ$13:$BZ$212),MATCH(ROW($BZ$13:$BZ$212),ROW($BZ$13:$BZ$212)),""),ROWS($A$13:$A664)))),"")</f>
        <v/>
      </c>
      <c r="CL606" s="236">
        <v>18</v>
      </c>
      <c r="CM606" s="236" t="s">
        <v>316</v>
      </c>
      <c r="CR606" s="340">
        <v>50.03</v>
      </c>
      <c r="CS606" s="340" t="s">
        <v>331</v>
      </c>
      <c r="CT606" s="1384"/>
      <c r="CZ606" s="1795">
        <v>9724</v>
      </c>
      <c r="DA606" s="338" t="s">
        <v>333</v>
      </c>
      <c r="DF606" s="340">
        <v>146.01</v>
      </c>
      <c r="DG606" s="340" t="s">
        <v>302</v>
      </c>
      <c r="DP606" s="236">
        <v>177.03</v>
      </c>
      <c r="DQ606" s="236" t="s">
        <v>338</v>
      </c>
      <c r="DV606" s="340">
        <v>59.54</v>
      </c>
      <c r="DW606" s="340" t="s">
        <v>340</v>
      </c>
      <c r="DX606" s="1671"/>
      <c r="EB606" s="618"/>
      <c r="EC606" s="618"/>
      <c r="ED606" s="618"/>
      <c r="EE606" s="618"/>
      <c r="EF606" s="618"/>
      <c r="EG606" s="618"/>
      <c r="EH606" s="618"/>
      <c r="EI606" s="618"/>
      <c r="EJ606" s="618"/>
      <c r="EK606" s="618"/>
      <c r="EL606" s="618"/>
      <c r="EM606" s="618"/>
    </row>
    <row r="607" spans="6:143">
      <c r="F607" s="338">
        <v>413.01</v>
      </c>
      <c r="G607" s="338" t="s">
        <v>339</v>
      </c>
      <c r="L607" s="2481">
        <v>150.02000000000001</v>
      </c>
      <c r="M607" s="340" t="s">
        <v>302</v>
      </c>
      <c r="N607" s="1390"/>
      <c r="O607" s="2479"/>
      <c r="P607" s="2282"/>
      <c r="AA607" s="338">
        <v>248.03</v>
      </c>
      <c r="AB607" s="338" t="s">
        <v>342</v>
      </c>
      <c r="AG607" s="2297">
        <v>59.49</v>
      </c>
      <c r="AH607" s="2297" t="s">
        <v>340</v>
      </c>
      <c r="AI607" s="1390"/>
      <c r="AJ607" s="2282"/>
      <c r="AK607" s="2282"/>
      <c r="AL607" s="1037"/>
      <c r="AR607" s="338">
        <v>167.4</v>
      </c>
      <c r="AS607" s="338" t="s">
        <v>338</v>
      </c>
      <c r="AX607" s="340">
        <v>144.08000000000001</v>
      </c>
      <c r="AY607" s="340" t="s">
        <v>302</v>
      </c>
      <c r="BH607" s="338">
        <v>201.1</v>
      </c>
      <c r="BI607" s="338" t="s">
        <v>342</v>
      </c>
      <c r="BN607" s="340">
        <v>49.04</v>
      </c>
      <c r="BO607" s="340" t="s">
        <v>331</v>
      </c>
      <c r="BP607" s="1385"/>
      <c r="BV607" s="338">
        <v>917.02</v>
      </c>
      <c r="BW607" s="338" t="s">
        <v>289</v>
      </c>
      <c r="CB607" s="340">
        <v>143.4</v>
      </c>
      <c r="CC607" s="340" t="s">
        <v>302</v>
      </c>
      <c r="CE607" s="341" t="str">
        <f t="array" ref="CE607">IFERROR(IF($CE$11="Metro",INDEX($BV$13:$BV$4972,SMALL(IF((County=$BW$13:$BW$4972),MATCH(ROW($BW$13:$BW$4972),ROW($BW$13:$BW$4972)),""),ROWS($A$13:$A665))),INDEX($BY$13:$BY$212,SMALL(IF((County=$BZ$13:$BZ$212),MATCH(ROW($BZ$13:$BZ$212),ROW($BZ$13:$BZ$212)),""),ROWS($A$13:$A665)))),"")</f>
        <v/>
      </c>
      <c r="CL607" s="236">
        <v>18</v>
      </c>
      <c r="CM607" s="236" t="s">
        <v>329</v>
      </c>
      <c r="CR607" s="340">
        <v>51.01</v>
      </c>
      <c r="CS607" s="340" t="s">
        <v>316</v>
      </c>
      <c r="CT607" s="1384"/>
      <c r="CZ607" s="1795">
        <v>501.03</v>
      </c>
      <c r="DA607" s="338" t="s">
        <v>335</v>
      </c>
      <c r="DF607" s="340">
        <v>146.03</v>
      </c>
      <c r="DG607" s="340" t="s">
        <v>302</v>
      </c>
      <c r="DP607" s="236">
        <v>178</v>
      </c>
      <c r="DQ607" s="236" t="s">
        <v>331</v>
      </c>
      <c r="DV607" s="340">
        <v>59.55</v>
      </c>
      <c r="DW607" s="340" t="s">
        <v>340</v>
      </c>
      <c r="DX607" s="1671"/>
      <c r="EB607" s="618"/>
      <c r="EC607" s="618"/>
      <c r="ED607" s="618"/>
      <c r="EE607" s="618"/>
      <c r="EF607" s="618"/>
      <c r="EG607" s="618"/>
      <c r="EH607" s="618"/>
      <c r="EI607" s="618"/>
      <c r="EJ607" s="618"/>
      <c r="EK607" s="618"/>
      <c r="EL607" s="618"/>
      <c r="EM607" s="618"/>
    </row>
    <row r="608" spans="6:143">
      <c r="F608" s="338">
        <v>416</v>
      </c>
      <c r="G608" s="338" t="s">
        <v>339</v>
      </c>
      <c r="L608" s="2481">
        <v>156</v>
      </c>
      <c r="M608" s="340" t="s">
        <v>302</v>
      </c>
      <c r="N608" s="1390"/>
      <c r="O608" s="2479"/>
      <c r="P608" s="2282"/>
      <c r="AA608" s="338">
        <v>250.15</v>
      </c>
      <c r="AB608" s="338" t="s">
        <v>342</v>
      </c>
      <c r="AG608" s="2297">
        <v>59.5</v>
      </c>
      <c r="AH608" s="2297" t="s">
        <v>340</v>
      </c>
      <c r="AI608" s="1390"/>
      <c r="AJ608" s="2282"/>
      <c r="AK608" s="2282"/>
      <c r="AL608" s="1037"/>
      <c r="AR608" s="338">
        <v>167.41</v>
      </c>
      <c r="AS608" s="338" t="s">
        <v>338</v>
      </c>
      <c r="AX608" s="340">
        <v>144.13</v>
      </c>
      <c r="AY608" s="340" t="s">
        <v>302</v>
      </c>
      <c r="BH608" s="338">
        <v>202.01</v>
      </c>
      <c r="BI608" s="338" t="s">
        <v>348</v>
      </c>
      <c r="BN608" s="340">
        <v>50.02</v>
      </c>
      <c r="BO608" s="340" t="s">
        <v>331</v>
      </c>
      <c r="BP608" s="1385"/>
      <c r="BV608" s="338">
        <v>918.02</v>
      </c>
      <c r="BW608" s="338" t="s">
        <v>289</v>
      </c>
      <c r="CB608" s="340">
        <v>143.41</v>
      </c>
      <c r="CC608" s="340" t="s">
        <v>302</v>
      </c>
      <c r="CE608" s="341" t="str">
        <f t="array" ref="CE608">IFERROR(IF($CE$11="Metro",INDEX($BV$13:$BV$4972,SMALL(IF((County=$BW$13:$BW$4972),MATCH(ROW($BW$13:$BW$4972),ROW($BW$13:$BW$4972)),""),ROWS($A$13:$A666))),INDEX($BY$13:$BY$212,SMALL(IF((County=$BZ$13:$BZ$212),MATCH(ROW($BZ$13:$BZ$212),ROW($BZ$13:$BZ$212)),""),ROWS($A$13:$A666)))),"")</f>
        <v/>
      </c>
      <c r="CL608" s="236">
        <v>18.010000000000002</v>
      </c>
      <c r="CM608" s="236" t="s">
        <v>323</v>
      </c>
      <c r="CR608" s="340">
        <v>51.02</v>
      </c>
      <c r="CS608" s="340" t="s">
        <v>316</v>
      </c>
      <c r="CT608" s="1384"/>
      <c r="CZ608" s="1795">
        <v>503.05</v>
      </c>
      <c r="DA608" s="338" t="s">
        <v>335</v>
      </c>
      <c r="DF608" s="340">
        <v>147.03</v>
      </c>
      <c r="DG608" s="340" t="s">
        <v>302</v>
      </c>
      <c r="DP608" s="236">
        <v>180</v>
      </c>
      <c r="DQ608" s="236" t="s">
        <v>338</v>
      </c>
      <c r="DV608" s="340">
        <v>59.58</v>
      </c>
      <c r="DW608" s="340" t="s">
        <v>340</v>
      </c>
      <c r="DX608" s="1671"/>
      <c r="EB608" s="618"/>
      <c r="EC608" s="618"/>
      <c r="ED608" s="618"/>
      <c r="EE608" s="618"/>
      <c r="EF608" s="618"/>
      <c r="EG608" s="618"/>
      <c r="EH608" s="618"/>
      <c r="EI608" s="618"/>
      <c r="EJ608" s="618"/>
      <c r="EK608" s="618"/>
      <c r="EL608" s="618"/>
      <c r="EM608" s="618"/>
    </row>
    <row r="609" spans="6:143">
      <c r="F609" s="338">
        <v>417</v>
      </c>
      <c r="G609" s="338" t="s">
        <v>339</v>
      </c>
      <c r="L609" s="2481">
        <v>158.06</v>
      </c>
      <c r="M609" s="340" t="s">
        <v>302</v>
      </c>
      <c r="N609" s="1390"/>
      <c r="O609" s="2479"/>
      <c r="P609" s="2282"/>
      <c r="AA609" s="338">
        <v>250.17</v>
      </c>
      <c r="AB609" s="338" t="s">
        <v>342</v>
      </c>
      <c r="AG609" s="2297">
        <v>59.54</v>
      </c>
      <c r="AH609" s="2297" t="s">
        <v>340</v>
      </c>
      <c r="AI609" s="1390"/>
      <c r="AJ609" s="2282"/>
      <c r="AK609" s="2282"/>
      <c r="AL609" s="1037"/>
      <c r="AR609" s="338">
        <v>167.42</v>
      </c>
      <c r="AS609" s="338" t="s">
        <v>338</v>
      </c>
      <c r="AX609" s="340">
        <v>144.13999999999999</v>
      </c>
      <c r="AY609" s="340" t="s">
        <v>302</v>
      </c>
      <c r="BH609" s="338">
        <v>203</v>
      </c>
      <c r="BI609" s="338" t="s">
        <v>349</v>
      </c>
      <c r="BN609" s="340">
        <v>51.01</v>
      </c>
      <c r="BO609" s="340" t="s">
        <v>316</v>
      </c>
      <c r="BP609" s="1385"/>
      <c r="BV609" s="338">
        <v>918.03</v>
      </c>
      <c r="BW609" s="338" t="s">
        <v>289</v>
      </c>
      <c r="CB609" s="340">
        <v>143.41999999999999</v>
      </c>
      <c r="CC609" s="340" t="s">
        <v>302</v>
      </c>
      <c r="CE609" s="341" t="str">
        <f t="array" ref="CE609">IFERROR(IF($CE$11="Metro",INDEX($BV$13:$BV$4972,SMALL(IF((County=$BW$13:$BW$4972),MATCH(ROW($BW$13:$BW$4972),ROW($BW$13:$BW$4972)),""),ROWS($A$13:$A667))),INDEX($BY$13:$BY$212,SMALL(IF((County=$BZ$13:$BZ$212),MATCH(ROW($BZ$13:$BZ$212),ROW($BZ$13:$BZ$212)),""),ROWS($A$13:$A667)))),"")</f>
        <v/>
      </c>
      <c r="CL609" s="236">
        <v>18.010000000000002</v>
      </c>
      <c r="CM609" s="236" t="s">
        <v>324</v>
      </c>
      <c r="CR609" s="340">
        <v>53.01</v>
      </c>
      <c r="CS609" s="340" t="s">
        <v>316</v>
      </c>
      <c r="CT609" s="1384"/>
      <c r="CZ609" s="1795">
        <v>207.01</v>
      </c>
      <c r="DA609" s="338" t="s">
        <v>336</v>
      </c>
      <c r="DF609" s="340">
        <v>149.01</v>
      </c>
      <c r="DG609" s="340" t="s">
        <v>302</v>
      </c>
      <c r="DP609" s="236">
        <v>187</v>
      </c>
      <c r="DQ609" s="236" t="s">
        <v>338</v>
      </c>
      <c r="DV609" s="340">
        <v>59.59</v>
      </c>
      <c r="DW609" s="340" t="s">
        <v>340</v>
      </c>
      <c r="DX609" s="1671"/>
      <c r="EB609" s="618"/>
      <c r="EC609" s="618"/>
      <c r="ED609" s="618"/>
      <c r="EE609" s="618"/>
      <c r="EF609" s="618"/>
      <c r="EG609" s="618"/>
      <c r="EH609" s="618"/>
      <c r="EI609" s="618"/>
      <c r="EJ609" s="618"/>
      <c r="EK609" s="618"/>
      <c r="EL609" s="618"/>
      <c r="EM609" s="618"/>
    </row>
    <row r="610" spans="6:143">
      <c r="F610" s="338">
        <v>418</v>
      </c>
      <c r="G610" s="338" t="s">
        <v>339</v>
      </c>
      <c r="L610" s="2481">
        <v>159.22</v>
      </c>
      <c r="M610" s="340" t="s">
        <v>302</v>
      </c>
      <c r="N610" s="1390"/>
      <c r="O610" s="2479"/>
      <c r="P610" s="2282"/>
      <c r="AA610" s="338">
        <v>250.18</v>
      </c>
      <c r="AB610" s="338" t="s">
        <v>342</v>
      </c>
      <c r="AG610" s="2297">
        <v>59.55</v>
      </c>
      <c r="AH610" s="2297" t="s">
        <v>340</v>
      </c>
      <c r="AI610" s="1390"/>
      <c r="AJ610" s="2282"/>
      <c r="AK610" s="2282"/>
      <c r="AL610" s="1037"/>
      <c r="AR610" s="338">
        <v>169.02</v>
      </c>
      <c r="AS610" s="338" t="s">
        <v>338</v>
      </c>
      <c r="AX610" s="340">
        <v>144.16</v>
      </c>
      <c r="AY610" s="340" t="s">
        <v>302</v>
      </c>
      <c r="BH610" s="338">
        <v>203.01</v>
      </c>
      <c r="BI610" s="338" t="s">
        <v>323</v>
      </c>
      <c r="BN610" s="340">
        <v>51.02</v>
      </c>
      <c r="BO610" s="340" t="s">
        <v>316</v>
      </c>
      <c r="BP610" s="1385"/>
      <c r="BV610" s="338">
        <v>918.04</v>
      </c>
      <c r="BW610" s="338" t="s">
        <v>289</v>
      </c>
      <c r="CB610" s="340">
        <v>143.43</v>
      </c>
      <c r="CC610" s="340" t="s">
        <v>302</v>
      </c>
      <c r="CE610" s="341" t="str">
        <f t="array" ref="CE610">IFERROR(IF($CE$11="Metro",INDEX($BV$13:$BV$4972,SMALL(IF((County=$BW$13:$BW$4972),MATCH(ROW($BW$13:$BW$4972),ROW($BW$13:$BW$4972)),""),ROWS($A$13:$A668))),INDEX($BY$13:$BY$212,SMALL(IF((County=$BZ$13:$BZ$212),MATCH(ROW($BZ$13:$BZ$212),ROW($BZ$13:$BZ$212)),""),ROWS($A$13:$A668)))),"")</f>
        <v/>
      </c>
      <c r="CL610" s="236">
        <v>18.010000000000002</v>
      </c>
      <c r="CM610" s="236" t="s">
        <v>328</v>
      </c>
      <c r="CR610" s="340">
        <v>54.01</v>
      </c>
      <c r="CS610" s="340" t="s">
        <v>316</v>
      </c>
      <c r="CT610" s="1384"/>
      <c r="CZ610" s="1795">
        <v>219.01</v>
      </c>
      <c r="DA610" s="338" t="s">
        <v>336</v>
      </c>
      <c r="DF610" s="340">
        <v>149.02000000000001</v>
      </c>
      <c r="DG610" s="340" t="s">
        <v>302</v>
      </c>
      <c r="DP610" s="236">
        <v>189.01</v>
      </c>
      <c r="DQ610" s="236" t="s">
        <v>338</v>
      </c>
      <c r="DV610" s="340">
        <v>59.6</v>
      </c>
      <c r="DW610" s="340" t="s">
        <v>340</v>
      </c>
      <c r="DX610" s="1671"/>
      <c r="EB610" s="618"/>
      <c r="EC610" s="618"/>
      <c r="ED610" s="618"/>
      <c r="EE610" s="618"/>
      <c r="EF610" s="618"/>
      <c r="EG610" s="618"/>
      <c r="EH610" s="618"/>
      <c r="EI610" s="618"/>
      <c r="EJ610" s="618"/>
      <c r="EK610" s="618"/>
      <c r="EL610" s="618"/>
      <c r="EM610" s="618"/>
    </row>
    <row r="611" spans="6:143">
      <c r="F611" s="338">
        <v>419</v>
      </c>
      <c r="G611" s="338" t="s">
        <v>339</v>
      </c>
      <c r="L611" s="2481">
        <v>159.24</v>
      </c>
      <c r="M611" s="340" t="s">
        <v>302</v>
      </c>
      <c r="N611" s="1390"/>
      <c r="O611" s="2479"/>
      <c r="P611" s="2282"/>
      <c r="AA611" s="338">
        <v>250.19</v>
      </c>
      <c r="AB611" s="338" t="s">
        <v>342</v>
      </c>
      <c r="AG611" s="2297">
        <v>59.57</v>
      </c>
      <c r="AH611" s="2297" t="s">
        <v>340</v>
      </c>
      <c r="AI611" s="1390"/>
      <c r="AJ611" s="2282"/>
      <c r="AK611" s="2282"/>
      <c r="AL611" s="1037"/>
      <c r="AR611" s="338">
        <v>169.04</v>
      </c>
      <c r="AS611" s="338" t="s">
        <v>338</v>
      </c>
      <c r="AX611" s="340">
        <v>144.16999999999999</v>
      </c>
      <c r="AY611" s="340" t="s">
        <v>302</v>
      </c>
      <c r="BH611" s="338">
        <v>203.02</v>
      </c>
      <c r="BI611" s="338" t="s">
        <v>323</v>
      </c>
      <c r="BN611" s="340">
        <v>53</v>
      </c>
      <c r="BO611" s="340" t="s">
        <v>340</v>
      </c>
      <c r="BP611" s="1385"/>
      <c r="BV611" s="338">
        <v>919.01</v>
      </c>
      <c r="BW611" s="338" t="s">
        <v>289</v>
      </c>
      <c r="CB611" s="340">
        <v>143.44</v>
      </c>
      <c r="CC611" s="340" t="s">
        <v>302</v>
      </c>
      <c r="CE611" s="341" t="str">
        <f t="array" ref="CE611">IFERROR(IF($CE$11="Metro",INDEX($BV$13:$BV$4972,SMALL(IF((County=$BW$13:$BW$4972),MATCH(ROW($BW$13:$BW$4972),ROW($BW$13:$BW$4972)),""),ROWS($A$13:$A669))),INDEX($BY$13:$BY$212,SMALL(IF((County=$BZ$13:$BZ$212),MATCH(ROW($BZ$13:$BZ$212),ROW($BZ$13:$BZ$212)),""),ROWS($A$13:$A669)))),"")</f>
        <v/>
      </c>
      <c r="CL611" s="236">
        <v>18.010000000000002</v>
      </c>
      <c r="CM611" s="236" t="s">
        <v>331</v>
      </c>
      <c r="CR611" s="340">
        <v>54.11</v>
      </c>
      <c r="CS611" s="340" t="s">
        <v>340</v>
      </c>
      <c r="CT611" s="1384"/>
      <c r="CZ611" s="1795">
        <v>220.01</v>
      </c>
      <c r="DA611" s="338" t="s">
        <v>336</v>
      </c>
      <c r="DF611" s="340">
        <v>156</v>
      </c>
      <c r="DG611" s="340" t="s">
        <v>302</v>
      </c>
      <c r="DP611" s="236">
        <v>201.01</v>
      </c>
      <c r="DQ611" s="236" t="s">
        <v>348</v>
      </c>
      <c r="DV611" s="340">
        <v>60</v>
      </c>
      <c r="DW611" s="340" t="s">
        <v>316</v>
      </c>
      <c r="DX611" s="1671"/>
      <c r="EB611" s="618"/>
      <c r="EC611" s="618"/>
      <c r="ED611" s="618"/>
      <c r="EE611" s="618"/>
      <c r="EF611" s="618"/>
      <c r="EG611" s="618"/>
      <c r="EH611" s="618"/>
      <c r="EI611" s="618"/>
      <c r="EJ611" s="618"/>
      <c r="EK611" s="618"/>
      <c r="EL611" s="618"/>
      <c r="EM611" s="618"/>
    </row>
    <row r="612" spans="6:143">
      <c r="F612" s="338">
        <v>420</v>
      </c>
      <c r="G612" s="338" t="s">
        <v>339</v>
      </c>
      <c r="L612" s="2481">
        <v>159.26</v>
      </c>
      <c r="M612" s="340" t="s">
        <v>302</v>
      </c>
      <c r="N612" s="1390"/>
      <c r="O612" s="2479"/>
      <c r="P612" s="2282"/>
      <c r="AA612" s="338">
        <v>251.11</v>
      </c>
      <c r="AB612" s="338" t="s">
        <v>342</v>
      </c>
      <c r="AG612" s="2297">
        <v>59.58</v>
      </c>
      <c r="AH612" s="2297" t="s">
        <v>340</v>
      </c>
      <c r="AI612" s="1390"/>
      <c r="AJ612" s="2282"/>
      <c r="AK612" s="2282"/>
      <c r="AL612" s="1037"/>
      <c r="AR612" s="338">
        <v>169.06</v>
      </c>
      <c r="AS612" s="338" t="s">
        <v>338</v>
      </c>
      <c r="AX612" s="340">
        <v>144.18</v>
      </c>
      <c r="AY612" s="340" t="s">
        <v>302</v>
      </c>
      <c r="BH612" s="338">
        <v>204</v>
      </c>
      <c r="BI612" s="338" t="s">
        <v>349</v>
      </c>
      <c r="BN612" s="340">
        <v>53.01</v>
      </c>
      <c r="BO612" s="340" t="s">
        <v>316</v>
      </c>
      <c r="BP612" s="1385"/>
      <c r="BV612" s="338">
        <v>919.03</v>
      </c>
      <c r="BW612" s="338" t="s">
        <v>289</v>
      </c>
      <c r="CB612" s="340">
        <v>144.08000000000001</v>
      </c>
      <c r="CC612" s="340" t="s">
        <v>302</v>
      </c>
      <c r="CE612" s="341" t="str">
        <f t="array" ref="CE612">IFERROR(IF($CE$11="Metro",INDEX($BV$13:$BV$4972,SMALL(IF((County=$BW$13:$BW$4972),MATCH(ROW($BW$13:$BW$4972),ROW($BW$13:$BW$4972)),""),ROWS($A$13:$A670))),INDEX($BY$13:$BY$212,SMALL(IF((County=$BZ$13:$BZ$212),MATCH(ROW($BZ$13:$BZ$212),ROW($BZ$13:$BZ$212)),""),ROWS($A$13:$A670)))),"")</f>
        <v/>
      </c>
      <c r="CL612" s="236">
        <v>18.010000000000002</v>
      </c>
      <c r="CM612" s="236" t="s">
        <v>340</v>
      </c>
      <c r="CR612" s="340">
        <v>54.12</v>
      </c>
      <c r="CS612" s="340" t="s">
        <v>340</v>
      </c>
      <c r="CT612" s="1384"/>
      <c r="CZ612" s="1795">
        <v>226</v>
      </c>
      <c r="DA612" s="338" t="s">
        <v>336</v>
      </c>
      <c r="DF612" s="340">
        <v>157.02000000000001</v>
      </c>
      <c r="DG612" s="340" t="s">
        <v>302</v>
      </c>
      <c r="DP612" s="236">
        <v>201.02</v>
      </c>
      <c r="DQ612" s="236" t="s">
        <v>323</v>
      </c>
      <c r="DV612" s="340">
        <v>60.02</v>
      </c>
      <c r="DW612" s="340" t="s">
        <v>331</v>
      </c>
      <c r="DX612" s="1671"/>
      <c r="EB612" s="618"/>
      <c r="EC612" s="618"/>
      <c r="ED612" s="618"/>
      <c r="EE612" s="618"/>
      <c r="EF612" s="618"/>
      <c r="EG612" s="618"/>
      <c r="EH612" s="618"/>
      <c r="EI612" s="618"/>
      <c r="EJ612" s="618"/>
      <c r="EK612" s="618"/>
      <c r="EL612" s="618"/>
      <c r="EM612" s="618"/>
    </row>
    <row r="613" spans="6:143">
      <c r="F613" s="338">
        <v>421</v>
      </c>
      <c r="G613" s="338" t="s">
        <v>339</v>
      </c>
      <c r="L613" s="2481">
        <v>159.29</v>
      </c>
      <c r="M613" s="340" t="s">
        <v>302</v>
      </c>
      <c r="N613" s="1390"/>
      <c r="O613" s="2479"/>
      <c r="P613" s="2282"/>
      <c r="AA613" s="338">
        <v>253.05</v>
      </c>
      <c r="AB613" s="338" t="s">
        <v>342</v>
      </c>
      <c r="AG613" s="2297">
        <v>59.59</v>
      </c>
      <c r="AH613" s="2297" t="s">
        <v>340</v>
      </c>
      <c r="AI613" s="1390"/>
      <c r="AJ613" s="2282"/>
      <c r="AK613" s="2282"/>
      <c r="AL613" s="1037"/>
      <c r="AR613" s="338">
        <v>169.07</v>
      </c>
      <c r="AS613" s="338" t="s">
        <v>338</v>
      </c>
      <c r="AX613" s="340">
        <v>144.19</v>
      </c>
      <c r="AY613" s="340" t="s">
        <v>302</v>
      </c>
      <c r="BH613" s="338">
        <v>204.05</v>
      </c>
      <c r="BI613" s="338" t="s">
        <v>289</v>
      </c>
      <c r="BN613" s="340">
        <v>54.01</v>
      </c>
      <c r="BO613" s="340" t="s">
        <v>316</v>
      </c>
      <c r="BP613" s="1385"/>
      <c r="BV613" s="338">
        <v>919.04</v>
      </c>
      <c r="BW613" s="338" t="s">
        <v>289</v>
      </c>
      <c r="CB613" s="340">
        <v>144.13</v>
      </c>
      <c r="CC613" s="340" t="s">
        <v>302</v>
      </c>
      <c r="CE613" s="341" t="str">
        <f t="array" ref="CE613">IFERROR(IF($CE$11="Metro",INDEX($BV$13:$BV$4972,SMALL(IF((County=$BW$13:$BW$4972),MATCH(ROW($BW$13:$BW$4972),ROW($BW$13:$BW$4972)),""),ROWS($A$13:$A671))),INDEX($BY$13:$BY$212,SMALL(IF((County=$BZ$13:$BZ$212),MATCH(ROW($BZ$13:$BZ$212),ROW($BZ$13:$BZ$212)),""),ROWS($A$13:$A671)))),"")</f>
        <v/>
      </c>
      <c r="CL613" s="236">
        <v>18.010000000000002</v>
      </c>
      <c r="CM613" s="236" t="s">
        <v>347</v>
      </c>
      <c r="CR613" s="340">
        <v>54.13</v>
      </c>
      <c r="CS613" s="340" t="s">
        <v>340</v>
      </c>
      <c r="CT613" s="1384"/>
      <c r="CZ613" s="1795">
        <v>228</v>
      </c>
      <c r="DA613" s="338" t="s">
        <v>336</v>
      </c>
      <c r="DF613" s="340">
        <v>158.04</v>
      </c>
      <c r="DG613" s="340" t="s">
        <v>302</v>
      </c>
      <c r="DP613" s="236">
        <v>202</v>
      </c>
      <c r="DQ613" s="236" t="s">
        <v>331</v>
      </c>
      <c r="DV613" s="340">
        <v>60.03</v>
      </c>
      <c r="DW613" s="340" t="s">
        <v>331</v>
      </c>
      <c r="DX613" s="1671"/>
      <c r="EB613" s="618"/>
      <c r="EC613" s="618"/>
      <c r="ED613" s="618"/>
      <c r="EE613" s="618"/>
      <c r="EF613" s="618"/>
      <c r="EG613" s="618"/>
      <c r="EH613" s="618"/>
      <c r="EI613" s="618"/>
      <c r="EJ613" s="618"/>
      <c r="EK613" s="618"/>
      <c r="EL613" s="618"/>
      <c r="EM613" s="618"/>
    </row>
    <row r="614" spans="6:143">
      <c r="F614" s="338">
        <v>422.02</v>
      </c>
      <c r="G614" s="338" t="s">
        <v>339</v>
      </c>
      <c r="L614" s="2481">
        <v>161.01</v>
      </c>
      <c r="M614" s="340" t="s">
        <v>302</v>
      </c>
      <c r="N614" s="1390"/>
      <c r="O614" s="2479"/>
      <c r="P614" s="2282"/>
      <c r="AA614" s="338">
        <v>254.15</v>
      </c>
      <c r="AB614" s="338" t="s">
        <v>342</v>
      </c>
      <c r="AG614" s="2297">
        <v>59.6</v>
      </c>
      <c r="AH614" s="2297" t="s">
        <v>340</v>
      </c>
      <c r="AI614" s="1390"/>
      <c r="AJ614" s="2282"/>
      <c r="AK614" s="2282"/>
      <c r="AL614" s="1037"/>
      <c r="AR614" s="338">
        <v>176</v>
      </c>
      <c r="AS614" s="338" t="s">
        <v>338</v>
      </c>
      <c r="AX614" s="340">
        <v>144.19999999999999</v>
      </c>
      <c r="AY614" s="340" t="s">
        <v>302</v>
      </c>
      <c r="BH614" s="338">
        <v>204.12</v>
      </c>
      <c r="BI614" s="338" t="s">
        <v>289</v>
      </c>
      <c r="BN614" s="340">
        <v>54.11</v>
      </c>
      <c r="BO614" s="340" t="s">
        <v>340</v>
      </c>
      <c r="BP614" s="1385"/>
      <c r="BV614" s="338">
        <v>920</v>
      </c>
      <c r="BW614" s="338" t="s">
        <v>289</v>
      </c>
      <c r="CB614" s="340">
        <v>144.13999999999999</v>
      </c>
      <c r="CC614" s="340" t="s">
        <v>302</v>
      </c>
      <c r="CE614" s="341" t="str">
        <f t="array" ref="CE614">IFERROR(IF($CE$11="Metro",INDEX($BV$13:$BV$4972,SMALL(IF((County=$BW$13:$BW$4972),MATCH(ROW($BW$13:$BW$4972),ROW($BW$13:$BW$4972)),""),ROWS($A$13:$A672))),INDEX($BY$13:$BY$212,SMALL(IF((County=$BZ$13:$BZ$212),MATCH(ROW($BZ$13:$BZ$212),ROW($BZ$13:$BZ$212)),""),ROWS($A$13:$A672)))),"")</f>
        <v/>
      </c>
      <c r="CL614" s="338">
        <v>18.02</v>
      </c>
      <c r="CM614" s="338" t="s">
        <v>276</v>
      </c>
      <c r="CR614" s="340">
        <v>55</v>
      </c>
      <c r="CS614" s="340" t="s">
        <v>316</v>
      </c>
      <c r="CT614" s="1384"/>
      <c r="CZ614" s="1795">
        <v>9103</v>
      </c>
      <c r="DA614" s="338" t="s">
        <v>337</v>
      </c>
      <c r="DF614" s="340">
        <v>158.06</v>
      </c>
      <c r="DG614" s="340" t="s">
        <v>302</v>
      </c>
      <c r="DP614" s="236">
        <v>202.01</v>
      </c>
      <c r="DQ614" s="236" t="s">
        <v>348</v>
      </c>
      <c r="DV614" s="340">
        <v>60.04</v>
      </c>
      <c r="DW614" s="340" t="s">
        <v>331</v>
      </c>
      <c r="DX614" s="1671"/>
      <c r="EB614" s="618"/>
      <c r="EC614" s="618"/>
      <c r="ED614" s="618"/>
      <c r="EE614" s="618"/>
      <c r="EF614" s="618"/>
      <c r="EG614" s="618"/>
      <c r="EH614" s="618"/>
      <c r="EI614" s="618"/>
      <c r="EJ614" s="618"/>
      <c r="EK614" s="618"/>
      <c r="EL614" s="618"/>
      <c r="EM614" s="618"/>
    </row>
    <row r="615" spans="6:143">
      <c r="F615" s="338">
        <v>423</v>
      </c>
      <c r="G615" s="338" t="s">
        <v>339</v>
      </c>
      <c r="L615" s="2481">
        <v>164</v>
      </c>
      <c r="M615" s="340" t="s">
        <v>302</v>
      </c>
      <c r="N615" s="1390"/>
      <c r="O615" s="2479"/>
      <c r="P615" s="2282"/>
      <c r="AA615" s="338">
        <v>255.05</v>
      </c>
      <c r="AB615" s="338" t="s">
        <v>342</v>
      </c>
      <c r="AG615" s="2297">
        <v>60</v>
      </c>
      <c r="AH615" s="2297" t="s">
        <v>316</v>
      </c>
      <c r="AI615" s="1390"/>
      <c r="AJ615" s="2282"/>
      <c r="AK615" s="2282"/>
      <c r="AL615" s="1037"/>
      <c r="AR615" s="338">
        <v>180</v>
      </c>
      <c r="AS615" s="338" t="s">
        <v>338</v>
      </c>
      <c r="AX615" s="340">
        <v>144.21</v>
      </c>
      <c r="AY615" s="340" t="s">
        <v>302</v>
      </c>
      <c r="BH615" s="338">
        <v>205</v>
      </c>
      <c r="BI615" s="338" t="s">
        <v>342</v>
      </c>
      <c r="BN615" s="340">
        <v>54.12</v>
      </c>
      <c r="BO615" s="340" t="s">
        <v>340</v>
      </c>
      <c r="BP615" s="1385"/>
      <c r="BV615" s="338">
        <v>1001.03</v>
      </c>
      <c r="BW615" s="338" t="s">
        <v>289</v>
      </c>
      <c r="CB615" s="340">
        <v>144.16</v>
      </c>
      <c r="CC615" s="340" t="s">
        <v>302</v>
      </c>
      <c r="CE615" s="341" t="str">
        <f t="array" ref="CE615">IFERROR(IF($CE$11="Metro",INDEX($BV$13:$BV$4972,SMALL(IF((County=$BW$13:$BW$4972),MATCH(ROW($BW$13:$BW$4972),ROW($BW$13:$BW$4972)),""),ROWS($A$13:$A673))),INDEX($BY$13:$BY$212,SMALL(IF((County=$BZ$13:$BZ$212),MATCH(ROW($BZ$13:$BZ$212),ROW($BZ$13:$BZ$212)),""),ROWS($A$13:$A673)))),"")</f>
        <v/>
      </c>
      <c r="CL615" s="236">
        <v>18.02</v>
      </c>
      <c r="CM615" s="236" t="s">
        <v>323</v>
      </c>
      <c r="CR615" s="340">
        <v>56.02</v>
      </c>
      <c r="CS615" s="340" t="s">
        <v>340</v>
      </c>
      <c r="CT615" s="1384"/>
      <c r="CZ615" s="1795">
        <v>9104.02</v>
      </c>
      <c r="DA615" s="338" t="s">
        <v>337</v>
      </c>
      <c r="DF615" s="340">
        <v>159.22</v>
      </c>
      <c r="DG615" s="340" t="s">
        <v>302</v>
      </c>
      <c r="DP615" s="236">
        <v>202.06</v>
      </c>
      <c r="DQ615" s="236" t="s">
        <v>342</v>
      </c>
      <c r="DV615" s="340">
        <v>60.06</v>
      </c>
      <c r="DW615" s="340" t="s">
        <v>340</v>
      </c>
      <c r="DX615" s="1671"/>
      <c r="EB615" s="618"/>
      <c r="EC615" s="618"/>
      <c r="ED615" s="618"/>
      <c r="EE615" s="618"/>
      <c r="EF615" s="618"/>
      <c r="EG615" s="618"/>
      <c r="EH615" s="618"/>
      <c r="EI615" s="618"/>
      <c r="EJ615" s="618"/>
      <c r="EK615" s="618"/>
      <c r="EL615" s="618"/>
      <c r="EM615" s="618"/>
    </row>
    <row r="616" spans="6:143">
      <c r="F616" s="338">
        <v>426.04</v>
      </c>
      <c r="G616" s="338" t="s">
        <v>339</v>
      </c>
      <c r="L616" s="2481">
        <v>165</v>
      </c>
      <c r="M616" s="340" t="s">
        <v>302</v>
      </c>
      <c r="N616" s="1390"/>
      <c r="O616" s="2479"/>
      <c r="P616" s="2282"/>
      <c r="AA616" s="338">
        <v>256.02</v>
      </c>
      <c r="AB616" s="338" t="s">
        <v>342</v>
      </c>
      <c r="AG616" s="2297">
        <v>60.02</v>
      </c>
      <c r="AH616" s="2297" t="s">
        <v>331</v>
      </c>
      <c r="AI616" s="1390"/>
      <c r="AJ616" s="2282"/>
      <c r="AK616" s="2282"/>
      <c r="AL616" s="1037"/>
      <c r="AR616" s="338">
        <v>185</v>
      </c>
      <c r="AS616" s="338" t="s">
        <v>338</v>
      </c>
      <c r="AX616" s="340">
        <v>144.22</v>
      </c>
      <c r="AY616" s="340" t="s">
        <v>302</v>
      </c>
      <c r="BH616" s="338">
        <v>205</v>
      </c>
      <c r="BI616" s="338" t="s">
        <v>348</v>
      </c>
      <c r="BN616" s="340">
        <v>54.13</v>
      </c>
      <c r="BO616" s="340" t="s">
        <v>340</v>
      </c>
      <c r="BP616" s="1385"/>
      <c r="BV616" s="338">
        <v>1001.04</v>
      </c>
      <c r="BW616" s="338" t="s">
        <v>289</v>
      </c>
      <c r="CB616" s="340">
        <v>144.16999999999999</v>
      </c>
      <c r="CC616" s="340" t="s">
        <v>302</v>
      </c>
      <c r="CE616" s="341" t="str">
        <f t="array" ref="CE616">IFERROR(IF($CE$11="Metro",INDEX($BV$13:$BV$4972,SMALL(IF((County=$BW$13:$BW$4972),MATCH(ROW($BW$13:$BW$4972),ROW($BW$13:$BW$4972)),""),ROWS($A$13:$A674))),INDEX($BY$13:$BY$212,SMALL(IF((County=$BZ$13:$BZ$212),MATCH(ROW($BZ$13:$BZ$212),ROW($BZ$13:$BZ$212)),""),ROWS($A$13:$A674)))),"")</f>
        <v/>
      </c>
      <c r="CL616" s="236">
        <v>18.02</v>
      </c>
      <c r="CM616" s="236" t="s">
        <v>328</v>
      </c>
      <c r="CR616" s="340">
        <v>57</v>
      </c>
      <c r="CS616" s="340" t="s">
        <v>316</v>
      </c>
      <c r="CT616" s="1384"/>
      <c r="CZ616" s="1795">
        <v>104</v>
      </c>
      <c r="DA616" s="338" t="s">
        <v>338</v>
      </c>
      <c r="DF616" s="340">
        <v>159.25</v>
      </c>
      <c r="DG616" s="340" t="s">
        <v>302</v>
      </c>
      <c r="DP616" s="236">
        <v>202.11</v>
      </c>
      <c r="DQ616" s="236" t="s">
        <v>289</v>
      </c>
      <c r="DV616" s="340">
        <v>60.08</v>
      </c>
      <c r="DW616" s="340" t="s">
        <v>340</v>
      </c>
      <c r="DX616" s="1671"/>
      <c r="EB616" s="618"/>
      <c r="EC616" s="618"/>
      <c r="ED616" s="618"/>
      <c r="EE616" s="618"/>
      <c r="EF616" s="618"/>
      <c r="EG616" s="618"/>
      <c r="EH616" s="618"/>
      <c r="EI616" s="618"/>
      <c r="EJ616" s="618"/>
      <c r="EK616" s="618"/>
      <c r="EL616" s="618"/>
      <c r="EM616" s="618"/>
    </row>
    <row r="617" spans="6:143">
      <c r="F617" s="338">
        <v>427.01</v>
      </c>
      <c r="G617" s="338" t="s">
        <v>339</v>
      </c>
      <c r="L617" s="2481">
        <v>166.03</v>
      </c>
      <c r="M617" s="340" t="s">
        <v>302</v>
      </c>
      <c r="N617" s="1390"/>
      <c r="O617" s="2479"/>
      <c r="P617" s="2282"/>
      <c r="AA617" s="338">
        <v>256.02999999999997</v>
      </c>
      <c r="AB617" s="338" t="s">
        <v>342</v>
      </c>
      <c r="AG617" s="2297">
        <v>60.04</v>
      </c>
      <c r="AH617" s="2297" t="s">
        <v>331</v>
      </c>
      <c r="AI617" s="1390"/>
      <c r="AJ617" s="2282"/>
      <c r="AK617" s="2282"/>
      <c r="AL617" s="1037"/>
      <c r="AR617" s="338">
        <v>187</v>
      </c>
      <c r="AS617" s="338" t="s">
        <v>338</v>
      </c>
      <c r="AX617" s="340">
        <v>144.22999999999999</v>
      </c>
      <c r="AY617" s="340" t="s">
        <v>302</v>
      </c>
      <c r="BH617" s="338">
        <v>205.01</v>
      </c>
      <c r="BI617" s="338" t="s">
        <v>323</v>
      </c>
      <c r="BN617" s="340">
        <v>55</v>
      </c>
      <c r="BO617" s="340" t="s">
        <v>316</v>
      </c>
      <c r="BP617" s="1385"/>
      <c r="BV617" s="338">
        <v>1001.05</v>
      </c>
      <c r="BW617" s="338" t="s">
        <v>289</v>
      </c>
      <c r="CB617" s="340">
        <v>144.18</v>
      </c>
      <c r="CC617" s="340" t="s">
        <v>302</v>
      </c>
      <c r="CE617" s="341" t="str">
        <f t="array" ref="CE617">IFERROR(IF($CE$11="Metro",INDEX($BV$13:$BV$4972,SMALL(IF((County=$BW$13:$BW$4972),MATCH(ROW($BW$13:$BW$4972),ROW($BW$13:$BW$4972)),""),ROWS($A$13:$A675))),INDEX($BY$13:$BY$212,SMALL(IF((County=$BZ$13:$BZ$212),MATCH(ROW($BZ$13:$BZ$212),ROW($BZ$13:$BZ$212)),""),ROWS($A$13:$A675)))),"")</f>
        <v/>
      </c>
      <c r="CL617" s="236">
        <v>18.02</v>
      </c>
      <c r="CM617" s="236" t="s">
        <v>331</v>
      </c>
      <c r="CR617" s="340">
        <v>57.06</v>
      </c>
      <c r="CS617" s="340" t="s">
        <v>331</v>
      </c>
      <c r="CT617" s="1384"/>
      <c r="CZ617" s="1795">
        <v>105</v>
      </c>
      <c r="DA617" s="338" t="s">
        <v>338</v>
      </c>
      <c r="DF617" s="340">
        <v>159.26</v>
      </c>
      <c r="DG617" s="340" t="s">
        <v>302</v>
      </c>
      <c r="DP617" s="236">
        <v>203</v>
      </c>
      <c r="DQ617" s="236" t="s">
        <v>349</v>
      </c>
      <c r="DV617" s="340">
        <v>60.1</v>
      </c>
      <c r="DW617" s="340" t="s">
        <v>340</v>
      </c>
      <c r="DX617" s="1671"/>
      <c r="EB617" s="618"/>
      <c r="EC617" s="618"/>
      <c r="ED617" s="618"/>
      <c r="EE617" s="618"/>
      <c r="EF617" s="618"/>
      <c r="EG617" s="618"/>
      <c r="EH617" s="618"/>
      <c r="EI617" s="618"/>
      <c r="EJ617" s="618"/>
      <c r="EK617" s="618"/>
      <c r="EL617" s="618"/>
      <c r="EM617" s="618"/>
    </row>
    <row r="618" spans="6:143">
      <c r="F618" s="338">
        <v>429.01</v>
      </c>
      <c r="G618" s="338" t="s">
        <v>339</v>
      </c>
      <c r="L618" s="2481">
        <v>166.04</v>
      </c>
      <c r="M618" s="340" t="s">
        <v>302</v>
      </c>
      <c r="N618" s="1390"/>
      <c r="O618" s="2479"/>
      <c r="P618" s="2282"/>
      <c r="AA618" s="338">
        <v>258</v>
      </c>
      <c r="AB618" s="338" t="s">
        <v>342</v>
      </c>
      <c r="AG618" s="2297">
        <v>60.08</v>
      </c>
      <c r="AH618" s="2297" t="s">
        <v>340</v>
      </c>
      <c r="AI618" s="1390"/>
      <c r="AJ618" s="2282"/>
      <c r="AK618" s="2282"/>
      <c r="AL618" s="1037"/>
      <c r="AR618" s="338">
        <v>189.01</v>
      </c>
      <c r="AS618" s="338" t="s">
        <v>338</v>
      </c>
      <c r="AX618" s="340">
        <v>144.24</v>
      </c>
      <c r="AY618" s="340" t="s">
        <v>302</v>
      </c>
      <c r="BH618" s="338">
        <v>206</v>
      </c>
      <c r="BI618" s="338" t="s">
        <v>342</v>
      </c>
      <c r="BN618" s="340">
        <v>55.06</v>
      </c>
      <c r="BO618" s="340" t="s">
        <v>331</v>
      </c>
      <c r="BP618" s="1385"/>
      <c r="BV618" s="338">
        <v>1001.06</v>
      </c>
      <c r="BW618" s="338" t="s">
        <v>289</v>
      </c>
      <c r="CB618" s="340">
        <v>144.19</v>
      </c>
      <c r="CC618" s="340" t="s">
        <v>302</v>
      </c>
      <c r="CE618" s="341" t="str">
        <f t="array" ref="CE618">IFERROR(IF($CE$11="Metro",INDEX($BV$13:$BV$4972,SMALL(IF((County=$BW$13:$BW$4972),MATCH(ROW($BW$13:$BW$4972),ROW($BW$13:$BW$4972)),""),ROWS($A$13:$A676))),INDEX($BY$13:$BY$212,SMALL(IF((County=$BZ$13:$BZ$212),MATCH(ROW($BZ$13:$BZ$212),ROW($BZ$13:$BZ$212)),""),ROWS($A$13:$A676)))),"")</f>
        <v/>
      </c>
      <c r="CL618" s="236">
        <v>18.02</v>
      </c>
      <c r="CM618" s="236" t="s">
        <v>340</v>
      </c>
      <c r="CR618" s="340">
        <v>58</v>
      </c>
      <c r="CS618" s="340" t="s">
        <v>316</v>
      </c>
      <c r="CT618" s="1384"/>
      <c r="CZ618" s="1795">
        <v>116</v>
      </c>
      <c r="DA618" s="338" t="s">
        <v>338</v>
      </c>
      <c r="DF618" s="340">
        <v>159.28</v>
      </c>
      <c r="DG618" s="340" t="s">
        <v>302</v>
      </c>
      <c r="DP618" s="236">
        <v>203.02</v>
      </c>
      <c r="DQ618" s="236" t="s">
        <v>323</v>
      </c>
      <c r="DV618" s="340">
        <v>60.11</v>
      </c>
      <c r="DW618" s="340" t="s">
        <v>340</v>
      </c>
      <c r="DX618" s="1671"/>
      <c r="EB618" s="618"/>
      <c r="EC618" s="618"/>
      <c r="ED618" s="618"/>
      <c r="EE618" s="618"/>
      <c r="EF618" s="618"/>
      <c r="EG618" s="618"/>
      <c r="EH618" s="618"/>
      <c r="EI618" s="618"/>
      <c r="EJ618" s="618"/>
      <c r="EK618" s="618"/>
      <c r="EL618" s="618"/>
      <c r="EM618" s="618"/>
    </row>
    <row r="619" spans="6:143">
      <c r="F619" s="338">
        <v>429.02</v>
      </c>
      <c r="G619" s="338" t="s">
        <v>339</v>
      </c>
      <c r="L619" s="2481">
        <v>166.05</v>
      </c>
      <c r="M619" s="340" t="s">
        <v>302</v>
      </c>
      <c r="N619" s="1390"/>
      <c r="O619" s="2479"/>
      <c r="P619" s="2282"/>
      <c r="AA619" s="338">
        <v>262</v>
      </c>
      <c r="AB619" s="338" t="s">
        <v>342</v>
      </c>
      <c r="AG619" s="2297">
        <v>60.12</v>
      </c>
      <c r="AH619" s="2297" t="s">
        <v>340</v>
      </c>
      <c r="AI619" s="1390"/>
      <c r="AJ619" s="2282"/>
      <c r="AK619" s="2282"/>
      <c r="AL619" s="1037"/>
      <c r="AR619" s="338">
        <v>189.02</v>
      </c>
      <c r="AS619" s="338" t="s">
        <v>338</v>
      </c>
      <c r="AX619" s="340">
        <v>144.25</v>
      </c>
      <c r="AY619" s="340" t="s">
        <v>302</v>
      </c>
      <c r="BH619" s="338">
        <v>207</v>
      </c>
      <c r="BI619" s="338" t="s">
        <v>294</v>
      </c>
      <c r="BN619" s="340">
        <v>56</v>
      </c>
      <c r="BO619" s="340" t="s">
        <v>331</v>
      </c>
      <c r="BP619" s="1385"/>
      <c r="BV619" s="338">
        <v>1001.07</v>
      </c>
      <c r="BW619" s="338" t="s">
        <v>289</v>
      </c>
      <c r="CB619" s="340">
        <v>144.19999999999999</v>
      </c>
      <c r="CC619" s="340" t="s">
        <v>302</v>
      </c>
      <c r="CE619" s="341" t="str">
        <f t="array" ref="CE619">IFERROR(IF($CE$11="Metro",INDEX($BV$13:$BV$4972,SMALL(IF((County=$BW$13:$BW$4972),MATCH(ROW($BW$13:$BW$4972),ROW($BW$13:$BW$4972)),""),ROWS($A$13:$A677))),INDEX($BY$13:$BY$212,SMALL(IF((County=$BZ$13:$BZ$212),MATCH(ROW($BZ$13:$BZ$212),ROW($BZ$13:$BZ$212)),""),ROWS($A$13:$A677)))),"")</f>
        <v/>
      </c>
      <c r="CL619" s="338">
        <v>18.03</v>
      </c>
      <c r="CM619" s="338" t="s">
        <v>276</v>
      </c>
      <c r="CR619" s="340">
        <v>58.05</v>
      </c>
      <c r="CS619" s="340" t="s">
        <v>331</v>
      </c>
      <c r="CT619" s="1384"/>
      <c r="CZ619" s="1795">
        <v>117.02</v>
      </c>
      <c r="DA619" s="338" t="s">
        <v>338</v>
      </c>
      <c r="DF619" s="340">
        <v>159.29</v>
      </c>
      <c r="DG619" s="340" t="s">
        <v>302</v>
      </c>
      <c r="DP619" s="236">
        <v>203.02</v>
      </c>
      <c r="DQ619" s="236" t="s">
        <v>348</v>
      </c>
      <c r="DV619" s="340">
        <v>60.12</v>
      </c>
      <c r="DW619" s="340" t="s">
        <v>340</v>
      </c>
      <c r="DX619" s="1671"/>
      <c r="EB619" s="618"/>
      <c r="EC619" s="618"/>
      <c r="ED619" s="618"/>
      <c r="EE619" s="618"/>
      <c r="EF619" s="618"/>
      <c r="EG619" s="618"/>
      <c r="EH619" s="618"/>
      <c r="EI619" s="618"/>
      <c r="EJ619" s="618"/>
      <c r="EK619" s="618"/>
      <c r="EL619" s="618"/>
      <c r="EM619" s="618"/>
    </row>
    <row r="620" spans="6:143">
      <c r="F620" s="338">
        <v>2.2200000000000002</v>
      </c>
      <c r="G620" s="338" t="s">
        <v>340</v>
      </c>
      <c r="L620" s="2481">
        <v>167.11</v>
      </c>
      <c r="M620" s="340" t="s">
        <v>302</v>
      </c>
      <c r="N620" s="1390"/>
      <c r="O620" s="2479"/>
      <c r="P620" s="2282"/>
      <c r="AA620" s="338">
        <v>263</v>
      </c>
      <c r="AB620" s="338" t="s">
        <v>342</v>
      </c>
      <c r="AG620" s="2297">
        <v>61.01</v>
      </c>
      <c r="AH620" s="2297" t="s">
        <v>316</v>
      </c>
      <c r="AI620" s="1390"/>
      <c r="AJ620" s="2282"/>
      <c r="AK620" s="2282"/>
      <c r="AL620" s="1037"/>
      <c r="AR620" s="338">
        <v>416</v>
      </c>
      <c r="AS620" s="338" t="s">
        <v>339</v>
      </c>
      <c r="AX620" s="340">
        <v>144.26</v>
      </c>
      <c r="AY620" s="340" t="s">
        <v>302</v>
      </c>
      <c r="BH620" s="338">
        <v>207</v>
      </c>
      <c r="BI620" s="338" t="s">
        <v>342</v>
      </c>
      <c r="BN620" s="340">
        <v>56.02</v>
      </c>
      <c r="BO620" s="340" t="s">
        <v>340</v>
      </c>
      <c r="BP620" s="1385"/>
      <c r="BV620" s="338">
        <v>1001.08</v>
      </c>
      <c r="BW620" s="338" t="s">
        <v>289</v>
      </c>
      <c r="CB620" s="340">
        <v>144.21</v>
      </c>
      <c r="CC620" s="340" t="s">
        <v>302</v>
      </c>
      <c r="CE620" s="341" t="str">
        <f t="array" ref="CE620">IFERROR(IF($CE$11="Metro",INDEX($BV$13:$BV$4972,SMALL(IF((County=$BW$13:$BW$4972),MATCH(ROW($BW$13:$BW$4972),ROW($BW$13:$BW$4972)),""),ROWS($A$13:$A678))),INDEX($BY$13:$BY$212,SMALL(IF((County=$BZ$13:$BZ$212),MATCH(ROW($BZ$13:$BZ$212),ROW($BZ$13:$BZ$212)),""),ROWS($A$13:$A678)))),"")</f>
        <v/>
      </c>
      <c r="CL620" s="236">
        <v>18.03</v>
      </c>
      <c r="CM620" s="236" t="s">
        <v>324</v>
      </c>
      <c r="CR620" s="340">
        <v>58.06</v>
      </c>
      <c r="CS620" s="340" t="s">
        <v>331</v>
      </c>
      <c r="CT620" s="1384"/>
      <c r="CZ620" s="1795">
        <v>120</v>
      </c>
      <c r="DA620" s="338" t="s">
        <v>338</v>
      </c>
      <c r="DF620" s="340">
        <v>164</v>
      </c>
      <c r="DG620" s="340" t="s">
        <v>302</v>
      </c>
      <c r="DP620" s="236">
        <v>203.08</v>
      </c>
      <c r="DQ620" s="236" t="s">
        <v>289</v>
      </c>
      <c r="DV620" s="340">
        <v>61.01</v>
      </c>
      <c r="DW620" s="340" t="s">
        <v>316</v>
      </c>
      <c r="DX620" s="1671"/>
      <c r="EB620" s="618"/>
      <c r="EC620" s="618"/>
      <c r="ED620" s="618"/>
      <c r="EE620" s="618"/>
      <c r="EF620" s="618"/>
      <c r="EG620" s="618"/>
      <c r="EH620" s="618"/>
      <c r="EI620" s="618"/>
      <c r="EJ620" s="618"/>
      <c r="EK620" s="618"/>
      <c r="EL620" s="618"/>
      <c r="EM620" s="618"/>
    </row>
    <row r="621" spans="6:143">
      <c r="F621" s="338">
        <v>10.02</v>
      </c>
      <c r="G621" s="338" t="s">
        <v>340</v>
      </c>
      <c r="L621" s="2481">
        <v>167.24</v>
      </c>
      <c r="M621" s="340" t="s">
        <v>302</v>
      </c>
      <c r="N621" s="1390"/>
      <c r="O621" s="2479"/>
      <c r="P621" s="2282"/>
      <c r="AA621" s="338">
        <v>264.02</v>
      </c>
      <c r="AB621" s="338" t="s">
        <v>342</v>
      </c>
      <c r="AG621" s="2297">
        <v>61.03</v>
      </c>
      <c r="AH621" s="2297" t="s">
        <v>316</v>
      </c>
      <c r="AI621" s="1390"/>
      <c r="AJ621" s="2282"/>
      <c r="AK621" s="2282"/>
      <c r="AL621" s="1037"/>
      <c r="AR621" s="338">
        <v>418</v>
      </c>
      <c r="AS621" s="338" t="s">
        <v>339</v>
      </c>
      <c r="AX621" s="340">
        <v>144.28</v>
      </c>
      <c r="AY621" s="340" t="s">
        <v>302</v>
      </c>
      <c r="BH621" s="338">
        <v>207.01</v>
      </c>
      <c r="BI621" s="338" t="s">
        <v>307</v>
      </c>
      <c r="BN621" s="340">
        <v>57.01</v>
      </c>
      <c r="BO621" s="340" t="s">
        <v>331</v>
      </c>
      <c r="BP621" s="1385"/>
      <c r="BV621" s="338">
        <v>1002.01</v>
      </c>
      <c r="BW621" s="338" t="s">
        <v>289</v>
      </c>
      <c r="CB621" s="340">
        <v>144.22</v>
      </c>
      <c r="CC621" s="340" t="s">
        <v>302</v>
      </c>
      <c r="CE621" s="341" t="str">
        <f t="array" ref="CE621">IFERROR(IF($CE$11="Metro",INDEX($BV$13:$BV$4972,SMALL(IF((County=$BW$13:$BW$4972),MATCH(ROW($BW$13:$BW$4972),ROW($BW$13:$BW$4972)),""),ROWS($A$13:$A679))),INDEX($BY$13:$BY$212,SMALL(IF((County=$BZ$13:$BZ$212),MATCH(ROW($BZ$13:$BZ$212),ROW($BZ$13:$BZ$212)),""),ROWS($A$13:$A679)))),"")</f>
        <v/>
      </c>
      <c r="CL621" s="236">
        <v>18.03</v>
      </c>
      <c r="CM621" s="236" t="s">
        <v>330</v>
      </c>
      <c r="CR621" s="340">
        <v>58.11</v>
      </c>
      <c r="CS621" s="340" t="s">
        <v>340</v>
      </c>
      <c r="CT621" s="1384"/>
      <c r="CZ621" s="1795">
        <v>121</v>
      </c>
      <c r="DA621" s="338" t="s">
        <v>338</v>
      </c>
      <c r="DF621" s="340">
        <v>165</v>
      </c>
      <c r="DG621" s="340" t="s">
        <v>302</v>
      </c>
      <c r="DP621" s="236">
        <v>204</v>
      </c>
      <c r="DQ621" s="236" t="s">
        <v>307</v>
      </c>
      <c r="DV621" s="340">
        <v>61.03</v>
      </c>
      <c r="DW621" s="340" t="s">
        <v>316</v>
      </c>
      <c r="DX621" s="1671"/>
      <c r="EB621" s="618"/>
      <c r="EC621" s="618"/>
      <c r="ED621" s="618"/>
      <c r="EE621" s="618"/>
      <c r="EF621" s="618"/>
      <c r="EG621" s="618"/>
      <c r="EH621" s="618"/>
      <c r="EI621" s="618"/>
      <c r="EJ621" s="618"/>
      <c r="EK621" s="618"/>
      <c r="EL621" s="618"/>
      <c r="EM621" s="618"/>
    </row>
    <row r="622" spans="6:143">
      <c r="F622" s="338">
        <v>13.02</v>
      </c>
      <c r="G622" s="338" t="s">
        <v>340</v>
      </c>
      <c r="L622" s="2481">
        <v>167.25</v>
      </c>
      <c r="M622" s="340" t="s">
        <v>302</v>
      </c>
      <c r="N622" s="1390"/>
      <c r="O622" s="2479"/>
      <c r="P622" s="2282"/>
      <c r="AA622" s="338">
        <v>266.02</v>
      </c>
      <c r="AB622" s="338" t="s">
        <v>342</v>
      </c>
      <c r="AG622" s="2297">
        <v>61.03</v>
      </c>
      <c r="AH622" s="2297" t="s">
        <v>331</v>
      </c>
      <c r="AI622" s="1390"/>
      <c r="AJ622" s="2282"/>
      <c r="AK622" s="2282"/>
      <c r="AL622" s="1037"/>
      <c r="AR622" s="338">
        <v>419</v>
      </c>
      <c r="AS622" s="338" t="s">
        <v>339</v>
      </c>
      <c r="AX622" s="340">
        <v>145</v>
      </c>
      <c r="AY622" s="340" t="s">
        <v>302</v>
      </c>
      <c r="BH622" s="338">
        <v>207.02</v>
      </c>
      <c r="BI622" s="338" t="s">
        <v>307</v>
      </c>
      <c r="BN622" s="340">
        <v>57.06</v>
      </c>
      <c r="BO622" s="340" t="s">
        <v>331</v>
      </c>
      <c r="BP622" s="1385"/>
      <c r="BV622" s="338">
        <v>1002.03</v>
      </c>
      <c r="BW622" s="338" t="s">
        <v>289</v>
      </c>
      <c r="CB622" s="340">
        <v>144.22999999999999</v>
      </c>
      <c r="CC622" s="340" t="s">
        <v>302</v>
      </c>
      <c r="CE622" s="341" t="str">
        <f t="array" ref="CE622">IFERROR(IF($CE$11="Metro",INDEX($BV$13:$BV$4972,SMALL(IF((County=$BW$13:$BW$4972),MATCH(ROW($BW$13:$BW$4972),ROW($BW$13:$BW$4972)),""),ROWS($A$13:$A680))),INDEX($BY$13:$BY$212,SMALL(IF((County=$BZ$13:$BZ$212),MATCH(ROW($BZ$13:$BZ$212),ROW($BZ$13:$BZ$212)),""),ROWS($A$13:$A680)))),"")</f>
        <v/>
      </c>
      <c r="CL622" s="236">
        <v>18.03</v>
      </c>
      <c r="CM622" s="236" t="s">
        <v>331</v>
      </c>
      <c r="CR622" s="340">
        <v>58.13</v>
      </c>
      <c r="CS622" s="340" t="s">
        <v>340</v>
      </c>
      <c r="CT622" s="1384"/>
      <c r="CZ622" s="1795">
        <v>122.01</v>
      </c>
      <c r="DA622" s="338" t="s">
        <v>338</v>
      </c>
      <c r="DF622" s="340">
        <v>166.03</v>
      </c>
      <c r="DG622" s="340" t="s">
        <v>302</v>
      </c>
      <c r="DP622" s="236">
        <v>204.01</v>
      </c>
      <c r="DQ622" s="236" t="s">
        <v>348</v>
      </c>
      <c r="DV622" s="340">
        <v>61.03</v>
      </c>
      <c r="DW622" s="340" t="s">
        <v>331</v>
      </c>
      <c r="DX622" s="1671"/>
      <c r="EB622" s="618"/>
      <c r="EC622" s="618"/>
      <c r="ED622" s="618"/>
      <c r="EE622" s="618"/>
      <c r="EF622" s="618"/>
      <c r="EG622" s="618"/>
      <c r="EH622" s="618"/>
      <c r="EI622" s="618"/>
      <c r="EJ622" s="618"/>
      <c r="EK622" s="618"/>
      <c r="EL622" s="618"/>
      <c r="EM622" s="618"/>
    </row>
    <row r="623" spans="6:143">
      <c r="F623" s="338">
        <v>14.02</v>
      </c>
      <c r="G623" s="338" t="s">
        <v>340</v>
      </c>
      <c r="L623" s="2481">
        <v>167.26</v>
      </c>
      <c r="M623" s="340" t="s">
        <v>302</v>
      </c>
      <c r="N623" s="1390"/>
      <c r="O623" s="2479"/>
      <c r="P623" s="2282"/>
      <c r="AA623" s="338">
        <v>268.18</v>
      </c>
      <c r="AB623" s="338" t="s">
        <v>342</v>
      </c>
      <c r="AG623" s="2297">
        <v>61.04</v>
      </c>
      <c r="AH623" s="2297" t="s">
        <v>331</v>
      </c>
      <c r="AI623" s="1390"/>
      <c r="AJ623" s="2282"/>
      <c r="AK623" s="2282"/>
      <c r="AL623" s="1037"/>
      <c r="AR623" s="338">
        <v>420</v>
      </c>
      <c r="AS623" s="338" t="s">
        <v>339</v>
      </c>
      <c r="AX623" s="340">
        <v>146.01</v>
      </c>
      <c r="AY623" s="340" t="s">
        <v>302</v>
      </c>
      <c r="BH623" s="338">
        <v>208</v>
      </c>
      <c r="BI623" s="338" t="s">
        <v>342</v>
      </c>
      <c r="BN623" s="340">
        <v>58</v>
      </c>
      <c r="BO623" s="340" t="s">
        <v>316</v>
      </c>
      <c r="BP623" s="1385"/>
      <c r="BV623" s="338">
        <v>1002.04</v>
      </c>
      <c r="BW623" s="338" t="s">
        <v>289</v>
      </c>
      <c r="CB623" s="340">
        <v>144.24</v>
      </c>
      <c r="CC623" s="340" t="s">
        <v>302</v>
      </c>
      <c r="CE623" s="341" t="str">
        <f t="array" ref="CE623">IFERROR(IF($CE$11="Metro",INDEX($BV$13:$BV$4972,SMALL(IF((County=$BW$13:$BW$4972),MATCH(ROW($BW$13:$BW$4972),ROW($BW$13:$BW$4972)),""),ROWS($A$13:$A681))),INDEX($BY$13:$BY$212,SMALL(IF((County=$BZ$13:$BZ$212),MATCH(ROW($BZ$13:$BZ$212),ROW($BZ$13:$BZ$212)),""),ROWS($A$13:$A681)))),"")</f>
        <v/>
      </c>
      <c r="CL623" s="236">
        <v>18.03</v>
      </c>
      <c r="CM623" s="236" t="s">
        <v>347</v>
      </c>
      <c r="CR623" s="340">
        <v>58.2</v>
      </c>
      <c r="CS623" s="340" t="s">
        <v>340</v>
      </c>
      <c r="CT623" s="1384"/>
      <c r="CZ623" s="1795">
        <v>122.02</v>
      </c>
      <c r="DA623" s="338" t="s">
        <v>338</v>
      </c>
      <c r="DF623" s="340">
        <v>166.04</v>
      </c>
      <c r="DG623" s="340" t="s">
        <v>302</v>
      </c>
      <c r="DP623" s="236">
        <v>204.05</v>
      </c>
      <c r="DQ623" s="236" t="s">
        <v>289</v>
      </c>
      <c r="DV623" s="340">
        <v>61.04</v>
      </c>
      <c r="DW623" s="340" t="s">
        <v>331</v>
      </c>
      <c r="DX623" s="1671"/>
      <c r="EB623" s="618"/>
      <c r="EC623" s="618"/>
      <c r="ED623" s="618"/>
      <c r="EE623" s="618"/>
      <c r="EF623" s="618"/>
      <c r="EG623" s="618"/>
      <c r="EH623" s="618"/>
      <c r="EI623" s="618"/>
      <c r="EJ623" s="618"/>
      <c r="EK623" s="618"/>
      <c r="EL623" s="618"/>
      <c r="EM623" s="618"/>
    </row>
    <row r="624" spans="6:143">
      <c r="F624" s="338">
        <v>14.03</v>
      </c>
      <c r="G624" s="338" t="s">
        <v>340</v>
      </c>
      <c r="L624" s="2481">
        <v>167.28</v>
      </c>
      <c r="M624" s="340" t="s">
        <v>302</v>
      </c>
      <c r="N624" s="1390"/>
      <c r="O624" s="2479"/>
      <c r="P624" s="2282"/>
      <c r="AA624" s="338">
        <v>269.12</v>
      </c>
      <c r="AB624" s="338" t="s">
        <v>342</v>
      </c>
      <c r="AG624" s="2297">
        <v>61.05</v>
      </c>
      <c r="AH624" s="2297" t="s">
        <v>331</v>
      </c>
      <c r="AI624" s="1390"/>
      <c r="AJ624" s="2282"/>
      <c r="AK624" s="2282"/>
      <c r="AL624" s="1037"/>
      <c r="AR624" s="338">
        <v>421</v>
      </c>
      <c r="AS624" s="338" t="s">
        <v>339</v>
      </c>
      <c r="AX624" s="340">
        <v>146.03</v>
      </c>
      <c r="AY624" s="340" t="s">
        <v>302</v>
      </c>
      <c r="BH624" s="338">
        <v>208.01</v>
      </c>
      <c r="BI624" s="338" t="s">
        <v>323</v>
      </c>
      <c r="BN624" s="340">
        <v>58.05</v>
      </c>
      <c r="BO624" s="340" t="s">
        <v>331</v>
      </c>
      <c r="BP624" s="1385"/>
      <c r="BV624" s="338">
        <v>1003.01</v>
      </c>
      <c r="BW624" s="338" t="s">
        <v>289</v>
      </c>
      <c r="CB624" s="340">
        <v>144.25</v>
      </c>
      <c r="CC624" s="340" t="s">
        <v>302</v>
      </c>
      <c r="CE624" s="341" t="str">
        <f t="array" ref="CE624">IFERROR(IF($CE$11="Metro",INDEX($BV$13:$BV$4972,SMALL(IF((County=$BW$13:$BW$4972),MATCH(ROW($BW$13:$BW$4972),ROW($BW$13:$BW$4972)),""),ROWS($A$13:$A682))),INDEX($BY$13:$BY$212,SMALL(IF((County=$BZ$13:$BZ$212),MATCH(ROW($BZ$13:$BZ$212),ROW($BZ$13:$BZ$212)),""),ROWS($A$13:$A682)))),"")</f>
        <v/>
      </c>
      <c r="CL624" s="236">
        <v>18.04</v>
      </c>
      <c r="CM624" s="236" t="s">
        <v>324</v>
      </c>
      <c r="CR624" s="340">
        <v>59</v>
      </c>
      <c r="CS624" s="340" t="s">
        <v>316</v>
      </c>
      <c r="CT624" s="1384"/>
      <c r="CZ624" s="1795">
        <v>123.04</v>
      </c>
      <c r="DA624" s="338" t="s">
        <v>338</v>
      </c>
      <c r="DF624" s="340">
        <v>166.05</v>
      </c>
      <c r="DG624" s="340" t="s">
        <v>302</v>
      </c>
      <c r="DP624" s="236">
        <v>204.12</v>
      </c>
      <c r="DQ624" s="236" t="s">
        <v>289</v>
      </c>
      <c r="DV624" s="340">
        <v>61.05</v>
      </c>
      <c r="DW624" s="340" t="s">
        <v>331</v>
      </c>
      <c r="DX624" s="1671"/>
      <c r="EB624" s="618"/>
      <c r="EC624" s="618"/>
      <c r="ED624" s="618"/>
      <c r="EE624" s="618"/>
      <c r="EF624" s="618"/>
      <c r="EG624" s="618"/>
      <c r="EH624" s="618"/>
      <c r="EI624" s="618"/>
      <c r="EJ624" s="618"/>
      <c r="EK624" s="618"/>
      <c r="EL624" s="618"/>
      <c r="EM624" s="618"/>
    </row>
    <row r="625" spans="6:143">
      <c r="F625" s="338">
        <v>14.04</v>
      </c>
      <c r="G625" s="338" t="s">
        <v>340</v>
      </c>
      <c r="L625" s="2481">
        <v>167.29</v>
      </c>
      <c r="M625" s="340" t="s">
        <v>302</v>
      </c>
      <c r="N625" s="1390"/>
      <c r="O625" s="2479"/>
      <c r="P625" s="2282"/>
      <c r="AA625" s="338">
        <v>271.08</v>
      </c>
      <c r="AB625" s="338" t="s">
        <v>342</v>
      </c>
      <c r="AG625" s="2297">
        <v>61.06</v>
      </c>
      <c r="AH625" s="2297" t="s">
        <v>331</v>
      </c>
      <c r="AI625" s="1390"/>
      <c r="AJ625" s="2282"/>
      <c r="AK625" s="2282"/>
      <c r="AL625" s="1037"/>
      <c r="AR625" s="338">
        <v>422.02</v>
      </c>
      <c r="AS625" s="338" t="s">
        <v>339</v>
      </c>
      <c r="AX625" s="340">
        <v>147.03</v>
      </c>
      <c r="AY625" s="340" t="s">
        <v>302</v>
      </c>
      <c r="BH625" s="338">
        <v>208.02</v>
      </c>
      <c r="BI625" s="338" t="s">
        <v>323</v>
      </c>
      <c r="BN625" s="340">
        <v>58.06</v>
      </c>
      <c r="BO625" s="340" t="s">
        <v>331</v>
      </c>
      <c r="BP625" s="1385"/>
      <c r="BV625" s="338">
        <v>1003.02</v>
      </c>
      <c r="BW625" s="338" t="s">
        <v>289</v>
      </c>
      <c r="CB625" s="340">
        <v>144.26</v>
      </c>
      <c r="CC625" s="340" t="s">
        <v>302</v>
      </c>
      <c r="CE625" s="341" t="str">
        <f t="array" ref="CE625">IFERROR(IF($CE$11="Metro",INDEX($BV$13:$BV$4972,SMALL(IF((County=$BW$13:$BW$4972),MATCH(ROW($BW$13:$BW$4972),ROW($BW$13:$BW$4972)),""),ROWS($A$13:$A683))),INDEX($BY$13:$BY$212,SMALL(IF((County=$BZ$13:$BZ$212),MATCH(ROW($BZ$13:$BZ$212),ROW($BZ$13:$BZ$212)),""),ROWS($A$13:$A683)))),"")</f>
        <v/>
      </c>
      <c r="CL625" s="236">
        <v>18.04</v>
      </c>
      <c r="CM625" s="236" t="s">
        <v>330</v>
      </c>
      <c r="CR625" s="340">
        <v>59.01</v>
      </c>
      <c r="CS625" s="340" t="s">
        <v>331</v>
      </c>
      <c r="CT625" s="1384"/>
      <c r="CZ625" s="1795">
        <v>123.05</v>
      </c>
      <c r="DA625" s="338" t="s">
        <v>338</v>
      </c>
      <c r="DF625" s="340">
        <v>167.11</v>
      </c>
      <c r="DG625" s="340" t="s">
        <v>302</v>
      </c>
      <c r="DP625" s="236">
        <v>205</v>
      </c>
      <c r="DQ625" s="236" t="s">
        <v>342</v>
      </c>
      <c r="DV625" s="340">
        <v>61.06</v>
      </c>
      <c r="DW625" s="340" t="s">
        <v>331</v>
      </c>
      <c r="DX625" s="1671"/>
      <c r="EB625" s="618"/>
      <c r="EC625" s="618"/>
      <c r="ED625" s="618"/>
      <c r="EE625" s="618"/>
      <c r="EF625" s="618"/>
      <c r="EG625" s="618"/>
      <c r="EH625" s="618"/>
      <c r="EI625" s="618"/>
      <c r="EJ625" s="618"/>
      <c r="EK625" s="618"/>
      <c r="EL625" s="618"/>
      <c r="EM625" s="618"/>
    </row>
    <row r="626" spans="6:143">
      <c r="F626" s="338">
        <v>18.02</v>
      </c>
      <c r="G626" s="338" t="s">
        <v>340</v>
      </c>
      <c r="L626" s="2481">
        <v>167.3</v>
      </c>
      <c r="M626" s="340" t="s">
        <v>302</v>
      </c>
      <c r="N626" s="1390"/>
      <c r="O626" s="2479"/>
      <c r="P626" s="2282"/>
      <c r="AA626" s="338">
        <v>281.02999999999997</v>
      </c>
      <c r="AB626" s="338" t="s">
        <v>342</v>
      </c>
      <c r="AG626" s="2297">
        <v>62</v>
      </c>
      <c r="AH626" s="2297" t="s">
        <v>316</v>
      </c>
      <c r="AI626" s="1390"/>
      <c r="AJ626" s="2282"/>
      <c r="AK626" s="2282"/>
      <c r="AL626" s="1037"/>
      <c r="AR626" s="338">
        <v>423</v>
      </c>
      <c r="AS626" s="338" t="s">
        <v>339</v>
      </c>
      <c r="AX626" s="340">
        <v>150.02000000000001</v>
      </c>
      <c r="AY626" s="340" t="s">
        <v>302</v>
      </c>
      <c r="BH626" s="338">
        <v>210.02</v>
      </c>
      <c r="BI626" s="338" t="s">
        <v>349</v>
      </c>
      <c r="BN626" s="340">
        <v>58.07</v>
      </c>
      <c r="BO626" s="340" t="s">
        <v>340</v>
      </c>
      <c r="BP626" s="1385"/>
      <c r="BV626" s="338">
        <v>1004</v>
      </c>
      <c r="BW626" s="338" t="s">
        <v>289</v>
      </c>
      <c r="CB626" s="340">
        <v>144.27000000000001</v>
      </c>
      <c r="CC626" s="340" t="s">
        <v>302</v>
      </c>
      <c r="CE626" s="341" t="str">
        <f t="array" ref="CE626">IFERROR(IF($CE$11="Metro",INDEX($BV$13:$BV$4972,SMALL(IF((County=$BW$13:$BW$4972),MATCH(ROW($BW$13:$BW$4972),ROW($BW$13:$BW$4972)),""),ROWS($A$13:$A684))),INDEX($BY$13:$BY$212,SMALL(IF((County=$BZ$13:$BZ$212),MATCH(ROW($BZ$13:$BZ$212),ROW($BZ$13:$BZ$212)),""),ROWS($A$13:$A684)))),"")</f>
        <v/>
      </c>
      <c r="CL626" s="236">
        <v>18.04</v>
      </c>
      <c r="CM626" s="236" t="s">
        <v>347</v>
      </c>
      <c r="CR626" s="340">
        <v>59.04</v>
      </c>
      <c r="CS626" s="340" t="s">
        <v>331</v>
      </c>
      <c r="CT626" s="1384"/>
      <c r="CZ626" s="1795">
        <v>123.07</v>
      </c>
      <c r="DA626" s="338" t="s">
        <v>338</v>
      </c>
      <c r="DF626" s="340">
        <v>167.24</v>
      </c>
      <c r="DG626" s="340" t="s">
        <v>302</v>
      </c>
      <c r="DP626" s="236">
        <v>205</v>
      </c>
      <c r="DQ626" s="236" t="s">
        <v>348</v>
      </c>
      <c r="DV626" s="340">
        <v>62</v>
      </c>
      <c r="DW626" s="340" t="s">
        <v>316</v>
      </c>
      <c r="DX626" s="1671"/>
      <c r="EB626" s="618"/>
      <c r="EC626" s="618"/>
      <c r="ED626" s="618"/>
      <c r="EE626" s="618"/>
      <c r="EF626" s="618"/>
      <c r="EG626" s="618"/>
      <c r="EH626" s="618"/>
      <c r="EI626" s="618"/>
      <c r="EJ626" s="618"/>
      <c r="EK626" s="618"/>
      <c r="EL626" s="618"/>
      <c r="EM626" s="618"/>
    </row>
    <row r="627" spans="6:143">
      <c r="F627" s="338">
        <v>19.09</v>
      </c>
      <c r="G627" s="338" t="s">
        <v>340</v>
      </c>
      <c r="L627" s="2481">
        <v>167.31</v>
      </c>
      <c r="M627" s="340" t="s">
        <v>302</v>
      </c>
      <c r="N627" s="1390"/>
      <c r="O627" s="2479"/>
      <c r="P627" s="2282"/>
      <c r="AA627" s="338">
        <v>287</v>
      </c>
      <c r="AB627" s="338" t="s">
        <v>342</v>
      </c>
      <c r="AG627" s="2297">
        <v>62.01</v>
      </c>
      <c r="AH627" s="2297" t="s">
        <v>331</v>
      </c>
      <c r="AI627" s="1390"/>
      <c r="AJ627" s="2282"/>
      <c r="AK627" s="2282"/>
      <c r="AL627" s="1037"/>
      <c r="AR627" s="338">
        <v>427.02</v>
      </c>
      <c r="AS627" s="338" t="s">
        <v>339</v>
      </c>
      <c r="AX627" s="340">
        <v>156</v>
      </c>
      <c r="AY627" s="340" t="s">
        <v>302</v>
      </c>
      <c r="BH627" s="338">
        <v>212</v>
      </c>
      <c r="BI627" s="338" t="s">
        <v>342</v>
      </c>
      <c r="BN627" s="340">
        <v>58.11</v>
      </c>
      <c r="BO627" s="340" t="s">
        <v>340</v>
      </c>
      <c r="BP627" s="1385"/>
      <c r="BV627" s="338">
        <v>1005.01</v>
      </c>
      <c r="BW627" s="338" t="s">
        <v>289</v>
      </c>
      <c r="CB627" s="340">
        <v>144.28</v>
      </c>
      <c r="CC627" s="340" t="s">
        <v>302</v>
      </c>
      <c r="CE627" s="341" t="str">
        <f t="array" ref="CE627">IFERROR(IF($CE$11="Metro",INDEX($BV$13:$BV$4972,SMALL(IF((County=$BW$13:$BW$4972),MATCH(ROW($BW$13:$BW$4972),ROW($BW$13:$BW$4972)),""),ROWS($A$13:$A685))),INDEX($BY$13:$BY$212,SMALL(IF((County=$BZ$13:$BZ$212),MATCH(ROW($BZ$13:$BZ$212),ROW($BZ$13:$BZ$212)),""),ROWS($A$13:$A685)))),"")</f>
        <v/>
      </c>
      <c r="CL627" s="236">
        <v>18.05</v>
      </c>
      <c r="CM627" s="236" t="s">
        <v>330</v>
      </c>
      <c r="CR627" s="340">
        <v>59.16</v>
      </c>
      <c r="CS627" s="340" t="s">
        <v>340</v>
      </c>
      <c r="CT627" s="1384"/>
      <c r="CZ627" s="1795">
        <v>124.02</v>
      </c>
      <c r="DA627" s="338" t="s">
        <v>338</v>
      </c>
      <c r="DF627" s="340">
        <v>167.25</v>
      </c>
      <c r="DG627" s="340" t="s">
        <v>302</v>
      </c>
      <c r="DP627" s="236">
        <v>205.01</v>
      </c>
      <c r="DQ627" s="236" t="s">
        <v>323</v>
      </c>
      <c r="DV627" s="340">
        <v>62.01</v>
      </c>
      <c r="DW627" s="340" t="s">
        <v>331</v>
      </c>
      <c r="DX627" s="1671"/>
      <c r="EB627" s="618"/>
      <c r="EC627" s="618"/>
      <c r="ED627" s="618"/>
      <c r="EE627" s="618"/>
      <c r="EF627" s="618"/>
      <c r="EG627" s="618"/>
      <c r="EH627" s="618"/>
      <c r="EI627" s="618"/>
      <c r="EJ627" s="618"/>
      <c r="EK627" s="618"/>
      <c r="EL627" s="618"/>
      <c r="EM627" s="618"/>
    </row>
    <row r="628" spans="6:143">
      <c r="F628" s="338">
        <v>19.100000000000001</v>
      </c>
      <c r="G628" s="338" t="s">
        <v>340</v>
      </c>
      <c r="L628" s="2481">
        <v>168.01</v>
      </c>
      <c r="M628" s="340" t="s">
        <v>302</v>
      </c>
      <c r="N628" s="1390"/>
      <c r="O628" s="2479"/>
      <c r="P628" s="2282"/>
      <c r="AA628" s="338">
        <v>301.06</v>
      </c>
      <c r="AB628" s="338" t="s">
        <v>322</v>
      </c>
      <c r="AG628" s="2297">
        <v>62.02</v>
      </c>
      <c r="AH628" s="2297" t="s">
        <v>340</v>
      </c>
      <c r="AI628" s="1390"/>
      <c r="AJ628" s="2282"/>
      <c r="AK628" s="2282"/>
      <c r="AL628" s="1037"/>
      <c r="AR628" s="338">
        <v>434</v>
      </c>
      <c r="AS628" s="338" t="s">
        <v>339</v>
      </c>
      <c r="AX628" s="340">
        <v>157.02000000000001</v>
      </c>
      <c r="AY628" s="340" t="s">
        <v>302</v>
      </c>
      <c r="BH628" s="338">
        <v>216</v>
      </c>
      <c r="BI628" s="338" t="s">
        <v>342</v>
      </c>
      <c r="BN628" s="340">
        <v>58.13</v>
      </c>
      <c r="BO628" s="340" t="s">
        <v>340</v>
      </c>
      <c r="BP628" s="1385"/>
      <c r="BV628" s="338">
        <v>1005.02</v>
      </c>
      <c r="BW628" s="338" t="s">
        <v>289</v>
      </c>
      <c r="CB628" s="340">
        <v>146.01</v>
      </c>
      <c r="CC628" s="340" t="s">
        <v>302</v>
      </c>
      <c r="CE628" s="341" t="str">
        <f t="array" ref="CE628">IFERROR(IF($CE$11="Metro",INDEX($BV$13:$BV$4972,SMALL(IF((County=$BW$13:$BW$4972),MATCH(ROW($BW$13:$BW$4972),ROW($BW$13:$BW$4972)),""),ROWS($A$13:$A686))),INDEX($BY$13:$BY$212,SMALL(IF((County=$BZ$13:$BZ$212),MATCH(ROW($BZ$13:$BZ$212),ROW($BZ$13:$BZ$212)),""),ROWS($A$13:$A686)))),"")</f>
        <v/>
      </c>
      <c r="CL628" s="236">
        <v>18.05</v>
      </c>
      <c r="CM628" s="236" t="s">
        <v>347</v>
      </c>
      <c r="CR628" s="340">
        <v>59.17</v>
      </c>
      <c r="CS628" s="340" t="s">
        <v>340</v>
      </c>
      <c r="CT628" s="1384"/>
      <c r="CZ628" s="1795">
        <v>124.03</v>
      </c>
      <c r="DA628" s="338" t="s">
        <v>338</v>
      </c>
      <c r="DF628" s="340">
        <v>167.26</v>
      </c>
      <c r="DG628" s="340" t="s">
        <v>302</v>
      </c>
      <c r="DP628" s="236">
        <v>207</v>
      </c>
      <c r="DQ628" s="236" t="s">
        <v>294</v>
      </c>
      <c r="DV628" s="340">
        <v>62.02</v>
      </c>
      <c r="DW628" s="340" t="s">
        <v>340</v>
      </c>
      <c r="DX628" s="1671"/>
      <c r="EB628" s="618"/>
      <c r="EC628" s="618"/>
      <c r="ED628" s="618"/>
      <c r="EE628" s="618"/>
      <c r="EF628" s="618"/>
      <c r="EG628" s="618"/>
      <c r="EH628" s="618"/>
      <c r="EI628" s="618"/>
      <c r="EJ628" s="618"/>
      <c r="EK628" s="618"/>
      <c r="EL628" s="618"/>
      <c r="EM628" s="618"/>
    </row>
    <row r="629" spans="6:143">
      <c r="F629" s="338">
        <v>19.11</v>
      </c>
      <c r="G629" s="338" t="s">
        <v>340</v>
      </c>
      <c r="L629" s="2481">
        <v>168.03</v>
      </c>
      <c r="M629" s="340" t="s">
        <v>302</v>
      </c>
      <c r="N629" s="1390"/>
      <c r="O629" s="2479"/>
      <c r="P629" s="2282"/>
      <c r="AA629" s="338">
        <v>302.02999999999997</v>
      </c>
      <c r="AB629" s="338" t="s">
        <v>341</v>
      </c>
      <c r="AG629" s="2297">
        <v>62.03</v>
      </c>
      <c r="AH629" s="2297" t="s">
        <v>331</v>
      </c>
      <c r="AI629" s="1390"/>
      <c r="AJ629" s="2282"/>
      <c r="AK629" s="2282"/>
      <c r="AL629" s="1037"/>
      <c r="AR629" s="338">
        <v>13.01</v>
      </c>
      <c r="AS629" s="338" t="s">
        <v>340</v>
      </c>
      <c r="AX629" s="340">
        <v>158.04</v>
      </c>
      <c r="AY629" s="340" t="s">
        <v>302</v>
      </c>
      <c r="BH629" s="338">
        <v>220.01</v>
      </c>
      <c r="BI629" s="338" t="s">
        <v>348</v>
      </c>
      <c r="BN629" s="340">
        <v>58.19</v>
      </c>
      <c r="BO629" s="340" t="s">
        <v>340</v>
      </c>
      <c r="BP629" s="1385"/>
      <c r="BV629" s="338">
        <v>1006</v>
      </c>
      <c r="BW629" s="338" t="s">
        <v>289</v>
      </c>
      <c r="CB629" s="340">
        <v>146.03</v>
      </c>
      <c r="CC629" s="340" t="s">
        <v>302</v>
      </c>
      <c r="CE629" s="341" t="str">
        <f t="array" ref="CE629">IFERROR(IF($CE$11="Metro",INDEX($BV$13:$BV$4972,SMALL(IF((County=$BW$13:$BW$4972),MATCH(ROW($BW$13:$BW$4972),ROW($BW$13:$BW$4972)),""),ROWS($A$13:$A687))),INDEX($BY$13:$BY$212,SMALL(IF((County=$BZ$13:$BZ$212),MATCH(ROW($BZ$13:$BZ$212),ROW($BZ$13:$BZ$212)),""),ROWS($A$13:$A687)))),"")</f>
        <v/>
      </c>
      <c r="CL629" s="236">
        <v>18.059999999999999</v>
      </c>
      <c r="CM629" s="236" t="s">
        <v>330</v>
      </c>
      <c r="CR629" s="340">
        <v>59.21</v>
      </c>
      <c r="CS629" s="340" t="s">
        <v>340</v>
      </c>
      <c r="CT629" s="1384"/>
      <c r="CZ629" s="1795">
        <v>124.04</v>
      </c>
      <c r="DA629" s="338" t="s">
        <v>338</v>
      </c>
      <c r="DF629" s="340">
        <v>167.28</v>
      </c>
      <c r="DG629" s="340" t="s">
        <v>302</v>
      </c>
      <c r="DP629" s="236">
        <v>207.01</v>
      </c>
      <c r="DQ629" s="236" t="s">
        <v>307</v>
      </c>
      <c r="DV629" s="340">
        <v>62.03</v>
      </c>
      <c r="DW629" s="340" t="s">
        <v>331</v>
      </c>
      <c r="DX629" s="1671"/>
      <c r="EB629" s="618"/>
      <c r="EC629" s="618"/>
      <c r="ED629" s="618"/>
      <c r="EE629" s="618"/>
      <c r="EF629" s="618"/>
      <c r="EG629" s="618"/>
      <c r="EH629" s="618"/>
      <c r="EI629" s="618"/>
      <c r="EJ629" s="618"/>
      <c r="EK629" s="618"/>
      <c r="EL629" s="618"/>
      <c r="EM629" s="618"/>
    </row>
    <row r="630" spans="6:143">
      <c r="F630" s="338">
        <v>19.12</v>
      </c>
      <c r="G630" s="338" t="s">
        <v>340</v>
      </c>
      <c r="L630" s="2481">
        <v>168.04</v>
      </c>
      <c r="M630" s="340" t="s">
        <v>302</v>
      </c>
      <c r="N630" s="1390"/>
      <c r="O630" s="2479"/>
      <c r="P630" s="2282"/>
      <c r="AA630" s="338">
        <v>302.04000000000002</v>
      </c>
      <c r="AB630" s="338" t="s">
        <v>341</v>
      </c>
      <c r="AG630" s="2297">
        <v>62.05</v>
      </c>
      <c r="AH630" s="2297" t="s">
        <v>331</v>
      </c>
      <c r="AI630" s="1390"/>
      <c r="AJ630" s="2282"/>
      <c r="AK630" s="2282"/>
      <c r="AL630" s="1037"/>
      <c r="AR630" s="338">
        <v>13.02</v>
      </c>
      <c r="AS630" s="338" t="s">
        <v>340</v>
      </c>
      <c r="AX630" s="340">
        <v>158.06</v>
      </c>
      <c r="AY630" s="340" t="s">
        <v>302</v>
      </c>
      <c r="BH630" s="338">
        <v>221.01</v>
      </c>
      <c r="BI630" s="338" t="s">
        <v>348</v>
      </c>
      <c r="BN630" s="340">
        <v>58.2</v>
      </c>
      <c r="BO630" s="340" t="s">
        <v>340</v>
      </c>
      <c r="BP630" s="1385"/>
      <c r="BV630" s="338">
        <v>1007</v>
      </c>
      <c r="BW630" s="338" t="s">
        <v>289</v>
      </c>
      <c r="CB630" s="340">
        <v>146.04</v>
      </c>
      <c r="CC630" s="340" t="s">
        <v>302</v>
      </c>
      <c r="CE630" s="341" t="str">
        <f t="array" ref="CE630">IFERROR(IF($CE$11="Metro",INDEX($BV$13:$BV$4972,SMALL(IF((County=$BW$13:$BW$4972),MATCH(ROW($BW$13:$BW$4972),ROW($BW$13:$BW$4972)),""),ROWS($A$13:$A688))),INDEX($BY$13:$BY$212,SMALL(IF((County=$BZ$13:$BZ$212),MATCH(ROW($BZ$13:$BZ$212),ROW($BZ$13:$BZ$212)),""),ROWS($A$13:$A688)))),"")</f>
        <v/>
      </c>
      <c r="CL630" s="338">
        <v>18.11</v>
      </c>
      <c r="CM630" s="338" t="s">
        <v>276</v>
      </c>
      <c r="CR630" s="340">
        <v>59.23</v>
      </c>
      <c r="CS630" s="340" t="s">
        <v>340</v>
      </c>
      <c r="CT630" s="1384"/>
      <c r="CZ630" s="1795">
        <v>124.05</v>
      </c>
      <c r="DA630" s="338" t="s">
        <v>338</v>
      </c>
      <c r="DF630" s="340">
        <v>167.29</v>
      </c>
      <c r="DG630" s="340" t="s">
        <v>302</v>
      </c>
      <c r="DP630" s="236">
        <v>207.01</v>
      </c>
      <c r="DQ630" s="236" t="s">
        <v>336</v>
      </c>
      <c r="DV630" s="340">
        <v>62.05</v>
      </c>
      <c r="DW630" s="340" t="s">
        <v>331</v>
      </c>
      <c r="DX630" s="1671"/>
      <c r="EB630" s="618"/>
      <c r="EC630" s="618"/>
      <c r="ED630" s="618"/>
      <c r="EE630" s="618"/>
      <c r="EF630" s="618"/>
      <c r="EG630" s="618"/>
      <c r="EH630" s="618"/>
      <c r="EI630" s="618"/>
      <c r="EJ630" s="618"/>
      <c r="EK630" s="618"/>
      <c r="EL630" s="618"/>
      <c r="EM630" s="618"/>
    </row>
    <row r="631" spans="6:143">
      <c r="F631" s="338">
        <v>19.13</v>
      </c>
      <c r="G631" s="338" t="s">
        <v>340</v>
      </c>
      <c r="L631" s="2481">
        <v>168.07</v>
      </c>
      <c r="M631" s="340" t="s">
        <v>302</v>
      </c>
      <c r="N631" s="1390"/>
      <c r="O631" s="2479"/>
      <c r="P631" s="2282"/>
      <c r="AA631" s="338">
        <v>302.06</v>
      </c>
      <c r="AB631" s="338" t="s">
        <v>322</v>
      </c>
      <c r="AG631" s="2297">
        <v>62.06</v>
      </c>
      <c r="AH631" s="2297" t="s">
        <v>331</v>
      </c>
      <c r="AI631" s="1390"/>
      <c r="AJ631" s="2282"/>
      <c r="AK631" s="2282"/>
      <c r="AL631" s="1037"/>
      <c r="AR631" s="338">
        <v>14.02</v>
      </c>
      <c r="AS631" s="338" t="s">
        <v>340</v>
      </c>
      <c r="AX631" s="340">
        <v>159.22</v>
      </c>
      <c r="AY631" s="340" t="s">
        <v>302</v>
      </c>
      <c r="BH631" s="338">
        <v>226</v>
      </c>
      <c r="BI631" s="338" t="s">
        <v>336</v>
      </c>
      <c r="BN631" s="340">
        <v>59</v>
      </c>
      <c r="BO631" s="340" t="s">
        <v>316</v>
      </c>
      <c r="BP631" s="1385"/>
      <c r="BV631" s="338">
        <v>1008.01</v>
      </c>
      <c r="BW631" s="338" t="s">
        <v>289</v>
      </c>
      <c r="CB631" s="340">
        <v>147.03</v>
      </c>
      <c r="CC631" s="340" t="s">
        <v>302</v>
      </c>
      <c r="CE631" s="341" t="str">
        <f t="array" ref="CE631">IFERROR(IF($CE$11="Metro",INDEX($BV$13:$BV$4972,SMALL(IF((County=$BW$13:$BW$4972),MATCH(ROW($BW$13:$BW$4972),ROW($BW$13:$BW$4972)),""),ROWS($A$13:$A689))),INDEX($BY$13:$BY$212,SMALL(IF((County=$BZ$13:$BZ$212),MATCH(ROW($BZ$13:$BZ$212),ROW($BZ$13:$BZ$212)),""),ROWS($A$13:$A689)))),"")</f>
        <v/>
      </c>
      <c r="CL631" s="338">
        <v>18.13</v>
      </c>
      <c r="CM631" s="338" t="s">
        <v>276</v>
      </c>
      <c r="CR631" s="340">
        <v>59.31</v>
      </c>
      <c r="CS631" s="340" t="s">
        <v>340</v>
      </c>
      <c r="CT631" s="1384"/>
      <c r="CZ631" s="1795">
        <v>134.05000000000001</v>
      </c>
      <c r="DA631" s="338" t="s">
        <v>338</v>
      </c>
      <c r="DF631" s="340">
        <v>167.3</v>
      </c>
      <c r="DG631" s="340" t="s">
        <v>302</v>
      </c>
      <c r="DP631" s="236">
        <v>207.02</v>
      </c>
      <c r="DQ631" s="236" t="s">
        <v>307</v>
      </c>
      <c r="DV631" s="340">
        <v>62.06</v>
      </c>
      <c r="DW631" s="340" t="s">
        <v>331</v>
      </c>
      <c r="DX631" s="1671"/>
      <c r="EB631" s="618"/>
      <c r="EC631" s="618"/>
      <c r="ED631" s="618"/>
      <c r="EE631" s="618"/>
      <c r="EF631" s="618"/>
      <c r="EG631" s="618"/>
      <c r="EH631" s="618"/>
      <c r="EI631" s="618"/>
      <c r="EJ631" s="618"/>
      <c r="EK631" s="618"/>
      <c r="EL631" s="618"/>
      <c r="EM631" s="618"/>
    </row>
    <row r="632" spans="6:143">
      <c r="F632" s="338">
        <v>19.170000000000002</v>
      </c>
      <c r="G632" s="338" t="s">
        <v>340</v>
      </c>
      <c r="L632" s="2481">
        <v>168.08</v>
      </c>
      <c r="M632" s="340" t="s">
        <v>302</v>
      </c>
      <c r="N632" s="1390"/>
      <c r="O632" s="2479"/>
      <c r="P632" s="2282"/>
      <c r="AA632" s="338">
        <v>302.08999999999997</v>
      </c>
      <c r="AB632" s="338" t="s">
        <v>322</v>
      </c>
      <c r="AG632" s="2297">
        <v>63</v>
      </c>
      <c r="AH632" s="2297" t="s">
        <v>316</v>
      </c>
      <c r="AI632" s="1390"/>
      <c r="AJ632" s="2282"/>
      <c r="AK632" s="2282"/>
      <c r="AL632" s="1037"/>
      <c r="AR632" s="338">
        <v>14.03</v>
      </c>
      <c r="AS632" s="338" t="s">
        <v>340</v>
      </c>
      <c r="AX632" s="340">
        <v>159.24</v>
      </c>
      <c r="AY632" s="340" t="s">
        <v>302</v>
      </c>
      <c r="BH632" s="338">
        <v>228</v>
      </c>
      <c r="BI632" s="338" t="s">
        <v>336</v>
      </c>
      <c r="BN632" s="340">
        <v>59.01</v>
      </c>
      <c r="BO632" s="340" t="s">
        <v>331</v>
      </c>
      <c r="BP632" s="1385"/>
      <c r="BV632" s="338">
        <v>1008.03</v>
      </c>
      <c r="BW632" s="338" t="s">
        <v>289</v>
      </c>
      <c r="CB632" s="340">
        <v>149.01</v>
      </c>
      <c r="CC632" s="340" t="s">
        <v>302</v>
      </c>
      <c r="CE632" s="341" t="str">
        <f t="array" ref="CE632">IFERROR(IF($CE$11="Metro",INDEX($BV$13:$BV$4972,SMALL(IF((County=$BW$13:$BW$4972),MATCH(ROW($BW$13:$BW$4972),ROW($BW$13:$BW$4972)),""),ROWS($A$13:$A690))),INDEX($BY$13:$BY$212,SMALL(IF((County=$BZ$13:$BZ$212),MATCH(ROW($BZ$13:$BZ$212),ROW($BZ$13:$BZ$212)),""),ROWS($A$13:$A690)))),"")</f>
        <v/>
      </c>
      <c r="CL632" s="338">
        <v>18.149999999999999</v>
      </c>
      <c r="CM632" s="338" t="s">
        <v>276</v>
      </c>
      <c r="CR632" s="340">
        <v>59.34</v>
      </c>
      <c r="CS632" s="340" t="s">
        <v>340</v>
      </c>
      <c r="CT632" s="1384"/>
      <c r="CZ632" s="1795">
        <v>135.03</v>
      </c>
      <c r="DA632" s="338" t="s">
        <v>338</v>
      </c>
      <c r="DF632" s="340">
        <v>167.31</v>
      </c>
      <c r="DG632" s="340" t="s">
        <v>302</v>
      </c>
      <c r="DP632" s="236">
        <v>208</v>
      </c>
      <c r="DQ632" s="236" t="s">
        <v>342</v>
      </c>
      <c r="DV632" s="340">
        <v>63</v>
      </c>
      <c r="DW632" s="340" t="s">
        <v>316</v>
      </c>
      <c r="DX632" s="1671"/>
      <c r="EB632" s="618"/>
      <c r="EC632" s="618"/>
      <c r="ED632" s="618"/>
      <c r="EE632" s="618"/>
      <c r="EF632" s="618"/>
      <c r="EG632" s="618"/>
      <c r="EH632" s="618"/>
      <c r="EI632" s="618"/>
      <c r="EJ632" s="618"/>
      <c r="EK632" s="618"/>
      <c r="EL632" s="618"/>
      <c r="EM632" s="618"/>
    </row>
    <row r="633" spans="6:143">
      <c r="F633" s="338">
        <v>20.05</v>
      </c>
      <c r="G633" s="338" t="s">
        <v>340</v>
      </c>
      <c r="L633" s="2481">
        <v>168.09</v>
      </c>
      <c r="M633" s="340" t="s">
        <v>302</v>
      </c>
      <c r="N633" s="1390"/>
      <c r="O633" s="2479"/>
      <c r="P633" s="2282"/>
      <c r="AA633" s="338">
        <v>303.01</v>
      </c>
      <c r="AB633" s="338" t="s">
        <v>289</v>
      </c>
      <c r="AG633" s="2297">
        <v>63.01</v>
      </c>
      <c r="AH633" s="2297" t="s">
        <v>340</v>
      </c>
      <c r="AI633" s="1390"/>
      <c r="AJ633" s="2282"/>
      <c r="AK633" s="2282"/>
      <c r="AL633" s="1037"/>
      <c r="AR633" s="338">
        <v>14.04</v>
      </c>
      <c r="AS633" s="338" t="s">
        <v>340</v>
      </c>
      <c r="AX633" s="340">
        <v>159.25</v>
      </c>
      <c r="AY633" s="340" t="s">
        <v>302</v>
      </c>
      <c r="BH633" s="338">
        <v>245.1</v>
      </c>
      <c r="BI633" s="338" t="s">
        <v>342</v>
      </c>
      <c r="BN633" s="340">
        <v>59.02</v>
      </c>
      <c r="BO633" s="340" t="s">
        <v>331</v>
      </c>
      <c r="BP633" s="1385"/>
      <c r="BV633" s="338">
        <v>1008.04</v>
      </c>
      <c r="BW633" s="338" t="s">
        <v>289</v>
      </c>
      <c r="CB633" s="340">
        <v>150.02000000000001</v>
      </c>
      <c r="CC633" s="340" t="s">
        <v>302</v>
      </c>
      <c r="CE633" s="341" t="str">
        <f t="array" ref="CE633">IFERROR(IF($CE$11="Metro",INDEX($BV$13:$BV$4972,SMALL(IF((County=$BW$13:$BW$4972),MATCH(ROW($BW$13:$BW$4972),ROW($BW$13:$BW$4972)),""),ROWS($A$13:$A691))),INDEX($BY$13:$BY$212,SMALL(IF((County=$BZ$13:$BZ$212),MATCH(ROW($BZ$13:$BZ$212),ROW($BZ$13:$BZ$212)),""),ROWS($A$13:$A691)))),"")</f>
        <v/>
      </c>
      <c r="CL633" s="338">
        <v>18.16</v>
      </c>
      <c r="CM633" s="338" t="s">
        <v>276</v>
      </c>
      <c r="CR633" s="340">
        <v>59.37</v>
      </c>
      <c r="CS633" s="340" t="s">
        <v>340</v>
      </c>
      <c r="CT633" s="1384"/>
      <c r="CZ633" s="1795">
        <v>135.11000000000001</v>
      </c>
      <c r="DA633" s="338" t="s">
        <v>338</v>
      </c>
      <c r="DF633" s="340">
        <v>168.01</v>
      </c>
      <c r="DG633" s="340" t="s">
        <v>302</v>
      </c>
      <c r="DP633" s="236">
        <v>208.02</v>
      </c>
      <c r="DQ633" s="236" t="s">
        <v>323</v>
      </c>
      <c r="DV633" s="340">
        <v>63.02</v>
      </c>
      <c r="DW633" s="340" t="s">
        <v>331</v>
      </c>
      <c r="DX633" s="1671"/>
      <c r="EB633" s="618"/>
      <c r="EC633" s="618"/>
      <c r="ED633" s="618"/>
      <c r="EE633" s="618"/>
      <c r="EF633" s="618"/>
      <c r="EG633" s="618"/>
      <c r="EH633" s="618"/>
      <c r="EI633" s="618"/>
      <c r="EJ633" s="618"/>
      <c r="EK633" s="618"/>
      <c r="EL633" s="618"/>
      <c r="EM633" s="618"/>
    </row>
    <row r="634" spans="6:143">
      <c r="F634" s="338">
        <v>21</v>
      </c>
      <c r="G634" s="338" t="s">
        <v>340</v>
      </c>
      <c r="L634" s="2481">
        <v>168.1</v>
      </c>
      <c r="M634" s="340" t="s">
        <v>302</v>
      </c>
      <c r="N634" s="1390"/>
      <c r="O634" s="2479"/>
      <c r="P634" s="2282"/>
      <c r="AA634" s="338">
        <v>303.07</v>
      </c>
      <c r="AB634" s="338" t="s">
        <v>322</v>
      </c>
      <c r="AG634" s="2297">
        <v>63.02</v>
      </c>
      <c r="AH634" s="2297" t="s">
        <v>331</v>
      </c>
      <c r="AI634" s="1390"/>
      <c r="AJ634" s="2282"/>
      <c r="AK634" s="2282"/>
      <c r="AL634" s="1037"/>
      <c r="AR634" s="338">
        <v>16</v>
      </c>
      <c r="AS634" s="338" t="s">
        <v>340</v>
      </c>
      <c r="AX634" s="340">
        <v>159.26</v>
      </c>
      <c r="AY634" s="340" t="s">
        <v>302</v>
      </c>
      <c r="BH634" s="338">
        <v>246.03</v>
      </c>
      <c r="BI634" s="338" t="s">
        <v>342</v>
      </c>
      <c r="BN634" s="340">
        <v>59.03</v>
      </c>
      <c r="BO634" s="340" t="s">
        <v>331</v>
      </c>
      <c r="BP634" s="1385"/>
      <c r="BV634" s="338">
        <v>1101</v>
      </c>
      <c r="BW634" s="338" t="s">
        <v>289</v>
      </c>
      <c r="CB634" s="340">
        <v>156</v>
      </c>
      <c r="CC634" s="340" t="s">
        <v>302</v>
      </c>
      <c r="CE634" s="341" t="str">
        <f t="array" ref="CE634">IFERROR(IF($CE$11="Metro",INDEX($BV$13:$BV$4972,SMALL(IF((County=$BW$13:$BW$4972),MATCH(ROW($BW$13:$BW$4972),ROW($BW$13:$BW$4972)),""),ROWS($A$13:$A692))),INDEX($BY$13:$BY$212,SMALL(IF((County=$BZ$13:$BZ$212),MATCH(ROW($BZ$13:$BZ$212),ROW($BZ$13:$BZ$212)),""),ROWS($A$13:$A692)))),"")</f>
        <v/>
      </c>
      <c r="CL634" s="338">
        <v>18.170000000000002</v>
      </c>
      <c r="CM634" s="338" t="s">
        <v>276</v>
      </c>
      <c r="CR634" s="340">
        <v>59.38</v>
      </c>
      <c r="CS634" s="340" t="s">
        <v>340</v>
      </c>
      <c r="CT634" s="1384"/>
      <c r="CZ634" s="1795">
        <v>135.12</v>
      </c>
      <c r="DA634" s="338" t="s">
        <v>338</v>
      </c>
      <c r="DF634" s="340">
        <v>168.03</v>
      </c>
      <c r="DG634" s="340" t="s">
        <v>302</v>
      </c>
      <c r="DP634" s="236">
        <v>209.01</v>
      </c>
      <c r="DQ634" s="236" t="s">
        <v>348</v>
      </c>
      <c r="DV634" s="340">
        <v>63.02</v>
      </c>
      <c r="DW634" s="340" t="s">
        <v>340</v>
      </c>
      <c r="DX634" s="1671"/>
      <c r="EB634" s="618"/>
      <c r="EC634" s="618"/>
      <c r="ED634" s="618"/>
      <c r="EE634" s="618"/>
      <c r="EF634" s="618"/>
      <c r="EG634" s="618"/>
      <c r="EH634" s="618"/>
      <c r="EI634" s="618"/>
      <c r="EJ634" s="618"/>
      <c r="EK634" s="618"/>
      <c r="EL634" s="618"/>
      <c r="EM634" s="618"/>
    </row>
    <row r="635" spans="6:143">
      <c r="F635" s="338">
        <v>22</v>
      </c>
      <c r="G635" s="338" t="s">
        <v>340</v>
      </c>
      <c r="L635" s="2481">
        <v>168.11</v>
      </c>
      <c r="M635" s="340" t="s">
        <v>302</v>
      </c>
      <c r="N635" s="1390"/>
      <c r="O635" s="2479"/>
      <c r="P635" s="2282"/>
      <c r="AA635" s="338">
        <v>304</v>
      </c>
      <c r="AB635" s="338" t="s">
        <v>296</v>
      </c>
      <c r="AG635" s="2297">
        <v>63.02</v>
      </c>
      <c r="AH635" s="2297" t="s">
        <v>340</v>
      </c>
      <c r="AI635" s="1390"/>
      <c r="AJ635" s="2282"/>
      <c r="AK635" s="2282"/>
      <c r="AL635" s="1037"/>
      <c r="AR635" s="338">
        <v>19.09</v>
      </c>
      <c r="AS635" s="338" t="s">
        <v>340</v>
      </c>
      <c r="AX635" s="340">
        <v>159.29</v>
      </c>
      <c r="AY635" s="340" t="s">
        <v>302</v>
      </c>
      <c r="BH635" s="338">
        <v>246.04</v>
      </c>
      <c r="BI635" s="338" t="s">
        <v>342</v>
      </c>
      <c r="BN635" s="340">
        <v>59.04</v>
      </c>
      <c r="BO635" s="340" t="s">
        <v>331</v>
      </c>
      <c r="BP635" s="1385"/>
      <c r="BV635" s="338">
        <v>1103.01</v>
      </c>
      <c r="BW635" s="338" t="s">
        <v>289</v>
      </c>
      <c r="CB635" s="340">
        <v>158.04</v>
      </c>
      <c r="CC635" s="340" t="s">
        <v>302</v>
      </c>
      <c r="CE635" s="341" t="str">
        <f t="array" ref="CE635">IFERROR(IF($CE$11="Metro",INDEX($BV$13:$BV$4972,SMALL(IF((County=$BW$13:$BW$4972),MATCH(ROW($BW$13:$BW$4972),ROW($BW$13:$BW$4972)),""),ROWS($A$13:$A693))),INDEX($BY$13:$BY$212,SMALL(IF((County=$BZ$13:$BZ$212),MATCH(ROW($BZ$13:$BZ$212),ROW($BZ$13:$BZ$212)),""),ROWS($A$13:$A693)))),"")</f>
        <v/>
      </c>
      <c r="CL635" s="338">
        <v>18.18</v>
      </c>
      <c r="CM635" s="338" t="s">
        <v>276</v>
      </c>
      <c r="CR635" s="340">
        <v>59.42</v>
      </c>
      <c r="CS635" s="340" t="s">
        <v>340</v>
      </c>
      <c r="CT635" s="1384"/>
      <c r="CZ635" s="1795">
        <v>135.13</v>
      </c>
      <c r="DA635" s="338" t="s">
        <v>338</v>
      </c>
      <c r="DF635" s="340">
        <v>168.04</v>
      </c>
      <c r="DG635" s="340" t="s">
        <v>302</v>
      </c>
      <c r="DP635" s="236">
        <v>209.02</v>
      </c>
      <c r="DQ635" s="236" t="s">
        <v>348</v>
      </c>
      <c r="DV635" s="340">
        <v>63.04</v>
      </c>
      <c r="DW635" s="340" t="s">
        <v>331</v>
      </c>
      <c r="DX635" s="1671"/>
      <c r="EB635" s="618"/>
      <c r="EC635" s="618"/>
      <c r="ED635" s="618"/>
      <c r="EE635" s="618"/>
      <c r="EF635" s="618"/>
      <c r="EG635" s="618"/>
      <c r="EH635" s="618"/>
      <c r="EI635" s="618"/>
      <c r="EJ635" s="618"/>
      <c r="EK635" s="618"/>
      <c r="EL635" s="618"/>
      <c r="EM635" s="618"/>
    </row>
    <row r="636" spans="6:143">
      <c r="F636" s="338">
        <v>24</v>
      </c>
      <c r="G636" s="338" t="s">
        <v>340</v>
      </c>
      <c r="L636" s="2481">
        <v>168.13</v>
      </c>
      <c r="M636" s="340" t="s">
        <v>302</v>
      </c>
      <c r="N636" s="1390"/>
      <c r="O636" s="2479"/>
      <c r="P636" s="2282"/>
      <c r="AA636" s="338">
        <v>304.02</v>
      </c>
      <c r="AB636" s="338" t="s">
        <v>289</v>
      </c>
      <c r="AG636" s="2297">
        <v>64</v>
      </c>
      <c r="AH636" s="2297" t="s">
        <v>316</v>
      </c>
      <c r="AI636" s="1390"/>
      <c r="AJ636" s="2282"/>
      <c r="AK636" s="2282"/>
      <c r="AL636" s="1037"/>
      <c r="AR636" s="338">
        <v>19.100000000000001</v>
      </c>
      <c r="AS636" s="338" t="s">
        <v>340</v>
      </c>
      <c r="AX636" s="340">
        <v>164</v>
      </c>
      <c r="AY636" s="340" t="s">
        <v>302</v>
      </c>
      <c r="BH636" s="338">
        <v>247.01</v>
      </c>
      <c r="BI636" s="338" t="s">
        <v>342</v>
      </c>
      <c r="BN636" s="340">
        <v>59.16</v>
      </c>
      <c r="BO636" s="340" t="s">
        <v>340</v>
      </c>
      <c r="BP636" s="1385"/>
      <c r="BV636" s="338">
        <v>1103.03</v>
      </c>
      <c r="BW636" s="338" t="s">
        <v>289</v>
      </c>
      <c r="CB636" s="340">
        <v>158.06</v>
      </c>
      <c r="CC636" s="340" t="s">
        <v>302</v>
      </c>
      <c r="CE636" s="341" t="str">
        <f t="array" ref="CE636">IFERROR(IF($CE$11="Metro",INDEX($BV$13:$BV$4972,SMALL(IF((County=$BW$13:$BW$4972),MATCH(ROW($BW$13:$BW$4972),ROW($BW$13:$BW$4972)),""),ROWS($A$13:$A694))),INDEX($BY$13:$BY$212,SMALL(IF((County=$BZ$13:$BZ$212),MATCH(ROW($BZ$13:$BZ$212),ROW($BZ$13:$BZ$212)),""),ROWS($A$13:$A694)))),"")</f>
        <v/>
      </c>
      <c r="CL636" s="338">
        <v>18.190000000000001</v>
      </c>
      <c r="CM636" s="338" t="s">
        <v>276</v>
      </c>
      <c r="CR636" s="340">
        <v>59.45</v>
      </c>
      <c r="CS636" s="340" t="s">
        <v>340</v>
      </c>
      <c r="CT636" s="1384"/>
      <c r="CZ636" s="1795">
        <v>136.03</v>
      </c>
      <c r="DA636" s="338" t="s">
        <v>338</v>
      </c>
      <c r="DF636" s="340">
        <v>168.07</v>
      </c>
      <c r="DG636" s="340" t="s">
        <v>302</v>
      </c>
      <c r="DP636" s="236">
        <v>210.02</v>
      </c>
      <c r="DQ636" s="236" t="s">
        <v>349</v>
      </c>
      <c r="DV636" s="340">
        <v>64</v>
      </c>
      <c r="DW636" s="340" t="s">
        <v>316</v>
      </c>
      <c r="DX636" s="1671"/>
      <c r="EB636" s="618"/>
      <c r="EC636" s="618"/>
      <c r="ED636" s="618"/>
      <c r="EE636" s="618"/>
      <c r="EF636" s="618"/>
      <c r="EG636" s="618"/>
      <c r="EH636" s="618"/>
      <c r="EI636" s="618"/>
      <c r="EJ636" s="618"/>
      <c r="EK636" s="618"/>
      <c r="EL636" s="618"/>
      <c r="EM636" s="618"/>
    </row>
    <row r="637" spans="6:143">
      <c r="F637" s="338">
        <v>29</v>
      </c>
      <c r="G637" s="338" t="s">
        <v>340</v>
      </c>
      <c r="L637" s="2481">
        <v>171.01</v>
      </c>
      <c r="M637" s="340" t="s">
        <v>302</v>
      </c>
      <c r="N637" s="1390"/>
      <c r="O637" s="2479"/>
      <c r="P637" s="2282"/>
      <c r="AA637" s="338">
        <v>304.05</v>
      </c>
      <c r="AB637" s="338" t="s">
        <v>341</v>
      </c>
      <c r="AG637" s="2297">
        <v>64.010000000000005</v>
      </c>
      <c r="AH637" s="2297" t="s">
        <v>340</v>
      </c>
      <c r="AI637" s="1390"/>
      <c r="AJ637" s="2282"/>
      <c r="AK637" s="2282"/>
      <c r="AL637" s="1037"/>
      <c r="AR637" s="338">
        <v>19.11</v>
      </c>
      <c r="AS637" s="338" t="s">
        <v>340</v>
      </c>
      <c r="AX637" s="340">
        <v>165</v>
      </c>
      <c r="AY637" s="340" t="s">
        <v>302</v>
      </c>
      <c r="BH637" s="338">
        <v>248.04</v>
      </c>
      <c r="BI637" s="338" t="s">
        <v>342</v>
      </c>
      <c r="BN637" s="340">
        <v>59.17</v>
      </c>
      <c r="BO637" s="340" t="s">
        <v>340</v>
      </c>
      <c r="BP637" s="1385"/>
      <c r="BV637" s="338">
        <v>1103.07</v>
      </c>
      <c r="BW637" s="338" t="s">
        <v>289</v>
      </c>
      <c r="CB637" s="340">
        <v>159.22</v>
      </c>
      <c r="CC637" s="340" t="s">
        <v>302</v>
      </c>
      <c r="CE637" s="341" t="str">
        <f t="array" ref="CE637">IFERROR(IF($CE$11="Metro",INDEX($BV$13:$BV$4972,SMALL(IF((County=$BW$13:$BW$4972),MATCH(ROW($BW$13:$BW$4972),ROW($BW$13:$BW$4972)),""),ROWS($A$13:$A695))),INDEX($BY$13:$BY$212,SMALL(IF((County=$BZ$13:$BZ$212),MATCH(ROW($BZ$13:$BZ$212),ROW($BZ$13:$BZ$212)),""),ROWS($A$13:$A695)))),"")</f>
        <v/>
      </c>
      <c r="CL637" s="338">
        <v>19</v>
      </c>
      <c r="CM637" s="338" t="s">
        <v>285</v>
      </c>
      <c r="CR637" s="340">
        <v>59.46</v>
      </c>
      <c r="CS637" s="340" t="s">
        <v>340</v>
      </c>
      <c r="CT637" s="1384"/>
      <c r="CZ637" s="1795">
        <v>136.06</v>
      </c>
      <c r="DA637" s="338" t="s">
        <v>338</v>
      </c>
      <c r="DF637" s="340">
        <v>168.08</v>
      </c>
      <c r="DG637" s="340" t="s">
        <v>302</v>
      </c>
      <c r="DP637" s="236">
        <v>212</v>
      </c>
      <c r="DQ637" s="236" t="s">
        <v>342</v>
      </c>
      <c r="DV637" s="340">
        <v>64.010000000000005</v>
      </c>
      <c r="DW637" s="340" t="s">
        <v>340</v>
      </c>
      <c r="DX637" s="1671"/>
      <c r="EB637" s="618"/>
      <c r="EC637" s="618"/>
      <c r="ED637" s="618"/>
      <c r="EE637" s="618"/>
      <c r="EF637" s="618"/>
      <c r="EG637" s="618"/>
      <c r="EH637" s="618"/>
      <c r="EI637" s="618"/>
      <c r="EJ637" s="618"/>
      <c r="EK637" s="618"/>
      <c r="EL637" s="618"/>
      <c r="EM637" s="618"/>
    </row>
    <row r="638" spans="6:143">
      <c r="F638" s="338">
        <v>31.02</v>
      </c>
      <c r="G638" s="338" t="s">
        <v>340</v>
      </c>
      <c r="L638" s="2481">
        <v>1</v>
      </c>
      <c r="M638" s="340" t="s">
        <v>304</v>
      </c>
      <c r="N638" s="1390"/>
      <c r="O638" s="2479"/>
      <c r="P638" s="2282"/>
      <c r="AA638" s="338">
        <v>304.08</v>
      </c>
      <c r="AB638" s="338" t="s">
        <v>341</v>
      </c>
      <c r="AG638" s="2297">
        <v>64.02</v>
      </c>
      <c r="AH638" s="2297" t="s">
        <v>331</v>
      </c>
      <c r="AI638" s="1390"/>
      <c r="AJ638" s="2282"/>
      <c r="AK638" s="2282"/>
      <c r="AL638" s="1037"/>
      <c r="AR638" s="338">
        <v>19.12</v>
      </c>
      <c r="AS638" s="338" t="s">
        <v>340</v>
      </c>
      <c r="AX638" s="340">
        <v>166.03</v>
      </c>
      <c r="AY638" s="340" t="s">
        <v>302</v>
      </c>
      <c r="BH638" s="338">
        <v>250.17</v>
      </c>
      <c r="BI638" s="338" t="s">
        <v>342</v>
      </c>
      <c r="BN638" s="340">
        <v>59.18</v>
      </c>
      <c r="BO638" s="340" t="s">
        <v>340</v>
      </c>
      <c r="BP638" s="1385"/>
      <c r="BV638" s="338">
        <v>1103.08</v>
      </c>
      <c r="BW638" s="338" t="s">
        <v>289</v>
      </c>
      <c r="CB638" s="340">
        <v>159.24</v>
      </c>
      <c r="CC638" s="340" t="s">
        <v>302</v>
      </c>
      <c r="CE638" s="341" t="str">
        <f t="array" ref="CE638">IFERROR(IF($CE$11="Metro",INDEX($BV$13:$BV$4972,SMALL(IF((County=$BW$13:$BW$4972),MATCH(ROW($BW$13:$BW$4972),ROW($BW$13:$BW$4972)),""),ROWS($A$13:$A696))),INDEX($BY$13:$BY$212,SMALL(IF((County=$BZ$13:$BZ$212),MATCH(ROW($BZ$13:$BZ$212),ROW($BZ$13:$BZ$212)),""),ROWS($A$13:$A696)))),"")</f>
        <v/>
      </c>
      <c r="CL638" s="236">
        <v>19</v>
      </c>
      <c r="CM638" s="236" t="s">
        <v>304</v>
      </c>
      <c r="CR638" s="340">
        <v>59.47</v>
      </c>
      <c r="CS638" s="340" t="s">
        <v>340</v>
      </c>
      <c r="CT638" s="1384"/>
      <c r="CZ638" s="1795">
        <v>142.02000000000001</v>
      </c>
      <c r="DA638" s="338" t="s">
        <v>338</v>
      </c>
      <c r="DF638" s="340">
        <v>168.09</v>
      </c>
      <c r="DG638" s="340" t="s">
        <v>302</v>
      </c>
      <c r="DP638" s="236">
        <v>215.02</v>
      </c>
      <c r="DQ638" s="236" t="s">
        <v>342</v>
      </c>
      <c r="DV638" s="340">
        <v>64.02</v>
      </c>
      <c r="DW638" s="340" t="s">
        <v>331</v>
      </c>
      <c r="DX638" s="1671"/>
      <c r="EB638" s="618"/>
      <c r="EC638" s="618"/>
      <c r="ED638" s="618"/>
      <c r="EE638" s="618"/>
      <c r="EF638" s="618"/>
      <c r="EG638" s="618"/>
      <c r="EH638" s="618"/>
      <c r="EI638" s="618"/>
      <c r="EJ638" s="618"/>
      <c r="EK638" s="618"/>
      <c r="EL638" s="618"/>
      <c r="EM638" s="618"/>
    </row>
    <row r="639" spans="6:143">
      <c r="F639" s="338">
        <v>32.01</v>
      </c>
      <c r="G639" s="338" t="s">
        <v>340</v>
      </c>
      <c r="L639" s="2481">
        <v>3</v>
      </c>
      <c r="M639" s="340" t="s">
        <v>304</v>
      </c>
      <c r="N639" s="1390"/>
      <c r="O639" s="2479"/>
      <c r="P639" s="2282"/>
      <c r="AA639" s="338">
        <v>304.08999999999997</v>
      </c>
      <c r="AB639" s="338" t="s">
        <v>322</v>
      </c>
      <c r="AG639" s="2297">
        <v>64.02</v>
      </c>
      <c r="AH639" s="2297" t="s">
        <v>340</v>
      </c>
      <c r="AI639" s="1390"/>
      <c r="AJ639" s="2282"/>
      <c r="AK639" s="2282"/>
      <c r="AL639" s="1037"/>
      <c r="AR639" s="338">
        <v>21</v>
      </c>
      <c r="AS639" s="338" t="s">
        <v>340</v>
      </c>
      <c r="AX639" s="340">
        <v>166.04</v>
      </c>
      <c r="AY639" s="340" t="s">
        <v>302</v>
      </c>
      <c r="BH639" s="338">
        <v>251.15</v>
      </c>
      <c r="BI639" s="338" t="s">
        <v>342</v>
      </c>
      <c r="BN639" s="340">
        <v>59.21</v>
      </c>
      <c r="BO639" s="340" t="s">
        <v>340</v>
      </c>
      <c r="BP639" s="1385"/>
      <c r="BV639" s="338">
        <v>1103.0899999999999</v>
      </c>
      <c r="BW639" s="338" t="s">
        <v>289</v>
      </c>
      <c r="CB639" s="340">
        <v>159.25</v>
      </c>
      <c r="CC639" s="340" t="s">
        <v>302</v>
      </c>
      <c r="CE639" s="341" t="str">
        <f t="array" ref="CE639">IFERROR(IF($CE$11="Metro",INDEX($BV$13:$BV$4972,SMALL(IF((County=$BW$13:$BW$4972),MATCH(ROW($BW$13:$BW$4972),ROW($BW$13:$BW$4972)),""),ROWS($A$13:$A697))),INDEX($BY$13:$BY$212,SMALL(IF((County=$BZ$13:$BZ$212),MATCH(ROW($BZ$13:$BZ$212),ROW($BZ$13:$BZ$212)),""),ROWS($A$13:$A697)))),"")</f>
        <v/>
      </c>
      <c r="CL639" s="236">
        <v>19</v>
      </c>
      <c r="CM639" s="236" t="s">
        <v>316</v>
      </c>
      <c r="CR639" s="340">
        <v>59.49</v>
      </c>
      <c r="CS639" s="340" t="s">
        <v>340</v>
      </c>
      <c r="CT639" s="1384"/>
      <c r="CZ639" s="1795">
        <v>143.02000000000001</v>
      </c>
      <c r="DA639" s="338" t="s">
        <v>338</v>
      </c>
      <c r="DF639" s="340">
        <v>168.1</v>
      </c>
      <c r="DG639" s="340" t="s">
        <v>302</v>
      </c>
      <c r="DP639" s="236">
        <v>216</v>
      </c>
      <c r="DQ639" s="236" t="s">
        <v>342</v>
      </c>
      <c r="DV639" s="340">
        <v>64.02</v>
      </c>
      <c r="DW639" s="340" t="s">
        <v>340</v>
      </c>
      <c r="DX639" s="1671"/>
      <c r="EB639" s="618"/>
      <c r="EC639" s="618"/>
      <c r="ED639" s="618"/>
      <c r="EE639" s="618"/>
      <c r="EF639" s="618"/>
      <c r="EG639" s="618"/>
      <c r="EH639" s="618"/>
      <c r="EI639" s="618"/>
      <c r="EJ639" s="618"/>
      <c r="EK639" s="618"/>
      <c r="EL639" s="618"/>
      <c r="EM639" s="618"/>
    </row>
    <row r="640" spans="6:143">
      <c r="F640" s="338">
        <v>40.07</v>
      </c>
      <c r="G640" s="338" t="s">
        <v>340</v>
      </c>
      <c r="L640" s="2481">
        <v>5</v>
      </c>
      <c r="M640" s="340" t="s">
        <v>304</v>
      </c>
      <c r="N640" s="1390"/>
      <c r="O640" s="2479"/>
      <c r="P640" s="2282"/>
      <c r="AA640" s="338">
        <v>304.10000000000002</v>
      </c>
      <c r="AB640" s="338" t="s">
        <v>341</v>
      </c>
      <c r="AG640" s="2297">
        <v>65.010000000000005</v>
      </c>
      <c r="AH640" s="2297" t="s">
        <v>316</v>
      </c>
      <c r="AI640" s="1390"/>
      <c r="AJ640" s="2282"/>
      <c r="AK640" s="2282"/>
      <c r="AL640" s="1037"/>
      <c r="AR640" s="338">
        <v>22</v>
      </c>
      <c r="AS640" s="338" t="s">
        <v>340</v>
      </c>
      <c r="AX640" s="340">
        <v>166.05</v>
      </c>
      <c r="AY640" s="340" t="s">
        <v>302</v>
      </c>
      <c r="BH640" s="338">
        <v>253.05</v>
      </c>
      <c r="BI640" s="338" t="s">
        <v>342</v>
      </c>
      <c r="BN640" s="340">
        <v>59.22</v>
      </c>
      <c r="BO640" s="340" t="s">
        <v>340</v>
      </c>
      <c r="BP640" s="1385"/>
      <c r="BV640" s="338">
        <v>1103.1099999999999</v>
      </c>
      <c r="BW640" s="338" t="s">
        <v>289</v>
      </c>
      <c r="CB640" s="340">
        <v>159.26</v>
      </c>
      <c r="CC640" s="340" t="s">
        <v>302</v>
      </c>
      <c r="CE640" s="341" t="str">
        <f t="array" ref="CE640">IFERROR(IF($CE$11="Metro",INDEX($BV$13:$BV$4972,SMALL(IF((County=$BW$13:$BW$4972),MATCH(ROW($BW$13:$BW$4972),ROW($BW$13:$BW$4972)),""),ROWS($A$13:$A698))),INDEX($BY$13:$BY$212,SMALL(IF((County=$BZ$13:$BZ$212),MATCH(ROW($BZ$13:$BZ$212),ROW($BZ$13:$BZ$212)),""),ROWS($A$13:$A698)))),"")</f>
        <v/>
      </c>
      <c r="CL640" s="236">
        <v>19</v>
      </c>
      <c r="CM640" s="236" t="s">
        <v>329</v>
      </c>
      <c r="CR640" s="340">
        <v>59.5</v>
      </c>
      <c r="CS640" s="340" t="s">
        <v>340</v>
      </c>
      <c r="CT640" s="1384"/>
      <c r="CZ640" s="1795">
        <v>145.02000000000001</v>
      </c>
      <c r="DA640" s="338" t="s">
        <v>338</v>
      </c>
      <c r="DF640" s="340">
        <v>168.11</v>
      </c>
      <c r="DG640" s="340" t="s">
        <v>302</v>
      </c>
      <c r="DP640" s="236">
        <v>219.01</v>
      </c>
      <c r="DQ640" s="236" t="s">
        <v>336</v>
      </c>
      <c r="DV640" s="340">
        <v>65.010000000000005</v>
      </c>
      <c r="DW640" s="340" t="s">
        <v>316</v>
      </c>
      <c r="DX640" s="1671"/>
      <c r="EB640" s="618"/>
      <c r="EC640" s="618"/>
      <c r="ED640" s="618"/>
      <c r="EE640" s="618"/>
      <c r="EF640" s="618"/>
      <c r="EG640" s="618"/>
      <c r="EH640" s="618"/>
      <c r="EI640" s="618"/>
      <c r="EJ640" s="618"/>
      <c r="EK640" s="618"/>
      <c r="EL640" s="618"/>
      <c r="EM640" s="618"/>
    </row>
    <row r="641" spans="6:143">
      <c r="F641" s="338">
        <v>40.08</v>
      </c>
      <c r="G641" s="338" t="s">
        <v>340</v>
      </c>
      <c r="L641" s="2481">
        <v>8.01</v>
      </c>
      <c r="M641" s="340" t="s">
        <v>304</v>
      </c>
      <c r="N641" s="1390"/>
      <c r="O641" s="2479"/>
      <c r="P641" s="2282"/>
      <c r="AA641" s="338">
        <v>304.11</v>
      </c>
      <c r="AB641" s="338" t="s">
        <v>322</v>
      </c>
      <c r="AG641" s="2297">
        <v>65.010000000000005</v>
      </c>
      <c r="AH641" s="2297" t="s">
        <v>331</v>
      </c>
      <c r="AI641" s="1390"/>
      <c r="AJ641" s="2282"/>
      <c r="AK641" s="2282"/>
      <c r="AL641" s="1037"/>
      <c r="AR641" s="338">
        <v>24</v>
      </c>
      <c r="AS641" s="338" t="s">
        <v>340</v>
      </c>
      <c r="AX641" s="340">
        <v>167.11</v>
      </c>
      <c r="AY641" s="340" t="s">
        <v>302</v>
      </c>
      <c r="BH641" s="338">
        <v>255.05</v>
      </c>
      <c r="BI641" s="338" t="s">
        <v>342</v>
      </c>
      <c r="BN641" s="340">
        <v>59.3</v>
      </c>
      <c r="BO641" s="340" t="s">
        <v>340</v>
      </c>
      <c r="BP641" s="1385"/>
      <c r="BV641" s="338">
        <v>1103.1199999999999</v>
      </c>
      <c r="BW641" s="338" t="s">
        <v>289</v>
      </c>
      <c r="CB641" s="340">
        <v>159.28</v>
      </c>
      <c r="CC641" s="340" t="s">
        <v>302</v>
      </c>
      <c r="CE641" s="341" t="str">
        <f t="array" ref="CE641">IFERROR(IF($CE$11="Metro",INDEX($BV$13:$BV$4972,SMALL(IF((County=$BW$13:$BW$4972),MATCH(ROW($BW$13:$BW$4972),ROW($BW$13:$BW$4972)),""),ROWS($A$13:$A699))),INDEX($BY$13:$BY$212,SMALL(IF((County=$BZ$13:$BZ$212),MATCH(ROW($BZ$13:$BZ$212),ROW($BZ$13:$BZ$212)),""),ROWS($A$13:$A699)))),"")</f>
        <v/>
      </c>
      <c r="CL641" s="236">
        <v>19.010000000000002</v>
      </c>
      <c r="CM641" s="236" t="s">
        <v>324</v>
      </c>
      <c r="CR641" s="340">
        <v>59.53</v>
      </c>
      <c r="CS641" s="340" t="s">
        <v>340</v>
      </c>
      <c r="CT641" s="1384"/>
      <c r="CZ641" s="1795">
        <v>145.03</v>
      </c>
      <c r="DA641" s="338" t="s">
        <v>338</v>
      </c>
      <c r="DF641" s="340">
        <v>168.12</v>
      </c>
      <c r="DG641" s="340" t="s">
        <v>302</v>
      </c>
      <c r="DP641" s="236">
        <v>220</v>
      </c>
      <c r="DQ641" s="236" t="s">
        <v>342</v>
      </c>
      <c r="DV641" s="340">
        <v>65.010000000000005</v>
      </c>
      <c r="DW641" s="340" t="s">
        <v>331</v>
      </c>
      <c r="DX641" s="1671"/>
      <c r="EB641" s="618"/>
      <c r="EC641" s="618"/>
      <c r="ED641" s="618"/>
      <c r="EE641" s="618"/>
      <c r="EF641" s="618"/>
      <c r="EG641" s="618"/>
      <c r="EH641" s="618"/>
      <c r="EI641" s="618"/>
      <c r="EJ641" s="618"/>
      <c r="EK641" s="618"/>
      <c r="EL641" s="618"/>
      <c r="EM641" s="618"/>
    </row>
    <row r="642" spans="6:143">
      <c r="F642" s="338">
        <v>40.090000000000003</v>
      </c>
      <c r="G642" s="338" t="s">
        <v>340</v>
      </c>
      <c r="L642" s="2481">
        <v>8.02</v>
      </c>
      <c r="M642" s="340" t="s">
        <v>304</v>
      </c>
      <c r="N642" s="1390"/>
      <c r="O642" s="2479"/>
      <c r="P642" s="2282"/>
      <c r="AA642" s="338">
        <v>304.12</v>
      </c>
      <c r="AB642" s="338" t="s">
        <v>341</v>
      </c>
      <c r="AG642" s="2297">
        <v>65.03</v>
      </c>
      <c r="AH642" s="2297" t="s">
        <v>331</v>
      </c>
      <c r="AI642" s="1390"/>
      <c r="AJ642" s="2282"/>
      <c r="AK642" s="2282"/>
      <c r="AL642" s="1037"/>
      <c r="AR642" s="338">
        <v>29</v>
      </c>
      <c r="AS642" s="338" t="s">
        <v>340</v>
      </c>
      <c r="AX642" s="340">
        <v>167.24</v>
      </c>
      <c r="AY642" s="340" t="s">
        <v>302</v>
      </c>
      <c r="BH642" s="338">
        <v>256.02</v>
      </c>
      <c r="BI642" s="338" t="s">
        <v>342</v>
      </c>
      <c r="BN642" s="340">
        <v>59.31</v>
      </c>
      <c r="BO642" s="340" t="s">
        <v>340</v>
      </c>
      <c r="BP642" s="1385"/>
      <c r="BV642" s="338">
        <v>1103.1300000000001</v>
      </c>
      <c r="BW642" s="338" t="s">
        <v>289</v>
      </c>
      <c r="CB642" s="340">
        <v>159.29</v>
      </c>
      <c r="CC642" s="340" t="s">
        <v>302</v>
      </c>
      <c r="CE642" s="341" t="str">
        <f t="array" ref="CE642">IFERROR(IF($CE$11="Metro",INDEX($BV$13:$BV$4972,SMALL(IF((County=$BW$13:$BW$4972),MATCH(ROW($BW$13:$BW$4972),ROW($BW$13:$BW$4972)),""),ROWS($A$13:$A700))),INDEX($BY$13:$BY$212,SMALL(IF((County=$BZ$13:$BZ$212),MATCH(ROW($BZ$13:$BZ$212),ROW($BZ$13:$BZ$212)),""),ROWS($A$13:$A700)))),"")</f>
        <v/>
      </c>
      <c r="CL642" s="236">
        <v>19.010000000000002</v>
      </c>
      <c r="CM642" s="236" t="s">
        <v>331</v>
      </c>
      <c r="CR642" s="340">
        <v>59.54</v>
      </c>
      <c r="CS642" s="340" t="s">
        <v>340</v>
      </c>
      <c r="CT642" s="1384"/>
      <c r="CZ642" s="1795">
        <v>146.01</v>
      </c>
      <c r="DA642" s="338" t="s">
        <v>338</v>
      </c>
      <c r="DF642" s="340">
        <v>168.13</v>
      </c>
      <c r="DG642" s="340" t="s">
        <v>302</v>
      </c>
      <c r="DP642" s="236">
        <v>220.01</v>
      </c>
      <c r="DQ642" s="236" t="s">
        <v>336</v>
      </c>
      <c r="DV642" s="340">
        <v>65.03</v>
      </c>
      <c r="DW642" s="340" t="s">
        <v>316</v>
      </c>
      <c r="DX642" s="1671"/>
      <c r="EB642" s="618"/>
      <c r="EC642" s="618"/>
      <c r="ED642" s="618"/>
      <c r="EE642" s="618"/>
      <c r="EF642" s="618"/>
      <c r="EG642" s="618"/>
      <c r="EH642" s="618"/>
      <c r="EI642" s="618"/>
      <c r="EJ642" s="618"/>
      <c r="EK642" s="618"/>
      <c r="EL642" s="618"/>
      <c r="EM642" s="618"/>
    </row>
    <row r="643" spans="6:143">
      <c r="F643" s="338">
        <v>40.1</v>
      </c>
      <c r="G643" s="338" t="s">
        <v>340</v>
      </c>
      <c r="L643" s="2481">
        <v>9</v>
      </c>
      <c r="M643" s="340" t="s">
        <v>304</v>
      </c>
      <c r="N643" s="1390"/>
      <c r="O643" s="2479"/>
      <c r="P643" s="2282"/>
      <c r="AA643" s="338">
        <v>305</v>
      </c>
      <c r="AB643" s="338" t="s">
        <v>289</v>
      </c>
      <c r="AG643" s="2297">
        <v>65.040000000000006</v>
      </c>
      <c r="AH643" s="2297" t="s">
        <v>316</v>
      </c>
      <c r="AI643" s="1390"/>
      <c r="AJ643" s="2282"/>
      <c r="AK643" s="2282"/>
      <c r="AL643" s="1037"/>
      <c r="AR643" s="338">
        <v>30</v>
      </c>
      <c r="AS643" s="338" t="s">
        <v>340</v>
      </c>
      <c r="AX643" s="340">
        <v>167.25</v>
      </c>
      <c r="AY643" s="340" t="s">
        <v>302</v>
      </c>
      <c r="BH643" s="338">
        <v>258</v>
      </c>
      <c r="BI643" s="338" t="s">
        <v>342</v>
      </c>
      <c r="BN643" s="340">
        <v>59.34</v>
      </c>
      <c r="BO643" s="340" t="s">
        <v>340</v>
      </c>
      <c r="BP643" s="1385"/>
      <c r="BV643" s="338">
        <v>1103.19</v>
      </c>
      <c r="BW643" s="338" t="s">
        <v>289</v>
      </c>
      <c r="CB643" s="340">
        <v>161.01</v>
      </c>
      <c r="CC643" s="340" t="s">
        <v>302</v>
      </c>
      <c r="CE643" s="341" t="str">
        <f t="array" ref="CE643">IFERROR(IF($CE$11="Metro",INDEX($BV$13:$BV$4972,SMALL(IF((County=$BW$13:$BW$4972),MATCH(ROW($BW$13:$BW$4972),ROW($BW$13:$BW$4972)),""),ROWS($A$13:$A701))),INDEX($BY$13:$BY$212,SMALL(IF((County=$BZ$13:$BZ$212),MATCH(ROW($BZ$13:$BZ$212),ROW($BZ$13:$BZ$212)),""),ROWS($A$13:$A701)))),"")</f>
        <v/>
      </c>
      <c r="CL643" s="338">
        <v>19.02</v>
      </c>
      <c r="CM643" s="338" t="s">
        <v>276</v>
      </c>
      <c r="CR643" s="340">
        <v>59.55</v>
      </c>
      <c r="CS643" s="340" t="s">
        <v>340</v>
      </c>
      <c r="CT643" s="1384"/>
      <c r="CZ643" s="1795">
        <v>146.05000000000001</v>
      </c>
      <c r="DA643" s="338" t="s">
        <v>338</v>
      </c>
      <c r="DF643" s="340">
        <v>171.01</v>
      </c>
      <c r="DG643" s="340" t="s">
        <v>302</v>
      </c>
      <c r="DP643" s="236">
        <v>220.01</v>
      </c>
      <c r="DQ643" s="236" t="s">
        <v>348</v>
      </c>
      <c r="DV643" s="340">
        <v>65.03</v>
      </c>
      <c r="DW643" s="340" t="s">
        <v>331</v>
      </c>
      <c r="DX643" s="1671"/>
      <c r="EB643" s="618"/>
      <c r="EC643" s="618"/>
      <c r="ED643" s="618"/>
      <c r="EE643" s="618"/>
      <c r="EF643" s="618"/>
      <c r="EG643" s="618"/>
      <c r="EH643" s="618"/>
      <c r="EI643" s="618"/>
      <c r="EJ643" s="618"/>
      <c r="EK643" s="618"/>
      <c r="EL643" s="618"/>
      <c r="EM643" s="618"/>
    </row>
    <row r="644" spans="6:143">
      <c r="F644" s="338">
        <v>40.11</v>
      </c>
      <c r="G644" s="338" t="s">
        <v>340</v>
      </c>
      <c r="L644" s="2481">
        <v>10.01</v>
      </c>
      <c r="M644" s="340" t="s">
        <v>304</v>
      </c>
      <c r="N644" s="1390"/>
      <c r="O644" s="2479"/>
      <c r="P644" s="2282"/>
      <c r="AA644" s="338">
        <v>305.01</v>
      </c>
      <c r="AB644" s="338" t="s">
        <v>341</v>
      </c>
      <c r="AG644" s="2297">
        <v>65.040000000000006</v>
      </c>
      <c r="AH644" s="2297" t="s">
        <v>331</v>
      </c>
      <c r="AI644" s="1390"/>
      <c r="AJ644" s="2282"/>
      <c r="AK644" s="2282"/>
      <c r="AL644" s="1037"/>
      <c r="AR644" s="338">
        <v>31.02</v>
      </c>
      <c r="AS644" s="338" t="s">
        <v>340</v>
      </c>
      <c r="AX644" s="340">
        <v>167.26</v>
      </c>
      <c r="AY644" s="340" t="s">
        <v>302</v>
      </c>
      <c r="BH644" s="338">
        <v>259.01</v>
      </c>
      <c r="BI644" s="338" t="s">
        <v>342</v>
      </c>
      <c r="BN644" s="340">
        <v>59.37</v>
      </c>
      <c r="BO644" s="340" t="s">
        <v>340</v>
      </c>
      <c r="BP644" s="1385"/>
      <c r="BV644" s="338">
        <v>1103.21</v>
      </c>
      <c r="BW644" s="338" t="s">
        <v>289</v>
      </c>
      <c r="CB644" s="340">
        <v>164</v>
      </c>
      <c r="CC644" s="340" t="s">
        <v>302</v>
      </c>
      <c r="CE644" s="341" t="str">
        <f t="array" ref="CE644">IFERROR(IF($CE$11="Metro",INDEX($BV$13:$BV$4972,SMALL(IF((County=$BW$13:$BW$4972),MATCH(ROW($BW$13:$BW$4972),ROW($BW$13:$BW$4972)),""),ROWS($A$13:$A702))),INDEX($BY$13:$BY$212,SMALL(IF((County=$BZ$13:$BZ$212),MATCH(ROW($BZ$13:$BZ$212),ROW($BZ$13:$BZ$212)),""),ROWS($A$13:$A702)))),"")</f>
        <v/>
      </c>
      <c r="CL644" s="236">
        <v>19.02</v>
      </c>
      <c r="CM644" s="236" t="s">
        <v>324</v>
      </c>
      <c r="CR644" s="340">
        <v>59.58</v>
      </c>
      <c r="CS644" s="340" t="s">
        <v>340</v>
      </c>
      <c r="CT644" s="1384"/>
      <c r="CZ644" s="1795">
        <v>146.06</v>
      </c>
      <c r="DA644" s="338" t="s">
        <v>338</v>
      </c>
      <c r="DF644" s="340">
        <v>171.02</v>
      </c>
      <c r="DG644" s="340" t="s">
        <v>302</v>
      </c>
      <c r="DP644" s="236">
        <v>221.01</v>
      </c>
      <c r="DQ644" s="236" t="s">
        <v>342</v>
      </c>
      <c r="DV644" s="340">
        <v>65.040000000000006</v>
      </c>
      <c r="DW644" s="340" t="s">
        <v>316</v>
      </c>
      <c r="DX644" s="1671"/>
      <c r="EB644" s="618"/>
      <c r="EC644" s="618"/>
      <c r="ED644" s="618"/>
      <c r="EE644" s="618"/>
      <c r="EF644" s="618"/>
      <c r="EG644" s="618"/>
      <c r="EH644" s="618"/>
      <c r="EI644" s="618"/>
      <c r="EJ644" s="618"/>
      <c r="EK644" s="618"/>
      <c r="EL644" s="618"/>
      <c r="EM644" s="618"/>
    </row>
    <row r="645" spans="6:143">
      <c r="F645" s="338">
        <v>40.130000000000003</v>
      </c>
      <c r="G645" s="338" t="s">
        <v>340</v>
      </c>
      <c r="L645" s="2481">
        <v>10.02</v>
      </c>
      <c r="M645" s="340" t="s">
        <v>304</v>
      </c>
      <c r="N645" s="1390"/>
      <c r="O645" s="2479"/>
      <c r="P645" s="2282"/>
      <c r="AA645" s="338">
        <v>305.05</v>
      </c>
      <c r="AB645" s="338" t="s">
        <v>322</v>
      </c>
      <c r="AG645" s="2297">
        <v>66</v>
      </c>
      <c r="AH645" s="2297" t="s">
        <v>316</v>
      </c>
      <c r="AI645" s="1390"/>
      <c r="AJ645" s="2282"/>
      <c r="AK645" s="2282"/>
      <c r="AL645" s="1037"/>
      <c r="AR645" s="338">
        <v>40.07</v>
      </c>
      <c r="AS645" s="338" t="s">
        <v>340</v>
      </c>
      <c r="AX645" s="340">
        <v>167.28</v>
      </c>
      <c r="AY645" s="340" t="s">
        <v>302</v>
      </c>
      <c r="BH645" s="338">
        <v>259.02</v>
      </c>
      <c r="BI645" s="338" t="s">
        <v>342</v>
      </c>
      <c r="BN645" s="340">
        <v>59.38</v>
      </c>
      <c r="BO645" s="340" t="s">
        <v>340</v>
      </c>
      <c r="BP645" s="1385"/>
      <c r="BV645" s="338">
        <v>1103.23</v>
      </c>
      <c r="BW645" s="338" t="s">
        <v>289</v>
      </c>
      <c r="CB645" s="340">
        <v>165</v>
      </c>
      <c r="CC645" s="340" t="s">
        <v>302</v>
      </c>
      <c r="CE645" s="341" t="str">
        <f t="array" ref="CE645">IFERROR(IF($CE$11="Metro",INDEX($BV$13:$BV$4972,SMALL(IF((County=$BW$13:$BW$4972),MATCH(ROW($BW$13:$BW$4972),ROW($BW$13:$BW$4972)),""),ROWS($A$13:$A703))),INDEX($BY$13:$BY$212,SMALL(IF((County=$BZ$13:$BZ$212),MATCH(ROW($BZ$13:$BZ$212),ROW($BZ$13:$BZ$212)),""),ROWS($A$13:$A703)))),"")</f>
        <v/>
      </c>
      <c r="CL645" s="236">
        <v>19.03</v>
      </c>
      <c r="CM645" s="236" t="s">
        <v>323</v>
      </c>
      <c r="CR645" s="340">
        <v>59.6</v>
      </c>
      <c r="CS645" s="340" t="s">
        <v>340</v>
      </c>
      <c r="CT645" s="1384"/>
      <c r="CZ645" s="1795">
        <v>146.08000000000001</v>
      </c>
      <c r="DA645" s="338" t="s">
        <v>338</v>
      </c>
      <c r="DF645" s="340">
        <v>172</v>
      </c>
      <c r="DG645" s="340" t="s">
        <v>302</v>
      </c>
      <c r="DP645" s="236">
        <v>226</v>
      </c>
      <c r="DQ645" s="236" t="s">
        <v>336</v>
      </c>
      <c r="DV645" s="340">
        <v>65.040000000000006</v>
      </c>
      <c r="DW645" s="340" t="s">
        <v>331</v>
      </c>
      <c r="DX645" s="1671"/>
      <c r="EB645" s="618"/>
      <c r="EC645" s="618"/>
      <c r="ED645" s="618"/>
      <c r="EE645" s="618"/>
      <c r="EF645" s="618"/>
      <c r="EG645" s="618"/>
      <c r="EH645" s="618"/>
      <c r="EI645" s="618"/>
      <c r="EJ645" s="618"/>
      <c r="EK645" s="618"/>
      <c r="EL645" s="618"/>
      <c r="EM645" s="618"/>
    </row>
    <row r="646" spans="6:143">
      <c r="F646" s="338">
        <v>44.02</v>
      </c>
      <c r="G646" s="338" t="s">
        <v>340</v>
      </c>
      <c r="L646" s="2481">
        <v>11.01</v>
      </c>
      <c r="M646" s="340" t="s">
        <v>304</v>
      </c>
      <c r="N646" s="1390"/>
      <c r="O646" s="2479"/>
      <c r="P646" s="2282"/>
      <c r="AA646" s="338">
        <v>305.07</v>
      </c>
      <c r="AB646" s="338" t="s">
        <v>322</v>
      </c>
      <c r="AG646" s="2297">
        <v>66.02</v>
      </c>
      <c r="AH646" s="2297" t="s">
        <v>340</v>
      </c>
      <c r="AI646" s="1390"/>
      <c r="AJ646" s="2282"/>
      <c r="AK646" s="2282"/>
      <c r="AL646" s="1037"/>
      <c r="AR646" s="338">
        <v>40.090000000000003</v>
      </c>
      <c r="AS646" s="338" t="s">
        <v>340</v>
      </c>
      <c r="AX646" s="340">
        <v>167.29</v>
      </c>
      <c r="AY646" s="340" t="s">
        <v>302</v>
      </c>
      <c r="BH646" s="338">
        <v>261.01</v>
      </c>
      <c r="BI646" s="338" t="s">
        <v>342</v>
      </c>
      <c r="BN646" s="340">
        <v>59.42</v>
      </c>
      <c r="BO646" s="340" t="s">
        <v>340</v>
      </c>
      <c r="BP646" s="1385"/>
      <c r="BV646" s="338">
        <v>1103.26</v>
      </c>
      <c r="BW646" s="338" t="s">
        <v>289</v>
      </c>
      <c r="CB646" s="340">
        <v>166.03</v>
      </c>
      <c r="CC646" s="340" t="s">
        <v>302</v>
      </c>
      <c r="CE646" s="341" t="str">
        <f t="array" ref="CE646">IFERROR(IF($CE$11="Metro",INDEX($BV$13:$BV$4972,SMALL(IF((County=$BW$13:$BW$4972),MATCH(ROW($BW$13:$BW$4972),ROW($BW$13:$BW$4972)),""),ROWS($A$13:$A704))),INDEX($BY$13:$BY$212,SMALL(IF((County=$BZ$13:$BZ$212),MATCH(ROW($BZ$13:$BZ$212),ROW($BZ$13:$BZ$212)),""),ROWS($A$13:$A704)))),"")</f>
        <v/>
      </c>
      <c r="CL646" s="236">
        <v>19.03</v>
      </c>
      <c r="CM646" s="236" t="s">
        <v>331</v>
      </c>
      <c r="CR646" s="340">
        <v>60</v>
      </c>
      <c r="CS646" s="340" t="s">
        <v>316</v>
      </c>
      <c r="CT646" s="1384"/>
      <c r="CZ646" s="1795">
        <v>146.09</v>
      </c>
      <c r="DA646" s="338" t="s">
        <v>338</v>
      </c>
      <c r="DF646" s="340">
        <v>1</v>
      </c>
      <c r="DG646" s="340" t="s">
        <v>304</v>
      </c>
      <c r="DP646" s="236">
        <v>228</v>
      </c>
      <c r="DQ646" s="236" t="s">
        <v>336</v>
      </c>
      <c r="DV646" s="340">
        <v>66</v>
      </c>
      <c r="DW646" s="340" t="s">
        <v>316</v>
      </c>
      <c r="DX646" s="1671"/>
      <c r="EB646" s="618"/>
      <c r="EC646" s="618"/>
      <c r="ED646" s="618"/>
      <c r="EE646" s="618"/>
      <c r="EF646" s="618"/>
      <c r="EG646" s="618"/>
      <c r="EH646" s="618"/>
      <c r="EI646" s="618"/>
      <c r="EJ646" s="618"/>
      <c r="EK646" s="618"/>
      <c r="EL646" s="618"/>
      <c r="EM646" s="618"/>
    </row>
    <row r="647" spans="6:143">
      <c r="F647" s="338">
        <v>45</v>
      </c>
      <c r="G647" s="338" t="s">
        <v>340</v>
      </c>
      <c r="L647" s="2481">
        <v>11.03</v>
      </c>
      <c r="M647" s="340" t="s">
        <v>304</v>
      </c>
      <c r="N647" s="1390"/>
      <c r="O647" s="2479"/>
      <c r="P647" s="2282"/>
      <c r="AA647" s="338">
        <v>306.01</v>
      </c>
      <c r="AB647" s="338" t="s">
        <v>289</v>
      </c>
      <c r="AG647" s="2297">
        <v>66.03</v>
      </c>
      <c r="AH647" s="2297" t="s">
        <v>331</v>
      </c>
      <c r="AI647" s="1390"/>
      <c r="AJ647" s="2282"/>
      <c r="AK647" s="2282"/>
      <c r="AL647" s="1037"/>
      <c r="AR647" s="338">
        <v>40.130000000000003</v>
      </c>
      <c r="AS647" s="338" t="s">
        <v>340</v>
      </c>
      <c r="AX647" s="340">
        <v>167.3</v>
      </c>
      <c r="AY647" s="340" t="s">
        <v>302</v>
      </c>
      <c r="BH647" s="338">
        <v>262</v>
      </c>
      <c r="BI647" s="338" t="s">
        <v>342</v>
      </c>
      <c r="BN647" s="340">
        <v>59.45</v>
      </c>
      <c r="BO647" s="340" t="s">
        <v>340</v>
      </c>
      <c r="BP647" s="1385"/>
      <c r="BV647" s="338">
        <v>1103.27</v>
      </c>
      <c r="BW647" s="338" t="s">
        <v>289</v>
      </c>
      <c r="CB647" s="340">
        <v>166.04</v>
      </c>
      <c r="CC647" s="340" t="s">
        <v>302</v>
      </c>
      <c r="CE647" s="341" t="str">
        <f t="array" ref="CE647">IFERROR(IF($CE$11="Metro",INDEX($BV$13:$BV$4972,SMALL(IF((County=$BW$13:$BW$4972),MATCH(ROW($BW$13:$BW$4972),ROW($BW$13:$BW$4972)),""),ROWS($A$13:$A705))),INDEX($BY$13:$BY$212,SMALL(IF((County=$BZ$13:$BZ$212),MATCH(ROW($BZ$13:$BZ$212),ROW($BZ$13:$BZ$212)),""),ROWS($A$13:$A705)))),"")</f>
        <v/>
      </c>
      <c r="CL647" s="236">
        <v>19.03</v>
      </c>
      <c r="CM647" s="236" t="s">
        <v>347</v>
      </c>
      <c r="CR647" s="340">
        <v>60.02</v>
      </c>
      <c r="CS647" s="340" t="s">
        <v>331</v>
      </c>
      <c r="CT647" s="1384"/>
      <c r="CZ647" s="1795">
        <v>147.01</v>
      </c>
      <c r="DA647" s="338" t="s">
        <v>338</v>
      </c>
      <c r="DF647" s="340">
        <v>3</v>
      </c>
      <c r="DG647" s="340" t="s">
        <v>304</v>
      </c>
      <c r="DP647" s="236">
        <v>229.02</v>
      </c>
      <c r="DQ647" s="236" t="s">
        <v>342</v>
      </c>
      <c r="DV647" s="340">
        <v>66.02</v>
      </c>
      <c r="DW647" s="340" t="s">
        <v>340</v>
      </c>
      <c r="DX647" s="1671"/>
      <c r="EB647" s="618"/>
      <c r="EC647" s="618"/>
      <c r="ED647" s="618"/>
      <c r="EE647" s="618"/>
      <c r="EF647" s="618"/>
      <c r="EG647" s="618"/>
      <c r="EH647" s="618"/>
      <c r="EI647" s="618"/>
      <c r="EJ647" s="618"/>
      <c r="EK647" s="618"/>
      <c r="EL647" s="618"/>
      <c r="EM647" s="618"/>
    </row>
    <row r="648" spans="6:143">
      <c r="F648" s="338">
        <v>47.04</v>
      </c>
      <c r="G648" s="338" t="s">
        <v>340</v>
      </c>
      <c r="L648" s="2481">
        <v>11.04</v>
      </c>
      <c r="M648" s="340" t="s">
        <v>304</v>
      </c>
      <c r="N648" s="1390"/>
      <c r="O648" s="2479"/>
      <c r="P648" s="2282"/>
      <c r="AA648" s="338">
        <v>306.01</v>
      </c>
      <c r="AB648" s="338" t="s">
        <v>322</v>
      </c>
      <c r="AG648" s="2297">
        <v>66.040000000000006</v>
      </c>
      <c r="AH648" s="2297" t="s">
        <v>331</v>
      </c>
      <c r="AI648" s="1390"/>
      <c r="AJ648" s="2282"/>
      <c r="AK648" s="2282"/>
      <c r="AL648" s="1037"/>
      <c r="AR648" s="338">
        <v>44.02</v>
      </c>
      <c r="AS648" s="338" t="s">
        <v>340</v>
      </c>
      <c r="AX648" s="340">
        <v>167.31</v>
      </c>
      <c r="AY648" s="340" t="s">
        <v>302</v>
      </c>
      <c r="BH648" s="338">
        <v>263</v>
      </c>
      <c r="BI648" s="338" t="s">
        <v>342</v>
      </c>
      <c r="BN648" s="340">
        <v>59.46</v>
      </c>
      <c r="BO648" s="340" t="s">
        <v>340</v>
      </c>
      <c r="BP648" s="1385"/>
      <c r="BV648" s="338">
        <v>1103.28</v>
      </c>
      <c r="BW648" s="338" t="s">
        <v>289</v>
      </c>
      <c r="CB648" s="340">
        <v>166.05</v>
      </c>
      <c r="CC648" s="340" t="s">
        <v>302</v>
      </c>
      <c r="CE648" s="341" t="str">
        <f t="array" ref="CE648">IFERROR(IF($CE$11="Metro",INDEX($BV$13:$BV$4972,SMALL(IF((County=$BW$13:$BW$4972),MATCH(ROW($BW$13:$BW$4972),ROW($BW$13:$BW$4972)),""),ROWS($A$13:$A706))),INDEX($BY$13:$BY$212,SMALL(IF((County=$BZ$13:$BZ$212),MATCH(ROW($BZ$13:$BZ$212),ROW($BZ$13:$BZ$212)),""),ROWS($A$13:$A706)))),"")</f>
        <v/>
      </c>
      <c r="CL648" s="236">
        <v>19.04</v>
      </c>
      <c r="CM648" s="236" t="s">
        <v>328</v>
      </c>
      <c r="CR648" s="340">
        <v>60.03</v>
      </c>
      <c r="CS648" s="340" t="s">
        <v>331</v>
      </c>
      <c r="CT648" s="1384"/>
      <c r="CZ648" s="1795">
        <v>147.02000000000001</v>
      </c>
      <c r="DA648" s="338" t="s">
        <v>338</v>
      </c>
      <c r="DF648" s="340">
        <v>5</v>
      </c>
      <c r="DG648" s="340" t="s">
        <v>304</v>
      </c>
      <c r="DP648" s="236">
        <v>230</v>
      </c>
      <c r="DQ648" s="236" t="s">
        <v>342</v>
      </c>
      <c r="DV648" s="340">
        <v>66.03</v>
      </c>
      <c r="DW648" s="340" t="s">
        <v>331</v>
      </c>
      <c r="DX648" s="1671"/>
      <c r="EB648" s="618"/>
      <c r="EC648" s="618"/>
      <c r="ED648" s="618"/>
      <c r="EE648" s="618"/>
      <c r="EF648" s="618"/>
      <c r="EG648" s="618"/>
      <c r="EH648" s="618"/>
      <c r="EI648" s="618"/>
      <c r="EJ648" s="618"/>
      <c r="EK648" s="618"/>
      <c r="EL648" s="618"/>
      <c r="EM648" s="618"/>
    </row>
    <row r="649" spans="6:143">
      <c r="F649" s="338">
        <v>47.05</v>
      </c>
      <c r="G649" s="338" t="s">
        <v>340</v>
      </c>
      <c r="L649" s="2481">
        <v>12.01</v>
      </c>
      <c r="M649" s="340" t="s">
        <v>304</v>
      </c>
      <c r="N649" s="1390"/>
      <c r="O649" s="2479"/>
      <c r="P649" s="2282"/>
      <c r="AA649" s="338">
        <v>306.02</v>
      </c>
      <c r="AB649" s="338" t="s">
        <v>322</v>
      </c>
      <c r="AG649" s="2297">
        <v>66.05</v>
      </c>
      <c r="AH649" s="2297" t="s">
        <v>331</v>
      </c>
      <c r="AI649" s="1390"/>
      <c r="AJ649" s="2282"/>
      <c r="AK649" s="2282"/>
      <c r="AL649" s="1037"/>
      <c r="AR649" s="338">
        <v>45</v>
      </c>
      <c r="AS649" s="338" t="s">
        <v>340</v>
      </c>
      <c r="AX649" s="340">
        <v>168.01</v>
      </c>
      <c r="AY649" s="340" t="s">
        <v>302</v>
      </c>
      <c r="BH649" s="338">
        <v>264.02</v>
      </c>
      <c r="BI649" s="338" t="s">
        <v>342</v>
      </c>
      <c r="BN649" s="340">
        <v>59.47</v>
      </c>
      <c r="BO649" s="340" t="s">
        <v>340</v>
      </c>
      <c r="BP649" s="1385"/>
      <c r="BV649" s="338">
        <v>1103.3</v>
      </c>
      <c r="BW649" s="338" t="s">
        <v>289</v>
      </c>
      <c r="CB649" s="340">
        <v>167.11</v>
      </c>
      <c r="CC649" s="340" t="s">
        <v>302</v>
      </c>
      <c r="CE649" s="341" t="str">
        <f t="array" ref="CE649">IFERROR(IF($CE$11="Metro",INDEX($BV$13:$BV$4972,SMALL(IF((County=$BW$13:$BW$4972),MATCH(ROW($BW$13:$BW$4972),ROW($BW$13:$BW$4972)),""),ROWS($A$13:$A707))),INDEX($BY$13:$BY$212,SMALL(IF((County=$BZ$13:$BZ$212),MATCH(ROW($BZ$13:$BZ$212),ROW($BZ$13:$BZ$212)),""),ROWS($A$13:$A707)))),"")</f>
        <v/>
      </c>
      <c r="CL649" s="236">
        <v>19.04</v>
      </c>
      <c r="CM649" s="236" t="s">
        <v>331</v>
      </c>
      <c r="CR649" s="340">
        <v>60.04</v>
      </c>
      <c r="CS649" s="340" t="s">
        <v>331</v>
      </c>
      <c r="CT649" s="1384"/>
      <c r="CZ649" s="1795">
        <v>148.12</v>
      </c>
      <c r="DA649" s="338" t="s">
        <v>338</v>
      </c>
      <c r="DF649" s="340">
        <v>8.02</v>
      </c>
      <c r="DG649" s="340" t="s">
        <v>304</v>
      </c>
      <c r="DP649" s="236">
        <v>234</v>
      </c>
      <c r="DQ649" s="236" t="s">
        <v>342</v>
      </c>
      <c r="DV649" s="340">
        <v>66.040000000000006</v>
      </c>
      <c r="DW649" s="340" t="s">
        <v>331</v>
      </c>
      <c r="DX649" s="1671"/>
      <c r="EB649" s="618"/>
      <c r="EC649" s="618"/>
      <c r="ED649" s="618"/>
      <c r="EE649" s="618"/>
      <c r="EF649" s="618"/>
      <c r="EG649" s="618"/>
      <c r="EH649" s="618"/>
      <c r="EI649" s="618"/>
      <c r="EJ649" s="618"/>
      <c r="EK649" s="618"/>
      <c r="EL649" s="618"/>
      <c r="EM649" s="618"/>
    </row>
    <row r="650" spans="6:143">
      <c r="F650" s="338">
        <v>47.06</v>
      </c>
      <c r="G650" s="338" t="s">
        <v>340</v>
      </c>
      <c r="L650" s="2481">
        <v>14.01</v>
      </c>
      <c r="M650" s="340" t="s">
        <v>304</v>
      </c>
      <c r="N650" s="1390"/>
      <c r="O650" s="2479"/>
      <c r="P650" s="2282"/>
      <c r="AA650" s="338">
        <v>306.02</v>
      </c>
      <c r="AB650" s="338" t="s">
        <v>341</v>
      </c>
      <c r="AG650" s="2297">
        <v>66.06</v>
      </c>
      <c r="AH650" s="2297" t="s">
        <v>340</v>
      </c>
      <c r="AI650" s="1390"/>
      <c r="AJ650" s="2282"/>
      <c r="AK650" s="2282"/>
      <c r="AL650" s="1037"/>
      <c r="AR650" s="338">
        <v>46.02</v>
      </c>
      <c r="AS650" s="338" t="s">
        <v>340</v>
      </c>
      <c r="AX650" s="340">
        <v>168.03</v>
      </c>
      <c r="AY650" s="340" t="s">
        <v>302</v>
      </c>
      <c r="BH650" s="338">
        <v>269.08999999999997</v>
      </c>
      <c r="BI650" s="338" t="s">
        <v>342</v>
      </c>
      <c r="BN650" s="340">
        <v>59.49</v>
      </c>
      <c r="BO650" s="340" t="s">
        <v>340</v>
      </c>
      <c r="BP650" s="1385"/>
      <c r="BV650" s="338">
        <v>1103.32</v>
      </c>
      <c r="BW650" s="338" t="s">
        <v>289</v>
      </c>
      <c r="CB650" s="340">
        <v>167.24</v>
      </c>
      <c r="CC650" s="340" t="s">
        <v>302</v>
      </c>
      <c r="CE650" s="341" t="str">
        <f t="array" ref="CE650">IFERROR(IF($CE$11="Metro",INDEX($BV$13:$BV$4972,SMALL(IF((County=$BW$13:$BW$4972),MATCH(ROW($BW$13:$BW$4972),ROW($BW$13:$BW$4972)),""),ROWS($A$13:$A708))),INDEX($BY$13:$BY$212,SMALL(IF((County=$BZ$13:$BZ$212),MATCH(ROW($BZ$13:$BZ$212),ROW($BZ$13:$BZ$212)),""),ROWS($A$13:$A708)))),"")</f>
        <v/>
      </c>
      <c r="CL650" s="236">
        <v>19.04</v>
      </c>
      <c r="CM650" s="236" t="s">
        <v>340</v>
      </c>
      <c r="CR650" s="340">
        <v>60.05</v>
      </c>
      <c r="CS650" s="340" t="s">
        <v>340</v>
      </c>
      <c r="CT650" s="1384"/>
      <c r="CZ650" s="1795">
        <v>149.04</v>
      </c>
      <c r="DA650" s="338" t="s">
        <v>338</v>
      </c>
      <c r="DF650" s="340">
        <v>9</v>
      </c>
      <c r="DG650" s="340" t="s">
        <v>304</v>
      </c>
      <c r="DP650" s="236">
        <v>239</v>
      </c>
      <c r="DQ650" s="236" t="s">
        <v>342</v>
      </c>
      <c r="DV650" s="340">
        <v>66.05</v>
      </c>
      <c r="DW650" s="340" t="s">
        <v>331</v>
      </c>
      <c r="DX650" s="1671"/>
      <c r="EB650" s="618"/>
      <c r="EC650" s="618"/>
      <c r="ED650" s="618"/>
      <c r="EE650" s="618"/>
      <c r="EF650" s="618"/>
      <c r="EG650" s="618"/>
      <c r="EH650" s="618"/>
      <c r="EI650" s="618"/>
      <c r="EJ650" s="618"/>
      <c r="EK650" s="618"/>
      <c r="EL650" s="618"/>
      <c r="EM650" s="618"/>
    </row>
    <row r="651" spans="6:143">
      <c r="F651" s="338">
        <v>48.17</v>
      </c>
      <c r="G651" s="338" t="s">
        <v>340</v>
      </c>
      <c r="L651" s="2481">
        <v>23</v>
      </c>
      <c r="M651" s="340" t="s">
        <v>304</v>
      </c>
      <c r="N651" s="1390"/>
      <c r="O651" s="2479"/>
      <c r="P651" s="2282"/>
      <c r="AA651" s="338">
        <v>307</v>
      </c>
      <c r="AB651" s="338" t="s">
        <v>341</v>
      </c>
      <c r="AG651" s="2297">
        <v>66.069999999999993</v>
      </c>
      <c r="AH651" s="2297" t="s">
        <v>340</v>
      </c>
      <c r="AI651" s="1390"/>
      <c r="AJ651" s="2282"/>
      <c r="AK651" s="2282"/>
      <c r="AL651" s="1037"/>
      <c r="AR651" s="338">
        <v>47.04</v>
      </c>
      <c r="AS651" s="338" t="s">
        <v>340</v>
      </c>
      <c r="AX651" s="340">
        <v>168.04</v>
      </c>
      <c r="AY651" s="340" t="s">
        <v>302</v>
      </c>
      <c r="BH651" s="338">
        <v>271.07</v>
      </c>
      <c r="BI651" s="338" t="s">
        <v>342</v>
      </c>
      <c r="BN651" s="340">
        <v>59.5</v>
      </c>
      <c r="BO651" s="340" t="s">
        <v>340</v>
      </c>
      <c r="BP651" s="1385"/>
      <c r="BV651" s="338">
        <v>1103.33</v>
      </c>
      <c r="BW651" s="338" t="s">
        <v>289</v>
      </c>
      <c r="CB651" s="340">
        <v>167.25</v>
      </c>
      <c r="CC651" s="340" t="s">
        <v>302</v>
      </c>
      <c r="CE651" s="341" t="str">
        <f t="array" ref="CE651">IFERROR(IF($CE$11="Metro",INDEX($BV$13:$BV$4972,SMALL(IF((County=$BW$13:$BW$4972),MATCH(ROW($BW$13:$BW$4972),ROW($BW$13:$BW$4972)),""),ROWS($A$13:$A709))),INDEX($BY$13:$BY$212,SMALL(IF((County=$BZ$13:$BZ$212),MATCH(ROW($BZ$13:$BZ$212),ROW($BZ$13:$BZ$212)),""),ROWS($A$13:$A709)))),"")</f>
        <v/>
      </c>
      <c r="CL651" s="236">
        <v>19.04</v>
      </c>
      <c r="CM651" s="236" t="s">
        <v>347</v>
      </c>
      <c r="CR651" s="340">
        <v>60.08</v>
      </c>
      <c r="CS651" s="340" t="s">
        <v>340</v>
      </c>
      <c r="CT651" s="1384"/>
      <c r="CZ651" s="1795">
        <v>149.08000000000001</v>
      </c>
      <c r="DA651" s="338" t="s">
        <v>338</v>
      </c>
      <c r="DF651" s="340">
        <v>10.01</v>
      </c>
      <c r="DG651" s="340" t="s">
        <v>304</v>
      </c>
      <c r="DP651" s="236">
        <v>245.1</v>
      </c>
      <c r="DQ651" s="236" t="s">
        <v>342</v>
      </c>
      <c r="DV651" s="340">
        <v>66.069999999999993</v>
      </c>
      <c r="DW651" s="340" t="s">
        <v>331</v>
      </c>
      <c r="DX651" s="1671"/>
      <c r="EB651" s="618"/>
      <c r="EC651" s="618"/>
      <c r="ED651" s="618"/>
      <c r="EE651" s="618"/>
      <c r="EF651" s="618"/>
      <c r="EG651" s="618"/>
      <c r="EH651" s="618"/>
      <c r="EI651" s="618"/>
      <c r="EJ651" s="618"/>
      <c r="EK651" s="618"/>
      <c r="EL651" s="618"/>
      <c r="EM651" s="618"/>
    </row>
    <row r="652" spans="6:143">
      <c r="F652" s="338">
        <v>48.19</v>
      </c>
      <c r="G652" s="338" t="s">
        <v>340</v>
      </c>
      <c r="L652" s="2481">
        <v>24</v>
      </c>
      <c r="M652" s="340" t="s">
        <v>304</v>
      </c>
      <c r="N652" s="1390"/>
      <c r="O652" s="2479"/>
      <c r="P652" s="2282"/>
      <c r="AA652" s="338">
        <v>307.02999999999997</v>
      </c>
      <c r="AB652" s="338" t="s">
        <v>289</v>
      </c>
      <c r="AG652" s="2297">
        <v>66.08</v>
      </c>
      <c r="AH652" s="2297" t="s">
        <v>331</v>
      </c>
      <c r="AI652" s="1390"/>
      <c r="AJ652" s="2282"/>
      <c r="AK652" s="2282"/>
      <c r="AL652" s="1037"/>
      <c r="AR652" s="338">
        <v>49.03</v>
      </c>
      <c r="AS652" s="338" t="s">
        <v>340</v>
      </c>
      <c r="AX652" s="340">
        <v>168.07</v>
      </c>
      <c r="AY652" s="340" t="s">
        <v>302</v>
      </c>
      <c r="BH652" s="338">
        <v>271.08</v>
      </c>
      <c r="BI652" s="338" t="s">
        <v>342</v>
      </c>
      <c r="BN652" s="340">
        <v>59.53</v>
      </c>
      <c r="BO652" s="340" t="s">
        <v>340</v>
      </c>
      <c r="BP652" s="1385"/>
      <c r="BV652" s="338">
        <v>1103.3399999999999</v>
      </c>
      <c r="BW652" s="338" t="s">
        <v>289</v>
      </c>
      <c r="CB652" s="340">
        <v>167.26</v>
      </c>
      <c r="CC652" s="340" t="s">
        <v>302</v>
      </c>
      <c r="CE652" s="341" t="str">
        <f t="array" ref="CE652">IFERROR(IF($CE$11="Metro",INDEX($BV$13:$BV$4972,SMALL(IF((County=$BW$13:$BW$4972),MATCH(ROW($BW$13:$BW$4972),ROW($BW$13:$BW$4972)),""),ROWS($A$13:$A710))),INDEX($BY$13:$BY$212,SMALL(IF((County=$BZ$13:$BZ$212),MATCH(ROW($BZ$13:$BZ$212),ROW($BZ$13:$BZ$212)),""),ROWS($A$13:$A710)))),"")</f>
        <v/>
      </c>
      <c r="CL652" s="236">
        <v>19.05</v>
      </c>
      <c r="CM652" s="236" t="s">
        <v>347</v>
      </c>
      <c r="CR652" s="340">
        <v>60.1</v>
      </c>
      <c r="CS652" s="340" t="s">
        <v>340</v>
      </c>
      <c r="CT652" s="1384"/>
      <c r="CZ652" s="1795">
        <v>150.01</v>
      </c>
      <c r="DA652" s="338" t="s">
        <v>338</v>
      </c>
      <c r="DF652" s="340">
        <v>10.02</v>
      </c>
      <c r="DG652" s="340" t="s">
        <v>304</v>
      </c>
      <c r="DP652" s="236">
        <v>246.03</v>
      </c>
      <c r="DQ652" s="236" t="s">
        <v>342</v>
      </c>
      <c r="DV652" s="340">
        <v>66.069999999999993</v>
      </c>
      <c r="DW652" s="340" t="s">
        <v>340</v>
      </c>
      <c r="DX652" s="1671"/>
      <c r="EB652" s="618"/>
      <c r="EC652" s="618"/>
      <c r="ED652" s="618"/>
      <c r="EE652" s="618"/>
      <c r="EF652" s="618"/>
      <c r="EG652" s="618"/>
      <c r="EH652" s="618"/>
      <c r="EI652" s="618"/>
      <c r="EJ652" s="618"/>
      <c r="EK652" s="618"/>
      <c r="EL652" s="618"/>
      <c r="EM652" s="618"/>
    </row>
    <row r="653" spans="6:143">
      <c r="F653" s="338">
        <v>49.03</v>
      </c>
      <c r="G653" s="338" t="s">
        <v>340</v>
      </c>
      <c r="L653" s="2481">
        <v>25</v>
      </c>
      <c r="M653" s="340" t="s">
        <v>304</v>
      </c>
      <c r="N653" s="1390"/>
      <c r="O653" s="2479"/>
      <c r="P653" s="2282"/>
      <c r="AA653" s="338">
        <v>308</v>
      </c>
      <c r="AB653" s="338" t="s">
        <v>341</v>
      </c>
      <c r="AG653" s="2297">
        <v>67</v>
      </c>
      <c r="AH653" s="2297" t="s">
        <v>316</v>
      </c>
      <c r="AI653" s="1390"/>
      <c r="AJ653" s="2282"/>
      <c r="AK653" s="2282"/>
      <c r="AL653" s="1037"/>
      <c r="AR653" s="338">
        <v>51.01</v>
      </c>
      <c r="AS653" s="338" t="s">
        <v>340</v>
      </c>
      <c r="AX653" s="340">
        <v>168.09</v>
      </c>
      <c r="AY653" s="340" t="s">
        <v>302</v>
      </c>
      <c r="BH653" s="338">
        <v>287</v>
      </c>
      <c r="BI653" s="338" t="s">
        <v>342</v>
      </c>
      <c r="BN653" s="340">
        <v>59.54</v>
      </c>
      <c r="BO653" s="340" t="s">
        <v>340</v>
      </c>
      <c r="BP653" s="1385"/>
      <c r="BV653" s="338">
        <v>1103.3699999999999</v>
      </c>
      <c r="BW653" s="338" t="s">
        <v>289</v>
      </c>
      <c r="CB653" s="340">
        <v>167.28</v>
      </c>
      <c r="CC653" s="340" t="s">
        <v>302</v>
      </c>
      <c r="CE653" s="341" t="str">
        <f t="array" ref="CE653">IFERROR(IF($CE$11="Metro",INDEX($BV$13:$BV$4972,SMALL(IF((County=$BW$13:$BW$4972),MATCH(ROW($BW$13:$BW$4972),ROW($BW$13:$BW$4972)),""),ROWS($A$13:$A711))),INDEX($BY$13:$BY$212,SMALL(IF((County=$BZ$13:$BZ$212),MATCH(ROW($BZ$13:$BZ$212),ROW($BZ$13:$BZ$212)),""),ROWS($A$13:$A711)))),"")</f>
        <v/>
      </c>
      <c r="CL653" s="338">
        <v>19.07</v>
      </c>
      <c r="CM653" s="338" t="s">
        <v>276</v>
      </c>
      <c r="CR653" s="340">
        <v>61.01</v>
      </c>
      <c r="CS653" s="340" t="s">
        <v>316</v>
      </c>
      <c r="CT653" s="1384"/>
      <c r="CZ653" s="1795">
        <v>151.06</v>
      </c>
      <c r="DA653" s="338" t="s">
        <v>338</v>
      </c>
      <c r="DF653" s="340">
        <v>11.01</v>
      </c>
      <c r="DG653" s="340" t="s">
        <v>304</v>
      </c>
      <c r="DP653" s="236">
        <v>246.04</v>
      </c>
      <c r="DQ653" s="236" t="s">
        <v>342</v>
      </c>
      <c r="DV653" s="340">
        <v>66.08</v>
      </c>
      <c r="DW653" s="340" t="s">
        <v>331</v>
      </c>
      <c r="DX653" s="1671"/>
      <c r="EB653" s="618"/>
      <c r="EC653" s="618"/>
      <c r="ED653" s="618"/>
      <c r="EE653" s="618"/>
      <c r="EF653" s="618"/>
      <c r="EG653" s="618"/>
      <c r="EH653" s="618"/>
      <c r="EI653" s="618"/>
      <c r="EJ653" s="618"/>
      <c r="EK653" s="618"/>
      <c r="EL653" s="618"/>
      <c r="EM653" s="618"/>
    </row>
    <row r="654" spans="6:143">
      <c r="F654" s="338">
        <v>51.01</v>
      </c>
      <c r="G654" s="338" t="s">
        <v>340</v>
      </c>
      <c r="L654" s="2481">
        <v>26.01</v>
      </c>
      <c r="M654" s="340" t="s">
        <v>304</v>
      </c>
      <c r="N654" s="1390"/>
      <c r="O654" s="2479"/>
      <c r="P654" s="2282"/>
      <c r="AA654" s="338">
        <v>308.02999999999997</v>
      </c>
      <c r="AB654" s="338" t="s">
        <v>289</v>
      </c>
      <c r="AG654" s="2297">
        <v>67.05</v>
      </c>
      <c r="AH654" s="2297" t="s">
        <v>331</v>
      </c>
      <c r="AI654" s="1390"/>
      <c r="AJ654" s="2282"/>
      <c r="AK654" s="2282"/>
      <c r="AL654" s="1037"/>
      <c r="AR654" s="338">
        <v>51.02</v>
      </c>
      <c r="AS654" s="338" t="s">
        <v>340</v>
      </c>
      <c r="AX654" s="340">
        <v>168.1</v>
      </c>
      <c r="AY654" s="340" t="s">
        <v>302</v>
      </c>
      <c r="BH654" s="338">
        <v>301.06</v>
      </c>
      <c r="BI654" s="338" t="s">
        <v>322</v>
      </c>
      <c r="BN654" s="340">
        <v>59.55</v>
      </c>
      <c r="BO654" s="340" t="s">
        <v>340</v>
      </c>
      <c r="BP654" s="1385"/>
      <c r="BV654" s="338">
        <v>1103.3800000000001</v>
      </c>
      <c r="BW654" s="338" t="s">
        <v>289</v>
      </c>
      <c r="CB654" s="340">
        <v>167.29</v>
      </c>
      <c r="CC654" s="340" t="s">
        <v>302</v>
      </c>
      <c r="CE654" s="341" t="str">
        <f t="array" ref="CE654">IFERROR(IF($CE$11="Metro",INDEX($BV$13:$BV$4972,SMALL(IF((County=$BW$13:$BW$4972),MATCH(ROW($BW$13:$BW$4972),ROW($BW$13:$BW$4972)),""),ROWS($A$13:$A712))),INDEX($BY$13:$BY$212,SMALL(IF((County=$BZ$13:$BZ$212),MATCH(ROW($BZ$13:$BZ$212),ROW($BZ$13:$BZ$212)),""),ROWS($A$13:$A712)))),"")</f>
        <v/>
      </c>
      <c r="CL654" s="236">
        <v>19.07</v>
      </c>
      <c r="CM654" s="236" t="s">
        <v>328</v>
      </c>
      <c r="CR654" s="340">
        <v>61.03</v>
      </c>
      <c r="CS654" s="340" t="s">
        <v>316</v>
      </c>
      <c r="CT654" s="1384"/>
      <c r="CZ654" s="1795">
        <v>152.02000000000001</v>
      </c>
      <c r="DA654" s="338" t="s">
        <v>338</v>
      </c>
      <c r="DF654" s="340">
        <v>11.03</v>
      </c>
      <c r="DG654" s="340" t="s">
        <v>304</v>
      </c>
      <c r="DP654" s="236">
        <v>247.01</v>
      </c>
      <c r="DQ654" s="236" t="s">
        <v>342</v>
      </c>
      <c r="DV654" s="340">
        <v>67</v>
      </c>
      <c r="DW654" s="340" t="s">
        <v>316</v>
      </c>
      <c r="DX654" s="1671"/>
      <c r="EB654" s="618"/>
      <c r="EC654" s="618"/>
      <c r="ED654" s="618"/>
      <c r="EE654" s="618"/>
      <c r="EF654" s="618"/>
      <c r="EG654" s="618"/>
      <c r="EH654" s="618"/>
      <c r="EI654" s="618"/>
      <c r="EJ654" s="618"/>
      <c r="EK654" s="618"/>
      <c r="EL654" s="618"/>
      <c r="EM654" s="618"/>
    </row>
    <row r="655" spans="6:143">
      <c r="F655" s="338">
        <v>51.02</v>
      </c>
      <c r="G655" s="338" t="s">
        <v>340</v>
      </c>
      <c r="L655" s="2481">
        <v>26.02</v>
      </c>
      <c r="M655" s="340" t="s">
        <v>304</v>
      </c>
      <c r="N655" s="1390"/>
      <c r="O655" s="2479"/>
      <c r="P655" s="2282"/>
      <c r="AA655" s="338">
        <v>308.04000000000002</v>
      </c>
      <c r="AB655" s="338" t="s">
        <v>289</v>
      </c>
      <c r="AG655" s="2297">
        <v>67.06</v>
      </c>
      <c r="AH655" s="2297" t="s">
        <v>331</v>
      </c>
      <c r="AI655" s="1390"/>
      <c r="AJ655" s="2282"/>
      <c r="AK655" s="2282"/>
      <c r="AL655" s="1037"/>
      <c r="AR655" s="338">
        <v>52.02</v>
      </c>
      <c r="AS655" s="338" t="s">
        <v>340</v>
      </c>
      <c r="AX655" s="340">
        <v>168.11</v>
      </c>
      <c r="AY655" s="340" t="s">
        <v>302</v>
      </c>
      <c r="BH655" s="338">
        <v>302.02</v>
      </c>
      <c r="BI655" s="338" t="s">
        <v>289</v>
      </c>
      <c r="BN655" s="340">
        <v>59.58</v>
      </c>
      <c r="BO655" s="340" t="s">
        <v>340</v>
      </c>
      <c r="BP655" s="1385"/>
      <c r="BV655" s="338">
        <v>1103.3900000000001</v>
      </c>
      <c r="BW655" s="338" t="s">
        <v>289</v>
      </c>
      <c r="CB655" s="340">
        <v>167.3</v>
      </c>
      <c r="CC655" s="340" t="s">
        <v>302</v>
      </c>
      <c r="CE655" s="341" t="str">
        <f t="array" ref="CE655">IFERROR(IF($CE$11="Metro",INDEX($BV$13:$BV$4972,SMALL(IF((County=$BW$13:$BW$4972),MATCH(ROW($BW$13:$BW$4972),ROW($BW$13:$BW$4972)),""),ROWS($A$13:$A713))),INDEX($BY$13:$BY$212,SMALL(IF((County=$BZ$13:$BZ$212),MATCH(ROW($BZ$13:$BZ$212),ROW($BZ$13:$BZ$212)),""),ROWS($A$13:$A713)))),"")</f>
        <v/>
      </c>
      <c r="CL655" s="236">
        <v>19.07</v>
      </c>
      <c r="CM655" s="236" t="s">
        <v>340</v>
      </c>
      <c r="CR655" s="340">
        <v>61.03</v>
      </c>
      <c r="CS655" s="340" t="s">
        <v>331</v>
      </c>
      <c r="CT655" s="1384"/>
      <c r="CZ655" s="1795">
        <v>163.02000000000001</v>
      </c>
      <c r="DA655" s="338" t="s">
        <v>338</v>
      </c>
      <c r="DF655" s="340">
        <v>11.04</v>
      </c>
      <c r="DG655" s="340" t="s">
        <v>304</v>
      </c>
      <c r="DP655" s="236">
        <v>247.03</v>
      </c>
      <c r="DQ655" s="236" t="s">
        <v>342</v>
      </c>
      <c r="DV655" s="340">
        <v>67.05</v>
      </c>
      <c r="DW655" s="340" t="s">
        <v>331</v>
      </c>
      <c r="DX655" s="1671"/>
      <c r="EB655" s="618"/>
      <c r="EC655" s="618"/>
      <c r="ED655" s="618"/>
      <c r="EE655" s="618"/>
      <c r="EF655" s="618"/>
      <c r="EG655" s="618"/>
      <c r="EH655" s="618"/>
      <c r="EI655" s="618"/>
      <c r="EJ655" s="618"/>
      <c r="EK655" s="618"/>
      <c r="EL655" s="618"/>
      <c r="EM655" s="618"/>
    </row>
    <row r="656" spans="6:143">
      <c r="F656" s="338">
        <v>52.02</v>
      </c>
      <c r="G656" s="338" t="s">
        <v>340</v>
      </c>
      <c r="L656" s="2481">
        <v>26.04</v>
      </c>
      <c r="M656" s="340" t="s">
        <v>304</v>
      </c>
      <c r="N656" s="1390"/>
      <c r="O656" s="2479"/>
      <c r="P656" s="2282"/>
      <c r="AA656" s="338">
        <v>308.04000000000002</v>
      </c>
      <c r="AB656" s="338" t="s">
        <v>322</v>
      </c>
      <c r="AG656" s="2297">
        <v>67.069999999999993</v>
      </c>
      <c r="AH656" s="2297" t="s">
        <v>331</v>
      </c>
      <c r="AI656" s="1390"/>
      <c r="AJ656" s="2282"/>
      <c r="AK656" s="2282"/>
      <c r="AL656" s="1037"/>
      <c r="AR656" s="338">
        <v>57.03</v>
      </c>
      <c r="AS656" s="338" t="s">
        <v>340</v>
      </c>
      <c r="AX656" s="340">
        <v>168.12</v>
      </c>
      <c r="AY656" s="340" t="s">
        <v>302</v>
      </c>
      <c r="BH656" s="338">
        <v>302.04000000000002</v>
      </c>
      <c r="BI656" s="338" t="s">
        <v>341</v>
      </c>
      <c r="BN656" s="340">
        <v>59.6</v>
      </c>
      <c r="BO656" s="340" t="s">
        <v>340</v>
      </c>
      <c r="BP656" s="1385"/>
      <c r="BV656" s="338">
        <v>1103.4100000000001</v>
      </c>
      <c r="BW656" s="338" t="s">
        <v>289</v>
      </c>
      <c r="CB656" s="340">
        <v>167.31</v>
      </c>
      <c r="CC656" s="340" t="s">
        <v>302</v>
      </c>
      <c r="CE656" s="341" t="str">
        <f t="array" ref="CE656">IFERROR(IF($CE$11="Metro",INDEX($BV$13:$BV$4972,SMALL(IF((County=$BW$13:$BW$4972),MATCH(ROW($BW$13:$BW$4972),ROW($BW$13:$BW$4972)),""),ROWS($A$13:$A714))),INDEX($BY$13:$BY$212,SMALL(IF((County=$BZ$13:$BZ$212),MATCH(ROW($BZ$13:$BZ$212),ROW($BZ$13:$BZ$212)),""),ROWS($A$13:$A714)))),"")</f>
        <v/>
      </c>
      <c r="CL656" s="338">
        <v>19.079999999999998</v>
      </c>
      <c r="CM656" s="338" t="s">
        <v>276</v>
      </c>
      <c r="CR656" s="340">
        <v>61.04</v>
      </c>
      <c r="CS656" s="340" t="s">
        <v>331</v>
      </c>
      <c r="CT656" s="1384"/>
      <c r="CZ656" s="1795">
        <v>165.03</v>
      </c>
      <c r="DA656" s="338" t="s">
        <v>338</v>
      </c>
      <c r="DF656" s="340">
        <v>12.01</v>
      </c>
      <c r="DG656" s="340" t="s">
        <v>304</v>
      </c>
      <c r="DP656" s="236">
        <v>248.03</v>
      </c>
      <c r="DQ656" s="236" t="s">
        <v>342</v>
      </c>
      <c r="DV656" s="340">
        <v>67.06</v>
      </c>
      <c r="DW656" s="340" t="s">
        <v>331</v>
      </c>
      <c r="DX656" s="1671"/>
      <c r="EB656" s="618"/>
      <c r="EC656" s="618"/>
      <c r="ED656" s="618"/>
      <c r="EE656" s="618"/>
      <c r="EF656" s="618"/>
      <c r="EG656" s="618"/>
      <c r="EH656" s="618"/>
      <c r="EI656" s="618"/>
      <c r="EJ656" s="618"/>
      <c r="EK656" s="618"/>
      <c r="EL656" s="618"/>
      <c r="EM656" s="618"/>
    </row>
    <row r="657" spans="6:143">
      <c r="F657" s="338">
        <v>58.1</v>
      </c>
      <c r="G657" s="338" t="s">
        <v>340</v>
      </c>
      <c r="L657" s="2481">
        <v>26.05</v>
      </c>
      <c r="M657" s="340" t="s">
        <v>304</v>
      </c>
      <c r="N657" s="1390"/>
      <c r="O657" s="2479"/>
      <c r="P657" s="2282"/>
      <c r="AA657" s="338">
        <v>308.07</v>
      </c>
      <c r="AB657" s="338" t="s">
        <v>322</v>
      </c>
      <c r="AG657" s="2297">
        <v>67.09</v>
      </c>
      <c r="AH657" s="2297" t="s">
        <v>331</v>
      </c>
      <c r="AI657" s="1390"/>
      <c r="AJ657" s="2282"/>
      <c r="AK657" s="2282"/>
      <c r="AL657" s="1037"/>
      <c r="AR657" s="338">
        <v>57.04</v>
      </c>
      <c r="AS657" s="338" t="s">
        <v>340</v>
      </c>
      <c r="AX657" s="340">
        <v>168.13</v>
      </c>
      <c r="AY657" s="340" t="s">
        <v>302</v>
      </c>
      <c r="BH657" s="338">
        <v>302.06</v>
      </c>
      <c r="BI657" s="338" t="s">
        <v>322</v>
      </c>
      <c r="BN657" s="340">
        <v>60</v>
      </c>
      <c r="BO657" s="340" t="s">
        <v>316</v>
      </c>
      <c r="BP657" s="1385"/>
      <c r="BV657" s="338">
        <v>1103.44</v>
      </c>
      <c r="BW657" s="338" t="s">
        <v>289</v>
      </c>
      <c r="CB657" s="340">
        <v>168.01</v>
      </c>
      <c r="CC657" s="340" t="s">
        <v>302</v>
      </c>
      <c r="CE657" s="341" t="str">
        <f t="array" ref="CE657">IFERROR(IF($CE$11="Metro",INDEX($BV$13:$BV$4972,SMALL(IF((County=$BW$13:$BW$4972),MATCH(ROW($BW$13:$BW$4972),ROW($BW$13:$BW$4972)),""),ROWS($A$13:$A715))),INDEX($BY$13:$BY$212,SMALL(IF((County=$BZ$13:$BZ$212),MATCH(ROW($BZ$13:$BZ$212),ROW($BZ$13:$BZ$212)),""),ROWS($A$13:$A715)))),"")</f>
        <v/>
      </c>
      <c r="CL657" s="236">
        <v>19.079999999999998</v>
      </c>
      <c r="CM657" s="236" t="s">
        <v>323</v>
      </c>
      <c r="CR657" s="340">
        <v>61.05</v>
      </c>
      <c r="CS657" s="340" t="s">
        <v>331</v>
      </c>
      <c r="CT657" s="1384"/>
      <c r="CZ657" s="1795">
        <v>165.1</v>
      </c>
      <c r="DA657" s="338" t="s">
        <v>338</v>
      </c>
      <c r="DF657" s="340">
        <v>14.01</v>
      </c>
      <c r="DG657" s="340" t="s">
        <v>304</v>
      </c>
      <c r="DP657" s="236">
        <v>249.07</v>
      </c>
      <c r="DQ657" s="236" t="s">
        <v>342</v>
      </c>
      <c r="DV657" s="340">
        <v>67.069999999999993</v>
      </c>
      <c r="DW657" s="340" t="s">
        <v>331</v>
      </c>
      <c r="DX657" s="1671"/>
      <c r="EB657" s="618"/>
      <c r="EC657" s="618"/>
      <c r="ED657" s="618"/>
      <c r="EE657" s="618"/>
      <c r="EF657" s="618"/>
      <c r="EG657" s="618"/>
      <c r="EH657" s="618"/>
      <c r="EI657" s="618"/>
      <c r="EJ657" s="618"/>
      <c r="EK657" s="618"/>
      <c r="EL657" s="618"/>
      <c r="EM657" s="618"/>
    </row>
    <row r="658" spans="6:143">
      <c r="F658" s="338">
        <v>59.33</v>
      </c>
      <c r="G658" s="338" t="s">
        <v>340</v>
      </c>
      <c r="L658" s="2481">
        <v>26.06</v>
      </c>
      <c r="M658" s="340" t="s">
        <v>304</v>
      </c>
      <c r="N658" s="1390"/>
      <c r="O658" s="2479"/>
      <c r="P658" s="2282"/>
      <c r="AA658" s="338">
        <v>309.01</v>
      </c>
      <c r="AB658" s="338" t="s">
        <v>341</v>
      </c>
      <c r="AG658" s="2297">
        <v>67.13</v>
      </c>
      <c r="AH658" s="2297" t="s">
        <v>331</v>
      </c>
      <c r="AI658" s="1390"/>
      <c r="AJ658" s="2282"/>
      <c r="AK658" s="2282"/>
      <c r="AL658" s="1037"/>
      <c r="AR658" s="338">
        <v>58.14</v>
      </c>
      <c r="AS658" s="338" t="s">
        <v>340</v>
      </c>
      <c r="AX658" s="340">
        <v>171.01</v>
      </c>
      <c r="AY658" s="340" t="s">
        <v>302</v>
      </c>
      <c r="BH658" s="338">
        <v>302.08999999999997</v>
      </c>
      <c r="BI658" s="338" t="s">
        <v>322</v>
      </c>
      <c r="BN658" s="340">
        <v>60.02</v>
      </c>
      <c r="BO658" s="340" t="s">
        <v>331</v>
      </c>
      <c r="BP658" s="1385"/>
      <c r="BV658" s="338">
        <v>1103.45</v>
      </c>
      <c r="BW658" s="338" t="s">
        <v>289</v>
      </c>
      <c r="CB658" s="340">
        <v>168.03</v>
      </c>
      <c r="CC658" s="340" t="s">
        <v>302</v>
      </c>
      <c r="CE658" s="341" t="str">
        <f t="array" ref="CE658">IFERROR(IF($CE$11="Metro",INDEX($BV$13:$BV$4972,SMALL(IF((County=$BW$13:$BW$4972),MATCH(ROW($BW$13:$BW$4972),ROW($BW$13:$BW$4972)),""),ROWS($A$13:$A716))),INDEX($BY$13:$BY$212,SMALL(IF((County=$BZ$13:$BZ$212),MATCH(ROW($BZ$13:$BZ$212),ROW($BZ$13:$BZ$212)),""),ROWS($A$13:$A716)))),"")</f>
        <v/>
      </c>
      <c r="CL658" s="236">
        <v>19.079999999999998</v>
      </c>
      <c r="CM658" s="236" t="s">
        <v>328</v>
      </c>
      <c r="CR658" s="340">
        <v>61.06</v>
      </c>
      <c r="CS658" s="340" t="s">
        <v>331</v>
      </c>
      <c r="CT658" s="1384"/>
      <c r="CZ658" s="1795">
        <v>165.11</v>
      </c>
      <c r="DA658" s="338" t="s">
        <v>338</v>
      </c>
      <c r="DF658" s="340">
        <v>23</v>
      </c>
      <c r="DG658" s="340" t="s">
        <v>304</v>
      </c>
      <c r="DP658" s="236">
        <v>250.15</v>
      </c>
      <c r="DQ658" s="236" t="s">
        <v>342</v>
      </c>
      <c r="DV658" s="340">
        <v>67.09</v>
      </c>
      <c r="DW658" s="340" t="s">
        <v>331</v>
      </c>
      <c r="DX658" s="1671"/>
      <c r="EB658" s="618"/>
      <c r="EC658" s="618"/>
      <c r="ED658" s="618"/>
      <c r="EE658" s="618"/>
      <c r="EF658" s="618"/>
      <c r="EG658" s="618"/>
      <c r="EH658" s="618"/>
      <c r="EI658" s="618"/>
      <c r="EJ658" s="618"/>
      <c r="EK658" s="618"/>
      <c r="EL658" s="618"/>
      <c r="EM658" s="618"/>
    </row>
    <row r="659" spans="6:143">
      <c r="F659" s="338">
        <v>59.39</v>
      </c>
      <c r="G659" s="338" t="s">
        <v>340</v>
      </c>
      <c r="L659" s="2481">
        <v>26.07</v>
      </c>
      <c r="M659" s="340" t="s">
        <v>304</v>
      </c>
      <c r="N659" s="1390"/>
      <c r="O659" s="2479"/>
      <c r="P659" s="2282"/>
      <c r="AA659" s="338">
        <v>309.05</v>
      </c>
      <c r="AB659" s="338" t="s">
        <v>341</v>
      </c>
      <c r="AG659" s="2297">
        <v>67.14</v>
      </c>
      <c r="AH659" s="2297" t="s">
        <v>331</v>
      </c>
      <c r="AI659" s="1390"/>
      <c r="AJ659" s="2282"/>
      <c r="AK659" s="2282"/>
      <c r="AL659" s="1037"/>
      <c r="AR659" s="338">
        <v>68.02</v>
      </c>
      <c r="AS659" s="338" t="s">
        <v>340</v>
      </c>
      <c r="AX659" s="340">
        <v>173</v>
      </c>
      <c r="AY659" s="340" t="s">
        <v>302</v>
      </c>
      <c r="BH659" s="338">
        <v>303.01</v>
      </c>
      <c r="BI659" s="338" t="s">
        <v>289</v>
      </c>
      <c r="BN659" s="340">
        <v>60.03</v>
      </c>
      <c r="BO659" s="340" t="s">
        <v>331</v>
      </c>
      <c r="BP659" s="1385"/>
      <c r="BV659" s="338">
        <v>1103.46</v>
      </c>
      <c r="BW659" s="338" t="s">
        <v>289</v>
      </c>
      <c r="CB659" s="340">
        <v>168.04</v>
      </c>
      <c r="CC659" s="340" t="s">
        <v>302</v>
      </c>
      <c r="CE659" s="341" t="str">
        <f t="array" ref="CE659">IFERROR(IF($CE$11="Metro",INDEX($BV$13:$BV$4972,SMALL(IF((County=$BW$13:$BW$4972),MATCH(ROW($BW$13:$BW$4972),ROW($BW$13:$BW$4972)),""),ROWS($A$13:$A717))),INDEX($BY$13:$BY$212,SMALL(IF((County=$BZ$13:$BZ$212),MATCH(ROW($BZ$13:$BZ$212),ROW($BZ$13:$BZ$212)),""),ROWS($A$13:$A717)))),"")</f>
        <v/>
      </c>
      <c r="CL659" s="236">
        <v>19.09</v>
      </c>
      <c r="CM659" s="236" t="s">
        <v>328</v>
      </c>
      <c r="CR659" s="340">
        <v>62</v>
      </c>
      <c r="CS659" s="340" t="s">
        <v>316</v>
      </c>
      <c r="CT659" s="1384"/>
      <c r="CZ659" s="1795">
        <v>165.13</v>
      </c>
      <c r="DA659" s="338" t="s">
        <v>338</v>
      </c>
      <c r="DF659" s="340">
        <v>24</v>
      </c>
      <c r="DG659" s="340" t="s">
        <v>304</v>
      </c>
      <c r="DP659" s="236">
        <v>250.17</v>
      </c>
      <c r="DQ659" s="236" t="s">
        <v>342</v>
      </c>
      <c r="DV659" s="340">
        <v>67.13</v>
      </c>
      <c r="DW659" s="340" t="s">
        <v>331</v>
      </c>
      <c r="DX659" s="1671"/>
      <c r="EB659" s="618"/>
      <c r="EC659" s="618"/>
      <c r="ED659" s="618"/>
      <c r="EE659" s="618"/>
      <c r="EF659" s="618"/>
      <c r="EG659" s="618"/>
      <c r="EH659" s="618"/>
      <c r="EI659" s="618"/>
      <c r="EJ659" s="618"/>
      <c r="EK659" s="618"/>
      <c r="EL659" s="618"/>
      <c r="EM659" s="618"/>
    </row>
    <row r="660" spans="6:143">
      <c r="F660" s="338">
        <v>59.4</v>
      </c>
      <c r="G660" s="338" t="s">
        <v>340</v>
      </c>
      <c r="L660" s="2481">
        <v>27.01</v>
      </c>
      <c r="M660" s="340" t="s">
        <v>304</v>
      </c>
      <c r="N660" s="1390"/>
      <c r="O660" s="2479"/>
      <c r="P660" s="2282"/>
      <c r="AA660" s="338">
        <v>309.06</v>
      </c>
      <c r="AB660" s="338" t="s">
        <v>341</v>
      </c>
      <c r="AG660" s="2297">
        <v>67.150000000000006</v>
      </c>
      <c r="AH660" s="2297" t="s">
        <v>331</v>
      </c>
      <c r="AI660" s="1390"/>
      <c r="AJ660" s="2282"/>
      <c r="AK660" s="2282"/>
      <c r="AL660" s="1037"/>
      <c r="AR660" s="338">
        <v>76.19</v>
      </c>
      <c r="AS660" s="338" t="s">
        <v>340</v>
      </c>
      <c r="AX660" s="340">
        <v>1</v>
      </c>
      <c r="AY660" s="340" t="s">
        <v>304</v>
      </c>
      <c r="BH660" s="338">
        <v>303.02</v>
      </c>
      <c r="BI660" s="338" t="s">
        <v>289</v>
      </c>
      <c r="BN660" s="340">
        <v>60.04</v>
      </c>
      <c r="BO660" s="340" t="s">
        <v>331</v>
      </c>
      <c r="BP660" s="1385"/>
      <c r="BV660" s="338">
        <v>1103.47</v>
      </c>
      <c r="BW660" s="338" t="s">
        <v>289</v>
      </c>
      <c r="CB660" s="340">
        <v>168.07</v>
      </c>
      <c r="CC660" s="340" t="s">
        <v>302</v>
      </c>
      <c r="CE660" s="341" t="str">
        <f t="array" ref="CE660">IFERROR(IF($CE$11="Metro",INDEX($BV$13:$BV$4972,SMALL(IF((County=$BW$13:$BW$4972),MATCH(ROW($BW$13:$BW$4972),ROW($BW$13:$BW$4972)),""),ROWS($A$13:$A718))),INDEX($BY$13:$BY$212,SMALL(IF((County=$BZ$13:$BZ$212),MATCH(ROW($BZ$13:$BZ$212),ROW($BZ$13:$BZ$212)),""),ROWS($A$13:$A718)))),"")</f>
        <v/>
      </c>
      <c r="CL660" s="236">
        <v>19.09</v>
      </c>
      <c r="CM660" s="236" t="s">
        <v>340</v>
      </c>
      <c r="CR660" s="340">
        <v>62.01</v>
      </c>
      <c r="CS660" s="340" t="s">
        <v>331</v>
      </c>
      <c r="CT660" s="1384"/>
      <c r="CZ660" s="1795">
        <v>167.39</v>
      </c>
      <c r="DA660" s="338" t="s">
        <v>338</v>
      </c>
      <c r="DF660" s="340">
        <v>25</v>
      </c>
      <c r="DG660" s="340" t="s">
        <v>304</v>
      </c>
      <c r="DP660" s="236">
        <v>250.18</v>
      </c>
      <c r="DQ660" s="236" t="s">
        <v>342</v>
      </c>
      <c r="DV660" s="340">
        <v>67.14</v>
      </c>
      <c r="DW660" s="340" t="s">
        <v>331</v>
      </c>
      <c r="DX660" s="1671"/>
      <c r="EB660" s="618"/>
      <c r="EC660" s="618"/>
      <c r="ED660" s="618"/>
      <c r="EE660" s="618"/>
      <c r="EF660" s="618"/>
      <c r="EG660" s="618"/>
      <c r="EH660" s="618"/>
      <c r="EI660" s="618"/>
      <c r="EJ660" s="618"/>
      <c r="EK660" s="618"/>
      <c r="EL660" s="618"/>
      <c r="EM660" s="618"/>
    </row>
    <row r="661" spans="6:143">
      <c r="F661" s="338">
        <v>59.43</v>
      </c>
      <c r="G661" s="338" t="s">
        <v>340</v>
      </c>
      <c r="L661" s="2481">
        <v>28.02</v>
      </c>
      <c r="M661" s="340" t="s">
        <v>304</v>
      </c>
      <c r="N661" s="1390"/>
      <c r="O661" s="2479"/>
      <c r="P661" s="2282"/>
      <c r="AA661" s="338">
        <v>310.06</v>
      </c>
      <c r="AB661" s="338" t="s">
        <v>341</v>
      </c>
      <c r="AG661" s="2297">
        <v>67.180000000000007</v>
      </c>
      <c r="AH661" s="2297" t="s">
        <v>331</v>
      </c>
      <c r="AI661" s="1390"/>
      <c r="AJ661" s="2282"/>
      <c r="AK661" s="2282"/>
      <c r="AL661" s="1037"/>
      <c r="AR661" s="338">
        <v>76.2</v>
      </c>
      <c r="AS661" s="338" t="s">
        <v>340</v>
      </c>
      <c r="AX661" s="340">
        <v>5</v>
      </c>
      <c r="AY661" s="340" t="s">
        <v>304</v>
      </c>
      <c r="BH661" s="338">
        <v>304</v>
      </c>
      <c r="BI661" s="338" t="s">
        <v>296</v>
      </c>
      <c r="BN661" s="340">
        <v>60.05</v>
      </c>
      <c r="BO661" s="340" t="s">
        <v>340</v>
      </c>
      <c r="BP661" s="1385"/>
      <c r="BV661" s="338">
        <v>1103.48</v>
      </c>
      <c r="BW661" s="338" t="s">
        <v>289</v>
      </c>
      <c r="CB661" s="340">
        <v>168.08</v>
      </c>
      <c r="CC661" s="340" t="s">
        <v>302</v>
      </c>
      <c r="CE661" s="341" t="str">
        <f t="array" ref="CE661">IFERROR(IF($CE$11="Metro",INDEX($BV$13:$BV$4972,SMALL(IF((County=$BW$13:$BW$4972),MATCH(ROW($BW$13:$BW$4972),ROW($BW$13:$BW$4972)),""),ROWS($A$13:$A719))),INDEX($BY$13:$BY$212,SMALL(IF((County=$BZ$13:$BZ$212),MATCH(ROW($BZ$13:$BZ$212),ROW($BZ$13:$BZ$212)),""),ROWS($A$13:$A719)))),"")</f>
        <v/>
      </c>
      <c r="CL661" s="236">
        <v>19.09</v>
      </c>
      <c r="CM661" s="236" t="s">
        <v>347</v>
      </c>
      <c r="CR661" s="340">
        <v>62.02</v>
      </c>
      <c r="CS661" s="340" t="s">
        <v>340</v>
      </c>
      <c r="CT661" s="1384"/>
      <c r="CZ661" s="1795">
        <v>169.02</v>
      </c>
      <c r="DA661" s="338" t="s">
        <v>338</v>
      </c>
      <c r="DF661" s="340">
        <v>26.01</v>
      </c>
      <c r="DG661" s="340" t="s">
        <v>304</v>
      </c>
      <c r="DP661" s="236">
        <v>250.19</v>
      </c>
      <c r="DQ661" s="236" t="s">
        <v>342</v>
      </c>
      <c r="DV661" s="340">
        <v>67.150000000000006</v>
      </c>
      <c r="DW661" s="340" t="s">
        <v>331</v>
      </c>
      <c r="DX661" s="1671"/>
      <c r="EB661" s="618"/>
      <c r="EC661" s="618"/>
      <c r="ED661" s="618"/>
      <c r="EE661" s="618"/>
      <c r="EF661" s="618"/>
      <c r="EG661" s="618"/>
      <c r="EH661" s="618"/>
      <c r="EI661" s="618"/>
      <c r="EJ661" s="618"/>
      <c r="EK661" s="618"/>
      <c r="EL661" s="618"/>
      <c r="EM661" s="618"/>
    </row>
    <row r="662" spans="6:143">
      <c r="F662" s="338">
        <v>59.44</v>
      </c>
      <c r="G662" s="338" t="s">
        <v>340</v>
      </c>
      <c r="L662" s="2481">
        <v>28.04</v>
      </c>
      <c r="M662" s="340" t="s">
        <v>304</v>
      </c>
      <c r="N662" s="1390"/>
      <c r="O662" s="2479"/>
      <c r="P662" s="2282"/>
      <c r="AA662" s="338">
        <v>310.07</v>
      </c>
      <c r="AB662" s="338" t="s">
        <v>341</v>
      </c>
      <c r="AG662" s="2297">
        <v>67.19</v>
      </c>
      <c r="AH662" s="2297" t="s">
        <v>331</v>
      </c>
      <c r="AI662" s="1390"/>
      <c r="AJ662" s="2282"/>
      <c r="AK662" s="2282"/>
      <c r="AL662" s="1037"/>
      <c r="AR662" s="338">
        <v>77.459999999999994</v>
      </c>
      <c r="AS662" s="338" t="s">
        <v>340</v>
      </c>
      <c r="AX662" s="340">
        <v>8.01</v>
      </c>
      <c r="AY662" s="340" t="s">
        <v>304</v>
      </c>
      <c r="BH662" s="338">
        <v>304.02</v>
      </c>
      <c r="BI662" s="338" t="s">
        <v>289</v>
      </c>
      <c r="BN662" s="340">
        <v>60.06</v>
      </c>
      <c r="BO662" s="340" t="s">
        <v>340</v>
      </c>
      <c r="BP662" s="1385"/>
      <c r="BV662" s="338">
        <v>1103.49</v>
      </c>
      <c r="BW662" s="338" t="s">
        <v>289</v>
      </c>
      <c r="CB662" s="340">
        <v>168.09</v>
      </c>
      <c r="CC662" s="340" t="s">
        <v>302</v>
      </c>
      <c r="CE662" s="341" t="str">
        <f t="array" ref="CE662">IFERROR(IF($CE$11="Metro",INDEX($BV$13:$BV$4972,SMALL(IF((County=$BW$13:$BW$4972),MATCH(ROW($BW$13:$BW$4972),ROW($BW$13:$BW$4972)),""),ROWS($A$13:$A720))),INDEX($BY$13:$BY$212,SMALL(IF((County=$BZ$13:$BZ$212),MATCH(ROW($BZ$13:$BZ$212),ROW($BZ$13:$BZ$212)),""),ROWS($A$13:$A720)))),"")</f>
        <v/>
      </c>
      <c r="CL662" s="236">
        <v>19.100000000000001</v>
      </c>
      <c r="CM662" s="236" t="s">
        <v>323</v>
      </c>
      <c r="CR662" s="340">
        <v>62.03</v>
      </c>
      <c r="CS662" s="340" t="s">
        <v>331</v>
      </c>
      <c r="CT662" s="1384"/>
      <c r="CZ662" s="1795">
        <v>169.04</v>
      </c>
      <c r="DA662" s="338" t="s">
        <v>338</v>
      </c>
      <c r="DF662" s="340">
        <v>26.02</v>
      </c>
      <c r="DG662" s="340" t="s">
        <v>304</v>
      </c>
      <c r="DP662" s="236">
        <v>251.11</v>
      </c>
      <c r="DQ662" s="236" t="s">
        <v>342</v>
      </c>
      <c r="DV662" s="340">
        <v>67.180000000000007</v>
      </c>
      <c r="DW662" s="340" t="s">
        <v>331</v>
      </c>
      <c r="DX662" s="1671"/>
      <c r="EB662" s="618"/>
      <c r="EC662" s="618"/>
      <c r="ED662" s="618"/>
      <c r="EE662" s="618"/>
      <c r="EF662" s="618"/>
      <c r="EG662" s="618"/>
      <c r="EH662" s="618"/>
      <c r="EI662" s="618"/>
      <c r="EJ662" s="618"/>
      <c r="EK662" s="618"/>
      <c r="EL662" s="618"/>
      <c r="EM662" s="618"/>
    </row>
    <row r="663" spans="6:143">
      <c r="F663" s="338">
        <v>68.02</v>
      </c>
      <c r="G663" s="338" t="s">
        <v>340</v>
      </c>
      <c r="L663" s="2481">
        <v>32.04</v>
      </c>
      <c r="M663" s="340" t="s">
        <v>304</v>
      </c>
      <c r="N663" s="1390"/>
      <c r="O663" s="2479"/>
      <c r="P663" s="2282"/>
      <c r="AA663" s="338">
        <v>310.08999999999997</v>
      </c>
      <c r="AB663" s="338" t="s">
        <v>341</v>
      </c>
      <c r="AG663" s="2297">
        <v>67.2</v>
      </c>
      <c r="AH663" s="2297" t="s">
        <v>331</v>
      </c>
      <c r="AI663" s="1390"/>
      <c r="AJ663" s="2282"/>
      <c r="AK663" s="2282"/>
      <c r="AL663" s="1037"/>
      <c r="AR663" s="338">
        <v>78.33</v>
      </c>
      <c r="AS663" s="338" t="s">
        <v>340</v>
      </c>
      <c r="AX663" s="340">
        <v>8.02</v>
      </c>
      <c r="AY663" s="340" t="s">
        <v>304</v>
      </c>
      <c r="BH663" s="338">
        <v>304.07</v>
      </c>
      <c r="BI663" s="338" t="s">
        <v>341</v>
      </c>
      <c r="BN663" s="340">
        <v>60.08</v>
      </c>
      <c r="BO663" s="340" t="s">
        <v>340</v>
      </c>
      <c r="BP663" s="1385"/>
      <c r="BV663" s="338">
        <v>1103.5</v>
      </c>
      <c r="BW663" s="338" t="s">
        <v>289</v>
      </c>
      <c r="CB663" s="340">
        <v>168.1</v>
      </c>
      <c r="CC663" s="340" t="s">
        <v>302</v>
      </c>
      <c r="CE663" s="341" t="str">
        <f t="array" ref="CE663">IFERROR(IF($CE$11="Metro",INDEX($BV$13:$BV$4972,SMALL(IF((County=$BW$13:$BW$4972),MATCH(ROW($BW$13:$BW$4972),ROW($BW$13:$BW$4972)),""),ROWS($A$13:$A721))),INDEX($BY$13:$BY$212,SMALL(IF((County=$BZ$13:$BZ$212),MATCH(ROW($BZ$13:$BZ$212),ROW($BZ$13:$BZ$212)),""),ROWS($A$13:$A721)))),"")</f>
        <v/>
      </c>
      <c r="CL663" s="236">
        <v>19.100000000000001</v>
      </c>
      <c r="CM663" s="236" t="s">
        <v>328</v>
      </c>
      <c r="CR663" s="340">
        <v>62.05</v>
      </c>
      <c r="CS663" s="340" t="s">
        <v>331</v>
      </c>
      <c r="CT663" s="1384"/>
      <c r="CZ663" s="1795">
        <v>169.06</v>
      </c>
      <c r="DA663" s="338" t="s">
        <v>338</v>
      </c>
      <c r="DF663" s="340">
        <v>26.04</v>
      </c>
      <c r="DG663" s="340" t="s">
        <v>304</v>
      </c>
      <c r="DP663" s="236">
        <v>253.05</v>
      </c>
      <c r="DQ663" s="236" t="s">
        <v>342</v>
      </c>
      <c r="DV663" s="340">
        <v>67.19</v>
      </c>
      <c r="DW663" s="340" t="s">
        <v>331</v>
      </c>
      <c r="DX663" s="1671"/>
      <c r="EB663" s="618"/>
      <c r="EC663" s="618"/>
      <c r="ED663" s="618"/>
      <c r="EE663" s="618"/>
      <c r="EF663" s="618"/>
      <c r="EG663" s="618"/>
      <c r="EH663" s="618"/>
      <c r="EI663" s="618"/>
      <c r="EJ663" s="618"/>
      <c r="EK663" s="618"/>
      <c r="EL663" s="618"/>
      <c r="EM663" s="618"/>
    </row>
    <row r="664" spans="6:143">
      <c r="F664" s="338">
        <v>72.08</v>
      </c>
      <c r="G664" s="338" t="s">
        <v>340</v>
      </c>
      <c r="L664" s="2481">
        <v>33.01</v>
      </c>
      <c r="M664" s="340" t="s">
        <v>304</v>
      </c>
      <c r="N664" s="1390"/>
      <c r="O664" s="2479"/>
      <c r="P664" s="2282"/>
      <c r="AA664" s="338">
        <v>310.10000000000002</v>
      </c>
      <c r="AB664" s="338" t="s">
        <v>341</v>
      </c>
      <c r="AG664" s="2297">
        <v>67.22</v>
      </c>
      <c r="AH664" s="2297" t="s">
        <v>331</v>
      </c>
      <c r="AI664" s="1390"/>
      <c r="AJ664" s="2282"/>
      <c r="AK664" s="2282"/>
      <c r="AL664" s="1037"/>
      <c r="AR664" s="338">
        <v>80.010000000000005</v>
      </c>
      <c r="AS664" s="338" t="s">
        <v>340</v>
      </c>
      <c r="AX664" s="340">
        <v>9</v>
      </c>
      <c r="AY664" s="340" t="s">
        <v>304</v>
      </c>
      <c r="BH664" s="338">
        <v>304.08</v>
      </c>
      <c r="BI664" s="338" t="s">
        <v>341</v>
      </c>
      <c r="BN664" s="340">
        <v>61.01</v>
      </c>
      <c r="BO664" s="340" t="s">
        <v>316</v>
      </c>
      <c r="BP664" s="1385"/>
      <c r="BV664" s="338">
        <v>1103.51</v>
      </c>
      <c r="BW664" s="338" t="s">
        <v>289</v>
      </c>
      <c r="CB664" s="340">
        <v>168.11</v>
      </c>
      <c r="CC664" s="340" t="s">
        <v>302</v>
      </c>
      <c r="CE664" s="341" t="str">
        <f t="array" ref="CE664">IFERROR(IF($CE$11="Metro",INDEX($BV$13:$BV$4972,SMALL(IF((County=$BW$13:$BW$4972),MATCH(ROW($BW$13:$BW$4972),ROW($BW$13:$BW$4972)),""),ROWS($A$13:$A722))),INDEX($BY$13:$BY$212,SMALL(IF((County=$BZ$13:$BZ$212),MATCH(ROW($BZ$13:$BZ$212),ROW($BZ$13:$BZ$212)),""),ROWS($A$13:$A722)))),"")</f>
        <v/>
      </c>
      <c r="CL664" s="236">
        <v>19.100000000000001</v>
      </c>
      <c r="CM664" s="236" t="s">
        <v>340</v>
      </c>
      <c r="CR664" s="340">
        <v>62.06</v>
      </c>
      <c r="CS664" s="340" t="s">
        <v>331</v>
      </c>
      <c r="CT664" s="1384"/>
      <c r="CZ664" s="1795">
        <v>169.07</v>
      </c>
      <c r="DA664" s="338" t="s">
        <v>338</v>
      </c>
      <c r="DF664" s="340">
        <v>26.05</v>
      </c>
      <c r="DG664" s="340" t="s">
        <v>304</v>
      </c>
      <c r="DP664" s="236">
        <v>253.11</v>
      </c>
      <c r="DQ664" s="236" t="s">
        <v>342</v>
      </c>
      <c r="DV664" s="340">
        <v>67.2</v>
      </c>
      <c r="DW664" s="340" t="s">
        <v>331</v>
      </c>
      <c r="DX664" s="1671"/>
      <c r="EB664" s="618"/>
      <c r="EC664" s="618"/>
      <c r="ED664" s="618"/>
      <c r="EE664" s="618"/>
      <c r="EF664" s="618"/>
      <c r="EG664" s="618"/>
      <c r="EH664" s="618"/>
      <c r="EI664" s="618"/>
      <c r="EJ664" s="618"/>
      <c r="EK664" s="618"/>
      <c r="EL664" s="618"/>
      <c r="EM664" s="618"/>
    </row>
    <row r="665" spans="6:143">
      <c r="F665" s="338">
        <v>76.2</v>
      </c>
      <c r="G665" s="338" t="s">
        <v>340</v>
      </c>
      <c r="L665" s="2481">
        <v>33.049999999999997</v>
      </c>
      <c r="M665" s="340" t="s">
        <v>304</v>
      </c>
      <c r="N665" s="1390"/>
      <c r="O665" s="2479"/>
      <c r="P665" s="2282"/>
      <c r="AA665" s="338">
        <v>310.11</v>
      </c>
      <c r="AB665" s="338" t="s">
        <v>341</v>
      </c>
      <c r="AG665" s="2297">
        <v>68.010000000000005</v>
      </c>
      <c r="AH665" s="2297" t="s">
        <v>316</v>
      </c>
      <c r="AI665" s="1390"/>
      <c r="AJ665" s="2282"/>
      <c r="AK665" s="2282"/>
      <c r="AL665" s="1037"/>
      <c r="AR665" s="338">
        <v>80.02</v>
      </c>
      <c r="AS665" s="338" t="s">
        <v>340</v>
      </c>
      <c r="AX665" s="340">
        <v>10.01</v>
      </c>
      <c r="AY665" s="340" t="s">
        <v>304</v>
      </c>
      <c r="BH665" s="338">
        <v>304.10000000000002</v>
      </c>
      <c r="BI665" s="338" t="s">
        <v>341</v>
      </c>
      <c r="BN665" s="340">
        <v>61.03</v>
      </c>
      <c r="BO665" s="340" t="s">
        <v>316</v>
      </c>
      <c r="BP665" s="1385"/>
      <c r="BV665" s="338">
        <v>1103.52</v>
      </c>
      <c r="BW665" s="338" t="s">
        <v>289</v>
      </c>
      <c r="CB665" s="340">
        <v>168.12</v>
      </c>
      <c r="CC665" s="340" t="s">
        <v>302</v>
      </c>
      <c r="CE665" s="341" t="str">
        <f t="array" ref="CE665">IFERROR(IF($CE$11="Metro",INDEX($BV$13:$BV$4972,SMALL(IF((County=$BW$13:$BW$4972),MATCH(ROW($BW$13:$BW$4972),ROW($BW$13:$BW$4972)),""),ROWS($A$13:$A723))),INDEX($BY$13:$BY$212,SMALL(IF((County=$BZ$13:$BZ$212),MATCH(ROW($BZ$13:$BZ$212),ROW($BZ$13:$BZ$212)),""),ROWS($A$13:$A723)))),"")</f>
        <v/>
      </c>
      <c r="CL665" s="236">
        <v>19.11</v>
      </c>
      <c r="CM665" s="236" t="s">
        <v>323</v>
      </c>
      <c r="CR665" s="340">
        <v>63</v>
      </c>
      <c r="CS665" s="340" t="s">
        <v>316</v>
      </c>
      <c r="CT665" s="1384"/>
      <c r="CZ665" s="1795">
        <v>169.11</v>
      </c>
      <c r="DA665" s="338" t="s">
        <v>338</v>
      </c>
      <c r="DF665" s="340">
        <v>26.06</v>
      </c>
      <c r="DG665" s="340" t="s">
        <v>304</v>
      </c>
      <c r="DP665" s="236">
        <v>255.05</v>
      </c>
      <c r="DQ665" s="236" t="s">
        <v>342</v>
      </c>
      <c r="DV665" s="340">
        <v>67.22</v>
      </c>
      <c r="DW665" s="340" t="s">
        <v>331</v>
      </c>
      <c r="DX665" s="1671"/>
      <c r="EB665" s="618"/>
      <c r="EC665" s="618"/>
      <c r="ED665" s="618"/>
      <c r="EE665" s="618"/>
      <c r="EF665" s="618"/>
      <c r="EG665" s="618"/>
      <c r="EH665" s="618"/>
      <c r="EI665" s="618"/>
      <c r="EJ665" s="618"/>
      <c r="EK665" s="618"/>
      <c r="EL665" s="618"/>
      <c r="EM665" s="618"/>
    </row>
    <row r="666" spans="6:143">
      <c r="F666" s="338">
        <v>77.69</v>
      </c>
      <c r="G666" s="338" t="s">
        <v>340</v>
      </c>
      <c r="L666" s="2481">
        <v>33.08</v>
      </c>
      <c r="M666" s="340" t="s">
        <v>304</v>
      </c>
      <c r="N666" s="1390"/>
      <c r="O666" s="2479"/>
      <c r="P666" s="2282"/>
      <c r="AA666" s="338">
        <v>310.12</v>
      </c>
      <c r="AB666" s="338" t="s">
        <v>341</v>
      </c>
      <c r="AG666" s="2297">
        <v>68.010000000000005</v>
      </c>
      <c r="AH666" s="2297" t="s">
        <v>331</v>
      </c>
      <c r="AI666" s="1390"/>
      <c r="AJ666" s="2282"/>
      <c r="AK666" s="2282"/>
      <c r="AL666" s="1037"/>
      <c r="AR666" s="338">
        <v>81.010000000000005</v>
      </c>
      <c r="AS666" s="338" t="s">
        <v>340</v>
      </c>
      <c r="AX666" s="340">
        <v>10.02</v>
      </c>
      <c r="AY666" s="340" t="s">
        <v>304</v>
      </c>
      <c r="BH666" s="338">
        <v>304.11</v>
      </c>
      <c r="BI666" s="338" t="s">
        <v>341</v>
      </c>
      <c r="BN666" s="340">
        <v>61.03</v>
      </c>
      <c r="BO666" s="340" t="s">
        <v>331</v>
      </c>
      <c r="BP666" s="1385"/>
      <c r="BV666" s="338">
        <v>1103.53</v>
      </c>
      <c r="BW666" s="338" t="s">
        <v>289</v>
      </c>
      <c r="CB666" s="340">
        <v>168.13</v>
      </c>
      <c r="CC666" s="340" t="s">
        <v>302</v>
      </c>
      <c r="CE666" s="341" t="str">
        <f t="array" ref="CE666">IFERROR(IF($CE$11="Metro",INDEX($BV$13:$BV$4972,SMALL(IF((County=$BW$13:$BW$4972),MATCH(ROW($BW$13:$BW$4972),ROW($BW$13:$BW$4972)),""),ROWS($A$13:$A724))),INDEX($BY$13:$BY$212,SMALL(IF((County=$BZ$13:$BZ$212),MATCH(ROW($BZ$13:$BZ$212),ROW($BZ$13:$BZ$212)),""),ROWS($A$13:$A724)))),"")</f>
        <v/>
      </c>
      <c r="CL666" s="236">
        <v>19.11</v>
      </c>
      <c r="CM666" s="236" t="s">
        <v>328</v>
      </c>
      <c r="CR666" s="340">
        <v>63.02</v>
      </c>
      <c r="CS666" s="340" t="s">
        <v>331</v>
      </c>
      <c r="CT666" s="1384"/>
      <c r="CZ666" s="1795">
        <v>170.19</v>
      </c>
      <c r="DA666" s="338" t="s">
        <v>338</v>
      </c>
      <c r="DF666" s="340">
        <v>26.07</v>
      </c>
      <c r="DG666" s="340" t="s">
        <v>304</v>
      </c>
      <c r="DP666" s="236">
        <v>255.07</v>
      </c>
      <c r="DQ666" s="236" t="s">
        <v>342</v>
      </c>
      <c r="DV666" s="340">
        <v>68.010000000000005</v>
      </c>
      <c r="DW666" s="340" t="s">
        <v>316</v>
      </c>
      <c r="DX666" s="1671"/>
      <c r="EB666" s="618"/>
      <c r="EC666" s="618"/>
      <c r="ED666" s="618"/>
      <c r="EE666" s="618"/>
      <c r="EF666" s="618"/>
      <c r="EG666" s="618"/>
      <c r="EH666" s="618"/>
      <c r="EI666" s="618"/>
      <c r="EJ666" s="618"/>
      <c r="EK666" s="618"/>
      <c r="EL666" s="618"/>
      <c r="EM666" s="618"/>
    </row>
    <row r="667" spans="6:143">
      <c r="F667" s="338">
        <v>78.319999999999993</v>
      </c>
      <c r="G667" s="338" t="s">
        <v>340</v>
      </c>
      <c r="L667" s="2481">
        <v>33.1</v>
      </c>
      <c r="M667" s="340" t="s">
        <v>304</v>
      </c>
      <c r="N667" s="1390"/>
      <c r="O667" s="2479"/>
      <c r="P667" s="2282"/>
      <c r="AA667" s="338">
        <v>310.13</v>
      </c>
      <c r="AB667" s="338" t="s">
        <v>341</v>
      </c>
      <c r="AG667" s="2297">
        <v>68.02</v>
      </c>
      <c r="AH667" s="2297" t="s">
        <v>316</v>
      </c>
      <c r="AI667" s="1390"/>
      <c r="AJ667" s="2282"/>
      <c r="AK667" s="2282"/>
      <c r="AL667" s="1037"/>
      <c r="AR667" s="338">
        <v>82.01</v>
      </c>
      <c r="AS667" s="338" t="s">
        <v>340</v>
      </c>
      <c r="AX667" s="340">
        <v>11.01</v>
      </c>
      <c r="AY667" s="340" t="s">
        <v>304</v>
      </c>
      <c r="BH667" s="338">
        <v>304.12</v>
      </c>
      <c r="BI667" s="338" t="s">
        <v>341</v>
      </c>
      <c r="BN667" s="340">
        <v>61.04</v>
      </c>
      <c r="BO667" s="340" t="s">
        <v>331</v>
      </c>
      <c r="BP667" s="1385"/>
      <c r="BV667" s="338">
        <v>1103.54</v>
      </c>
      <c r="BW667" s="338" t="s">
        <v>289</v>
      </c>
      <c r="CB667" s="340">
        <v>171.01</v>
      </c>
      <c r="CC667" s="340" t="s">
        <v>302</v>
      </c>
      <c r="CE667" s="341" t="str">
        <f t="array" ref="CE667">IFERROR(IF($CE$11="Metro",INDEX($BV$13:$BV$4972,SMALL(IF((County=$BW$13:$BW$4972),MATCH(ROW($BW$13:$BW$4972),ROW($BW$13:$BW$4972)),""),ROWS($A$13:$A725))),INDEX($BY$13:$BY$212,SMALL(IF((County=$BZ$13:$BZ$212),MATCH(ROW($BZ$13:$BZ$212),ROW($BZ$13:$BZ$212)),""),ROWS($A$13:$A725)))),"")</f>
        <v/>
      </c>
      <c r="CL667" s="236">
        <v>19.11</v>
      </c>
      <c r="CM667" s="236" t="s">
        <v>340</v>
      </c>
      <c r="CR667" s="340">
        <v>63.02</v>
      </c>
      <c r="CS667" s="340" t="s">
        <v>340</v>
      </c>
      <c r="CT667" s="1384"/>
      <c r="CZ667" s="1795">
        <v>174.02</v>
      </c>
      <c r="DA667" s="338" t="s">
        <v>338</v>
      </c>
      <c r="DF667" s="340">
        <v>27.01</v>
      </c>
      <c r="DG667" s="340" t="s">
        <v>304</v>
      </c>
      <c r="DP667" s="236">
        <v>256.02</v>
      </c>
      <c r="DQ667" s="236" t="s">
        <v>342</v>
      </c>
      <c r="DV667" s="340">
        <v>68.010000000000005</v>
      </c>
      <c r="DW667" s="340" t="s">
        <v>331</v>
      </c>
      <c r="DX667" s="1671"/>
      <c r="EB667" s="618"/>
      <c r="EC667" s="618"/>
      <c r="ED667" s="618"/>
      <c r="EE667" s="618"/>
      <c r="EF667" s="618"/>
      <c r="EG667" s="618"/>
      <c r="EH667" s="618"/>
      <c r="EI667" s="618"/>
      <c r="EJ667" s="618"/>
      <c r="EK667" s="618"/>
      <c r="EL667" s="618"/>
      <c r="EM667" s="618"/>
    </row>
    <row r="668" spans="6:143">
      <c r="F668" s="338">
        <v>78.33</v>
      </c>
      <c r="G668" s="338" t="s">
        <v>340</v>
      </c>
      <c r="L668" s="2481">
        <v>35.06</v>
      </c>
      <c r="M668" s="340" t="s">
        <v>304</v>
      </c>
      <c r="N668" s="1390"/>
      <c r="O668" s="2479"/>
      <c r="P668" s="2282"/>
      <c r="AA668" s="338">
        <v>311.01</v>
      </c>
      <c r="AB668" s="338" t="s">
        <v>341</v>
      </c>
      <c r="AG668" s="2297">
        <v>68.02</v>
      </c>
      <c r="AH668" s="2297" t="s">
        <v>331</v>
      </c>
      <c r="AI668" s="1390"/>
      <c r="AJ668" s="2282"/>
      <c r="AK668" s="2282"/>
      <c r="AL668" s="1037"/>
      <c r="AR668" s="338">
        <v>82.02</v>
      </c>
      <c r="AS668" s="338" t="s">
        <v>340</v>
      </c>
      <c r="AX668" s="340">
        <v>11.03</v>
      </c>
      <c r="AY668" s="340" t="s">
        <v>304</v>
      </c>
      <c r="BH668" s="338">
        <v>305</v>
      </c>
      <c r="BI668" s="338" t="s">
        <v>289</v>
      </c>
      <c r="BN668" s="340">
        <v>61.05</v>
      </c>
      <c r="BO668" s="340" t="s">
        <v>331</v>
      </c>
      <c r="BP668" s="1385"/>
      <c r="BV668" s="338">
        <v>1103.55</v>
      </c>
      <c r="BW668" s="338" t="s">
        <v>289</v>
      </c>
      <c r="CB668" s="340">
        <v>171.02</v>
      </c>
      <c r="CC668" s="340" t="s">
        <v>302</v>
      </c>
      <c r="CE668" s="341" t="str">
        <f t="array" ref="CE668">IFERROR(IF($CE$11="Metro",INDEX($BV$13:$BV$4972,SMALL(IF((County=$BW$13:$BW$4972),MATCH(ROW($BW$13:$BW$4972),ROW($BW$13:$BW$4972)),""),ROWS($A$13:$A726))),INDEX($BY$13:$BY$212,SMALL(IF((County=$BZ$13:$BZ$212),MATCH(ROW($BZ$13:$BZ$212),ROW($BZ$13:$BZ$212)),""),ROWS($A$13:$A726)))),"")</f>
        <v/>
      </c>
      <c r="CL668" s="236">
        <v>19.12</v>
      </c>
      <c r="CM668" s="236" t="s">
        <v>323</v>
      </c>
      <c r="CR668" s="340">
        <v>63.03</v>
      </c>
      <c r="CS668" s="340" t="s">
        <v>331</v>
      </c>
      <c r="CT668" s="1384"/>
      <c r="CZ668" s="1795">
        <v>175.03</v>
      </c>
      <c r="DA668" s="338" t="s">
        <v>338</v>
      </c>
      <c r="DF668" s="340">
        <v>28.04</v>
      </c>
      <c r="DG668" s="340" t="s">
        <v>304</v>
      </c>
      <c r="DP668" s="236">
        <v>258</v>
      </c>
      <c r="DQ668" s="236" t="s">
        <v>342</v>
      </c>
      <c r="DV668" s="340">
        <v>68.02</v>
      </c>
      <c r="DW668" s="340" t="s">
        <v>316</v>
      </c>
      <c r="DX668" s="1671"/>
      <c r="EB668" s="618"/>
      <c r="EC668" s="618"/>
      <c r="ED668" s="618"/>
      <c r="EE668" s="618"/>
      <c r="EF668" s="618"/>
      <c r="EG668" s="618"/>
      <c r="EH668" s="618"/>
      <c r="EI668" s="618"/>
      <c r="EJ668" s="618"/>
      <c r="EK668" s="618"/>
      <c r="EL668" s="618"/>
      <c r="EM668" s="618"/>
    </row>
    <row r="669" spans="6:143">
      <c r="F669" s="338">
        <v>80.010000000000005</v>
      </c>
      <c r="G669" s="338" t="s">
        <v>340</v>
      </c>
      <c r="L669" s="2481">
        <v>35.11</v>
      </c>
      <c r="M669" s="340" t="s">
        <v>304</v>
      </c>
      <c r="N669" s="1390"/>
      <c r="O669" s="2479"/>
      <c r="P669" s="2282"/>
      <c r="AA669" s="338">
        <v>311.04000000000002</v>
      </c>
      <c r="AB669" s="338" t="s">
        <v>341</v>
      </c>
      <c r="AG669" s="2297">
        <v>69</v>
      </c>
      <c r="AH669" s="2297" t="s">
        <v>316</v>
      </c>
      <c r="AI669" s="1390"/>
      <c r="AJ669" s="2282"/>
      <c r="AK669" s="2282"/>
      <c r="AL669" s="1037"/>
      <c r="AR669" s="338">
        <v>82.03</v>
      </c>
      <c r="AS669" s="338" t="s">
        <v>340</v>
      </c>
      <c r="AX669" s="340">
        <v>11.04</v>
      </c>
      <c r="AY669" s="340" t="s">
        <v>304</v>
      </c>
      <c r="BH669" s="338">
        <v>305.01</v>
      </c>
      <c r="BI669" s="338" t="s">
        <v>341</v>
      </c>
      <c r="BN669" s="340">
        <v>61.06</v>
      </c>
      <c r="BO669" s="340" t="s">
        <v>331</v>
      </c>
      <c r="BP669" s="1385"/>
      <c r="BV669" s="338">
        <v>1103.56</v>
      </c>
      <c r="BW669" s="338" t="s">
        <v>289</v>
      </c>
      <c r="CB669" s="340">
        <v>172</v>
      </c>
      <c r="CC669" s="340" t="s">
        <v>302</v>
      </c>
      <c r="CE669" s="341" t="str">
        <f t="array" ref="CE669">IFERROR(IF($CE$11="Metro",INDEX($BV$13:$BV$4972,SMALL(IF((County=$BW$13:$BW$4972),MATCH(ROW($BW$13:$BW$4972),ROW($BW$13:$BW$4972)),""),ROWS($A$13:$A727))),INDEX($BY$13:$BY$212,SMALL(IF((County=$BZ$13:$BZ$212),MATCH(ROW($BZ$13:$BZ$212),ROW($BZ$13:$BZ$212)),""),ROWS($A$13:$A727)))),"")</f>
        <v/>
      </c>
      <c r="CL669" s="236">
        <v>19.12</v>
      </c>
      <c r="CM669" s="236" t="s">
        <v>340</v>
      </c>
      <c r="CR669" s="340">
        <v>63.04</v>
      </c>
      <c r="CS669" s="340" t="s">
        <v>331</v>
      </c>
      <c r="CT669" s="1384"/>
      <c r="CZ669" s="1795">
        <v>176</v>
      </c>
      <c r="DA669" s="338" t="s">
        <v>338</v>
      </c>
      <c r="DF669" s="340">
        <v>30.02</v>
      </c>
      <c r="DG669" s="340" t="s">
        <v>304</v>
      </c>
      <c r="DP669" s="236">
        <v>259.01</v>
      </c>
      <c r="DQ669" s="236" t="s">
        <v>342</v>
      </c>
      <c r="DV669" s="340">
        <v>68.02</v>
      </c>
      <c r="DW669" s="340" t="s">
        <v>331</v>
      </c>
      <c r="DX669" s="1671"/>
      <c r="EB669" s="618"/>
      <c r="EC669" s="618"/>
      <c r="ED669" s="618"/>
      <c r="EE669" s="618"/>
      <c r="EF669" s="618"/>
      <c r="EG669" s="618"/>
      <c r="EH669" s="618"/>
      <c r="EI669" s="618"/>
      <c r="EJ669" s="618"/>
      <c r="EK669" s="618"/>
      <c r="EL669" s="618"/>
      <c r="EM669" s="618"/>
    </row>
    <row r="670" spans="6:143">
      <c r="F670" s="338">
        <v>80.02</v>
      </c>
      <c r="G670" s="338" t="s">
        <v>340</v>
      </c>
      <c r="L670" s="2481">
        <v>36.03</v>
      </c>
      <c r="M670" s="340" t="s">
        <v>304</v>
      </c>
      <c r="N670" s="1390"/>
      <c r="O670" s="2479"/>
      <c r="P670" s="2282"/>
      <c r="AA670" s="338">
        <v>312.02999999999997</v>
      </c>
      <c r="AB670" s="338" t="s">
        <v>341</v>
      </c>
      <c r="AG670" s="2297">
        <v>69.010000000000005</v>
      </c>
      <c r="AH670" s="2297" t="s">
        <v>331</v>
      </c>
      <c r="AI670" s="1390"/>
      <c r="AJ670" s="2282"/>
      <c r="AK670" s="2282"/>
      <c r="AL670" s="1037"/>
      <c r="AR670" s="338">
        <v>83.01</v>
      </c>
      <c r="AS670" s="338" t="s">
        <v>340</v>
      </c>
      <c r="AX670" s="340">
        <v>12.01</v>
      </c>
      <c r="AY670" s="340" t="s">
        <v>304</v>
      </c>
      <c r="BH670" s="338">
        <v>305.07</v>
      </c>
      <c r="BI670" s="338" t="s">
        <v>322</v>
      </c>
      <c r="BN670" s="340">
        <v>62</v>
      </c>
      <c r="BO670" s="340" t="s">
        <v>316</v>
      </c>
      <c r="BP670" s="1385"/>
      <c r="BV670" s="338">
        <v>1103.57</v>
      </c>
      <c r="BW670" s="338" t="s">
        <v>289</v>
      </c>
      <c r="CB670" s="340">
        <v>1</v>
      </c>
      <c r="CC670" s="340" t="s">
        <v>304</v>
      </c>
      <c r="CE670" s="341" t="str">
        <f t="array" ref="CE670">IFERROR(IF($CE$11="Metro",INDEX($BV$13:$BV$4972,SMALL(IF((County=$BW$13:$BW$4972),MATCH(ROW($BW$13:$BW$4972),ROW($BW$13:$BW$4972)),""),ROWS($A$13:$A728))),INDEX($BY$13:$BY$212,SMALL(IF((County=$BZ$13:$BZ$212),MATCH(ROW($BZ$13:$BZ$212),ROW($BZ$13:$BZ$212)),""),ROWS($A$13:$A728)))),"")</f>
        <v/>
      </c>
      <c r="CL670" s="236">
        <v>19.13</v>
      </c>
      <c r="CM670" s="236" t="s">
        <v>323</v>
      </c>
      <c r="CR670" s="340">
        <v>64</v>
      </c>
      <c r="CS670" s="340" t="s">
        <v>316</v>
      </c>
      <c r="CT670" s="1384"/>
      <c r="CZ670" s="1795">
        <v>177.03</v>
      </c>
      <c r="DA670" s="338" t="s">
        <v>338</v>
      </c>
      <c r="DF670" s="340">
        <v>33.01</v>
      </c>
      <c r="DG670" s="340" t="s">
        <v>304</v>
      </c>
      <c r="DP670" s="236">
        <v>261.01</v>
      </c>
      <c r="DQ670" s="236" t="s">
        <v>342</v>
      </c>
      <c r="DV670" s="340">
        <v>69</v>
      </c>
      <c r="DW670" s="340" t="s">
        <v>316</v>
      </c>
      <c r="DX670" s="1671"/>
      <c r="EB670" s="618"/>
      <c r="EC670" s="618"/>
      <c r="ED670" s="618"/>
      <c r="EE670" s="618"/>
      <c r="EF670" s="618"/>
      <c r="EG670" s="618"/>
      <c r="EH670" s="618"/>
      <c r="EI670" s="618"/>
      <c r="EJ670" s="618"/>
      <c r="EK670" s="618"/>
      <c r="EL670" s="618"/>
      <c r="EM670" s="618"/>
    </row>
    <row r="671" spans="6:143">
      <c r="F671" s="338">
        <v>82.01</v>
      </c>
      <c r="G671" s="338" t="s">
        <v>340</v>
      </c>
      <c r="L671" s="2481">
        <v>36.07</v>
      </c>
      <c r="M671" s="340" t="s">
        <v>304</v>
      </c>
      <c r="N671" s="1390"/>
      <c r="O671" s="2479"/>
      <c r="P671" s="2282"/>
      <c r="AA671" s="338">
        <v>312.05</v>
      </c>
      <c r="AB671" s="338" t="s">
        <v>341</v>
      </c>
      <c r="AG671" s="2297">
        <v>69.02</v>
      </c>
      <c r="AH671" s="2297" t="s">
        <v>331</v>
      </c>
      <c r="AI671" s="1390"/>
      <c r="AJ671" s="2282"/>
      <c r="AK671" s="2282"/>
      <c r="AL671" s="1037"/>
      <c r="AR671" s="338">
        <v>83.02</v>
      </c>
      <c r="AS671" s="338" t="s">
        <v>340</v>
      </c>
      <c r="AX671" s="340">
        <v>14.01</v>
      </c>
      <c r="AY671" s="340" t="s">
        <v>304</v>
      </c>
      <c r="BH671" s="338">
        <v>306.01</v>
      </c>
      <c r="BI671" s="338" t="s">
        <v>322</v>
      </c>
      <c r="BN671" s="340">
        <v>62.02</v>
      </c>
      <c r="BO671" s="340" t="s">
        <v>340</v>
      </c>
      <c r="BP671" s="1385"/>
      <c r="BV671" s="338">
        <v>1103.58</v>
      </c>
      <c r="BW671" s="338" t="s">
        <v>289</v>
      </c>
      <c r="CB671" s="340">
        <v>3</v>
      </c>
      <c r="CC671" s="340" t="s">
        <v>304</v>
      </c>
      <c r="CE671" s="341" t="str">
        <f t="array" ref="CE671">IFERROR(IF($CE$11="Metro",INDEX($BV$13:$BV$4972,SMALL(IF((County=$BW$13:$BW$4972),MATCH(ROW($BW$13:$BW$4972),ROW($BW$13:$BW$4972)),""),ROWS($A$13:$A729))),INDEX($BY$13:$BY$212,SMALL(IF((County=$BZ$13:$BZ$212),MATCH(ROW($BZ$13:$BZ$212),ROW($BZ$13:$BZ$212)),""),ROWS($A$13:$A729)))),"")</f>
        <v/>
      </c>
      <c r="CL671" s="236">
        <v>19.13</v>
      </c>
      <c r="CM671" s="236" t="s">
        <v>328</v>
      </c>
      <c r="CR671" s="340">
        <v>64.010000000000005</v>
      </c>
      <c r="CS671" s="340" t="s">
        <v>340</v>
      </c>
      <c r="CT671" s="1384"/>
      <c r="CZ671" s="1795">
        <v>180</v>
      </c>
      <c r="DA671" s="338" t="s">
        <v>338</v>
      </c>
      <c r="DF671" s="340">
        <v>33.049999999999997</v>
      </c>
      <c r="DG671" s="340" t="s">
        <v>304</v>
      </c>
      <c r="DP671" s="236">
        <v>262</v>
      </c>
      <c r="DQ671" s="236" t="s">
        <v>342</v>
      </c>
      <c r="DV671" s="340">
        <v>69.010000000000005</v>
      </c>
      <c r="DW671" s="340" t="s">
        <v>331</v>
      </c>
      <c r="DX671" s="1671"/>
      <c r="EB671" s="618"/>
      <c r="EC671" s="618"/>
      <c r="ED671" s="618"/>
      <c r="EE671" s="618"/>
      <c r="EF671" s="618"/>
      <c r="EG671" s="618"/>
      <c r="EH671" s="618"/>
      <c r="EI671" s="618"/>
      <c r="EJ671" s="618"/>
      <c r="EK671" s="618"/>
      <c r="EL671" s="618"/>
      <c r="EM671" s="618"/>
    </row>
    <row r="672" spans="6:143">
      <c r="F672" s="338">
        <v>82.02</v>
      </c>
      <c r="G672" s="338" t="s">
        <v>340</v>
      </c>
      <c r="L672" s="2481">
        <v>36.08</v>
      </c>
      <c r="M672" s="340" t="s">
        <v>304</v>
      </c>
      <c r="N672" s="1390"/>
      <c r="O672" s="2479"/>
      <c r="P672" s="2282"/>
      <c r="AA672" s="338">
        <v>312.06</v>
      </c>
      <c r="AB672" s="338" t="s">
        <v>341</v>
      </c>
      <c r="AG672" s="2297">
        <v>69.069999999999993</v>
      </c>
      <c r="AH672" s="2297" t="s">
        <v>340</v>
      </c>
      <c r="AI672" s="1390"/>
      <c r="AJ672" s="2282"/>
      <c r="AK672" s="2282"/>
      <c r="AL672" s="1037"/>
      <c r="AR672" s="338">
        <v>2.0299999999999998</v>
      </c>
      <c r="AS672" s="338" t="s">
        <v>341</v>
      </c>
      <c r="AX672" s="340">
        <v>24</v>
      </c>
      <c r="AY672" s="340" t="s">
        <v>304</v>
      </c>
      <c r="BH672" s="338">
        <v>306.02</v>
      </c>
      <c r="BI672" s="338" t="s">
        <v>322</v>
      </c>
      <c r="BN672" s="340">
        <v>62.03</v>
      </c>
      <c r="BO672" s="340" t="s">
        <v>331</v>
      </c>
      <c r="BP672" s="1385"/>
      <c r="BV672" s="338">
        <v>1103.5899999999999</v>
      </c>
      <c r="BW672" s="338" t="s">
        <v>289</v>
      </c>
      <c r="CB672" s="340">
        <v>5</v>
      </c>
      <c r="CC672" s="340" t="s">
        <v>304</v>
      </c>
      <c r="CE672" s="341" t="str">
        <f t="array" ref="CE672">IFERROR(IF($CE$11="Metro",INDEX($BV$13:$BV$4972,SMALL(IF((County=$BW$13:$BW$4972),MATCH(ROW($BW$13:$BW$4972),ROW($BW$13:$BW$4972)),""),ROWS($A$13:$A730))),INDEX($BY$13:$BY$212,SMALL(IF((County=$BZ$13:$BZ$212),MATCH(ROW($BZ$13:$BZ$212),ROW($BZ$13:$BZ$212)),""),ROWS($A$13:$A730)))),"")</f>
        <v/>
      </c>
      <c r="CL672" s="236">
        <v>19.13</v>
      </c>
      <c r="CM672" s="236" t="s">
        <v>340</v>
      </c>
      <c r="CR672" s="340">
        <v>64.02</v>
      </c>
      <c r="CS672" s="340" t="s">
        <v>340</v>
      </c>
      <c r="CT672" s="1384"/>
      <c r="CZ672" s="1795">
        <v>187</v>
      </c>
      <c r="DA672" s="338" t="s">
        <v>338</v>
      </c>
      <c r="DF672" s="340">
        <v>33.1</v>
      </c>
      <c r="DG672" s="340" t="s">
        <v>304</v>
      </c>
      <c r="DP672" s="236">
        <v>263</v>
      </c>
      <c r="DQ672" s="236" t="s">
        <v>342</v>
      </c>
      <c r="DV672" s="340">
        <v>69.02</v>
      </c>
      <c r="DW672" s="340" t="s">
        <v>331</v>
      </c>
      <c r="DX672" s="1671"/>
      <c r="EB672" s="618"/>
      <c r="EC672" s="618"/>
      <c r="ED672" s="618"/>
      <c r="EE672" s="618"/>
      <c r="EF672" s="618"/>
      <c r="EG672" s="618"/>
      <c r="EH672" s="618"/>
      <c r="EI672" s="618"/>
      <c r="EJ672" s="618"/>
      <c r="EK672" s="618"/>
      <c r="EL672" s="618"/>
      <c r="EM672" s="618"/>
    </row>
    <row r="673" spans="6:143">
      <c r="F673" s="338">
        <v>82.03</v>
      </c>
      <c r="G673" s="338" t="s">
        <v>340</v>
      </c>
      <c r="L673" s="2481">
        <v>36.1</v>
      </c>
      <c r="M673" s="340" t="s">
        <v>304</v>
      </c>
      <c r="N673" s="1390"/>
      <c r="O673" s="2479"/>
      <c r="P673" s="2282"/>
      <c r="AA673" s="338">
        <v>314</v>
      </c>
      <c r="AB673" s="338" t="s">
        <v>296</v>
      </c>
      <c r="AG673" s="2297">
        <v>69.09</v>
      </c>
      <c r="AH673" s="2297" t="s">
        <v>340</v>
      </c>
      <c r="AI673" s="1390"/>
      <c r="AJ673" s="2282"/>
      <c r="AK673" s="2282"/>
      <c r="AL673" s="1037"/>
      <c r="AR673" s="338">
        <v>302.04000000000002</v>
      </c>
      <c r="AS673" s="338" t="s">
        <v>341</v>
      </c>
      <c r="AX673" s="340">
        <v>25</v>
      </c>
      <c r="AY673" s="340" t="s">
        <v>304</v>
      </c>
      <c r="BH673" s="338">
        <v>306.02</v>
      </c>
      <c r="BI673" s="338" t="s">
        <v>341</v>
      </c>
      <c r="BN673" s="340">
        <v>62.05</v>
      </c>
      <c r="BO673" s="340" t="s">
        <v>331</v>
      </c>
      <c r="BP673" s="1385"/>
      <c r="BV673" s="338">
        <v>1103.5999999999999</v>
      </c>
      <c r="BW673" s="338" t="s">
        <v>289</v>
      </c>
      <c r="CB673" s="340">
        <v>8.01</v>
      </c>
      <c r="CC673" s="340" t="s">
        <v>304</v>
      </c>
      <c r="CE673" s="341" t="str">
        <f t="array" ref="CE673">IFERROR(IF($CE$11="Metro",INDEX($BV$13:$BV$4972,SMALL(IF((County=$BW$13:$BW$4972),MATCH(ROW($BW$13:$BW$4972),ROW($BW$13:$BW$4972)),""),ROWS($A$13:$A731))),INDEX($BY$13:$BY$212,SMALL(IF((County=$BZ$13:$BZ$212),MATCH(ROW($BZ$13:$BZ$212),ROW($BZ$13:$BZ$212)),""),ROWS($A$13:$A731)))),"")</f>
        <v/>
      </c>
      <c r="CL673" s="236">
        <v>19.14</v>
      </c>
      <c r="CM673" s="236" t="s">
        <v>328</v>
      </c>
      <c r="CR673" s="340">
        <v>65.010000000000005</v>
      </c>
      <c r="CS673" s="340" t="s">
        <v>316</v>
      </c>
      <c r="CT673" s="1384"/>
      <c r="CZ673" s="1795">
        <v>189.01</v>
      </c>
      <c r="DA673" s="338" t="s">
        <v>338</v>
      </c>
      <c r="DF673" s="340">
        <v>33.11</v>
      </c>
      <c r="DG673" s="340" t="s">
        <v>304</v>
      </c>
      <c r="DP673" s="236">
        <v>264.02</v>
      </c>
      <c r="DQ673" s="236" t="s">
        <v>342</v>
      </c>
      <c r="DV673" s="340">
        <v>69.06</v>
      </c>
      <c r="DW673" s="340" t="s">
        <v>340</v>
      </c>
      <c r="DX673" s="1671"/>
      <c r="EB673" s="618"/>
      <c r="EC673" s="618"/>
      <c r="ED673" s="618"/>
      <c r="EE673" s="618"/>
      <c r="EF673" s="618"/>
      <c r="EG673" s="618"/>
      <c r="EH673" s="618"/>
      <c r="EI673" s="618"/>
      <c r="EJ673" s="618"/>
      <c r="EK673" s="618"/>
      <c r="EL673" s="618"/>
      <c r="EM673" s="618"/>
    </row>
    <row r="674" spans="6:143">
      <c r="F674" s="338">
        <v>83.02</v>
      </c>
      <c r="G674" s="338" t="s">
        <v>340</v>
      </c>
      <c r="L674" s="2481">
        <v>36.11</v>
      </c>
      <c r="M674" s="340" t="s">
        <v>304</v>
      </c>
      <c r="N674" s="1390"/>
      <c r="O674" s="2479"/>
      <c r="P674" s="2282"/>
      <c r="AA674" s="338">
        <v>314.01</v>
      </c>
      <c r="AB674" s="338" t="s">
        <v>341</v>
      </c>
      <c r="AG674" s="2297">
        <v>69.12</v>
      </c>
      <c r="AH674" s="2297" t="s">
        <v>340</v>
      </c>
      <c r="AI674" s="1390"/>
      <c r="AJ674" s="2282"/>
      <c r="AK674" s="2282"/>
      <c r="AL674" s="1037"/>
      <c r="AR674" s="338">
        <v>304.07</v>
      </c>
      <c r="AS674" s="338" t="s">
        <v>341</v>
      </c>
      <c r="AX674" s="340">
        <v>26.01</v>
      </c>
      <c r="AY674" s="340" t="s">
        <v>304</v>
      </c>
      <c r="BH674" s="338">
        <v>308</v>
      </c>
      <c r="BI674" s="338" t="s">
        <v>341</v>
      </c>
      <c r="BN674" s="340">
        <v>62.06</v>
      </c>
      <c r="BO674" s="340" t="s">
        <v>331</v>
      </c>
      <c r="BP674" s="1385"/>
      <c r="BV674" s="338">
        <v>1103.6099999999999</v>
      </c>
      <c r="BW674" s="338" t="s">
        <v>289</v>
      </c>
      <c r="CB674" s="340">
        <v>8.02</v>
      </c>
      <c r="CC674" s="340" t="s">
        <v>304</v>
      </c>
      <c r="CE674" s="341" t="str">
        <f t="array" ref="CE674">IFERROR(IF($CE$11="Metro",INDEX($BV$13:$BV$4972,SMALL(IF((County=$BW$13:$BW$4972),MATCH(ROW($BW$13:$BW$4972),ROW($BW$13:$BW$4972)),""),ROWS($A$13:$A732))),INDEX($BY$13:$BY$212,SMALL(IF((County=$BZ$13:$BZ$212),MATCH(ROW($BZ$13:$BZ$212),ROW($BZ$13:$BZ$212)),""),ROWS($A$13:$A732)))),"")</f>
        <v/>
      </c>
      <c r="CL674" s="236">
        <v>19.149999999999999</v>
      </c>
      <c r="CM674" s="236" t="s">
        <v>323</v>
      </c>
      <c r="CR674" s="340">
        <v>65.010000000000005</v>
      </c>
      <c r="CS674" s="340" t="s">
        <v>331</v>
      </c>
      <c r="CT674" s="1384"/>
      <c r="CZ674" s="1795">
        <v>409.04</v>
      </c>
      <c r="DA674" s="338" t="s">
        <v>339</v>
      </c>
      <c r="DF674" s="340">
        <v>35.06</v>
      </c>
      <c r="DG674" s="340" t="s">
        <v>304</v>
      </c>
      <c r="DP674" s="236">
        <v>267.02999999999997</v>
      </c>
      <c r="DQ674" s="236" t="s">
        <v>342</v>
      </c>
      <c r="DV674" s="340">
        <v>69.069999999999993</v>
      </c>
      <c r="DW674" s="340" t="s">
        <v>340</v>
      </c>
      <c r="DX674" s="1671"/>
      <c r="EB674" s="618"/>
      <c r="EC674" s="618"/>
      <c r="ED674" s="618"/>
      <c r="EE674" s="618"/>
      <c r="EF674" s="618"/>
      <c r="EG674" s="618"/>
      <c r="EH674" s="618"/>
      <c r="EI674" s="618"/>
      <c r="EJ674" s="618"/>
      <c r="EK674" s="618"/>
      <c r="EL674" s="618"/>
      <c r="EM674" s="618"/>
    </row>
    <row r="675" spans="6:143">
      <c r="F675" s="338">
        <v>302.02999999999997</v>
      </c>
      <c r="G675" s="338" t="s">
        <v>341</v>
      </c>
      <c r="L675" s="2481">
        <v>36.119999999999997</v>
      </c>
      <c r="M675" s="340" t="s">
        <v>304</v>
      </c>
      <c r="N675" s="1390"/>
      <c r="O675" s="2479"/>
      <c r="P675" s="2282"/>
      <c r="AA675" s="338">
        <v>314.06</v>
      </c>
      <c r="AB675" s="338" t="s">
        <v>341</v>
      </c>
      <c r="AG675" s="2297">
        <v>70.02</v>
      </c>
      <c r="AH675" s="2297" t="s">
        <v>316</v>
      </c>
      <c r="AI675" s="1390"/>
      <c r="AJ675" s="2282"/>
      <c r="AK675" s="2282"/>
      <c r="AL675" s="1037"/>
      <c r="AR675" s="338">
        <v>304.08</v>
      </c>
      <c r="AS675" s="338" t="s">
        <v>341</v>
      </c>
      <c r="AX675" s="340">
        <v>26.02</v>
      </c>
      <c r="AY675" s="340" t="s">
        <v>304</v>
      </c>
      <c r="BH675" s="338">
        <v>308.02999999999997</v>
      </c>
      <c r="BI675" s="338" t="s">
        <v>289</v>
      </c>
      <c r="BN675" s="340">
        <v>63</v>
      </c>
      <c r="BO675" s="340" t="s">
        <v>316</v>
      </c>
      <c r="BP675" s="1385"/>
      <c r="BV675" s="338">
        <v>1103.6199999999999</v>
      </c>
      <c r="BW675" s="338" t="s">
        <v>289</v>
      </c>
      <c r="CB675" s="340">
        <v>9</v>
      </c>
      <c r="CC675" s="340" t="s">
        <v>304</v>
      </c>
      <c r="CE675" s="341" t="str">
        <f t="array" ref="CE675">IFERROR(IF($CE$11="Metro",INDEX($BV$13:$BV$4972,SMALL(IF((County=$BW$13:$BW$4972),MATCH(ROW($BW$13:$BW$4972),ROW($BW$13:$BW$4972)),""),ROWS($A$13:$A733))),INDEX($BY$13:$BY$212,SMALL(IF((County=$BZ$13:$BZ$212),MATCH(ROW($BZ$13:$BZ$212),ROW($BZ$13:$BZ$212)),""),ROWS($A$13:$A733)))),"")</f>
        <v/>
      </c>
      <c r="CL675" s="236">
        <v>19.149999999999999</v>
      </c>
      <c r="CM675" s="236" t="s">
        <v>328</v>
      </c>
      <c r="CR675" s="340">
        <v>65.010000000000005</v>
      </c>
      <c r="CS675" s="340" t="s">
        <v>340</v>
      </c>
      <c r="CT675" s="1384"/>
      <c r="CZ675" s="1795">
        <v>410.05</v>
      </c>
      <c r="DA675" s="338" t="s">
        <v>339</v>
      </c>
      <c r="DF675" s="340">
        <v>35.07</v>
      </c>
      <c r="DG675" s="340" t="s">
        <v>304</v>
      </c>
      <c r="DP675" s="236">
        <v>268.18</v>
      </c>
      <c r="DQ675" s="236" t="s">
        <v>342</v>
      </c>
      <c r="DV675" s="340">
        <v>69.11</v>
      </c>
      <c r="DW675" s="340" t="s">
        <v>340</v>
      </c>
      <c r="DX675" s="1671"/>
      <c r="EB675" s="618"/>
      <c r="EC675" s="618"/>
      <c r="ED675" s="618"/>
      <c r="EE675" s="618"/>
      <c r="EF675" s="618"/>
      <c r="EG675" s="618"/>
      <c r="EH675" s="618"/>
      <c r="EI675" s="618"/>
      <c r="EJ675" s="618"/>
      <c r="EK675" s="618"/>
      <c r="EL675" s="618"/>
      <c r="EM675" s="618"/>
    </row>
    <row r="676" spans="6:143">
      <c r="F676" s="338">
        <v>302.04000000000002</v>
      </c>
      <c r="G676" s="338" t="s">
        <v>341</v>
      </c>
      <c r="L676" s="2481">
        <v>36.130000000000003</v>
      </c>
      <c r="M676" s="340" t="s">
        <v>304</v>
      </c>
      <c r="N676" s="1390"/>
      <c r="O676" s="2479"/>
      <c r="P676" s="2282"/>
      <c r="AA676" s="338">
        <v>314.11</v>
      </c>
      <c r="AB676" s="338" t="s">
        <v>341</v>
      </c>
      <c r="AG676" s="2297">
        <v>70.03</v>
      </c>
      <c r="AH676" s="2297" t="s">
        <v>331</v>
      </c>
      <c r="AI676" s="1390"/>
      <c r="AJ676" s="2282"/>
      <c r="AK676" s="2282"/>
      <c r="AL676" s="1037"/>
      <c r="AR676" s="338">
        <v>304.10000000000002</v>
      </c>
      <c r="AS676" s="338" t="s">
        <v>341</v>
      </c>
      <c r="AX676" s="340">
        <v>26.04</v>
      </c>
      <c r="AY676" s="340" t="s">
        <v>304</v>
      </c>
      <c r="BH676" s="338">
        <v>308.04000000000002</v>
      </c>
      <c r="BI676" s="338" t="s">
        <v>289</v>
      </c>
      <c r="BN676" s="340">
        <v>63.01</v>
      </c>
      <c r="BO676" s="340" t="s">
        <v>340</v>
      </c>
      <c r="BP676" s="1385"/>
      <c r="BV676" s="338">
        <v>1103.6300000000001</v>
      </c>
      <c r="BW676" s="338" t="s">
        <v>289</v>
      </c>
      <c r="CB676" s="340">
        <v>10.01</v>
      </c>
      <c r="CC676" s="340" t="s">
        <v>304</v>
      </c>
      <c r="CE676" s="341" t="str">
        <f t="array" ref="CE676">IFERROR(IF($CE$11="Metro",INDEX($BV$13:$BV$4972,SMALL(IF((County=$BW$13:$BW$4972),MATCH(ROW($BW$13:$BW$4972),ROW($BW$13:$BW$4972)),""),ROWS($A$13:$A734))),INDEX($BY$13:$BY$212,SMALL(IF((County=$BZ$13:$BZ$212),MATCH(ROW($BZ$13:$BZ$212),ROW($BZ$13:$BZ$212)),""),ROWS($A$13:$A734)))),"")</f>
        <v/>
      </c>
      <c r="CL676" s="236">
        <v>19.16</v>
      </c>
      <c r="CM676" s="236" t="s">
        <v>323</v>
      </c>
      <c r="CR676" s="340">
        <v>65.02</v>
      </c>
      <c r="CS676" s="340" t="s">
        <v>340</v>
      </c>
      <c r="CT676" s="1384"/>
      <c r="CZ676" s="1795">
        <v>411.01</v>
      </c>
      <c r="DA676" s="338" t="s">
        <v>339</v>
      </c>
      <c r="DF676" s="340">
        <v>35.11</v>
      </c>
      <c r="DG676" s="340" t="s">
        <v>304</v>
      </c>
      <c r="DP676" s="236">
        <v>269.04000000000002</v>
      </c>
      <c r="DQ676" s="236" t="s">
        <v>342</v>
      </c>
      <c r="DV676" s="340">
        <v>69.12</v>
      </c>
      <c r="DW676" s="340" t="s">
        <v>340</v>
      </c>
      <c r="DX676" s="1671"/>
      <c r="EB676" s="618"/>
      <c r="EC676" s="618"/>
      <c r="ED676" s="618"/>
      <c r="EE676" s="618"/>
      <c r="EF676" s="618"/>
      <c r="EG676" s="618"/>
      <c r="EH676" s="618"/>
      <c r="EI676" s="618"/>
      <c r="EJ676" s="618"/>
      <c r="EK676" s="618"/>
      <c r="EL676" s="618"/>
      <c r="EM676" s="618"/>
    </row>
    <row r="677" spans="6:143">
      <c r="F677" s="338">
        <v>304.05</v>
      </c>
      <c r="G677" s="338" t="s">
        <v>341</v>
      </c>
      <c r="L677" s="2481">
        <v>37</v>
      </c>
      <c r="M677" s="340" t="s">
        <v>304</v>
      </c>
      <c r="N677" s="1390"/>
      <c r="O677" s="2479"/>
      <c r="P677" s="2282"/>
      <c r="AA677" s="338">
        <v>314.12</v>
      </c>
      <c r="AB677" s="338" t="s">
        <v>341</v>
      </c>
      <c r="AG677" s="2297">
        <v>70.040000000000006</v>
      </c>
      <c r="AH677" s="2297" t="s">
        <v>331</v>
      </c>
      <c r="AI677" s="1390"/>
      <c r="AJ677" s="2282"/>
      <c r="AK677" s="2282"/>
      <c r="AL677" s="1037"/>
      <c r="AR677" s="338">
        <v>304.11</v>
      </c>
      <c r="AS677" s="338" t="s">
        <v>341</v>
      </c>
      <c r="AX677" s="340">
        <v>26.05</v>
      </c>
      <c r="AY677" s="340" t="s">
        <v>304</v>
      </c>
      <c r="BH677" s="338">
        <v>309.01</v>
      </c>
      <c r="BI677" s="338" t="s">
        <v>341</v>
      </c>
      <c r="BN677" s="340">
        <v>63.02</v>
      </c>
      <c r="BO677" s="340" t="s">
        <v>331</v>
      </c>
      <c r="BP677" s="1385"/>
      <c r="BV677" s="338">
        <v>1103.6400000000001</v>
      </c>
      <c r="BW677" s="338" t="s">
        <v>289</v>
      </c>
      <c r="CB677" s="340">
        <v>10.02</v>
      </c>
      <c r="CC677" s="340" t="s">
        <v>304</v>
      </c>
      <c r="CE677" s="341" t="str">
        <f t="array" ref="CE677">IFERROR(IF($CE$11="Metro",INDEX($BV$13:$BV$4972,SMALL(IF((County=$BW$13:$BW$4972),MATCH(ROW($BW$13:$BW$4972),ROW($BW$13:$BW$4972)),""),ROWS($A$13:$A735))),INDEX($BY$13:$BY$212,SMALL(IF((County=$BZ$13:$BZ$212),MATCH(ROW($BZ$13:$BZ$212),ROW($BZ$13:$BZ$212)),""),ROWS($A$13:$A735)))),"")</f>
        <v/>
      </c>
      <c r="CL677" s="236">
        <v>19.16</v>
      </c>
      <c r="CM677" s="236" t="s">
        <v>328</v>
      </c>
      <c r="CR677" s="340">
        <v>65.03</v>
      </c>
      <c r="CS677" s="340" t="s">
        <v>316</v>
      </c>
      <c r="CT677" s="1384"/>
      <c r="CZ677" s="1795">
        <v>413.01</v>
      </c>
      <c r="DA677" s="338" t="s">
        <v>339</v>
      </c>
      <c r="DF677" s="340">
        <v>35.119999999999997</v>
      </c>
      <c r="DG677" s="340" t="s">
        <v>304</v>
      </c>
      <c r="DP677" s="236">
        <v>269.12</v>
      </c>
      <c r="DQ677" s="236" t="s">
        <v>342</v>
      </c>
      <c r="DV677" s="340">
        <v>70.02</v>
      </c>
      <c r="DW677" s="340" t="s">
        <v>316</v>
      </c>
      <c r="DX677" s="1671"/>
      <c r="EB677" s="618"/>
      <c r="EC677" s="618"/>
      <c r="ED677" s="618"/>
      <c r="EE677" s="618"/>
      <c r="EF677" s="618"/>
      <c r="EG677" s="618"/>
      <c r="EH677" s="618"/>
      <c r="EI677" s="618"/>
      <c r="EJ677" s="618"/>
      <c r="EK677" s="618"/>
      <c r="EL677" s="618"/>
      <c r="EM677" s="618"/>
    </row>
    <row r="678" spans="6:143">
      <c r="F678" s="338">
        <v>304.08</v>
      </c>
      <c r="G678" s="338" t="s">
        <v>341</v>
      </c>
      <c r="L678" s="2481">
        <v>38</v>
      </c>
      <c r="M678" s="340" t="s">
        <v>304</v>
      </c>
      <c r="N678" s="1390"/>
      <c r="O678" s="2479"/>
      <c r="P678" s="2282"/>
      <c r="AA678" s="338">
        <v>315.06</v>
      </c>
      <c r="AB678" s="338" t="s">
        <v>341</v>
      </c>
      <c r="AG678" s="2297">
        <v>70.05</v>
      </c>
      <c r="AH678" s="2297" t="s">
        <v>340</v>
      </c>
      <c r="AI678" s="1390"/>
      <c r="AJ678" s="2282"/>
      <c r="AK678" s="2282"/>
      <c r="AL678" s="1037"/>
      <c r="AR678" s="338">
        <v>304.12</v>
      </c>
      <c r="AS678" s="338" t="s">
        <v>341</v>
      </c>
      <c r="AX678" s="340">
        <v>26.06</v>
      </c>
      <c r="AY678" s="340" t="s">
        <v>304</v>
      </c>
      <c r="BH678" s="338">
        <v>310.01</v>
      </c>
      <c r="BI678" s="338" t="s">
        <v>289</v>
      </c>
      <c r="BN678" s="340">
        <v>63.02</v>
      </c>
      <c r="BO678" s="340" t="s">
        <v>340</v>
      </c>
      <c r="BP678" s="1385"/>
      <c r="BV678" s="338">
        <v>1103.6500000000001</v>
      </c>
      <c r="BW678" s="338" t="s">
        <v>289</v>
      </c>
      <c r="CB678" s="340">
        <v>11.01</v>
      </c>
      <c r="CC678" s="340" t="s">
        <v>304</v>
      </c>
      <c r="CE678" s="341" t="str">
        <f t="array" ref="CE678">IFERROR(IF($CE$11="Metro",INDEX($BV$13:$BV$4972,SMALL(IF((County=$BW$13:$BW$4972),MATCH(ROW($BW$13:$BW$4972),ROW($BW$13:$BW$4972)),""),ROWS($A$13:$A736))),INDEX($BY$13:$BY$212,SMALL(IF((County=$BZ$13:$BZ$212),MATCH(ROW($BZ$13:$BZ$212),ROW($BZ$13:$BZ$212)),""),ROWS($A$13:$A736)))),"")</f>
        <v/>
      </c>
      <c r="CL678" s="236">
        <v>19.16</v>
      </c>
      <c r="CM678" s="236" t="s">
        <v>340</v>
      </c>
      <c r="CR678" s="340">
        <v>65.03</v>
      </c>
      <c r="CS678" s="340" t="s">
        <v>331</v>
      </c>
      <c r="CT678" s="1384"/>
      <c r="CZ678" s="1795">
        <v>416</v>
      </c>
      <c r="DA678" s="338" t="s">
        <v>339</v>
      </c>
      <c r="DF678" s="340">
        <v>36.03</v>
      </c>
      <c r="DG678" s="340" t="s">
        <v>304</v>
      </c>
      <c r="DP678" s="236">
        <v>271.08</v>
      </c>
      <c r="DQ678" s="236" t="s">
        <v>342</v>
      </c>
      <c r="DV678" s="340">
        <v>70.03</v>
      </c>
      <c r="DW678" s="340" t="s">
        <v>331</v>
      </c>
      <c r="DX678" s="1671"/>
      <c r="EB678" s="618"/>
      <c r="EC678" s="618"/>
      <c r="ED678" s="618"/>
      <c r="EE678" s="618"/>
      <c r="EF678" s="618"/>
      <c r="EG678" s="618"/>
      <c r="EH678" s="618"/>
      <c r="EI678" s="618"/>
      <c r="EJ678" s="618"/>
      <c r="EK678" s="618"/>
      <c r="EL678" s="618"/>
      <c r="EM678" s="618"/>
    </row>
    <row r="679" spans="6:143">
      <c r="F679" s="338">
        <v>304.10000000000002</v>
      </c>
      <c r="G679" s="338" t="s">
        <v>341</v>
      </c>
      <c r="L679" s="2481">
        <v>39</v>
      </c>
      <c r="M679" s="340" t="s">
        <v>304</v>
      </c>
      <c r="N679" s="1390"/>
      <c r="O679" s="2479"/>
      <c r="P679" s="2282"/>
      <c r="AA679" s="338">
        <v>317.02999999999997</v>
      </c>
      <c r="AB679" s="338" t="s">
        <v>341</v>
      </c>
      <c r="AG679" s="2297">
        <v>70.06</v>
      </c>
      <c r="AH679" s="2297" t="s">
        <v>331</v>
      </c>
      <c r="AI679" s="1390"/>
      <c r="AJ679" s="2282"/>
      <c r="AK679" s="2282"/>
      <c r="AL679" s="1037"/>
      <c r="AR679" s="338">
        <v>305.01</v>
      </c>
      <c r="AS679" s="338" t="s">
        <v>341</v>
      </c>
      <c r="AX679" s="340">
        <v>26.07</v>
      </c>
      <c r="AY679" s="340" t="s">
        <v>304</v>
      </c>
      <c r="BH679" s="338">
        <v>310.05</v>
      </c>
      <c r="BI679" s="338" t="s">
        <v>341</v>
      </c>
      <c r="BN679" s="340">
        <v>63.03</v>
      </c>
      <c r="BO679" s="340" t="s">
        <v>331</v>
      </c>
      <c r="BP679" s="1385"/>
      <c r="BV679" s="338">
        <v>1103.6600000000001</v>
      </c>
      <c r="BW679" s="338" t="s">
        <v>289</v>
      </c>
      <c r="CB679" s="340">
        <v>11.03</v>
      </c>
      <c r="CC679" s="340" t="s">
        <v>304</v>
      </c>
      <c r="CE679" s="341" t="str">
        <f t="array" ref="CE679">IFERROR(IF($CE$11="Metro",INDEX($BV$13:$BV$4972,SMALL(IF((County=$BW$13:$BW$4972),MATCH(ROW($BW$13:$BW$4972),ROW($BW$13:$BW$4972)),""),ROWS($A$13:$A737))),INDEX($BY$13:$BY$212,SMALL(IF((County=$BZ$13:$BZ$212),MATCH(ROW($BZ$13:$BZ$212),ROW($BZ$13:$BZ$212)),""),ROWS($A$13:$A737)))),"")</f>
        <v/>
      </c>
      <c r="CL679" s="236">
        <v>19.170000000000002</v>
      </c>
      <c r="CM679" s="236" t="s">
        <v>323</v>
      </c>
      <c r="CR679" s="340">
        <v>65.040000000000006</v>
      </c>
      <c r="CS679" s="340" t="s">
        <v>316</v>
      </c>
      <c r="CT679" s="1384"/>
      <c r="CZ679" s="1795">
        <v>417</v>
      </c>
      <c r="DA679" s="338" t="s">
        <v>339</v>
      </c>
      <c r="DF679" s="340">
        <v>36.08</v>
      </c>
      <c r="DG679" s="340" t="s">
        <v>304</v>
      </c>
      <c r="DP679" s="236">
        <v>274.04000000000002</v>
      </c>
      <c r="DQ679" s="236" t="s">
        <v>342</v>
      </c>
      <c r="DV679" s="340">
        <v>70.040000000000006</v>
      </c>
      <c r="DW679" s="340" t="s">
        <v>331</v>
      </c>
      <c r="DX679" s="1671"/>
      <c r="EB679" s="618"/>
      <c r="EC679" s="618"/>
      <c r="ED679" s="618"/>
      <c r="EE679" s="618"/>
      <c r="EF679" s="618"/>
      <c r="EG679" s="618"/>
      <c r="EH679" s="618"/>
      <c r="EI679" s="618"/>
      <c r="EJ679" s="618"/>
      <c r="EK679" s="618"/>
      <c r="EL679" s="618"/>
      <c r="EM679" s="618"/>
    </row>
    <row r="680" spans="6:143">
      <c r="F680" s="338">
        <v>304.12</v>
      </c>
      <c r="G680" s="338" t="s">
        <v>341</v>
      </c>
      <c r="L680" s="2481">
        <v>601.04999999999995</v>
      </c>
      <c r="M680" s="340" t="s">
        <v>305</v>
      </c>
      <c r="N680" s="1390"/>
      <c r="O680" s="2479"/>
      <c r="P680" s="2282"/>
      <c r="AA680" s="338">
        <v>318.07</v>
      </c>
      <c r="AB680" s="338" t="s">
        <v>341</v>
      </c>
      <c r="AG680" s="2297">
        <v>70.06</v>
      </c>
      <c r="AH680" s="2297" t="s">
        <v>340</v>
      </c>
      <c r="AI680" s="1390"/>
      <c r="AJ680" s="2282"/>
      <c r="AK680" s="2282"/>
      <c r="AL680" s="1037"/>
      <c r="AR680" s="338">
        <v>306.02</v>
      </c>
      <c r="AS680" s="338" t="s">
        <v>341</v>
      </c>
      <c r="AX680" s="340">
        <v>27.01</v>
      </c>
      <c r="AY680" s="340" t="s">
        <v>304</v>
      </c>
      <c r="BH680" s="338">
        <v>310.06</v>
      </c>
      <c r="BI680" s="338" t="s">
        <v>341</v>
      </c>
      <c r="BN680" s="340">
        <v>63.04</v>
      </c>
      <c r="BO680" s="340" t="s">
        <v>331</v>
      </c>
      <c r="BP680" s="1385"/>
      <c r="BV680" s="338">
        <v>1103.67</v>
      </c>
      <c r="BW680" s="338" t="s">
        <v>289</v>
      </c>
      <c r="CB680" s="340">
        <v>11.04</v>
      </c>
      <c r="CC680" s="340" t="s">
        <v>304</v>
      </c>
      <c r="CE680" s="341" t="str">
        <f t="array" ref="CE680">IFERROR(IF($CE$11="Metro",INDEX($BV$13:$BV$4972,SMALL(IF((County=$BW$13:$BW$4972),MATCH(ROW($BW$13:$BW$4972),ROW($BW$13:$BW$4972)),""),ROWS($A$13:$A738))),INDEX($BY$13:$BY$212,SMALL(IF((County=$BZ$13:$BZ$212),MATCH(ROW($BZ$13:$BZ$212),ROW($BZ$13:$BZ$212)),""),ROWS($A$13:$A738)))),"")</f>
        <v/>
      </c>
      <c r="CL680" s="236">
        <v>19.170000000000002</v>
      </c>
      <c r="CM680" s="236" t="s">
        <v>340</v>
      </c>
      <c r="CR680" s="340">
        <v>65.040000000000006</v>
      </c>
      <c r="CS680" s="340" t="s">
        <v>331</v>
      </c>
      <c r="CT680" s="1384"/>
      <c r="CZ680" s="1795">
        <v>418</v>
      </c>
      <c r="DA680" s="338" t="s">
        <v>339</v>
      </c>
      <c r="DF680" s="340">
        <v>36.090000000000003</v>
      </c>
      <c r="DG680" s="340" t="s">
        <v>304</v>
      </c>
      <c r="DP680" s="236">
        <v>281.02999999999997</v>
      </c>
      <c r="DQ680" s="236" t="s">
        <v>342</v>
      </c>
      <c r="DV680" s="340">
        <v>70.05</v>
      </c>
      <c r="DW680" s="340" t="s">
        <v>340</v>
      </c>
      <c r="DX680" s="1671"/>
      <c r="EB680" s="618"/>
      <c r="EC680" s="618"/>
      <c r="ED680" s="618"/>
      <c r="EE680" s="618"/>
      <c r="EF680" s="618"/>
      <c r="EG680" s="618"/>
      <c r="EH680" s="618"/>
      <c r="EI680" s="618"/>
      <c r="EJ680" s="618"/>
      <c r="EK680" s="618"/>
      <c r="EL680" s="618"/>
      <c r="EM680" s="618"/>
    </row>
    <row r="681" spans="6:143">
      <c r="F681" s="338">
        <v>305.01</v>
      </c>
      <c r="G681" s="338" t="s">
        <v>341</v>
      </c>
      <c r="L681" s="2481">
        <v>601.05999999999995</v>
      </c>
      <c r="M681" s="340" t="s">
        <v>305</v>
      </c>
      <c r="N681" s="1390"/>
      <c r="O681" s="2479"/>
      <c r="P681" s="2282"/>
      <c r="AA681" s="338">
        <v>328.04</v>
      </c>
      <c r="AB681" s="338" t="s">
        <v>341</v>
      </c>
      <c r="AG681" s="2297">
        <v>70.069999999999993</v>
      </c>
      <c r="AH681" s="2297" t="s">
        <v>331</v>
      </c>
      <c r="AI681" s="1390"/>
      <c r="AJ681" s="2282"/>
      <c r="AK681" s="2282"/>
      <c r="AL681" s="1037"/>
      <c r="AR681" s="338">
        <v>308</v>
      </c>
      <c r="AS681" s="338" t="s">
        <v>341</v>
      </c>
      <c r="AX681" s="340">
        <v>28.02</v>
      </c>
      <c r="AY681" s="340" t="s">
        <v>304</v>
      </c>
      <c r="BH681" s="338">
        <v>310.07</v>
      </c>
      <c r="BI681" s="338" t="s">
        <v>341</v>
      </c>
      <c r="BN681" s="340">
        <v>64</v>
      </c>
      <c r="BO681" s="340" t="s">
        <v>316</v>
      </c>
      <c r="BP681" s="1385"/>
      <c r="BV681" s="338">
        <v>1103.68</v>
      </c>
      <c r="BW681" s="338" t="s">
        <v>289</v>
      </c>
      <c r="CB681" s="340">
        <v>12.01</v>
      </c>
      <c r="CC681" s="340" t="s">
        <v>304</v>
      </c>
      <c r="CE681" s="341" t="str">
        <f t="array" ref="CE681">IFERROR(IF($CE$11="Metro",INDEX($BV$13:$BV$4972,SMALL(IF((County=$BW$13:$BW$4972),MATCH(ROW($BW$13:$BW$4972),ROW($BW$13:$BW$4972)),""),ROWS($A$13:$A739))),INDEX($BY$13:$BY$212,SMALL(IF((County=$BZ$13:$BZ$212),MATCH(ROW($BZ$13:$BZ$212),ROW($BZ$13:$BZ$212)),""),ROWS($A$13:$A739)))),"")</f>
        <v/>
      </c>
      <c r="CL681" s="236">
        <v>19.18</v>
      </c>
      <c r="CM681" s="236" t="s">
        <v>323</v>
      </c>
      <c r="CR681" s="340">
        <v>66</v>
      </c>
      <c r="CS681" s="340" t="s">
        <v>316</v>
      </c>
      <c r="CT681" s="1384"/>
      <c r="CZ681" s="1795">
        <v>419</v>
      </c>
      <c r="DA681" s="338" t="s">
        <v>339</v>
      </c>
      <c r="DF681" s="340">
        <v>36.1</v>
      </c>
      <c r="DG681" s="340" t="s">
        <v>304</v>
      </c>
      <c r="DP681" s="236">
        <v>287</v>
      </c>
      <c r="DQ681" s="236" t="s">
        <v>342</v>
      </c>
      <c r="DV681" s="340">
        <v>70.06</v>
      </c>
      <c r="DW681" s="340" t="s">
        <v>340</v>
      </c>
      <c r="DX681" s="1671"/>
      <c r="EB681" s="618"/>
      <c r="EC681" s="618"/>
      <c r="ED681" s="618"/>
      <c r="EE681" s="618"/>
      <c r="EF681" s="618"/>
      <c r="EG681" s="618"/>
      <c r="EH681" s="618"/>
      <c r="EI681" s="618"/>
      <c r="EJ681" s="618"/>
      <c r="EK681" s="618"/>
      <c r="EL681" s="618"/>
      <c r="EM681" s="618"/>
    </row>
    <row r="682" spans="6:143">
      <c r="F682" s="338">
        <v>306.02</v>
      </c>
      <c r="G682" s="338" t="s">
        <v>341</v>
      </c>
      <c r="L682" s="2481">
        <v>601.07000000000005</v>
      </c>
      <c r="M682" s="340" t="s">
        <v>305</v>
      </c>
      <c r="N682" s="1390"/>
      <c r="O682" s="2479"/>
      <c r="P682" s="2282"/>
      <c r="AA682" s="338">
        <v>330.07</v>
      </c>
      <c r="AB682" s="338" t="s">
        <v>341</v>
      </c>
      <c r="AG682" s="2297">
        <v>70.069999999999993</v>
      </c>
      <c r="AH682" s="2297" t="s">
        <v>340</v>
      </c>
      <c r="AI682" s="1390"/>
      <c r="AJ682" s="2282"/>
      <c r="AK682" s="2282"/>
      <c r="AL682" s="1037"/>
      <c r="AR682" s="338">
        <v>309.01</v>
      </c>
      <c r="AS682" s="338" t="s">
        <v>341</v>
      </c>
      <c r="AX682" s="340">
        <v>28.04</v>
      </c>
      <c r="AY682" s="340" t="s">
        <v>304</v>
      </c>
      <c r="BH682" s="338">
        <v>310.08</v>
      </c>
      <c r="BI682" s="338" t="s">
        <v>341</v>
      </c>
      <c r="BN682" s="340">
        <v>64.010000000000005</v>
      </c>
      <c r="BO682" s="340" t="s">
        <v>340</v>
      </c>
      <c r="BP682" s="1385"/>
      <c r="BV682" s="338">
        <v>1104.02</v>
      </c>
      <c r="BW682" s="338" t="s">
        <v>289</v>
      </c>
      <c r="CB682" s="340">
        <v>14.01</v>
      </c>
      <c r="CC682" s="340" t="s">
        <v>304</v>
      </c>
      <c r="CE682" s="341" t="str">
        <f t="array" ref="CE682">IFERROR(IF($CE$11="Metro",INDEX($BV$13:$BV$4972,SMALL(IF((County=$BW$13:$BW$4972),MATCH(ROW($BW$13:$BW$4972),ROW($BW$13:$BW$4972)),""),ROWS($A$13:$A740))),INDEX($BY$13:$BY$212,SMALL(IF((County=$BZ$13:$BZ$212),MATCH(ROW($BZ$13:$BZ$212),ROW($BZ$13:$BZ$212)),""),ROWS($A$13:$A740)))),"")</f>
        <v/>
      </c>
      <c r="CL682" s="236">
        <v>19.18</v>
      </c>
      <c r="CM682" s="236" t="s">
        <v>340</v>
      </c>
      <c r="CR682" s="340">
        <v>66.02</v>
      </c>
      <c r="CS682" s="340" t="s">
        <v>340</v>
      </c>
      <c r="CT682" s="1384"/>
      <c r="CZ682" s="1795">
        <v>420</v>
      </c>
      <c r="DA682" s="338" t="s">
        <v>339</v>
      </c>
      <c r="DF682" s="340">
        <v>36.11</v>
      </c>
      <c r="DG682" s="340" t="s">
        <v>304</v>
      </c>
      <c r="DP682" s="236">
        <v>301.06</v>
      </c>
      <c r="DQ682" s="236" t="s">
        <v>322</v>
      </c>
      <c r="DV682" s="340">
        <v>70.069999999999993</v>
      </c>
      <c r="DW682" s="340" t="s">
        <v>331</v>
      </c>
      <c r="DX682" s="1671"/>
      <c r="EB682" s="618"/>
      <c r="EC682" s="618"/>
      <c r="ED682" s="618"/>
      <c r="EE682" s="618"/>
      <c r="EF682" s="618"/>
      <c r="EG682" s="618"/>
      <c r="EH682" s="618"/>
      <c r="EI682" s="618"/>
      <c r="EJ682" s="618"/>
      <c r="EK682" s="618"/>
      <c r="EL682" s="618"/>
      <c r="EM682" s="618"/>
    </row>
    <row r="683" spans="6:143">
      <c r="F683" s="338">
        <v>307</v>
      </c>
      <c r="G683" s="338" t="s">
        <v>341</v>
      </c>
      <c r="L683" s="2481">
        <v>602.07000000000005</v>
      </c>
      <c r="M683" s="340" t="s">
        <v>305</v>
      </c>
      <c r="N683" s="1390"/>
      <c r="O683" s="2479"/>
      <c r="P683" s="2282"/>
      <c r="AA683" s="338">
        <v>330.08</v>
      </c>
      <c r="AB683" s="338" t="s">
        <v>341</v>
      </c>
      <c r="AG683" s="2297">
        <v>70.08</v>
      </c>
      <c r="AH683" s="2297" t="s">
        <v>340</v>
      </c>
      <c r="AI683" s="1390"/>
      <c r="AJ683" s="2282"/>
      <c r="AK683" s="2282"/>
      <c r="AL683" s="1037"/>
      <c r="AR683" s="338">
        <v>310.05</v>
      </c>
      <c r="AS683" s="338" t="s">
        <v>341</v>
      </c>
      <c r="AX683" s="340">
        <v>33.01</v>
      </c>
      <c r="AY683" s="340" t="s">
        <v>304</v>
      </c>
      <c r="BH683" s="338">
        <v>310.08999999999997</v>
      </c>
      <c r="BI683" s="338" t="s">
        <v>341</v>
      </c>
      <c r="BN683" s="340">
        <v>64.02</v>
      </c>
      <c r="BO683" s="340" t="s">
        <v>331</v>
      </c>
      <c r="BP683" s="1385"/>
      <c r="BV683" s="338">
        <v>1104.03</v>
      </c>
      <c r="BW683" s="338" t="s">
        <v>289</v>
      </c>
      <c r="CB683" s="340">
        <v>23</v>
      </c>
      <c r="CC683" s="340" t="s">
        <v>304</v>
      </c>
      <c r="CE683" s="341" t="str">
        <f t="array" ref="CE683">IFERROR(IF($CE$11="Metro",INDEX($BV$13:$BV$4972,SMALL(IF((County=$BW$13:$BW$4972),MATCH(ROW($BW$13:$BW$4972),ROW($BW$13:$BW$4972)),""),ROWS($A$13:$A741))),INDEX($BY$13:$BY$212,SMALL(IF((County=$BZ$13:$BZ$212),MATCH(ROW($BZ$13:$BZ$212),ROW($BZ$13:$BZ$212)),""),ROWS($A$13:$A741)))),"")</f>
        <v/>
      </c>
      <c r="CL683" s="236">
        <v>19.190000000000001</v>
      </c>
      <c r="CM683" s="236" t="s">
        <v>323</v>
      </c>
      <c r="CR683" s="340">
        <v>66.03</v>
      </c>
      <c r="CS683" s="340" t="s">
        <v>331</v>
      </c>
      <c r="CT683" s="1384"/>
      <c r="CZ683" s="1795">
        <v>421</v>
      </c>
      <c r="DA683" s="338" t="s">
        <v>339</v>
      </c>
      <c r="DF683" s="340">
        <v>36.119999999999997</v>
      </c>
      <c r="DG683" s="340" t="s">
        <v>304</v>
      </c>
      <c r="DP683" s="236">
        <v>302.02999999999997</v>
      </c>
      <c r="DQ683" s="236" t="s">
        <v>341</v>
      </c>
      <c r="DV683" s="340">
        <v>70.069999999999993</v>
      </c>
      <c r="DW683" s="340" t="s">
        <v>340</v>
      </c>
      <c r="DX683" s="1671"/>
      <c r="EB683" s="618"/>
      <c r="EC683" s="618"/>
      <c r="ED683" s="618"/>
      <c r="EE683" s="618"/>
      <c r="EF683" s="618"/>
      <c r="EG683" s="618"/>
      <c r="EH683" s="618"/>
      <c r="EI683" s="618"/>
      <c r="EJ683" s="618"/>
      <c r="EK683" s="618"/>
      <c r="EL683" s="618"/>
      <c r="EM683" s="618"/>
    </row>
    <row r="684" spans="6:143">
      <c r="F684" s="338">
        <v>308</v>
      </c>
      <c r="G684" s="338" t="s">
        <v>341</v>
      </c>
      <c r="L684" s="2481">
        <v>602.08000000000004</v>
      </c>
      <c r="M684" s="340" t="s">
        <v>305</v>
      </c>
      <c r="N684" s="1390"/>
      <c r="O684" s="2479"/>
      <c r="P684" s="2282"/>
      <c r="AA684" s="338">
        <v>330.09</v>
      </c>
      <c r="AB684" s="338" t="s">
        <v>341</v>
      </c>
      <c r="AG684" s="2297">
        <v>70.09</v>
      </c>
      <c r="AH684" s="2297" t="s">
        <v>340</v>
      </c>
      <c r="AI684" s="1390"/>
      <c r="AJ684" s="2282"/>
      <c r="AK684" s="2282"/>
      <c r="AL684" s="1037"/>
      <c r="AR684" s="338">
        <v>310.06</v>
      </c>
      <c r="AS684" s="338" t="s">
        <v>341</v>
      </c>
      <c r="AX684" s="340">
        <v>33.049999999999997</v>
      </c>
      <c r="AY684" s="340" t="s">
        <v>304</v>
      </c>
      <c r="BH684" s="338">
        <v>310.10000000000002</v>
      </c>
      <c r="BI684" s="338" t="s">
        <v>341</v>
      </c>
      <c r="BN684" s="340">
        <v>64.02</v>
      </c>
      <c r="BO684" s="340" t="s">
        <v>340</v>
      </c>
      <c r="BP684" s="1385"/>
      <c r="BV684" s="338">
        <v>1104.04</v>
      </c>
      <c r="BW684" s="338" t="s">
        <v>289</v>
      </c>
      <c r="CB684" s="340">
        <v>24</v>
      </c>
      <c r="CC684" s="340" t="s">
        <v>304</v>
      </c>
      <c r="CE684" s="341" t="str">
        <f t="array" ref="CE684">IFERROR(IF($CE$11="Metro",INDEX($BV$13:$BV$4972,SMALL(IF((County=$BW$13:$BW$4972),MATCH(ROW($BW$13:$BW$4972),ROW($BW$13:$BW$4972)),""),ROWS($A$13:$A742))),INDEX($BY$13:$BY$212,SMALL(IF((County=$BZ$13:$BZ$212),MATCH(ROW($BZ$13:$BZ$212),ROW($BZ$13:$BZ$212)),""),ROWS($A$13:$A742)))),"")</f>
        <v/>
      </c>
      <c r="CL684" s="236">
        <v>19.190000000000001</v>
      </c>
      <c r="CM684" s="236" t="s">
        <v>340</v>
      </c>
      <c r="CR684" s="340">
        <v>66.040000000000006</v>
      </c>
      <c r="CS684" s="340" t="s">
        <v>331</v>
      </c>
      <c r="CT684" s="1384"/>
      <c r="CZ684" s="1795">
        <v>422.02</v>
      </c>
      <c r="DA684" s="338" t="s">
        <v>339</v>
      </c>
      <c r="DF684" s="340">
        <v>36.130000000000003</v>
      </c>
      <c r="DG684" s="340" t="s">
        <v>304</v>
      </c>
      <c r="DP684" s="236">
        <v>302.04000000000002</v>
      </c>
      <c r="DQ684" s="236" t="s">
        <v>341</v>
      </c>
      <c r="DV684" s="340">
        <v>70.08</v>
      </c>
      <c r="DW684" s="340" t="s">
        <v>340</v>
      </c>
      <c r="DX684" s="1671"/>
      <c r="EB684" s="618"/>
      <c r="EC684" s="618"/>
      <c r="ED684" s="618"/>
      <c r="EE684" s="618"/>
      <c r="EF684" s="618"/>
      <c r="EG684" s="618"/>
      <c r="EH684" s="618"/>
      <c r="EI684" s="618"/>
      <c r="EJ684" s="618"/>
      <c r="EK684" s="618"/>
      <c r="EL684" s="618"/>
      <c r="EM684" s="618"/>
    </row>
    <row r="685" spans="6:143">
      <c r="F685" s="338">
        <v>309.01</v>
      </c>
      <c r="G685" s="338" t="s">
        <v>341</v>
      </c>
      <c r="L685" s="2481">
        <v>602.11</v>
      </c>
      <c r="M685" s="340" t="s">
        <v>305</v>
      </c>
      <c r="N685" s="1390"/>
      <c r="O685" s="2479"/>
      <c r="P685" s="2282"/>
      <c r="AA685" s="338">
        <v>330.11</v>
      </c>
      <c r="AB685" s="338" t="s">
        <v>341</v>
      </c>
      <c r="AG685" s="2297">
        <v>70.099999999999994</v>
      </c>
      <c r="AH685" s="2297" t="s">
        <v>340</v>
      </c>
      <c r="AI685" s="1390"/>
      <c r="AJ685" s="2282"/>
      <c r="AK685" s="2282"/>
      <c r="AL685" s="1037"/>
      <c r="AR685" s="338">
        <v>310.07</v>
      </c>
      <c r="AS685" s="338" t="s">
        <v>341</v>
      </c>
      <c r="AX685" s="340">
        <v>33.1</v>
      </c>
      <c r="AY685" s="340" t="s">
        <v>304</v>
      </c>
      <c r="BH685" s="338">
        <v>310.11</v>
      </c>
      <c r="BI685" s="338" t="s">
        <v>341</v>
      </c>
      <c r="BN685" s="340">
        <v>65.010000000000005</v>
      </c>
      <c r="BO685" s="340" t="s">
        <v>331</v>
      </c>
      <c r="BP685" s="1385"/>
      <c r="BV685" s="338">
        <v>1105.01</v>
      </c>
      <c r="BW685" s="338" t="s">
        <v>289</v>
      </c>
      <c r="CB685" s="340">
        <v>25</v>
      </c>
      <c r="CC685" s="340" t="s">
        <v>304</v>
      </c>
      <c r="CE685" s="341" t="str">
        <f t="array" ref="CE685">IFERROR(IF($CE$11="Metro",INDEX($BV$13:$BV$4972,SMALL(IF((County=$BW$13:$BW$4972),MATCH(ROW($BW$13:$BW$4972),ROW($BW$13:$BW$4972)),""),ROWS($A$13:$A743))),INDEX($BY$13:$BY$212,SMALL(IF((County=$BZ$13:$BZ$212),MATCH(ROW($BZ$13:$BZ$212),ROW($BZ$13:$BZ$212)),""),ROWS($A$13:$A743)))),"")</f>
        <v/>
      </c>
      <c r="CL685" s="236">
        <v>19.2</v>
      </c>
      <c r="CM685" s="236" t="s">
        <v>323</v>
      </c>
      <c r="CR685" s="340">
        <v>66.05</v>
      </c>
      <c r="CS685" s="340" t="s">
        <v>331</v>
      </c>
      <c r="CT685" s="1384"/>
      <c r="CZ685" s="1795">
        <v>423</v>
      </c>
      <c r="DA685" s="338" t="s">
        <v>339</v>
      </c>
      <c r="DF685" s="340">
        <v>37</v>
      </c>
      <c r="DG685" s="340" t="s">
        <v>304</v>
      </c>
      <c r="DP685" s="236">
        <v>302.06</v>
      </c>
      <c r="DQ685" s="236" t="s">
        <v>322</v>
      </c>
      <c r="DV685" s="340">
        <v>70.09</v>
      </c>
      <c r="DW685" s="340" t="s">
        <v>340</v>
      </c>
      <c r="DX685" s="1671"/>
      <c r="EB685" s="618"/>
      <c r="EC685" s="618"/>
      <c r="ED685" s="618"/>
      <c r="EE685" s="618"/>
      <c r="EF685" s="618"/>
      <c r="EG685" s="618"/>
      <c r="EH685" s="618"/>
      <c r="EI685" s="618"/>
      <c r="EJ685" s="618"/>
      <c r="EK685" s="618"/>
      <c r="EL685" s="618"/>
      <c r="EM685" s="618"/>
    </row>
    <row r="686" spans="6:143">
      <c r="F686" s="338">
        <v>309.05</v>
      </c>
      <c r="G686" s="338" t="s">
        <v>341</v>
      </c>
      <c r="L686" s="2481">
        <v>602.12</v>
      </c>
      <c r="M686" s="340" t="s">
        <v>305</v>
      </c>
      <c r="N686" s="1390"/>
      <c r="O686" s="2479"/>
      <c r="P686" s="2282"/>
      <c r="AA686" s="338">
        <v>330.12</v>
      </c>
      <c r="AB686" s="338" t="s">
        <v>341</v>
      </c>
      <c r="AG686" s="2297">
        <v>70.11</v>
      </c>
      <c r="AH686" s="2297" t="s">
        <v>340</v>
      </c>
      <c r="AI686" s="1390"/>
      <c r="AJ686" s="2282"/>
      <c r="AK686" s="2282"/>
      <c r="AL686" s="1037"/>
      <c r="AR686" s="338">
        <v>310.08</v>
      </c>
      <c r="AS686" s="338" t="s">
        <v>341</v>
      </c>
      <c r="AX686" s="340">
        <v>33.11</v>
      </c>
      <c r="AY686" s="340" t="s">
        <v>304</v>
      </c>
      <c r="BH686" s="338">
        <v>312.06</v>
      </c>
      <c r="BI686" s="338" t="s">
        <v>341</v>
      </c>
      <c r="BN686" s="340">
        <v>65.02</v>
      </c>
      <c r="BO686" s="340" t="s">
        <v>340</v>
      </c>
      <c r="BP686" s="1385"/>
      <c r="BV686" s="338">
        <v>1105.02</v>
      </c>
      <c r="BW686" s="338" t="s">
        <v>289</v>
      </c>
      <c r="CB686" s="340">
        <v>26.01</v>
      </c>
      <c r="CC686" s="340" t="s">
        <v>304</v>
      </c>
      <c r="CE686" s="341" t="str">
        <f t="array" ref="CE686">IFERROR(IF($CE$11="Metro",INDEX($BV$13:$BV$4972,SMALL(IF((County=$BW$13:$BW$4972),MATCH(ROW($BW$13:$BW$4972),ROW($BW$13:$BW$4972)),""),ROWS($A$13:$A744))),INDEX($BY$13:$BY$212,SMALL(IF((County=$BZ$13:$BZ$212),MATCH(ROW($BZ$13:$BZ$212),ROW($BZ$13:$BZ$212)),""),ROWS($A$13:$A744)))),"")</f>
        <v/>
      </c>
      <c r="CL686" s="236">
        <v>19.2</v>
      </c>
      <c r="CM686" s="236" t="s">
        <v>340</v>
      </c>
      <c r="CR686" s="340">
        <v>66.069999999999993</v>
      </c>
      <c r="CS686" s="340" t="s">
        <v>331</v>
      </c>
      <c r="CT686" s="1384"/>
      <c r="CZ686" s="1795">
        <v>426.04</v>
      </c>
      <c r="DA686" s="338" t="s">
        <v>339</v>
      </c>
      <c r="DF686" s="340">
        <v>38</v>
      </c>
      <c r="DG686" s="340" t="s">
        <v>304</v>
      </c>
      <c r="DP686" s="236">
        <v>302.08999999999997</v>
      </c>
      <c r="DQ686" s="236" t="s">
        <v>322</v>
      </c>
      <c r="DV686" s="340">
        <v>70.099999999999994</v>
      </c>
      <c r="DW686" s="340" t="s">
        <v>340</v>
      </c>
      <c r="DX686" s="1671"/>
      <c r="EB686" s="618"/>
      <c r="EC686" s="618"/>
      <c r="ED686" s="618"/>
      <c r="EE686" s="618"/>
      <c r="EF686" s="618"/>
      <c r="EG686" s="618"/>
      <c r="EH686" s="618"/>
      <c r="EI686" s="618"/>
      <c r="EJ686" s="618"/>
      <c r="EK686" s="618"/>
      <c r="EL686" s="618"/>
      <c r="EM686" s="618"/>
    </row>
    <row r="687" spans="6:143">
      <c r="F687" s="338">
        <v>309.06</v>
      </c>
      <c r="G687" s="338" t="s">
        <v>341</v>
      </c>
      <c r="L687" s="2481">
        <v>602.15</v>
      </c>
      <c r="M687" s="340" t="s">
        <v>305</v>
      </c>
      <c r="N687" s="1390"/>
      <c r="O687" s="2479"/>
      <c r="P687" s="2282"/>
      <c r="AA687" s="338">
        <v>330.13</v>
      </c>
      <c r="AB687" s="338" t="s">
        <v>341</v>
      </c>
      <c r="AG687" s="2297">
        <v>70.12</v>
      </c>
      <c r="AH687" s="2297" t="s">
        <v>340</v>
      </c>
      <c r="AI687" s="1390"/>
      <c r="AJ687" s="2282"/>
      <c r="AK687" s="2282"/>
      <c r="AL687" s="1037"/>
      <c r="AR687" s="338">
        <v>310.08999999999997</v>
      </c>
      <c r="AS687" s="338" t="s">
        <v>341</v>
      </c>
      <c r="AX687" s="340">
        <v>35.06</v>
      </c>
      <c r="AY687" s="340" t="s">
        <v>304</v>
      </c>
      <c r="BH687" s="338">
        <v>314.06</v>
      </c>
      <c r="BI687" s="338" t="s">
        <v>341</v>
      </c>
      <c r="BN687" s="340">
        <v>65.03</v>
      </c>
      <c r="BO687" s="340" t="s">
        <v>316</v>
      </c>
      <c r="BP687" s="1385"/>
      <c r="BV687" s="338">
        <v>1106</v>
      </c>
      <c r="BW687" s="338" t="s">
        <v>289</v>
      </c>
      <c r="CB687" s="340">
        <v>26.02</v>
      </c>
      <c r="CC687" s="340" t="s">
        <v>304</v>
      </c>
      <c r="CE687" s="341" t="str">
        <f t="array" ref="CE687">IFERROR(IF($CE$11="Metro",INDEX($BV$13:$BV$4972,SMALL(IF((County=$BW$13:$BW$4972),MATCH(ROW($BW$13:$BW$4972),ROW($BW$13:$BW$4972)),""),ROWS($A$13:$A745))),INDEX($BY$13:$BY$212,SMALL(IF((County=$BZ$13:$BZ$212),MATCH(ROW($BZ$13:$BZ$212),ROW($BZ$13:$BZ$212)),""),ROWS($A$13:$A745)))),"")</f>
        <v/>
      </c>
      <c r="CL687" s="236">
        <v>19.21</v>
      </c>
      <c r="CM687" s="236" t="s">
        <v>323</v>
      </c>
      <c r="CR687" s="340">
        <v>66.069999999999993</v>
      </c>
      <c r="CS687" s="340" t="s">
        <v>340</v>
      </c>
      <c r="CT687" s="1384"/>
      <c r="CZ687" s="1795">
        <v>427.01</v>
      </c>
      <c r="DA687" s="338" t="s">
        <v>339</v>
      </c>
      <c r="DF687" s="340">
        <v>601.03</v>
      </c>
      <c r="DG687" s="340" t="s">
        <v>305</v>
      </c>
      <c r="DP687" s="236">
        <v>303.01</v>
      </c>
      <c r="DQ687" s="236" t="s">
        <v>289</v>
      </c>
      <c r="DV687" s="340">
        <v>70.11</v>
      </c>
      <c r="DW687" s="340" t="s">
        <v>340</v>
      </c>
      <c r="DX687" s="1671"/>
      <c r="EB687" s="618"/>
      <c r="EC687" s="618"/>
      <c r="ED687" s="618"/>
      <c r="EE687" s="618"/>
      <c r="EF687" s="618"/>
      <c r="EG687" s="618"/>
      <c r="EH687" s="618"/>
      <c r="EI687" s="618"/>
      <c r="EJ687" s="618"/>
      <c r="EK687" s="618"/>
      <c r="EL687" s="618"/>
      <c r="EM687" s="618"/>
    </row>
    <row r="688" spans="6:143">
      <c r="F688" s="338">
        <v>310.06</v>
      </c>
      <c r="G688" s="338" t="s">
        <v>341</v>
      </c>
      <c r="L688" s="2481">
        <v>602.16</v>
      </c>
      <c r="M688" s="340" t="s">
        <v>305</v>
      </c>
      <c r="N688" s="1390"/>
      <c r="O688" s="2479"/>
      <c r="P688" s="2282"/>
      <c r="AA688" s="338">
        <v>330.14</v>
      </c>
      <c r="AB688" s="338" t="s">
        <v>341</v>
      </c>
      <c r="AG688" s="2297">
        <v>70.13</v>
      </c>
      <c r="AH688" s="2297" t="s">
        <v>340</v>
      </c>
      <c r="AI688" s="1390"/>
      <c r="AJ688" s="2282"/>
      <c r="AK688" s="2282"/>
      <c r="AL688" s="1037"/>
      <c r="AR688" s="338">
        <v>310.10000000000002</v>
      </c>
      <c r="AS688" s="338" t="s">
        <v>341</v>
      </c>
      <c r="AX688" s="340">
        <v>35.07</v>
      </c>
      <c r="AY688" s="340" t="s">
        <v>304</v>
      </c>
      <c r="BH688" s="338">
        <v>314.12</v>
      </c>
      <c r="BI688" s="338" t="s">
        <v>341</v>
      </c>
      <c r="BN688" s="340">
        <v>65.03</v>
      </c>
      <c r="BO688" s="340" t="s">
        <v>331</v>
      </c>
      <c r="BP688" s="1385"/>
      <c r="BV688" s="338">
        <v>9800</v>
      </c>
      <c r="BW688" s="338" t="s">
        <v>289</v>
      </c>
      <c r="CB688" s="340">
        <v>26.04</v>
      </c>
      <c r="CC688" s="340" t="s">
        <v>304</v>
      </c>
      <c r="CE688" s="341" t="str">
        <f t="array" ref="CE688">IFERROR(IF($CE$11="Metro",INDEX($BV$13:$BV$4972,SMALL(IF((County=$BW$13:$BW$4972),MATCH(ROW($BW$13:$BW$4972),ROW($BW$13:$BW$4972)),""),ROWS($A$13:$A746))),INDEX($BY$13:$BY$212,SMALL(IF((County=$BZ$13:$BZ$212),MATCH(ROW($BZ$13:$BZ$212),ROW($BZ$13:$BZ$212)),""),ROWS($A$13:$A746)))),"")</f>
        <v/>
      </c>
      <c r="CL688" s="236">
        <v>19.21</v>
      </c>
      <c r="CM688" s="236" t="s">
        <v>340</v>
      </c>
      <c r="CR688" s="340">
        <v>66.08</v>
      </c>
      <c r="CS688" s="340" t="s">
        <v>331</v>
      </c>
      <c r="CT688" s="1384"/>
      <c r="CZ688" s="1795">
        <v>427.02</v>
      </c>
      <c r="DA688" s="338" t="s">
        <v>339</v>
      </c>
      <c r="DF688" s="340">
        <v>601.04999999999995</v>
      </c>
      <c r="DG688" s="340" t="s">
        <v>305</v>
      </c>
      <c r="DP688" s="236">
        <v>303.06</v>
      </c>
      <c r="DQ688" s="236" t="s">
        <v>322</v>
      </c>
      <c r="DV688" s="340">
        <v>70.12</v>
      </c>
      <c r="DW688" s="340" t="s">
        <v>340</v>
      </c>
      <c r="DX688" s="1671"/>
      <c r="EB688" s="618"/>
      <c r="EC688" s="618"/>
      <c r="ED688" s="618"/>
      <c r="EE688" s="618"/>
      <c r="EF688" s="618"/>
      <c r="EG688" s="618"/>
      <c r="EH688" s="618"/>
      <c r="EI688" s="618"/>
      <c r="EJ688" s="618"/>
      <c r="EK688" s="618"/>
      <c r="EL688" s="618"/>
      <c r="EM688" s="618"/>
    </row>
    <row r="689" spans="6:143">
      <c r="F689" s="338">
        <v>310.07</v>
      </c>
      <c r="G689" s="338" t="s">
        <v>341</v>
      </c>
      <c r="L689" s="2481">
        <v>602.17999999999995</v>
      </c>
      <c r="M689" s="340" t="s">
        <v>305</v>
      </c>
      <c r="N689" s="1390"/>
      <c r="O689" s="2479"/>
      <c r="P689" s="2282"/>
      <c r="AA689" s="338">
        <v>331.01</v>
      </c>
      <c r="AB689" s="338" t="s">
        <v>341</v>
      </c>
      <c r="AG689" s="2297">
        <v>71.010000000000005</v>
      </c>
      <c r="AH689" s="2297" t="s">
        <v>331</v>
      </c>
      <c r="AI689" s="1390"/>
      <c r="AJ689" s="2282"/>
      <c r="AK689" s="2282"/>
      <c r="AL689" s="1037"/>
      <c r="AR689" s="338">
        <v>310.11</v>
      </c>
      <c r="AS689" s="338" t="s">
        <v>341</v>
      </c>
      <c r="AX689" s="340">
        <v>35.090000000000003</v>
      </c>
      <c r="AY689" s="340" t="s">
        <v>304</v>
      </c>
      <c r="BH689" s="338">
        <v>317.02999999999997</v>
      </c>
      <c r="BI689" s="338" t="s">
        <v>341</v>
      </c>
      <c r="BN689" s="340">
        <v>65.040000000000006</v>
      </c>
      <c r="BO689" s="340" t="s">
        <v>316</v>
      </c>
      <c r="BP689" s="1385"/>
      <c r="BV689" s="338">
        <v>9900</v>
      </c>
      <c r="BW689" s="338" t="s">
        <v>289</v>
      </c>
      <c r="CB689" s="340">
        <v>26.05</v>
      </c>
      <c r="CC689" s="340" t="s">
        <v>304</v>
      </c>
      <c r="CE689" s="341" t="str">
        <f t="array" ref="CE689">IFERROR(IF($CE$11="Metro",INDEX($BV$13:$BV$4972,SMALL(IF((County=$BW$13:$BW$4972),MATCH(ROW($BW$13:$BW$4972),ROW($BW$13:$BW$4972)),""),ROWS($A$13:$A747))),INDEX($BY$13:$BY$212,SMALL(IF((County=$BZ$13:$BZ$212),MATCH(ROW($BZ$13:$BZ$212),ROW($BZ$13:$BZ$212)),""),ROWS($A$13:$A747)))),"")</f>
        <v/>
      </c>
      <c r="CL689" s="236">
        <v>19.22</v>
      </c>
      <c r="CM689" s="236" t="s">
        <v>323</v>
      </c>
      <c r="CR689" s="340">
        <v>67</v>
      </c>
      <c r="CS689" s="340" t="s">
        <v>316</v>
      </c>
      <c r="CT689" s="1384"/>
      <c r="CZ689" s="1795">
        <v>429.01</v>
      </c>
      <c r="DA689" s="338" t="s">
        <v>339</v>
      </c>
      <c r="DF689" s="340">
        <v>601.05999999999995</v>
      </c>
      <c r="DG689" s="340" t="s">
        <v>305</v>
      </c>
      <c r="DP689" s="236">
        <v>303.07</v>
      </c>
      <c r="DQ689" s="236" t="s">
        <v>322</v>
      </c>
      <c r="DV689" s="340">
        <v>70.13</v>
      </c>
      <c r="DW689" s="340" t="s">
        <v>340</v>
      </c>
      <c r="DX689" s="1671"/>
      <c r="EB689" s="618"/>
      <c r="EC689" s="618"/>
      <c r="ED689" s="618"/>
      <c r="EE689" s="618"/>
      <c r="EF689" s="618"/>
      <c r="EG689" s="618"/>
      <c r="EH689" s="618"/>
      <c r="EI689" s="618"/>
      <c r="EJ689" s="618"/>
      <c r="EK689" s="618"/>
      <c r="EL689" s="618"/>
      <c r="EM689" s="618"/>
    </row>
    <row r="690" spans="6:143">
      <c r="F690" s="338">
        <v>310.08999999999997</v>
      </c>
      <c r="G690" s="338" t="s">
        <v>341</v>
      </c>
      <c r="L690" s="2481">
        <v>603.01</v>
      </c>
      <c r="M690" s="340" t="s">
        <v>305</v>
      </c>
      <c r="N690" s="1390"/>
      <c r="O690" s="2479"/>
      <c r="P690" s="2282"/>
      <c r="AA690" s="338">
        <v>401.09</v>
      </c>
      <c r="AB690" s="338" t="s">
        <v>323</v>
      </c>
      <c r="AG690" s="2297">
        <v>71.02</v>
      </c>
      <c r="AH690" s="2297" t="s">
        <v>316</v>
      </c>
      <c r="AI690" s="1390"/>
      <c r="AJ690" s="2282"/>
      <c r="AK690" s="2282"/>
      <c r="AL690" s="1037"/>
      <c r="AR690" s="338">
        <v>312.06</v>
      </c>
      <c r="AS690" s="338" t="s">
        <v>341</v>
      </c>
      <c r="AX690" s="340">
        <v>35.11</v>
      </c>
      <c r="AY690" s="340" t="s">
        <v>304</v>
      </c>
      <c r="BH690" s="338">
        <v>318.06</v>
      </c>
      <c r="BI690" s="338" t="s">
        <v>341</v>
      </c>
      <c r="BN690" s="340">
        <v>65.040000000000006</v>
      </c>
      <c r="BO690" s="340" t="s">
        <v>331</v>
      </c>
      <c r="BP690" s="1385"/>
      <c r="BV690" s="338">
        <v>101</v>
      </c>
      <c r="BW690" s="338" t="s">
        <v>294</v>
      </c>
      <c r="CB690" s="340">
        <v>26.06</v>
      </c>
      <c r="CC690" s="340" t="s">
        <v>304</v>
      </c>
      <c r="CE690" s="341" t="str">
        <f t="array" ref="CE690">IFERROR(IF($CE$11="Metro",INDEX($BV$13:$BV$4972,SMALL(IF((County=$BW$13:$BW$4972),MATCH(ROW($BW$13:$BW$4972),ROW($BW$13:$BW$4972)),""),ROWS($A$13:$A748))),INDEX($BY$13:$BY$212,SMALL(IF((County=$BZ$13:$BZ$212),MATCH(ROW($BZ$13:$BZ$212),ROW($BZ$13:$BZ$212)),""),ROWS($A$13:$A748)))),"")</f>
        <v/>
      </c>
      <c r="CL690" s="236">
        <v>19.23</v>
      </c>
      <c r="CM690" s="236" t="s">
        <v>323</v>
      </c>
      <c r="CR690" s="340">
        <v>67.05</v>
      </c>
      <c r="CS690" s="340" t="s">
        <v>331</v>
      </c>
      <c r="CT690" s="1384"/>
      <c r="CZ690" s="1795">
        <v>429.02</v>
      </c>
      <c r="DA690" s="338" t="s">
        <v>339</v>
      </c>
      <c r="DF690" s="340">
        <v>602.07000000000005</v>
      </c>
      <c r="DG690" s="340" t="s">
        <v>305</v>
      </c>
      <c r="DP690" s="236">
        <v>304</v>
      </c>
      <c r="DQ690" s="236" t="s">
        <v>296</v>
      </c>
      <c r="DV690" s="340">
        <v>71.02</v>
      </c>
      <c r="DW690" s="340" t="s">
        <v>316</v>
      </c>
      <c r="DX690" s="1671"/>
      <c r="EB690" s="618"/>
      <c r="EC690" s="618"/>
      <c r="ED690" s="618"/>
      <c r="EE690" s="618"/>
      <c r="EF690" s="618"/>
      <c r="EG690" s="618"/>
      <c r="EH690" s="618"/>
      <c r="EI690" s="618"/>
      <c r="EJ690" s="618"/>
      <c r="EK690" s="618"/>
      <c r="EL690" s="618"/>
      <c r="EM690" s="618"/>
    </row>
    <row r="691" spans="6:143">
      <c r="F691" s="338">
        <v>310.10000000000002</v>
      </c>
      <c r="G691" s="338" t="s">
        <v>341</v>
      </c>
      <c r="L691" s="2481">
        <v>603.02</v>
      </c>
      <c r="M691" s="340" t="s">
        <v>305</v>
      </c>
      <c r="N691" s="1390"/>
      <c r="O691" s="2479"/>
      <c r="P691" s="2282"/>
      <c r="AA691" s="338">
        <v>401.22</v>
      </c>
      <c r="AB691" s="338" t="s">
        <v>323</v>
      </c>
      <c r="AG691" s="2297">
        <v>71.03</v>
      </c>
      <c r="AH691" s="2297" t="s">
        <v>316</v>
      </c>
      <c r="AI691" s="1390"/>
      <c r="AJ691" s="2282"/>
      <c r="AK691" s="2282"/>
      <c r="AL691" s="1037"/>
      <c r="AR691" s="338">
        <v>314.06</v>
      </c>
      <c r="AS691" s="338" t="s">
        <v>341</v>
      </c>
      <c r="AX691" s="340">
        <v>35.119999999999997</v>
      </c>
      <c r="AY691" s="340" t="s">
        <v>304</v>
      </c>
      <c r="BH691" s="338">
        <v>318.07</v>
      </c>
      <c r="BI691" s="338" t="s">
        <v>341</v>
      </c>
      <c r="BN691" s="340">
        <v>66</v>
      </c>
      <c r="BO691" s="340" t="s">
        <v>316</v>
      </c>
      <c r="BP691" s="1385"/>
      <c r="BV691" s="338">
        <v>102</v>
      </c>
      <c r="BW691" s="338" t="s">
        <v>294</v>
      </c>
      <c r="CB691" s="340">
        <v>26.07</v>
      </c>
      <c r="CC691" s="340" t="s">
        <v>304</v>
      </c>
      <c r="CE691" s="341" t="str">
        <f t="array" ref="CE691">IFERROR(IF($CE$11="Metro",INDEX($BV$13:$BV$4972,SMALL(IF((County=$BW$13:$BW$4972),MATCH(ROW($BW$13:$BW$4972),ROW($BW$13:$BW$4972)),""),ROWS($A$13:$A749))),INDEX($BY$13:$BY$212,SMALL(IF((County=$BZ$13:$BZ$212),MATCH(ROW($BZ$13:$BZ$212),ROW($BZ$13:$BZ$212)),""),ROWS($A$13:$A749)))),"")</f>
        <v/>
      </c>
      <c r="CL691" s="338">
        <v>20</v>
      </c>
      <c r="CM691" s="338" t="s">
        <v>285</v>
      </c>
      <c r="CR691" s="340">
        <v>67.06</v>
      </c>
      <c r="CS691" s="340" t="s">
        <v>331</v>
      </c>
      <c r="CT691" s="1384"/>
      <c r="CZ691" s="1795">
        <v>432.03</v>
      </c>
      <c r="DA691" s="338" t="s">
        <v>339</v>
      </c>
      <c r="DF691" s="340">
        <v>602.08000000000004</v>
      </c>
      <c r="DG691" s="340" t="s">
        <v>305</v>
      </c>
      <c r="DP691" s="236">
        <v>304.02</v>
      </c>
      <c r="DQ691" s="236" t="s">
        <v>289</v>
      </c>
      <c r="DV691" s="340">
        <v>71.03</v>
      </c>
      <c r="DW691" s="340" t="s">
        <v>316</v>
      </c>
      <c r="DX691" s="1671"/>
      <c r="EB691" s="618"/>
      <c r="EC691" s="618"/>
      <c r="ED691" s="618"/>
      <c r="EE691" s="618"/>
      <c r="EF691" s="618"/>
      <c r="EG691" s="618"/>
      <c r="EH691" s="618"/>
      <c r="EI691" s="618"/>
      <c r="EJ691" s="618"/>
      <c r="EK691" s="618"/>
      <c r="EL691" s="618"/>
      <c r="EM691" s="618"/>
    </row>
    <row r="692" spans="6:143">
      <c r="F692" s="338">
        <v>310.11</v>
      </c>
      <c r="G692" s="338" t="s">
        <v>341</v>
      </c>
      <c r="L692" s="2481">
        <v>603.03</v>
      </c>
      <c r="M692" s="340" t="s">
        <v>305</v>
      </c>
      <c r="N692" s="1390"/>
      <c r="O692" s="2479"/>
      <c r="P692" s="2282"/>
      <c r="AA692" s="338">
        <v>402.1</v>
      </c>
      <c r="AB692" s="338" t="s">
        <v>323</v>
      </c>
      <c r="AG692" s="2297">
        <v>71.03</v>
      </c>
      <c r="AH692" s="2297" t="s">
        <v>331</v>
      </c>
      <c r="AI692" s="1390"/>
      <c r="AJ692" s="2282"/>
      <c r="AK692" s="2282"/>
      <c r="AL692" s="1037"/>
      <c r="AR692" s="338">
        <v>314.12</v>
      </c>
      <c r="AS692" s="338" t="s">
        <v>341</v>
      </c>
      <c r="AX692" s="340">
        <v>36.03</v>
      </c>
      <c r="AY692" s="340" t="s">
        <v>304</v>
      </c>
      <c r="BH692" s="338">
        <v>324.02</v>
      </c>
      <c r="BI692" s="338" t="s">
        <v>341</v>
      </c>
      <c r="BN692" s="340">
        <v>66.02</v>
      </c>
      <c r="BO692" s="340" t="s">
        <v>340</v>
      </c>
      <c r="BP692" s="1385"/>
      <c r="BV692" s="338">
        <v>103.01</v>
      </c>
      <c r="BW692" s="338" t="s">
        <v>294</v>
      </c>
      <c r="CB692" s="340">
        <v>28.04</v>
      </c>
      <c r="CC692" s="340" t="s">
        <v>304</v>
      </c>
      <c r="CE692" s="341" t="str">
        <f t="array" ref="CE692">IFERROR(IF($CE$11="Metro",INDEX($BV$13:$BV$4972,SMALL(IF((County=$BW$13:$BW$4972),MATCH(ROW($BW$13:$BW$4972),ROW($BW$13:$BW$4972)),""),ROWS($A$13:$A750))),INDEX($BY$13:$BY$212,SMALL(IF((County=$BZ$13:$BZ$212),MATCH(ROW($BZ$13:$BZ$212),ROW($BZ$13:$BZ$212)),""),ROWS($A$13:$A750)))),"")</f>
        <v/>
      </c>
      <c r="CL692" s="236">
        <v>20</v>
      </c>
      <c r="CM692" s="236" t="s">
        <v>304</v>
      </c>
      <c r="CR692" s="340">
        <v>67.069999999999993</v>
      </c>
      <c r="CS692" s="340" t="s">
        <v>331</v>
      </c>
      <c r="CT692" s="1384"/>
      <c r="CZ692" s="1795">
        <v>10.02</v>
      </c>
      <c r="DA692" s="338" t="s">
        <v>340</v>
      </c>
      <c r="DF692" s="340">
        <v>602.11</v>
      </c>
      <c r="DG692" s="340" t="s">
        <v>305</v>
      </c>
      <c r="DP692" s="236">
        <v>304.05</v>
      </c>
      <c r="DQ692" s="236" t="s">
        <v>341</v>
      </c>
      <c r="DV692" s="340">
        <v>71.03</v>
      </c>
      <c r="DW692" s="340" t="s">
        <v>331</v>
      </c>
      <c r="DX692" s="1671"/>
      <c r="EB692" s="618"/>
      <c r="EC692" s="618"/>
      <c r="ED692" s="618"/>
      <c r="EE692" s="618"/>
      <c r="EF692" s="618"/>
      <c r="EG692" s="618"/>
      <c r="EH692" s="618"/>
      <c r="EI692" s="618"/>
      <c r="EJ692" s="618"/>
      <c r="EK692" s="618"/>
      <c r="EL692" s="618"/>
      <c r="EM692" s="618"/>
    </row>
    <row r="693" spans="6:143">
      <c r="F693" s="338">
        <v>310.12</v>
      </c>
      <c r="G693" s="338" t="s">
        <v>341</v>
      </c>
      <c r="L693" s="2481">
        <v>603.04</v>
      </c>
      <c r="M693" s="340" t="s">
        <v>305</v>
      </c>
      <c r="N693" s="1390"/>
      <c r="O693" s="2479"/>
      <c r="P693" s="2282"/>
      <c r="AA693" s="338">
        <v>403.04</v>
      </c>
      <c r="AB693" s="338" t="s">
        <v>323</v>
      </c>
      <c r="AG693" s="2297">
        <v>71.040000000000006</v>
      </c>
      <c r="AH693" s="2297" t="s">
        <v>331</v>
      </c>
      <c r="AI693" s="1390"/>
      <c r="AJ693" s="2282"/>
      <c r="AK693" s="2282"/>
      <c r="AL693" s="1037"/>
      <c r="AR693" s="338">
        <v>317.02999999999997</v>
      </c>
      <c r="AS693" s="338" t="s">
        <v>341</v>
      </c>
      <c r="AX693" s="340">
        <v>36.08</v>
      </c>
      <c r="AY693" s="340" t="s">
        <v>304</v>
      </c>
      <c r="BH693" s="338">
        <v>326.01</v>
      </c>
      <c r="BI693" s="338" t="s">
        <v>341</v>
      </c>
      <c r="BN693" s="340">
        <v>66.05</v>
      </c>
      <c r="BO693" s="340" t="s">
        <v>331</v>
      </c>
      <c r="BP693" s="1385"/>
      <c r="BV693" s="338">
        <v>103.02</v>
      </c>
      <c r="BW693" s="338" t="s">
        <v>294</v>
      </c>
      <c r="CB693" s="340">
        <v>32.04</v>
      </c>
      <c r="CC693" s="340" t="s">
        <v>304</v>
      </c>
      <c r="CE693" s="341" t="str">
        <f t="array" ref="CE693">IFERROR(IF($CE$11="Metro",INDEX($BV$13:$BV$4972,SMALL(IF((County=$BW$13:$BW$4972),MATCH(ROW($BW$13:$BW$4972),ROW($BW$13:$BW$4972)),""),ROWS($A$13:$A751))),INDEX($BY$13:$BY$212,SMALL(IF((County=$BZ$13:$BZ$212),MATCH(ROW($BZ$13:$BZ$212),ROW($BZ$13:$BZ$212)),""),ROWS($A$13:$A751)))),"")</f>
        <v/>
      </c>
      <c r="CL693" s="236">
        <v>20</v>
      </c>
      <c r="CM693" s="236" t="s">
        <v>316</v>
      </c>
      <c r="CR693" s="340">
        <v>67.09</v>
      </c>
      <c r="CS693" s="340" t="s">
        <v>331</v>
      </c>
      <c r="CT693" s="1384"/>
      <c r="CZ693" s="1795">
        <v>13.02</v>
      </c>
      <c r="DA693" s="338" t="s">
        <v>340</v>
      </c>
      <c r="DF693" s="340">
        <v>602.15</v>
      </c>
      <c r="DG693" s="340" t="s">
        <v>305</v>
      </c>
      <c r="DP693" s="236">
        <v>304.07</v>
      </c>
      <c r="DQ693" s="236" t="s">
        <v>322</v>
      </c>
      <c r="DV693" s="340">
        <v>71.040000000000006</v>
      </c>
      <c r="DW693" s="340" t="s">
        <v>331</v>
      </c>
      <c r="DX693" s="1671"/>
      <c r="EB693" s="618"/>
      <c r="EC693" s="618"/>
      <c r="ED693" s="618"/>
      <c r="EE693" s="618"/>
      <c r="EF693" s="618"/>
      <c r="EG693" s="618"/>
      <c r="EH693" s="618"/>
      <c r="EI693" s="618"/>
      <c r="EJ693" s="618"/>
      <c r="EK693" s="618"/>
      <c r="EL693" s="618"/>
      <c r="EM693" s="618"/>
    </row>
    <row r="694" spans="6:143">
      <c r="F694" s="338">
        <v>310.13</v>
      </c>
      <c r="G694" s="338" t="s">
        <v>341</v>
      </c>
      <c r="L694" s="2481">
        <v>9701.02</v>
      </c>
      <c r="M694" s="340" t="s">
        <v>306</v>
      </c>
      <c r="N694" s="1390"/>
      <c r="O694" s="2479"/>
      <c r="P694" s="2282"/>
      <c r="AA694" s="338">
        <v>403.05</v>
      </c>
      <c r="AB694" s="338" t="s">
        <v>323</v>
      </c>
      <c r="AG694" s="2297">
        <v>72</v>
      </c>
      <c r="AH694" s="2297" t="s">
        <v>316</v>
      </c>
      <c r="AI694" s="1390"/>
      <c r="AJ694" s="2282"/>
      <c r="AK694" s="2282"/>
      <c r="AL694" s="1037"/>
      <c r="AR694" s="338">
        <v>318.06</v>
      </c>
      <c r="AS694" s="338" t="s">
        <v>341</v>
      </c>
      <c r="AX694" s="340">
        <v>36.090000000000003</v>
      </c>
      <c r="AY694" s="340" t="s">
        <v>304</v>
      </c>
      <c r="BH694" s="338">
        <v>326.02</v>
      </c>
      <c r="BI694" s="338" t="s">
        <v>341</v>
      </c>
      <c r="BN694" s="340">
        <v>66.06</v>
      </c>
      <c r="BO694" s="340" t="s">
        <v>340</v>
      </c>
      <c r="BP694" s="1385"/>
      <c r="BV694" s="338">
        <v>104.01</v>
      </c>
      <c r="BW694" s="338" t="s">
        <v>294</v>
      </c>
      <c r="CB694" s="340">
        <v>33.01</v>
      </c>
      <c r="CC694" s="340" t="s">
        <v>304</v>
      </c>
      <c r="CE694" s="341" t="str">
        <f t="array" ref="CE694">IFERROR(IF($CE$11="Metro",INDEX($BV$13:$BV$4972,SMALL(IF((County=$BW$13:$BW$4972),MATCH(ROW($BW$13:$BW$4972),ROW($BW$13:$BW$4972)),""),ROWS($A$13:$A752))),INDEX($BY$13:$BY$212,SMALL(IF((County=$BZ$13:$BZ$212),MATCH(ROW($BZ$13:$BZ$212),ROW($BZ$13:$BZ$212)),""),ROWS($A$13:$A752)))),"")</f>
        <v/>
      </c>
      <c r="CL694" s="338">
        <v>20.010000000000002</v>
      </c>
      <c r="CM694" s="338" t="s">
        <v>276</v>
      </c>
      <c r="CR694" s="340">
        <v>67.13</v>
      </c>
      <c r="CS694" s="340" t="s">
        <v>331</v>
      </c>
      <c r="CT694" s="1384"/>
      <c r="CZ694" s="1795">
        <v>14.02</v>
      </c>
      <c r="DA694" s="338" t="s">
        <v>340</v>
      </c>
      <c r="DF694" s="340">
        <v>602.16</v>
      </c>
      <c r="DG694" s="340" t="s">
        <v>305</v>
      </c>
      <c r="DP694" s="236">
        <v>304.07</v>
      </c>
      <c r="DQ694" s="236" t="s">
        <v>341</v>
      </c>
      <c r="DV694" s="340">
        <v>72</v>
      </c>
      <c r="DW694" s="340" t="s">
        <v>316</v>
      </c>
      <c r="DX694" s="1671"/>
      <c r="EB694" s="618"/>
      <c r="EC694" s="618"/>
      <c r="ED694" s="618"/>
      <c r="EE694" s="618"/>
      <c r="EF694" s="618"/>
      <c r="EG694" s="618"/>
      <c r="EH694" s="618"/>
      <c r="EI694" s="618"/>
      <c r="EJ694" s="618"/>
      <c r="EK694" s="618"/>
      <c r="EL694" s="618"/>
      <c r="EM694" s="618"/>
    </row>
    <row r="695" spans="6:143">
      <c r="F695" s="338">
        <v>311.01</v>
      </c>
      <c r="G695" s="338" t="s">
        <v>341</v>
      </c>
      <c r="L695" s="2481">
        <v>9703.0400000000009</v>
      </c>
      <c r="M695" s="340" t="s">
        <v>306</v>
      </c>
      <c r="N695" s="1390"/>
      <c r="O695" s="2479"/>
      <c r="P695" s="2282"/>
      <c r="AA695" s="338">
        <v>403.11</v>
      </c>
      <c r="AB695" s="338" t="s">
        <v>323</v>
      </c>
      <c r="AG695" s="2297">
        <v>72</v>
      </c>
      <c r="AH695" s="2297" t="s">
        <v>331</v>
      </c>
      <c r="AI695" s="1390"/>
      <c r="AJ695" s="2282"/>
      <c r="AK695" s="2282"/>
      <c r="AL695" s="1037"/>
      <c r="AR695" s="338">
        <v>318.07</v>
      </c>
      <c r="AS695" s="338" t="s">
        <v>341</v>
      </c>
      <c r="AX695" s="340">
        <v>36.1</v>
      </c>
      <c r="AY695" s="340" t="s">
        <v>304</v>
      </c>
      <c r="BH695" s="338">
        <v>328.04</v>
      </c>
      <c r="BI695" s="338" t="s">
        <v>341</v>
      </c>
      <c r="BN695" s="340">
        <v>66.069999999999993</v>
      </c>
      <c r="BO695" s="340" t="s">
        <v>331</v>
      </c>
      <c r="BP695" s="1385"/>
      <c r="BV695" s="338">
        <v>104.02</v>
      </c>
      <c r="BW695" s="338" t="s">
        <v>294</v>
      </c>
      <c r="CB695" s="340">
        <v>33.049999999999997</v>
      </c>
      <c r="CC695" s="340" t="s">
        <v>304</v>
      </c>
      <c r="CE695" s="341" t="str">
        <f t="array" ref="CE695">IFERROR(IF($CE$11="Metro",INDEX($BV$13:$BV$4972,SMALL(IF((County=$BW$13:$BW$4972),MATCH(ROW($BW$13:$BW$4972),ROW($BW$13:$BW$4972)),""),ROWS($A$13:$A753))),INDEX($BY$13:$BY$212,SMALL(IF((County=$BZ$13:$BZ$212),MATCH(ROW($BZ$13:$BZ$212),ROW($BZ$13:$BZ$212)),""),ROWS($A$13:$A753)))),"")</f>
        <v/>
      </c>
      <c r="CL695" s="236">
        <v>20.010000000000002</v>
      </c>
      <c r="CM695" s="236" t="s">
        <v>329</v>
      </c>
      <c r="CR695" s="340">
        <v>67.14</v>
      </c>
      <c r="CS695" s="340" t="s">
        <v>331</v>
      </c>
      <c r="CT695" s="1384"/>
      <c r="CZ695" s="1795">
        <v>14.03</v>
      </c>
      <c r="DA695" s="338" t="s">
        <v>340</v>
      </c>
      <c r="DF695" s="340">
        <v>602.19000000000005</v>
      </c>
      <c r="DG695" s="340" t="s">
        <v>305</v>
      </c>
      <c r="DP695" s="236">
        <v>304.08</v>
      </c>
      <c r="DQ695" s="236" t="s">
        <v>341</v>
      </c>
      <c r="DV695" s="340">
        <v>72</v>
      </c>
      <c r="DW695" s="340" t="s">
        <v>331</v>
      </c>
      <c r="DX695" s="1671"/>
      <c r="EB695" s="618"/>
      <c r="EC695" s="618"/>
      <c r="ED695" s="618"/>
      <c r="EE695" s="618"/>
      <c r="EF695" s="618"/>
      <c r="EG695" s="618"/>
      <c r="EH695" s="618"/>
      <c r="EI695" s="618"/>
      <c r="EJ695" s="618"/>
      <c r="EK695" s="618"/>
      <c r="EL695" s="618"/>
      <c r="EM695" s="618"/>
    </row>
    <row r="696" spans="6:143">
      <c r="F696" s="338">
        <v>311.04000000000002</v>
      </c>
      <c r="G696" s="338" t="s">
        <v>341</v>
      </c>
      <c r="L696" s="2481">
        <v>201.01</v>
      </c>
      <c r="M696" s="340" t="s">
        <v>307</v>
      </c>
      <c r="N696" s="1390"/>
      <c r="O696" s="2479"/>
      <c r="P696" s="2282"/>
      <c r="AA696" s="338">
        <v>404</v>
      </c>
      <c r="AB696" s="338" t="s">
        <v>314</v>
      </c>
      <c r="AG696" s="2297">
        <v>72.02</v>
      </c>
      <c r="AH696" s="2297" t="s">
        <v>340</v>
      </c>
      <c r="AI696" s="1390"/>
      <c r="AJ696" s="2282"/>
      <c r="AK696" s="2282"/>
      <c r="AL696" s="1037"/>
      <c r="AR696" s="338">
        <v>324.02</v>
      </c>
      <c r="AS696" s="338" t="s">
        <v>341</v>
      </c>
      <c r="AX696" s="340">
        <v>36.11</v>
      </c>
      <c r="AY696" s="340" t="s">
        <v>304</v>
      </c>
      <c r="BH696" s="338">
        <v>329.01</v>
      </c>
      <c r="BI696" s="338" t="s">
        <v>341</v>
      </c>
      <c r="BN696" s="340">
        <v>66.069999999999993</v>
      </c>
      <c r="BO696" s="340" t="s">
        <v>340</v>
      </c>
      <c r="BP696" s="1385"/>
      <c r="BV696" s="338">
        <v>104.05</v>
      </c>
      <c r="BW696" s="338" t="s">
        <v>294</v>
      </c>
      <c r="CB696" s="340">
        <v>33.1</v>
      </c>
      <c r="CC696" s="340" t="s">
        <v>304</v>
      </c>
      <c r="CE696" s="341" t="str">
        <f t="array" ref="CE696">IFERROR(IF($CE$11="Metro",INDEX($BV$13:$BV$4972,SMALL(IF((County=$BW$13:$BW$4972),MATCH(ROW($BW$13:$BW$4972),ROW($BW$13:$BW$4972)),""),ROWS($A$13:$A754))),INDEX($BY$13:$BY$212,SMALL(IF((County=$BZ$13:$BZ$212),MATCH(ROW($BZ$13:$BZ$212),ROW($BZ$13:$BZ$212)),""),ROWS($A$13:$A754)))),"")</f>
        <v/>
      </c>
      <c r="CL696" s="236">
        <v>20.010000000000002</v>
      </c>
      <c r="CM696" s="236" t="s">
        <v>331</v>
      </c>
      <c r="CR696" s="340">
        <v>67.150000000000006</v>
      </c>
      <c r="CS696" s="340" t="s">
        <v>331</v>
      </c>
      <c r="CT696" s="1384"/>
      <c r="CZ696" s="1795">
        <v>14.04</v>
      </c>
      <c r="DA696" s="338" t="s">
        <v>340</v>
      </c>
      <c r="DF696" s="340">
        <v>603.01</v>
      </c>
      <c r="DG696" s="340" t="s">
        <v>305</v>
      </c>
      <c r="DP696" s="236">
        <v>304.08999999999997</v>
      </c>
      <c r="DQ696" s="236" t="s">
        <v>322</v>
      </c>
      <c r="DV696" s="340">
        <v>72.02</v>
      </c>
      <c r="DW696" s="340" t="s">
        <v>340</v>
      </c>
      <c r="DX696" s="1671"/>
      <c r="EB696" s="618"/>
      <c r="EC696" s="618"/>
      <c r="ED696" s="618"/>
      <c r="EE696" s="618"/>
      <c r="EF696" s="618"/>
      <c r="EG696" s="618"/>
      <c r="EH696" s="618"/>
      <c r="EI696" s="618"/>
      <c r="EJ696" s="618"/>
      <c r="EK696" s="618"/>
      <c r="EL696" s="618"/>
      <c r="EM696" s="618"/>
    </row>
    <row r="697" spans="6:143">
      <c r="F697" s="338">
        <v>312.02999999999997</v>
      </c>
      <c r="G697" s="338" t="s">
        <v>341</v>
      </c>
      <c r="L697" s="2481">
        <v>201.03</v>
      </c>
      <c r="M697" s="340" t="s">
        <v>307</v>
      </c>
      <c r="N697" s="1390"/>
      <c r="O697" s="2479"/>
      <c r="P697" s="2282"/>
      <c r="AA697" s="338">
        <v>405.01</v>
      </c>
      <c r="AB697" s="338" t="s">
        <v>314</v>
      </c>
      <c r="AG697" s="2297">
        <v>72.06</v>
      </c>
      <c r="AH697" s="2297" t="s">
        <v>340</v>
      </c>
      <c r="AI697" s="1390"/>
      <c r="AJ697" s="2282"/>
      <c r="AK697" s="2282"/>
      <c r="AL697" s="1037"/>
      <c r="AR697" s="338">
        <v>326.01</v>
      </c>
      <c r="AS697" s="338" t="s">
        <v>341</v>
      </c>
      <c r="AX697" s="340">
        <v>36.119999999999997</v>
      </c>
      <c r="AY697" s="340" t="s">
        <v>304</v>
      </c>
      <c r="BH697" s="338">
        <v>330.09</v>
      </c>
      <c r="BI697" s="338" t="s">
        <v>341</v>
      </c>
      <c r="BN697" s="340">
        <v>66.08</v>
      </c>
      <c r="BO697" s="340" t="s">
        <v>331</v>
      </c>
      <c r="BP697" s="1385"/>
      <c r="BV697" s="338">
        <v>105.03</v>
      </c>
      <c r="BW697" s="338" t="s">
        <v>294</v>
      </c>
      <c r="CB697" s="340">
        <v>33.11</v>
      </c>
      <c r="CC697" s="340" t="s">
        <v>304</v>
      </c>
      <c r="CE697" s="341" t="str">
        <f t="array" ref="CE697">IFERROR(IF($CE$11="Metro",INDEX($BV$13:$BV$4972,SMALL(IF((County=$BW$13:$BW$4972),MATCH(ROW($BW$13:$BW$4972),ROW($BW$13:$BW$4972)),""),ROWS($A$13:$A755))),INDEX($BY$13:$BY$212,SMALL(IF((County=$BZ$13:$BZ$212),MATCH(ROW($BZ$13:$BZ$212),ROW($BZ$13:$BZ$212)),""),ROWS($A$13:$A755)))),"")</f>
        <v/>
      </c>
      <c r="CL697" s="338">
        <v>20.02</v>
      </c>
      <c r="CM697" s="338" t="s">
        <v>276</v>
      </c>
      <c r="CR697" s="340">
        <v>67.17</v>
      </c>
      <c r="CS697" s="340" t="s">
        <v>331</v>
      </c>
      <c r="CT697" s="1384"/>
      <c r="CZ697" s="1795">
        <v>16</v>
      </c>
      <c r="DA697" s="338" t="s">
        <v>340</v>
      </c>
      <c r="DF697" s="340">
        <v>603.02</v>
      </c>
      <c r="DG697" s="340" t="s">
        <v>305</v>
      </c>
      <c r="DP697" s="236">
        <v>304.10000000000002</v>
      </c>
      <c r="DQ697" s="236" t="s">
        <v>341</v>
      </c>
      <c r="DV697" s="340">
        <v>72.05</v>
      </c>
      <c r="DW697" s="340" t="s">
        <v>340</v>
      </c>
      <c r="DX697" s="1671"/>
      <c r="EB697" s="618"/>
      <c r="EC697" s="618"/>
      <c r="ED697" s="618"/>
      <c r="EE697" s="618"/>
      <c r="EF697" s="618"/>
      <c r="EG697" s="618"/>
      <c r="EH697" s="618"/>
      <c r="EI697" s="618"/>
      <c r="EJ697" s="618"/>
      <c r="EK697" s="618"/>
      <c r="EL697" s="618"/>
      <c r="EM697" s="618"/>
    </row>
    <row r="698" spans="6:143">
      <c r="F698" s="338">
        <v>312.05</v>
      </c>
      <c r="G698" s="338" t="s">
        <v>341</v>
      </c>
      <c r="L698" s="2481">
        <v>201.04</v>
      </c>
      <c r="M698" s="340" t="s">
        <v>307</v>
      </c>
      <c r="N698" s="1390"/>
      <c r="O698" s="2479"/>
      <c r="P698" s="2282"/>
      <c r="AA698" s="338">
        <v>409.01</v>
      </c>
      <c r="AB698" s="338" t="s">
        <v>289</v>
      </c>
      <c r="AG698" s="2297">
        <v>73</v>
      </c>
      <c r="AH698" s="2297" t="s">
        <v>316</v>
      </c>
      <c r="AI698" s="1390"/>
      <c r="AJ698" s="2282"/>
      <c r="AK698" s="2282"/>
      <c r="AL698" s="1037"/>
      <c r="AR698" s="338">
        <v>326.02</v>
      </c>
      <c r="AS698" s="338" t="s">
        <v>341</v>
      </c>
      <c r="AX698" s="340">
        <v>36.130000000000003</v>
      </c>
      <c r="AY698" s="340" t="s">
        <v>304</v>
      </c>
      <c r="BH698" s="338">
        <v>330.12</v>
      </c>
      <c r="BI698" s="338" t="s">
        <v>341</v>
      </c>
      <c r="BN698" s="340">
        <v>67</v>
      </c>
      <c r="BO698" s="340" t="s">
        <v>316</v>
      </c>
      <c r="BP698" s="1385"/>
      <c r="BV698" s="338">
        <v>105.04</v>
      </c>
      <c r="BW698" s="338" t="s">
        <v>294</v>
      </c>
      <c r="CB698" s="340">
        <v>35.06</v>
      </c>
      <c r="CC698" s="340" t="s">
        <v>304</v>
      </c>
      <c r="CE698" s="341" t="str">
        <f t="array" ref="CE698">IFERROR(IF($CE$11="Metro",INDEX($BV$13:$BV$4972,SMALL(IF((County=$BW$13:$BW$4972),MATCH(ROW($BW$13:$BW$4972),ROW($BW$13:$BW$4972)),""),ROWS($A$13:$A756))),INDEX($BY$13:$BY$212,SMALL(IF((County=$BZ$13:$BZ$212),MATCH(ROW($BZ$13:$BZ$212),ROW($BZ$13:$BZ$212)),""),ROWS($A$13:$A756)))),"")</f>
        <v/>
      </c>
      <c r="CL698" s="236">
        <v>20.02</v>
      </c>
      <c r="CM698" s="236" t="s">
        <v>329</v>
      </c>
      <c r="CR698" s="340">
        <v>67.180000000000007</v>
      </c>
      <c r="CS698" s="340" t="s">
        <v>331</v>
      </c>
      <c r="CT698" s="1384"/>
      <c r="CZ698" s="1795">
        <v>18.02</v>
      </c>
      <c r="DA698" s="338" t="s">
        <v>340</v>
      </c>
      <c r="DF698" s="340">
        <v>603.03</v>
      </c>
      <c r="DG698" s="340" t="s">
        <v>305</v>
      </c>
      <c r="DP698" s="236">
        <v>304.11</v>
      </c>
      <c r="DQ698" s="236" t="s">
        <v>322</v>
      </c>
      <c r="DV698" s="340">
        <v>72.06</v>
      </c>
      <c r="DW698" s="340" t="s">
        <v>340</v>
      </c>
      <c r="DX698" s="1671"/>
      <c r="EB698" s="618"/>
      <c r="EC698" s="618"/>
      <c r="ED698" s="618"/>
      <c r="EE698" s="618"/>
      <c r="EF698" s="618"/>
      <c r="EG698" s="618"/>
      <c r="EH698" s="618"/>
      <c r="EI698" s="618"/>
      <c r="EJ698" s="618"/>
      <c r="EK698" s="618"/>
      <c r="EL698" s="618"/>
      <c r="EM698" s="618"/>
    </row>
    <row r="699" spans="6:143">
      <c r="F699" s="338">
        <v>312.06</v>
      </c>
      <c r="G699" s="338" t="s">
        <v>341</v>
      </c>
      <c r="L699" s="2481">
        <v>205</v>
      </c>
      <c r="M699" s="340" t="s">
        <v>307</v>
      </c>
      <c r="N699" s="1390"/>
      <c r="O699" s="2479"/>
      <c r="P699" s="2282"/>
      <c r="AA699" s="338">
        <v>409.04</v>
      </c>
      <c r="AB699" s="338" t="s">
        <v>339</v>
      </c>
      <c r="AG699" s="2297">
        <v>73</v>
      </c>
      <c r="AH699" s="2297" t="s">
        <v>331</v>
      </c>
      <c r="AI699" s="1390"/>
      <c r="AJ699" s="2282"/>
      <c r="AK699" s="2282"/>
      <c r="AL699" s="1037"/>
      <c r="AR699" s="338">
        <v>328.04</v>
      </c>
      <c r="AS699" s="338" t="s">
        <v>341</v>
      </c>
      <c r="AX699" s="340">
        <v>36.14</v>
      </c>
      <c r="AY699" s="340" t="s">
        <v>304</v>
      </c>
      <c r="BH699" s="338">
        <v>330.13</v>
      </c>
      <c r="BI699" s="338" t="s">
        <v>341</v>
      </c>
      <c r="BN699" s="340">
        <v>67.05</v>
      </c>
      <c r="BO699" s="340" t="s">
        <v>331</v>
      </c>
      <c r="BP699" s="1385"/>
      <c r="BV699" s="338">
        <v>105.05</v>
      </c>
      <c r="BW699" s="338" t="s">
        <v>294</v>
      </c>
      <c r="CB699" s="340">
        <v>35.07</v>
      </c>
      <c r="CC699" s="340" t="s">
        <v>304</v>
      </c>
      <c r="CE699" s="341" t="str">
        <f t="array" ref="CE699">IFERROR(IF($CE$11="Metro",INDEX($BV$13:$BV$4972,SMALL(IF((County=$BW$13:$BW$4972),MATCH(ROW($BW$13:$BW$4972),ROW($BW$13:$BW$4972)),""),ROWS($A$13:$A757))),INDEX($BY$13:$BY$212,SMALL(IF((County=$BZ$13:$BZ$212),MATCH(ROW($BZ$13:$BZ$212),ROW($BZ$13:$BZ$212)),""),ROWS($A$13:$A757)))),"")</f>
        <v/>
      </c>
      <c r="CL699" s="236">
        <v>20.03</v>
      </c>
      <c r="CM699" s="236" t="s">
        <v>324</v>
      </c>
      <c r="CR699" s="340">
        <v>67.19</v>
      </c>
      <c r="CS699" s="340" t="s">
        <v>331</v>
      </c>
      <c r="CT699" s="1384"/>
      <c r="CZ699" s="1795">
        <v>19.100000000000001</v>
      </c>
      <c r="DA699" s="338" t="s">
        <v>340</v>
      </c>
      <c r="DF699" s="340">
        <v>603.04</v>
      </c>
      <c r="DG699" s="340" t="s">
        <v>305</v>
      </c>
      <c r="DP699" s="236">
        <v>304.12</v>
      </c>
      <c r="DQ699" s="236" t="s">
        <v>341</v>
      </c>
      <c r="DV699" s="340">
        <v>72.08</v>
      </c>
      <c r="DW699" s="340" t="s">
        <v>340</v>
      </c>
      <c r="DX699" s="1671"/>
      <c r="EB699" s="618"/>
      <c r="EC699" s="618"/>
      <c r="ED699" s="618"/>
      <c r="EE699" s="618"/>
      <c r="EF699" s="618"/>
      <c r="EG699" s="618"/>
      <c r="EH699" s="618"/>
      <c r="EI699" s="618"/>
      <c r="EJ699" s="618"/>
      <c r="EK699" s="618"/>
      <c r="EL699" s="618"/>
      <c r="EM699" s="618"/>
    </row>
    <row r="700" spans="6:143">
      <c r="F700" s="338">
        <v>314.01</v>
      </c>
      <c r="G700" s="338" t="s">
        <v>341</v>
      </c>
      <c r="L700" s="2481">
        <v>206</v>
      </c>
      <c r="M700" s="340" t="s">
        <v>307</v>
      </c>
      <c r="N700" s="1390"/>
      <c r="O700" s="2479"/>
      <c r="P700" s="2282"/>
      <c r="AA700" s="338">
        <v>410</v>
      </c>
      <c r="AB700" s="338" t="s">
        <v>289</v>
      </c>
      <c r="AG700" s="2297">
        <v>73.010000000000005</v>
      </c>
      <c r="AH700" s="2297" t="s">
        <v>340</v>
      </c>
      <c r="AI700" s="1390"/>
      <c r="AJ700" s="2282"/>
      <c r="AK700" s="2282"/>
      <c r="AL700" s="1037"/>
      <c r="AR700" s="338">
        <v>329.01</v>
      </c>
      <c r="AS700" s="338" t="s">
        <v>341</v>
      </c>
      <c r="AX700" s="340">
        <v>37</v>
      </c>
      <c r="AY700" s="340" t="s">
        <v>304</v>
      </c>
      <c r="BH700" s="338">
        <v>330.14</v>
      </c>
      <c r="BI700" s="338" t="s">
        <v>341</v>
      </c>
      <c r="BN700" s="340">
        <v>67.06</v>
      </c>
      <c r="BO700" s="340" t="s">
        <v>331</v>
      </c>
      <c r="BP700" s="1385"/>
      <c r="BV700" s="338">
        <v>105.06</v>
      </c>
      <c r="BW700" s="338" t="s">
        <v>294</v>
      </c>
      <c r="CB700" s="340">
        <v>35.090000000000003</v>
      </c>
      <c r="CC700" s="340" t="s">
        <v>304</v>
      </c>
      <c r="CE700" s="341" t="str">
        <f t="array" ref="CE700">IFERROR(IF($CE$11="Metro",INDEX($BV$13:$BV$4972,SMALL(IF((County=$BW$13:$BW$4972),MATCH(ROW($BW$13:$BW$4972),ROW($BW$13:$BW$4972)),""),ROWS($A$13:$A758))),INDEX($BY$13:$BY$212,SMALL(IF((County=$BZ$13:$BZ$212),MATCH(ROW($BZ$13:$BZ$212),ROW($BZ$13:$BZ$212)),""),ROWS($A$13:$A758)))),"")</f>
        <v/>
      </c>
      <c r="CL700" s="236">
        <v>20.03</v>
      </c>
      <c r="CM700" s="236" t="s">
        <v>328</v>
      </c>
      <c r="CR700" s="340">
        <v>67.2</v>
      </c>
      <c r="CS700" s="340" t="s">
        <v>331</v>
      </c>
      <c r="CT700" s="1384"/>
      <c r="CZ700" s="1795">
        <v>19.11</v>
      </c>
      <c r="DA700" s="338" t="s">
        <v>340</v>
      </c>
      <c r="DF700" s="340">
        <v>9701.02</v>
      </c>
      <c r="DG700" s="340" t="s">
        <v>306</v>
      </c>
      <c r="DP700" s="236">
        <v>305</v>
      </c>
      <c r="DQ700" s="236" t="s">
        <v>289</v>
      </c>
      <c r="DV700" s="340">
        <v>73</v>
      </c>
      <c r="DW700" s="340" t="s">
        <v>316</v>
      </c>
      <c r="DX700" s="1671"/>
      <c r="EB700" s="618"/>
      <c r="EC700" s="618"/>
      <c r="ED700" s="618"/>
      <c r="EE700" s="618"/>
      <c r="EF700" s="618"/>
      <c r="EG700" s="618"/>
      <c r="EH700" s="618"/>
      <c r="EI700" s="618"/>
      <c r="EJ700" s="618"/>
      <c r="EK700" s="618"/>
      <c r="EL700" s="618"/>
      <c r="EM700" s="618"/>
    </row>
    <row r="701" spans="6:143">
      <c r="F701" s="338">
        <v>314.06</v>
      </c>
      <c r="G701" s="338" t="s">
        <v>341</v>
      </c>
      <c r="L701" s="2481">
        <v>208</v>
      </c>
      <c r="M701" s="340" t="s">
        <v>307</v>
      </c>
      <c r="N701" s="1390"/>
      <c r="O701" s="2479"/>
      <c r="P701" s="2282"/>
      <c r="AA701" s="338">
        <v>410.05</v>
      </c>
      <c r="AB701" s="338" t="s">
        <v>339</v>
      </c>
      <c r="AG701" s="2297">
        <v>73.02</v>
      </c>
      <c r="AH701" s="2297" t="s">
        <v>340</v>
      </c>
      <c r="AI701" s="1390"/>
      <c r="AJ701" s="2282"/>
      <c r="AK701" s="2282"/>
      <c r="AL701" s="1037"/>
      <c r="AR701" s="338">
        <v>330.09</v>
      </c>
      <c r="AS701" s="338" t="s">
        <v>341</v>
      </c>
      <c r="AX701" s="340">
        <v>38</v>
      </c>
      <c r="AY701" s="340" t="s">
        <v>304</v>
      </c>
      <c r="BH701" s="338">
        <v>401.09</v>
      </c>
      <c r="BI701" s="338" t="s">
        <v>323</v>
      </c>
      <c r="BN701" s="340">
        <v>67.069999999999993</v>
      </c>
      <c r="BO701" s="340" t="s">
        <v>331</v>
      </c>
      <c r="BP701" s="1385"/>
      <c r="BV701" s="338">
        <v>201.01</v>
      </c>
      <c r="BW701" s="338" t="s">
        <v>294</v>
      </c>
      <c r="CB701" s="340">
        <v>35.1</v>
      </c>
      <c r="CC701" s="340" t="s">
        <v>304</v>
      </c>
      <c r="CE701" s="341" t="str">
        <f t="array" ref="CE701">IFERROR(IF($CE$11="Metro",INDEX($BV$13:$BV$4972,SMALL(IF((County=$BW$13:$BW$4972),MATCH(ROW($BW$13:$BW$4972),ROW($BW$13:$BW$4972)),""),ROWS($A$13:$A759))),INDEX($BY$13:$BY$212,SMALL(IF((County=$BZ$13:$BZ$212),MATCH(ROW($BZ$13:$BZ$212),ROW($BZ$13:$BZ$212)),""),ROWS($A$13:$A759)))),"")</f>
        <v/>
      </c>
      <c r="CL701" s="236">
        <v>20.03</v>
      </c>
      <c r="CM701" s="236" t="s">
        <v>331</v>
      </c>
      <c r="CR701" s="340">
        <v>67.209999999999994</v>
      </c>
      <c r="CS701" s="340" t="s">
        <v>331</v>
      </c>
      <c r="CT701" s="1384"/>
      <c r="CZ701" s="1795">
        <v>19.12</v>
      </c>
      <c r="DA701" s="338" t="s">
        <v>340</v>
      </c>
      <c r="DF701" s="340">
        <v>9703.0400000000009</v>
      </c>
      <c r="DG701" s="340" t="s">
        <v>306</v>
      </c>
      <c r="DP701" s="236">
        <v>305.01</v>
      </c>
      <c r="DQ701" s="236" t="s">
        <v>341</v>
      </c>
      <c r="DV701" s="340">
        <v>73</v>
      </c>
      <c r="DW701" s="340" t="s">
        <v>331</v>
      </c>
      <c r="DX701" s="1671"/>
      <c r="EB701" s="618"/>
      <c r="EC701" s="618"/>
      <c r="ED701" s="618"/>
      <c r="EE701" s="618"/>
      <c r="EF701" s="618"/>
      <c r="EG701" s="618"/>
      <c r="EH701" s="618"/>
      <c r="EI701" s="618"/>
      <c r="EJ701" s="618"/>
      <c r="EK701" s="618"/>
      <c r="EL701" s="618"/>
      <c r="EM701" s="618"/>
    </row>
    <row r="702" spans="6:143">
      <c r="F702" s="338">
        <v>314.11</v>
      </c>
      <c r="G702" s="338" t="s">
        <v>341</v>
      </c>
      <c r="L702" s="2481">
        <v>9502.01</v>
      </c>
      <c r="M702" s="340" t="s">
        <v>308</v>
      </c>
      <c r="N702" s="1390"/>
      <c r="O702" s="2479"/>
      <c r="P702" s="2282"/>
      <c r="AA702" s="338">
        <v>411</v>
      </c>
      <c r="AB702" s="338" t="s">
        <v>289</v>
      </c>
      <c r="AG702" s="2297">
        <v>74.010000000000005</v>
      </c>
      <c r="AH702" s="2297" t="s">
        <v>331</v>
      </c>
      <c r="AI702" s="1390"/>
      <c r="AJ702" s="2282"/>
      <c r="AK702" s="2282"/>
      <c r="AL702" s="1037"/>
      <c r="AR702" s="338">
        <v>330.12</v>
      </c>
      <c r="AS702" s="338" t="s">
        <v>341</v>
      </c>
      <c r="AX702" s="340">
        <v>601.04</v>
      </c>
      <c r="AY702" s="340" t="s">
        <v>305</v>
      </c>
      <c r="BH702" s="338">
        <v>401.22</v>
      </c>
      <c r="BI702" s="338" t="s">
        <v>323</v>
      </c>
      <c r="BN702" s="340">
        <v>67.09</v>
      </c>
      <c r="BO702" s="340" t="s">
        <v>331</v>
      </c>
      <c r="BP702" s="1385"/>
      <c r="BV702" s="338">
        <v>201.03</v>
      </c>
      <c r="BW702" s="338" t="s">
        <v>294</v>
      </c>
      <c r="CB702" s="340">
        <v>35.11</v>
      </c>
      <c r="CC702" s="340" t="s">
        <v>304</v>
      </c>
      <c r="CE702" s="341" t="str">
        <f t="array" ref="CE702">IFERROR(IF($CE$11="Metro",INDEX($BV$13:$BV$4972,SMALL(IF((County=$BW$13:$BW$4972),MATCH(ROW($BW$13:$BW$4972),ROW($BW$13:$BW$4972)),""),ROWS($A$13:$A760))),INDEX($BY$13:$BY$212,SMALL(IF((County=$BZ$13:$BZ$212),MATCH(ROW($BZ$13:$BZ$212),ROW($BZ$13:$BZ$212)),""),ROWS($A$13:$A760)))),"")</f>
        <v/>
      </c>
      <c r="CL702" s="236">
        <v>20.03</v>
      </c>
      <c r="CM702" s="236" t="s">
        <v>347</v>
      </c>
      <c r="CR702" s="340">
        <v>67.22</v>
      </c>
      <c r="CS702" s="340" t="s">
        <v>331</v>
      </c>
      <c r="CT702" s="1384"/>
      <c r="CZ702" s="1795">
        <v>19.13</v>
      </c>
      <c r="DA702" s="338" t="s">
        <v>340</v>
      </c>
      <c r="DF702" s="340">
        <v>201.01</v>
      </c>
      <c r="DG702" s="340" t="s">
        <v>307</v>
      </c>
      <c r="DP702" s="236">
        <v>305.02</v>
      </c>
      <c r="DQ702" s="236" t="s">
        <v>341</v>
      </c>
      <c r="DV702" s="340">
        <v>73.010000000000005</v>
      </c>
      <c r="DW702" s="340" t="s">
        <v>340</v>
      </c>
      <c r="DX702" s="1671"/>
      <c r="EB702" s="618"/>
      <c r="EC702" s="618"/>
      <c r="ED702" s="618"/>
      <c r="EE702" s="618"/>
      <c r="EF702" s="618"/>
      <c r="EG702" s="618"/>
      <c r="EH702" s="618"/>
      <c r="EI702" s="618"/>
      <c r="EJ702" s="618"/>
      <c r="EK702" s="618"/>
      <c r="EL702" s="618"/>
      <c r="EM702" s="618"/>
    </row>
    <row r="703" spans="6:143">
      <c r="F703" s="338">
        <v>314.12</v>
      </c>
      <c r="G703" s="338" t="s">
        <v>341</v>
      </c>
      <c r="L703" s="2481">
        <v>9502.02</v>
      </c>
      <c r="M703" s="340" t="s">
        <v>308</v>
      </c>
      <c r="N703" s="1390"/>
      <c r="O703" s="2479"/>
      <c r="P703" s="2282"/>
      <c r="AA703" s="338">
        <v>411.01</v>
      </c>
      <c r="AB703" s="338" t="s">
        <v>339</v>
      </c>
      <c r="AG703" s="2297">
        <v>74.02</v>
      </c>
      <c r="AH703" s="2297" t="s">
        <v>331</v>
      </c>
      <c r="AI703" s="1390"/>
      <c r="AJ703" s="2282"/>
      <c r="AK703" s="2282"/>
      <c r="AL703" s="1037"/>
      <c r="AR703" s="338">
        <v>330.13</v>
      </c>
      <c r="AS703" s="338" t="s">
        <v>341</v>
      </c>
      <c r="AX703" s="340">
        <v>601.04999999999995</v>
      </c>
      <c r="AY703" s="340" t="s">
        <v>305</v>
      </c>
      <c r="BH703" s="338">
        <v>403.04</v>
      </c>
      <c r="BI703" s="338" t="s">
        <v>323</v>
      </c>
      <c r="BN703" s="340">
        <v>67.13</v>
      </c>
      <c r="BO703" s="340" t="s">
        <v>331</v>
      </c>
      <c r="BP703" s="1385"/>
      <c r="BV703" s="338">
        <v>201.04</v>
      </c>
      <c r="BW703" s="338" t="s">
        <v>294</v>
      </c>
      <c r="CB703" s="340">
        <v>35.119999999999997</v>
      </c>
      <c r="CC703" s="340" t="s">
        <v>304</v>
      </c>
      <c r="CE703" s="341" t="str">
        <f t="array" ref="CE703">IFERROR(IF($CE$11="Metro",INDEX($BV$13:$BV$4972,SMALL(IF((County=$BW$13:$BW$4972),MATCH(ROW($BW$13:$BW$4972),ROW($BW$13:$BW$4972)),""),ROWS($A$13:$A761))),INDEX($BY$13:$BY$212,SMALL(IF((County=$BZ$13:$BZ$212),MATCH(ROW($BZ$13:$BZ$212),ROW($BZ$13:$BZ$212)),""),ROWS($A$13:$A761)))),"")</f>
        <v/>
      </c>
      <c r="CL703" s="236">
        <v>20.04</v>
      </c>
      <c r="CM703" s="236" t="s">
        <v>331</v>
      </c>
      <c r="CR703" s="340">
        <v>68.010000000000005</v>
      </c>
      <c r="CS703" s="340" t="s">
        <v>316</v>
      </c>
      <c r="CT703" s="1384"/>
      <c r="CZ703" s="1795">
        <v>19.170000000000002</v>
      </c>
      <c r="DA703" s="338" t="s">
        <v>340</v>
      </c>
      <c r="DF703" s="340">
        <v>201.03</v>
      </c>
      <c r="DG703" s="340" t="s">
        <v>307</v>
      </c>
      <c r="DP703" s="236">
        <v>305.05</v>
      </c>
      <c r="DQ703" s="236" t="s">
        <v>322</v>
      </c>
      <c r="DV703" s="340">
        <v>73.02</v>
      </c>
      <c r="DW703" s="340" t="s">
        <v>340</v>
      </c>
      <c r="DX703" s="1671"/>
      <c r="EB703" s="618"/>
      <c r="EC703" s="618"/>
      <c r="ED703" s="618"/>
      <c r="EE703" s="618"/>
      <c r="EF703" s="618"/>
      <c r="EG703" s="618"/>
      <c r="EH703" s="618"/>
      <c r="EI703" s="618"/>
      <c r="EJ703" s="618"/>
      <c r="EK703" s="618"/>
      <c r="EL703" s="618"/>
      <c r="EM703" s="618"/>
    </row>
    <row r="704" spans="6:143">
      <c r="F704" s="338">
        <v>315.06</v>
      </c>
      <c r="G704" s="338" t="s">
        <v>341</v>
      </c>
      <c r="L704" s="2481">
        <v>1</v>
      </c>
      <c r="M704" s="340" t="s">
        <v>309</v>
      </c>
      <c r="N704" s="1390"/>
      <c r="O704" s="2479"/>
      <c r="P704" s="2282"/>
      <c r="AA704" s="338">
        <v>412</v>
      </c>
      <c r="AB704" s="338" t="s">
        <v>289</v>
      </c>
      <c r="AG704" s="2297">
        <v>74.03</v>
      </c>
      <c r="AH704" s="2297" t="s">
        <v>331</v>
      </c>
      <c r="AI704" s="1390"/>
      <c r="AJ704" s="2282"/>
      <c r="AK704" s="2282"/>
      <c r="AL704" s="1037"/>
      <c r="AR704" s="338">
        <v>330.14</v>
      </c>
      <c r="AS704" s="338" t="s">
        <v>341</v>
      </c>
      <c r="AX704" s="340">
        <v>601.05999999999995</v>
      </c>
      <c r="AY704" s="340" t="s">
        <v>305</v>
      </c>
      <c r="BH704" s="338">
        <v>403.05</v>
      </c>
      <c r="BI704" s="338" t="s">
        <v>323</v>
      </c>
      <c r="BN704" s="340">
        <v>67.14</v>
      </c>
      <c r="BO704" s="340" t="s">
        <v>331</v>
      </c>
      <c r="BP704" s="1385"/>
      <c r="BV704" s="338">
        <v>202.03</v>
      </c>
      <c r="BW704" s="338" t="s">
        <v>294</v>
      </c>
      <c r="CB704" s="340">
        <v>36.03</v>
      </c>
      <c r="CC704" s="340" t="s">
        <v>304</v>
      </c>
      <c r="CE704" s="341" t="str">
        <f t="array" ref="CE704">IFERROR(IF($CE$11="Metro",INDEX($BV$13:$BV$4972,SMALL(IF((County=$BW$13:$BW$4972),MATCH(ROW($BW$13:$BW$4972),ROW($BW$13:$BW$4972)),""),ROWS($A$13:$A762))),INDEX($BY$13:$BY$212,SMALL(IF((County=$BZ$13:$BZ$212),MATCH(ROW($BZ$13:$BZ$212),ROW($BZ$13:$BZ$212)),""),ROWS($A$13:$A762)))),"")</f>
        <v/>
      </c>
      <c r="CL704" s="236">
        <v>20.04</v>
      </c>
      <c r="CM704" s="236" t="s">
        <v>347</v>
      </c>
      <c r="CR704" s="340">
        <v>68.010000000000005</v>
      </c>
      <c r="CS704" s="340" t="s">
        <v>331</v>
      </c>
      <c r="CT704" s="1384"/>
      <c r="CZ704" s="1795">
        <v>21</v>
      </c>
      <c r="DA704" s="338" t="s">
        <v>340</v>
      </c>
      <c r="DF704" s="340">
        <v>201.04</v>
      </c>
      <c r="DG704" s="340" t="s">
        <v>307</v>
      </c>
      <c r="DP704" s="236">
        <v>305.07</v>
      </c>
      <c r="DQ704" s="236" t="s">
        <v>322</v>
      </c>
      <c r="DV704" s="340">
        <v>74.010000000000005</v>
      </c>
      <c r="DW704" s="340" t="s">
        <v>331</v>
      </c>
      <c r="DX704" s="1671"/>
      <c r="EB704" s="618"/>
      <c r="EC704" s="618"/>
      <c r="ED704" s="618"/>
      <c r="EE704" s="618"/>
      <c r="EF704" s="618"/>
      <c r="EG704" s="618"/>
      <c r="EH704" s="618"/>
      <c r="EI704" s="618"/>
      <c r="EJ704" s="618"/>
      <c r="EK704" s="618"/>
      <c r="EL704" s="618"/>
      <c r="EM704" s="618"/>
    </row>
    <row r="705" spans="6:143">
      <c r="F705" s="338">
        <v>317.02999999999997</v>
      </c>
      <c r="G705" s="338" t="s">
        <v>341</v>
      </c>
      <c r="L705" s="2481">
        <v>2.02</v>
      </c>
      <c r="M705" s="340" t="s">
        <v>309</v>
      </c>
      <c r="N705" s="1390"/>
      <c r="O705" s="2479"/>
      <c r="P705" s="2282"/>
      <c r="AA705" s="338">
        <v>412.04</v>
      </c>
      <c r="AB705" s="338" t="s">
        <v>314</v>
      </c>
      <c r="AG705" s="2297">
        <v>74.069999999999993</v>
      </c>
      <c r="AH705" s="2297" t="s">
        <v>340</v>
      </c>
      <c r="AI705" s="1390"/>
      <c r="AJ705" s="2282"/>
      <c r="AK705" s="2282"/>
      <c r="AL705" s="1037"/>
      <c r="AR705" s="338">
        <v>201.09</v>
      </c>
      <c r="AS705" s="338" t="s">
        <v>342</v>
      </c>
      <c r="AX705" s="340">
        <v>601.07000000000005</v>
      </c>
      <c r="AY705" s="340" t="s">
        <v>305</v>
      </c>
      <c r="BH705" s="338">
        <v>403.11</v>
      </c>
      <c r="BI705" s="338" t="s">
        <v>323</v>
      </c>
      <c r="BN705" s="340">
        <v>67.150000000000006</v>
      </c>
      <c r="BO705" s="340" t="s">
        <v>331</v>
      </c>
      <c r="BP705" s="1385"/>
      <c r="BV705" s="338">
        <v>202.04</v>
      </c>
      <c r="BW705" s="338" t="s">
        <v>294</v>
      </c>
      <c r="CB705" s="340">
        <v>36.08</v>
      </c>
      <c r="CC705" s="340" t="s">
        <v>304</v>
      </c>
      <c r="CE705" s="341" t="str">
        <f t="array" ref="CE705">IFERROR(IF($CE$11="Metro",INDEX($BV$13:$BV$4972,SMALL(IF((County=$BW$13:$BW$4972),MATCH(ROW($BW$13:$BW$4972),ROW($BW$13:$BW$4972)),""),ROWS($A$13:$A763))),INDEX($BY$13:$BY$212,SMALL(IF((County=$BZ$13:$BZ$212),MATCH(ROW($BZ$13:$BZ$212),ROW($BZ$13:$BZ$212)),""),ROWS($A$13:$A763)))),"")</f>
        <v/>
      </c>
      <c r="CL705" s="236">
        <v>20.05</v>
      </c>
      <c r="CM705" s="236" t="s">
        <v>324</v>
      </c>
      <c r="CR705" s="340">
        <v>68.02</v>
      </c>
      <c r="CS705" s="340" t="s">
        <v>316</v>
      </c>
      <c r="CT705" s="1384"/>
      <c r="CZ705" s="1795">
        <v>22</v>
      </c>
      <c r="DA705" s="338" t="s">
        <v>340</v>
      </c>
      <c r="DF705" s="340">
        <v>205</v>
      </c>
      <c r="DG705" s="340" t="s">
        <v>307</v>
      </c>
      <c r="DP705" s="236">
        <v>306.01</v>
      </c>
      <c r="DQ705" s="236" t="s">
        <v>289</v>
      </c>
      <c r="DV705" s="340">
        <v>74.02</v>
      </c>
      <c r="DW705" s="340" t="s">
        <v>331</v>
      </c>
      <c r="DX705" s="1671"/>
      <c r="EB705" s="618"/>
      <c r="EC705" s="618"/>
      <c r="ED705" s="618"/>
      <c r="EE705" s="618"/>
      <c r="EF705" s="618"/>
      <c r="EG705" s="618"/>
      <c r="EH705" s="618"/>
      <c r="EI705" s="618"/>
      <c r="EJ705" s="618"/>
      <c r="EK705" s="618"/>
      <c r="EL705" s="618"/>
      <c r="EM705" s="618"/>
    </row>
    <row r="706" spans="6:143">
      <c r="F706" s="338">
        <v>318.07</v>
      </c>
      <c r="G706" s="338" t="s">
        <v>341</v>
      </c>
      <c r="L706" s="2481">
        <v>9601.02</v>
      </c>
      <c r="M706" s="340" t="s">
        <v>310</v>
      </c>
      <c r="N706" s="1390"/>
      <c r="O706" s="2479"/>
      <c r="P706" s="2282"/>
      <c r="AA706" s="338">
        <v>413</v>
      </c>
      <c r="AB706" s="338" t="s">
        <v>289</v>
      </c>
      <c r="AG706" s="2297">
        <v>74.099999999999994</v>
      </c>
      <c r="AH706" s="2297" t="s">
        <v>340</v>
      </c>
      <c r="AI706" s="1390"/>
      <c r="AJ706" s="2282"/>
      <c r="AK706" s="2282"/>
      <c r="AL706" s="1037"/>
      <c r="AR706" s="338">
        <v>201.1</v>
      </c>
      <c r="AS706" s="338" t="s">
        <v>342</v>
      </c>
      <c r="AX706" s="340">
        <v>602.07000000000005</v>
      </c>
      <c r="AY706" s="340" t="s">
        <v>305</v>
      </c>
      <c r="BH706" s="338">
        <v>404</v>
      </c>
      <c r="BI706" s="338" t="s">
        <v>314</v>
      </c>
      <c r="BN706" s="340">
        <v>67.17</v>
      </c>
      <c r="BO706" s="340" t="s">
        <v>331</v>
      </c>
      <c r="BP706" s="1385"/>
      <c r="BV706" s="338">
        <v>202.05</v>
      </c>
      <c r="BW706" s="338" t="s">
        <v>294</v>
      </c>
      <c r="CB706" s="340">
        <v>36.090000000000003</v>
      </c>
      <c r="CC706" s="340" t="s">
        <v>304</v>
      </c>
      <c r="CE706" s="341" t="str">
        <f t="array" ref="CE706">IFERROR(IF($CE$11="Metro",INDEX($BV$13:$BV$4972,SMALL(IF((County=$BW$13:$BW$4972),MATCH(ROW($BW$13:$BW$4972),ROW($BW$13:$BW$4972)),""),ROWS($A$13:$A764))),INDEX($BY$13:$BY$212,SMALL(IF((County=$BZ$13:$BZ$212),MATCH(ROW($BZ$13:$BZ$212),ROW($BZ$13:$BZ$212)),""),ROWS($A$13:$A764)))),"")</f>
        <v/>
      </c>
      <c r="CL706" s="236">
        <v>20.05</v>
      </c>
      <c r="CM706" s="236" t="s">
        <v>328</v>
      </c>
      <c r="CR706" s="340">
        <v>68.02</v>
      </c>
      <c r="CS706" s="340" t="s">
        <v>331</v>
      </c>
      <c r="CT706" s="1384"/>
      <c r="CZ706" s="1795">
        <v>23</v>
      </c>
      <c r="DA706" s="338" t="s">
        <v>340</v>
      </c>
      <c r="DF706" s="340">
        <v>206</v>
      </c>
      <c r="DG706" s="340" t="s">
        <v>307</v>
      </c>
      <c r="DP706" s="236">
        <v>306.01</v>
      </c>
      <c r="DQ706" s="236" t="s">
        <v>322</v>
      </c>
      <c r="DV706" s="340">
        <v>74.03</v>
      </c>
      <c r="DW706" s="340" t="s">
        <v>331</v>
      </c>
      <c r="DX706" s="1671"/>
      <c r="EB706" s="618"/>
      <c r="EC706" s="618"/>
      <c r="ED706" s="618"/>
      <c r="EE706" s="618"/>
      <c r="EF706" s="618"/>
      <c r="EG706" s="618"/>
      <c r="EH706" s="618"/>
      <c r="EI706" s="618"/>
      <c r="EJ706" s="618"/>
      <c r="EK706" s="618"/>
      <c r="EL706" s="618"/>
      <c r="EM706" s="618"/>
    </row>
    <row r="707" spans="6:143">
      <c r="F707" s="338">
        <v>328.04</v>
      </c>
      <c r="G707" s="338" t="s">
        <v>341</v>
      </c>
      <c r="L707" s="2481">
        <v>9602</v>
      </c>
      <c r="M707" s="340" t="s">
        <v>310</v>
      </c>
      <c r="N707" s="1390"/>
      <c r="O707" s="2479"/>
      <c r="P707" s="2282"/>
      <c r="AA707" s="338">
        <v>413.01</v>
      </c>
      <c r="AB707" s="338" t="s">
        <v>339</v>
      </c>
      <c r="AG707" s="2297">
        <v>74.12</v>
      </c>
      <c r="AH707" s="2297" t="s">
        <v>340</v>
      </c>
      <c r="AI707" s="1390"/>
      <c r="AJ707" s="2282"/>
      <c r="AK707" s="2282"/>
      <c r="AL707" s="1037"/>
      <c r="AR707" s="338">
        <v>205</v>
      </c>
      <c r="AS707" s="338" t="s">
        <v>342</v>
      </c>
      <c r="AX707" s="340">
        <v>602.08000000000004</v>
      </c>
      <c r="AY707" s="340" t="s">
        <v>305</v>
      </c>
      <c r="BH707" s="338">
        <v>405.01</v>
      </c>
      <c r="BI707" s="338" t="s">
        <v>314</v>
      </c>
      <c r="BN707" s="340">
        <v>67.2</v>
      </c>
      <c r="BO707" s="340" t="s">
        <v>331</v>
      </c>
      <c r="BP707" s="1385"/>
      <c r="BV707" s="338">
        <v>202.06</v>
      </c>
      <c r="BW707" s="338" t="s">
        <v>294</v>
      </c>
      <c r="CB707" s="340">
        <v>36.1</v>
      </c>
      <c r="CC707" s="340" t="s">
        <v>304</v>
      </c>
      <c r="CE707" s="341" t="str">
        <f t="array" ref="CE707">IFERROR(IF($CE$11="Metro",INDEX($BV$13:$BV$4972,SMALL(IF((County=$BW$13:$BW$4972),MATCH(ROW($BW$13:$BW$4972),ROW($BW$13:$BW$4972)),""),ROWS($A$13:$A765))),INDEX($BY$13:$BY$212,SMALL(IF((County=$BZ$13:$BZ$212),MATCH(ROW($BZ$13:$BZ$212),ROW($BZ$13:$BZ$212)),""),ROWS($A$13:$A765)))),"")</f>
        <v/>
      </c>
      <c r="CL707" s="236">
        <v>20.05</v>
      </c>
      <c r="CM707" s="236" t="s">
        <v>340</v>
      </c>
      <c r="CR707" s="340">
        <v>69</v>
      </c>
      <c r="CS707" s="340" t="s">
        <v>316</v>
      </c>
      <c r="CT707" s="1384"/>
      <c r="CZ707" s="1795">
        <v>24</v>
      </c>
      <c r="DA707" s="338" t="s">
        <v>340</v>
      </c>
      <c r="DF707" s="340">
        <v>208</v>
      </c>
      <c r="DG707" s="340" t="s">
        <v>307</v>
      </c>
      <c r="DP707" s="236">
        <v>306.01</v>
      </c>
      <c r="DQ707" s="236" t="s">
        <v>341</v>
      </c>
      <c r="DV707" s="340">
        <v>74.069999999999993</v>
      </c>
      <c r="DW707" s="340" t="s">
        <v>340</v>
      </c>
      <c r="DX707" s="1671"/>
      <c r="EB707" s="618"/>
      <c r="EC707" s="618"/>
      <c r="ED707" s="618"/>
      <c r="EE707" s="618"/>
      <c r="EF707" s="618"/>
      <c r="EG707" s="618"/>
      <c r="EH707" s="618"/>
      <c r="EI707" s="618"/>
      <c r="EJ707" s="618"/>
      <c r="EK707" s="618"/>
      <c r="EL707" s="618"/>
      <c r="EM707" s="618"/>
    </row>
    <row r="708" spans="6:143">
      <c r="F708" s="338">
        <v>330.07</v>
      </c>
      <c r="G708" s="338" t="s">
        <v>341</v>
      </c>
      <c r="L708" s="2481">
        <v>9603.02</v>
      </c>
      <c r="M708" s="340" t="s">
        <v>310</v>
      </c>
      <c r="N708" s="1390"/>
      <c r="O708" s="2479"/>
      <c r="P708" s="2282"/>
      <c r="AA708" s="338">
        <v>414</v>
      </c>
      <c r="AB708" s="338" t="s">
        <v>289</v>
      </c>
      <c r="AG708" s="2297">
        <v>74.14</v>
      </c>
      <c r="AH708" s="2297" t="s">
        <v>340</v>
      </c>
      <c r="AI708" s="1390"/>
      <c r="AJ708" s="2282"/>
      <c r="AK708" s="2282"/>
      <c r="AL708" s="1037"/>
      <c r="AR708" s="338">
        <v>206</v>
      </c>
      <c r="AS708" s="338" t="s">
        <v>342</v>
      </c>
      <c r="AX708" s="340">
        <v>602.14</v>
      </c>
      <c r="AY708" s="340" t="s">
        <v>305</v>
      </c>
      <c r="BH708" s="338">
        <v>409.01</v>
      </c>
      <c r="BI708" s="338" t="s">
        <v>289</v>
      </c>
      <c r="BN708" s="340">
        <v>67.209999999999994</v>
      </c>
      <c r="BO708" s="340" t="s">
        <v>331</v>
      </c>
      <c r="BP708" s="1385"/>
      <c r="BV708" s="338">
        <v>203.01</v>
      </c>
      <c r="BW708" s="338" t="s">
        <v>294</v>
      </c>
      <c r="CB708" s="340">
        <v>36.11</v>
      </c>
      <c r="CC708" s="340" t="s">
        <v>304</v>
      </c>
      <c r="CE708" s="341" t="str">
        <f t="array" ref="CE708">IFERROR(IF($CE$11="Metro",INDEX($BV$13:$BV$4972,SMALL(IF((County=$BW$13:$BW$4972),MATCH(ROW($BW$13:$BW$4972),ROW($BW$13:$BW$4972)),""),ROWS($A$13:$A766))),INDEX($BY$13:$BY$212,SMALL(IF((County=$BZ$13:$BZ$212),MATCH(ROW($BZ$13:$BZ$212),ROW($BZ$13:$BZ$212)),""),ROWS($A$13:$A766)))),"")</f>
        <v/>
      </c>
      <c r="CL708" s="236">
        <v>20.059999999999999</v>
      </c>
      <c r="CM708" s="236" t="s">
        <v>324</v>
      </c>
      <c r="CR708" s="340">
        <v>69.010000000000005</v>
      </c>
      <c r="CS708" s="340" t="s">
        <v>331</v>
      </c>
      <c r="CT708" s="1384"/>
      <c r="CZ708" s="1795">
        <v>29</v>
      </c>
      <c r="DA708" s="338" t="s">
        <v>340</v>
      </c>
      <c r="DF708" s="340">
        <v>9502.02</v>
      </c>
      <c r="DG708" s="340" t="s">
        <v>308</v>
      </c>
      <c r="DP708" s="236">
        <v>306.02</v>
      </c>
      <c r="DQ708" s="236" t="s">
        <v>322</v>
      </c>
      <c r="DV708" s="340">
        <v>74.099999999999994</v>
      </c>
      <c r="DW708" s="340" t="s">
        <v>340</v>
      </c>
      <c r="DX708" s="1671"/>
      <c r="EB708" s="618"/>
      <c r="EC708" s="618"/>
      <c r="ED708" s="618"/>
      <c r="EE708" s="618"/>
      <c r="EF708" s="618"/>
      <c r="EG708" s="618"/>
      <c r="EH708" s="618"/>
      <c r="EI708" s="618"/>
      <c r="EJ708" s="618"/>
      <c r="EK708" s="618"/>
      <c r="EL708" s="618"/>
      <c r="EM708" s="618"/>
    </row>
    <row r="709" spans="6:143">
      <c r="F709" s="338">
        <v>330.08</v>
      </c>
      <c r="G709" s="338" t="s">
        <v>341</v>
      </c>
      <c r="L709" s="2481">
        <v>9601.02</v>
      </c>
      <c r="M709" s="340" t="s">
        <v>311</v>
      </c>
      <c r="N709" s="1390"/>
      <c r="O709" s="2479"/>
      <c r="P709" s="2282"/>
      <c r="AA709" s="338">
        <v>414.01</v>
      </c>
      <c r="AB709" s="338" t="s">
        <v>314</v>
      </c>
      <c r="AG709" s="2297">
        <v>74.2</v>
      </c>
      <c r="AH709" s="2297" t="s">
        <v>340</v>
      </c>
      <c r="AI709" s="1390"/>
      <c r="AJ709" s="2282"/>
      <c r="AK709" s="2282"/>
      <c r="AL709" s="1037"/>
      <c r="AR709" s="338">
        <v>207</v>
      </c>
      <c r="AS709" s="338" t="s">
        <v>342</v>
      </c>
      <c r="AX709" s="340">
        <v>602.16</v>
      </c>
      <c r="AY709" s="340" t="s">
        <v>305</v>
      </c>
      <c r="BH709" s="338">
        <v>409.02</v>
      </c>
      <c r="BI709" s="338" t="s">
        <v>289</v>
      </c>
      <c r="BN709" s="340">
        <v>67.22</v>
      </c>
      <c r="BO709" s="340" t="s">
        <v>331</v>
      </c>
      <c r="BP709" s="1385"/>
      <c r="BV709" s="338">
        <v>203.02</v>
      </c>
      <c r="BW709" s="338" t="s">
        <v>294</v>
      </c>
      <c r="CB709" s="340">
        <v>36.119999999999997</v>
      </c>
      <c r="CC709" s="340" t="s">
        <v>304</v>
      </c>
      <c r="CE709" s="341" t="str">
        <f t="array" ref="CE709">IFERROR(IF($CE$11="Metro",INDEX($BV$13:$BV$4972,SMALL(IF((County=$BW$13:$BW$4972),MATCH(ROW($BW$13:$BW$4972),ROW($BW$13:$BW$4972)),""),ROWS($A$13:$A767))),INDEX($BY$13:$BY$212,SMALL(IF((County=$BZ$13:$BZ$212),MATCH(ROW($BZ$13:$BZ$212),ROW($BZ$13:$BZ$212)),""),ROWS($A$13:$A767)))),"")</f>
        <v/>
      </c>
      <c r="CL709" s="236">
        <v>20.059999999999999</v>
      </c>
      <c r="CM709" s="236" t="s">
        <v>340</v>
      </c>
      <c r="CR709" s="340">
        <v>69.02</v>
      </c>
      <c r="CS709" s="340" t="s">
        <v>331</v>
      </c>
      <c r="CT709" s="1384"/>
      <c r="CZ709" s="1795">
        <v>31.02</v>
      </c>
      <c r="DA709" s="338" t="s">
        <v>340</v>
      </c>
      <c r="DF709" s="340">
        <v>9502.0300000000007</v>
      </c>
      <c r="DG709" s="340" t="s">
        <v>308</v>
      </c>
      <c r="DP709" s="236">
        <v>306.02</v>
      </c>
      <c r="DQ709" s="236" t="s">
        <v>341</v>
      </c>
      <c r="DV709" s="340">
        <v>74.12</v>
      </c>
      <c r="DW709" s="340" t="s">
        <v>340</v>
      </c>
      <c r="DX709" s="1671"/>
      <c r="EB709" s="618"/>
      <c r="EC709" s="618"/>
      <c r="ED709" s="618"/>
      <c r="EE709" s="618"/>
      <c r="EF709" s="618"/>
      <c r="EG709" s="618"/>
      <c r="EH709" s="618"/>
      <c r="EI709" s="618"/>
      <c r="EJ709" s="618"/>
      <c r="EK709" s="618"/>
      <c r="EL709" s="618"/>
      <c r="EM709" s="618"/>
    </row>
    <row r="710" spans="6:143">
      <c r="F710" s="338">
        <v>330.09</v>
      </c>
      <c r="G710" s="338" t="s">
        <v>341</v>
      </c>
      <c r="L710" s="2481">
        <v>9602.02</v>
      </c>
      <c r="M710" s="340" t="s">
        <v>311</v>
      </c>
      <c r="N710" s="1390"/>
      <c r="O710" s="2479"/>
      <c r="P710" s="2282"/>
      <c r="AA710" s="338">
        <v>415</v>
      </c>
      <c r="AB710" s="338" t="s">
        <v>289</v>
      </c>
      <c r="AG710" s="2297">
        <v>74.209999999999994</v>
      </c>
      <c r="AH710" s="2297" t="s">
        <v>340</v>
      </c>
      <c r="AI710" s="1390"/>
      <c r="AJ710" s="2282"/>
      <c r="AK710" s="2282"/>
      <c r="AL710" s="1037"/>
      <c r="AR710" s="338">
        <v>208</v>
      </c>
      <c r="AS710" s="338" t="s">
        <v>342</v>
      </c>
      <c r="AX710" s="340">
        <v>602.16999999999996</v>
      </c>
      <c r="AY710" s="340" t="s">
        <v>305</v>
      </c>
      <c r="BH710" s="338">
        <v>410</v>
      </c>
      <c r="BI710" s="338" t="s">
        <v>289</v>
      </c>
      <c r="BN710" s="340">
        <v>68.010000000000005</v>
      </c>
      <c r="BO710" s="340" t="s">
        <v>316</v>
      </c>
      <c r="BP710" s="1385"/>
      <c r="BV710" s="338">
        <v>203.03</v>
      </c>
      <c r="BW710" s="338" t="s">
        <v>294</v>
      </c>
      <c r="CB710" s="340">
        <v>36.130000000000003</v>
      </c>
      <c r="CC710" s="340" t="s">
        <v>304</v>
      </c>
      <c r="CE710" s="341" t="str">
        <f t="array" ref="CE710">IFERROR(IF($CE$11="Metro",INDEX($BV$13:$BV$4972,SMALL(IF((County=$BW$13:$BW$4972),MATCH(ROW($BW$13:$BW$4972),ROW($BW$13:$BW$4972)),""),ROWS($A$13:$A768))),INDEX($BY$13:$BY$212,SMALL(IF((County=$BZ$13:$BZ$212),MATCH(ROW($BZ$13:$BZ$212),ROW($BZ$13:$BZ$212)),""),ROWS($A$13:$A768)))),"")</f>
        <v/>
      </c>
      <c r="CL710" s="236">
        <v>20.07</v>
      </c>
      <c r="CM710" s="236" t="s">
        <v>324</v>
      </c>
      <c r="CR710" s="340">
        <v>69.06</v>
      </c>
      <c r="CS710" s="340" t="s">
        <v>340</v>
      </c>
      <c r="CT710" s="1384"/>
      <c r="CZ710" s="1795">
        <v>32.01</v>
      </c>
      <c r="DA710" s="338" t="s">
        <v>340</v>
      </c>
      <c r="DF710" s="340">
        <v>2.02</v>
      </c>
      <c r="DG710" s="340" t="s">
        <v>309</v>
      </c>
      <c r="DP710" s="236">
        <v>308</v>
      </c>
      <c r="DQ710" s="236" t="s">
        <v>341</v>
      </c>
      <c r="DV710" s="340">
        <v>74.14</v>
      </c>
      <c r="DW710" s="340" t="s">
        <v>340</v>
      </c>
      <c r="DX710" s="1671"/>
      <c r="EB710" s="618"/>
      <c r="EC710" s="618"/>
      <c r="ED710" s="618"/>
      <c r="EE710" s="618"/>
      <c r="EF710" s="618"/>
      <c r="EG710" s="618"/>
      <c r="EH710" s="618"/>
      <c r="EI710" s="618"/>
      <c r="EJ710" s="618"/>
      <c r="EK710" s="618"/>
      <c r="EL710" s="618"/>
      <c r="EM710" s="618"/>
    </row>
    <row r="711" spans="6:143">
      <c r="F711" s="338">
        <v>330.11</v>
      </c>
      <c r="G711" s="338" t="s">
        <v>341</v>
      </c>
      <c r="L711" s="2481">
        <v>9701.01</v>
      </c>
      <c r="M711" s="340" t="s">
        <v>312</v>
      </c>
      <c r="N711" s="1390"/>
      <c r="O711" s="2479"/>
      <c r="P711" s="2282"/>
      <c r="AA711" s="338">
        <v>416</v>
      </c>
      <c r="AB711" s="338" t="s">
        <v>339</v>
      </c>
      <c r="AG711" s="2297">
        <v>75.010000000000005</v>
      </c>
      <c r="AH711" s="2297" t="s">
        <v>331</v>
      </c>
      <c r="AI711" s="1390"/>
      <c r="AJ711" s="2282"/>
      <c r="AK711" s="2282"/>
      <c r="AL711" s="1037"/>
      <c r="AR711" s="338">
        <v>212</v>
      </c>
      <c r="AS711" s="338" t="s">
        <v>342</v>
      </c>
      <c r="AX711" s="340">
        <v>602.17999999999995</v>
      </c>
      <c r="AY711" s="340" t="s">
        <v>305</v>
      </c>
      <c r="BH711" s="338">
        <v>412</v>
      </c>
      <c r="BI711" s="338" t="s">
        <v>289</v>
      </c>
      <c r="BN711" s="340">
        <v>68.010000000000005</v>
      </c>
      <c r="BO711" s="340" t="s">
        <v>331</v>
      </c>
      <c r="BP711" s="1385"/>
      <c r="BV711" s="338">
        <v>204.01</v>
      </c>
      <c r="BW711" s="338" t="s">
        <v>294</v>
      </c>
      <c r="CB711" s="340">
        <v>37</v>
      </c>
      <c r="CC711" s="340" t="s">
        <v>304</v>
      </c>
      <c r="CE711" s="341" t="str">
        <f t="array" ref="CE711">IFERROR(IF($CE$11="Metro",INDEX($BV$13:$BV$4972,SMALL(IF((County=$BW$13:$BW$4972),MATCH(ROW($BW$13:$BW$4972),ROW($BW$13:$BW$4972)),""),ROWS($A$13:$A769))),INDEX($BY$13:$BY$212,SMALL(IF((County=$BZ$13:$BZ$212),MATCH(ROW($BZ$13:$BZ$212),ROW($BZ$13:$BZ$212)),""),ROWS($A$13:$A769)))),"")</f>
        <v/>
      </c>
      <c r="CL711" s="236">
        <v>20.07</v>
      </c>
      <c r="CM711" s="236" t="s">
        <v>347</v>
      </c>
      <c r="CR711" s="340">
        <v>69.069999999999993</v>
      </c>
      <c r="CS711" s="340" t="s">
        <v>340</v>
      </c>
      <c r="CT711" s="1384"/>
      <c r="CZ711" s="1795">
        <v>37</v>
      </c>
      <c r="DA711" s="338" t="s">
        <v>340</v>
      </c>
      <c r="DF711" s="340">
        <v>9601.02</v>
      </c>
      <c r="DG711" s="340" t="s">
        <v>310</v>
      </c>
      <c r="DP711" s="236">
        <v>308.02999999999997</v>
      </c>
      <c r="DQ711" s="236" t="s">
        <v>289</v>
      </c>
      <c r="DV711" s="340">
        <v>74.2</v>
      </c>
      <c r="DW711" s="340" t="s">
        <v>340</v>
      </c>
      <c r="DX711" s="1671"/>
      <c r="EB711" s="618"/>
      <c r="EC711" s="618"/>
      <c r="ED711" s="618"/>
      <c r="EE711" s="618"/>
      <c r="EF711" s="618"/>
      <c r="EG711" s="618"/>
      <c r="EH711" s="618"/>
      <c r="EI711" s="618"/>
      <c r="EJ711" s="618"/>
      <c r="EK711" s="618"/>
      <c r="EL711" s="618"/>
      <c r="EM711" s="618"/>
    </row>
    <row r="712" spans="6:143">
      <c r="F712" s="338">
        <v>330.12</v>
      </c>
      <c r="G712" s="338" t="s">
        <v>341</v>
      </c>
      <c r="L712" s="2481">
        <v>9702.02</v>
      </c>
      <c r="M712" s="340" t="s">
        <v>312</v>
      </c>
      <c r="N712" s="1390"/>
      <c r="O712" s="2479"/>
      <c r="P712" s="2282"/>
      <c r="AA712" s="338">
        <v>416.01</v>
      </c>
      <c r="AB712" s="338" t="s">
        <v>289</v>
      </c>
      <c r="AG712" s="2297">
        <v>75.010000000000005</v>
      </c>
      <c r="AH712" s="2297" t="s">
        <v>340</v>
      </c>
      <c r="AI712" s="1390"/>
      <c r="AJ712" s="2282"/>
      <c r="AK712" s="2282"/>
      <c r="AL712" s="1037"/>
      <c r="AR712" s="338">
        <v>216</v>
      </c>
      <c r="AS712" s="338" t="s">
        <v>342</v>
      </c>
      <c r="AX712" s="340">
        <v>602.19000000000005</v>
      </c>
      <c r="AY712" s="340" t="s">
        <v>305</v>
      </c>
      <c r="BH712" s="338">
        <v>412.04</v>
      </c>
      <c r="BI712" s="338" t="s">
        <v>314</v>
      </c>
      <c r="BN712" s="340">
        <v>68.02</v>
      </c>
      <c r="BO712" s="340" t="s">
        <v>316</v>
      </c>
      <c r="BP712" s="1385"/>
      <c r="BV712" s="338">
        <v>204.02</v>
      </c>
      <c r="BW712" s="338" t="s">
        <v>294</v>
      </c>
      <c r="CB712" s="340">
        <v>601.04999999999995</v>
      </c>
      <c r="CC712" s="340" t="s">
        <v>305</v>
      </c>
      <c r="CE712" s="341" t="str">
        <f t="array" ref="CE712">IFERROR(IF($CE$11="Metro",INDEX($BV$13:$BV$4972,SMALL(IF((County=$BW$13:$BW$4972),MATCH(ROW($BW$13:$BW$4972),ROW($BW$13:$BW$4972)),""),ROWS($A$13:$A770))),INDEX($BY$13:$BY$212,SMALL(IF((County=$BZ$13:$BZ$212),MATCH(ROW($BZ$13:$BZ$212),ROW($BZ$13:$BZ$212)),""),ROWS($A$13:$A770)))),"")</f>
        <v/>
      </c>
      <c r="CL712" s="236">
        <v>20.079999999999998</v>
      </c>
      <c r="CM712" s="236" t="s">
        <v>324</v>
      </c>
      <c r="CR712" s="340">
        <v>69.12</v>
      </c>
      <c r="CS712" s="340" t="s">
        <v>340</v>
      </c>
      <c r="CT712" s="1384"/>
      <c r="CZ712" s="1795">
        <v>40.07</v>
      </c>
      <c r="DA712" s="338" t="s">
        <v>340</v>
      </c>
      <c r="DF712" s="340">
        <v>9602</v>
      </c>
      <c r="DG712" s="340" t="s">
        <v>310</v>
      </c>
      <c r="DP712" s="236">
        <v>308.04000000000002</v>
      </c>
      <c r="DQ712" s="236" t="s">
        <v>289</v>
      </c>
      <c r="DV712" s="340">
        <v>74.209999999999994</v>
      </c>
      <c r="DW712" s="340" t="s">
        <v>340</v>
      </c>
      <c r="DX712" s="1671"/>
      <c r="EB712" s="618"/>
      <c r="EC712" s="618"/>
      <c r="ED712" s="618"/>
      <c r="EE712" s="618"/>
      <c r="EF712" s="618"/>
      <c r="EG712" s="618"/>
      <c r="EH712" s="618"/>
      <c r="EI712" s="618"/>
      <c r="EJ712" s="618"/>
      <c r="EK712" s="618"/>
      <c r="EL712" s="618"/>
      <c r="EM712" s="618"/>
    </row>
    <row r="713" spans="6:143">
      <c r="F713" s="338">
        <v>330.13</v>
      </c>
      <c r="G713" s="338" t="s">
        <v>341</v>
      </c>
      <c r="L713" s="2481">
        <v>1.01</v>
      </c>
      <c r="M713" s="340" t="s">
        <v>313</v>
      </c>
      <c r="N713" s="1390"/>
      <c r="O713" s="2479"/>
      <c r="P713" s="2282"/>
      <c r="AA713" s="338">
        <v>416.02</v>
      </c>
      <c r="AB713" s="338" t="s">
        <v>314</v>
      </c>
      <c r="AG713" s="2297">
        <v>75.03</v>
      </c>
      <c r="AH713" s="2297" t="s">
        <v>331</v>
      </c>
      <c r="AI713" s="1390"/>
      <c r="AJ713" s="2282"/>
      <c r="AK713" s="2282"/>
      <c r="AL713" s="1037"/>
      <c r="AR713" s="338">
        <v>245.1</v>
      </c>
      <c r="AS713" s="338" t="s">
        <v>342</v>
      </c>
      <c r="AX713" s="340">
        <v>603.01</v>
      </c>
      <c r="AY713" s="340" t="s">
        <v>305</v>
      </c>
      <c r="BH713" s="338">
        <v>413</v>
      </c>
      <c r="BI713" s="338" t="s">
        <v>289</v>
      </c>
      <c r="BN713" s="340">
        <v>68.02</v>
      </c>
      <c r="BO713" s="340" t="s">
        <v>331</v>
      </c>
      <c r="BP713" s="1385"/>
      <c r="BV713" s="338">
        <v>205.01</v>
      </c>
      <c r="BW713" s="338" t="s">
        <v>294</v>
      </c>
      <c r="CB713" s="340">
        <v>601.05999999999995</v>
      </c>
      <c r="CC713" s="340" t="s">
        <v>305</v>
      </c>
      <c r="CE713" s="341" t="str">
        <f t="array" ref="CE713">IFERROR(IF($CE$11="Metro",INDEX($BV$13:$BV$4972,SMALL(IF((County=$BW$13:$BW$4972),MATCH(ROW($BW$13:$BW$4972),ROW($BW$13:$BW$4972)),""),ROWS($A$13:$A771))),INDEX($BY$13:$BY$212,SMALL(IF((County=$BZ$13:$BZ$212),MATCH(ROW($BZ$13:$BZ$212),ROW($BZ$13:$BZ$212)),""),ROWS($A$13:$A771)))),"")</f>
        <v/>
      </c>
      <c r="CL713" s="236">
        <v>20.079999999999998</v>
      </c>
      <c r="CM713" s="236" t="s">
        <v>328</v>
      </c>
      <c r="CR713" s="340">
        <v>70.010000000000005</v>
      </c>
      <c r="CS713" s="340" t="s">
        <v>316</v>
      </c>
      <c r="CT713" s="1384"/>
      <c r="CZ713" s="1795">
        <v>40.08</v>
      </c>
      <c r="DA713" s="338" t="s">
        <v>340</v>
      </c>
      <c r="DF713" s="340">
        <v>9603.02</v>
      </c>
      <c r="DG713" s="340" t="s">
        <v>310</v>
      </c>
      <c r="DP713" s="236">
        <v>308.04000000000002</v>
      </c>
      <c r="DQ713" s="236" t="s">
        <v>322</v>
      </c>
      <c r="DV713" s="340">
        <v>75.010000000000005</v>
      </c>
      <c r="DW713" s="340" t="s">
        <v>331</v>
      </c>
      <c r="DX713" s="1671"/>
      <c r="EB713" s="618"/>
      <c r="EC713" s="618"/>
      <c r="ED713" s="618"/>
      <c r="EE713" s="618"/>
      <c r="EF713" s="618"/>
      <c r="EG713" s="618"/>
      <c r="EH713" s="618"/>
      <c r="EI713" s="618"/>
      <c r="EJ713" s="618"/>
      <c r="EK713" s="618"/>
      <c r="EL713" s="618"/>
      <c r="EM713" s="618"/>
    </row>
    <row r="714" spans="6:143">
      <c r="F714" s="338">
        <v>330.14</v>
      </c>
      <c r="G714" s="338" t="s">
        <v>341</v>
      </c>
      <c r="L714" s="2481">
        <v>1.02</v>
      </c>
      <c r="M714" s="340" t="s">
        <v>313</v>
      </c>
      <c r="N714" s="1390"/>
      <c r="O714" s="2479"/>
      <c r="P714" s="2282"/>
      <c r="AA714" s="338">
        <v>417</v>
      </c>
      <c r="AB714" s="338" t="s">
        <v>289</v>
      </c>
      <c r="AG714" s="2297">
        <v>75.040000000000006</v>
      </c>
      <c r="AH714" s="2297" t="s">
        <v>340</v>
      </c>
      <c r="AI714" s="1390"/>
      <c r="AJ714" s="2282"/>
      <c r="AK714" s="2282"/>
      <c r="AL714" s="1037"/>
      <c r="AR714" s="338">
        <v>246.03</v>
      </c>
      <c r="AS714" s="338" t="s">
        <v>342</v>
      </c>
      <c r="AX714" s="340">
        <v>603.02</v>
      </c>
      <c r="AY714" s="340" t="s">
        <v>305</v>
      </c>
      <c r="BH714" s="338">
        <v>414</v>
      </c>
      <c r="BI714" s="338" t="s">
        <v>289</v>
      </c>
      <c r="BN714" s="340">
        <v>69</v>
      </c>
      <c r="BO714" s="340" t="s">
        <v>316</v>
      </c>
      <c r="BP714" s="1385"/>
      <c r="BV714" s="338">
        <v>205.02</v>
      </c>
      <c r="BW714" s="338" t="s">
        <v>294</v>
      </c>
      <c r="CB714" s="340">
        <v>601.07000000000005</v>
      </c>
      <c r="CC714" s="340" t="s">
        <v>305</v>
      </c>
      <c r="CE714" s="341" t="str">
        <f t="array" ref="CE714">IFERROR(IF($CE$11="Metro",INDEX($BV$13:$BV$4972,SMALL(IF((County=$BW$13:$BW$4972),MATCH(ROW($BW$13:$BW$4972),ROW($BW$13:$BW$4972)),""),ROWS($A$13:$A772))),INDEX($BY$13:$BY$212,SMALL(IF((County=$BZ$13:$BZ$212),MATCH(ROW($BZ$13:$BZ$212),ROW($BZ$13:$BZ$212)),""),ROWS($A$13:$A772)))),"")</f>
        <v/>
      </c>
      <c r="CL714" s="236">
        <v>20.079999999999998</v>
      </c>
      <c r="CM714" s="236" t="s">
        <v>347</v>
      </c>
      <c r="CR714" s="340">
        <v>70.02</v>
      </c>
      <c r="CS714" s="340" t="s">
        <v>316</v>
      </c>
      <c r="CT714" s="1384"/>
      <c r="CZ714" s="1795">
        <v>40.11</v>
      </c>
      <c r="DA714" s="338" t="s">
        <v>340</v>
      </c>
      <c r="DF714" s="340">
        <v>9601.02</v>
      </c>
      <c r="DG714" s="340" t="s">
        <v>311</v>
      </c>
      <c r="DP714" s="236">
        <v>308.07</v>
      </c>
      <c r="DQ714" s="236" t="s">
        <v>322</v>
      </c>
      <c r="DV714" s="340">
        <v>75.010000000000005</v>
      </c>
      <c r="DW714" s="340" t="s">
        <v>340</v>
      </c>
      <c r="DX714" s="1671"/>
      <c r="EB714" s="618"/>
      <c r="EC714" s="618"/>
      <c r="ED714" s="618"/>
      <c r="EE714" s="618"/>
      <c r="EF714" s="618"/>
      <c r="EG714" s="618"/>
      <c r="EH714" s="618"/>
      <c r="EI714" s="618"/>
      <c r="EJ714" s="618"/>
      <c r="EK714" s="618"/>
      <c r="EL714" s="618"/>
      <c r="EM714" s="618"/>
    </row>
    <row r="715" spans="6:143">
      <c r="F715" s="338">
        <v>331.01</v>
      </c>
      <c r="G715" s="338" t="s">
        <v>341</v>
      </c>
      <c r="L715" s="2481">
        <v>3</v>
      </c>
      <c r="M715" s="340" t="s">
        <v>313</v>
      </c>
      <c r="N715" s="1390"/>
      <c r="O715" s="2479"/>
      <c r="P715" s="2282"/>
      <c r="AA715" s="338">
        <v>417</v>
      </c>
      <c r="AB715" s="338" t="s">
        <v>339</v>
      </c>
      <c r="AG715" s="2297">
        <v>75.05</v>
      </c>
      <c r="AH715" s="2297" t="s">
        <v>340</v>
      </c>
      <c r="AI715" s="1390"/>
      <c r="AJ715" s="2282"/>
      <c r="AK715" s="2282"/>
      <c r="AL715" s="1037"/>
      <c r="AR715" s="338">
        <v>246.04</v>
      </c>
      <c r="AS715" s="338" t="s">
        <v>342</v>
      </c>
      <c r="AX715" s="340">
        <v>603.03</v>
      </c>
      <c r="AY715" s="340" t="s">
        <v>305</v>
      </c>
      <c r="BH715" s="338">
        <v>414.01</v>
      </c>
      <c r="BI715" s="338" t="s">
        <v>314</v>
      </c>
      <c r="BN715" s="340">
        <v>69.010000000000005</v>
      </c>
      <c r="BO715" s="340" t="s">
        <v>331</v>
      </c>
      <c r="BP715" s="1385"/>
      <c r="BV715" s="338">
        <v>206.01</v>
      </c>
      <c r="BW715" s="338" t="s">
        <v>294</v>
      </c>
      <c r="CB715" s="340">
        <v>602.07000000000005</v>
      </c>
      <c r="CC715" s="340" t="s">
        <v>305</v>
      </c>
      <c r="CE715" s="341" t="str">
        <f t="array" ref="CE715">IFERROR(IF($CE$11="Metro",INDEX($BV$13:$BV$4972,SMALL(IF((County=$BW$13:$BW$4972),MATCH(ROW($BW$13:$BW$4972),ROW($BW$13:$BW$4972)),""),ROWS($A$13:$A773))),INDEX($BY$13:$BY$212,SMALL(IF((County=$BZ$13:$BZ$212),MATCH(ROW($BZ$13:$BZ$212),ROW($BZ$13:$BZ$212)),""),ROWS($A$13:$A773)))),"")</f>
        <v/>
      </c>
      <c r="CL715" s="236">
        <v>20.100000000000001</v>
      </c>
      <c r="CM715" s="236" t="s">
        <v>328</v>
      </c>
      <c r="CR715" s="340">
        <v>70.03</v>
      </c>
      <c r="CS715" s="340" t="s">
        <v>331</v>
      </c>
      <c r="CT715" s="1384"/>
      <c r="CZ715" s="1795">
        <v>40.130000000000003</v>
      </c>
      <c r="DA715" s="338" t="s">
        <v>340</v>
      </c>
      <c r="DF715" s="340">
        <v>9603</v>
      </c>
      <c r="DG715" s="340" t="s">
        <v>311</v>
      </c>
      <c r="DP715" s="236">
        <v>309.01</v>
      </c>
      <c r="DQ715" s="236" t="s">
        <v>341</v>
      </c>
      <c r="DV715" s="340">
        <v>75.03</v>
      </c>
      <c r="DW715" s="340" t="s">
        <v>331</v>
      </c>
      <c r="DX715" s="1671"/>
      <c r="EB715" s="618"/>
      <c r="EC715" s="618"/>
      <c r="ED715" s="618"/>
      <c r="EE715" s="618"/>
      <c r="EF715" s="618"/>
      <c r="EG715" s="618"/>
      <c r="EH715" s="618"/>
      <c r="EI715" s="618"/>
      <c r="EJ715" s="618"/>
      <c r="EK715" s="618"/>
      <c r="EL715" s="618"/>
      <c r="EM715" s="618"/>
    </row>
    <row r="716" spans="6:143">
      <c r="F716" s="338">
        <v>202.06</v>
      </c>
      <c r="G716" s="338" t="s">
        <v>342</v>
      </c>
      <c r="L716" s="2481">
        <v>4.01</v>
      </c>
      <c r="M716" s="340" t="s">
        <v>313</v>
      </c>
      <c r="N716" s="1390"/>
      <c r="O716" s="2479"/>
      <c r="P716" s="2282"/>
      <c r="AA716" s="338">
        <v>418</v>
      </c>
      <c r="AB716" s="338" t="s">
        <v>339</v>
      </c>
      <c r="AG716" s="2297">
        <v>76.010000000000005</v>
      </c>
      <c r="AH716" s="2297" t="s">
        <v>331</v>
      </c>
      <c r="AI716" s="1390"/>
      <c r="AJ716" s="2282"/>
      <c r="AK716" s="2282"/>
      <c r="AL716" s="1037"/>
      <c r="AR716" s="338">
        <v>247.01</v>
      </c>
      <c r="AS716" s="338" t="s">
        <v>342</v>
      </c>
      <c r="AX716" s="340">
        <v>603.04</v>
      </c>
      <c r="AY716" s="340" t="s">
        <v>305</v>
      </c>
      <c r="BH716" s="338">
        <v>415</v>
      </c>
      <c r="BI716" s="338" t="s">
        <v>289</v>
      </c>
      <c r="BN716" s="340">
        <v>69.02</v>
      </c>
      <c r="BO716" s="340" t="s">
        <v>331</v>
      </c>
      <c r="BP716" s="1385"/>
      <c r="BV716" s="338">
        <v>206.02</v>
      </c>
      <c r="BW716" s="338" t="s">
        <v>294</v>
      </c>
      <c r="CB716" s="340">
        <v>602.08000000000004</v>
      </c>
      <c r="CC716" s="340" t="s">
        <v>305</v>
      </c>
      <c r="CE716" s="341" t="str">
        <f t="array" ref="CE716">IFERROR(IF($CE$11="Metro",INDEX($BV$13:$BV$4972,SMALL(IF((County=$BW$13:$BW$4972),MATCH(ROW($BW$13:$BW$4972),ROW($BW$13:$BW$4972)),""),ROWS($A$13:$A774))),INDEX($BY$13:$BY$212,SMALL(IF((County=$BZ$13:$BZ$212),MATCH(ROW($BZ$13:$BZ$212),ROW($BZ$13:$BZ$212)),""),ROWS($A$13:$A774)))),"")</f>
        <v/>
      </c>
      <c r="CL716" s="236">
        <v>20.11</v>
      </c>
      <c r="CM716" s="236" t="s">
        <v>328</v>
      </c>
      <c r="CR716" s="340">
        <v>70.040000000000006</v>
      </c>
      <c r="CS716" s="340" t="s">
        <v>331</v>
      </c>
      <c r="CT716" s="1384"/>
      <c r="CZ716" s="1795">
        <v>44.02</v>
      </c>
      <c r="DA716" s="338" t="s">
        <v>340</v>
      </c>
      <c r="DF716" s="340">
        <v>9701.02</v>
      </c>
      <c r="DG716" s="340" t="s">
        <v>312</v>
      </c>
      <c r="DP716" s="236">
        <v>309.05</v>
      </c>
      <c r="DQ716" s="236" t="s">
        <v>341</v>
      </c>
      <c r="DV716" s="340">
        <v>75.040000000000006</v>
      </c>
      <c r="DW716" s="340" t="s">
        <v>340</v>
      </c>
      <c r="DX716" s="1671"/>
      <c r="EB716" s="618"/>
      <c r="EC716" s="618"/>
      <c r="ED716" s="618"/>
      <c r="EE716" s="618"/>
      <c r="EF716" s="618"/>
      <c r="EG716" s="618"/>
      <c r="EH716" s="618"/>
      <c r="EI716" s="618"/>
      <c r="EJ716" s="618"/>
      <c r="EK716" s="618"/>
      <c r="EL716" s="618"/>
      <c r="EM716" s="618"/>
    </row>
    <row r="717" spans="6:143">
      <c r="F717" s="338">
        <v>205</v>
      </c>
      <c r="G717" s="338" t="s">
        <v>342</v>
      </c>
      <c r="L717" s="2481">
        <v>4.04</v>
      </c>
      <c r="M717" s="340" t="s">
        <v>313</v>
      </c>
      <c r="N717" s="1390"/>
      <c r="O717" s="2479"/>
      <c r="P717" s="2282"/>
      <c r="AA717" s="338">
        <v>419</v>
      </c>
      <c r="AB717" s="338" t="s">
        <v>339</v>
      </c>
      <c r="AG717" s="2297">
        <v>76.03</v>
      </c>
      <c r="AH717" s="2297" t="s">
        <v>340</v>
      </c>
      <c r="AI717" s="1390"/>
      <c r="AJ717" s="2282"/>
      <c r="AK717" s="2282"/>
      <c r="AL717" s="1037"/>
      <c r="AR717" s="338">
        <v>248.04</v>
      </c>
      <c r="AS717" s="338" t="s">
        <v>342</v>
      </c>
      <c r="AX717" s="340">
        <v>9701.02</v>
      </c>
      <c r="AY717" s="340" t="s">
        <v>306</v>
      </c>
      <c r="BH717" s="338">
        <v>416</v>
      </c>
      <c r="BI717" s="338" t="s">
        <v>339</v>
      </c>
      <c r="BN717" s="340">
        <v>69.06</v>
      </c>
      <c r="BO717" s="340" t="s">
        <v>340</v>
      </c>
      <c r="BP717" s="1385"/>
      <c r="BV717" s="338">
        <v>207</v>
      </c>
      <c r="BW717" s="338" t="s">
        <v>294</v>
      </c>
      <c r="CB717" s="340">
        <v>602.14</v>
      </c>
      <c r="CC717" s="340" t="s">
        <v>305</v>
      </c>
      <c r="CE717" s="341" t="str">
        <f t="array" ref="CE717">IFERROR(IF($CE$11="Metro",INDEX($BV$13:$BV$4972,SMALL(IF((County=$BW$13:$BW$4972),MATCH(ROW($BW$13:$BW$4972),ROW($BW$13:$BW$4972)),""),ROWS($A$13:$A775))),INDEX($BY$13:$BY$212,SMALL(IF((County=$BZ$13:$BZ$212),MATCH(ROW($BZ$13:$BZ$212),ROW($BZ$13:$BZ$212)),""),ROWS($A$13:$A775)))),"")</f>
        <v/>
      </c>
      <c r="CL717" s="236">
        <v>20.11</v>
      </c>
      <c r="CM717" s="236" t="s">
        <v>347</v>
      </c>
      <c r="CR717" s="340">
        <v>70.05</v>
      </c>
      <c r="CS717" s="340" t="s">
        <v>340</v>
      </c>
      <c r="CT717" s="1384"/>
      <c r="CZ717" s="1795">
        <v>45</v>
      </c>
      <c r="DA717" s="338" t="s">
        <v>340</v>
      </c>
      <c r="DF717" s="340">
        <v>9702.02</v>
      </c>
      <c r="DG717" s="340" t="s">
        <v>312</v>
      </c>
      <c r="DP717" s="236">
        <v>309.06</v>
      </c>
      <c r="DQ717" s="236" t="s">
        <v>341</v>
      </c>
      <c r="DV717" s="340">
        <v>75.05</v>
      </c>
      <c r="DW717" s="340" t="s">
        <v>340</v>
      </c>
      <c r="DX717" s="1671"/>
      <c r="EB717" s="618"/>
      <c r="EC717" s="618"/>
      <c r="ED717" s="618"/>
      <c r="EE717" s="618"/>
      <c r="EF717" s="618"/>
      <c r="EG717" s="618"/>
      <c r="EH717" s="618"/>
      <c r="EI717" s="618"/>
      <c r="EJ717" s="618"/>
      <c r="EK717" s="618"/>
      <c r="EL717" s="618"/>
      <c r="EM717" s="618"/>
    </row>
    <row r="718" spans="6:143">
      <c r="F718" s="338">
        <v>208</v>
      </c>
      <c r="G718" s="338" t="s">
        <v>342</v>
      </c>
      <c r="L718" s="2481">
        <v>401.02</v>
      </c>
      <c r="M718" s="340" t="s">
        <v>314</v>
      </c>
      <c r="N718" s="1390"/>
      <c r="O718" s="2479"/>
      <c r="P718" s="2282"/>
      <c r="AA718" s="338">
        <v>420</v>
      </c>
      <c r="AB718" s="338" t="s">
        <v>339</v>
      </c>
      <c r="AG718" s="2297">
        <v>76.040000000000006</v>
      </c>
      <c r="AH718" s="2297" t="s">
        <v>340</v>
      </c>
      <c r="AI718" s="1390"/>
      <c r="AJ718" s="2282"/>
      <c r="AK718" s="2282"/>
      <c r="AL718" s="1037"/>
      <c r="AR718" s="338">
        <v>250.17</v>
      </c>
      <c r="AS718" s="338" t="s">
        <v>342</v>
      </c>
      <c r="AX718" s="340">
        <v>9703.02</v>
      </c>
      <c r="AY718" s="340" t="s">
        <v>306</v>
      </c>
      <c r="BH718" s="338">
        <v>416.01</v>
      </c>
      <c r="BI718" s="338" t="s">
        <v>289</v>
      </c>
      <c r="BN718" s="340">
        <v>69.069999999999993</v>
      </c>
      <c r="BO718" s="340" t="s">
        <v>340</v>
      </c>
      <c r="BP718" s="1385"/>
      <c r="BV718" s="338">
        <v>208</v>
      </c>
      <c r="BW718" s="338" t="s">
        <v>294</v>
      </c>
      <c r="CB718" s="340">
        <v>602.15</v>
      </c>
      <c r="CC718" s="340" t="s">
        <v>305</v>
      </c>
      <c r="CE718" s="341" t="str">
        <f t="array" ref="CE718">IFERROR(IF($CE$11="Metro",INDEX($BV$13:$BV$4972,SMALL(IF((County=$BW$13:$BW$4972),MATCH(ROW($BW$13:$BW$4972),ROW($BW$13:$BW$4972)),""),ROWS($A$13:$A776))),INDEX($BY$13:$BY$212,SMALL(IF((County=$BZ$13:$BZ$212),MATCH(ROW($BZ$13:$BZ$212),ROW($BZ$13:$BZ$212)),""),ROWS($A$13:$A776)))),"")</f>
        <v/>
      </c>
      <c r="CL718" s="236">
        <v>20.12</v>
      </c>
      <c r="CM718" s="236" t="s">
        <v>328</v>
      </c>
      <c r="CR718" s="340">
        <v>70.06</v>
      </c>
      <c r="CS718" s="340" t="s">
        <v>340</v>
      </c>
      <c r="CT718" s="1384"/>
      <c r="CZ718" s="1795">
        <v>46.02</v>
      </c>
      <c r="DA718" s="338" t="s">
        <v>340</v>
      </c>
      <c r="DF718" s="340">
        <v>1.01</v>
      </c>
      <c r="DG718" s="340" t="s">
        <v>313</v>
      </c>
      <c r="DP718" s="236">
        <v>310.01</v>
      </c>
      <c r="DQ718" s="236" t="s">
        <v>289</v>
      </c>
      <c r="DV718" s="340">
        <v>76.010000000000005</v>
      </c>
      <c r="DW718" s="340" t="s">
        <v>331</v>
      </c>
      <c r="DX718" s="1671"/>
      <c r="EB718" s="618"/>
      <c r="EC718" s="618"/>
      <c r="ED718" s="618"/>
      <c r="EE718" s="618"/>
      <c r="EF718" s="618"/>
      <c r="EG718" s="618"/>
      <c r="EH718" s="618"/>
      <c r="EI718" s="618"/>
      <c r="EJ718" s="618"/>
      <c r="EK718" s="618"/>
      <c r="EL718" s="618"/>
      <c r="EM718" s="618"/>
    </row>
    <row r="719" spans="6:143">
      <c r="F719" s="338">
        <v>212</v>
      </c>
      <c r="G719" s="338" t="s">
        <v>342</v>
      </c>
      <c r="L719" s="2481">
        <v>402.02</v>
      </c>
      <c r="M719" s="340" t="s">
        <v>314</v>
      </c>
      <c r="N719" s="1390"/>
      <c r="O719" s="2479"/>
      <c r="P719" s="2282"/>
      <c r="AA719" s="338">
        <v>421</v>
      </c>
      <c r="AB719" s="338" t="s">
        <v>339</v>
      </c>
      <c r="AG719" s="2297">
        <v>76.05</v>
      </c>
      <c r="AH719" s="2297" t="s">
        <v>331</v>
      </c>
      <c r="AI719" s="1390"/>
      <c r="AJ719" s="2282"/>
      <c r="AK719" s="2282"/>
      <c r="AL719" s="1037"/>
      <c r="AR719" s="338">
        <v>251.15</v>
      </c>
      <c r="AS719" s="338" t="s">
        <v>342</v>
      </c>
      <c r="AX719" s="340">
        <v>9703.0400000000009</v>
      </c>
      <c r="AY719" s="340" t="s">
        <v>306</v>
      </c>
      <c r="BH719" s="338">
        <v>416.02</v>
      </c>
      <c r="BI719" s="338" t="s">
        <v>289</v>
      </c>
      <c r="BN719" s="340">
        <v>69.12</v>
      </c>
      <c r="BO719" s="340" t="s">
        <v>340</v>
      </c>
      <c r="BP719" s="1385"/>
      <c r="BV719" s="338">
        <v>209</v>
      </c>
      <c r="BW719" s="338" t="s">
        <v>294</v>
      </c>
      <c r="CB719" s="340">
        <v>602.16</v>
      </c>
      <c r="CC719" s="340" t="s">
        <v>305</v>
      </c>
      <c r="CE719" s="341" t="str">
        <f t="array" ref="CE719">IFERROR(IF($CE$11="Metro",INDEX($BV$13:$BV$4972,SMALL(IF((County=$BW$13:$BW$4972),MATCH(ROW($BW$13:$BW$4972),ROW($BW$13:$BW$4972)),""),ROWS($A$13:$A777))),INDEX($BY$13:$BY$212,SMALL(IF((County=$BZ$13:$BZ$212),MATCH(ROW($BZ$13:$BZ$212),ROW($BZ$13:$BZ$212)),""),ROWS($A$13:$A777)))),"")</f>
        <v/>
      </c>
      <c r="CL719" s="236">
        <v>20.12</v>
      </c>
      <c r="CM719" s="236" t="s">
        <v>347</v>
      </c>
      <c r="CR719" s="340">
        <v>70.069999999999993</v>
      </c>
      <c r="CS719" s="340" t="s">
        <v>331</v>
      </c>
      <c r="CT719" s="1384"/>
      <c r="CZ719" s="1795">
        <v>47.04</v>
      </c>
      <c r="DA719" s="338" t="s">
        <v>340</v>
      </c>
      <c r="DF719" s="340">
        <v>1.02</v>
      </c>
      <c r="DG719" s="340" t="s">
        <v>313</v>
      </c>
      <c r="DP719" s="236">
        <v>310.05</v>
      </c>
      <c r="DQ719" s="236" t="s">
        <v>341</v>
      </c>
      <c r="DV719" s="340">
        <v>76.03</v>
      </c>
      <c r="DW719" s="340" t="s">
        <v>340</v>
      </c>
      <c r="DX719" s="1671"/>
      <c r="EB719" s="618"/>
      <c r="EC719" s="618"/>
      <c r="ED719" s="618"/>
      <c r="EE719" s="618"/>
      <c r="EF719" s="618"/>
      <c r="EG719" s="618"/>
      <c r="EH719" s="618"/>
      <c r="EI719" s="618"/>
      <c r="EJ719" s="618"/>
      <c r="EK719" s="618"/>
      <c r="EL719" s="618"/>
      <c r="EM719" s="618"/>
    </row>
    <row r="720" spans="6:143">
      <c r="F720" s="338">
        <v>215.02</v>
      </c>
      <c r="G720" s="338" t="s">
        <v>342</v>
      </c>
      <c r="L720" s="2481">
        <v>403.01</v>
      </c>
      <c r="M720" s="340" t="s">
        <v>314</v>
      </c>
      <c r="N720" s="1390"/>
      <c r="O720" s="2479"/>
      <c r="P720" s="2282"/>
      <c r="AA720" s="338">
        <v>422.02</v>
      </c>
      <c r="AB720" s="338" t="s">
        <v>339</v>
      </c>
      <c r="AG720" s="2297">
        <v>76.05</v>
      </c>
      <c r="AH720" s="2297" t="s">
        <v>340</v>
      </c>
      <c r="AI720" s="1390"/>
      <c r="AJ720" s="2282"/>
      <c r="AK720" s="2282"/>
      <c r="AL720" s="1037"/>
      <c r="AR720" s="338">
        <v>253.05</v>
      </c>
      <c r="AS720" s="338" t="s">
        <v>342</v>
      </c>
      <c r="AX720" s="340">
        <v>201.01</v>
      </c>
      <c r="AY720" s="340" t="s">
        <v>307</v>
      </c>
      <c r="BH720" s="338">
        <v>417</v>
      </c>
      <c r="BI720" s="338" t="s">
        <v>289</v>
      </c>
      <c r="BN720" s="340">
        <v>70.03</v>
      </c>
      <c r="BO720" s="340" t="s">
        <v>331</v>
      </c>
      <c r="BP720" s="1385"/>
      <c r="BV720" s="338">
        <v>210.01</v>
      </c>
      <c r="BW720" s="338" t="s">
        <v>294</v>
      </c>
      <c r="CB720" s="340">
        <v>602.20000000000005</v>
      </c>
      <c r="CC720" s="340" t="s">
        <v>305</v>
      </c>
      <c r="CE720" s="341" t="str">
        <f t="array" ref="CE720">IFERROR(IF($CE$11="Metro",INDEX($BV$13:$BV$4972,SMALL(IF((County=$BW$13:$BW$4972),MATCH(ROW($BW$13:$BW$4972),ROW($BW$13:$BW$4972)),""),ROWS($A$13:$A778))),INDEX($BY$13:$BY$212,SMALL(IF((County=$BZ$13:$BZ$212),MATCH(ROW($BZ$13:$BZ$212),ROW($BZ$13:$BZ$212)),""),ROWS($A$13:$A778)))),"")</f>
        <v/>
      </c>
      <c r="CL720" s="236">
        <v>20.13</v>
      </c>
      <c r="CM720" s="236" t="s">
        <v>347</v>
      </c>
      <c r="CR720" s="340">
        <v>70.069999999999993</v>
      </c>
      <c r="CS720" s="340" t="s">
        <v>340</v>
      </c>
      <c r="CT720" s="1384"/>
      <c r="CZ720" s="1795">
        <v>47.05</v>
      </c>
      <c r="DA720" s="338" t="s">
        <v>340</v>
      </c>
      <c r="DF720" s="340">
        <v>3</v>
      </c>
      <c r="DG720" s="340" t="s">
        <v>313</v>
      </c>
      <c r="DP720" s="236">
        <v>310.06</v>
      </c>
      <c r="DQ720" s="236" t="s">
        <v>341</v>
      </c>
      <c r="DV720" s="340">
        <v>76.040000000000006</v>
      </c>
      <c r="DW720" s="340" t="s">
        <v>340</v>
      </c>
      <c r="DX720" s="1671"/>
      <c r="EB720" s="618"/>
      <c r="EC720" s="618"/>
      <c r="ED720" s="618"/>
      <c r="EE720" s="618"/>
      <c r="EF720" s="618"/>
      <c r="EG720" s="618"/>
      <c r="EH720" s="618"/>
      <c r="EI720" s="618"/>
      <c r="EJ720" s="618"/>
      <c r="EK720" s="618"/>
      <c r="EL720" s="618"/>
      <c r="EM720" s="618"/>
    </row>
    <row r="721" spans="6:143">
      <c r="F721" s="338">
        <v>216</v>
      </c>
      <c r="G721" s="338" t="s">
        <v>342</v>
      </c>
      <c r="L721" s="2481">
        <v>403.02</v>
      </c>
      <c r="M721" s="340" t="s">
        <v>314</v>
      </c>
      <c r="N721" s="1390"/>
      <c r="O721" s="2479"/>
      <c r="P721" s="2282"/>
      <c r="AA721" s="338">
        <v>423</v>
      </c>
      <c r="AB721" s="338" t="s">
        <v>339</v>
      </c>
      <c r="AG721" s="2297">
        <v>76.069999999999993</v>
      </c>
      <c r="AH721" s="2297" t="s">
        <v>331</v>
      </c>
      <c r="AI721" s="1390"/>
      <c r="AJ721" s="2282"/>
      <c r="AK721" s="2282"/>
      <c r="AL721" s="1037"/>
      <c r="AR721" s="338">
        <v>255.05</v>
      </c>
      <c r="AS721" s="338" t="s">
        <v>342</v>
      </c>
      <c r="AX721" s="340">
        <v>201.03</v>
      </c>
      <c r="AY721" s="340" t="s">
        <v>307</v>
      </c>
      <c r="BH721" s="338">
        <v>418</v>
      </c>
      <c r="BI721" s="338" t="s">
        <v>339</v>
      </c>
      <c r="BN721" s="340">
        <v>70.040000000000006</v>
      </c>
      <c r="BO721" s="340" t="s">
        <v>331</v>
      </c>
      <c r="BP721" s="1385"/>
      <c r="BV721" s="338">
        <v>210.02</v>
      </c>
      <c r="BW721" s="338" t="s">
        <v>294</v>
      </c>
      <c r="CB721" s="340">
        <v>603.01</v>
      </c>
      <c r="CC721" s="340" t="s">
        <v>305</v>
      </c>
      <c r="CE721" s="341" t="str">
        <f t="array" ref="CE721">IFERROR(IF($CE$11="Metro",INDEX($BV$13:$BV$4972,SMALL(IF((County=$BW$13:$BW$4972),MATCH(ROW($BW$13:$BW$4972),ROW($BW$13:$BW$4972)),""),ROWS($A$13:$A779))),INDEX($BY$13:$BY$212,SMALL(IF((County=$BZ$13:$BZ$212),MATCH(ROW($BZ$13:$BZ$212),ROW($BZ$13:$BZ$212)),""),ROWS($A$13:$A779)))),"")</f>
        <v/>
      </c>
      <c r="CL721" s="236">
        <v>20.14</v>
      </c>
      <c r="CM721" s="236" t="s">
        <v>328</v>
      </c>
      <c r="CR721" s="340">
        <v>70.08</v>
      </c>
      <c r="CS721" s="340" t="s">
        <v>340</v>
      </c>
      <c r="CT721" s="1384"/>
      <c r="CZ721" s="1795">
        <v>47.06</v>
      </c>
      <c r="DA721" s="338" t="s">
        <v>340</v>
      </c>
      <c r="DF721" s="340">
        <v>4.01</v>
      </c>
      <c r="DG721" s="340" t="s">
        <v>313</v>
      </c>
      <c r="DP721" s="236">
        <v>310.07</v>
      </c>
      <c r="DQ721" s="236" t="s">
        <v>341</v>
      </c>
      <c r="DV721" s="340">
        <v>76.05</v>
      </c>
      <c r="DW721" s="340" t="s">
        <v>331</v>
      </c>
      <c r="DX721" s="1671"/>
      <c r="EB721" s="618"/>
      <c r="EC721" s="618"/>
      <c r="ED721" s="618"/>
      <c r="EE721" s="618"/>
      <c r="EF721" s="618"/>
      <c r="EG721" s="618"/>
      <c r="EH721" s="618"/>
      <c r="EI721" s="618"/>
      <c r="EJ721" s="618"/>
      <c r="EK721" s="618"/>
      <c r="EL721" s="618"/>
      <c r="EM721" s="618"/>
    </row>
    <row r="722" spans="6:143">
      <c r="F722" s="338">
        <v>220</v>
      </c>
      <c r="G722" s="338" t="s">
        <v>342</v>
      </c>
      <c r="L722" s="2481">
        <v>406.02</v>
      </c>
      <c r="M722" s="340" t="s">
        <v>314</v>
      </c>
      <c r="N722" s="1390"/>
      <c r="O722" s="2479"/>
      <c r="P722" s="2282"/>
      <c r="AA722" s="338">
        <v>426.04</v>
      </c>
      <c r="AB722" s="338" t="s">
        <v>339</v>
      </c>
      <c r="AG722" s="2297">
        <v>76.08</v>
      </c>
      <c r="AH722" s="2297" t="s">
        <v>331</v>
      </c>
      <c r="AI722" s="1390"/>
      <c r="AJ722" s="2282"/>
      <c r="AK722" s="2282"/>
      <c r="AL722" s="1037"/>
      <c r="AR722" s="338">
        <v>256.02</v>
      </c>
      <c r="AS722" s="338" t="s">
        <v>342</v>
      </c>
      <c r="AX722" s="340">
        <v>201.04</v>
      </c>
      <c r="AY722" s="340" t="s">
        <v>307</v>
      </c>
      <c r="BH722" s="338">
        <v>419</v>
      </c>
      <c r="BI722" s="338" t="s">
        <v>339</v>
      </c>
      <c r="BN722" s="340">
        <v>70.05</v>
      </c>
      <c r="BO722" s="340" t="s">
        <v>340</v>
      </c>
      <c r="BP722" s="1385"/>
      <c r="BV722" s="338">
        <v>210.03</v>
      </c>
      <c r="BW722" s="338" t="s">
        <v>294</v>
      </c>
      <c r="CB722" s="340">
        <v>603.02</v>
      </c>
      <c r="CC722" s="340" t="s">
        <v>305</v>
      </c>
      <c r="CE722" s="341" t="str">
        <f t="array" ref="CE722">IFERROR(IF($CE$11="Metro",INDEX($BV$13:$BV$4972,SMALL(IF((County=$BW$13:$BW$4972),MATCH(ROW($BW$13:$BW$4972),ROW($BW$13:$BW$4972)),""),ROWS($A$13:$A780))),INDEX($BY$13:$BY$212,SMALL(IF((County=$BZ$13:$BZ$212),MATCH(ROW($BZ$13:$BZ$212),ROW($BZ$13:$BZ$212)),""),ROWS($A$13:$A780)))),"")</f>
        <v/>
      </c>
      <c r="CL722" s="236">
        <v>20.14</v>
      </c>
      <c r="CM722" s="236" t="s">
        <v>347</v>
      </c>
      <c r="CR722" s="340">
        <v>70.09</v>
      </c>
      <c r="CS722" s="340" t="s">
        <v>340</v>
      </c>
      <c r="CT722" s="1384"/>
      <c r="CZ722" s="1795">
        <v>48.17</v>
      </c>
      <c r="DA722" s="338" t="s">
        <v>340</v>
      </c>
      <c r="DF722" s="340">
        <v>4.04</v>
      </c>
      <c r="DG722" s="340" t="s">
        <v>313</v>
      </c>
      <c r="DP722" s="236">
        <v>310.08999999999997</v>
      </c>
      <c r="DQ722" s="236" t="s">
        <v>341</v>
      </c>
      <c r="DV722" s="340">
        <v>76.05</v>
      </c>
      <c r="DW722" s="340" t="s">
        <v>340</v>
      </c>
      <c r="DX722" s="1671"/>
      <c r="EB722" s="618"/>
      <c r="EC722" s="618"/>
      <c r="ED722" s="618"/>
      <c r="EE722" s="618"/>
      <c r="EF722" s="618"/>
      <c r="EG722" s="618"/>
      <c r="EH722" s="618"/>
      <c r="EI722" s="618"/>
      <c r="EJ722" s="618"/>
      <c r="EK722" s="618"/>
      <c r="EL722" s="618"/>
      <c r="EM722" s="618"/>
    </row>
    <row r="723" spans="6:143">
      <c r="F723" s="338">
        <v>221.01</v>
      </c>
      <c r="G723" s="338" t="s">
        <v>342</v>
      </c>
      <c r="L723" s="2481">
        <v>407.01</v>
      </c>
      <c r="M723" s="340" t="s">
        <v>314</v>
      </c>
      <c r="N723" s="1390"/>
      <c r="O723" s="2479"/>
      <c r="P723" s="2282"/>
      <c r="AA723" s="338">
        <v>427</v>
      </c>
      <c r="AB723" s="338" t="s">
        <v>289</v>
      </c>
      <c r="AG723" s="2297">
        <v>76.09</v>
      </c>
      <c r="AH723" s="2297" t="s">
        <v>331</v>
      </c>
      <c r="AI723" s="1390"/>
      <c r="AJ723" s="2282"/>
      <c r="AK723" s="2282"/>
      <c r="AL723" s="1037"/>
      <c r="AR723" s="338">
        <v>258</v>
      </c>
      <c r="AS723" s="338" t="s">
        <v>342</v>
      </c>
      <c r="AX723" s="340">
        <v>204</v>
      </c>
      <c r="AY723" s="340" t="s">
        <v>307</v>
      </c>
      <c r="BH723" s="338">
        <v>420</v>
      </c>
      <c r="BI723" s="338" t="s">
        <v>339</v>
      </c>
      <c r="BN723" s="340">
        <v>70.06</v>
      </c>
      <c r="BO723" s="340" t="s">
        <v>331</v>
      </c>
      <c r="BP723" s="1385"/>
      <c r="BV723" s="338">
        <v>301.01</v>
      </c>
      <c r="BW723" s="338" t="s">
        <v>294</v>
      </c>
      <c r="CB723" s="340">
        <v>603.03</v>
      </c>
      <c r="CC723" s="340" t="s">
        <v>305</v>
      </c>
      <c r="CE723" s="1383" t="s">
        <v>2329</v>
      </c>
      <c r="CL723" s="236">
        <v>20.149999999999999</v>
      </c>
      <c r="CM723" s="236" t="s">
        <v>347</v>
      </c>
      <c r="CR723" s="340">
        <v>70.099999999999994</v>
      </c>
      <c r="CS723" s="340" t="s">
        <v>340</v>
      </c>
      <c r="CT723" s="1384"/>
      <c r="CZ723" s="1795">
        <v>48.19</v>
      </c>
      <c r="DA723" s="338" t="s">
        <v>340</v>
      </c>
      <c r="DF723" s="340">
        <v>401.02</v>
      </c>
      <c r="DG723" s="340" t="s">
        <v>314</v>
      </c>
      <c r="DP723" s="236">
        <v>310.10000000000002</v>
      </c>
      <c r="DQ723" s="236" t="s">
        <v>341</v>
      </c>
      <c r="DV723" s="340">
        <v>76.069999999999993</v>
      </c>
      <c r="DW723" s="340" t="s">
        <v>331</v>
      </c>
      <c r="DX723" s="1671"/>
      <c r="EB723" s="618"/>
      <c r="EC723" s="618"/>
      <c r="ED723" s="618"/>
      <c r="EE723" s="618"/>
      <c r="EF723" s="618"/>
      <c r="EG723" s="618"/>
      <c r="EH723" s="618"/>
      <c r="EI723" s="618"/>
      <c r="EJ723" s="618"/>
      <c r="EK723" s="618"/>
      <c r="EL723" s="618"/>
      <c r="EM723" s="618"/>
    </row>
    <row r="724" spans="6:143">
      <c r="F724" s="338">
        <v>229.02</v>
      </c>
      <c r="G724" s="338" t="s">
        <v>342</v>
      </c>
      <c r="L724" s="2481">
        <v>407.02</v>
      </c>
      <c r="M724" s="340" t="s">
        <v>314</v>
      </c>
      <c r="N724" s="1390"/>
      <c r="O724" s="2479"/>
      <c r="P724" s="2282"/>
      <c r="AA724" s="338">
        <v>427.01</v>
      </c>
      <c r="AB724" s="338" t="s">
        <v>339</v>
      </c>
      <c r="AG724" s="2297">
        <v>76.099999999999994</v>
      </c>
      <c r="AH724" s="2297" t="s">
        <v>331</v>
      </c>
      <c r="AI724" s="1390"/>
      <c r="AJ724" s="2282"/>
      <c r="AK724" s="2282"/>
      <c r="AL724" s="1037"/>
      <c r="AR724" s="338">
        <v>259.01</v>
      </c>
      <c r="AS724" s="338" t="s">
        <v>342</v>
      </c>
      <c r="AX724" s="340">
        <v>205</v>
      </c>
      <c r="AY724" s="340" t="s">
        <v>307</v>
      </c>
      <c r="BH724" s="338">
        <v>421</v>
      </c>
      <c r="BI724" s="338" t="s">
        <v>339</v>
      </c>
      <c r="BN724" s="340">
        <v>70.06</v>
      </c>
      <c r="BO724" s="340" t="s">
        <v>340</v>
      </c>
      <c r="BP724" s="1385"/>
      <c r="BV724" s="338">
        <v>301.02</v>
      </c>
      <c r="BW724" s="338" t="s">
        <v>294</v>
      </c>
      <c r="CB724" s="340">
        <v>603.04</v>
      </c>
      <c r="CC724" s="340" t="s">
        <v>305</v>
      </c>
      <c r="CL724" s="236">
        <v>20.16</v>
      </c>
      <c r="CM724" s="236" t="s">
        <v>328</v>
      </c>
      <c r="CR724" s="340">
        <v>70.11</v>
      </c>
      <c r="CS724" s="340" t="s">
        <v>340</v>
      </c>
      <c r="CT724" s="1384"/>
      <c r="CZ724" s="1795">
        <v>49.03</v>
      </c>
      <c r="DA724" s="338" t="s">
        <v>340</v>
      </c>
      <c r="DF724" s="340">
        <v>402.01</v>
      </c>
      <c r="DG724" s="340" t="s">
        <v>314</v>
      </c>
      <c r="DP724" s="236">
        <v>310.11</v>
      </c>
      <c r="DQ724" s="236" t="s">
        <v>341</v>
      </c>
      <c r="DV724" s="340">
        <v>76.08</v>
      </c>
      <c r="DW724" s="340" t="s">
        <v>331</v>
      </c>
      <c r="DX724" s="1671"/>
      <c r="EB724" s="618"/>
      <c r="EC724" s="618"/>
      <c r="ED724" s="618"/>
      <c r="EE724" s="618"/>
      <c r="EF724" s="618"/>
      <c r="EG724" s="618"/>
      <c r="EH724" s="618"/>
      <c r="EI724" s="618"/>
      <c r="EJ724" s="618"/>
      <c r="EK724" s="618"/>
      <c r="EL724" s="618"/>
      <c r="EM724" s="618"/>
    </row>
    <row r="725" spans="6:143">
      <c r="F725" s="338">
        <v>234</v>
      </c>
      <c r="G725" s="338" t="s">
        <v>342</v>
      </c>
      <c r="L725" s="2481">
        <v>409.01</v>
      </c>
      <c r="M725" s="340" t="s">
        <v>314</v>
      </c>
      <c r="N725" s="1390"/>
      <c r="O725" s="2479"/>
      <c r="P725" s="2282"/>
      <c r="AA725" s="338">
        <v>428.02</v>
      </c>
      <c r="AB725" s="338" t="s">
        <v>289</v>
      </c>
      <c r="AG725" s="2297">
        <v>76.099999999999994</v>
      </c>
      <c r="AH725" s="2297" t="s">
        <v>340</v>
      </c>
      <c r="AI725" s="1390"/>
      <c r="AJ725" s="2282"/>
      <c r="AK725" s="2282"/>
      <c r="AL725" s="1037"/>
      <c r="AR725" s="338">
        <v>259.02</v>
      </c>
      <c r="AS725" s="338" t="s">
        <v>342</v>
      </c>
      <c r="AX725" s="340">
        <v>206</v>
      </c>
      <c r="AY725" s="340" t="s">
        <v>307</v>
      </c>
      <c r="BH725" s="338">
        <v>422.02</v>
      </c>
      <c r="BI725" s="338" t="s">
        <v>339</v>
      </c>
      <c r="BN725" s="340">
        <v>70.069999999999993</v>
      </c>
      <c r="BO725" s="340" t="s">
        <v>331</v>
      </c>
      <c r="BP725" s="1385"/>
      <c r="BV725" s="338">
        <v>302.01</v>
      </c>
      <c r="BW725" s="338" t="s">
        <v>294</v>
      </c>
      <c r="CB725" s="340">
        <v>9701.02</v>
      </c>
      <c r="CC725" s="340" t="s">
        <v>306</v>
      </c>
      <c r="CL725" s="236">
        <v>20.16</v>
      </c>
      <c r="CM725" s="236" t="s">
        <v>347</v>
      </c>
      <c r="CR725" s="340">
        <v>70.12</v>
      </c>
      <c r="CS725" s="340" t="s">
        <v>340</v>
      </c>
      <c r="CT725" s="1384"/>
      <c r="CZ725" s="1795">
        <v>51.01</v>
      </c>
      <c r="DA725" s="338" t="s">
        <v>340</v>
      </c>
      <c r="DF725" s="340">
        <v>402.02</v>
      </c>
      <c r="DG725" s="340" t="s">
        <v>314</v>
      </c>
      <c r="DP725" s="236">
        <v>310.12</v>
      </c>
      <c r="DQ725" s="236" t="s">
        <v>341</v>
      </c>
      <c r="DV725" s="340">
        <v>76.09</v>
      </c>
      <c r="DW725" s="340" t="s">
        <v>331</v>
      </c>
      <c r="DX725" s="1671"/>
      <c r="EB725" s="618"/>
      <c r="EC725" s="618"/>
      <c r="ED725" s="618"/>
      <c r="EE725" s="618"/>
      <c r="EF725" s="618"/>
      <c r="EG725" s="618"/>
      <c r="EH725" s="618"/>
      <c r="EI725" s="618"/>
      <c r="EJ725" s="618"/>
      <c r="EK725" s="618"/>
      <c r="EL725" s="618"/>
      <c r="EM725" s="618"/>
    </row>
    <row r="726" spans="6:143">
      <c r="F726" s="338">
        <v>245.1</v>
      </c>
      <c r="G726" s="338" t="s">
        <v>342</v>
      </c>
      <c r="L726" s="2481">
        <v>409.06</v>
      </c>
      <c r="M726" s="340" t="s">
        <v>314</v>
      </c>
      <c r="N726" s="1390"/>
      <c r="O726" s="2479"/>
      <c r="P726" s="2282"/>
      <c r="AA726" s="338">
        <v>429.01</v>
      </c>
      <c r="AB726" s="338" t="s">
        <v>339</v>
      </c>
      <c r="AG726" s="2297">
        <v>76.12</v>
      </c>
      <c r="AH726" s="2297" t="s">
        <v>340</v>
      </c>
      <c r="AI726" s="1390"/>
      <c r="AJ726" s="2282"/>
      <c r="AK726" s="2282"/>
      <c r="AL726" s="1037"/>
      <c r="AR726" s="338">
        <v>261.01</v>
      </c>
      <c r="AS726" s="338" t="s">
        <v>342</v>
      </c>
      <c r="AX726" s="340">
        <v>208</v>
      </c>
      <c r="AY726" s="340" t="s">
        <v>307</v>
      </c>
      <c r="BH726" s="338">
        <v>423</v>
      </c>
      <c r="BI726" s="338" t="s">
        <v>339</v>
      </c>
      <c r="BN726" s="340">
        <v>70.069999999999993</v>
      </c>
      <c r="BO726" s="340" t="s">
        <v>340</v>
      </c>
      <c r="BP726" s="1385"/>
      <c r="BV726" s="338">
        <v>302.02</v>
      </c>
      <c r="BW726" s="338" t="s">
        <v>294</v>
      </c>
      <c r="CB726" s="340">
        <v>9703.0400000000009</v>
      </c>
      <c r="CC726" s="340" t="s">
        <v>306</v>
      </c>
      <c r="CL726" s="236">
        <v>20.170000000000002</v>
      </c>
      <c r="CM726" s="236" t="s">
        <v>328</v>
      </c>
      <c r="CR726" s="340">
        <v>70.13</v>
      </c>
      <c r="CS726" s="340" t="s">
        <v>340</v>
      </c>
      <c r="CT726" s="1384"/>
      <c r="CZ726" s="1795">
        <v>51.02</v>
      </c>
      <c r="DA726" s="338" t="s">
        <v>340</v>
      </c>
      <c r="DF726" s="340">
        <v>403.01</v>
      </c>
      <c r="DG726" s="340" t="s">
        <v>314</v>
      </c>
      <c r="DP726" s="236">
        <v>310.13</v>
      </c>
      <c r="DQ726" s="236" t="s">
        <v>341</v>
      </c>
      <c r="DV726" s="340">
        <v>76.099999999999994</v>
      </c>
      <c r="DW726" s="340" t="s">
        <v>331</v>
      </c>
      <c r="DX726" s="1671"/>
      <c r="EB726" s="618"/>
      <c r="EC726" s="618"/>
      <c r="ED726" s="618"/>
      <c r="EE726" s="618"/>
      <c r="EF726" s="618"/>
      <c r="EG726" s="618"/>
      <c r="EH726" s="618"/>
      <c r="EI726" s="618"/>
      <c r="EJ726" s="618"/>
      <c r="EK726" s="618"/>
      <c r="EL726" s="618"/>
      <c r="EM726" s="618"/>
    </row>
    <row r="727" spans="6:143">
      <c r="F727" s="338">
        <v>246.03</v>
      </c>
      <c r="G727" s="338" t="s">
        <v>342</v>
      </c>
      <c r="L727" s="2481">
        <v>409.07</v>
      </c>
      <c r="M727" s="340" t="s">
        <v>314</v>
      </c>
      <c r="N727" s="1390"/>
      <c r="O727" s="2479"/>
      <c r="P727" s="2282"/>
      <c r="AA727" s="338">
        <v>429.02</v>
      </c>
      <c r="AB727" s="338" t="s">
        <v>339</v>
      </c>
      <c r="AG727" s="2297">
        <v>76.13</v>
      </c>
      <c r="AH727" s="2297" t="s">
        <v>340</v>
      </c>
      <c r="AI727" s="1390"/>
      <c r="AJ727" s="2282"/>
      <c r="AK727" s="2282"/>
      <c r="AL727" s="1037"/>
      <c r="AR727" s="338">
        <v>262</v>
      </c>
      <c r="AS727" s="338" t="s">
        <v>342</v>
      </c>
      <c r="AX727" s="340">
        <v>9502.01</v>
      </c>
      <c r="AY727" s="340" t="s">
        <v>308</v>
      </c>
      <c r="BH727" s="338">
        <v>427</v>
      </c>
      <c r="BI727" s="338" t="s">
        <v>289</v>
      </c>
      <c r="BN727" s="340">
        <v>70.08</v>
      </c>
      <c r="BO727" s="340" t="s">
        <v>340</v>
      </c>
      <c r="BP727" s="1385"/>
      <c r="BV727" s="338">
        <v>303.01</v>
      </c>
      <c r="BW727" s="338" t="s">
        <v>294</v>
      </c>
      <c r="CB727" s="340">
        <v>201.01</v>
      </c>
      <c r="CC727" s="340" t="s">
        <v>307</v>
      </c>
      <c r="CL727" s="236">
        <v>20.18</v>
      </c>
      <c r="CM727" s="236" t="s">
        <v>328</v>
      </c>
      <c r="CR727" s="340">
        <v>71.02</v>
      </c>
      <c r="CS727" s="340" t="s">
        <v>316</v>
      </c>
      <c r="CT727" s="1384"/>
      <c r="CZ727" s="1795">
        <v>52.02</v>
      </c>
      <c r="DA727" s="338" t="s">
        <v>340</v>
      </c>
      <c r="DF727" s="340">
        <v>403.02</v>
      </c>
      <c r="DG727" s="340" t="s">
        <v>314</v>
      </c>
      <c r="DP727" s="236">
        <v>311.01</v>
      </c>
      <c r="DQ727" s="236" t="s">
        <v>341</v>
      </c>
      <c r="DV727" s="340">
        <v>76.099999999999994</v>
      </c>
      <c r="DW727" s="340" t="s">
        <v>340</v>
      </c>
      <c r="DX727" s="1671"/>
      <c r="EB727" s="618"/>
      <c r="EC727" s="618"/>
      <c r="ED727" s="618"/>
      <c r="EE727" s="618"/>
      <c r="EF727" s="618"/>
      <c r="EG727" s="618"/>
      <c r="EH727" s="618"/>
      <c r="EI727" s="618"/>
      <c r="EJ727" s="618"/>
      <c r="EK727" s="618"/>
      <c r="EL727" s="618"/>
      <c r="EM727" s="618"/>
    </row>
    <row r="728" spans="6:143">
      <c r="F728" s="338">
        <v>246.04</v>
      </c>
      <c r="G728" s="338" t="s">
        <v>342</v>
      </c>
      <c r="L728" s="2481">
        <v>409.08</v>
      </c>
      <c r="M728" s="340" t="s">
        <v>314</v>
      </c>
      <c r="N728" s="1390"/>
      <c r="O728" s="2479"/>
      <c r="P728" s="2282"/>
      <c r="AA728" s="338">
        <v>501</v>
      </c>
      <c r="AB728" s="338" t="s">
        <v>289</v>
      </c>
      <c r="AG728" s="2297">
        <v>76.14</v>
      </c>
      <c r="AH728" s="2297" t="s">
        <v>340</v>
      </c>
      <c r="AI728" s="1390"/>
      <c r="AJ728" s="2282"/>
      <c r="AK728" s="2282"/>
      <c r="AL728" s="1037"/>
      <c r="AR728" s="338">
        <v>263</v>
      </c>
      <c r="AS728" s="338" t="s">
        <v>342</v>
      </c>
      <c r="AX728" s="340">
        <v>9502.02</v>
      </c>
      <c r="AY728" s="340" t="s">
        <v>308</v>
      </c>
      <c r="BH728" s="338">
        <v>427.02</v>
      </c>
      <c r="BI728" s="338" t="s">
        <v>339</v>
      </c>
      <c r="BN728" s="340">
        <v>70.09</v>
      </c>
      <c r="BO728" s="340" t="s">
        <v>340</v>
      </c>
      <c r="BP728" s="1385"/>
      <c r="BV728" s="338">
        <v>303.02</v>
      </c>
      <c r="BW728" s="338" t="s">
        <v>294</v>
      </c>
      <c r="CB728" s="340">
        <v>201.03</v>
      </c>
      <c r="CC728" s="340" t="s">
        <v>307</v>
      </c>
      <c r="CL728" s="236">
        <v>20.190000000000001</v>
      </c>
      <c r="CM728" s="236" t="s">
        <v>328</v>
      </c>
      <c r="CR728" s="340">
        <v>71.03</v>
      </c>
      <c r="CS728" s="340" t="s">
        <v>316</v>
      </c>
      <c r="CT728" s="1384"/>
      <c r="CZ728" s="1795">
        <v>52.03</v>
      </c>
      <c r="DA728" s="338" t="s">
        <v>340</v>
      </c>
      <c r="DF728" s="340">
        <v>403.03</v>
      </c>
      <c r="DG728" s="340" t="s">
        <v>314</v>
      </c>
      <c r="DP728" s="236">
        <v>311.04000000000002</v>
      </c>
      <c r="DQ728" s="236" t="s">
        <v>341</v>
      </c>
      <c r="DV728" s="340">
        <v>76.12</v>
      </c>
      <c r="DW728" s="340" t="s">
        <v>340</v>
      </c>
      <c r="DX728" s="1671"/>
      <c r="EB728" s="618"/>
      <c r="EC728" s="618"/>
      <c r="ED728" s="618"/>
      <c r="EE728" s="618"/>
      <c r="EF728" s="618"/>
      <c r="EG728" s="618"/>
      <c r="EH728" s="618"/>
      <c r="EI728" s="618"/>
      <c r="EJ728" s="618"/>
      <c r="EK728" s="618"/>
      <c r="EL728" s="618"/>
      <c r="EM728" s="618"/>
    </row>
    <row r="729" spans="6:143">
      <c r="F729" s="338">
        <v>247.01</v>
      </c>
      <c r="G729" s="338" t="s">
        <v>342</v>
      </c>
      <c r="L729" s="2481">
        <v>409.09</v>
      </c>
      <c r="M729" s="340" t="s">
        <v>314</v>
      </c>
      <c r="N729" s="1390"/>
      <c r="O729" s="2479"/>
      <c r="P729" s="2282"/>
      <c r="AA729" s="338">
        <v>503.03</v>
      </c>
      <c r="AB729" s="338" t="s">
        <v>318</v>
      </c>
      <c r="AG729" s="2297">
        <v>76.150000000000006</v>
      </c>
      <c r="AH729" s="2297" t="s">
        <v>340</v>
      </c>
      <c r="AI729" s="1390"/>
      <c r="AJ729" s="2282"/>
      <c r="AK729" s="2282"/>
      <c r="AL729" s="1037"/>
      <c r="AR729" s="338">
        <v>264.02</v>
      </c>
      <c r="AS729" s="338" t="s">
        <v>342</v>
      </c>
      <c r="AX729" s="340">
        <v>9502.0300000000007</v>
      </c>
      <c r="AY729" s="340" t="s">
        <v>308</v>
      </c>
      <c r="BH729" s="338">
        <v>428.01</v>
      </c>
      <c r="BI729" s="338" t="s">
        <v>289</v>
      </c>
      <c r="BN729" s="340">
        <v>70.099999999999994</v>
      </c>
      <c r="BO729" s="340" t="s">
        <v>340</v>
      </c>
      <c r="BP729" s="1385"/>
      <c r="BV729" s="338">
        <v>304.01</v>
      </c>
      <c r="BW729" s="338" t="s">
        <v>294</v>
      </c>
      <c r="CB729" s="340">
        <v>201.04</v>
      </c>
      <c r="CC729" s="340" t="s">
        <v>307</v>
      </c>
      <c r="CL729" s="236">
        <v>20.2</v>
      </c>
      <c r="CM729" s="236" t="s">
        <v>328</v>
      </c>
      <c r="CR729" s="340">
        <v>71.03</v>
      </c>
      <c r="CS729" s="340" t="s">
        <v>331</v>
      </c>
      <c r="CT729" s="1384"/>
      <c r="CZ729" s="1795">
        <v>56.01</v>
      </c>
      <c r="DA729" s="338" t="s">
        <v>340</v>
      </c>
      <c r="DF729" s="340">
        <v>406.02</v>
      </c>
      <c r="DG729" s="340" t="s">
        <v>314</v>
      </c>
      <c r="DP729" s="236">
        <v>311.08</v>
      </c>
      <c r="DQ729" s="236" t="s">
        <v>296</v>
      </c>
      <c r="DV729" s="340">
        <v>76.13</v>
      </c>
      <c r="DW729" s="340" t="s">
        <v>340</v>
      </c>
      <c r="DX729" s="1671"/>
      <c r="EB729" s="618"/>
      <c r="EC729" s="618"/>
      <c r="ED729" s="618"/>
      <c r="EE729" s="618"/>
      <c r="EF729" s="618"/>
      <c r="EG729" s="618"/>
      <c r="EH729" s="618"/>
      <c r="EI729" s="618"/>
      <c r="EJ729" s="618"/>
      <c r="EK729" s="618"/>
      <c r="EL729" s="618"/>
      <c r="EM729" s="618"/>
    </row>
    <row r="730" spans="6:143">
      <c r="F730" s="338">
        <v>247.02</v>
      </c>
      <c r="G730" s="338" t="s">
        <v>342</v>
      </c>
      <c r="L730" s="2481">
        <v>409.1</v>
      </c>
      <c r="M730" s="340" t="s">
        <v>314</v>
      </c>
      <c r="N730" s="1390"/>
      <c r="O730" s="2479"/>
      <c r="P730" s="2282"/>
      <c r="AA730" s="338">
        <v>503.05</v>
      </c>
      <c r="AB730" s="338" t="s">
        <v>335</v>
      </c>
      <c r="AG730" s="2297">
        <v>76.16</v>
      </c>
      <c r="AH730" s="2297" t="s">
        <v>340</v>
      </c>
      <c r="AI730" s="1390"/>
      <c r="AJ730" s="2282"/>
      <c r="AK730" s="2282"/>
      <c r="AL730" s="1037"/>
      <c r="AR730" s="338">
        <v>269.08999999999997</v>
      </c>
      <c r="AS730" s="338" t="s">
        <v>342</v>
      </c>
      <c r="AX730" s="340">
        <v>2.0099999999999998</v>
      </c>
      <c r="AY730" s="340" t="s">
        <v>309</v>
      </c>
      <c r="BH730" s="338">
        <v>428.02</v>
      </c>
      <c r="BI730" s="338" t="s">
        <v>289</v>
      </c>
      <c r="BN730" s="340">
        <v>70.11</v>
      </c>
      <c r="BO730" s="340" t="s">
        <v>340</v>
      </c>
      <c r="BP730" s="1385"/>
      <c r="BV730" s="338">
        <v>304.02</v>
      </c>
      <c r="BW730" s="338" t="s">
        <v>294</v>
      </c>
      <c r="CB730" s="340">
        <v>205</v>
      </c>
      <c r="CC730" s="340" t="s">
        <v>307</v>
      </c>
      <c r="CL730" s="236">
        <v>20.21</v>
      </c>
      <c r="CM730" s="236" t="s">
        <v>328</v>
      </c>
      <c r="CR730" s="340">
        <v>71.040000000000006</v>
      </c>
      <c r="CS730" s="340" t="s">
        <v>331</v>
      </c>
      <c r="CT730" s="1384"/>
      <c r="CZ730" s="1795">
        <v>57.04</v>
      </c>
      <c r="DA730" s="338" t="s">
        <v>340</v>
      </c>
      <c r="DF730" s="340">
        <v>407.01</v>
      </c>
      <c r="DG730" s="340" t="s">
        <v>314</v>
      </c>
      <c r="DP730" s="236">
        <v>311.08999999999997</v>
      </c>
      <c r="DQ730" s="236" t="s">
        <v>296</v>
      </c>
      <c r="DV730" s="340">
        <v>76.14</v>
      </c>
      <c r="DW730" s="340" t="s">
        <v>340</v>
      </c>
      <c r="DX730" s="1671"/>
      <c r="EB730" s="618"/>
      <c r="EC730" s="618"/>
      <c r="ED730" s="618"/>
      <c r="EE730" s="618"/>
      <c r="EF730" s="618"/>
      <c r="EG730" s="618"/>
      <c r="EH730" s="618"/>
      <c r="EI730" s="618"/>
      <c r="EJ730" s="618"/>
      <c r="EK730" s="618"/>
      <c r="EL730" s="618"/>
      <c r="EM730" s="618"/>
    </row>
    <row r="731" spans="6:143">
      <c r="F731" s="338">
        <v>247.03</v>
      </c>
      <c r="G731" s="338" t="s">
        <v>342</v>
      </c>
      <c r="L731" s="2481">
        <v>409.11</v>
      </c>
      <c r="M731" s="340" t="s">
        <v>314</v>
      </c>
      <c r="N731" s="1390"/>
      <c r="O731" s="2479"/>
      <c r="P731" s="2282"/>
      <c r="AA731" s="338">
        <v>503.08</v>
      </c>
      <c r="AB731" s="338" t="s">
        <v>289</v>
      </c>
      <c r="AG731" s="2297">
        <v>77.05</v>
      </c>
      <c r="AH731" s="2297" t="s">
        <v>331</v>
      </c>
      <c r="AI731" s="1390"/>
      <c r="AJ731" s="2282"/>
      <c r="AK731" s="2282"/>
      <c r="AL731" s="1037"/>
      <c r="AR731" s="338">
        <v>271.07</v>
      </c>
      <c r="AS731" s="338" t="s">
        <v>342</v>
      </c>
      <c r="AX731" s="340">
        <v>2.02</v>
      </c>
      <c r="AY731" s="340" t="s">
        <v>309</v>
      </c>
      <c r="BH731" s="338">
        <v>434</v>
      </c>
      <c r="BI731" s="338" t="s">
        <v>339</v>
      </c>
      <c r="BN731" s="340">
        <v>70.12</v>
      </c>
      <c r="BO731" s="340" t="s">
        <v>340</v>
      </c>
      <c r="BP731" s="1385"/>
      <c r="BV731" s="338">
        <v>305.01</v>
      </c>
      <c r="BW731" s="338" t="s">
        <v>294</v>
      </c>
      <c r="CB731" s="340">
        <v>206</v>
      </c>
      <c r="CC731" s="340" t="s">
        <v>307</v>
      </c>
      <c r="CL731" s="236">
        <v>20.22</v>
      </c>
      <c r="CM731" s="236" t="s">
        <v>328</v>
      </c>
      <c r="CR731" s="340">
        <v>72</v>
      </c>
      <c r="CS731" s="340" t="s">
        <v>316</v>
      </c>
      <c r="CT731" s="1384"/>
      <c r="CZ731" s="1795">
        <v>58.1</v>
      </c>
      <c r="DA731" s="338" t="s">
        <v>340</v>
      </c>
      <c r="DF731" s="340">
        <v>409.06</v>
      </c>
      <c r="DG731" s="340" t="s">
        <v>314</v>
      </c>
      <c r="DP731" s="236">
        <v>312.01</v>
      </c>
      <c r="DQ731" s="236" t="s">
        <v>296</v>
      </c>
      <c r="DV731" s="340">
        <v>76.150000000000006</v>
      </c>
      <c r="DW731" s="340" t="s">
        <v>340</v>
      </c>
      <c r="DX731" s="1671"/>
      <c r="EB731" s="618"/>
      <c r="EC731" s="618"/>
      <c r="ED731" s="618"/>
      <c r="EE731" s="618"/>
      <c r="EF731" s="618"/>
      <c r="EG731" s="618"/>
      <c r="EH731" s="618"/>
      <c r="EI731" s="618"/>
      <c r="EJ731" s="618"/>
      <c r="EK731" s="618"/>
      <c r="EL731" s="618"/>
      <c r="EM731" s="618"/>
    </row>
    <row r="732" spans="6:143">
      <c r="F732" s="338">
        <v>248.03</v>
      </c>
      <c r="G732" s="338" t="s">
        <v>342</v>
      </c>
      <c r="L732" s="2481">
        <v>409.12</v>
      </c>
      <c r="M732" s="340" t="s">
        <v>314</v>
      </c>
      <c r="N732" s="1390"/>
      <c r="O732" s="2479"/>
      <c r="P732" s="2282"/>
      <c r="AA732" s="338">
        <v>503.09</v>
      </c>
      <c r="AB732" s="338" t="s">
        <v>289</v>
      </c>
      <c r="AG732" s="2297">
        <v>77.05</v>
      </c>
      <c r="AH732" s="2297" t="s">
        <v>340</v>
      </c>
      <c r="AI732" s="1390"/>
      <c r="AJ732" s="2282"/>
      <c r="AK732" s="2282"/>
      <c r="AL732" s="1037"/>
      <c r="AR732" s="338">
        <v>271.08</v>
      </c>
      <c r="AS732" s="338" t="s">
        <v>342</v>
      </c>
      <c r="AX732" s="340">
        <v>3</v>
      </c>
      <c r="AY732" s="340" t="s">
        <v>309</v>
      </c>
      <c r="BH732" s="338">
        <v>502.08</v>
      </c>
      <c r="BI732" s="338" t="s">
        <v>289</v>
      </c>
      <c r="BN732" s="340">
        <v>70.13</v>
      </c>
      <c r="BO732" s="340" t="s">
        <v>340</v>
      </c>
      <c r="BP732" s="1385"/>
      <c r="BV732" s="338">
        <v>305.04000000000002</v>
      </c>
      <c r="BW732" s="338" t="s">
        <v>294</v>
      </c>
      <c r="CB732" s="340">
        <v>208</v>
      </c>
      <c r="CC732" s="340" t="s">
        <v>307</v>
      </c>
      <c r="CL732" s="236">
        <v>20.23</v>
      </c>
      <c r="CM732" s="236" t="s">
        <v>328</v>
      </c>
      <c r="CR732" s="340">
        <v>72.02</v>
      </c>
      <c r="CS732" s="340" t="s">
        <v>340</v>
      </c>
      <c r="CT732" s="1384"/>
      <c r="CZ732" s="1795">
        <v>58.14</v>
      </c>
      <c r="DA732" s="338" t="s">
        <v>340</v>
      </c>
      <c r="DF732" s="340">
        <v>409.07</v>
      </c>
      <c r="DG732" s="340" t="s">
        <v>314</v>
      </c>
      <c r="DP732" s="236">
        <v>312.02999999999997</v>
      </c>
      <c r="DQ732" s="236" t="s">
        <v>341</v>
      </c>
      <c r="DV732" s="340">
        <v>76.16</v>
      </c>
      <c r="DW732" s="340" t="s">
        <v>340</v>
      </c>
      <c r="DX732" s="1671"/>
      <c r="EB732" s="618"/>
      <c r="EC732" s="618"/>
      <c r="ED732" s="618"/>
      <c r="EE732" s="618"/>
      <c r="EF732" s="618"/>
      <c r="EG732" s="618"/>
      <c r="EH732" s="618"/>
      <c r="EI732" s="618"/>
      <c r="EJ732" s="618"/>
      <c r="EK732" s="618"/>
      <c r="EL732" s="618"/>
      <c r="EM732" s="618"/>
    </row>
    <row r="733" spans="6:143">
      <c r="F733" s="338">
        <v>250.15</v>
      </c>
      <c r="G733" s="338" t="s">
        <v>342</v>
      </c>
      <c r="L733" s="2481">
        <v>410.03</v>
      </c>
      <c r="M733" s="340" t="s">
        <v>314</v>
      </c>
      <c r="N733" s="1390"/>
      <c r="O733" s="2479"/>
      <c r="P733" s="2282"/>
      <c r="AA733" s="338">
        <v>503.11</v>
      </c>
      <c r="AB733" s="338" t="s">
        <v>289</v>
      </c>
      <c r="AG733" s="2297">
        <v>77.06</v>
      </c>
      <c r="AH733" s="2297" t="s">
        <v>331</v>
      </c>
      <c r="AI733" s="1390"/>
      <c r="AJ733" s="2282"/>
      <c r="AK733" s="2282"/>
      <c r="AL733" s="1037"/>
      <c r="AR733" s="338">
        <v>287</v>
      </c>
      <c r="AS733" s="338" t="s">
        <v>342</v>
      </c>
      <c r="AX733" s="340">
        <v>9601.01</v>
      </c>
      <c r="AY733" s="340" t="s">
        <v>310</v>
      </c>
      <c r="BH733" s="338">
        <v>503.03</v>
      </c>
      <c r="BI733" s="338" t="s">
        <v>318</v>
      </c>
      <c r="BN733" s="340">
        <v>71.02</v>
      </c>
      <c r="BO733" s="340" t="s">
        <v>316</v>
      </c>
      <c r="BP733" s="1385"/>
      <c r="BV733" s="338">
        <v>305.05</v>
      </c>
      <c r="BW733" s="338" t="s">
        <v>294</v>
      </c>
      <c r="CB733" s="340">
        <v>9502.01</v>
      </c>
      <c r="CC733" s="340" t="s">
        <v>308</v>
      </c>
      <c r="CL733" s="236">
        <v>20.239999999999998</v>
      </c>
      <c r="CM733" s="236" t="s">
        <v>328</v>
      </c>
      <c r="CR733" s="340">
        <v>72.06</v>
      </c>
      <c r="CS733" s="340" t="s">
        <v>340</v>
      </c>
      <c r="CT733" s="1384"/>
      <c r="CZ733" s="1795">
        <v>59.33</v>
      </c>
      <c r="DA733" s="338" t="s">
        <v>340</v>
      </c>
      <c r="DF733" s="340">
        <v>409.08</v>
      </c>
      <c r="DG733" s="340" t="s">
        <v>314</v>
      </c>
      <c r="DP733" s="236">
        <v>312.06</v>
      </c>
      <c r="DQ733" s="236" t="s">
        <v>341</v>
      </c>
      <c r="DV733" s="340">
        <v>76.19</v>
      </c>
      <c r="DW733" s="340" t="s">
        <v>340</v>
      </c>
      <c r="DX733" s="1671"/>
      <c r="EB733" s="618"/>
      <c r="EC733" s="618"/>
      <c r="ED733" s="618"/>
      <c r="EE733" s="618"/>
      <c r="EF733" s="618"/>
      <c r="EG733" s="618"/>
      <c r="EH733" s="618"/>
      <c r="EI733" s="618"/>
      <c r="EJ733" s="618"/>
      <c r="EK733" s="618"/>
      <c r="EL733" s="618"/>
      <c r="EM733" s="618"/>
    </row>
    <row r="734" spans="6:143">
      <c r="F734" s="338">
        <v>250.17</v>
      </c>
      <c r="G734" s="338" t="s">
        <v>342</v>
      </c>
      <c r="L734" s="2481">
        <v>410.05</v>
      </c>
      <c r="M734" s="340" t="s">
        <v>314</v>
      </c>
      <c r="N734" s="1390"/>
      <c r="O734" s="2479"/>
      <c r="P734" s="2282"/>
      <c r="AA734" s="338">
        <v>503.12</v>
      </c>
      <c r="AB734" s="338" t="s">
        <v>289</v>
      </c>
      <c r="AG734" s="2297">
        <v>77.069999999999993</v>
      </c>
      <c r="AH734" s="2297" t="s">
        <v>331</v>
      </c>
      <c r="AI734" s="1390"/>
      <c r="AJ734" s="2282"/>
      <c r="AK734" s="2282"/>
      <c r="AL734" s="1037"/>
      <c r="AR734" s="338">
        <v>103</v>
      </c>
      <c r="AS734" s="338" t="s">
        <v>344</v>
      </c>
      <c r="AX734" s="340">
        <v>9602</v>
      </c>
      <c r="AY734" s="340" t="s">
        <v>310</v>
      </c>
      <c r="BH734" s="338">
        <v>503.04</v>
      </c>
      <c r="BI734" s="338" t="s">
        <v>318</v>
      </c>
      <c r="BN734" s="340">
        <v>71.03</v>
      </c>
      <c r="BO734" s="340" t="s">
        <v>316</v>
      </c>
      <c r="BP734" s="1385"/>
      <c r="BV734" s="338">
        <v>305.06</v>
      </c>
      <c r="BW734" s="338" t="s">
        <v>294</v>
      </c>
      <c r="CB734" s="340">
        <v>9502.02</v>
      </c>
      <c r="CC734" s="340" t="s">
        <v>308</v>
      </c>
      <c r="CL734" s="236">
        <v>20.25</v>
      </c>
      <c r="CM734" s="236" t="s">
        <v>328</v>
      </c>
      <c r="CR734" s="340">
        <v>72.08</v>
      </c>
      <c r="CS734" s="340" t="s">
        <v>340</v>
      </c>
      <c r="CT734" s="1384"/>
      <c r="CZ734" s="1795">
        <v>59.39</v>
      </c>
      <c r="DA734" s="338" t="s">
        <v>340</v>
      </c>
      <c r="DF734" s="340">
        <v>409.09</v>
      </c>
      <c r="DG734" s="340" t="s">
        <v>314</v>
      </c>
      <c r="DP734" s="236">
        <v>312.07</v>
      </c>
      <c r="DQ734" s="236" t="s">
        <v>341</v>
      </c>
      <c r="DV734" s="340">
        <v>76.23</v>
      </c>
      <c r="DW734" s="340" t="s">
        <v>340</v>
      </c>
      <c r="DX734" s="1671"/>
      <c r="EB734" s="618"/>
      <c r="EC734" s="618"/>
      <c r="ED734" s="618"/>
      <c r="EE734" s="618"/>
      <c r="EF734" s="618"/>
      <c r="EG734" s="618"/>
      <c r="EH734" s="618"/>
      <c r="EI734" s="618"/>
      <c r="EJ734" s="618"/>
      <c r="EK734" s="618"/>
      <c r="EL734" s="618"/>
      <c r="EM734" s="618"/>
    </row>
    <row r="735" spans="6:143">
      <c r="F735" s="338">
        <v>250.18</v>
      </c>
      <c r="G735" s="338" t="s">
        <v>342</v>
      </c>
      <c r="L735" s="2481">
        <v>410.06</v>
      </c>
      <c r="M735" s="340" t="s">
        <v>314</v>
      </c>
      <c r="N735" s="1390"/>
      <c r="O735" s="2479"/>
      <c r="P735" s="2282"/>
      <c r="AA735" s="338">
        <v>503.14</v>
      </c>
      <c r="AB735" s="338" t="s">
        <v>289</v>
      </c>
      <c r="AG735" s="2297">
        <v>77.08</v>
      </c>
      <c r="AH735" s="2297" t="s">
        <v>331</v>
      </c>
      <c r="AI735" s="1390"/>
      <c r="AJ735" s="2282"/>
      <c r="AK735" s="2282"/>
      <c r="AL735" s="1037"/>
      <c r="AR735" s="338">
        <v>109</v>
      </c>
      <c r="AS735" s="338" t="s">
        <v>344</v>
      </c>
      <c r="AX735" s="340">
        <v>9603.01</v>
      </c>
      <c r="AY735" s="340" t="s">
        <v>310</v>
      </c>
      <c r="BH735" s="338">
        <v>503.08</v>
      </c>
      <c r="BI735" s="338" t="s">
        <v>289</v>
      </c>
      <c r="BN735" s="340">
        <v>71.040000000000006</v>
      </c>
      <c r="BO735" s="340" t="s">
        <v>331</v>
      </c>
      <c r="BP735" s="1385"/>
      <c r="BV735" s="338">
        <v>305.07</v>
      </c>
      <c r="BW735" s="338" t="s">
        <v>294</v>
      </c>
      <c r="CB735" s="340">
        <v>9502.0300000000007</v>
      </c>
      <c r="CC735" s="340" t="s">
        <v>308</v>
      </c>
      <c r="CL735" s="236">
        <v>21</v>
      </c>
      <c r="CM735" s="236" t="s">
        <v>304</v>
      </c>
      <c r="CR735" s="340">
        <v>73</v>
      </c>
      <c r="CS735" s="340" t="s">
        <v>316</v>
      </c>
      <c r="CT735" s="1384"/>
      <c r="CZ735" s="1795">
        <v>59.4</v>
      </c>
      <c r="DA735" s="338" t="s">
        <v>340</v>
      </c>
      <c r="DF735" s="340">
        <v>409.1</v>
      </c>
      <c r="DG735" s="340" t="s">
        <v>314</v>
      </c>
      <c r="DP735" s="236">
        <v>314</v>
      </c>
      <c r="DQ735" s="236" t="s">
        <v>296</v>
      </c>
      <c r="DV735" s="340">
        <v>76.239999999999995</v>
      </c>
      <c r="DW735" s="340" t="s">
        <v>340</v>
      </c>
      <c r="DX735" s="1671"/>
      <c r="EB735" s="618"/>
      <c r="EC735" s="618"/>
      <c r="ED735" s="618"/>
      <c r="EE735" s="618"/>
      <c r="EF735" s="618"/>
      <c r="EG735" s="618"/>
      <c r="EH735" s="618"/>
      <c r="EI735" s="618"/>
      <c r="EJ735" s="618"/>
      <c r="EK735" s="618"/>
      <c r="EL735" s="618"/>
      <c r="EM735" s="618"/>
    </row>
    <row r="736" spans="6:143">
      <c r="F736" s="338">
        <v>250.19</v>
      </c>
      <c r="G736" s="338" t="s">
        <v>342</v>
      </c>
      <c r="L736" s="2481">
        <v>411.04</v>
      </c>
      <c r="M736" s="340" t="s">
        <v>314</v>
      </c>
      <c r="N736" s="1390"/>
      <c r="O736" s="2479"/>
      <c r="P736" s="2282"/>
      <c r="AA736" s="338">
        <v>504.01</v>
      </c>
      <c r="AB736" s="338" t="s">
        <v>318</v>
      </c>
      <c r="AG736" s="2297">
        <v>77.09</v>
      </c>
      <c r="AH736" s="2297" t="s">
        <v>331</v>
      </c>
      <c r="AI736" s="1390"/>
      <c r="AJ736" s="2282"/>
      <c r="AK736" s="2282"/>
      <c r="AL736" s="1037"/>
      <c r="AR736" s="338">
        <v>110</v>
      </c>
      <c r="AS736" s="338" t="s">
        <v>344</v>
      </c>
      <c r="AX736" s="340">
        <v>9603.02</v>
      </c>
      <c r="AY736" s="340" t="s">
        <v>310</v>
      </c>
      <c r="BH736" s="338">
        <v>503.09</v>
      </c>
      <c r="BI736" s="338" t="s">
        <v>289</v>
      </c>
      <c r="BN736" s="340">
        <v>72</v>
      </c>
      <c r="BO736" s="340" t="s">
        <v>316</v>
      </c>
      <c r="BP736" s="1385"/>
      <c r="BV736" s="338">
        <v>9900</v>
      </c>
      <c r="BW736" s="338" t="s">
        <v>294</v>
      </c>
      <c r="CB736" s="340">
        <v>2.02</v>
      </c>
      <c r="CC736" s="340" t="s">
        <v>309</v>
      </c>
      <c r="CL736" s="236">
        <v>21</v>
      </c>
      <c r="CM736" s="236" t="s">
        <v>316</v>
      </c>
      <c r="CR736" s="340">
        <v>73</v>
      </c>
      <c r="CS736" s="340" t="s">
        <v>331</v>
      </c>
      <c r="CT736" s="1384"/>
      <c r="CZ736" s="1795">
        <v>59.43</v>
      </c>
      <c r="DA736" s="338" t="s">
        <v>340</v>
      </c>
      <c r="DF736" s="340">
        <v>409.11</v>
      </c>
      <c r="DG736" s="340" t="s">
        <v>314</v>
      </c>
      <c r="DP736" s="236">
        <v>314.01</v>
      </c>
      <c r="DQ736" s="236" t="s">
        <v>341</v>
      </c>
      <c r="DV736" s="340">
        <v>77.040000000000006</v>
      </c>
      <c r="DW736" s="340" t="s">
        <v>331</v>
      </c>
      <c r="DX736" s="1671"/>
      <c r="EB736" s="618"/>
      <c r="EC736" s="618"/>
      <c r="ED736" s="618"/>
      <c r="EE736" s="618"/>
      <c r="EF736" s="618"/>
      <c r="EG736" s="618"/>
      <c r="EH736" s="618"/>
      <c r="EI736" s="618"/>
      <c r="EJ736" s="618"/>
      <c r="EK736" s="618"/>
      <c r="EL736" s="618"/>
      <c r="EM736" s="618"/>
    </row>
    <row r="737" spans="6:143">
      <c r="F737" s="338">
        <v>251.11</v>
      </c>
      <c r="G737" s="338" t="s">
        <v>342</v>
      </c>
      <c r="L737" s="2481">
        <v>411.05</v>
      </c>
      <c r="M737" s="340" t="s">
        <v>314</v>
      </c>
      <c r="N737" s="1390"/>
      <c r="O737" s="2479"/>
      <c r="P737" s="2282"/>
      <c r="AA737" s="338">
        <v>506.04</v>
      </c>
      <c r="AB737" s="338" t="s">
        <v>318</v>
      </c>
      <c r="AG737" s="2297">
        <v>77.099999999999994</v>
      </c>
      <c r="AH737" s="2297" t="s">
        <v>340</v>
      </c>
      <c r="AI737" s="1390"/>
      <c r="AJ737" s="2282"/>
      <c r="AK737" s="2282"/>
      <c r="AL737" s="1037"/>
      <c r="AR737" s="338">
        <v>111</v>
      </c>
      <c r="AS737" s="338" t="s">
        <v>344</v>
      </c>
      <c r="AX737" s="340">
        <v>9601.02</v>
      </c>
      <c r="AY737" s="340" t="s">
        <v>311</v>
      </c>
      <c r="BH737" s="338">
        <v>503.11</v>
      </c>
      <c r="BI737" s="338" t="s">
        <v>289</v>
      </c>
      <c r="BN737" s="340">
        <v>72.02</v>
      </c>
      <c r="BO737" s="340" t="s">
        <v>340</v>
      </c>
      <c r="BP737" s="1385"/>
      <c r="BV737" s="338">
        <v>4501.03</v>
      </c>
      <c r="BW737" s="338" t="s">
        <v>295</v>
      </c>
      <c r="CB737" s="340">
        <v>3</v>
      </c>
      <c r="CC737" s="340" t="s">
        <v>309</v>
      </c>
      <c r="CL737" s="236">
        <v>21</v>
      </c>
      <c r="CM737" s="236" t="s">
        <v>329</v>
      </c>
      <c r="CR737" s="340">
        <v>73.010000000000005</v>
      </c>
      <c r="CS737" s="340" t="s">
        <v>340</v>
      </c>
      <c r="CT737" s="1384"/>
      <c r="CZ737" s="1795">
        <v>59.44</v>
      </c>
      <c r="DA737" s="338" t="s">
        <v>340</v>
      </c>
      <c r="DF737" s="340">
        <v>409.13</v>
      </c>
      <c r="DG737" s="340" t="s">
        <v>314</v>
      </c>
      <c r="DP737" s="236">
        <v>314.06</v>
      </c>
      <c r="DQ737" s="236" t="s">
        <v>341</v>
      </c>
      <c r="DV737" s="340">
        <v>77.05</v>
      </c>
      <c r="DW737" s="340" t="s">
        <v>331</v>
      </c>
      <c r="DX737" s="1671"/>
      <c r="EB737" s="618"/>
      <c r="EC737" s="618"/>
      <c r="ED737" s="618"/>
      <c r="EE737" s="618"/>
      <c r="EF737" s="618"/>
      <c r="EG737" s="618"/>
      <c r="EH737" s="618"/>
      <c r="EI737" s="618"/>
      <c r="EJ737" s="618"/>
      <c r="EK737" s="618"/>
      <c r="EL737" s="618"/>
      <c r="EM737" s="618"/>
    </row>
    <row r="738" spans="6:143">
      <c r="F738" s="338">
        <v>253.05</v>
      </c>
      <c r="G738" s="338" t="s">
        <v>342</v>
      </c>
      <c r="L738" s="2481">
        <v>412.01</v>
      </c>
      <c r="M738" s="340" t="s">
        <v>314</v>
      </c>
      <c r="N738" s="1390"/>
      <c r="O738" s="2479"/>
      <c r="P738" s="2282"/>
      <c r="AA738" s="338">
        <v>508</v>
      </c>
      <c r="AB738" s="338" t="s">
        <v>289</v>
      </c>
      <c r="AG738" s="2297">
        <v>77.16</v>
      </c>
      <c r="AH738" s="2297" t="s">
        <v>340</v>
      </c>
      <c r="AI738" s="1390"/>
      <c r="AJ738" s="2282"/>
      <c r="AK738" s="2282"/>
      <c r="AL738" s="1037"/>
      <c r="AR738" s="338">
        <v>112.02</v>
      </c>
      <c r="AS738" s="338" t="s">
        <v>344</v>
      </c>
      <c r="AX738" s="340">
        <v>9603</v>
      </c>
      <c r="AY738" s="340" t="s">
        <v>311</v>
      </c>
      <c r="BH738" s="338">
        <v>503.12</v>
      </c>
      <c r="BI738" s="338" t="s">
        <v>289</v>
      </c>
      <c r="BN738" s="340">
        <v>72.06</v>
      </c>
      <c r="BO738" s="340" t="s">
        <v>340</v>
      </c>
      <c r="BP738" s="1385"/>
      <c r="BV738" s="338">
        <v>4501.04</v>
      </c>
      <c r="BW738" s="338" t="s">
        <v>295</v>
      </c>
      <c r="CB738" s="340">
        <v>9602</v>
      </c>
      <c r="CC738" s="340" t="s">
        <v>310</v>
      </c>
      <c r="CL738" s="236">
        <v>21</v>
      </c>
      <c r="CM738" s="236" t="s">
        <v>331</v>
      </c>
      <c r="CR738" s="340">
        <v>74.010000000000005</v>
      </c>
      <c r="CS738" s="340" t="s">
        <v>331</v>
      </c>
      <c r="CT738" s="1384"/>
      <c r="CZ738" s="1795">
        <v>68.02</v>
      </c>
      <c r="DA738" s="338" t="s">
        <v>340</v>
      </c>
      <c r="DF738" s="340">
        <v>410.04</v>
      </c>
      <c r="DG738" s="340" t="s">
        <v>314</v>
      </c>
      <c r="DP738" s="236">
        <v>314.11</v>
      </c>
      <c r="DQ738" s="236" t="s">
        <v>341</v>
      </c>
      <c r="DV738" s="340">
        <v>77.05</v>
      </c>
      <c r="DW738" s="340" t="s">
        <v>340</v>
      </c>
      <c r="DX738" s="1671"/>
      <c r="EB738" s="618"/>
      <c r="EC738" s="618"/>
      <c r="ED738" s="618"/>
      <c r="EE738" s="618"/>
      <c r="EF738" s="618"/>
      <c r="EG738" s="618"/>
      <c r="EH738" s="618"/>
      <c r="EI738" s="618"/>
      <c r="EJ738" s="618"/>
      <c r="EK738" s="618"/>
      <c r="EL738" s="618"/>
      <c r="EM738" s="618"/>
    </row>
    <row r="739" spans="6:143">
      <c r="F739" s="338">
        <v>254.15</v>
      </c>
      <c r="G739" s="338" t="s">
        <v>342</v>
      </c>
      <c r="L739" s="2481">
        <v>413.04</v>
      </c>
      <c r="M739" s="340" t="s">
        <v>314</v>
      </c>
      <c r="N739" s="1390"/>
      <c r="O739" s="2479"/>
      <c r="P739" s="2282"/>
      <c r="AA739" s="338">
        <v>509.07</v>
      </c>
      <c r="AB739" s="338" t="s">
        <v>318</v>
      </c>
      <c r="AG739" s="2297">
        <v>77.209999999999994</v>
      </c>
      <c r="AH739" s="2297" t="s">
        <v>340</v>
      </c>
      <c r="AI739" s="1390"/>
      <c r="AJ739" s="2282"/>
      <c r="AK739" s="2282"/>
      <c r="AL739" s="1037"/>
      <c r="AR739" s="338">
        <v>112.03</v>
      </c>
      <c r="AS739" s="338" t="s">
        <v>344</v>
      </c>
      <c r="AX739" s="340">
        <v>9702.02</v>
      </c>
      <c r="AY739" s="340" t="s">
        <v>312</v>
      </c>
      <c r="BH739" s="338">
        <v>503.13</v>
      </c>
      <c r="BI739" s="338" t="s">
        <v>289</v>
      </c>
      <c r="BN739" s="340">
        <v>72.069999999999993</v>
      </c>
      <c r="BO739" s="340" t="s">
        <v>340</v>
      </c>
      <c r="BP739" s="1385"/>
      <c r="BV739" s="338">
        <v>4501.05</v>
      </c>
      <c r="BW739" s="338" t="s">
        <v>295</v>
      </c>
      <c r="CB739" s="340">
        <v>9603.01</v>
      </c>
      <c r="CC739" s="340" t="s">
        <v>310</v>
      </c>
      <c r="CL739" s="236">
        <v>21</v>
      </c>
      <c r="CM739" s="236" t="s">
        <v>340</v>
      </c>
      <c r="CR739" s="340">
        <v>74.02</v>
      </c>
      <c r="CS739" s="340" t="s">
        <v>331</v>
      </c>
      <c r="CT739" s="1384"/>
      <c r="CZ739" s="1795">
        <v>72.08</v>
      </c>
      <c r="DA739" s="338" t="s">
        <v>340</v>
      </c>
      <c r="DF739" s="340">
        <v>410.06</v>
      </c>
      <c r="DG739" s="340" t="s">
        <v>314</v>
      </c>
      <c r="DP739" s="236">
        <v>314.12</v>
      </c>
      <c r="DQ739" s="236" t="s">
        <v>341</v>
      </c>
      <c r="DV739" s="340">
        <v>77.06</v>
      </c>
      <c r="DW739" s="340" t="s">
        <v>331</v>
      </c>
      <c r="DX739" s="1671"/>
      <c r="EB739" s="618"/>
      <c r="EC739" s="618"/>
      <c r="ED739" s="618"/>
      <c r="EE739" s="618"/>
      <c r="EF739" s="618"/>
      <c r="EG739" s="618"/>
      <c r="EH739" s="618"/>
      <c r="EI739" s="618"/>
      <c r="EJ739" s="618"/>
      <c r="EK739" s="618"/>
      <c r="EL739" s="618"/>
      <c r="EM739" s="618"/>
    </row>
    <row r="740" spans="6:143">
      <c r="F740" s="338">
        <v>255.05</v>
      </c>
      <c r="G740" s="338" t="s">
        <v>342</v>
      </c>
      <c r="L740" s="2481">
        <v>414.02</v>
      </c>
      <c r="M740" s="340" t="s">
        <v>314</v>
      </c>
      <c r="N740" s="1390"/>
      <c r="O740" s="2479"/>
      <c r="P740" s="2282"/>
      <c r="AA740" s="338">
        <v>601.24</v>
      </c>
      <c r="AB740" s="338" t="s">
        <v>289</v>
      </c>
      <c r="AG740" s="2297">
        <v>77.23</v>
      </c>
      <c r="AH740" s="2297" t="s">
        <v>340</v>
      </c>
      <c r="AI740" s="1390"/>
      <c r="AJ740" s="2282"/>
      <c r="AK740" s="2282"/>
      <c r="AL740" s="1037"/>
      <c r="AR740" s="338">
        <v>112.04</v>
      </c>
      <c r="AS740" s="338" t="s">
        <v>344</v>
      </c>
      <c r="AX740" s="340">
        <v>9703.01</v>
      </c>
      <c r="AY740" s="340" t="s">
        <v>312</v>
      </c>
      <c r="BH740" s="338">
        <v>503.14</v>
      </c>
      <c r="BI740" s="338" t="s">
        <v>289</v>
      </c>
      <c r="BN740" s="340">
        <v>72.08</v>
      </c>
      <c r="BO740" s="340" t="s">
        <v>340</v>
      </c>
      <c r="BP740" s="1385"/>
      <c r="BV740" s="338">
        <v>4501.0600000000004</v>
      </c>
      <c r="BW740" s="338" t="s">
        <v>295</v>
      </c>
      <c r="CB740" s="340">
        <v>9603.02</v>
      </c>
      <c r="CC740" s="340" t="s">
        <v>310</v>
      </c>
      <c r="CL740" s="338">
        <v>21.01</v>
      </c>
      <c r="CM740" s="338" t="s">
        <v>276</v>
      </c>
      <c r="CR740" s="340">
        <v>74.03</v>
      </c>
      <c r="CS740" s="340" t="s">
        <v>331</v>
      </c>
      <c r="CT740" s="1384"/>
      <c r="CZ740" s="1795">
        <v>76.2</v>
      </c>
      <c r="DA740" s="338" t="s">
        <v>340</v>
      </c>
      <c r="DF740" s="340">
        <v>411.04</v>
      </c>
      <c r="DG740" s="340" t="s">
        <v>314</v>
      </c>
      <c r="DP740" s="236">
        <v>315.06</v>
      </c>
      <c r="DQ740" s="236" t="s">
        <v>341</v>
      </c>
      <c r="DV740" s="340">
        <v>77.069999999999993</v>
      </c>
      <c r="DW740" s="340" t="s">
        <v>331</v>
      </c>
      <c r="DX740" s="1671"/>
      <c r="EB740" s="618"/>
      <c r="EC740" s="618"/>
      <c r="ED740" s="618"/>
      <c r="EE740" s="618"/>
      <c r="EF740" s="618"/>
      <c r="EG740" s="618"/>
      <c r="EH740" s="618"/>
      <c r="EI740" s="618"/>
      <c r="EJ740" s="618"/>
      <c r="EK740" s="618"/>
      <c r="EL740" s="618"/>
      <c r="EM740" s="618"/>
    </row>
    <row r="741" spans="6:143">
      <c r="F741" s="338">
        <v>256.02</v>
      </c>
      <c r="G741" s="338" t="s">
        <v>342</v>
      </c>
      <c r="L741" s="2481">
        <v>415.01</v>
      </c>
      <c r="M741" s="340" t="s">
        <v>314</v>
      </c>
      <c r="N741" s="1390"/>
      <c r="O741" s="2479"/>
      <c r="P741" s="2282"/>
      <c r="AA741" s="338">
        <v>601.28</v>
      </c>
      <c r="AB741" s="338" t="s">
        <v>289</v>
      </c>
      <c r="AG741" s="2297">
        <v>77.239999999999995</v>
      </c>
      <c r="AH741" s="2297" t="s">
        <v>340</v>
      </c>
      <c r="AI741" s="1390"/>
      <c r="AJ741" s="2282"/>
      <c r="AK741" s="2282"/>
      <c r="AL741" s="1037"/>
      <c r="AR741" s="338">
        <v>113</v>
      </c>
      <c r="AS741" s="338" t="s">
        <v>344</v>
      </c>
      <c r="AX741" s="340">
        <v>9704.02</v>
      </c>
      <c r="AY741" s="340" t="s">
        <v>312</v>
      </c>
      <c r="BH741" s="338">
        <v>504.01</v>
      </c>
      <c r="BI741" s="338" t="s">
        <v>318</v>
      </c>
      <c r="BN741" s="340">
        <v>73</v>
      </c>
      <c r="BO741" s="340" t="s">
        <v>331</v>
      </c>
      <c r="BP741" s="1385"/>
      <c r="BV741" s="338">
        <v>4502.01</v>
      </c>
      <c r="BW741" s="338" t="s">
        <v>295</v>
      </c>
      <c r="CB741" s="340">
        <v>9601.02</v>
      </c>
      <c r="CC741" s="340" t="s">
        <v>311</v>
      </c>
      <c r="CL741" s="236">
        <v>21.01</v>
      </c>
      <c r="CM741" s="236" t="s">
        <v>302</v>
      </c>
      <c r="CR741" s="340">
        <v>74.069999999999993</v>
      </c>
      <c r="CS741" s="340" t="s">
        <v>340</v>
      </c>
      <c r="CT741" s="1384"/>
      <c r="CZ741" s="1795">
        <v>78.319999999999993</v>
      </c>
      <c r="DA741" s="338" t="s">
        <v>340</v>
      </c>
      <c r="DF741" s="340">
        <v>411.05</v>
      </c>
      <c r="DG741" s="340" t="s">
        <v>314</v>
      </c>
      <c r="DP741" s="236">
        <v>317.02999999999997</v>
      </c>
      <c r="DQ741" s="236" t="s">
        <v>341</v>
      </c>
      <c r="DV741" s="340">
        <v>77.08</v>
      </c>
      <c r="DW741" s="340" t="s">
        <v>331</v>
      </c>
      <c r="DX741" s="1671"/>
      <c r="EB741" s="618"/>
      <c r="EC741" s="618"/>
      <c r="ED741" s="618"/>
      <c r="EE741" s="618"/>
      <c r="EF741" s="618"/>
      <c r="EG741" s="618"/>
      <c r="EH741" s="618"/>
      <c r="EI741" s="618"/>
      <c r="EJ741" s="618"/>
      <c r="EK741" s="618"/>
      <c r="EL741" s="618"/>
      <c r="EM741" s="618"/>
    </row>
    <row r="742" spans="6:143">
      <c r="F742" s="338">
        <v>256.02999999999997</v>
      </c>
      <c r="G742" s="338" t="s">
        <v>342</v>
      </c>
      <c r="L742" s="2481">
        <v>415.02</v>
      </c>
      <c r="M742" s="340" t="s">
        <v>314</v>
      </c>
      <c r="N742" s="1390"/>
      <c r="O742" s="2479"/>
      <c r="P742" s="2282"/>
      <c r="AA742" s="338">
        <v>602.03</v>
      </c>
      <c r="AB742" s="338" t="s">
        <v>289</v>
      </c>
      <c r="AG742" s="2297">
        <v>77.25</v>
      </c>
      <c r="AH742" s="2297" t="s">
        <v>340</v>
      </c>
      <c r="AI742" s="1390"/>
      <c r="AJ742" s="2282"/>
      <c r="AK742" s="2282"/>
      <c r="AL742" s="1037"/>
      <c r="AR742" s="338">
        <v>114</v>
      </c>
      <c r="AS742" s="338" t="s">
        <v>344</v>
      </c>
      <c r="AX742" s="340">
        <v>1.01</v>
      </c>
      <c r="AY742" s="340" t="s">
        <v>313</v>
      </c>
      <c r="BH742" s="338">
        <v>507.02</v>
      </c>
      <c r="BI742" s="338" t="s">
        <v>289</v>
      </c>
      <c r="BN742" s="340">
        <v>73.010000000000005</v>
      </c>
      <c r="BO742" s="340" t="s">
        <v>340</v>
      </c>
      <c r="BP742" s="1385"/>
      <c r="BV742" s="338">
        <v>4502.0200000000004</v>
      </c>
      <c r="BW742" s="338" t="s">
        <v>295</v>
      </c>
      <c r="CB742" s="340">
        <v>9603</v>
      </c>
      <c r="CC742" s="340" t="s">
        <v>311</v>
      </c>
      <c r="CL742" s="236">
        <v>21.01</v>
      </c>
      <c r="CM742" s="236" t="s">
        <v>324</v>
      </c>
      <c r="CR742" s="340">
        <v>74.099999999999994</v>
      </c>
      <c r="CS742" s="340" t="s">
        <v>340</v>
      </c>
      <c r="CT742" s="1384"/>
      <c r="CZ742" s="1795">
        <v>78.33</v>
      </c>
      <c r="DA742" s="338" t="s">
        <v>340</v>
      </c>
      <c r="DF742" s="340">
        <v>412.03</v>
      </c>
      <c r="DG742" s="340" t="s">
        <v>314</v>
      </c>
      <c r="DP742" s="236">
        <v>318.07</v>
      </c>
      <c r="DQ742" s="236" t="s">
        <v>341</v>
      </c>
      <c r="DV742" s="340">
        <v>77.09</v>
      </c>
      <c r="DW742" s="340" t="s">
        <v>331</v>
      </c>
      <c r="DX742" s="1671"/>
      <c r="EB742" s="618"/>
      <c r="EC742" s="618"/>
      <c r="ED742" s="618"/>
      <c r="EE742" s="618"/>
      <c r="EF742" s="618"/>
      <c r="EG742" s="618"/>
      <c r="EH742" s="618"/>
      <c r="EI742" s="618"/>
      <c r="EJ742" s="618"/>
      <c r="EK742" s="618"/>
      <c r="EL742" s="618"/>
      <c r="EM742" s="618"/>
    </row>
    <row r="743" spans="6:143">
      <c r="F743" s="338">
        <v>258</v>
      </c>
      <c r="G743" s="338" t="s">
        <v>342</v>
      </c>
      <c r="L743" s="2481">
        <v>416.01</v>
      </c>
      <c r="M743" s="340" t="s">
        <v>314</v>
      </c>
      <c r="N743" s="1390"/>
      <c r="O743" s="2479"/>
      <c r="P743" s="2282"/>
      <c r="AA743" s="338">
        <v>602.05999999999995</v>
      </c>
      <c r="AB743" s="338" t="s">
        <v>289</v>
      </c>
      <c r="AG743" s="2297">
        <v>77.3</v>
      </c>
      <c r="AH743" s="2297" t="s">
        <v>340</v>
      </c>
      <c r="AI743" s="1390"/>
      <c r="AJ743" s="2282"/>
      <c r="AK743" s="2282"/>
      <c r="AL743" s="1037"/>
      <c r="AR743" s="338">
        <v>115.01</v>
      </c>
      <c r="AS743" s="338" t="s">
        <v>344</v>
      </c>
      <c r="AX743" s="340">
        <v>1.02</v>
      </c>
      <c r="AY743" s="340" t="s">
        <v>313</v>
      </c>
      <c r="BH743" s="338">
        <v>508</v>
      </c>
      <c r="BI743" s="338" t="s">
        <v>289</v>
      </c>
      <c r="BN743" s="340">
        <v>74.010000000000005</v>
      </c>
      <c r="BO743" s="340" t="s">
        <v>331</v>
      </c>
      <c r="BP743" s="1385"/>
      <c r="BV743" s="338">
        <v>4503.05</v>
      </c>
      <c r="BW743" s="338" t="s">
        <v>295</v>
      </c>
      <c r="CB743" s="340">
        <v>9702.02</v>
      </c>
      <c r="CC743" s="340" t="s">
        <v>312</v>
      </c>
      <c r="CL743" s="236">
        <v>21.01</v>
      </c>
      <c r="CM743" s="236" t="s">
        <v>347</v>
      </c>
      <c r="CR743" s="340">
        <v>74.12</v>
      </c>
      <c r="CS743" s="340" t="s">
        <v>340</v>
      </c>
      <c r="CT743" s="1384"/>
      <c r="CZ743" s="1795">
        <v>80.010000000000005</v>
      </c>
      <c r="DA743" s="338" t="s">
        <v>340</v>
      </c>
      <c r="DF743" s="340">
        <v>413.03</v>
      </c>
      <c r="DG743" s="340" t="s">
        <v>314</v>
      </c>
      <c r="DP743" s="236">
        <v>324.02</v>
      </c>
      <c r="DQ743" s="236" t="s">
        <v>341</v>
      </c>
      <c r="DV743" s="340">
        <v>77.099999999999994</v>
      </c>
      <c r="DW743" s="340" t="s">
        <v>340</v>
      </c>
      <c r="DX743" s="1671"/>
      <c r="EB743" s="618"/>
      <c r="EC743" s="618"/>
      <c r="ED743" s="618"/>
      <c r="EE743" s="618"/>
      <c r="EF743" s="618"/>
      <c r="EG743" s="618"/>
      <c r="EH743" s="618"/>
      <c r="EI743" s="618"/>
      <c r="EJ743" s="618"/>
      <c r="EK743" s="618"/>
      <c r="EL743" s="618"/>
      <c r="EM743" s="618"/>
    </row>
    <row r="744" spans="6:143">
      <c r="F744" s="338">
        <v>262</v>
      </c>
      <c r="G744" s="338" t="s">
        <v>342</v>
      </c>
      <c r="L744" s="2481">
        <v>9601.01</v>
      </c>
      <c r="M744" s="340" t="s">
        <v>315</v>
      </c>
      <c r="N744" s="1390"/>
      <c r="O744" s="2479"/>
      <c r="P744" s="2282"/>
      <c r="AA744" s="338">
        <v>602.08000000000004</v>
      </c>
      <c r="AB744" s="338" t="s">
        <v>289</v>
      </c>
      <c r="AG744" s="2297">
        <v>77.31</v>
      </c>
      <c r="AH744" s="2297" t="s">
        <v>340</v>
      </c>
      <c r="AI744" s="1390"/>
      <c r="AJ744" s="2282"/>
      <c r="AK744" s="2282"/>
      <c r="AL744" s="1037"/>
      <c r="AR744" s="338">
        <v>116.04</v>
      </c>
      <c r="AS744" s="338" t="s">
        <v>344</v>
      </c>
      <c r="AX744" s="340">
        <v>2</v>
      </c>
      <c r="AY744" s="340" t="s">
        <v>313</v>
      </c>
      <c r="BH744" s="338">
        <v>602.03</v>
      </c>
      <c r="BI744" s="338" t="s">
        <v>289</v>
      </c>
      <c r="BN744" s="340">
        <v>74.02</v>
      </c>
      <c r="BO744" s="340" t="s">
        <v>331</v>
      </c>
      <c r="BP744" s="1385"/>
      <c r="BV744" s="338">
        <v>4503.0600000000004</v>
      </c>
      <c r="BW744" s="338" t="s">
        <v>295</v>
      </c>
      <c r="CB744" s="340">
        <v>9703.01</v>
      </c>
      <c r="CC744" s="340" t="s">
        <v>312</v>
      </c>
      <c r="CL744" s="338">
        <v>21.02</v>
      </c>
      <c r="CM744" s="338" t="s">
        <v>276</v>
      </c>
      <c r="CR744" s="340">
        <v>74.14</v>
      </c>
      <c r="CS744" s="340" t="s">
        <v>340</v>
      </c>
      <c r="CT744" s="1384"/>
      <c r="CZ744" s="1795">
        <v>80.02</v>
      </c>
      <c r="DA744" s="338" t="s">
        <v>340</v>
      </c>
      <c r="DF744" s="340">
        <v>413.04</v>
      </c>
      <c r="DG744" s="340" t="s">
        <v>314</v>
      </c>
      <c r="DP744" s="236">
        <v>328.04</v>
      </c>
      <c r="DQ744" s="236" t="s">
        <v>341</v>
      </c>
      <c r="DV744" s="340">
        <v>77.16</v>
      </c>
      <c r="DW744" s="340" t="s">
        <v>340</v>
      </c>
      <c r="DX744" s="1671"/>
      <c r="EB744" s="618"/>
      <c r="EC744" s="618"/>
      <c r="ED744" s="618"/>
      <c r="EE744" s="618"/>
      <c r="EF744" s="618"/>
      <c r="EG744" s="618"/>
      <c r="EH744" s="618"/>
      <c r="EI744" s="618"/>
      <c r="EJ744" s="618"/>
      <c r="EK744" s="618"/>
      <c r="EL744" s="618"/>
      <c r="EM744" s="618"/>
    </row>
    <row r="745" spans="6:143">
      <c r="F745" s="338">
        <v>263</v>
      </c>
      <c r="G745" s="338" t="s">
        <v>342</v>
      </c>
      <c r="L745" s="2481">
        <v>9601.0400000000009</v>
      </c>
      <c r="M745" s="340" t="s">
        <v>315</v>
      </c>
      <c r="N745" s="1390"/>
      <c r="O745" s="2479"/>
      <c r="P745" s="2282"/>
      <c r="AA745" s="338">
        <v>603.02</v>
      </c>
      <c r="AB745" s="338" t="s">
        <v>289</v>
      </c>
      <c r="AG745" s="2297">
        <v>77.349999999999994</v>
      </c>
      <c r="AH745" s="2297" t="s">
        <v>340</v>
      </c>
      <c r="AI745" s="1390"/>
      <c r="AJ745" s="2282"/>
      <c r="AK745" s="2282"/>
      <c r="AL745" s="1037"/>
      <c r="AR745" s="338">
        <v>117.04</v>
      </c>
      <c r="AS745" s="338" t="s">
        <v>344</v>
      </c>
      <c r="AX745" s="340">
        <v>4.01</v>
      </c>
      <c r="AY745" s="340" t="s">
        <v>313</v>
      </c>
      <c r="BH745" s="338">
        <v>603.02</v>
      </c>
      <c r="BI745" s="338" t="s">
        <v>289</v>
      </c>
      <c r="BN745" s="340">
        <v>74.03</v>
      </c>
      <c r="BO745" s="340" t="s">
        <v>331</v>
      </c>
      <c r="BP745" s="1385"/>
      <c r="BV745" s="338">
        <v>4503.07</v>
      </c>
      <c r="BW745" s="338" t="s">
        <v>295</v>
      </c>
      <c r="CB745" s="340">
        <v>9704.02</v>
      </c>
      <c r="CC745" s="340" t="s">
        <v>312</v>
      </c>
      <c r="CL745" s="236">
        <v>21.02</v>
      </c>
      <c r="CM745" s="236" t="s">
        <v>302</v>
      </c>
      <c r="CR745" s="340">
        <v>74.2</v>
      </c>
      <c r="CS745" s="340" t="s">
        <v>340</v>
      </c>
      <c r="CT745" s="1384"/>
      <c r="CZ745" s="1795">
        <v>82.01</v>
      </c>
      <c r="DA745" s="338" t="s">
        <v>340</v>
      </c>
      <c r="DF745" s="340">
        <v>415.01</v>
      </c>
      <c r="DG745" s="340" t="s">
        <v>314</v>
      </c>
      <c r="DP745" s="236">
        <v>330.07</v>
      </c>
      <c r="DQ745" s="236" t="s">
        <v>341</v>
      </c>
      <c r="DV745" s="340">
        <v>77.209999999999994</v>
      </c>
      <c r="DW745" s="340" t="s">
        <v>340</v>
      </c>
      <c r="DX745" s="1671"/>
      <c r="EB745" s="618"/>
      <c r="EC745" s="618"/>
      <c r="ED745" s="618"/>
      <c r="EE745" s="618"/>
      <c r="EF745" s="618"/>
      <c r="EG745" s="618"/>
      <c r="EH745" s="618"/>
      <c r="EI745" s="618"/>
      <c r="EJ745" s="618"/>
      <c r="EK745" s="618"/>
      <c r="EL745" s="618"/>
      <c r="EM745" s="618"/>
    </row>
    <row r="746" spans="6:143">
      <c r="F746" s="338">
        <v>264.02</v>
      </c>
      <c r="G746" s="338" t="s">
        <v>342</v>
      </c>
      <c r="L746" s="2481">
        <v>9604.02</v>
      </c>
      <c r="M746" s="340" t="s">
        <v>315</v>
      </c>
      <c r="N746" s="1390"/>
      <c r="O746" s="2479"/>
      <c r="P746" s="2282"/>
      <c r="AA746" s="338">
        <v>603.03</v>
      </c>
      <c r="AB746" s="338" t="s">
        <v>289</v>
      </c>
      <c r="AG746" s="2297">
        <v>77.36</v>
      </c>
      <c r="AH746" s="2297" t="s">
        <v>340</v>
      </c>
      <c r="AI746" s="1390"/>
      <c r="AJ746" s="2282"/>
      <c r="AK746" s="2282"/>
      <c r="AL746" s="1037"/>
      <c r="AR746" s="338">
        <v>117.22</v>
      </c>
      <c r="AS746" s="338" t="s">
        <v>344</v>
      </c>
      <c r="AX746" s="340">
        <v>4.03</v>
      </c>
      <c r="AY746" s="340" t="s">
        <v>313</v>
      </c>
      <c r="BH746" s="338">
        <v>603.03</v>
      </c>
      <c r="BI746" s="338" t="s">
        <v>289</v>
      </c>
      <c r="BN746" s="340">
        <v>74.069999999999993</v>
      </c>
      <c r="BO746" s="340" t="s">
        <v>340</v>
      </c>
      <c r="BP746" s="1385"/>
      <c r="BV746" s="338">
        <v>4503.08</v>
      </c>
      <c r="BW746" s="338" t="s">
        <v>295</v>
      </c>
      <c r="CB746" s="340">
        <v>1.02</v>
      </c>
      <c r="CC746" s="340" t="s">
        <v>313</v>
      </c>
      <c r="CL746" s="236">
        <v>21.02</v>
      </c>
      <c r="CM746" s="236" t="s">
        <v>347</v>
      </c>
      <c r="CR746" s="340">
        <v>74.209999999999994</v>
      </c>
      <c r="CS746" s="340" t="s">
        <v>340</v>
      </c>
      <c r="CT746" s="1384"/>
      <c r="CZ746" s="1795">
        <v>82.02</v>
      </c>
      <c r="DA746" s="338" t="s">
        <v>340</v>
      </c>
      <c r="DF746" s="340">
        <v>416.01</v>
      </c>
      <c r="DG746" s="340" t="s">
        <v>314</v>
      </c>
      <c r="DP746" s="236">
        <v>330.08</v>
      </c>
      <c r="DQ746" s="236" t="s">
        <v>341</v>
      </c>
      <c r="DV746" s="340">
        <v>77.23</v>
      </c>
      <c r="DW746" s="340" t="s">
        <v>340</v>
      </c>
      <c r="DX746" s="1671"/>
      <c r="EB746" s="618"/>
      <c r="EC746" s="618"/>
      <c r="ED746" s="618"/>
      <c r="EE746" s="618"/>
      <c r="EF746" s="618"/>
      <c r="EG746" s="618"/>
      <c r="EH746" s="618"/>
      <c r="EI746" s="618"/>
      <c r="EJ746" s="618"/>
      <c r="EK746" s="618"/>
      <c r="EL746" s="618"/>
      <c r="EM746" s="618"/>
    </row>
    <row r="747" spans="6:143">
      <c r="F747" s="338">
        <v>266.02</v>
      </c>
      <c r="G747" s="338" t="s">
        <v>342</v>
      </c>
      <c r="L747" s="2481">
        <v>9605.0300000000007</v>
      </c>
      <c r="M747" s="340" t="s">
        <v>315</v>
      </c>
      <c r="N747" s="1390"/>
      <c r="O747" s="2479"/>
      <c r="P747" s="2282"/>
      <c r="AA747" s="338">
        <v>603.04</v>
      </c>
      <c r="AB747" s="338" t="s">
        <v>289</v>
      </c>
      <c r="AG747" s="2297">
        <v>77.38</v>
      </c>
      <c r="AH747" s="2297" t="s">
        <v>340</v>
      </c>
      <c r="AI747" s="1390"/>
      <c r="AJ747" s="2282"/>
      <c r="AK747" s="2282"/>
      <c r="AL747" s="1037"/>
      <c r="AR747" s="338">
        <v>117.31</v>
      </c>
      <c r="AS747" s="338" t="s">
        <v>344</v>
      </c>
      <c r="AX747" s="340">
        <v>402.02</v>
      </c>
      <c r="AY747" s="340" t="s">
        <v>314</v>
      </c>
      <c r="BH747" s="338">
        <v>603.04</v>
      </c>
      <c r="BI747" s="338" t="s">
        <v>289</v>
      </c>
      <c r="BN747" s="340">
        <v>74.099999999999994</v>
      </c>
      <c r="BO747" s="340" t="s">
        <v>340</v>
      </c>
      <c r="BP747" s="1385"/>
      <c r="BV747" s="338">
        <v>4503.09</v>
      </c>
      <c r="BW747" s="338" t="s">
        <v>295</v>
      </c>
      <c r="CB747" s="340">
        <v>2</v>
      </c>
      <c r="CC747" s="340" t="s">
        <v>313</v>
      </c>
      <c r="CL747" s="236">
        <v>21.03</v>
      </c>
      <c r="CM747" s="236" t="s">
        <v>324</v>
      </c>
      <c r="CR747" s="340">
        <v>75.010000000000005</v>
      </c>
      <c r="CS747" s="340" t="s">
        <v>331</v>
      </c>
      <c r="CT747" s="1384"/>
      <c r="CZ747" s="1795">
        <v>82.03</v>
      </c>
      <c r="DA747" s="338" t="s">
        <v>340</v>
      </c>
      <c r="DF747" s="340">
        <v>9601.01</v>
      </c>
      <c r="DG747" s="340" t="s">
        <v>315</v>
      </c>
      <c r="DP747" s="236">
        <v>330.09</v>
      </c>
      <c r="DQ747" s="236" t="s">
        <v>341</v>
      </c>
      <c r="DV747" s="340">
        <v>77.239999999999995</v>
      </c>
      <c r="DW747" s="340" t="s">
        <v>340</v>
      </c>
      <c r="DX747" s="1671"/>
      <c r="EB747" s="618"/>
      <c r="EC747" s="618"/>
      <c r="ED747" s="618"/>
      <c r="EE747" s="618"/>
      <c r="EF747" s="618"/>
      <c r="EG747" s="618"/>
      <c r="EH747" s="618"/>
      <c r="EI747" s="618"/>
      <c r="EJ747" s="618"/>
      <c r="EK747" s="618"/>
      <c r="EL747" s="618"/>
      <c r="EM747" s="618"/>
    </row>
    <row r="748" spans="6:143">
      <c r="F748" s="338">
        <v>268.18</v>
      </c>
      <c r="G748" s="338" t="s">
        <v>342</v>
      </c>
      <c r="L748" s="2481">
        <v>9606.01</v>
      </c>
      <c r="M748" s="340" t="s">
        <v>315</v>
      </c>
      <c r="N748" s="1390"/>
      <c r="O748" s="2479"/>
      <c r="P748" s="2282"/>
      <c r="AA748" s="338">
        <v>604.01</v>
      </c>
      <c r="AB748" s="338" t="s">
        <v>289</v>
      </c>
      <c r="AG748" s="2297">
        <v>77.400000000000006</v>
      </c>
      <c r="AH748" s="2297" t="s">
        <v>340</v>
      </c>
      <c r="AI748" s="1390"/>
      <c r="AJ748" s="2282"/>
      <c r="AK748" s="2282"/>
      <c r="AL748" s="1037"/>
      <c r="AR748" s="338">
        <v>117.32</v>
      </c>
      <c r="AS748" s="338" t="s">
        <v>344</v>
      </c>
      <c r="AX748" s="340">
        <v>403.01</v>
      </c>
      <c r="AY748" s="340" t="s">
        <v>314</v>
      </c>
      <c r="BH748" s="338">
        <v>604.01</v>
      </c>
      <c r="BI748" s="338" t="s">
        <v>289</v>
      </c>
      <c r="BN748" s="340">
        <v>74.12</v>
      </c>
      <c r="BO748" s="340" t="s">
        <v>340</v>
      </c>
      <c r="BP748" s="1385"/>
      <c r="BV748" s="338">
        <v>4503.1000000000004</v>
      </c>
      <c r="BW748" s="338" t="s">
        <v>295</v>
      </c>
      <c r="CB748" s="340">
        <v>4.01</v>
      </c>
      <c r="CC748" s="340" t="s">
        <v>313</v>
      </c>
      <c r="CL748" s="236">
        <v>21.05</v>
      </c>
      <c r="CM748" s="236" t="s">
        <v>324</v>
      </c>
      <c r="CR748" s="340">
        <v>75.010000000000005</v>
      </c>
      <c r="CS748" s="340" t="s">
        <v>340</v>
      </c>
      <c r="CT748" s="1384"/>
      <c r="CZ748" s="1795">
        <v>83.02</v>
      </c>
      <c r="DA748" s="338" t="s">
        <v>340</v>
      </c>
      <c r="DF748" s="340">
        <v>9601.02</v>
      </c>
      <c r="DG748" s="340" t="s">
        <v>315</v>
      </c>
      <c r="DP748" s="236">
        <v>330.12</v>
      </c>
      <c r="DQ748" s="236" t="s">
        <v>341</v>
      </c>
      <c r="DV748" s="340">
        <v>77.3</v>
      </c>
      <c r="DW748" s="340" t="s">
        <v>340</v>
      </c>
      <c r="DX748" s="1671"/>
      <c r="EB748" s="618"/>
      <c r="EC748" s="618"/>
      <c r="ED748" s="618"/>
      <c r="EE748" s="618"/>
      <c r="EF748" s="618"/>
      <c r="EG748" s="618"/>
      <c r="EH748" s="618"/>
      <c r="EI748" s="618"/>
      <c r="EJ748" s="618"/>
      <c r="EK748" s="618"/>
      <c r="EL748" s="618"/>
      <c r="EM748" s="618"/>
    </row>
    <row r="749" spans="6:143">
      <c r="F749" s="338">
        <v>269.12</v>
      </c>
      <c r="G749" s="338" t="s">
        <v>342</v>
      </c>
      <c r="L749" s="2481">
        <v>9606.02</v>
      </c>
      <c r="M749" s="340" t="s">
        <v>315</v>
      </c>
      <c r="N749" s="1390"/>
      <c r="O749" s="2479"/>
      <c r="P749" s="2282"/>
      <c r="AA749" s="338">
        <v>604.02</v>
      </c>
      <c r="AB749" s="338" t="s">
        <v>289</v>
      </c>
      <c r="AG749" s="2297">
        <v>77.42</v>
      </c>
      <c r="AH749" s="2297" t="s">
        <v>340</v>
      </c>
      <c r="AI749" s="1390"/>
      <c r="AJ749" s="2282"/>
      <c r="AK749" s="2282"/>
      <c r="AL749" s="1037"/>
      <c r="AR749" s="338">
        <v>123.07</v>
      </c>
      <c r="AS749" s="338" t="s">
        <v>344</v>
      </c>
      <c r="AX749" s="340">
        <v>403.02</v>
      </c>
      <c r="AY749" s="340" t="s">
        <v>314</v>
      </c>
      <c r="BH749" s="338">
        <v>607</v>
      </c>
      <c r="BI749" s="338" t="s">
        <v>288</v>
      </c>
      <c r="BN749" s="340">
        <v>74.14</v>
      </c>
      <c r="BO749" s="340" t="s">
        <v>340</v>
      </c>
      <c r="BP749" s="1385"/>
      <c r="BV749" s="338">
        <v>4504.01</v>
      </c>
      <c r="BW749" s="338" t="s">
        <v>295</v>
      </c>
      <c r="CB749" s="340">
        <v>4.03</v>
      </c>
      <c r="CC749" s="340" t="s">
        <v>313</v>
      </c>
      <c r="CL749" s="236">
        <v>21.06</v>
      </c>
      <c r="CM749" s="236" t="s">
        <v>324</v>
      </c>
      <c r="CR749" s="340">
        <v>75.03</v>
      </c>
      <c r="CS749" s="340" t="s">
        <v>331</v>
      </c>
      <c r="CT749" s="1384"/>
      <c r="CZ749" s="1795">
        <v>302.02999999999997</v>
      </c>
      <c r="DA749" s="338" t="s">
        <v>341</v>
      </c>
      <c r="DF749" s="340">
        <v>9601.0400000000009</v>
      </c>
      <c r="DG749" s="340" t="s">
        <v>315</v>
      </c>
      <c r="DP749" s="236">
        <v>330.13</v>
      </c>
      <c r="DQ749" s="236" t="s">
        <v>341</v>
      </c>
      <c r="DV749" s="340">
        <v>77.31</v>
      </c>
      <c r="DW749" s="340" t="s">
        <v>340</v>
      </c>
      <c r="DX749" s="1671"/>
      <c r="EB749" s="618"/>
      <c r="EC749" s="618"/>
      <c r="ED749" s="618"/>
      <c r="EE749" s="618"/>
      <c r="EF749" s="618"/>
      <c r="EG749" s="618"/>
      <c r="EH749" s="618"/>
      <c r="EI749" s="618"/>
      <c r="EJ749" s="618"/>
      <c r="EK749" s="618"/>
      <c r="EL749" s="618"/>
      <c r="EM749" s="618"/>
    </row>
    <row r="750" spans="6:143">
      <c r="F750" s="338">
        <v>271.08</v>
      </c>
      <c r="G750" s="338" t="s">
        <v>342</v>
      </c>
      <c r="L750" s="2481">
        <v>9607</v>
      </c>
      <c r="M750" s="340" t="s">
        <v>315</v>
      </c>
      <c r="N750" s="1390"/>
      <c r="O750" s="2479"/>
      <c r="P750" s="2282"/>
      <c r="AA750" s="338">
        <v>604.04</v>
      </c>
      <c r="AB750" s="338" t="s">
        <v>289</v>
      </c>
      <c r="AG750" s="2297">
        <v>77.430000000000007</v>
      </c>
      <c r="AH750" s="2297" t="s">
        <v>340</v>
      </c>
      <c r="AI750" s="1390"/>
      <c r="AJ750" s="2282"/>
      <c r="AK750" s="2282"/>
      <c r="AL750" s="1037"/>
      <c r="AR750" s="338">
        <v>126.01</v>
      </c>
      <c r="AS750" s="338" t="s">
        <v>344</v>
      </c>
      <c r="AX750" s="340">
        <v>403.03</v>
      </c>
      <c r="AY750" s="340" t="s">
        <v>314</v>
      </c>
      <c r="BH750" s="338">
        <v>611</v>
      </c>
      <c r="BI750" s="338" t="s">
        <v>289</v>
      </c>
      <c r="BN750" s="340">
        <v>74.2</v>
      </c>
      <c r="BO750" s="340" t="s">
        <v>340</v>
      </c>
      <c r="BP750" s="1385"/>
      <c r="BV750" s="338">
        <v>4504.0200000000004</v>
      </c>
      <c r="BW750" s="338" t="s">
        <v>295</v>
      </c>
      <c r="CB750" s="340">
        <v>4.04</v>
      </c>
      <c r="CC750" s="340" t="s">
        <v>313</v>
      </c>
      <c r="CL750" s="338">
        <v>22</v>
      </c>
      <c r="CM750" s="338" t="s">
        <v>285</v>
      </c>
      <c r="CR750" s="340">
        <v>75.040000000000006</v>
      </c>
      <c r="CS750" s="340" t="s">
        <v>340</v>
      </c>
      <c r="CT750" s="1384"/>
      <c r="CZ750" s="1795">
        <v>302.04000000000002</v>
      </c>
      <c r="DA750" s="338" t="s">
        <v>341</v>
      </c>
      <c r="DF750" s="340">
        <v>9604.02</v>
      </c>
      <c r="DG750" s="340" t="s">
        <v>315</v>
      </c>
      <c r="DP750" s="236">
        <v>330.14</v>
      </c>
      <c r="DQ750" s="236" t="s">
        <v>341</v>
      </c>
      <c r="DV750" s="340">
        <v>77.349999999999994</v>
      </c>
      <c r="DW750" s="340" t="s">
        <v>340</v>
      </c>
      <c r="DX750" s="1671"/>
      <c r="EB750" s="618"/>
      <c r="EC750" s="618"/>
      <c r="ED750" s="618"/>
      <c r="EE750" s="618"/>
      <c r="EF750" s="618"/>
      <c r="EG750" s="618"/>
      <c r="EH750" s="618"/>
      <c r="EI750" s="618"/>
      <c r="EJ750" s="618"/>
      <c r="EK750" s="618"/>
      <c r="EL750" s="618"/>
      <c r="EM750" s="618"/>
    </row>
    <row r="751" spans="6:143">
      <c r="F751" s="338">
        <v>281.02999999999997</v>
      </c>
      <c r="G751" s="338" t="s">
        <v>342</v>
      </c>
      <c r="L751" s="2481">
        <v>9610</v>
      </c>
      <c r="M751" s="340" t="s">
        <v>315</v>
      </c>
      <c r="N751" s="1390"/>
      <c r="O751" s="2479"/>
      <c r="P751" s="2282"/>
      <c r="AA751" s="338">
        <v>607</v>
      </c>
      <c r="AB751" s="338" t="s">
        <v>288</v>
      </c>
      <c r="AG751" s="2297">
        <v>77.48</v>
      </c>
      <c r="AH751" s="2297" t="s">
        <v>340</v>
      </c>
      <c r="AI751" s="1390"/>
      <c r="AJ751" s="2282"/>
      <c r="AK751" s="2282"/>
      <c r="AL751" s="1037"/>
      <c r="AR751" s="338">
        <v>126.02</v>
      </c>
      <c r="AS751" s="338" t="s">
        <v>344</v>
      </c>
      <c r="AX751" s="340">
        <v>407.01</v>
      </c>
      <c r="AY751" s="340" t="s">
        <v>314</v>
      </c>
      <c r="BH751" s="338">
        <v>623.02</v>
      </c>
      <c r="BI751" s="338" t="s">
        <v>288</v>
      </c>
      <c r="BN751" s="340">
        <v>74.209999999999994</v>
      </c>
      <c r="BO751" s="340" t="s">
        <v>340</v>
      </c>
      <c r="BP751" s="1385"/>
      <c r="BV751" s="338">
        <v>4505.01</v>
      </c>
      <c r="BW751" s="338" t="s">
        <v>295</v>
      </c>
      <c r="CB751" s="340">
        <v>401.02</v>
      </c>
      <c r="CC751" s="340" t="s">
        <v>314</v>
      </c>
      <c r="CL751" s="236">
        <v>22</v>
      </c>
      <c r="CM751" s="236" t="s">
        <v>302</v>
      </c>
      <c r="CR751" s="340">
        <v>75.05</v>
      </c>
      <c r="CS751" s="340" t="s">
        <v>340</v>
      </c>
      <c r="CT751" s="1384"/>
      <c r="CZ751" s="1795">
        <v>304.05</v>
      </c>
      <c r="DA751" s="338" t="s">
        <v>341</v>
      </c>
      <c r="DF751" s="340">
        <v>9605.0300000000007</v>
      </c>
      <c r="DG751" s="340" t="s">
        <v>315</v>
      </c>
      <c r="DP751" s="236">
        <v>331.01</v>
      </c>
      <c r="DQ751" s="236" t="s">
        <v>341</v>
      </c>
      <c r="DV751" s="340">
        <v>77.36</v>
      </c>
      <c r="DW751" s="340" t="s">
        <v>340</v>
      </c>
      <c r="DX751" s="1671"/>
      <c r="EB751" s="618"/>
      <c r="EC751" s="618"/>
      <c r="ED751" s="618"/>
      <c r="EE751" s="618"/>
      <c r="EF751" s="618"/>
      <c r="EG751" s="618"/>
      <c r="EH751" s="618"/>
      <c r="EI751" s="618"/>
      <c r="EJ751" s="618"/>
      <c r="EK751" s="618"/>
      <c r="EL751" s="618"/>
      <c r="EM751" s="618"/>
    </row>
    <row r="752" spans="6:143">
      <c r="F752" s="338">
        <v>287</v>
      </c>
      <c r="G752" s="338" t="s">
        <v>342</v>
      </c>
      <c r="L752" s="2481">
        <v>9613.01</v>
      </c>
      <c r="M752" s="340" t="s">
        <v>315</v>
      </c>
      <c r="N752" s="1390"/>
      <c r="O752" s="2479"/>
      <c r="P752" s="2282"/>
      <c r="AA752" s="338">
        <v>621.14</v>
      </c>
      <c r="AB752" s="338" t="s">
        <v>288</v>
      </c>
      <c r="AG752" s="2297">
        <v>77.489999999999995</v>
      </c>
      <c r="AH752" s="2297" t="s">
        <v>340</v>
      </c>
      <c r="AI752" s="1390"/>
      <c r="AJ752" s="2282"/>
      <c r="AK752" s="2282"/>
      <c r="AL752" s="1037"/>
      <c r="AR752" s="338">
        <v>130.02000000000001</v>
      </c>
      <c r="AS752" s="338" t="s">
        <v>344</v>
      </c>
      <c r="AX752" s="340">
        <v>407.02</v>
      </c>
      <c r="AY752" s="340" t="s">
        <v>314</v>
      </c>
      <c r="BH752" s="338">
        <v>624.01</v>
      </c>
      <c r="BI752" s="338" t="s">
        <v>288</v>
      </c>
      <c r="BN752" s="340">
        <v>75.010000000000005</v>
      </c>
      <c r="BO752" s="340" t="s">
        <v>331</v>
      </c>
      <c r="BP752" s="1385"/>
      <c r="BV752" s="338">
        <v>4505.0200000000004</v>
      </c>
      <c r="BW752" s="338" t="s">
        <v>295</v>
      </c>
      <c r="CB752" s="340">
        <v>403.01</v>
      </c>
      <c r="CC752" s="340" t="s">
        <v>314</v>
      </c>
      <c r="CL752" s="236">
        <v>22</v>
      </c>
      <c r="CM752" s="236" t="s">
        <v>304</v>
      </c>
      <c r="CR752" s="340">
        <v>76.010000000000005</v>
      </c>
      <c r="CS752" s="340" t="s">
        <v>331</v>
      </c>
      <c r="CT752" s="1384"/>
      <c r="CZ752" s="1795">
        <v>304.07</v>
      </c>
      <c r="DA752" s="338" t="s">
        <v>341</v>
      </c>
      <c r="DF752" s="340">
        <v>9606.01</v>
      </c>
      <c r="DG752" s="340" t="s">
        <v>315</v>
      </c>
      <c r="DP752" s="236">
        <v>401.09</v>
      </c>
      <c r="DQ752" s="236" t="s">
        <v>323</v>
      </c>
      <c r="DV752" s="340">
        <v>77.38</v>
      </c>
      <c r="DW752" s="340" t="s">
        <v>340</v>
      </c>
      <c r="DX752" s="1671"/>
      <c r="EB752" s="618"/>
      <c r="EC752" s="618"/>
      <c r="ED752" s="618"/>
      <c r="EE752" s="618"/>
      <c r="EF752" s="618"/>
      <c r="EG752" s="618"/>
      <c r="EH752" s="618"/>
      <c r="EI752" s="618"/>
      <c r="EJ752" s="618"/>
      <c r="EK752" s="618"/>
      <c r="EL752" s="618"/>
      <c r="EM752" s="618"/>
    </row>
    <row r="753" spans="6:143">
      <c r="F753" s="338">
        <v>108</v>
      </c>
      <c r="G753" s="338" t="s">
        <v>344</v>
      </c>
      <c r="L753" s="2481">
        <v>9613.0400000000009</v>
      </c>
      <c r="M753" s="340" t="s">
        <v>315</v>
      </c>
      <c r="N753" s="1390"/>
      <c r="O753" s="2479"/>
      <c r="P753" s="2282"/>
      <c r="AA753" s="338">
        <v>623.02</v>
      </c>
      <c r="AB753" s="338" t="s">
        <v>288</v>
      </c>
      <c r="AG753" s="2297">
        <v>77.510000000000005</v>
      </c>
      <c r="AH753" s="2297" t="s">
        <v>340</v>
      </c>
      <c r="AI753" s="1390"/>
      <c r="AJ753" s="2282"/>
      <c r="AK753" s="2282"/>
      <c r="AL753" s="1037"/>
      <c r="AR753" s="338">
        <v>131.02000000000001</v>
      </c>
      <c r="AS753" s="338" t="s">
        <v>344</v>
      </c>
      <c r="AX753" s="340">
        <v>409.06</v>
      </c>
      <c r="AY753" s="340" t="s">
        <v>314</v>
      </c>
      <c r="BH753" s="338">
        <v>624.02</v>
      </c>
      <c r="BI753" s="338" t="s">
        <v>288</v>
      </c>
      <c r="BN753" s="340">
        <v>75.010000000000005</v>
      </c>
      <c r="BO753" s="340" t="s">
        <v>340</v>
      </c>
      <c r="BP753" s="1385"/>
      <c r="BV753" s="338">
        <v>4506.01</v>
      </c>
      <c r="BW753" s="338" t="s">
        <v>295</v>
      </c>
      <c r="CB753" s="340">
        <v>403.03</v>
      </c>
      <c r="CC753" s="340" t="s">
        <v>314</v>
      </c>
      <c r="CL753" s="236">
        <v>22</v>
      </c>
      <c r="CM753" s="236" t="s">
        <v>316</v>
      </c>
      <c r="CR753" s="340">
        <v>76.03</v>
      </c>
      <c r="CS753" s="340" t="s">
        <v>340</v>
      </c>
      <c r="CT753" s="1384"/>
      <c r="CZ753" s="1795">
        <v>304.08</v>
      </c>
      <c r="DA753" s="338" t="s">
        <v>341</v>
      </c>
      <c r="DF753" s="340">
        <v>9606.02</v>
      </c>
      <c r="DG753" s="340" t="s">
        <v>315</v>
      </c>
      <c r="DP753" s="236">
        <v>401.21</v>
      </c>
      <c r="DQ753" s="236" t="s">
        <v>323</v>
      </c>
      <c r="DV753" s="340">
        <v>77.39</v>
      </c>
      <c r="DW753" s="340" t="s">
        <v>340</v>
      </c>
      <c r="DX753" s="1671"/>
      <c r="EB753" s="618"/>
      <c r="EC753" s="618"/>
      <c r="ED753" s="618"/>
      <c r="EE753" s="618"/>
      <c r="EF753" s="618"/>
      <c r="EG753" s="618"/>
      <c r="EH753" s="618"/>
      <c r="EI753" s="618"/>
      <c r="EJ753" s="618"/>
      <c r="EK753" s="618"/>
      <c r="EL753" s="618"/>
      <c r="EM753" s="618"/>
    </row>
    <row r="754" spans="6:143">
      <c r="F754" s="338">
        <v>109</v>
      </c>
      <c r="G754" s="338" t="s">
        <v>344</v>
      </c>
      <c r="L754" s="2481">
        <v>9614.01</v>
      </c>
      <c r="M754" s="340" t="s">
        <v>315</v>
      </c>
      <c r="N754" s="1390"/>
      <c r="O754" s="2479"/>
      <c r="P754" s="2282"/>
      <c r="AA754" s="338">
        <v>624.02</v>
      </c>
      <c r="AB754" s="338" t="s">
        <v>288</v>
      </c>
      <c r="AG754" s="2297">
        <v>77.52</v>
      </c>
      <c r="AH754" s="2297" t="s">
        <v>340</v>
      </c>
      <c r="AI754" s="1390"/>
      <c r="AJ754" s="2282"/>
      <c r="AK754" s="2282"/>
      <c r="AL754" s="1037"/>
      <c r="AR754" s="338">
        <v>131.03</v>
      </c>
      <c r="AS754" s="338" t="s">
        <v>344</v>
      </c>
      <c r="AX754" s="340">
        <v>409.07</v>
      </c>
      <c r="AY754" s="340" t="s">
        <v>314</v>
      </c>
      <c r="BH754" s="338">
        <v>625</v>
      </c>
      <c r="BI754" s="338" t="s">
        <v>288</v>
      </c>
      <c r="BN754" s="340">
        <v>75.03</v>
      </c>
      <c r="BO754" s="340" t="s">
        <v>331</v>
      </c>
      <c r="BP754" s="1385"/>
      <c r="BV754" s="338">
        <v>4506.0200000000004</v>
      </c>
      <c r="BW754" s="338" t="s">
        <v>295</v>
      </c>
      <c r="CB754" s="340">
        <v>404</v>
      </c>
      <c r="CC754" s="340" t="s">
        <v>314</v>
      </c>
      <c r="CL754" s="236">
        <v>22</v>
      </c>
      <c r="CM754" s="236" t="s">
        <v>340</v>
      </c>
      <c r="CR754" s="340">
        <v>76.040000000000006</v>
      </c>
      <c r="CS754" s="340" t="s">
        <v>340</v>
      </c>
      <c r="CT754" s="1384"/>
      <c r="CZ754" s="1795">
        <v>304.10000000000002</v>
      </c>
      <c r="DA754" s="338" t="s">
        <v>341</v>
      </c>
      <c r="DF754" s="340">
        <v>9607</v>
      </c>
      <c r="DG754" s="340" t="s">
        <v>315</v>
      </c>
      <c r="DP754" s="236">
        <v>401.22</v>
      </c>
      <c r="DQ754" s="236" t="s">
        <v>323</v>
      </c>
      <c r="DV754" s="340">
        <v>77.400000000000006</v>
      </c>
      <c r="DW754" s="340" t="s">
        <v>340</v>
      </c>
      <c r="DX754" s="1671"/>
      <c r="EB754" s="618"/>
      <c r="EC754" s="618"/>
      <c r="ED754" s="618"/>
      <c r="EE754" s="618"/>
      <c r="EF754" s="618"/>
      <c r="EG754" s="618"/>
      <c r="EH754" s="618"/>
      <c r="EI754" s="618"/>
      <c r="EJ754" s="618"/>
      <c r="EK754" s="618"/>
      <c r="EL754" s="618"/>
      <c r="EM754" s="618"/>
    </row>
    <row r="755" spans="6:143">
      <c r="F755" s="338">
        <v>110</v>
      </c>
      <c r="G755" s="338" t="s">
        <v>344</v>
      </c>
      <c r="L755" s="2481">
        <v>9615</v>
      </c>
      <c r="M755" s="340" t="s">
        <v>315</v>
      </c>
      <c r="N755" s="1390"/>
      <c r="O755" s="2479"/>
      <c r="P755" s="2282"/>
      <c r="AA755" s="338">
        <v>625</v>
      </c>
      <c r="AB755" s="338" t="s">
        <v>288</v>
      </c>
      <c r="AG755" s="2297">
        <v>77.540000000000006</v>
      </c>
      <c r="AH755" s="2297" t="s">
        <v>340</v>
      </c>
      <c r="AI755" s="1390"/>
      <c r="AJ755" s="2282"/>
      <c r="AK755" s="2282"/>
      <c r="AL755" s="1037"/>
      <c r="AR755" s="338">
        <v>132</v>
      </c>
      <c r="AS755" s="338" t="s">
        <v>344</v>
      </c>
      <c r="AX755" s="340">
        <v>409.08</v>
      </c>
      <c r="AY755" s="340" t="s">
        <v>314</v>
      </c>
      <c r="BH755" s="338">
        <v>626</v>
      </c>
      <c r="BI755" s="338" t="s">
        <v>288</v>
      </c>
      <c r="BN755" s="340">
        <v>75.040000000000006</v>
      </c>
      <c r="BO755" s="340" t="s">
        <v>340</v>
      </c>
      <c r="BP755" s="1385"/>
      <c r="BV755" s="338">
        <v>4507.03</v>
      </c>
      <c r="BW755" s="338" t="s">
        <v>295</v>
      </c>
      <c r="CB755" s="340">
        <v>407.01</v>
      </c>
      <c r="CC755" s="340" t="s">
        <v>314</v>
      </c>
      <c r="CL755" s="338">
        <v>22.01</v>
      </c>
      <c r="CM755" s="338" t="s">
        <v>276</v>
      </c>
      <c r="CR755" s="340">
        <v>76.05</v>
      </c>
      <c r="CS755" s="340" t="s">
        <v>331</v>
      </c>
      <c r="CT755" s="1384"/>
      <c r="CZ755" s="1795">
        <v>304.12</v>
      </c>
      <c r="DA755" s="338" t="s">
        <v>341</v>
      </c>
      <c r="DF755" s="340">
        <v>9610</v>
      </c>
      <c r="DG755" s="340" t="s">
        <v>315</v>
      </c>
      <c r="DP755" s="236">
        <v>402.1</v>
      </c>
      <c r="DQ755" s="236" t="s">
        <v>323</v>
      </c>
      <c r="DV755" s="340">
        <v>77.41</v>
      </c>
      <c r="DW755" s="340" t="s">
        <v>340</v>
      </c>
      <c r="DX755" s="1671"/>
      <c r="EB755" s="618"/>
      <c r="EC755" s="618"/>
      <c r="ED755" s="618"/>
      <c r="EE755" s="618"/>
      <c r="EF755" s="618"/>
      <c r="EG755" s="618"/>
      <c r="EH755" s="618"/>
      <c r="EI755" s="618"/>
      <c r="EJ755" s="618"/>
      <c r="EK755" s="618"/>
      <c r="EL755" s="618"/>
      <c r="EM755" s="618"/>
    </row>
    <row r="756" spans="6:143">
      <c r="F756" s="338">
        <v>112.02</v>
      </c>
      <c r="G756" s="338" t="s">
        <v>344</v>
      </c>
      <c r="L756" s="2481">
        <v>9616.01</v>
      </c>
      <c r="M756" s="340" t="s">
        <v>315</v>
      </c>
      <c r="N756" s="1390"/>
      <c r="O756" s="2479"/>
      <c r="P756" s="2282"/>
      <c r="AA756" s="338">
        <v>642.02</v>
      </c>
      <c r="AB756" s="338" t="s">
        <v>288</v>
      </c>
      <c r="AG756" s="2297">
        <v>77.569999999999993</v>
      </c>
      <c r="AH756" s="2297" t="s">
        <v>340</v>
      </c>
      <c r="AI756" s="1390"/>
      <c r="AJ756" s="2282"/>
      <c r="AK756" s="2282"/>
      <c r="AL756" s="1037"/>
      <c r="AR756" s="338">
        <v>133</v>
      </c>
      <c r="AS756" s="338" t="s">
        <v>344</v>
      </c>
      <c r="AX756" s="340">
        <v>409.09</v>
      </c>
      <c r="AY756" s="340" t="s">
        <v>314</v>
      </c>
      <c r="BH756" s="338">
        <v>642.02</v>
      </c>
      <c r="BI756" s="338" t="s">
        <v>288</v>
      </c>
      <c r="BN756" s="340">
        <v>75.05</v>
      </c>
      <c r="BO756" s="340" t="s">
        <v>340</v>
      </c>
      <c r="BP756" s="1385"/>
      <c r="BV756" s="338">
        <v>4507.04</v>
      </c>
      <c r="BW756" s="338" t="s">
        <v>295</v>
      </c>
      <c r="CB756" s="340">
        <v>407.02</v>
      </c>
      <c r="CC756" s="340" t="s">
        <v>314</v>
      </c>
      <c r="CL756" s="236">
        <v>22.01</v>
      </c>
      <c r="CM756" s="236" t="s">
        <v>324</v>
      </c>
      <c r="CR756" s="340">
        <v>76.05</v>
      </c>
      <c r="CS756" s="340" t="s">
        <v>340</v>
      </c>
      <c r="CT756" s="1384"/>
      <c r="CZ756" s="1795">
        <v>305.01</v>
      </c>
      <c r="DA756" s="338" t="s">
        <v>341</v>
      </c>
      <c r="DF756" s="340">
        <v>9613.01</v>
      </c>
      <c r="DG756" s="340" t="s">
        <v>315</v>
      </c>
      <c r="DP756" s="236">
        <v>403.04</v>
      </c>
      <c r="DQ756" s="236" t="s">
        <v>323</v>
      </c>
      <c r="DV756" s="340">
        <v>77.430000000000007</v>
      </c>
      <c r="DW756" s="340" t="s">
        <v>340</v>
      </c>
      <c r="DX756" s="1671"/>
      <c r="EB756" s="618"/>
      <c r="EC756" s="618"/>
      <c r="ED756" s="618"/>
      <c r="EE756" s="618"/>
      <c r="EF756" s="618"/>
      <c r="EG756" s="618"/>
      <c r="EH756" s="618"/>
      <c r="EI756" s="618"/>
      <c r="EJ756" s="618"/>
      <c r="EK756" s="618"/>
      <c r="EL756" s="618"/>
      <c r="EM756" s="618"/>
    </row>
    <row r="757" spans="6:143">
      <c r="F757" s="338">
        <v>112.03</v>
      </c>
      <c r="G757" s="338" t="s">
        <v>344</v>
      </c>
      <c r="L757" s="2481">
        <v>9616.02</v>
      </c>
      <c r="M757" s="340" t="s">
        <v>315</v>
      </c>
      <c r="N757" s="1390"/>
      <c r="O757" s="2479"/>
      <c r="P757" s="2282"/>
      <c r="AA757" s="338">
        <v>647.01</v>
      </c>
      <c r="AB757" s="338" t="s">
        <v>288</v>
      </c>
      <c r="AG757" s="2297">
        <v>77.58</v>
      </c>
      <c r="AH757" s="2297" t="s">
        <v>340</v>
      </c>
      <c r="AI757" s="1390"/>
      <c r="AJ757" s="2282"/>
      <c r="AK757" s="2282"/>
      <c r="AL757" s="1037"/>
      <c r="AR757" s="338">
        <v>134</v>
      </c>
      <c r="AS757" s="338" t="s">
        <v>344</v>
      </c>
      <c r="AX757" s="340">
        <v>409.1</v>
      </c>
      <c r="AY757" s="340" t="s">
        <v>314</v>
      </c>
      <c r="BH757" s="338">
        <v>645</v>
      </c>
      <c r="BI757" s="338" t="s">
        <v>288</v>
      </c>
      <c r="BN757" s="340">
        <v>76.010000000000005</v>
      </c>
      <c r="BO757" s="340" t="s">
        <v>331</v>
      </c>
      <c r="BP757" s="1385"/>
      <c r="BV757" s="338">
        <v>4507.05</v>
      </c>
      <c r="BW757" s="338" t="s">
        <v>295</v>
      </c>
      <c r="CB757" s="340">
        <v>409.06</v>
      </c>
      <c r="CC757" s="340" t="s">
        <v>314</v>
      </c>
      <c r="CL757" s="236">
        <v>22.01</v>
      </c>
      <c r="CM757" s="236" t="s">
        <v>329</v>
      </c>
      <c r="CR757" s="340">
        <v>76.069999999999993</v>
      </c>
      <c r="CS757" s="340" t="s">
        <v>331</v>
      </c>
      <c r="CT757" s="1384"/>
      <c r="CZ757" s="1795">
        <v>305.02</v>
      </c>
      <c r="DA757" s="338" t="s">
        <v>341</v>
      </c>
      <c r="DF757" s="340">
        <v>9613.0400000000009</v>
      </c>
      <c r="DG757" s="340" t="s">
        <v>315</v>
      </c>
      <c r="DP757" s="236">
        <v>403.05</v>
      </c>
      <c r="DQ757" s="236" t="s">
        <v>323</v>
      </c>
      <c r="DV757" s="340">
        <v>77.48</v>
      </c>
      <c r="DW757" s="340" t="s">
        <v>340</v>
      </c>
      <c r="DX757" s="1671"/>
      <c r="EB757" s="618"/>
      <c r="EC757" s="618"/>
      <c r="ED757" s="618"/>
      <c r="EE757" s="618"/>
      <c r="EF757" s="618"/>
      <c r="EG757" s="618"/>
      <c r="EH757" s="618"/>
      <c r="EI757" s="618"/>
      <c r="EJ757" s="618"/>
      <c r="EK757" s="618"/>
      <c r="EL757" s="618"/>
      <c r="EM757" s="618"/>
    </row>
    <row r="758" spans="6:143">
      <c r="F758" s="338">
        <v>112.04</v>
      </c>
      <c r="G758" s="338" t="s">
        <v>344</v>
      </c>
      <c r="L758" s="2481">
        <v>1.01</v>
      </c>
      <c r="M758" s="340" t="s">
        <v>316</v>
      </c>
      <c r="N758" s="1390"/>
      <c r="O758" s="2479"/>
      <c r="P758" s="2282"/>
      <c r="AA758" s="338">
        <v>648</v>
      </c>
      <c r="AB758" s="338" t="s">
        <v>288</v>
      </c>
      <c r="AG758" s="2297">
        <v>77.59</v>
      </c>
      <c r="AH758" s="2297" t="s">
        <v>340</v>
      </c>
      <c r="AI758" s="1390"/>
      <c r="AJ758" s="2282"/>
      <c r="AK758" s="2282"/>
      <c r="AL758" s="1037"/>
      <c r="AR758" s="338">
        <v>136.01</v>
      </c>
      <c r="AS758" s="338" t="s">
        <v>344</v>
      </c>
      <c r="AX758" s="340">
        <v>409.11</v>
      </c>
      <c r="AY758" s="340" t="s">
        <v>314</v>
      </c>
      <c r="BH758" s="338">
        <v>648</v>
      </c>
      <c r="BI758" s="338" t="s">
        <v>288</v>
      </c>
      <c r="BN758" s="340">
        <v>76.03</v>
      </c>
      <c r="BO758" s="340" t="s">
        <v>331</v>
      </c>
      <c r="BP758" s="1385"/>
      <c r="BV758" s="338">
        <v>4507.0600000000004</v>
      </c>
      <c r="BW758" s="338" t="s">
        <v>295</v>
      </c>
      <c r="CB758" s="340">
        <v>409.07</v>
      </c>
      <c r="CC758" s="340" t="s">
        <v>314</v>
      </c>
      <c r="CL758" s="236">
        <v>22.01</v>
      </c>
      <c r="CM758" s="236" t="s">
        <v>331</v>
      </c>
      <c r="CR758" s="340">
        <v>76.08</v>
      </c>
      <c r="CS758" s="340" t="s">
        <v>331</v>
      </c>
      <c r="CT758" s="1384"/>
      <c r="CZ758" s="1795">
        <v>306.01</v>
      </c>
      <c r="DA758" s="338" t="s">
        <v>341</v>
      </c>
      <c r="DF758" s="340">
        <v>9614.01</v>
      </c>
      <c r="DG758" s="340" t="s">
        <v>315</v>
      </c>
      <c r="DP758" s="236">
        <v>403.11</v>
      </c>
      <c r="DQ758" s="236" t="s">
        <v>323</v>
      </c>
      <c r="DV758" s="340">
        <v>77.489999999999995</v>
      </c>
      <c r="DW758" s="340" t="s">
        <v>340</v>
      </c>
      <c r="DX758" s="1671"/>
      <c r="EB758" s="618"/>
      <c r="EC758" s="618"/>
      <c r="ED758" s="618"/>
      <c r="EE758" s="618"/>
      <c r="EF758" s="618"/>
      <c r="EG758" s="618"/>
      <c r="EH758" s="618"/>
      <c r="EI758" s="618"/>
      <c r="EJ758" s="618"/>
      <c r="EK758" s="618"/>
      <c r="EL758" s="618"/>
      <c r="EM758" s="618"/>
    </row>
    <row r="759" spans="6:143">
      <c r="F759" s="338">
        <v>113</v>
      </c>
      <c r="G759" s="338" t="s">
        <v>344</v>
      </c>
      <c r="L759" s="2481">
        <v>5</v>
      </c>
      <c r="M759" s="340" t="s">
        <v>316</v>
      </c>
      <c r="N759" s="1390"/>
      <c r="O759" s="2479"/>
      <c r="P759" s="2282"/>
      <c r="AA759" s="338">
        <v>649.02</v>
      </c>
      <c r="AB759" s="338" t="s">
        <v>288</v>
      </c>
      <c r="AG759" s="2297">
        <v>77.63</v>
      </c>
      <c r="AH759" s="2297" t="s">
        <v>340</v>
      </c>
      <c r="AI759" s="1390"/>
      <c r="AJ759" s="2282"/>
      <c r="AK759" s="2282"/>
      <c r="AL759" s="1037"/>
      <c r="AR759" s="338">
        <v>136.02000000000001</v>
      </c>
      <c r="AS759" s="338" t="s">
        <v>344</v>
      </c>
      <c r="AX759" s="340">
        <v>409.12</v>
      </c>
      <c r="AY759" s="340" t="s">
        <v>314</v>
      </c>
      <c r="BH759" s="338">
        <v>649.02</v>
      </c>
      <c r="BI759" s="338" t="s">
        <v>288</v>
      </c>
      <c r="BN759" s="340">
        <v>76.03</v>
      </c>
      <c r="BO759" s="340" t="s">
        <v>340</v>
      </c>
      <c r="BP759" s="1385"/>
      <c r="BV759" s="338">
        <v>4508</v>
      </c>
      <c r="BW759" s="338" t="s">
        <v>295</v>
      </c>
      <c r="CB759" s="340">
        <v>409.08</v>
      </c>
      <c r="CC759" s="340" t="s">
        <v>314</v>
      </c>
      <c r="CL759" s="236">
        <v>22.01</v>
      </c>
      <c r="CM759" s="236" t="s">
        <v>347</v>
      </c>
      <c r="CR759" s="340">
        <v>76.09</v>
      </c>
      <c r="CS759" s="340" t="s">
        <v>331</v>
      </c>
      <c r="CT759" s="1384"/>
      <c r="CZ759" s="1795">
        <v>306.02</v>
      </c>
      <c r="DA759" s="338" t="s">
        <v>341</v>
      </c>
      <c r="DF759" s="340">
        <v>9615</v>
      </c>
      <c r="DG759" s="340" t="s">
        <v>315</v>
      </c>
      <c r="DP759" s="236">
        <v>404</v>
      </c>
      <c r="DQ759" s="236" t="s">
        <v>314</v>
      </c>
      <c r="DV759" s="340">
        <v>77.5</v>
      </c>
      <c r="DW759" s="340" t="s">
        <v>340</v>
      </c>
      <c r="DX759" s="1671"/>
      <c r="EB759" s="618"/>
      <c r="EC759" s="618"/>
      <c r="ED759" s="618"/>
      <c r="EE759" s="618"/>
      <c r="EF759" s="618"/>
      <c r="EG759" s="618"/>
      <c r="EH759" s="618"/>
      <c r="EI759" s="618"/>
      <c r="EJ759" s="618"/>
      <c r="EK759" s="618"/>
      <c r="EL759" s="618"/>
      <c r="EM759" s="618"/>
    </row>
    <row r="760" spans="6:143">
      <c r="F760" s="338">
        <v>115.01</v>
      </c>
      <c r="G760" s="338" t="s">
        <v>344</v>
      </c>
      <c r="L760" s="2481">
        <v>11</v>
      </c>
      <c r="M760" s="340" t="s">
        <v>316</v>
      </c>
      <c r="N760" s="1390"/>
      <c r="O760" s="2479"/>
      <c r="P760" s="2282"/>
      <c r="AA760" s="338">
        <v>651.24</v>
      </c>
      <c r="AB760" s="338" t="s">
        <v>288</v>
      </c>
      <c r="AG760" s="2297">
        <v>77.64</v>
      </c>
      <c r="AH760" s="2297" t="s">
        <v>340</v>
      </c>
      <c r="AI760" s="1390"/>
      <c r="AJ760" s="2282"/>
      <c r="AK760" s="2282"/>
      <c r="AL760" s="1037"/>
      <c r="AR760" s="338">
        <v>137.01</v>
      </c>
      <c r="AS760" s="338" t="s">
        <v>344</v>
      </c>
      <c r="AX760" s="340">
        <v>409.13</v>
      </c>
      <c r="AY760" s="340" t="s">
        <v>314</v>
      </c>
      <c r="BH760" s="338">
        <v>651.24</v>
      </c>
      <c r="BI760" s="338" t="s">
        <v>288</v>
      </c>
      <c r="BN760" s="340">
        <v>76.040000000000006</v>
      </c>
      <c r="BO760" s="340" t="s">
        <v>340</v>
      </c>
      <c r="BP760" s="1385"/>
      <c r="BV760" s="338">
        <v>4509.01</v>
      </c>
      <c r="BW760" s="338" t="s">
        <v>295</v>
      </c>
      <c r="CB760" s="340">
        <v>409.09</v>
      </c>
      <c r="CC760" s="340" t="s">
        <v>314</v>
      </c>
      <c r="CL760" s="338">
        <v>22.02</v>
      </c>
      <c r="CM760" s="338" t="s">
        <v>276</v>
      </c>
      <c r="CR760" s="340">
        <v>76.099999999999994</v>
      </c>
      <c r="CS760" s="340" t="s">
        <v>331</v>
      </c>
      <c r="CT760" s="1384"/>
      <c r="CZ760" s="1795">
        <v>308</v>
      </c>
      <c r="DA760" s="338" t="s">
        <v>341</v>
      </c>
      <c r="DF760" s="340">
        <v>9616.01</v>
      </c>
      <c r="DG760" s="340" t="s">
        <v>315</v>
      </c>
      <c r="DP760" s="236">
        <v>405.01</v>
      </c>
      <c r="DQ760" s="236" t="s">
        <v>314</v>
      </c>
      <c r="DV760" s="340">
        <v>77.510000000000005</v>
      </c>
      <c r="DW760" s="340" t="s">
        <v>340</v>
      </c>
      <c r="DX760" s="1671"/>
      <c r="EB760" s="618"/>
      <c r="EC760" s="618"/>
      <c r="ED760" s="618"/>
      <c r="EE760" s="618"/>
      <c r="EF760" s="618"/>
      <c r="EG760" s="618"/>
      <c r="EH760" s="618"/>
      <c r="EI760" s="618"/>
      <c r="EJ760" s="618"/>
      <c r="EK760" s="618"/>
      <c r="EL760" s="618"/>
      <c r="EM760" s="618"/>
    </row>
    <row r="761" spans="6:143">
      <c r="F761" s="338">
        <v>117.04</v>
      </c>
      <c r="G761" s="338" t="s">
        <v>344</v>
      </c>
      <c r="L761" s="2481">
        <v>16</v>
      </c>
      <c r="M761" s="340" t="s">
        <v>316</v>
      </c>
      <c r="N761" s="1390"/>
      <c r="O761" s="2479"/>
      <c r="P761" s="2282"/>
      <c r="AA761" s="338">
        <v>651.28</v>
      </c>
      <c r="AB761" s="338" t="s">
        <v>288</v>
      </c>
      <c r="AG761" s="2297">
        <v>77.680000000000007</v>
      </c>
      <c r="AH761" s="2297" t="s">
        <v>340</v>
      </c>
      <c r="AI761" s="1390"/>
      <c r="AJ761" s="2282"/>
      <c r="AK761" s="2282"/>
      <c r="AL761" s="1037"/>
      <c r="AR761" s="338">
        <v>141.21</v>
      </c>
      <c r="AS761" s="338" t="s">
        <v>344</v>
      </c>
      <c r="AX761" s="340">
        <v>410.04</v>
      </c>
      <c r="AY761" s="340" t="s">
        <v>314</v>
      </c>
      <c r="BH761" s="338">
        <v>699.06</v>
      </c>
      <c r="BI761" s="338" t="s">
        <v>288</v>
      </c>
      <c r="BN761" s="340">
        <v>76.05</v>
      </c>
      <c r="BO761" s="340" t="s">
        <v>331</v>
      </c>
      <c r="BP761" s="1385"/>
      <c r="BV761" s="338">
        <v>4509.0200000000004</v>
      </c>
      <c r="BW761" s="338" t="s">
        <v>295</v>
      </c>
      <c r="CB761" s="340">
        <v>409.1</v>
      </c>
      <c r="CC761" s="340" t="s">
        <v>314</v>
      </c>
      <c r="CL761" s="236">
        <v>22.02</v>
      </c>
      <c r="CM761" s="236" t="s">
        <v>329</v>
      </c>
      <c r="CR761" s="340">
        <v>76.099999999999994</v>
      </c>
      <c r="CS761" s="340" t="s">
        <v>340</v>
      </c>
      <c r="CT761" s="1384"/>
      <c r="CZ761" s="1795">
        <v>309.01</v>
      </c>
      <c r="DA761" s="338" t="s">
        <v>341</v>
      </c>
      <c r="DF761" s="340">
        <v>9616.02</v>
      </c>
      <c r="DG761" s="340" t="s">
        <v>315</v>
      </c>
      <c r="DP761" s="236">
        <v>409.04</v>
      </c>
      <c r="DQ761" s="236" t="s">
        <v>339</v>
      </c>
      <c r="DV761" s="340">
        <v>77.52</v>
      </c>
      <c r="DW761" s="340" t="s">
        <v>340</v>
      </c>
      <c r="DX761" s="1671"/>
      <c r="EB761" s="618"/>
      <c r="EC761" s="618"/>
      <c r="ED761" s="618"/>
      <c r="EE761" s="618"/>
      <c r="EF761" s="618"/>
      <c r="EG761" s="618"/>
      <c r="EH761" s="618"/>
      <c r="EI761" s="618"/>
      <c r="EJ761" s="618"/>
      <c r="EK761" s="618"/>
      <c r="EL761" s="618"/>
      <c r="EM761" s="618"/>
    </row>
    <row r="762" spans="6:143">
      <c r="F762" s="338">
        <v>117.31</v>
      </c>
      <c r="G762" s="338" t="s">
        <v>344</v>
      </c>
      <c r="L762" s="2481">
        <v>17</v>
      </c>
      <c r="M762" s="340" t="s">
        <v>316</v>
      </c>
      <c r="N762" s="1390"/>
      <c r="O762" s="2479"/>
      <c r="P762" s="2282"/>
      <c r="AA762" s="338">
        <v>699.06</v>
      </c>
      <c r="AB762" s="338" t="s">
        <v>288</v>
      </c>
      <c r="AG762" s="2297">
        <v>77.7</v>
      </c>
      <c r="AH762" s="2297" t="s">
        <v>340</v>
      </c>
      <c r="AI762" s="1390"/>
      <c r="AJ762" s="2282"/>
      <c r="AK762" s="2282"/>
      <c r="AL762" s="1037"/>
      <c r="AR762" s="338">
        <v>142.01</v>
      </c>
      <c r="AS762" s="338" t="s">
        <v>344</v>
      </c>
      <c r="AX762" s="340">
        <v>410.05</v>
      </c>
      <c r="AY762" s="340" t="s">
        <v>314</v>
      </c>
      <c r="BH762" s="338">
        <v>699.07</v>
      </c>
      <c r="BI762" s="338" t="s">
        <v>288</v>
      </c>
      <c r="BN762" s="340">
        <v>76.05</v>
      </c>
      <c r="BO762" s="340" t="s">
        <v>340</v>
      </c>
      <c r="BP762" s="1385"/>
      <c r="BV762" s="338">
        <v>4510.01</v>
      </c>
      <c r="BW762" s="338" t="s">
        <v>295</v>
      </c>
      <c r="CB762" s="340">
        <v>409.11</v>
      </c>
      <c r="CC762" s="340" t="s">
        <v>314</v>
      </c>
      <c r="CL762" s="236">
        <v>22.02</v>
      </c>
      <c r="CM762" s="236" t="s">
        <v>331</v>
      </c>
      <c r="CR762" s="340">
        <v>76.12</v>
      </c>
      <c r="CS762" s="340" t="s">
        <v>340</v>
      </c>
      <c r="CT762" s="1384"/>
      <c r="CZ762" s="1795">
        <v>309.05</v>
      </c>
      <c r="DA762" s="338" t="s">
        <v>341</v>
      </c>
      <c r="DF762" s="340">
        <v>9616.0499999999993</v>
      </c>
      <c r="DG762" s="340" t="s">
        <v>315</v>
      </c>
      <c r="DP762" s="236">
        <v>410</v>
      </c>
      <c r="DQ762" s="236" t="s">
        <v>289</v>
      </c>
      <c r="DV762" s="340">
        <v>77.540000000000006</v>
      </c>
      <c r="DW762" s="340" t="s">
        <v>340</v>
      </c>
      <c r="DX762" s="1671"/>
      <c r="EB762" s="618"/>
      <c r="EC762" s="618"/>
      <c r="ED762" s="618"/>
      <c r="EE762" s="618"/>
      <c r="EF762" s="618"/>
      <c r="EG762" s="618"/>
      <c r="EH762" s="618"/>
      <c r="EI762" s="618"/>
      <c r="EJ762" s="618"/>
      <c r="EK762" s="618"/>
      <c r="EL762" s="618"/>
      <c r="EM762" s="618"/>
    </row>
    <row r="763" spans="6:143">
      <c r="F763" s="338">
        <v>120.02</v>
      </c>
      <c r="G763" s="338" t="s">
        <v>344</v>
      </c>
      <c r="L763" s="2481">
        <v>22</v>
      </c>
      <c r="M763" s="340" t="s">
        <v>316</v>
      </c>
      <c r="N763" s="1390"/>
      <c r="O763" s="2479"/>
      <c r="P763" s="2282"/>
      <c r="AA763" s="338">
        <v>701.04</v>
      </c>
      <c r="AB763" s="338" t="s">
        <v>289</v>
      </c>
      <c r="AG763" s="2297">
        <v>77.709999999999994</v>
      </c>
      <c r="AH763" s="2297" t="s">
        <v>340</v>
      </c>
      <c r="AI763" s="1390"/>
      <c r="AJ763" s="2282"/>
      <c r="AK763" s="2282"/>
      <c r="AL763" s="1037"/>
      <c r="AR763" s="338">
        <v>142.03</v>
      </c>
      <c r="AS763" s="338" t="s">
        <v>344</v>
      </c>
      <c r="AX763" s="340">
        <v>410.06</v>
      </c>
      <c r="AY763" s="340" t="s">
        <v>314</v>
      </c>
      <c r="BH763" s="338">
        <v>805</v>
      </c>
      <c r="BI763" s="338" t="s">
        <v>289</v>
      </c>
      <c r="BN763" s="340">
        <v>76.069999999999993</v>
      </c>
      <c r="BO763" s="340" t="s">
        <v>331</v>
      </c>
      <c r="BP763" s="1385"/>
      <c r="BV763" s="338">
        <v>4510.0200000000004</v>
      </c>
      <c r="BW763" s="338" t="s">
        <v>295</v>
      </c>
      <c r="CB763" s="340">
        <v>409.12</v>
      </c>
      <c r="CC763" s="340" t="s">
        <v>314</v>
      </c>
      <c r="CL763" s="236">
        <v>22.03</v>
      </c>
      <c r="CM763" s="236" t="s">
        <v>329</v>
      </c>
      <c r="CR763" s="340">
        <v>76.13</v>
      </c>
      <c r="CS763" s="340" t="s">
        <v>340</v>
      </c>
      <c r="CT763" s="1384"/>
      <c r="CZ763" s="1795">
        <v>309.06</v>
      </c>
      <c r="DA763" s="338" t="s">
        <v>341</v>
      </c>
      <c r="DF763" s="340">
        <v>11</v>
      </c>
      <c r="DG763" s="340" t="s">
        <v>316</v>
      </c>
      <c r="DP763" s="236">
        <v>410.03</v>
      </c>
      <c r="DQ763" s="236" t="s">
        <v>314</v>
      </c>
      <c r="DV763" s="340">
        <v>77.569999999999993</v>
      </c>
      <c r="DW763" s="340" t="s">
        <v>340</v>
      </c>
      <c r="DX763" s="1671"/>
      <c r="EB763" s="618"/>
      <c r="EC763" s="618"/>
      <c r="ED763" s="618"/>
      <c r="EE763" s="618"/>
      <c r="EF763" s="618"/>
      <c r="EG763" s="618"/>
      <c r="EH763" s="618"/>
      <c r="EI763" s="618"/>
      <c r="EJ763" s="618"/>
      <c r="EK763" s="618"/>
      <c r="EL763" s="618"/>
      <c r="EM763" s="618"/>
    </row>
    <row r="764" spans="6:143">
      <c r="F764" s="338">
        <v>126.02</v>
      </c>
      <c r="G764" s="338" t="s">
        <v>344</v>
      </c>
      <c r="L764" s="2481">
        <v>23</v>
      </c>
      <c r="M764" s="340" t="s">
        <v>316</v>
      </c>
      <c r="N764" s="1390"/>
      <c r="O764" s="2479"/>
      <c r="P764" s="2282"/>
      <c r="AA764" s="338">
        <v>705.04</v>
      </c>
      <c r="AB764" s="338" t="s">
        <v>289</v>
      </c>
      <c r="AG764" s="2297">
        <v>77.72</v>
      </c>
      <c r="AH764" s="2297" t="s">
        <v>340</v>
      </c>
      <c r="AI764" s="1390"/>
      <c r="AJ764" s="2282"/>
      <c r="AK764" s="2282"/>
      <c r="AL764" s="1037"/>
      <c r="AR764" s="338">
        <v>143.01</v>
      </c>
      <c r="AS764" s="338" t="s">
        <v>344</v>
      </c>
      <c r="AX764" s="340">
        <v>411.04</v>
      </c>
      <c r="AY764" s="340" t="s">
        <v>314</v>
      </c>
      <c r="BH764" s="338">
        <v>809.01</v>
      </c>
      <c r="BI764" s="338" t="s">
        <v>355</v>
      </c>
      <c r="BN764" s="340">
        <v>76.08</v>
      </c>
      <c r="BO764" s="340" t="s">
        <v>331</v>
      </c>
      <c r="BP764" s="1385"/>
      <c r="BV764" s="338">
        <v>4511.01</v>
      </c>
      <c r="BW764" s="338" t="s">
        <v>295</v>
      </c>
      <c r="CB764" s="340">
        <v>409.13</v>
      </c>
      <c r="CC764" s="340" t="s">
        <v>314</v>
      </c>
      <c r="CL764" s="236">
        <v>22.03</v>
      </c>
      <c r="CM764" s="236" t="s">
        <v>347</v>
      </c>
      <c r="CR764" s="340">
        <v>76.14</v>
      </c>
      <c r="CS764" s="340" t="s">
        <v>340</v>
      </c>
      <c r="CT764" s="1384"/>
      <c r="CZ764" s="1795">
        <v>310.05</v>
      </c>
      <c r="DA764" s="338" t="s">
        <v>341</v>
      </c>
      <c r="DF764" s="340">
        <v>15</v>
      </c>
      <c r="DG764" s="340" t="s">
        <v>316</v>
      </c>
      <c r="DP764" s="236">
        <v>410.05</v>
      </c>
      <c r="DQ764" s="236" t="s">
        <v>339</v>
      </c>
      <c r="DV764" s="340">
        <v>77.59</v>
      </c>
      <c r="DW764" s="340" t="s">
        <v>340</v>
      </c>
      <c r="DX764" s="1671"/>
      <c r="EB764" s="618"/>
      <c r="EC764" s="618"/>
      <c r="ED764" s="618"/>
      <c r="EE764" s="618"/>
      <c r="EF764" s="618"/>
      <c r="EG764" s="618"/>
      <c r="EH764" s="618"/>
      <c r="EI764" s="618"/>
      <c r="EJ764" s="618"/>
      <c r="EK764" s="618"/>
      <c r="EL764" s="618"/>
      <c r="EM764" s="618"/>
    </row>
    <row r="765" spans="6:143">
      <c r="F765" s="338">
        <v>130.02000000000001</v>
      </c>
      <c r="G765" s="338" t="s">
        <v>344</v>
      </c>
      <c r="L765" s="2481">
        <v>24</v>
      </c>
      <c r="M765" s="340" t="s">
        <v>316</v>
      </c>
      <c r="N765" s="1390"/>
      <c r="O765" s="2479"/>
      <c r="P765" s="2282"/>
      <c r="AA765" s="338">
        <v>714.02</v>
      </c>
      <c r="AB765" s="338" t="s">
        <v>288</v>
      </c>
      <c r="AG765" s="2297">
        <v>77.73</v>
      </c>
      <c r="AH765" s="2297" t="s">
        <v>340</v>
      </c>
      <c r="AI765" s="1390"/>
      <c r="AJ765" s="2282"/>
      <c r="AK765" s="2282"/>
      <c r="AL765" s="1037"/>
      <c r="AR765" s="338">
        <v>145.02000000000001</v>
      </c>
      <c r="AS765" s="338" t="s">
        <v>344</v>
      </c>
      <c r="AX765" s="340">
        <v>411.06</v>
      </c>
      <c r="AY765" s="340" t="s">
        <v>314</v>
      </c>
      <c r="BH765" s="338">
        <v>809.02</v>
      </c>
      <c r="BI765" s="338" t="s">
        <v>355</v>
      </c>
      <c r="BN765" s="340">
        <v>76.09</v>
      </c>
      <c r="BO765" s="340" t="s">
        <v>331</v>
      </c>
      <c r="BP765" s="1385"/>
      <c r="BV765" s="338">
        <v>4511.03</v>
      </c>
      <c r="BW765" s="338" t="s">
        <v>295</v>
      </c>
      <c r="CB765" s="340">
        <v>410.04</v>
      </c>
      <c r="CC765" s="340" t="s">
        <v>314</v>
      </c>
      <c r="CL765" s="338">
        <v>22.04</v>
      </c>
      <c r="CM765" s="338" t="s">
        <v>276</v>
      </c>
      <c r="CR765" s="340">
        <v>76.16</v>
      </c>
      <c r="CS765" s="340" t="s">
        <v>340</v>
      </c>
      <c r="CT765" s="1384"/>
      <c r="CZ765" s="1795">
        <v>310.06</v>
      </c>
      <c r="DA765" s="338" t="s">
        <v>341</v>
      </c>
      <c r="DF765" s="340">
        <v>16</v>
      </c>
      <c r="DG765" s="340" t="s">
        <v>316</v>
      </c>
      <c r="DP765" s="236">
        <v>411</v>
      </c>
      <c r="DQ765" s="236" t="s">
        <v>289</v>
      </c>
      <c r="DV765" s="340">
        <v>77.63</v>
      </c>
      <c r="DW765" s="340" t="s">
        <v>340</v>
      </c>
      <c r="DX765" s="1671"/>
      <c r="EB765" s="618"/>
      <c r="EC765" s="618"/>
      <c r="ED765" s="618"/>
      <c r="EE765" s="618"/>
      <c r="EF765" s="618"/>
      <c r="EG765" s="618"/>
      <c r="EH765" s="618"/>
      <c r="EI765" s="618"/>
      <c r="EJ765" s="618"/>
      <c r="EK765" s="618"/>
      <c r="EL765" s="618"/>
      <c r="EM765" s="618"/>
    </row>
    <row r="766" spans="6:143">
      <c r="F766" s="338">
        <v>132</v>
      </c>
      <c r="G766" s="338" t="s">
        <v>344</v>
      </c>
      <c r="L766" s="2481">
        <v>27.02</v>
      </c>
      <c r="M766" s="340" t="s">
        <v>316</v>
      </c>
      <c r="N766" s="1390"/>
      <c r="O766" s="2479"/>
      <c r="P766" s="2282"/>
      <c r="AA766" s="338">
        <v>801</v>
      </c>
      <c r="AB766" s="338" t="s">
        <v>323</v>
      </c>
      <c r="AG766" s="2297">
        <v>77.739999999999995</v>
      </c>
      <c r="AH766" s="2297" t="s">
        <v>340</v>
      </c>
      <c r="AI766" s="1390"/>
      <c r="AJ766" s="2282"/>
      <c r="AK766" s="2282"/>
      <c r="AL766" s="1037"/>
      <c r="AR766" s="338">
        <v>149.03</v>
      </c>
      <c r="AS766" s="338" t="s">
        <v>344</v>
      </c>
      <c r="AX766" s="340">
        <v>412.03</v>
      </c>
      <c r="AY766" s="340" t="s">
        <v>314</v>
      </c>
      <c r="BH766" s="338">
        <v>812.01</v>
      </c>
      <c r="BI766" s="338" t="s">
        <v>355</v>
      </c>
      <c r="BN766" s="340">
        <v>76.099999999999994</v>
      </c>
      <c r="BO766" s="340" t="s">
        <v>331</v>
      </c>
      <c r="BP766" s="1385"/>
      <c r="BV766" s="338">
        <v>4511.04</v>
      </c>
      <c r="BW766" s="338" t="s">
        <v>295</v>
      </c>
      <c r="CB766" s="340">
        <v>410.05</v>
      </c>
      <c r="CC766" s="340" t="s">
        <v>314</v>
      </c>
      <c r="CL766" s="236">
        <v>22.04</v>
      </c>
      <c r="CM766" s="236" t="s">
        <v>347</v>
      </c>
      <c r="CR766" s="340">
        <v>76.209999999999994</v>
      </c>
      <c r="CS766" s="340" t="s">
        <v>340</v>
      </c>
      <c r="CT766" s="1384"/>
      <c r="CZ766" s="1795">
        <v>310.07</v>
      </c>
      <c r="DA766" s="338" t="s">
        <v>341</v>
      </c>
      <c r="DF766" s="340">
        <v>17</v>
      </c>
      <c r="DG766" s="340" t="s">
        <v>316</v>
      </c>
      <c r="DP766" s="236">
        <v>411.01</v>
      </c>
      <c r="DQ766" s="236" t="s">
        <v>339</v>
      </c>
      <c r="DV766" s="340">
        <v>77.64</v>
      </c>
      <c r="DW766" s="340" t="s">
        <v>340</v>
      </c>
      <c r="DX766" s="1671"/>
      <c r="EB766" s="618"/>
      <c r="EC766" s="618"/>
      <c r="ED766" s="618"/>
      <c r="EE766" s="618"/>
      <c r="EF766" s="618"/>
      <c r="EG766" s="618"/>
      <c r="EH766" s="618"/>
      <c r="EI766" s="618"/>
      <c r="EJ766" s="618"/>
      <c r="EK766" s="618"/>
      <c r="EL766" s="618"/>
      <c r="EM766" s="618"/>
    </row>
    <row r="767" spans="6:143">
      <c r="F767" s="338">
        <v>133</v>
      </c>
      <c r="G767" s="338" t="s">
        <v>344</v>
      </c>
      <c r="L767" s="2481">
        <v>28</v>
      </c>
      <c r="M767" s="340" t="s">
        <v>316</v>
      </c>
      <c r="N767" s="1390"/>
      <c r="O767" s="2479"/>
      <c r="P767" s="2282"/>
      <c r="AA767" s="338">
        <v>801.02</v>
      </c>
      <c r="AB767" s="338" t="s">
        <v>289</v>
      </c>
      <c r="AG767" s="2297">
        <v>77.75</v>
      </c>
      <c r="AH767" s="2297" t="s">
        <v>340</v>
      </c>
      <c r="AI767" s="1390"/>
      <c r="AJ767" s="2282"/>
      <c r="AK767" s="2282"/>
      <c r="AL767" s="1037"/>
      <c r="AR767" s="338">
        <v>149.04</v>
      </c>
      <c r="AS767" s="338" t="s">
        <v>344</v>
      </c>
      <c r="AX767" s="340">
        <v>413.03</v>
      </c>
      <c r="AY767" s="340" t="s">
        <v>314</v>
      </c>
      <c r="BH767" s="338">
        <v>812.02</v>
      </c>
      <c r="BI767" s="338" t="s">
        <v>355</v>
      </c>
      <c r="BN767" s="340">
        <v>76.099999999999994</v>
      </c>
      <c r="BO767" s="340" t="s">
        <v>340</v>
      </c>
      <c r="BP767" s="1385"/>
      <c r="BV767" s="338">
        <v>4512</v>
      </c>
      <c r="BW767" s="338" t="s">
        <v>295</v>
      </c>
      <c r="CB767" s="340">
        <v>410.06</v>
      </c>
      <c r="CC767" s="340" t="s">
        <v>314</v>
      </c>
      <c r="CL767" s="236">
        <v>22.05</v>
      </c>
      <c r="CM767" s="236" t="s">
        <v>324</v>
      </c>
      <c r="CR767" s="340">
        <v>76.23</v>
      </c>
      <c r="CS767" s="340" t="s">
        <v>340</v>
      </c>
      <c r="CT767" s="1384"/>
      <c r="CZ767" s="1795">
        <v>310.08999999999997</v>
      </c>
      <c r="DA767" s="338" t="s">
        <v>341</v>
      </c>
      <c r="DF767" s="340">
        <v>22</v>
      </c>
      <c r="DG767" s="340" t="s">
        <v>316</v>
      </c>
      <c r="DP767" s="236">
        <v>412</v>
      </c>
      <c r="DQ767" s="236" t="s">
        <v>289</v>
      </c>
      <c r="DV767" s="340">
        <v>77.680000000000007</v>
      </c>
      <c r="DW767" s="340" t="s">
        <v>340</v>
      </c>
      <c r="DX767" s="1671"/>
      <c r="EB767" s="618"/>
      <c r="EC767" s="618"/>
      <c r="ED767" s="618"/>
      <c r="EE767" s="618"/>
      <c r="EF767" s="618"/>
      <c r="EG767" s="618"/>
      <c r="EH767" s="618"/>
      <c r="EI767" s="618"/>
      <c r="EJ767" s="618"/>
      <c r="EK767" s="618"/>
      <c r="EL767" s="618"/>
      <c r="EM767" s="618"/>
    </row>
    <row r="768" spans="6:143">
      <c r="F768" s="338">
        <v>134</v>
      </c>
      <c r="G768" s="338" t="s">
        <v>344</v>
      </c>
      <c r="L768" s="2481">
        <v>38</v>
      </c>
      <c r="M768" s="340" t="s">
        <v>316</v>
      </c>
      <c r="N768" s="1390"/>
      <c r="O768" s="2479"/>
      <c r="P768" s="2282"/>
      <c r="AA768" s="338">
        <v>804.03</v>
      </c>
      <c r="AB768" s="338" t="s">
        <v>289</v>
      </c>
      <c r="AG768" s="2297">
        <v>77.77</v>
      </c>
      <c r="AH768" s="2297" t="s">
        <v>340</v>
      </c>
      <c r="AI768" s="1390"/>
      <c r="AJ768" s="2282"/>
      <c r="AK768" s="2282"/>
      <c r="AL768" s="1037"/>
      <c r="AR768" s="338">
        <v>152</v>
      </c>
      <c r="AS768" s="338" t="s">
        <v>344</v>
      </c>
      <c r="AX768" s="340">
        <v>414.02</v>
      </c>
      <c r="AY768" s="340" t="s">
        <v>314</v>
      </c>
      <c r="BH768" s="338">
        <v>815</v>
      </c>
      <c r="BI768" s="338" t="s">
        <v>355</v>
      </c>
      <c r="BN768" s="340">
        <v>76.12</v>
      </c>
      <c r="BO768" s="340" t="s">
        <v>340</v>
      </c>
      <c r="BP768" s="1385"/>
      <c r="BV768" s="338">
        <v>4513</v>
      </c>
      <c r="BW768" s="338" t="s">
        <v>295</v>
      </c>
      <c r="CB768" s="340">
        <v>411.04</v>
      </c>
      <c r="CC768" s="340" t="s">
        <v>314</v>
      </c>
      <c r="CL768" s="236">
        <v>22.05</v>
      </c>
      <c r="CM768" s="236" t="s">
        <v>347</v>
      </c>
      <c r="CR768" s="340">
        <v>76.239999999999995</v>
      </c>
      <c r="CS768" s="340" t="s">
        <v>340</v>
      </c>
      <c r="CT768" s="1384"/>
      <c r="CZ768" s="1795">
        <v>310.10000000000002</v>
      </c>
      <c r="DA768" s="338" t="s">
        <v>341</v>
      </c>
      <c r="DF768" s="340">
        <v>23</v>
      </c>
      <c r="DG768" s="340" t="s">
        <v>316</v>
      </c>
      <c r="DP768" s="236">
        <v>412.04</v>
      </c>
      <c r="DQ768" s="236" t="s">
        <v>314</v>
      </c>
      <c r="DV768" s="340">
        <v>77.7</v>
      </c>
      <c r="DW768" s="340" t="s">
        <v>340</v>
      </c>
      <c r="DX768" s="1671"/>
      <c r="EB768" s="618"/>
      <c r="EC768" s="618"/>
      <c r="ED768" s="618"/>
      <c r="EE768" s="618"/>
      <c r="EF768" s="618"/>
      <c r="EG768" s="618"/>
      <c r="EH768" s="618"/>
      <c r="EI768" s="618"/>
      <c r="EJ768" s="618"/>
      <c r="EK768" s="618"/>
      <c r="EL768" s="618"/>
      <c r="EM768" s="618"/>
    </row>
    <row r="769" spans="6:143">
      <c r="F769" s="338">
        <v>137.01</v>
      </c>
      <c r="G769" s="338" t="s">
        <v>344</v>
      </c>
      <c r="L769" s="2481">
        <v>46.01</v>
      </c>
      <c r="M769" s="340" t="s">
        <v>316</v>
      </c>
      <c r="N769" s="1390"/>
      <c r="O769" s="2479"/>
      <c r="P769" s="2282"/>
      <c r="AA769" s="338">
        <v>805</v>
      </c>
      <c r="AB769" s="338" t="s">
        <v>289</v>
      </c>
      <c r="AG769" s="2297">
        <v>77.78</v>
      </c>
      <c r="AH769" s="2297" t="s">
        <v>340</v>
      </c>
      <c r="AI769" s="1390"/>
      <c r="AJ769" s="2282"/>
      <c r="AK769" s="2282"/>
      <c r="AL769" s="1037"/>
      <c r="AR769" s="338">
        <v>154.05000000000001</v>
      </c>
      <c r="AS769" s="338" t="s">
        <v>344</v>
      </c>
      <c r="AX769" s="340">
        <v>415.01</v>
      </c>
      <c r="AY769" s="340" t="s">
        <v>314</v>
      </c>
      <c r="BH769" s="338">
        <v>816</v>
      </c>
      <c r="BI769" s="338" t="s">
        <v>355</v>
      </c>
      <c r="BN769" s="340">
        <v>76.14</v>
      </c>
      <c r="BO769" s="340" t="s">
        <v>340</v>
      </c>
      <c r="BP769" s="1385"/>
      <c r="BV769" s="338">
        <v>4514</v>
      </c>
      <c r="BW769" s="338" t="s">
        <v>295</v>
      </c>
      <c r="CB769" s="340">
        <v>412.01</v>
      </c>
      <c r="CC769" s="340" t="s">
        <v>314</v>
      </c>
      <c r="CL769" s="236">
        <v>22.06</v>
      </c>
      <c r="CM769" s="236" t="s">
        <v>324</v>
      </c>
      <c r="CR769" s="340">
        <v>77.040000000000006</v>
      </c>
      <c r="CS769" s="340" t="s">
        <v>331</v>
      </c>
      <c r="CT769" s="1384"/>
      <c r="CZ769" s="1795">
        <v>310.11</v>
      </c>
      <c r="DA769" s="338" t="s">
        <v>341</v>
      </c>
      <c r="DF769" s="340">
        <v>24</v>
      </c>
      <c r="DG769" s="340" t="s">
        <v>316</v>
      </c>
      <c r="DP769" s="236">
        <v>413</v>
      </c>
      <c r="DQ769" s="236" t="s">
        <v>289</v>
      </c>
      <c r="DV769" s="340">
        <v>77.709999999999994</v>
      </c>
      <c r="DW769" s="340" t="s">
        <v>340</v>
      </c>
      <c r="DX769" s="1671"/>
      <c r="EB769" s="618"/>
      <c r="EC769" s="618"/>
      <c r="ED769" s="618"/>
      <c r="EE769" s="618"/>
      <c r="EF769" s="618"/>
      <c r="EG769" s="618"/>
      <c r="EH769" s="618"/>
      <c r="EI769" s="618"/>
      <c r="EJ769" s="618"/>
      <c r="EK769" s="618"/>
      <c r="EL769" s="618"/>
      <c r="EM769" s="618"/>
    </row>
    <row r="770" spans="6:143">
      <c r="F770" s="338">
        <v>138.01</v>
      </c>
      <c r="G770" s="338" t="s">
        <v>344</v>
      </c>
      <c r="L770" s="2481">
        <v>46.02</v>
      </c>
      <c r="M770" s="340" t="s">
        <v>316</v>
      </c>
      <c r="N770" s="1390"/>
      <c r="O770" s="2479"/>
      <c r="P770" s="2282"/>
      <c r="AA770" s="338">
        <v>806</v>
      </c>
      <c r="AB770" s="338" t="s">
        <v>355</v>
      </c>
      <c r="AG770" s="2297">
        <v>77.790000000000006</v>
      </c>
      <c r="AH770" s="2297" t="s">
        <v>340</v>
      </c>
      <c r="AI770" s="1390"/>
      <c r="AJ770" s="2282"/>
      <c r="AK770" s="2282"/>
      <c r="AL770" s="1037"/>
      <c r="AR770" s="338">
        <v>155</v>
      </c>
      <c r="AS770" s="338" t="s">
        <v>344</v>
      </c>
      <c r="AX770" s="340">
        <v>416.01</v>
      </c>
      <c r="AY770" s="340" t="s">
        <v>314</v>
      </c>
      <c r="BH770" s="338">
        <v>818</v>
      </c>
      <c r="BI770" s="338" t="s">
        <v>355</v>
      </c>
      <c r="BN770" s="340">
        <v>76.16</v>
      </c>
      <c r="BO770" s="340" t="s">
        <v>340</v>
      </c>
      <c r="BP770" s="1385"/>
      <c r="BV770" s="338">
        <v>4515.01</v>
      </c>
      <c r="BW770" s="338" t="s">
        <v>295</v>
      </c>
      <c r="CB770" s="340">
        <v>412.03</v>
      </c>
      <c r="CC770" s="340" t="s">
        <v>314</v>
      </c>
      <c r="CL770" s="338">
        <v>22.07</v>
      </c>
      <c r="CM770" s="338" t="s">
        <v>276</v>
      </c>
      <c r="CR770" s="340">
        <v>77.05</v>
      </c>
      <c r="CS770" s="340" t="s">
        <v>331</v>
      </c>
      <c r="CT770" s="1384"/>
      <c r="CZ770" s="1795">
        <v>310.12</v>
      </c>
      <c r="DA770" s="338" t="s">
        <v>341</v>
      </c>
      <c r="DF770" s="340">
        <v>28</v>
      </c>
      <c r="DG770" s="340" t="s">
        <v>316</v>
      </c>
      <c r="DP770" s="236">
        <v>413.01</v>
      </c>
      <c r="DQ770" s="236" t="s">
        <v>339</v>
      </c>
      <c r="DV770" s="340">
        <v>77.72</v>
      </c>
      <c r="DW770" s="340" t="s">
        <v>340</v>
      </c>
      <c r="DX770" s="1671"/>
      <c r="EB770" s="618"/>
      <c r="EC770" s="618"/>
      <c r="ED770" s="618"/>
      <c r="EE770" s="618"/>
      <c r="EF770" s="618"/>
      <c r="EG770" s="618"/>
      <c r="EH770" s="618"/>
      <c r="EI770" s="618"/>
      <c r="EJ770" s="618"/>
      <c r="EK770" s="618"/>
      <c r="EL770" s="618"/>
      <c r="EM770" s="618"/>
    </row>
    <row r="771" spans="6:143">
      <c r="F771" s="338">
        <v>139.01</v>
      </c>
      <c r="G771" s="338" t="s">
        <v>344</v>
      </c>
      <c r="L771" s="2481">
        <v>47</v>
      </c>
      <c r="M771" s="340" t="s">
        <v>316</v>
      </c>
      <c r="N771" s="1390"/>
      <c r="O771" s="2479"/>
      <c r="P771" s="2282"/>
      <c r="AA771" s="338">
        <v>809.02</v>
      </c>
      <c r="AB771" s="338" t="s">
        <v>355</v>
      </c>
      <c r="AG771" s="2297">
        <v>78.010000000000005</v>
      </c>
      <c r="AH771" s="2297" t="s">
        <v>331</v>
      </c>
      <c r="AI771" s="1390"/>
      <c r="AJ771" s="2282"/>
      <c r="AK771" s="2282"/>
      <c r="AL771" s="1037"/>
      <c r="AR771" s="338">
        <v>158.02000000000001</v>
      </c>
      <c r="AS771" s="338" t="s">
        <v>344</v>
      </c>
      <c r="AX771" s="340">
        <v>9601.01</v>
      </c>
      <c r="AY771" s="340" t="s">
        <v>315</v>
      </c>
      <c r="BH771" s="338">
        <v>819</v>
      </c>
      <c r="BI771" s="338" t="s">
        <v>355</v>
      </c>
      <c r="BN771" s="340">
        <v>76.209999999999994</v>
      </c>
      <c r="BO771" s="340" t="s">
        <v>340</v>
      </c>
      <c r="BP771" s="1385"/>
      <c r="BV771" s="338">
        <v>4515.0200000000004</v>
      </c>
      <c r="BW771" s="338" t="s">
        <v>295</v>
      </c>
      <c r="CB771" s="340">
        <v>413.03</v>
      </c>
      <c r="CC771" s="340" t="s">
        <v>314</v>
      </c>
      <c r="CL771" s="236">
        <v>22.07</v>
      </c>
      <c r="CM771" s="236" t="s">
        <v>324</v>
      </c>
      <c r="CR771" s="340">
        <v>77.05</v>
      </c>
      <c r="CS771" s="340" t="s">
        <v>340</v>
      </c>
      <c r="CT771" s="1384"/>
      <c r="CZ771" s="1795">
        <v>310.13</v>
      </c>
      <c r="DA771" s="338" t="s">
        <v>341</v>
      </c>
      <c r="DF771" s="340">
        <v>42</v>
      </c>
      <c r="DG771" s="340" t="s">
        <v>316</v>
      </c>
      <c r="DP771" s="236">
        <v>414</v>
      </c>
      <c r="DQ771" s="236" t="s">
        <v>289</v>
      </c>
      <c r="DV771" s="340">
        <v>77.73</v>
      </c>
      <c r="DW771" s="340" t="s">
        <v>340</v>
      </c>
      <c r="DX771" s="1671"/>
      <c r="EB771" s="618"/>
      <c r="EC771" s="618"/>
      <c r="ED771" s="618"/>
      <c r="EE771" s="618"/>
      <c r="EF771" s="618"/>
      <c r="EG771" s="618"/>
      <c r="EH771" s="618"/>
      <c r="EI771" s="618"/>
      <c r="EJ771" s="618"/>
      <c r="EK771" s="618"/>
      <c r="EL771" s="618"/>
      <c r="EM771" s="618"/>
    </row>
    <row r="772" spans="6:143">
      <c r="F772" s="338">
        <v>141.04</v>
      </c>
      <c r="G772" s="338" t="s">
        <v>344</v>
      </c>
      <c r="L772" s="2481">
        <v>48</v>
      </c>
      <c r="M772" s="340" t="s">
        <v>316</v>
      </c>
      <c r="N772" s="1390"/>
      <c r="O772" s="2479"/>
      <c r="P772" s="2282"/>
      <c r="AA772" s="338">
        <v>810.01</v>
      </c>
      <c r="AB772" s="338" t="s">
        <v>355</v>
      </c>
      <c r="AG772" s="2297">
        <v>78.05</v>
      </c>
      <c r="AH772" s="2297" t="s">
        <v>331</v>
      </c>
      <c r="AI772" s="1390"/>
      <c r="AJ772" s="2282"/>
      <c r="AK772" s="2282"/>
      <c r="AL772" s="1037"/>
      <c r="AR772" s="338">
        <v>164</v>
      </c>
      <c r="AS772" s="338" t="s">
        <v>344</v>
      </c>
      <c r="AX772" s="340">
        <v>9601.02</v>
      </c>
      <c r="AY772" s="340" t="s">
        <v>315</v>
      </c>
      <c r="BH772" s="338">
        <v>820</v>
      </c>
      <c r="BI772" s="338" t="s">
        <v>355</v>
      </c>
      <c r="BN772" s="340">
        <v>76.23</v>
      </c>
      <c r="BO772" s="340" t="s">
        <v>340</v>
      </c>
      <c r="BP772" s="1385"/>
      <c r="BV772" s="338">
        <v>4516.03</v>
      </c>
      <c r="BW772" s="338" t="s">
        <v>295</v>
      </c>
      <c r="CB772" s="340">
        <v>415.01</v>
      </c>
      <c r="CC772" s="340" t="s">
        <v>314</v>
      </c>
      <c r="CL772" s="338">
        <v>22.08</v>
      </c>
      <c r="CM772" s="338" t="s">
        <v>276</v>
      </c>
      <c r="CR772" s="340">
        <v>77.06</v>
      </c>
      <c r="CS772" s="340" t="s">
        <v>331</v>
      </c>
      <c r="CT772" s="1384"/>
      <c r="CZ772" s="1795">
        <v>311.01</v>
      </c>
      <c r="DA772" s="338" t="s">
        <v>341</v>
      </c>
      <c r="DF772" s="340">
        <v>46.01</v>
      </c>
      <c r="DG772" s="340" t="s">
        <v>316</v>
      </c>
      <c r="DP772" s="236">
        <v>414.01</v>
      </c>
      <c r="DQ772" s="236" t="s">
        <v>314</v>
      </c>
      <c r="DV772" s="340">
        <v>77.739999999999995</v>
      </c>
      <c r="DW772" s="340" t="s">
        <v>340</v>
      </c>
      <c r="DX772" s="1671"/>
      <c r="EB772" s="618"/>
      <c r="EC772" s="618"/>
      <c r="ED772" s="618"/>
      <c r="EE772" s="618"/>
      <c r="EF772" s="618"/>
      <c r="EG772" s="618"/>
      <c r="EH772" s="618"/>
      <c r="EI772" s="618"/>
      <c r="EJ772" s="618"/>
      <c r="EK772" s="618"/>
      <c r="EL772" s="618"/>
      <c r="EM772" s="618"/>
    </row>
    <row r="773" spans="6:143">
      <c r="F773" s="338">
        <v>142.03</v>
      </c>
      <c r="G773" s="338" t="s">
        <v>344</v>
      </c>
      <c r="L773" s="2481">
        <v>49.01</v>
      </c>
      <c r="M773" s="340" t="s">
        <v>316</v>
      </c>
      <c r="N773" s="1390"/>
      <c r="O773" s="2479"/>
      <c r="P773" s="2282"/>
      <c r="AA773" s="338">
        <v>810.02</v>
      </c>
      <c r="AB773" s="338" t="s">
        <v>355</v>
      </c>
      <c r="AG773" s="2297">
        <v>78.05</v>
      </c>
      <c r="AH773" s="2297" t="s">
        <v>340</v>
      </c>
      <c r="AI773" s="1390"/>
      <c r="AJ773" s="2282"/>
      <c r="AK773" s="2282"/>
      <c r="AL773" s="1037"/>
      <c r="AR773" s="338">
        <v>107.05</v>
      </c>
      <c r="AS773" s="338" t="s">
        <v>346</v>
      </c>
      <c r="AX773" s="340">
        <v>9601.0400000000009</v>
      </c>
      <c r="AY773" s="340" t="s">
        <v>315</v>
      </c>
      <c r="BH773" s="338">
        <v>821</v>
      </c>
      <c r="BI773" s="338" t="s">
        <v>355</v>
      </c>
      <c r="BN773" s="340">
        <v>76.239999999999995</v>
      </c>
      <c r="BO773" s="340" t="s">
        <v>340</v>
      </c>
      <c r="BP773" s="1385"/>
      <c r="BV773" s="338">
        <v>4516.04</v>
      </c>
      <c r="BW773" s="338" t="s">
        <v>295</v>
      </c>
      <c r="CB773" s="340">
        <v>415.02</v>
      </c>
      <c r="CC773" s="340" t="s">
        <v>314</v>
      </c>
      <c r="CL773" s="236">
        <v>22.08</v>
      </c>
      <c r="CM773" s="236" t="s">
        <v>324</v>
      </c>
      <c r="CR773" s="340">
        <v>77.069999999999993</v>
      </c>
      <c r="CS773" s="340" t="s">
        <v>331</v>
      </c>
      <c r="CT773" s="1384"/>
      <c r="CZ773" s="1795">
        <v>311.04000000000002</v>
      </c>
      <c r="DA773" s="338" t="s">
        <v>341</v>
      </c>
      <c r="DF773" s="340">
        <v>46.02</v>
      </c>
      <c r="DG773" s="340" t="s">
        <v>316</v>
      </c>
      <c r="DP773" s="236">
        <v>415</v>
      </c>
      <c r="DQ773" s="236" t="s">
        <v>289</v>
      </c>
      <c r="DV773" s="340">
        <v>77.75</v>
      </c>
      <c r="DW773" s="340" t="s">
        <v>340</v>
      </c>
      <c r="DX773" s="1671"/>
      <c r="EB773" s="618"/>
      <c r="EC773" s="618"/>
      <c r="ED773" s="618"/>
      <c r="EE773" s="618"/>
      <c r="EF773" s="618"/>
      <c r="EG773" s="618"/>
      <c r="EH773" s="618"/>
      <c r="EI773" s="618"/>
      <c r="EJ773" s="618"/>
      <c r="EK773" s="618"/>
      <c r="EL773" s="618"/>
      <c r="EM773" s="618"/>
    </row>
    <row r="774" spans="6:143">
      <c r="F774" s="338">
        <v>143.01</v>
      </c>
      <c r="G774" s="338" t="s">
        <v>344</v>
      </c>
      <c r="L774" s="2481">
        <v>49.02</v>
      </c>
      <c r="M774" s="340" t="s">
        <v>316</v>
      </c>
      <c r="N774" s="1390"/>
      <c r="O774" s="2479"/>
      <c r="P774" s="2282"/>
      <c r="AA774" s="338">
        <v>812.02</v>
      </c>
      <c r="AB774" s="338" t="s">
        <v>355</v>
      </c>
      <c r="AG774" s="2297">
        <v>78.06</v>
      </c>
      <c r="AH774" s="2297" t="s">
        <v>331</v>
      </c>
      <c r="AI774" s="1390"/>
      <c r="AJ774" s="2282"/>
      <c r="AK774" s="2282"/>
      <c r="AL774" s="1037"/>
      <c r="AR774" s="338">
        <v>2</v>
      </c>
      <c r="AS774" s="338" t="s">
        <v>347</v>
      </c>
      <c r="AX774" s="340">
        <v>9601.0499999999993</v>
      </c>
      <c r="AY774" s="340" t="s">
        <v>315</v>
      </c>
      <c r="BH774" s="338">
        <v>822.01</v>
      </c>
      <c r="BI774" s="338" t="s">
        <v>355</v>
      </c>
      <c r="BN774" s="340">
        <v>77.040000000000006</v>
      </c>
      <c r="BO774" s="340" t="s">
        <v>331</v>
      </c>
      <c r="BP774" s="1385"/>
      <c r="BV774" s="338">
        <v>4516.05</v>
      </c>
      <c r="BW774" s="338" t="s">
        <v>295</v>
      </c>
      <c r="CB774" s="340">
        <v>416.01</v>
      </c>
      <c r="CC774" s="340" t="s">
        <v>314</v>
      </c>
      <c r="CL774" s="338">
        <v>22.09</v>
      </c>
      <c r="CM774" s="338" t="s">
        <v>276</v>
      </c>
      <c r="CR774" s="340">
        <v>77.08</v>
      </c>
      <c r="CS774" s="340" t="s">
        <v>331</v>
      </c>
      <c r="CT774" s="1384"/>
      <c r="CZ774" s="1795">
        <v>312.02999999999997</v>
      </c>
      <c r="DA774" s="338" t="s">
        <v>341</v>
      </c>
      <c r="DF774" s="340">
        <v>47</v>
      </c>
      <c r="DG774" s="340" t="s">
        <v>316</v>
      </c>
      <c r="DP774" s="236">
        <v>416</v>
      </c>
      <c r="DQ774" s="236" t="s">
        <v>339</v>
      </c>
      <c r="DV774" s="340">
        <v>77.77</v>
      </c>
      <c r="DW774" s="340" t="s">
        <v>340</v>
      </c>
      <c r="DX774" s="1671"/>
      <c r="EB774" s="618"/>
      <c r="EC774" s="618"/>
      <c r="ED774" s="618"/>
      <c r="EE774" s="618"/>
      <c r="EF774" s="618"/>
      <c r="EG774" s="618"/>
      <c r="EH774" s="618"/>
      <c r="EI774" s="618"/>
      <c r="EJ774" s="618"/>
      <c r="EK774" s="618"/>
      <c r="EL774" s="618"/>
      <c r="EM774" s="618"/>
    </row>
    <row r="775" spans="6:143">
      <c r="F775" s="338">
        <v>145.02000000000001</v>
      </c>
      <c r="G775" s="338" t="s">
        <v>344</v>
      </c>
      <c r="L775" s="2481">
        <v>51.01</v>
      </c>
      <c r="M775" s="340" t="s">
        <v>316</v>
      </c>
      <c r="N775" s="1390"/>
      <c r="O775" s="2479"/>
      <c r="P775" s="2282"/>
      <c r="AA775" s="338">
        <v>813</v>
      </c>
      <c r="AB775" s="338" t="s">
        <v>355</v>
      </c>
      <c r="AG775" s="2297">
        <v>78.069999999999993</v>
      </c>
      <c r="AH775" s="2297" t="s">
        <v>331</v>
      </c>
      <c r="AI775" s="1390"/>
      <c r="AJ775" s="2282"/>
      <c r="AK775" s="2282"/>
      <c r="AL775" s="1037"/>
      <c r="AR775" s="338">
        <v>3</v>
      </c>
      <c r="AS775" s="338" t="s">
        <v>347</v>
      </c>
      <c r="AX775" s="340">
        <v>9604.02</v>
      </c>
      <c r="AY775" s="340" t="s">
        <v>315</v>
      </c>
      <c r="BH775" s="338">
        <v>823.02</v>
      </c>
      <c r="BI775" s="338" t="s">
        <v>355</v>
      </c>
      <c r="BN775" s="340">
        <v>77.05</v>
      </c>
      <c r="BO775" s="340" t="s">
        <v>331</v>
      </c>
      <c r="BP775" s="1385"/>
      <c r="BV775" s="338">
        <v>4516.0600000000004</v>
      </c>
      <c r="BW775" s="338" t="s">
        <v>295</v>
      </c>
      <c r="CB775" s="340">
        <v>9601.01</v>
      </c>
      <c r="CC775" s="340" t="s">
        <v>315</v>
      </c>
      <c r="CL775" s="338">
        <v>22.1</v>
      </c>
      <c r="CM775" s="338" t="s">
        <v>276</v>
      </c>
      <c r="CR775" s="340">
        <v>77.09</v>
      </c>
      <c r="CS775" s="340" t="s">
        <v>331</v>
      </c>
      <c r="CT775" s="1384"/>
      <c r="CZ775" s="1795">
        <v>312.06</v>
      </c>
      <c r="DA775" s="338" t="s">
        <v>341</v>
      </c>
      <c r="DF775" s="340">
        <v>48</v>
      </c>
      <c r="DG775" s="340" t="s">
        <v>316</v>
      </c>
      <c r="DP775" s="236">
        <v>416.01</v>
      </c>
      <c r="DQ775" s="236" t="s">
        <v>289</v>
      </c>
      <c r="DV775" s="340">
        <v>77.78</v>
      </c>
      <c r="DW775" s="340" t="s">
        <v>340</v>
      </c>
      <c r="DX775" s="1671"/>
      <c r="EB775" s="618"/>
      <c r="EC775" s="618"/>
      <c r="ED775" s="618"/>
      <c r="EE775" s="618"/>
      <c r="EF775" s="618"/>
      <c r="EG775" s="618"/>
      <c r="EH775" s="618"/>
      <c r="EI775" s="618"/>
      <c r="EJ775" s="618"/>
      <c r="EK775" s="618"/>
      <c r="EL775" s="618"/>
      <c r="EM775" s="618"/>
    </row>
    <row r="776" spans="6:143">
      <c r="F776" s="338">
        <v>149.04</v>
      </c>
      <c r="G776" s="338" t="s">
        <v>344</v>
      </c>
      <c r="L776" s="2481">
        <v>51.02</v>
      </c>
      <c r="M776" s="340" t="s">
        <v>316</v>
      </c>
      <c r="N776" s="1390"/>
      <c r="O776" s="2479"/>
      <c r="P776" s="2282"/>
      <c r="AA776" s="338">
        <v>815</v>
      </c>
      <c r="AB776" s="338" t="s">
        <v>355</v>
      </c>
      <c r="AG776" s="2297">
        <v>78.08</v>
      </c>
      <c r="AH776" s="2297" t="s">
        <v>331</v>
      </c>
      <c r="AI776" s="1390"/>
      <c r="AJ776" s="2282"/>
      <c r="AK776" s="2282"/>
      <c r="AL776" s="1037"/>
      <c r="AR776" s="338">
        <v>5.03</v>
      </c>
      <c r="AS776" s="338" t="s">
        <v>347</v>
      </c>
      <c r="AX776" s="340">
        <v>9605.0300000000007</v>
      </c>
      <c r="AY776" s="340" t="s">
        <v>315</v>
      </c>
      <c r="BH776" s="338">
        <v>823.03</v>
      </c>
      <c r="BI776" s="338" t="s">
        <v>355</v>
      </c>
      <c r="BN776" s="340">
        <v>77.05</v>
      </c>
      <c r="BO776" s="340" t="s">
        <v>340</v>
      </c>
      <c r="BP776" s="1385"/>
      <c r="BV776" s="338">
        <v>4517.01</v>
      </c>
      <c r="BW776" s="338" t="s">
        <v>295</v>
      </c>
      <c r="CB776" s="340">
        <v>9601.02</v>
      </c>
      <c r="CC776" s="340" t="s">
        <v>315</v>
      </c>
      <c r="CL776" s="338">
        <v>22.17</v>
      </c>
      <c r="CM776" s="338" t="s">
        <v>276</v>
      </c>
      <c r="CR776" s="340">
        <v>77.099999999999994</v>
      </c>
      <c r="CS776" s="340" t="s">
        <v>340</v>
      </c>
      <c r="CT776" s="1384"/>
      <c r="CZ776" s="1795">
        <v>312.07</v>
      </c>
      <c r="DA776" s="338" t="s">
        <v>341</v>
      </c>
      <c r="DF776" s="340">
        <v>49.01</v>
      </c>
      <c r="DG776" s="340" t="s">
        <v>316</v>
      </c>
      <c r="DP776" s="236">
        <v>416.02</v>
      </c>
      <c r="DQ776" s="236" t="s">
        <v>314</v>
      </c>
      <c r="DV776" s="340">
        <v>77.8</v>
      </c>
      <c r="DW776" s="340" t="s">
        <v>340</v>
      </c>
      <c r="DX776" s="1671"/>
      <c r="EB776" s="618"/>
      <c r="EC776" s="618"/>
      <c r="ED776" s="618"/>
      <c r="EE776" s="618"/>
      <c r="EF776" s="618"/>
      <c r="EG776" s="618"/>
      <c r="EH776" s="618"/>
      <c r="EI776" s="618"/>
      <c r="EJ776" s="618"/>
      <c r="EK776" s="618"/>
      <c r="EL776" s="618"/>
      <c r="EM776" s="618"/>
    </row>
    <row r="777" spans="6:143">
      <c r="F777" s="338">
        <v>150</v>
      </c>
      <c r="G777" s="338" t="s">
        <v>344</v>
      </c>
      <c r="L777" s="2481">
        <v>53.01</v>
      </c>
      <c r="M777" s="340" t="s">
        <v>316</v>
      </c>
      <c r="N777" s="1390"/>
      <c r="O777" s="2479"/>
      <c r="P777" s="2282"/>
      <c r="AA777" s="338">
        <v>816</v>
      </c>
      <c r="AB777" s="338" t="s">
        <v>355</v>
      </c>
      <c r="AG777" s="2297">
        <v>78.09</v>
      </c>
      <c r="AH777" s="2297" t="s">
        <v>331</v>
      </c>
      <c r="AI777" s="1390"/>
      <c r="AJ777" s="2282"/>
      <c r="AK777" s="2282"/>
      <c r="AL777" s="1037"/>
      <c r="AR777" s="338">
        <v>10</v>
      </c>
      <c r="AS777" s="338" t="s">
        <v>347</v>
      </c>
      <c r="AX777" s="340">
        <v>9605.0400000000009</v>
      </c>
      <c r="AY777" s="340" t="s">
        <v>315</v>
      </c>
      <c r="BH777" s="338">
        <v>824.01</v>
      </c>
      <c r="BI777" s="338" t="s">
        <v>355</v>
      </c>
      <c r="BN777" s="340">
        <v>77.06</v>
      </c>
      <c r="BO777" s="340" t="s">
        <v>331</v>
      </c>
      <c r="BP777" s="1385"/>
      <c r="BV777" s="338">
        <v>4517.0200000000004</v>
      </c>
      <c r="BW777" s="338" t="s">
        <v>295</v>
      </c>
      <c r="CB777" s="340">
        <v>9601.0400000000009</v>
      </c>
      <c r="CC777" s="340" t="s">
        <v>315</v>
      </c>
      <c r="CL777" s="338">
        <v>22.18</v>
      </c>
      <c r="CM777" s="338" t="s">
        <v>276</v>
      </c>
      <c r="CR777" s="340">
        <v>77.16</v>
      </c>
      <c r="CS777" s="340" t="s">
        <v>340</v>
      </c>
      <c r="CT777" s="1384"/>
      <c r="CZ777" s="1795">
        <v>314.01</v>
      </c>
      <c r="DA777" s="338" t="s">
        <v>341</v>
      </c>
      <c r="DF777" s="340">
        <v>49.02</v>
      </c>
      <c r="DG777" s="340" t="s">
        <v>316</v>
      </c>
      <c r="DP777" s="236">
        <v>417</v>
      </c>
      <c r="DQ777" s="236" t="s">
        <v>289</v>
      </c>
      <c r="DV777" s="340">
        <v>78.010000000000005</v>
      </c>
      <c r="DW777" s="340" t="s">
        <v>331</v>
      </c>
      <c r="DX777" s="1671"/>
      <c r="EB777" s="618"/>
      <c r="EC777" s="618"/>
      <c r="ED777" s="618"/>
      <c r="EE777" s="618"/>
      <c r="EF777" s="618"/>
      <c r="EG777" s="618"/>
      <c r="EH777" s="618"/>
      <c r="EI777" s="618"/>
      <c r="EJ777" s="618"/>
      <c r="EK777" s="618"/>
      <c r="EL777" s="618"/>
      <c r="EM777" s="618"/>
    </row>
    <row r="778" spans="6:143">
      <c r="F778" s="338">
        <v>152</v>
      </c>
      <c r="G778" s="338" t="s">
        <v>344</v>
      </c>
      <c r="L778" s="2481">
        <v>54.01</v>
      </c>
      <c r="M778" s="340" t="s">
        <v>316</v>
      </c>
      <c r="N778" s="1390"/>
      <c r="O778" s="2479"/>
      <c r="P778" s="2282"/>
      <c r="AA778" s="338">
        <v>818</v>
      </c>
      <c r="AB778" s="338" t="s">
        <v>355</v>
      </c>
      <c r="AG778" s="2297">
        <v>78.13</v>
      </c>
      <c r="AH778" s="2297" t="s">
        <v>340</v>
      </c>
      <c r="AI778" s="1390"/>
      <c r="AJ778" s="2282"/>
      <c r="AK778" s="2282"/>
      <c r="AL778" s="1037"/>
      <c r="AR778" s="338">
        <v>11.02</v>
      </c>
      <c r="AS778" s="338" t="s">
        <v>347</v>
      </c>
      <c r="AX778" s="340">
        <v>9606.01</v>
      </c>
      <c r="AY778" s="340" t="s">
        <v>315</v>
      </c>
      <c r="BH778" s="338">
        <v>825.11</v>
      </c>
      <c r="BI778" s="338" t="s">
        <v>355</v>
      </c>
      <c r="BN778" s="340">
        <v>77.069999999999993</v>
      </c>
      <c r="BO778" s="340" t="s">
        <v>331</v>
      </c>
      <c r="BP778" s="1385"/>
      <c r="BV778" s="338">
        <v>9900</v>
      </c>
      <c r="BW778" s="338" t="s">
        <v>295</v>
      </c>
      <c r="CB778" s="340">
        <v>9604.02</v>
      </c>
      <c r="CC778" s="340" t="s">
        <v>315</v>
      </c>
      <c r="CL778" s="338">
        <v>22.19</v>
      </c>
      <c r="CM778" s="338" t="s">
        <v>276</v>
      </c>
      <c r="CR778" s="340">
        <v>77.209999999999994</v>
      </c>
      <c r="CS778" s="340" t="s">
        <v>340</v>
      </c>
      <c r="CT778" s="1384"/>
      <c r="CZ778" s="1795">
        <v>314.06</v>
      </c>
      <c r="DA778" s="338" t="s">
        <v>341</v>
      </c>
      <c r="DF778" s="340">
        <v>51.01</v>
      </c>
      <c r="DG778" s="340" t="s">
        <v>316</v>
      </c>
      <c r="DP778" s="236">
        <v>417</v>
      </c>
      <c r="DQ778" s="236" t="s">
        <v>339</v>
      </c>
      <c r="DV778" s="340">
        <v>78.05</v>
      </c>
      <c r="DW778" s="340" t="s">
        <v>331</v>
      </c>
      <c r="DX778" s="1671"/>
      <c r="EB778" s="618"/>
      <c r="EC778" s="618"/>
      <c r="ED778" s="618"/>
      <c r="EE778" s="618"/>
      <c r="EF778" s="618"/>
      <c r="EG778" s="618"/>
      <c r="EH778" s="618"/>
      <c r="EI778" s="618"/>
      <c r="EJ778" s="618"/>
      <c r="EK778" s="618"/>
      <c r="EL778" s="618"/>
      <c r="EM778" s="618"/>
    </row>
    <row r="779" spans="6:143">
      <c r="F779" s="338">
        <v>154.05000000000001</v>
      </c>
      <c r="G779" s="338" t="s">
        <v>344</v>
      </c>
      <c r="L779" s="2481">
        <v>55</v>
      </c>
      <c r="M779" s="340" t="s">
        <v>316</v>
      </c>
      <c r="N779" s="1390"/>
      <c r="O779" s="2479"/>
      <c r="P779" s="2282"/>
      <c r="AA779" s="338">
        <v>819</v>
      </c>
      <c r="AB779" s="338" t="s">
        <v>355</v>
      </c>
      <c r="AG779" s="2297">
        <v>78.14</v>
      </c>
      <c r="AH779" s="2297" t="s">
        <v>340</v>
      </c>
      <c r="AI779" s="1390"/>
      <c r="AJ779" s="2282"/>
      <c r="AK779" s="2282"/>
      <c r="AL779" s="1037"/>
      <c r="AR779" s="338">
        <v>201.01</v>
      </c>
      <c r="AS779" s="338" t="s">
        <v>348</v>
      </c>
      <c r="AX779" s="340">
        <v>9606.02</v>
      </c>
      <c r="AY779" s="340" t="s">
        <v>315</v>
      </c>
      <c r="BH779" s="338">
        <v>825.13</v>
      </c>
      <c r="BI779" s="338" t="s">
        <v>355</v>
      </c>
      <c r="BN779" s="340">
        <v>77.08</v>
      </c>
      <c r="BO779" s="340" t="s">
        <v>331</v>
      </c>
      <c r="BP779" s="1385"/>
      <c r="BV779" s="338">
        <v>301.02999999999997</v>
      </c>
      <c r="BW779" s="338" t="s">
        <v>296</v>
      </c>
      <c r="CB779" s="340">
        <v>9605.0300000000007</v>
      </c>
      <c r="CC779" s="340" t="s">
        <v>315</v>
      </c>
      <c r="CL779" s="338">
        <v>22.2</v>
      </c>
      <c r="CM779" s="338" t="s">
        <v>276</v>
      </c>
      <c r="CR779" s="340">
        <v>77.23</v>
      </c>
      <c r="CS779" s="340" t="s">
        <v>340</v>
      </c>
      <c r="CT779" s="1384"/>
      <c r="CZ779" s="1795">
        <v>314.11</v>
      </c>
      <c r="DA779" s="338" t="s">
        <v>341</v>
      </c>
      <c r="DF779" s="340">
        <v>51.02</v>
      </c>
      <c r="DG779" s="340" t="s">
        <v>316</v>
      </c>
      <c r="DP779" s="236">
        <v>418</v>
      </c>
      <c r="DQ779" s="236" t="s">
        <v>339</v>
      </c>
      <c r="DV779" s="340">
        <v>78.05</v>
      </c>
      <c r="DW779" s="340" t="s">
        <v>340</v>
      </c>
      <c r="DX779" s="1671"/>
      <c r="EB779" s="618"/>
      <c r="EC779" s="618"/>
      <c r="ED779" s="618"/>
      <c r="EE779" s="618"/>
      <c r="EF779" s="618"/>
      <c r="EG779" s="618"/>
      <c r="EH779" s="618"/>
      <c r="EI779" s="618"/>
      <c r="EJ779" s="618"/>
      <c r="EK779" s="618"/>
      <c r="EL779" s="618"/>
      <c r="EM779" s="618"/>
    </row>
    <row r="780" spans="6:143">
      <c r="F780" s="338">
        <v>155</v>
      </c>
      <c r="G780" s="338" t="s">
        <v>344</v>
      </c>
      <c r="L780" s="2481">
        <v>57</v>
      </c>
      <c r="M780" s="340" t="s">
        <v>316</v>
      </c>
      <c r="N780" s="1390"/>
      <c r="O780" s="2479"/>
      <c r="P780" s="2282"/>
      <c r="AA780" s="338">
        <v>820</v>
      </c>
      <c r="AB780" s="338" t="s">
        <v>355</v>
      </c>
      <c r="AG780" s="2297">
        <v>78.2</v>
      </c>
      <c r="AH780" s="2297" t="s">
        <v>340</v>
      </c>
      <c r="AI780" s="1390"/>
      <c r="AJ780" s="2282"/>
      <c r="AK780" s="2282"/>
      <c r="AL780" s="1037"/>
      <c r="AR780" s="338">
        <v>202.01</v>
      </c>
      <c r="AS780" s="338" t="s">
        <v>348</v>
      </c>
      <c r="AX780" s="340">
        <v>9607</v>
      </c>
      <c r="AY780" s="340" t="s">
        <v>315</v>
      </c>
      <c r="BH780" s="338">
        <v>903.01</v>
      </c>
      <c r="BI780" s="338" t="s">
        <v>289</v>
      </c>
      <c r="BN780" s="340">
        <v>77.09</v>
      </c>
      <c r="BO780" s="340" t="s">
        <v>331</v>
      </c>
      <c r="BP780" s="1385"/>
      <c r="BV780" s="338">
        <v>301.04000000000002</v>
      </c>
      <c r="BW780" s="338" t="s">
        <v>296</v>
      </c>
      <c r="CB780" s="340">
        <v>9606.01</v>
      </c>
      <c r="CC780" s="340" t="s">
        <v>315</v>
      </c>
      <c r="CL780" s="338">
        <v>22.21</v>
      </c>
      <c r="CM780" s="338" t="s">
        <v>276</v>
      </c>
      <c r="CR780" s="340">
        <v>77.239999999999995</v>
      </c>
      <c r="CS780" s="340" t="s">
        <v>340</v>
      </c>
      <c r="CT780" s="1384"/>
      <c r="CZ780" s="1795">
        <v>314.12</v>
      </c>
      <c r="DA780" s="338" t="s">
        <v>341</v>
      </c>
      <c r="DF780" s="340">
        <v>53.01</v>
      </c>
      <c r="DG780" s="340" t="s">
        <v>316</v>
      </c>
      <c r="DP780" s="236">
        <v>419</v>
      </c>
      <c r="DQ780" s="236" t="s">
        <v>339</v>
      </c>
      <c r="DV780" s="340">
        <v>78.06</v>
      </c>
      <c r="DW780" s="340" t="s">
        <v>331</v>
      </c>
      <c r="DX780" s="1671"/>
      <c r="EB780" s="618"/>
      <c r="EC780" s="618"/>
      <c r="ED780" s="618"/>
      <c r="EE780" s="618"/>
      <c r="EF780" s="618"/>
      <c r="EG780" s="618"/>
      <c r="EH780" s="618"/>
      <c r="EI780" s="618"/>
      <c r="EJ780" s="618"/>
      <c r="EK780" s="618"/>
      <c r="EL780" s="618"/>
      <c r="EM780" s="618"/>
    </row>
    <row r="781" spans="6:143">
      <c r="F781" s="338">
        <v>160.01</v>
      </c>
      <c r="G781" s="338" t="s">
        <v>344</v>
      </c>
      <c r="L781" s="2481">
        <v>58</v>
      </c>
      <c r="M781" s="340" t="s">
        <v>316</v>
      </c>
      <c r="N781" s="1390"/>
      <c r="O781" s="2479"/>
      <c r="P781" s="2282"/>
      <c r="AA781" s="338">
        <v>821</v>
      </c>
      <c r="AB781" s="338" t="s">
        <v>355</v>
      </c>
      <c r="AG781" s="2297">
        <v>78.209999999999994</v>
      </c>
      <c r="AH781" s="2297" t="s">
        <v>340</v>
      </c>
      <c r="AI781" s="1390"/>
      <c r="AJ781" s="2282"/>
      <c r="AK781" s="2282"/>
      <c r="AL781" s="1037"/>
      <c r="AR781" s="338">
        <v>205</v>
      </c>
      <c r="AS781" s="338" t="s">
        <v>348</v>
      </c>
      <c r="AX781" s="340">
        <v>9610</v>
      </c>
      <c r="AY781" s="340" t="s">
        <v>315</v>
      </c>
      <c r="BH781" s="338">
        <v>904.03</v>
      </c>
      <c r="BI781" s="338" t="s">
        <v>289</v>
      </c>
      <c r="BN781" s="340">
        <v>77.099999999999994</v>
      </c>
      <c r="BO781" s="340" t="s">
        <v>340</v>
      </c>
      <c r="BP781" s="1385"/>
      <c r="BV781" s="338">
        <v>301.05</v>
      </c>
      <c r="BW781" s="338" t="s">
        <v>296</v>
      </c>
      <c r="CB781" s="340">
        <v>9606.02</v>
      </c>
      <c r="CC781" s="340" t="s">
        <v>315</v>
      </c>
      <c r="CL781" s="338">
        <v>22.22</v>
      </c>
      <c r="CM781" s="338" t="s">
        <v>276</v>
      </c>
      <c r="CR781" s="340">
        <v>77.3</v>
      </c>
      <c r="CS781" s="340" t="s">
        <v>340</v>
      </c>
      <c r="CT781" s="1384"/>
      <c r="CZ781" s="1795">
        <v>315.06</v>
      </c>
      <c r="DA781" s="338" t="s">
        <v>341</v>
      </c>
      <c r="DF781" s="340">
        <v>54.01</v>
      </c>
      <c r="DG781" s="340" t="s">
        <v>316</v>
      </c>
      <c r="DP781" s="236">
        <v>420</v>
      </c>
      <c r="DQ781" s="236" t="s">
        <v>339</v>
      </c>
      <c r="DV781" s="340">
        <v>78.069999999999993</v>
      </c>
      <c r="DW781" s="340" t="s">
        <v>331</v>
      </c>
      <c r="DX781" s="1671"/>
      <c r="EB781" s="618"/>
      <c r="EC781" s="618"/>
      <c r="ED781" s="618"/>
      <c r="EE781" s="618"/>
      <c r="EF781" s="618"/>
      <c r="EG781" s="618"/>
      <c r="EH781" s="618"/>
      <c r="EI781" s="618"/>
      <c r="EJ781" s="618"/>
      <c r="EK781" s="618"/>
      <c r="EL781" s="618"/>
      <c r="EM781" s="618"/>
    </row>
    <row r="782" spans="6:143">
      <c r="F782" s="338">
        <v>160.03</v>
      </c>
      <c r="G782" s="338" t="s">
        <v>344</v>
      </c>
      <c r="L782" s="2481">
        <v>59</v>
      </c>
      <c r="M782" s="340" t="s">
        <v>316</v>
      </c>
      <c r="N782" s="1390"/>
      <c r="O782" s="2479"/>
      <c r="P782" s="2282"/>
      <c r="AA782" s="338">
        <v>822.01</v>
      </c>
      <c r="AB782" s="338" t="s">
        <v>355</v>
      </c>
      <c r="AG782" s="2297">
        <v>78.23</v>
      </c>
      <c r="AH782" s="2297" t="s">
        <v>340</v>
      </c>
      <c r="AI782" s="1390"/>
      <c r="AJ782" s="2282"/>
      <c r="AK782" s="2282"/>
      <c r="AL782" s="1037"/>
      <c r="AR782" s="338">
        <v>220.01</v>
      </c>
      <c r="AS782" s="338" t="s">
        <v>348</v>
      </c>
      <c r="AX782" s="340">
        <v>9613.01</v>
      </c>
      <c r="AY782" s="340" t="s">
        <v>315</v>
      </c>
      <c r="BH782" s="338">
        <v>905</v>
      </c>
      <c r="BI782" s="338" t="s">
        <v>355</v>
      </c>
      <c r="BN782" s="340">
        <v>77.16</v>
      </c>
      <c r="BO782" s="340" t="s">
        <v>340</v>
      </c>
      <c r="BP782" s="1385"/>
      <c r="BV782" s="338">
        <v>301.06</v>
      </c>
      <c r="BW782" s="338" t="s">
        <v>296</v>
      </c>
      <c r="CB782" s="340">
        <v>9607</v>
      </c>
      <c r="CC782" s="340" t="s">
        <v>315</v>
      </c>
      <c r="CL782" s="338">
        <v>23</v>
      </c>
      <c r="CM782" s="338" t="s">
        <v>285</v>
      </c>
      <c r="CR782" s="340">
        <v>77.31</v>
      </c>
      <c r="CS782" s="340" t="s">
        <v>340</v>
      </c>
      <c r="CT782" s="1384"/>
      <c r="CZ782" s="1795">
        <v>317.02999999999997</v>
      </c>
      <c r="DA782" s="338" t="s">
        <v>341</v>
      </c>
      <c r="DF782" s="340">
        <v>55</v>
      </c>
      <c r="DG782" s="340" t="s">
        <v>316</v>
      </c>
      <c r="DP782" s="236">
        <v>421</v>
      </c>
      <c r="DQ782" s="236" t="s">
        <v>339</v>
      </c>
      <c r="DV782" s="340">
        <v>78.08</v>
      </c>
      <c r="DW782" s="340" t="s">
        <v>331</v>
      </c>
      <c r="DX782" s="1671"/>
      <c r="EB782" s="618"/>
      <c r="EC782" s="618"/>
      <c r="ED782" s="618"/>
      <c r="EE782" s="618"/>
      <c r="EF782" s="618"/>
      <c r="EG782" s="618"/>
      <c r="EH782" s="618"/>
      <c r="EI782" s="618"/>
      <c r="EJ782" s="618"/>
      <c r="EK782" s="618"/>
      <c r="EL782" s="618"/>
      <c r="EM782" s="618"/>
    </row>
    <row r="783" spans="6:143">
      <c r="F783" s="338">
        <v>161</v>
      </c>
      <c r="G783" s="338" t="s">
        <v>344</v>
      </c>
      <c r="L783" s="2481">
        <v>60</v>
      </c>
      <c r="M783" s="340" t="s">
        <v>316</v>
      </c>
      <c r="N783" s="1390"/>
      <c r="O783" s="2479"/>
      <c r="P783" s="2282"/>
      <c r="AA783" s="338">
        <v>823.02</v>
      </c>
      <c r="AB783" s="338" t="s">
        <v>355</v>
      </c>
      <c r="AG783" s="2297">
        <v>78.3</v>
      </c>
      <c r="AH783" s="2297" t="s">
        <v>340</v>
      </c>
      <c r="AI783" s="1390"/>
      <c r="AJ783" s="2282"/>
      <c r="AK783" s="2282"/>
      <c r="AL783" s="1037"/>
      <c r="AR783" s="338">
        <v>221.01</v>
      </c>
      <c r="AS783" s="338" t="s">
        <v>348</v>
      </c>
      <c r="AX783" s="340">
        <v>9613.0400000000009</v>
      </c>
      <c r="AY783" s="340" t="s">
        <v>315</v>
      </c>
      <c r="BH783" s="338">
        <v>906</v>
      </c>
      <c r="BI783" s="338" t="s">
        <v>355</v>
      </c>
      <c r="BN783" s="340">
        <v>77.209999999999994</v>
      </c>
      <c r="BO783" s="340" t="s">
        <v>340</v>
      </c>
      <c r="BP783" s="1385"/>
      <c r="BV783" s="338">
        <v>302.04000000000002</v>
      </c>
      <c r="BW783" s="338" t="s">
        <v>296</v>
      </c>
      <c r="CB783" s="340">
        <v>9610</v>
      </c>
      <c r="CC783" s="340" t="s">
        <v>315</v>
      </c>
      <c r="CL783" s="236">
        <v>23</v>
      </c>
      <c r="CM783" s="236" t="s">
        <v>302</v>
      </c>
      <c r="CR783" s="340">
        <v>77.349999999999994</v>
      </c>
      <c r="CS783" s="340" t="s">
        <v>340</v>
      </c>
      <c r="CT783" s="1384"/>
      <c r="CZ783" s="1795">
        <v>318.07</v>
      </c>
      <c r="DA783" s="338" t="s">
        <v>341</v>
      </c>
      <c r="DF783" s="340">
        <v>57</v>
      </c>
      <c r="DG783" s="340" t="s">
        <v>316</v>
      </c>
      <c r="DP783" s="236">
        <v>422.02</v>
      </c>
      <c r="DQ783" s="236" t="s">
        <v>339</v>
      </c>
      <c r="DV783" s="340">
        <v>78.09</v>
      </c>
      <c r="DW783" s="340" t="s">
        <v>331</v>
      </c>
      <c r="DX783" s="1671"/>
      <c r="EB783" s="618"/>
      <c r="EC783" s="618"/>
      <c r="ED783" s="618"/>
      <c r="EE783" s="618"/>
      <c r="EF783" s="618"/>
      <c r="EG783" s="618"/>
      <c r="EH783" s="618"/>
      <c r="EI783" s="618"/>
      <c r="EJ783" s="618"/>
      <c r="EK783" s="618"/>
      <c r="EL783" s="618"/>
      <c r="EM783" s="618"/>
    </row>
    <row r="784" spans="6:143">
      <c r="F784" s="338">
        <v>164</v>
      </c>
      <c r="G784" s="338" t="s">
        <v>344</v>
      </c>
      <c r="L784" s="2481">
        <v>61.01</v>
      </c>
      <c r="M784" s="340" t="s">
        <v>316</v>
      </c>
      <c r="N784" s="1390"/>
      <c r="O784" s="2479"/>
      <c r="P784" s="2282"/>
      <c r="AA784" s="338">
        <v>824.01</v>
      </c>
      <c r="AB784" s="338" t="s">
        <v>355</v>
      </c>
      <c r="AG784" s="2297">
        <v>78.31</v>
      </c>
      <c r="AH784" s="2297" t="s">
        <v>340</v>
      </c>
      <c r="AI784" s="1390"/>
      <c r="AJ784" s="2282"/>
      <c r="AK784" s="2282"/>
      <c r="AL784" s="1037"/>
      <c r="AR784" s="338">
        <v>203</v>
      </c>
      <c r="AS784" s="338" t="s">
        <v>349</v>
      </c>
      <c r="AX784" s="340">
        <v>9614.01</v>
      </c>
      <c r="AY784" s="340" t="s">
        <v>315</v>
      </c>
      <c r="BH784" s="338">
        <v>1003.02</v>
      </c>
      <c r="BI784" s="338" t="s">
        <v>289</v>
      </c>
      <c r="BN784" s="340">
        <v>77.23</v>
      </c>
      <c r="BO784" s="340" t="s">
        <v>340</v>
      </c>
      <c r="BP784" s="1385"/>
      <c r="BV784" s="338">
        <v>302.05</v>
      </c>
      <c r="BW784" s="338" t="s">
        <v>296</v>
      </c>
      <c r="CB784" s="340">
        <v>9613.01</v>
      </c>
      <c r="CC784" s="340" t="s">
        <v>315</v>
      </c>
      <c r="CL784" s="236">
        <v>23</v>
      </c>
      <c r="CM784" s="236" t="s">
        <v>304</v>
      </c>
      <c r="CR784" s="340">
        <v>77.36</v>
      </c>
      <c r="CS784" s="340" t="s">
        <v>340</v>
      </c>
      <c r="CT784" s="1384"/>
      <c r="CZ784" s="1795">
        <v>324.02</v>
      </c>
      <c r="DA784" s="338" t="s">
        <v>341</v>
      </c>
      <c r="DF784" s="340">
        <v>58</v>
      </c>
      <c r="DG784" s="340" t="s">
        <v>316</v>
      </c>
      <c r="DP784" s="236">
        <v>423</v>
      </c>
      <c r="DQ784" s="236" t="s">
        <v>339</v>
      </c>
      <c r="DV784" s="340">
        <v>78.14</v>
      </c>
      <c r="DW784" s="340" t="s">
        <v>340</v>
      </c>
      <c r="DX784" s="1671"/>
      <c r="EB784" s="618"/>
      <c r="EC784" s="618"/>
      <c r="ED784" s="618"/>
      <c r="EE784" s="618"/>
      <c r="EF784" s="618"/>
      <c r="EG784" s="618"/>
      <c r="EH784" s="618"/>
      <c r="EI784" s="618"/>
      <c r="EJ784" s="618"/>
      <c r="EK784" s="618"/>
      <c r="EL784" s="618"/>
      <c r="EM784" s="618"/>
    </row>
    <row r="785" spans="6:143">
      <c r="F785" s="338">
        <v>2</v>
      </c>
      <c r="G785" s="338" t="s">
        <v>347</v>
      </c>
      <c r="L785" s="2481">
        <v>61.03</v>
      </c>
      <c r="M785" s="340" t="s">
        <v>316</v>
      </c>
      <c r="N785" s="1390"/>
      <c r="O785" s="2479"/>
      <c r="P785" s="2282"/>
      <c r="AA785" s="338">
        <v>825.11</v>
      </c>
      <c r="AB785" s="338" t="s">
        <v>355</v>
      </c>
      <c r="AG785" s="2297">
        <v>78.34</v>
      </c>
      <c r="AH785" s="2297" t="s">
        <v>340</v>
      </c>
      <c r="AI785" s="1390"/>
      <c r="AJ785" s="2282"/>
      <c r="AK785" s="2282"/>
      <c r="AL785" s="1037"/>
      <c r="AR785" s="338">
        <v>204</v>
      </c>
      <c r="AS785" s="338" t="s">
        <v>349</v>
      </c>
      <c r="AX785" s="340">
        <v>9615</v>
      </c>
      <c r="AY785" s="340" t="s">
        <v>315</v>
      </c>
      <c r="BH785" s="338">
        <v>1004</v>
      </c>
      <c r="BI785" s="338" t="s">
        <v>289</v>
      </c>
      <c r="BN785" s="340">
        <v>77.239999999999995</v>
      </c>
      <c r="BO785" s="340" t="s">
        <v>340</v>
      </c>
      <c r="BP785" s="1385"/>
      <c r="BV785" s="338">
        <v>302.06</v>
      </c>
      <c r="BW785" s="338" t="s">
        <v>296</v>
      </c>
      <c r="CB785" s="340">
        <v>9613.0400000000009</v>
      </c>
      <c r="CC785" s="340" t="s">
        <v>315</v>
      </c>
      <c r="CL785" s="236">
        <v>23</v>
      </c>
      <c r="CM785" s="236" t="s">
        <v>316</v>
      </c>
      <c r="CR785" s="340">
        <v>77.38</v>
      </c>
      <c r="CS785" s="340" t="s">
        <v>340</v>
      </c>
      <c r="CT785" s="1384"/>
      <c r="CZ785" s="1795">
        <v>328.04</v>
      </c>
      <c r="DA785" s="338" t="s">
        <v>341</v>
      </c>
      <c r="DF785" s="340">
        <v>59</v>
      </c>
      <c r="DG785" s="340" t="s">
        <v>316</v>
      </c>
      <c r="DP785" s="236">
        <v>426.04</v>
      </c>
      <c r="DQ785" s="236" t="s">
        <v>339</v>
      </c>
      <c r="DV785" s="340">
        <v>78.180000000000007</v>
      </c>
      <c r="DW785" s="340" t="s">
        <v>340</v>
      </c>
      <c r="DX785" s="1671"/>
      <c r="EB785" s="618"/>
      <c r="EC785" s="618"/>
      <c r="ED785" s="618"/>
      <c r="EE785" s="618"/>
      <c r="EF785" s="618"/>
      <c r="EG785" s="618"/>
      <c r="EH785" s="618"/>
      <c r="EI785" s="618"/>
      <c r="EJ785" s="618"/>
      <c r="EK785" s="618"/>
      <c r="EL785" s="618"/>
      <c r="EM785" s="618"/>
    </row>
    <row r="786" spans="6:143">
      <c r="F786" s="338">
        <v>3</v>
      </c>
      <c r="G786" s="338" t="s">
        <v>347</v>
      </c>
      <c r="L786" s="2481">
        <v>62</v>
      </c>
      <c r="M786" s="340" t="s">
        <v>316</v>
      </c>
      <c r="N786" s="1390"/>
      <c r="O786" s="2479"/>
      <c r="P786" s="2282"/>
      <c r="AA786" s="338">
        <v>825.13</v>
      </c>
      <c r="AB786" s="338" t="s">
        <v>355</v>
      </c>
      <c r="AG786" s="2297">
        <v>78.349999999999994</v>
      </c>
      <c r="AH786" s="2297" t="s">
        <v>340</v>
      </c>
      <c r="AI786" s="1390"/>
      <c r="AJ786" s="2282"/>
      <c r="AK786" s="2282"/>
      <c r="AL786" s="1037"/>
      <c r="AR786" s="338">
        <v>210.02</v>
      </c>
      <c r="AS786" s="338" t="s">
        <v>349</v>
      </c>
      <c r="AX786" s="340">
        <v>9616.01</v>
      </c>
      <c r="AY786" s="340" t="s">
        <v>315</v>
      </c>
      <c r="BH786" s="338">
        <v>1005.01</v>
      </c>
      <c r="BI786" s="338" t="s">
        <v>289</v>
      </c>
      <c r="BN786" s="340">
        <v>77.25</v>
      </c>
      <c r="BO786" s="340" t="s">
        <v>340</v>
      </c>
      <c r="BP786" s="1385"/>
      <c r="BV786" s="338">
        <v>302.07</v>
      </c>
      <c r="BW786" s="338" t="s">
        <v>296</v>
      </c>
      <c r="CB786" s="340">
        <v>9614.01</v>
      </c>
      <c r="CC786" s="340" t="s">
        <v>315</v>
      </c>
      <c r="CL786" s="236">
        <v>23</v>
      </c>
      <c r="CM786" s="236" t="s">
        <v>331</v>
      </c>
      <c r="CR786" s="340">
        <v>77.39</v>
      </c>
      <c r="CS786" s="340" t="s">
        <v>340</v>
      </c>
      <c r="CT786" s="1384"/>
      <c r="CZ786" s="1795">
        <v>330.07</v>
      </c>
      <c r="DA786" s="338" t="s">
        <v>341</v>
      </c>
      <c r="DF786" s="340">
        <v>60</v>
      </c>
      <c r="DG786" s="340" t="s">
        <v>316</v>
      </c>
      <c r="DP786" s="236">
        <v>427</v>
      </c>
      <c r="DQ786" s="236" t="s">
        <v>289</v>
      </c>
      <c r="DV786" s="340">
        <v>78.2</v>
      </c>
      <c r="DW786" s="340" t="s">
        <v>340</v>
      </c>
      <c r="DX786" s="1671"/>
      <c r="EB786" s="618"/>
      <c r="EC786" s="618"/>
      <c r="ED786" s="618"/>
      <c r="EE786" s="618"/>
      <c r="EF786" s="618"/>
      <c r="EG786" s="618"/>
      <c r="EH786" s="618"/>
      <c r="EI786" s="618"/>
      <c r="EJ786" s="618"/>
      <c r="EK786" s="618"/>
      <c r="EL786" s="618"/>
      <c r="EM786" s="618"/>
    </row>
    <row r="787" spans="6:143">
      <c r="F787" s="338">
        <v>5.03</v>
      </c>
      <c r="G787" s="338" t="s">
        <v>347</v>
      </c>
      <c r="L787" s="2481">
        <v>63</v>
      </c>
      <c r="M787" s="340" t="s">
        <v>316</v>
      </c>
      <c r="N787" s="1390"/>
      <c r="O787" s="2479"/>
      <c r="P787" s="2282"/>
      <c r="AA787" s="338">
        <v>830.08</v>
      </c>
      <c r="AB787" s="338" t="s">
        <v>355</v>
      </c>
      <c r="AG787" s="2297">
        <v>78.37</v>
      </c>
      <c r="AH787" s="2297" t="s">
        <v>340</v>
      </c>
      <c r="AI787" s="1390"/>
      <c r="AJ787" s="2282"/>
      <c r="AK787" s="2282"/>
      <c r="AL787" s="1037"/>
      <c r="AR787" s="338">
        <v>3801</v>
      </c>
      <c r="AS787" s="338" t="s">
        <v>350</v>
      </c>
      <c r="AX787" s="340">
        <v>9616.02</v>
      </c>
      <c r="AY787" s="340" t="s">
        <v>315</v>
      </c>
      <c r="BH787" s="338">
        <v>1005.02</v>
      </c>
      <c r="BI787" s="338" t="s">
        <v>289</v>
      </c>
      <c r="BN787" s="340">
        <v>77.3</v>
      </c>
      <c r="BO787" s="340" t="s">
        <v>340</v>
      </c>
      <c r="BP787" s="1385"/>
      <c r="BV787" s="338">
        <v>302.08</v>
      </c>
      <c r="BW787" s="338" t="s">
        <v>296</v>
      </c>
      <c r="CB787" s="340">
        <v>9615</v>
      </c>
      <c r="CC787" s="340" t="s">
        <v>315</v>
      </c>
      <c r="CL787" s="236">
        <v>23</v>
      </c>
      <c r="CM787" s="236" t="s">
        <v>340</v>
      </c>
      <c r="CR787" s="340">
        <v>77.400000000000006</v>
      </c>
      <c r="CS787" s="340" t="s">
        <v>340</v>
      </c>
      <c r="CT787" s="1384"/>
      <c r="CZ787" s="1795">
        <v>330.08</v>
      </c>
      <c r="DA787" s="338" t="s">
        <v>341</v>
      </c>
      <c r="DF787" s="340">
        <v>61.01</v>
      </c>
      <c r="DG787" s="340" t="s">
        <v>316</v>
      </c>
      <c r="DP787" s="236">
        <v>427.01</v>
      </c>
      <c r="DQ787" s="236" t="s">
        <v>339</v>
      </c>
      <c r="DV787" s="340">
        <v>78.209999999999994</v>
      </c>
      <c r="DW787" s="340" t="s">
        <v>340</v>
      </c>
      <c r="DX787" s="1671"/>
      <c r="EB787" s="618"/>
      <c r="EC787" s="618"/>
      <c r="ED787" s="618"/>
      <c r="EE787" s="618"/>
      <c r="EF787" s="618"/>
      <c r="EG787" s="618"/>
      <c r="EH787" s="618"/>
      <c r="EI787" s="618"/>
      <c r="EJ787" s="618"/>
      <c r="EK787" s="618"/>
      <c r="EL787" s="618"/>
      <c r="EM787" s="618"/>
    </row>
    <row r="788" spans="6:143">
      <c r="F788" s="338">
        <v>10</v>
      </c>
      <c r="G788" s="338" t="s">
        <v>347</v>
      </c>
      <c r="L788" s="2481">
        <v>64</v>
      </c>
      <c r="M788" s="340" t="s">
        <v>316</v>
      </c>
      <c r="N788" s="1390"/>
      <c r="O788" s="2479"/>
      <c r="P788" s="2282"/>
      <c r="AA788" s="338">
        <v>903.01</v>
      </c>
      <c r="AB788" s="338" t="s">
        <v>289</v>
      </c>
      <c r="AG788" s="2297">
        <v>78.38</v>
      </c>
      <c r="AH788" s="2297" t="s">
        <v>340</v>
      </c>
      <c r="AI788" s="1390"/>
      <c r="AJ788" s="2282"/>
      <c r="AK788" s="2282"/>
      <c r="AL788" s="1037"/>
      <c r="AR788" s="338">
        <v>3802</v>
      </c>
      <c r="AS788" s="338" t="s">
        <v>350</v>
      </c>
      <c r="AX788" s="340">
        <v>9616.0499999999993</v>
      </c>
      <c r="AY788" s="340" t="s">
        <v>315</v>
      </c>
      <c r="BH788" s="338">
        <v>1007</v>
      </c>
      <c r="BI788" s="338" t="s">
        <v>289</v>
      </c>
      <c r="BN788" s="340">
        <v>77.31</v>
      </c>
      <c r="BO788" s="340" t="s">
        <v>340</v>
      </c>
      <c r="BP788" s="1385"/>
      <c r="BV788" s="338">
        <v>302.08999999999997</v>
      </c>
      <c r="BW788" s="338" t="s">
        <v>296</v>
      </c>
      <c r="CB788" s="340">
        <v>9616.01</v>
      </c>
      <c r="CC788" s="340" t="s">
        <v>315</v>
      </c>
      <c r="CL788" s="236">
        <v>23.02</v>
      </c>
      <c r="CM788" s="236" t="s">
        <v>324</v>
      </c>
      <c r="CR788" s="340">
        <v>77.41</v>
      </c>
      <c r="CS788" s="340" t="s">
        <v>340</v>
      </c>
      <c r="CT788" s="1384"/>
      <c r="CZ788" s="1795">
        <v>330.09</v>
      </c>
      <c r="DA788" s="338" t="s">
        <v>341</v>
      </c>
      <c r="DF788" s="340">
        <v>61.03</v>
      </c>
      <c r="DG788" s="340" t="s">
        <v>316</v>
      </c>
      <c r="DP788" s="236">
        <v>427.02</v>
      </c>
      <c r="DQ788" s="236" t="s">
        <v>339</v>
      </c>
      <c r="DV788" s="340">
        <v>78.23</v>
      </c>
      <c r="DW788" s="340" t="s">
        <v>340</v>
      </c>
      <c r="DX788" s="1671"/>
      <c r="EB788" s="618"/>
      <c r="EC788" s="618"/>
      <c r="ED788" s="618"/>
      <c r="EE788" s="618"/>
      <c r="EF788" s="618"/>
      <c r="EG788" s="618"/>
      <c r="EH788" s="618"/>
      <c r="EI788" s="618"/>
      <c r="EJ788" s="618"/>
      <c r="EK788" s="618"/>
      <c r="EL788" s="618"/>
      <c r="EM788" s="618"/>
    </row>
    <row r="789" spans="6:143">
      <c r="F789" s="338">
        <v>27.23</v>
      </c>
      <c r="G789" s="338" t="s">
        <v>347</v>
      </c>
      <c r="L789" s="2481">
        <v>65.010000000000005</v>
      </c>
      <c r="M789" s="340" t="s">
        <v>316</v>
      </c>
      <c r="N789" s="1390"/>
      <c r="O789" s="2479"/>
      <c r="P789" s="2282"/>
      <c r="AA789" s="338">
        <v>903.03</v>
      </c>
      <c r="AB789" s="338" t="s">
        <v>289</v>
      </c>
      <c r="AG789" s="2297">
        <v>78.41</v>
      </c>
      <c r="AH789" s="2297" t="s">
        <v>340</v>
      </c>
      <c r="AI789" s="1390"/>
      <c r="AJ789" s="2282"/>
      <c r="AK789" s="2282"/>
      <c r="AL789" s="1037"/>
      <c r="AR789" s="338">
        <v>3803</v>
      </c>
      <c r="AS789" s="338" t="s">
        <v>350</v>
      </c>
      <c r="AX789" s="340">
        <v>5</v>
      </c>
      <c r="AY789" s="340" t="s">
        <v>316</v>
      </c>
      <c r="BH789" s="338">
        <v>1008.01</v>
      </c>
      <c r="BI789" s="338" t="s">
        <v>289</v>
      </c>
      <c r="BN789" s="340">
        <v>77.349999999999994</v>
      </c>
      <c r="BO789" s="340" t="s">
        <v>340</v>
      </c>
      <c r="BP789" s="1385"/>
      <c r="BV789" s="338">
        <v>302.10000000000002</v>
      </c>
      <c r="BW789" s="338" t="s">
        <v>296</v>
      </c>
      <c r="CB789" s="340">
        <v>9616.02</v>
      </c>
      <c r="CC789" s="340" t="s">
        <v>315</v>
      </c>
      <c r="CL789" s="236">
        <v>23.02</v>
      </c>
      <c r="CM789" s="236" t="s">
        <v>329</v>
      </c>
      <c r="CR789" s="340">
        <v>77.430000000000007</v>
      </c>
      <c r="CS789" s="340" t="s">
        <v>340</v>
      </c>
      <c r="CT789" s="1384"/>
      <c r="CZ789" s="1795">
        <v>330.12</v>
      </c>
      <c r="DA789" s="338" t="s">
        <v>341</v>
      </c>
      <c r="DF789" s="340">
        <v>62</v>
      </c>
      <c r="DG789" s="340" t="s">
        <v>316</v>
      </c>
      <c r="DP789" s="236">
        <v>428.02</v>
      </c>
      <c r="DQ789" s="236" t="s">
        <v>289</v>
      </c>
      <c r="DV789" s="340">
        <v>78.3</v>
      </c>
      <c r="DW789" s="340" t="s">
        <v>340</v>
      </c>
      <c r="DX789" s="1671"/>
      <c r="EB789" s="618"/>
      <c r="EC789" s="618"/>
      <c r="ED789" s="618"/>
      <c r="EE789" s="618"/>
      <c r="EF789" s="618"/>
      <c r="EG789" s="618"/>
      <c r="EH789" s="618"/>
      <c r="EI789" s="618"/>
      <c r="EJ789" s="618"/>
      <c r="EK789" s="618"/>
      <c r="EL789" s="618"/>
      <c r="EM789" s="618"/>
    </row>
    <row r="790" spans="6:143">
      <c r="F790" s="338">
        <v>27.39</v>
      </c>
      <c r="G790" s="338" t="s">
        <v>347</v>
      </c>
      <c r="L790" s="2481">
        <v>65.040000000000006</v>
      </c>
      <c r="M790" s="340" t="s">
        <v>316</v>
      </c>
      <c r="N790" s="1390"/>
      <c r="O790" s="2479"/>
      <c r="P790" s="2282"/>
      <c r="AA790" s="338">
        <v>904.03</v>
      </c>
      <c r="AB790" s="338" t="s">
        <v>289</v>
      </c>
      <c r="AG790" s="2297">
        <v>78.42</v>
      </c>
      <c r="AH790" s="2297" t="s">
        <v>340</v>
      </c>
      <c r="AI790" s="1390"/>
      <c r="AJ790" s="2282"/>
      <c r="AK790" s="2282"/>
      <c r="AL790" s="1037"/>
      <c r="AR790" s="338">
        <v>3804</v>
      </c>
      <c r="AS790" s="338" t="s">
        <v>350</v>
      </c>
      <c r="AX790" s="340">
        <v>11</v>
      </c>
      <c r="AY790" s="340" t="s">
        <v>316</v>
      </c>
      <c r="BH790" s="338">
        <v>1103.3399999999999</v>
      </c>
      <c r="BI790" s="338" t="s">
        <v>289</v>
      </c>
      <c r="BN790" s="340">
        <v>77.38</v>
      </c>
      <c r="BO790" s="340" t="s">
        <v>340</v>
      </c>
      <c r="BP790" s="1385"/>
      <c r="BV790" s="338">
        <v>303.02999999999997</v>
      </c>
      <c r="BW790" s="338" t="s">
        <v>296</v>
      </c>
      <c r="CB790" s="340">
        <v>9616.0400000000009</v>
      </c>
      <c r="CC790" s="340" t="s">
        <v>315</v>
      </c>
      <c r="CL790" s="236">
        <v>23.02</v>
      </c>
      <c r="CM790" s="236" t="s">
        <v>347</v>
      </c>
      <c r="CR790" s="340">
        <v>77.48</v>
      </c>
      <c r="CS790" s="340" t="s">
        <v>340</v>
      </c>
      <c r="CT790" s="1384"/>
      <c r="CZ790" s="1795">
        <v>330.13</v>
      </c>
      <c r="DA790" s="338" t="s">
        <v>341</v>
      </c>
      <c r="DF790" s="340">
        <v>63</v>
      </c>
      <c r="DG790" s="340" t="s">
        <v>316</v>
      </c>
      <c r="DP790" s="236">
        <v>429.01</v>
      </c>
      <c r="DQ790" s="236" t="s">
        <v>339</v>
      </c>
      <c r="DV790" s="340">
        <v>78.31</v>
      </c>
      <c r="DW790" s="340" t="s">
        <v>340</v>
      </c>
      <c r="DX790" s="1671"/>
      <c r="EB790" s="618"/>
      <c r="EC790" s="618"/>
      <c r="ED790" s="618"/>
      <c r="EE790" s="618"/>
      <c r="EF790" s="618"/>
      <c r="EG790" s="618"/>
      <c r="EH790" s="618"/>
      <c r="EI790" s="618"/>
      <c r="EJ790" s="618"/>
      <c r="EK790" s="618"/>
      <c r="EL790" s="618"/>
      <c r="EM790" s="618"/>
    </row>
    <row r="791" spans="6:143">
      <c r="F791" s="338">
        <v>201.01</v>
      </c>
      <c r="G791" s="338" t="s">
        <v>348</v>
      </c>
      <c r="L791" s="2481">
        <v>66</v>
      </c>
      <c r="M791" s="340" t="s">
        <v>316</v>
      </c>
      <c r="N791" s="1390"/>
      <c r="O791" s="2479"/>
      <c r="P791" s="2282"/>
      <c r="AA791" s="338">
        <v>904.04</v>
      </c>
      <c r="AB791" s="338" t="s">
        <v>289</v>
      </c>
      <c r="AG791" s="2297">
        <v>78.430000000000007</v>
      </c>
      <c r="AH791" s="2297" t="s">
        <v>340</v>
      </c>
      <c r="AI791" s="1390"/>
      <c r="AJ791" s="2282"/>
      <c r="AK791" s="2282"/>
      <c r="AL791" s="1037"/>
      <c r="AR791" s="338">
        <v>3805</v>
      </c>
      <c r="AS791" s="338" t="s">
        <v>350</v>
      </c>
      <c r="AX791" s="340">
        <v>15</v>
      </c>
      <c r="AY791" s="340" t="s">
        <v>316</v>
      </c>
      <c r="BH791" s="338">
        <v>1103.54</v>
      </c>
      <c r="BI791" s="338" t="s">
        <v>289</v>
      </c>
      <c r="BN791" s="340">
        <v>77.39</v>
      </c>
      <c r="BO791" s="340" t="s">
        <v>340</v>
      </c>
      <c r="BP791" s="1385"/>
      <c r="BV791" s="338">
        <v>303.04000000000002</v>
      </c>
      <c r="BW791" s="338" t="s">
        <v>296</v>
      </c>
      <c r="CB791" s="340">
        <v>9616.0499999999993</v>
      </c>
      <c r="CC791" s="340" t="s">
        <v>315</v>
      </c>
      <c r="CL791" s="236">
        <v>23.03</v>
      </c>
      <c r="CM791" s="236" t="s">
        <v>324</v>
      </c>
      <c r="CR791" s="340">
        <v>77.489999999999995</v>
      </c>
      <c r="CS791" s="340" t="s">
        <v>340</v>
      </c>
      <c r="CT791" s="1384"/>
      <c r="CZ791" s="1795">
        <v>330.14</v>
      </c>
      <c r="DA791" s="338" t="s">
        <v>341</v>
      </c>
      <c r="DF791" s="340">
        <v>64</v>
      </c>
      <c r="DG791" s="340" t="s">
        <v>316</v>
      </c>
      <c r="DP791" s="236">
        <v>429.02</v>
      </c>
      <c r="DQ791" s="236" t="s">
        <v>339</v>
      </c>
      <c r="DV791" s="340">
        <v>78.34</v>
      </c>
      <c r="DW791" s="340" t="s">
        <v>340</v>
      </c>
      <c r="DX791" s="1671"/>
      <c r="EB791" s="618"/>
      <c r="EC791" s="618"/>
      <c r="ED791" s="618"/>
      <c r="EE791" s="618"/>
      <c r="EF791" s="618"/>
      <c r="EG791" s="618"/>
      <c r="EH791" s="618"/>
      <c r="EI791" s="618"/>
      <c r="EJ791" s="618"/>
      <c r="EK791" s="618"/>
      <c r="EL791" s="618"/>
      <c r="EM791" s="618"/>
    </row>
    <row r="792" spans="6:143">
      <c r="F792" s="338">
        <v>203.02</v>
      </c>
      <c r="G792" s="338" t="s">
        <v>348</v>
      </c>
      <c r="L792" s="2481">
        <v>67</v>
      </c>
      <c r="M792" s="340" t="s">
        <v>316</v>
      </c>
      <c r="N792" s="1390"/>
      <c r="O792" s="2479"/>
      <c r="P792" s="2282"/>
      <c r="AA792" s="338">
        <v>905</v>
      </c>
      <c r="AB792" s="338" t="s">
        <v>355</v>
      </c>
      <c r="AG792" s="2297">
        <v>78.44</v>
      </c>
      <c r="AH792" s="2297" t="s">
        <v>340</v>
      </c>
      <c r="AI792" s="1390"/>
      <c r="AJ792" s="2282"/>
      <c r="AK792" s="2282"/>
      <c r="AL792" s="1037"/>
      <c r="AR792" s="338">
        <v>3806</v>
      </c>
      <c r="AS792" s="338" t="s">
        <v>350</v>
      </c>
      <c r="AX792" s="340">
        <v>16</v>
      </c>
      <c r="AY792" s="340" t="s">
        <v>316</v>
      </c>
      <c r="BH792" s="338">
        <v>1103.55</v>
      </c>
      <c r="BI792" s="338" t="s">
        <v>289</v>
      </c>
      <c r="BN792" s="340">
        <v>77.400000000000006</v>
      </c>
      <c r="BO792" s="340" t="s">
        <v>340</v>
      </c>
      <c r="BP792" s="1385"/>
      <c r="BV792" s="338">
        <v>303.05</v>
      </c>
      <c r="BW792" s="338" t="s">
        <v>296</v>
      </c>
      <c r="CB792" s="340">
        <v>5</v>
      </c>
      <c r="CC792" s="340" t="s">
        <v>316</v>
      </c>
      <c r="CL792" s="236">
        <v>23.03</v>
      </c>
      <c r="CM792" s="236" t="s">
        <v>329</v>
      </c>
      <c r="CR792" s="340">
        <v>77.510000000000005</v>
      </c>
      <c r="CS792" s="340" t="s">
        <v>340</v>
      </c>
      <c r="CT792" s="1384"/>
      <c r="CZ792" s="1795">
        <v>331.01</v>
      </c>
      <c r="DA792" s="338" t="s">
        <v>341</v>
      </c>
      <c r="DF792" s="340">
        <v>65.010000000000005</v>
      </c>
      <c r="DG792" s="340" t="s">
        <v>316</v>
      </c>
      <c r="DP792" s="236">
        <v>432.03</v>
      </c>
      <c r="DQ792" s="236" t="s">
        <v>339</v>
      </c>
      <c r="DV792" s="340">
        <v>78.349999999999994</v>
      </c>
      <c r="DW792" s="340" t="s">
        <v>340</v>
      </c>
      <c r="DX792" s="1671"/>
      <c r="EB792" s="618"/>
      <c r="EC792" s="618"/>
      <c r="ED792" s="618"/>
      <c r="EE792" s="618"/>
      <c r="EF792" s="618"/>
      <c r="EG792" s="618"/>
      <c r="EH792" s="618"/>
      <c r="EI792" s="618"/>
      <c r="EJ792" s="618"/>
      <c r="EK792" s="618"/>
      <c r="EL792" s="618"/>
      <c r="EM792" s="618"/>
    </row>
    <row r="793" spans="6:143">
      <c r="F793" s="338">
        <v>204.01</v>
      </c>
      <c r="G793" s="338" t="s">
        <v>348</v>
      </c>
      <c r="L793" s="2481">
        <v>68.010000000000005</v>
      </c>
      <c r="M793" s="340" t="s">
        <v>316</v>
      </c>
      <c r="N793" s="1390"/>
      <c r="O793" s="2479"/>
      <c r="P793" s="2282"/>
      <c r="AA793" s="338">
        <v>905.04</v>
      </c>
      <c r="AB793" s="338" t="s">
        <v>289</v>
      </c>
      <c r="AG793" s="2297">
        <v>78.45</v>
      </c>
      <c r="AH793" s="2297" t="s">
        <v>340</v>
      </c>
      <c r="AI793" s="1390"/>
      <c r="AJ793" s="2282"/>
      <c r="AK793" s="2282"/>
      <c r="AL793" s="1037"/>
      <c r="AR793" s="338">
        <v>3809.02</v>
      </c>
      <c r="AS793" s="338" t="s">
        <v>350</v>
      </c>
      <c r="AX793" s="340">
        <v>17</v>
      </c>
      <c r="AY793" s="340" t="s">
        <v>316</v>
      </c>
      <c r="BH793" s="338">
        <v>3801</v>
      </c>
      <c r="BI793" s="338" t="s">
        <v>350</v>
      </c>
      <c r="BN793" s="340">
        <v>77.41</v>
      </c>
      <c r="BO793" s="340" t="s">
        <v>340</v>
      </c>
      <c r="BP793" s="1385"/>
      <c r="BV793" s="338">
        <v>303.06</v>
      </c>
      <c r="BW793" s="338" t="s">
        <v>296</v>
      </c>
      <c r="CB793" s="340">
        <v>11</v>
      </c>
      <c r="CC793" s="340" t="s">
        <v>316</v>
      </c>
      <c r="CL793" s="236">
        <v>23.04</v>
      </c>
      <c r="CM793" s="236" t="s">
        <v>324</v>
      </c>
      <c r="CR793" s="340">
        <v>77.52</v>
      </c>
      <c r="CS793" s="340" t="s">
        <v>340</v>
      </c>
      <c r="CT793" s="1384"/>
      <c r="CZ793" s="1795">
        <v>202.06</v>
      </c>
      <c r="DA793" s="338" t="s">
        <v>342</v>
      </c>
      <c r="DF793" s="340">
        <v>65.03</v>
      </c>
      <c r="DG793" s="340" t="s">
        <v>316</v>
      </c>
      <c r="DP793" s="236">
        <v>501.01</v>
      </c>
      <c r="DQ793" s="236" t="s">
        <v>318</v>
      </c>
      <c r="DV793" s="340">
        <v>78.37</v>
      </c>
      <c r="DW793" s="340" t="s">
        <v>340</v>
      </c>
      <c r="DX793" s="1671"/>
      <c r="EB793" s="618"/>
      <c r="EC793" s="618"/>
      <c r="ED793" s="618"/>
      <c r="EE793" s="618"/>
      <c r="EF793" s="618"/>
      <c r="EG793" s="618"/>
      <c r="EH793" s="618"/>
      <c r="EI793" s="618"/>
      <c r="EJ793" s="618"/>
      <c r="EK793" s="618"/>
      <c r="EL793" s="618"/>
      <c r="EM793" s="618"/>
    </row>
    <row r="794" spans="6:143">
      <c r="F794" s="338">
        <v>205</v>
      </c>
      <c r="G794" s="338" t="s">
        <v>348</v>
      </c>
      <c r="L794" s="2481">
        <v>68.02</v>
      </c>
      <c r="M794" s="340" t="s">
        <v>316</v>
      </c>
      <c r="N794" s="1390"/>
      <c r="O794" s="2479"/>
      <c r="P794" s="2282"/>
      <c r="AA794" s="338">
        <v>911</v>
      </c>
      <c r="AB794" s="338" t="s">
        <v>289</v>
      </c>
      <c r="AG794" s="2297">
        <v>78.459999999999994</v>
      </c>
      <c r="AH794" s="2297" t="s">
        <v>340</v>
      </c>
      <c r="AI794" s="1390"/>
      <c r="AJ794" s="2282"/>
      <c r="AK794" s="2282"/>
      <c r="AL794" s="1037"/>
      <c r="AR794" s="338">
        <v>3814.01</v>
      </c>
      <c r="AS794" s="338" t="s">
        <v>350</v>
      </c>
      <c r="AX794" s="340">
        <v>22</v>
      </c>
      <c r="AY794" s="340" t="s">
        <v>316</v>
      </c>
      <c r="BH794" s="338">
        <v>3802</v>
      </c>
      <c r="BI794" s="338" t="s">
        <v>350</v>
      </c>
      <c r="BN794" s="340">
        <v>77.430000000000007</v>
      </c>
      <c r="BO794" s="340" t="s">
        <v>340</v>
      </c>
      <c r="BP794" s="1385"/>
      <c r="BV794" s="338">
        <v>304</v>
      </c>
      <c r="BW794" s="338" t="s">
        <v>296</v>
      </c>
      <c r="CB794" s="340">
        <v>15</v>
      </c>
      <c r="CC794" s="340" t="s">
        <v>316</v>
      </c>
      <c r="CL794" s="236">
        <v>23.04</v>
      </c>
      <c r="CM794" s="236" t="s">
        <v>329</v>
      </c>
      <c r="CR794" s="340">
        <v>77.540000000000006</v>
      </c>
      <c r="CS794" s="340" t="s">
        <v>340</v>
      </c>
      <c r="CT794" s="1384"/>
      <c r="CZ794" s="1795">
        <v>205</v>
      </c>
      <c r="DA794" s="338" t="s">
        <v>342</v>
      </c>
      <c r="DF794" s="340">
        <v>65.040000000000006</v>
      </c>
      <c r="DG794" s="340" t="s">
        <v>316</v>
      </c>
      <c r="DP794" s="236">
        <v>501.03</v>
      </c>
      <c r="DQ794" s="236" t="s">
        <v>335</v>
      </c>
      <c r="DV794" s="340">
        <v>78.38</v>
      </c>
      <c r="DW794" s="340" t="s">
        <v>340</v>
      </c>
      <c r="DX794" s="1671"/>
      <c r="EB794" s="618"/>
      <c r="EC794" s="618"/>
      <c r="ED794" s="618"/>
      <c r="EE794" s="618"/>
      <c r="EF794" s="618"/>
      <c r="EG794" s="618"/>
      <c r="EH794" s="618"/>
      <c r="EI794" s="618"/>
      <c r="EJ794" s="618"/>
      <c r="EK794" s="618"/>
      <c r="EL794" s="618"/>
      <c r="EM794" s="618"/>
    </row>
    <row r="795" spans="6:143">
      <c r="F795" s="338">
        <v>209.01</v>
      </c>
      <c r="G795" s="338" t="s">
        <v>348</v>
      </c>
      <c r="L795" s="2481">
        <v>69</v>
      </c>
      <c r="M795" s="340" t="s">
        <v>316</v>
      </c>
      <c r="N795" s="1390"/>
      <c r="O795" s="2479"/>
      <c r="P795" s="2282"/>
      <c r="AA795" s="338">
        <v>914</v>
      </c>
      <c r="AB795" s="338" t="s">
        <v>289</v>
      </c>
      <c r="AG795" s="2297">
        <v>78.47</v>
      </c>
      <c r="AH795" s="2297" t="s">
        <v>340</v>
      </c>
      <c r="AI795" s="1390"/>
      <c r="AJ795" s="2282"/>
      <c r="AK795" s="2282"/>
      <c r="AL795" s="1037"/>
      <c r="AR795" s="338">
        <v>3820.1</v>
      </c>
      <c r="AS795" s="338" t="s">
        <v>350</v>
      </c>
      <c r="AX795" s="340">
        <v>23</v>
      </c>
      <c r="AY795" s="340" t="s">
        <v>316</v>
      </c>
      <c r="BH795" s="338">
        <v>3803</v>
      </c>
      <c r="BI795" s="338" t="s">
        <v>350</v>
      </c>
      <c r="BN795" s="340">
        <v>77.48</v>
      </c>
      <c r="BO795" s="340" t="s">
        <v>340</v>
      </c>
      <c r="BP795" s="1385"/>
      <c r="BV795" s="338">
        <v>305</v>
      </c>
      <c r="BW795" s="338" t="s">
        <v>296</v>
      </c>
      <c r="CB795" s="340">
        <v>16</v>
      </c>
      <c r="CC795" s="340" t="s">
        <v>316</v>
      </c>
      <c r="CL795" s="236">
        <v>23.04</v>
      </c>
      <c r="CM795" s="236" t="s">
        <v>347</v>
      </c>
      <c r="CR795" s="340">
        <v>77.569999999999993</v>
      </c>
      <c r="CS795" s="340" t="s">
        <v>340</v>
      </c>
      <c r="CT795" s="1384"/>
      <c r="CZ795" s="1795">
        <v>208</v>
      </c>
      <c r="DA795" s="338" t="s">
        <v>342</v>
      </c>
      <c r="DF795" s="340">
        <v>66</v>
      </c>
      <c r="DG795" s="340" t="s">
        <v>316</v>
      </c>
      <c r="DP795" s="236">
        <v>503.03</v>
      </c>
      <c r="DQ795" s="236" t="s">
        <v>318</v>
      </c>
      <c r="DV795" s="340">
        <v>78.42</v>
      </c>
      <c r="DW795" s="340" t="s">
        <v>340</v>
      </c>
      <c r="DX795" s="1671"/>
      <c r="EB795" s="618"/>
      <c r="EC795" s="618"/>
      <c r="ED795" s="618"/>
      <c r="EE795" s="618"/>
      <c r="EF795" s="618"/>
      <c r="EG795" s="618"/>
      <c r="EH795" s="618"/>
      <c r="EI795" s="618"/>
      <c r="EJ795" s="618"/>
      <c r="EK795" s="618"/>
      <c r="EL795" s="618"/>
      <c r="EM795" s="618"/>
    </row>
    <row r="796" spans="6:143">
      <c r="F796" s="338">
        <v>209.02</v>
      </c>
      <c r="G796" s="338" t="s">
        <v>348</v>
      </c>
      <c r="L796" s="2481">
        <v>70.02</v>
      </c>
      <c r="M796" s="340" t="s">
        <v>316</v>
      </c>
      <c r="N796" s="1390"/>
      <c r="O796" s="2479"/>
      <c r="P796" s="2282"/>
      <c r="AA796" s="338">
        <v>916.01</v>
      </c>
      <c r="AB796" s="338" t="s">
        <v>289</v>
      </c>
      <c r="AG796" s="2297">
        <v>78.48</v>
      </c>
      <c r="AH796" s="2297" t="s">
        <v>340</v>
      </c>
      <c r="AI796" s="1390"/>
      <c r="AJ796" s="2282"/>
      <c r="AK796" s="2282"/>
      <c r="AL796" s="1037"/>
      <c r="AR796" s="338">
        <v>809.01</v>
      </c>
      <c r="AS796" s="338" t="s">
        <v>355</v>
      </c>
      <c r="AX796" s="340">
        <v>24</v>
      </c>
      <c r="AY796" s="340" t="s">
        <v>316</v>
      </c>
      <c r="BH796" s="338">
        <v>3804</v>
      </c>
      <c r="BI796" s="338" t="s">
        <v>350</v>
      </c>
      <c r="BN796" s="340">
        <v>77.489999999999995</v>
      </c>
      <c r="BO796" s="340" t="s">
        <v>340</v>
      </c>
      <c r="BP796" s="1385"/>
      <c r="BV796" s="338">
        <v>306</v>
      </c>
      <c r="BW796" s="338" t="s">
        <v>296</v>
      </c>
      <c r="CB796" s="340">
        <v>17</v>
      </c>
      <c r="CC796" s="340" t="s">
        <v>316</v>
      </c>
      <c r="CL796" s="236">
        <v>23.05</v>
      </c>
      <c r="CM796" s="236" t="s">
        <v>347</v>
      </c>
      <c r="CR796" s="340">
        <v>77.59</v>
      </c>
      <c r="CS796" s="340" t="s">
        <v>340</v>
      </c>
      <c r="CT796" s="1384"/>
      <c r="CZ796" s="1795">
        <v>212</v>
      </c>
      <c r="DA796" s="338" t="s">
        <v>342</v>
      </c>
      <c r="DF796" s="340">
        <v>67</v>
      </c>
      <c r="DG796" s="340" t="s">
        <v>316</v>
      </c>
      <c r="DP796" s="236">
        <v>503.05</v>
      </c>
      <c r="DQ796" s="236" t="s">
        <v>335</v>
      </c>
      <c r="DV796" s="340">
        <v>78.430000000000007</v>
      </c>
      <c r="DW796" s="340" t="s">
        <v>340</v>
      </c>
      <c r="DX796" s="1671"/>
      <c r="EB796" s="618"/>
      <c r="EC796" s="618"/>
      <c r="ED796" s="618"/>
      <c r="EE796" s="618"/>
      <c r="EF796" s="618"/>
      <c r="EG796" s="618"/>
      <c r="EH796" s="618"/>
      <c r="EI796" s="618"/>
      <c r="EJ796" s="618"/>
      <c r="EK796" s="618"/>
      <c r="EL796" s="618"/>
      <c r="EM796" s="618"/>
    </row>
    <row r="797" spans="6:143">
      <c r="F797" s="338">
        <v>220.01</v>
      </c>
      <c r="G797" s="338" t="s">
        <v>348</v>
      </c>
      <c r="L797" s="2481">
        <v>71.02</v>
      </c>
      <c r="M797" s="340" t="s">
        <v>316</v>
      </c>
      <c r="N797" s="1390"/>
      <c r="O797" s="2479"/>
      <c r="P797" s="2282"/>
      <c r="AA797" s="338">
        <v>919.03</v>
      </c>
      <c r="AB797" s="338" t="s">
        <v>289</v>
      </c>
      <c r="AG797" s="2297">
        <v>78.489999999999995</v>
      </c>
      <c r="AH797" s="2297" t="s">
        <v>340</v>
      </c>
      <c r="AI797" s="1390"/>
      <c r="AJ797" s="2282"/>
      <c r="AK797" s="2282"/>
      <c r="AL797" s="1037"/>
      <c r="AR797" s="338">
        <v>809.02</v>
      </c>
      <c r="AS797" s="338" t="s">
        <v>355</v>
      </c>
      <c r="AX797" s="340">
        <v>28</v>
      </c>
      <c r="AY797" s="340" t="s">
        <v>316</v>
      </c>
      <c r="BH797" s="338">
        <v>3805</v>
      </c>
      <c r="BI797" s="338" t="s">
        <v>350</v>
      </c>
      <c r="BN797" s="340">
        <v>77.510000000000005</v>
      </c>
      <c r="BO797" s="340" t="s">
        <v>340</v>
      </c>
      <c r="BP797" s="1385"/>
      <c r="BV797" s="338">
        <v>307.01</v>
      </c>
      <c r="BW797" s="338" t="s">
        <v>296</v>
      </c>
      <c r="CB797" s="340">
        <v>22</v>
      </c>
      <c r="CC797" s="340" t="s">
        <v>316</v>
      </c>
      <c r="CL797" s="236">
        <v>23.06</v>
      </c>
      <c r="CM797" s="236" t="s">
        <v>347</v>
      </c>
      <c r="CR797" s="340">
        <v>77.63</v>
      </c>
      <c r="CS797" s="340" t="s">
        <v>340</v>
      </c>
      <c r="CT797" s="1384"/>
      <c r="CZ797" s="1795">
        <v>215.02</v>
      </c>
      <c r="DA797" s="338" t="s">
        <v>342</v>
      </c>
      <c r="DF797" s="340">
        <v>68.010000000000005</v>
      </c>
      <c r="DG797" s="340" t="s">
        <v>316</v>
      </c>
      <c r="DP797" s="236">
        <v>503.08</v>
      </c>
      <c r="DQ797" s="236" t="s">
        <v>289</v>
      </c>
      <c r="DV797" s="340">
        <v>78.44</v>
      </c>
      <c r="DW797" s="340" t="s">
        <v>340</v>
      </c>
      <c r="DX797" s="1671"/>
      <c r="EB797" s="618"/>
      <c r="EC797" s="618"/>
      <c r="ED797" s="618"/>
      <c r="EE797" s="618"/>
      <c r="EF797" s="618"/>
      <c r="EG797" s="618"/>
      <c r="EH797" s="618"/>
      <c r="EI797" s="618"/>
      <c r="EJ797" s="618"/>
      <c r="EK797" s="618"/>
      <c r="EL797" s="618"/>
      <c r="EM797" s="618"/>
    </row>
    <row r="798" spans="6:143">
      <c r="F798" s="338">
        <v>203</v>
      </c>
      <c r="G798" s="338" t="s">
        <v>349</v>
      </c>
      <c r="L798" s="2481">
        <v>71.03</v>
      </c>
      <c r="M798" s="340" t="s">
        <v>316</v>
      </c>
      <c r="N798" s="1390"/>
      <c r="O798" s="2479"/>
      <c r="P798" s="2282"/>
      <c r="AA798" s="338">
        <v>1001.03</v>
      </c>
      <c r="AB798" s="338" t="s">
        <v>289</v>
      </c>
      <c r="AG798" s="2297">
        <v>78.5</v>
      </c>
      <c r="AH798" s="2297" t="s">
        <v>340</v>
      </c>
      <c r="AI798" s="1390"/>
      <c r="AJ798" s="2282"/>
      <c r="AK798" s="2282"/>
      <c r="AL798" s="1037"/>
      <c r="AR798" s="338">
        <v>812.01</v>
      </c>
      <c r="AS798" s="338" t="s">
        <v>355</v>
      </c>
      <c r="AX798" s="340">
        <v>46.01</v>
      </c>
      <c r="AY798" s="340" t="s">
        <v>316</v>
      </c>
      <c r="BH798" s="338">
        <v>3806</v>
      </c>
      <c r="BI798" s="338" t="s">
        <v>350</v>
      </c>
      <c r="BN798" s="340">
        <v>77.52</v>
      </c>
      <c r="BO798" s="340" t="s">
        <v>340</v>
      </c>
      <c r="BP798" s="1385"/>
      <c r="BV798" s="338">
        <v>307.04000000000002</v>
      </c>
      <c r="BW798" s="338" t="s">
        <v>296</v>
      </c>
      <c r="CB798" s="340">
        <v>23</v>
      </c>
      <c r="CC798" s="340" t="s">
        <v>316</v>
      </c>
      <c r="CL798" s="236">
        <v>23.07</v>
      </c>
      <c r="CM798" s="236" t="s">
        <v>347</v>
      </c>
      <c r="CR798" s="340">
        <v>77.64</v>
      </c>
      <c r="CS798" s="340" t="s">
        <v>340</v>
      </c>
      <c r="CT798" s="1384"/>
      <c r="CZ798" s="1795">
        <v>216</v>
      </c>
      <c r="DA798" s="338" t="s">
        <v>342</v>
      </c>
      <c r="DF798" s="340">
        <v>68.02</v>
      </c>
      <c r="DG798" s="340" t="s">
        <v>316</v>
      </c>
      <c r="DP798" s="236">
        <v>503.09</v>
      </c>
      <c r="DQ798" s="236" t="s">
        <v>289</v>
      </c>
      <c r="DV798" s="340">
        <v>78.459999999999994</v>
      </c>
      <c r="DW798" s="340" t="s">
        <v>340</v>
      </c>
      <c r="DX798" s="1671"/>
      <c r="EB798" s="618"/>
      <c r="EC798" s="618"/>
      <c r="ED798" s="618"/>
      <c r="EE798" s="618"/>
      <c r="EF798" s="618"/>
      <c r="EG798" s="618"/>
      <c r="EH798" s="618"/>
      <c r="EI798" s="618"/>
      <c r="EJ798" s="618"/>
      <c r="EK798" s="618"/>
      <c r="EL798" s="618"/>
      <c r="EM798" s="618"/>
    </row>
    <row r="799" spans="6:143">
      <c r="F799" s="338">
        <v>3801</v>
      </c>
      <c r="G799" s="338" t="s">
        <v>350</v>
      </c>
      <c r="L799" s="2481">
        <v>72</v>
      </c>
      <c r="M799" s="340" t="s">
        <v>316</v>
      </c>
      <c r="N799" s="1390"/>
      <c r="O799" s="2479"/>
      <c r="P799" s="2282"/>
      <c r="AA799" s="338">
        <v>1002.01</v>
      </c>
      <c r="AB799" s="338" t="s">
        <v>289</v>
      </c>
      <c r="AG799" s="2297">
        <v>78.510000000000005</v>
      </c>
      <c r="AH799" s="2297" t="s">
        <v>340</v>
      </c>
      <c r="AI799" s="1390"/>
      <c r="AJ799" s="2282"/>
      <c r="AK799" s="2282"/>
      <c r="AL799" s="1037"/>
      <c r="AR799" s="338">
        <v>812.02</v>
      </c>
      <c r="AS799" s="338" t="s">
        <v>355</v>
      </c>
      <c r="AX799" s="340">
        <v>46.02</v>
      </c>
      <c r="AY799" s="340" t="s">
        <v>316</v>
      </c>
      <c r="BH799" s="338">
        <v>3809.02</v>
      </c>
      <c r="BI799" s="338" t="s">
        <v>350</v>
      </c>
      <c r="BN799" s="340">
        <v>77.540000000000006</v>
      </c>
      <c r="BO799" s="340" t="s">
        <v>340</v>
      </c>
      <c r="BP799" s="1385"/>
      <c r="BV799" s="338">
        <v>307.05</v>
      </c>
      <c r="BW799" s="338" t="s">
        <v>296</v>
      </c>
      <c r="CB799" s="340">
        <v>24</v>
      </c>
      <c r="CC799" s="340" t="s">
        <v>316</v>
      </c>
      <c r="CL799" s="338">
        <v>24</v>
      </c>
      <c r="CM799" s="338" t="s">
        <v>285</v>
      </c>
      <c r="CR799" s="340">
        <v>77.680000000000007</v>
      </c>
      <c r="CS799" s="340" t="s">
        <v>340</v>
      </c>
      <c r="CT799" s="1384"/>
      <c r="CZ799" s="1795">
        <v>220</v>
      </c>
      <c r="DA799" s="338" t="s">
        <v>342</v>
      </c>
      <c r="DF799" s="340">
        <v>69</v>
      </c>
      <c r="DG799" s="340" t="s">
        <v>316</v>
      </c>
      <c r="DP799" s="236">
        <v>503.11</v>
      </c>
      <c r="DQ799" s="236" t="s">
        <v>289</v>
      </c>
      <c r="DV799" s="340">
        <v>78.47</v>
      </c>
      <c r="DW799" s="340" t="s">
        <v>340</v>
      </c>
      <c r="DX799" s="1671"/>
      <c r="EB799" s="618"/>
      <c r="EC799" s="618"/>
      <c r="ED799" s="618"/>
      <c r="EE799" s="618"/>
      <c r="EF799" s="618"/>
      <c r="EG799" s="618"/>
      <c r="EH799" s="618"/>
      <c r="EI799" s="618"/>
      <c r="EJ799" s="618"/>
      <c r="EK799" s="618"/>
      <c r="EL799" s="618"/>
      <c r="EM799" s="618"/>
    </row>
    <row r="800" spans="6:143">
      <c r="F800" s="338">
        <v>3802</v>
      </c>
      <c r="G800" s="338" t="s">
        <v>350</v>
      </c>
      <c r="L800" s="2481">
        <v>73</v>
      </c>
      <c r="M800" s="340" t="s">
        <v>316</v>
      </c>
      <c r="N800" s="1390"/>
      <c r="O800" s="2479"/>
      <c r="P800" s="2282"/>
      <c r="AA800" s="338">
        <v>1002.03</v>
      </c>
      <c r="AB800" s="338" t="s">
        <v>289</v>
      </c>
      <c r="AG800" s="2297">
        <v>79.010000000000005</v>
      </c>
      <c r="AH800" s="2297" t="s">
        <v>331</v>
      </c>
      <c r="AI800" s="1390"/>
      <c r="AJ800" s="2282"/>
      <c r="AK800" s="2282"/>
      <c r="AL800" s="1037"/>
      <c r="AR800" s="338">
        <v>815</v>
      </c>
      <c r="AS800" s="338" t="s">
        <v>355</v>
      </c>
      <c r="AX800" s="340">
        <v>47</v>
      </c>
      <c r="AY800" s="340" t="s">
        <v>316</v>
      </c>
      <c r="BH800" s="338">
        <v>3814.01</v>
      </c>
      <c r="BI800" s="338" t="s">
        <v>350</v>
      </c>
      <c r="BN800" s="340">
        <v>77.569999999999993</v>
      </c>
      <c r="BO800" s="340" t="s">
        <v>340</v>
      </c>
      <c r="BP800" s="1385"/>
      <c r="BV800" s="338">
        <v>307.06</v>
      </c>
      <c r="BW800" s="338" t="s">
        <v>296</v>
      </c>
      <c r="CB800" s="340">
        <v>28</v>
      </c>
      <c r="CC800" s="340" t="s">
        <v>316</v>
      </c>
      <c r="CL800" s="236">
        <v>24</v>
      </c>
      <c r="CM800" s="236" t="s">
        <v>302</v>
      </c>
      <c r="CR800" s="340">
        <v>77.7</v>
      </c>
      <c r="CS800" s="340" t="s">
        <v>340</v>
      </c>
      <c r="CT800" s="1384"/>
      <c r="CZ800" s="1795">
        <v>221.01</v>
      </c>
      <c r="DA800" s="338" t="s">
        <v>342</v>
      </c>
      <c r="DF800" s="340">
        <v>70.02</v>
      </c>
      <c r="DG800" s="340" t="s">
        <v>316</v>
      </c>
      <c r="DP800" s="236">
        <v>503.12</v>
      </c>
      <c r="DQ800" s="236" t="s">
        <v>289</v>
      </c>
      <c r="DV800" s="340">
        <v>78.48</v>
      </c>
      <c r="DW800" s="340" t="s">
        <v>340</v>
      </c>
      <c r="DX800" s="1671"/>
      <c r="EB800" s="618"/>
      <c r="EC800" s="618"/>
      <c r="ED800" s="618"/>
      <c r="EE800" s="618"/>
      <c r="EF800" s="618"/>
      <c r="EG800" s="618"/>
      <c r="EH800" s="618"/>
      <c r="EI800" s="618"/>
      <c r="EJ800" s="618"/>
      <c r="EK800" s="618"/>
      <c r="EL800" s="618"/>
      <c r="EM800" s="618"/>
    </row>
    <row r="801" spans="6:143">
      <c r="F801" s="338">
        <v>3803</v>
      </c>
      <c r="G801" s="338" t="s">
        <v>350</v>
      </c>
      <c r="L801" s="2481">
        <v>101.05</v>
      </c>
      <c r="M801" s="340" t="s">
        <v>316</v>
      </c>
      <c r="N801" s="1390"/>
      <c r="O801" s="2479"/>
      <c r="P801" s="2282"/>
      <c r="AA801" s="338">
        <v>1004</v>
      </c>
      <c r="AB801" s="338" t="s">
        <v>289</v>
      </c>
      <c r="AG801" s="2297">
        <v>79.02</v>
      </c>
      <c r="AH801" s="2297" t="s">
        <v>331</v>
      </c>
      <c r="AI801" s="1390"/>
      <c r="AJ801" s="2282"/>
      <c r="AK801" s="2282"/>
      <c r="AL801" s="1037"/>
      <c r="AR801" s="338">
        <v>816</v>
      </c>
      <c r="AS801" s="338" t="s">
        <v>355</v>
      </c>
      <c r="AX801" s="340">
        <v>48</v>
      </c>
      <c r="AY801" s="340" t="s">
        <v>316</v>
      </c>
      <c r="BH801" s="338">
        <v>3820.1</v>
      </c>
      <c r="BI801" s="338" t="s">
        <v>350</v>
      </c>
      <c r="BN801" s="340">
        <v>77.58</v>
      </c>
      <c r="BO801" s="340" t="s">
        <v>340</v>
      </c>
      <c r="BP801" s="1385"/>
      <c r="BV801" s="338">
        <v>307.07</v>
      </c>
      <c r="BW801" s="338" t="s">
        <v>296</v>
      </c>
      <c r="CB801" s="340">
        <v>46.01</v>
      </c>
      <c r="CC801" s="340" t="s">
        <v>316</v>
      </c>
      <c r="CL801" s="236">
        <v>24</v>
      </c>
      <c r="CM801" s="236" t="s">
        <v>304</v>
      </c>
      <c r="CR801" s="340">
        <v>77.709999999999994</v>
      </c>
      <c r="CS801" s="340" t="s">
        <v>340</v>
      </c>
      <c r="CT801" s="1384"/>
      <c r="CZ801" s="1795">
        <v>229.02</v>
      </c>
      <c r="DA801" s="338" t="s">
        <v>342</v>
      </c>
      <c r="DF801" s="340">
        <v>71.02</v>
      </c>
      <c r="DG801" s="340" t="s">
        <v>316</v>
      </c>
      <c r="DP801" s="236">
        <v>503.14</v>
      </c>
      <c r="DQ801" s="236" t="s">
        <v>289</v>
      </c>
      <c r="DV801" s="340">
        <v>78.489999999999995</v>
      </c>
      <c r="DW801" s="340" t="s">
        <v>340</v>
      </c>
      <c r="DX801" s="1671"/>
      <c r="EB801" s="618"/>
      <c r="EC801" s="618"/>
      <c r="ED801" s="618"/>
      <c r="EE801" s="618"/>
      <c r="EF801" s="618"/>
      <c r="EG801" s="618"/>
      <c r="EH801" s="618"/>
      <c r="EI801" s="618"/>
      <c r="EJ801" s="618"/>
      <c r="EK801" s="618"/>
      <c r="EL801" s="618"/>
      <c r="EM801" s="618"/>
    </row>
    <row r="802" spans="6:143">
      <c r="F802" s="338">
        <v>3804</v>
      </c>
      <c r="G802" s="338" t="s">
        <v>350</v>
      </c>
      <c r="L802" s="2481">
        <v>101.06</v>
      </c>
      <c r="M802" s="340" t="s">
        <v>316</v>
      </c>
      <c r="N802" s="1390"/>
      <c r="O802" s="2479"/>
      <c r="P802" s="2282"/>
      <c r="AA802" s="338">
        <v>1005.01</v>
      </c>
      <c r="AB802" s="338" t="s">
        <v>289</v>
      </c>
      <c r="AG802" s="2297">
        <v>79.09</v>
      </c>
      <c r="AH802" s="2297" t="s">
        <v>340</v>
      </c>
      <c r="AI802" s="1390"/>
      <c r="AJ802" s="2282"/>
      <c r="AK802" s="2282"/>
      <c r="AL802" s="1037"/>
      <c r="AR802" s="338">
        <v>818</v>
      </c>
      <c r="AS802" s="338" t="s">
        <v>355</v>
      </c>
      <c r="AX802" s="340">
        <v>49.01</v>
      </c>
      <c r="AY802" s="340" t="s">
        <v>316</v>
      </c>
      <c r="BH802" s="338">
        <v>4502.0200000000004</v>
      </c>
      <c r="BI802" s="338" t="s">
        <v>295</v>
      </c>
      <c r="BN802" s="340">
        <v>77.59</v>
      </c>
      <c r="BO802" s="340" t="s">
        <v>340</v>
      </c>
      <c r="BP802" s="1385"/>
      <c r="BV802" s="338">
        <v>307.08</v>
      </c>
      <c r="BW802" s="338" t="s">
        <v>296</v>
      </c>
      <c r="CB802" s="340">
        <v>46.02</v>
      </c>
      <c r="CC802" s="340" t="s">
        <v>316</v>
      </c>
      <c r="CL802" s="236">
        <v>24</v>
      </c>
      <c r="CM802" s="236" t="s">
        <v>316</v>
      </c>
      <c r="CR802" s="340">
        <v>77.72</v>
      </c>
      <c r="CS802" s="340" t="s">
        <v>340</v>
      </c>
      <c r="CT802" s="1384"/>
      <c r="CZ802" s="1795">
        <v>230</v>
      </c>
      <c r="DA802" s="338" t="s">
        <v>342</v>
      </c>
      <c r="DF802" s="340">
        <v>71.03</v>
      </c>
      <c r="DG802" s="340" t="s">
        <v>316</v>
      </c>
      <c r="DP802" s="236">
        <v>504.01</v>
      </c>
      <c r="DQ802" s="236" t="s">
        <v>318</v>
      </c>
      <c r="DV802" s="340">
        <v>78.5</v>
      </c>
      <c r="DW802" s="340" t="s">
        <v>340</v>
      </c>
      <c r="DX802" s="1671"/>
      <c r="EB802" s="618"/>
      <c r="EC802" s="618"/>
      <c r="ED802" s="618"/>
      <c r="EE802" s="618"/>
      <c r="EF802" s="618"/>
      <c r="EG802" s="618"/>
      <c r="EH802" s="618"/>
      <c r="EI802" s="618"/>
      <c r="EJ802" s="618"/>
      <c r="EK802" s="618"/>
      <c r="EL802" s="618"/>
      <c r="EM802" s="618"/>
    </row>
    <row r="803" spans="6:143">
      <c r="F803" s="338">
        <v>3805</v>
      </c>
      <c r="G803" s="338" t="s">
        <v>350</v>
      </c>
      <c r="L803" s="2481">
        <v>102.1</v>
      </c>
      <c r="M803" s="340" t="s">
        <v>316</v>
      </c>
      <c r="N803" s="1390"/>
      <c r="O803" s="2479"/>
      <c r="P803" s="2282"/>
      <c r="AA803" s="338">
        <v>1005.02</v>
      </c>
      <c r="AB803" s="338" t="s">
        <v>289</v>
      </c>
      <c r="AG803" s="2297">
        <v>79.13</v>
      </c>
      <c r="AH803" s="2297" t="s">
        <v>340</v>
      </c>
      <c r="AI803" s="1390"/>
      <c r="AJ803" s="2282"/>
      <c r="AK803" s="2282"/>
      <c r="AL803" s="1037"/>
      <c r="AR803" s="338">
        <v>819</v>
      </c>
      <c r="AS803" s="338" t="s">
        <v>355</v>
      </c>
      <c r="AX803" s="340">
        <v>49.02</v>
      </c>
      <c r="AY803" s="340" t="s">
        <v>316</v>
      </c>
      <c r="BH803" s="338">
        <v>4503.05</v>
      </c>
      <c r="BI803" s="338" t="s">
        <v>295</v>
      </c>
      <c r="BN803" s="340">
        <v>77.63</v>
      </c>
      <c r="BO803" s="340" t="s">
        <v>340</v>
      </c>
      <c r="BP803" s="1385"/>
      <c r="BV803" s="338">
        <v>308.01</v>
      </c>
      <c r="BW803" s="338" t="s">
        <v>296</v>
      </c>
      <c r="CB803" s="340">
        <v>47</v>
      </c>
      <c r="CC803" s="340" t="s">
        <v>316</v>
      </c>
      <c r="CL803" s="236">
        <v>24</v>
      </c>
      <c r="CM803" s="236" t="s">
        <v>340</v>
      </c>
      <c r="CR803" s="340">
        <v>77.73</v>
      </c>
      <c r="CS803" s="340" t="s">
        <v>340</v>
      </c>
      <c r="CT803" s="1384"/>
      <c r="CZ803" s="1795">
        <v>234</v>
      </c>
      <c r="DA803" s="338" t="s">
        <v>342</v>
      </c>
      <c r="DF803" s="340">
        <v>72</v>
      </c>
      <c r="DG803" s="340" t="s">
        <v>316</v>
      </c>
      <c r="DP803" s="236">
        <v>506.04</v>
      </c>
      <c r="DQ803" s="236" t="s">
        <v>318</v>
      </c>
      <c r="DV803" s="340">
        <v>78.53</v>
      </c>
      <c r="DW803" s="340" t="s">
        <v>340</v>
      </c>
      <c r="DX803" s="1671"/>
      <c r="EB803" s="618"/>
      <c r="EC803" s="618"/>
      <c r="ED803" s="618"/>
      <c r="EE803" s="618"/>
      <c r="EF803" s="618"/>
      <c r="EG803" s="618"/>
      <c r="EH803" s="618"/>
      <c r="EI803" s="618"/>
      <c r="EJ803" s="618"/>
      <c r="EK803" s="618"/>
      <c r="EL803" s="618"/>
      <c r="EM803" s="618"/>
    </row>
    <row r="804" spans="6:143">
      <c r="F804" s="338">
        <v>3809.02</v>
      </c>
      <c r="G804" s="338" t="s">
        <v>350</v>
      </c>
      <c r="L804" s="2481">
        <v>102.11</v>
      </c>
      <c r="M804" s="340" t="s">
        <v>316</v>
      </c>
      <c r="N804" s="1390"/>
      <c r="O804" s="2479"/>
      <c r="P804" s="2282"/>
      <c r="AA804" s="338">
        <v>1007</v>
      </c>
      <c r="AB804" s="338" t="s">
        <v>289</v>
      </c>
      <c r="AG804" s="2297">
        <v>79.150000000000006</v>
      </c>
      <c r="AH804" s="2297" t="s">
        <v>340</v>
      </c>
      <c r="AI804" s="1390"/>
      <c r="AJ804" s="2282"/>
      <c r="AK804" s="2282"/>
      <c r="AL804" s="1037"/>
      <c r="AR804" s="338">
        <v>820</v>
      </c>
      <c r="AS804" s="338" t="s">
        <v>355</v>
      </c>
      <c r="AX804" s="340">
        <v>51.01</v>
      </c>
      <c r="AY804" s="340" t="s">
        <v>316</v>
      </c>
      <c r="BH804" s="338">
        <v>4503.0600000000004</v>
      </c>
      <c r="BI804" s="338" t="s">
        <v>295</v>
      </c>
      <c r="BN804" s="340">
        <v>77.64</v>
      </c>
      <c r="BO804" s="340" t="s">
        <v>340</v>
      </c>
      <c r="BP804" s="1385"/>
      <c r="BV804" s="338">
        <v>308.02</v>
      </c>
      <c r="BW804" s="338" t="s">
        <v>296</v>
      </c>
      <c r="CB804" s="340">
        <v>48</v>
      </c>
      <c r="CC804" s="340" t="s">
        <v>316</v>
      </c>
      <c r="CL804" s="236">
        <v>24.01</v>
      </c>
      <c r="CM804" s="236" t="s">
        <v>329</v>
      </c>
      <c r="CR804" s="340">
        <v>77.739999999999995</v>
      </c>
      <c r="CS804" s="340" t="s">
        <v>340</v>
      </c>
      <c r="CT804" s="1384"/>
      <c r="CZ804" s="1795">
        <v>239</v>
      </c>
      <c r="DA804" s="338" t="s">
        <v>342</v>
      </c>
      <c r="DF804" s="340">
        <v>73</v>
      </c>
      <c r="DG804" s="340" t="s">
        <v>316</v>
      </c>
      <c r="DP804" s="236">
        <v>507.02</v>
      </c>
      <c r="DQ804" s="236" t="s">
        <v>289</v>
      </c>
      <c r="DV804" s="340">
        <v>79.010000000000005</v>
      </c>
      <c r="DW804" s="340" t="s">
        <v>331</v>
      </c>
      <c r="DX804" s="1671"/>
      <c r="EB804" s="618"/>
      <c r="EC804" s="618"/>
      <c r="ED804" s="618"/>
      <c r="EE804" s="618"/>
      <c r="EF804" s="618"/>
      <c r="EG804" s="618"/>
      <c r="EH804" s="618"/>
      <c r="EI804" s="618"/>
      <c r="EJ804" s="618"/>
      <c r="EK804" s="618"/>
      <c r="EL804" s="618"/>
      <c r="EM804" s="618"/>
    </row>
    <row r="805" spans="6:143">
      <c r="F805" s="338">
        <v>3816.05</v>
      </c>
      <c r="G805" s="338" t="s">
        <v>350</v>
      </c>
      <c r="L805" s="2481">
        <v>102.12</v>
      </c>
      <c r="M805" s="340" t="s">
        <v>316</v>
      </c>
      <c r="N805" s="1390"/>
      <c r="O805" s="2479"/>
      <c r="P805" s="2282"/>
      <c r="AA805" s="338">
        <v>1008.01</v>
      </c>
      <c r="AB805" s="338" t="s">
        <v>289</v>
      </c>
      <c r="AG805" s="2297">
        <v>79.16</v>
      </c>
      <c r="AH805" s="2297" t="s">
        <v>340</v>
      </c>
      <c r="AI805" s="1390"/>
      <c r="AJ805" s="2282"/>
      <c r="AK805" s="2282"/>
      <c r="AL805" s="1037"/>
      <c r="AR805" s="338">
        <v>821</v>
      </c>
      <c r="AS805" s="338" t="s">
        <v>355</v>
      </c>
      <c r="AX805" s="340">
        <v>51.02</v>
      </c>
      <c r="AY805" s="340" t="s">
        <v>316</v>
      </c>
      <c r="BH805" s="338">
        <v>4508</v>
      </c>
      <c r="BI805" s="338" t="s">
        <v>295</v>
      </c>
      <c r="BN805" s="340">
        <v>77.680000000000007</v>
      </c>
      <c r="BO805" s="340" t="s">
        <v>340</v>
      </c>
      <c r="BP805" s="1385"/>
      <c r="BV805" s="338">
        <v>309.02999999999997</v>
      </c>
      <c r="BW805" s="338" t="s">
        <v>296</v>
      </c>
      <c r="CB805" s="340">
        <v>49.01</v>
      </c>
      <c r="CC805" s="340" t="s">
        <v>316</v>
      </c>
      <c r="CL805" s="236">
        <v>24.01</v>
      </c>
      <c r="CM805" s="236" t="s">
        <v>347</v>
      </c>
      <c r="CR805" s="340">
        <v>77.75</v>
      </c>
      <c r="CS805" s="340" t="s">
        <v>340</v>
      </c>
      <c r="CT805" s="1384"/>
      <c r="CZ805" s="1795">
        <v>245.1</v>
      </c>
      <c r="DA805" s="338" t="s">
        <v>342</v>
      </c>
      <c r="DF805" s="340">
        <v>101.06</v>
      </c>
      <c r="DG805" s="340" t="s">
        <v>316</v>
      </c>
      <c r="DP805" s="236">
        <v>508</v>
      </c>
      <c r="DQ805" s="236" t="s">
        <v>289</v>
      </c>
      <c r="DV805" s="340">
        <v>79.02</v>
      </c>
      <c r="DW805" s="340" t="s">
        <v>331</v>
      </c>
      <c r="DX805" s="1671"/>
      <c r="EB805" s="618"/>
      <c r="EC805" s="618"/>
      <c r="ED805" s="618"/>
      <c r="EE805" s="618"/>
      <c r="EF805" s="618"/>
      <c r="EG805" s="618"/>
      <c r="EH805" s="618"/>
      <c r="EI805" s="618"/>
      <c r="EJ805" s="618"/>
      <c r="EK805" s="618"/>
      <c r="EL805" s="618"/>
      <c r="EM805" s="618"/>
    </row>
    <row r="806" spans="6:143">
      <c r="F806" s="338">
        <v>3818.02</v>
      </c>
      <c r="G806" s="338" t="s">
        <v>350</v>
      </c>
      <c r="L806" s="2481">
        <v>102.15</v>
      </c>
      <c r="M806" s="340" t="s">
        <v>316</v>
      </c>
      <c r="N806" s="1390"/>
      <c r="O806" s="2479"/>
      <c r="P806" s="2282"/>
      <c r="AA806" s="338">
        <v>1103.3399999999999</v>
      </c>
      <c r="AB806" s="338" t="s">
        <v>289</v>
      </c>
      <c r="AG806" s="2297">
        <v>79.17</v>
      </c>
      <c r="AH806" s="2297" t="s">
        <v>340</v>
      </c>
      <c r="AI806" s="1390"/>
      <c r="AJ806" s="2282"/>
      <c r="AK806" s="2282"/>
      <c r="AL806" s="1037"/>
      <c r="AR806" s="338">
        <v>822.01</v>
      </c>
      <c r="AS806" s="338" t="s">
        <v>355</v>
      </c>
      <c r="AX806" s="340">
        <v>53.01</v>
      </c>
      <c r="AY806" s="340" t="s">
        <v>316</v>
      </c>
      <c r="BH806" s="338">
        <v>4514</v>
      </c>
      <c r="BI806" s="338" t="s">
        <v>295</v>
      </c>
      <c r="BN806" s="340">
        <v>77.7</v>
      </c>
      <c r="BO806" s="340" t="s">
        <v>340</v>
      </c>
      <c r="BP806" s="1385"/>
      <c r="BV806" s="338">
        <v>309.04000000000002</v>
      </c>
      <c r="BW806" s="338" t="s">
        <v>296</v>
      </c>
      <c r="CB806" s="340">
        <v>49.02</v>
      </c>
      <c r="CC806" s="340" t="s">
        <v>316</v>
      </c>
      <c r="CL806" s="236">
        <v>24.02</v>
      </c>
      <c r="CM806" s="236" t="s">
        <v>329</v>
      </c>
      <c r="CR806" s="340">
        <v>77.760000000000005</v>
      </c>
      <c r="CS806" s="340" t="s">
        <v>340</v>
      </c>
      <c r="CT806" s="1384"/>
      <c r="CZ806" s="1795">
        <v>246.03</v>
      </c>
      <c r="DA806" s="338" t="s">
        <v>342</v>
      </c>
      <c r="DF806" s="340">
        <v>101.08</v>
      </c>
      <c r="DG806" s="340" t="s">
        <v>316</v>
      </c>
      <c r="DP806" s="236">
        <v>509.07</v>
      </c>
      <c r="DQ806" s="236" t="s">
        <v>318</v>
      </c>
      <c r="DV806" s="340">
        <v>79.09</v>
      </c>
      <c r="DW806" s="340" t="s">
        <v>340</v>
      </c>
      <c r="DX806" s="1671"/>
      <c r="EB806" s="618"/>
      <c r="EC806" s="618"/>
      <c r="ED806" s="618"/>
      <c r="EE806" s="618"/>
      <c r="EF806" s="618"/>
      <c r="EG806" s="618"/>
      <c r="EH806" s="618"/>
      <c r="EI806" s="618"/>
      <c r="EJ806" s="618"/>
      <c r="EK806" s="618"/>
      <c r="EL806" s="618"/>
      <c r="EM806" s="618"/>
    </row>
    <row r="807" spans="6:143">
      <c r="F807" s="338">
        <v>3820.1</v>
      </c>
      <c r="G807" s="338" t="s">
        <v>350</v>
      </c>
      <c r="L807" s="2481">
        <v>102.16</v>
      </c>
      <c r="M807" s="340" t="s">
        <v>316</v>
      </c>
      <c r="N807" s="1390"/>
      <c r="O807" s="2479"/>
      <c r="P807" s="2282"/>
      <c r="AA807" s="338">
        <v>1103.4100000000001</v>
      </c>
      <c r="AB807" s="338" t="s">
        <v>289</v>
      </c>
      <c r="AG807" s="2297">
        <v>79.180000000000007</v>
      </c>
      <c r="AH807" s="2297" t="s">
        <v>340</v>
      </c>
      <c r="AI807" s="1390"/>
      <c r="AJ807" s="2282"/>
      <c r="AK807" s="2282"/>
      <c r="AL807" s="1037"/>
      <c r="AR807" s="338">
        <v>823.02</v>
      </c>
      <c r="AS807" s="338" t="s">
        <v>355</v>
      </c>
      <c r="AX807" s="340">
        <v>54.01</v>
      </c>
      <c r="AY807" s="340" t="s">
        <v>316</v>
      </c>
      <c r="BH807" s="338">
        <v>9503.0400000000009</v>
      </c>
      <c r="BI807" s="338" t="s">
        <v>357</v>
      </c>
      <c r="BN807" s="340">
        <v>77.709999999999994</v>
      </c>
      <c r="BO807" s="340" t="s">
        <v>340</v>
      </c>
      <c r="BP807" s="1385"/>
      <c r="BV807" s="338">
        <v>309.05</v>
      </c>
      <c r="BW807" s="338" t="s">
        <v>296</v>
      </c>
      <c r="CB807" s="340">
        <v>51.01</v>
      </c>
      <c r="CC807" s="340" t="s">
        <v>316</v>
      </c>
      <c r="CL807" s="236">
        <v>24.02</v>
      </c>
      <c r="CM807" s="236" t="s">
        <v>331</v>
      </c>
      <c r="CR807" s="340">
        <v>77.77</v>
      </c>
      <c r="CS807" s="340" t="s">
        <v>340</v>
      </c>
      <c r="CT807" s="1384"/>
      <c r="CZ807" s="1795">
        <v>246.04</v>
      </c>
      <c r="DA807" s="338" t="s">
        <v>342</v>
      </c>
      <c r="DF807" s="340">
        <v>102.1</v>
      </c>
      <c r="DG807" s="340" t="s">
        <v>316</v>
      </c>
      <c r="DP807" s="236">
        <v>509.08</v>
      </c>
      <c r="DQ807" s="236" t="s">
        <v>318</v>
      </c>
      <c r="DV807" s="340">
        <v>79.150000000000006</v>
      </c>
      <c r="DW807" s="340" t="s">
        <v>340</v>
      </c>
      <c r="DX807" s="1671"/>
      <c r="EB807" s="618"/>
      <c r="EC807" s="618"/>
      <c r="ED807" s="618"/>
      <c r="EE807" s="618"/>
      <c r="EF807" s="618"/>
      <c r="EG807" s="618"/>
      <c r="EH807" s="618"/>
      <c r="EI807" s="618"/>
      <c r="EJ807" s="618"/>
      <c r="EK807" s="618"/>
      <c r="EL807" s="618"/>
      <c r="EM807" s="618"/>
    </row>
    <row r="808" spans="6:143">
      <c r="F808" s="338">
        <v>9113.01</v>
      </c>
      <c r="G808" s="338" t="s">
        <v>351</v>
      </c>
      <c r="L808" s="2481">
        <v>102.17</v>
      </c>
      <c r="M808" s="340" t="s">
        <v>316</v>
      </c>
      <c r="N808" s="1390"/>
      <c r="O808" s="2479"/>
      <c r="P808" s="2282"/>
      <c r="AA808" s="338">
        <v>1103.51</v>
      </c>
      <c r="AB808" s="338" t="s">
        <v>289</v>
      </c>
      <c r="AG808" s="2297">
        <v>79.19</v>
      </c>
      <c r="AH808" s="2297" t="s">
        <v>340</v>
      </c>
      <c r="AI808" s="1390"/>
      <c r="AJ808" s="2282"/>
      <c r="AK808" s="2282"/>
      <c r="AL808" s="1037"/>
      <c r="AR808" s="338">
        <v>823.03</v>
      </c>
      <c r="AS808" s="338" t="s">
        <v>355</v>
      </c>
      <c r="AX808" s="340">
        <v>55</v>
      </c>
      <c r="AY808" s="340" t="s">
        <v>316</v>
      </c>
      <c r="BH808" s="338">
        <v>9603</v>
      </c>
      <c r="BI808" s="338" t="s">
        <v>315</v>
      </c>
      <c r="BN808" s="340">
        <v>77.72</v>
      </c>
      <c r="BO808" s="340" t="s">
        <v>340</v>
      </c>
      <c r="BP808" s="1385"/>
      <c r="BV808" s="338">
        <v>309.06</v>
      </c>
      <c r="BW808" s="338" t="s">
        <v>296</v>
      </c>
      <c r="CB808" s="340">
        <v>51.02</v>
      </c>
      <c r="CC808" s="340" t="s">
        <v>316</v>
      </c>
      <c r="CL808" s="236">
        <v>24.03</v>
      </c>
      <c r="CM808" s="236" t="s">
        <v>324</v>
      </c>
      <c r="CR808" s="340">
        <v>77.78</v>
      </c>
      <c r="CS808" s="340" t="s">
        <v>340</v>
      </c>
      <c r="CT808" s="1384"/>
      <c r="CZ808" s="1795">
        <v>247.01</v>
      </c>
      <c r="DA808" s="338" t="s">
        <v>342</v>
      </c>
      <c r="DF808" s="340">
        <v>102.11</v>
      </c>
      <c r="DG808" s="340" t="s">
        <v>316</v>
      </c>
      <c r="DP808" s="236">
        <v>601.04999999999995</v>
      </c>
      <c r="DQ808" s="236" t="s">
        <v>288</v>
      </c>
      <c r="DV808" s="340">
        <v>79.16</v>
      </c>
      <c r="DW808" s="340" t="s">
        <v>340</v>
      </c>
      <c r="DX808" s="1671"/>
      <c r="EB808" s="618"/>
      <c r="EC808" s="618"/>
      <c r="ED808" s="618"/>
      <c r="EE808" s="618"/>
      <c r="EF808" s="618"/>
      <c r="EG808" s="618"/>
      <c r="EH808" s="618"/>
      <c r="EI808" s="618"/>
      <c r="EJ808" s="618"/>
      <c r="EK808" s="618"/>
      <c r="EL808" s="618"/>
      <c r="EM808" s="618"/>
    </row>
    <row r="809" spans="6:143">
      <c r="F809" s="338">
        <v>806</v>
      </c>
      <c r="G809" s="338" t="s">
        <v>355</v>
      </c>
      <c r="L809" s="2481">
        <v>102.18</v>
      </c>
      <c r="M809" s="340" t="s">
        <v>316</v>
      </c>
      <c r="N809" s="1390"/>
      <c r="O809" s="2479"/>
      <c r="P809" s="2282"/>
      <c r="AA809" s="338">
        <v>1103.55</v>
      </c>
      <c r="AB809" s="338" t="s">
        <v>289</v>
      </c>
      <c r="AG809" s="2297">
        <v>80</v>
      </c>
      <c r="AH809" s="2297" t="s">
        <v>331</v>
      </c>
      <c r="AI809" s="1390"/>
      <c r="AJ809" s="2282"/>
      <c r="AK809" s="2282"/>
      <c r="AL809" s="1037"/>
      <c r="AR809" s="338">
        <v>824.01</v>
      </c>
      <c r="AS809" s="338" t="s">
        <v>355</v>
      </c>
      <c r="AX809" s="340">
        <v>58</v>
      </c>
      <c r="AY809" s="340" t="s">
        <v>316</v>
      </c>
      <c r="BH809" s="338">
        <v>9608</v>
      </c>
      <c r="BI809" s="338" t="s">
        <v>315</v>
      </c>
      <c r="BN809" s="340">
        <v>77.73</v>
      </c>
      <c r="BO809" s="340" t="s">
        <v>340</v>
      </c>
      <c r="BP809" s="1385"/>
      <c r="BV809" s="338">
        <v>311.01</v>
      </c>
      <c r="BW809" s="338" t="s">
        <v>296</v>
      </c>
      <c r="CB809" s="340">
        <v>53.01</v>
      </c>
      <c r="CC809" s="340" t="s">
        <v>316</v>
      </c>
      <c r="CL809" s="236">
        <v>24.03</v>
      </c>
      <c r="CM809" s="236" t="s">
        <v>331</v>
      </c>
      <c r="CR809" s="340">
        <v>77.8</v>
      </c>
      <c r="CS809" s="340" t="s">
        <v>340</v>
      </c>
      <c r="CT809" s="1384"/>
      <c r="CZ809" s="1795">
        <v>247.03</v>
      </c>
      <c r="DA809" s="338" t="s">
        <v>342</v>
      </c>
      <c r="DF809" s="340">
        <v>102.12</v>
      </c>
      <c r="DG809" s="340" t="s">
        <v>316</v>
      </c>
      <c r="DP809" s="236">
        <v>601.24</v>
      </c>
      <c r="DQ809" s="236" t="s">
        <v>289</v>
      </c>
      <c r="DV809" s="340">
        <v>79.17</v>
      </c>
      <c r="DW809" s="340" t="s">
        <v>340</v>
      </c>
      <c r="DX809" s="1671"/>
      <c r="EB809" s="618"/>
      <c r="EC809" s="618"/>
      <c r="ED809" s="618"/>
      <c r="EE809" s="618"/>
      <c r="EF809" s="618"/>
      <c r="EG809" s="618"/>
      <c r="EH809" s="618"/>
      <c r="EI809" s="618"/>
      <c r="EJ809" s="618"/>
      <c r="EK809" s="618"/>
      <c r="EL809" s="618"/>
      <c r="EM809" s="618"/>
    </row>
    <row r="810" spans="6:143">
      <c r="F810" s="338">
        <v>809.02</v>
      </c>
      <c r="G810" s="338" t="s">
        <v>355</v>
      </c>
      <c r="L810" s="2481">
        <v>103.05</v>
      </c>
      <c r="M810" s="340" t="s">
        <v>316</v>
      </c>
      <c r="N810" s="1390"/>
      <c r="O810" s="2479"/>
      <c r="P810" s="2282"/>
      <c r="AA810" s="338">
        <v>2501.0300000000002</v>
      </c>
      <c r="AB810" s="338" t="s">
        <v>320</v>
      </c>
      <c r="AG810" s="2297">
        <v>81.010000000000005</v>
      </c>
      <c r="AH810" s="2297" t="s">
        <v>331</v>
      </c>
      <c r="AI810" s="1390"/>
      <c r="AJ810" s="2282"/>
      <c r="AK810" s="2282"/>
      <c r="AL810" s="1037"/>
      <c r="AR810" s="338">
        <v>825.11</v>
      </c>
      <c r="AS810" s="338" t="s">
        <v>355</v>
      </c>
      <c r="AX810" s="340">
        <v>59</v>
      </c>
      <c r="AY810" s="340" t="s">
        <v>316</v>
      </c>
      <c r="BH810" s="338">
        <v>9609</v>
      </c>
      <c r="BI810" s="338" t="s">
        <v>315</v>
      </c>
      <c r="BN810" s="340">
        <v>77.739999999999995</v>
      </c>
      <c r="BO810" s="340" t="s">
        <v>340</v>
      </c>
      <c r="BP810" s="1385"/>
      <c r="BV810" s="338">
        <v>311.04000000000002</v>
      </c>
      <c r="BW810" s="338" t="s">
        <v>296</v>
      </c>
      <c r="CB810" s="340">
        <v>54.01</v>
      </c>
      <c r="CC810" s="340" t="s">
        <v>316</v>
      </c>
      <c r="CL810" s="236">
        <v>24.03</v>
      </c>
      <c r="CM810" s="236" t="s">
        <v>347</v>
      </c>
      <c r="CR810" s="340">
        <v>78.010000000000005</v>
      </c>
      <c r="CS810" s="340" t="s">
        <v>331</v>
      </c>
      <c r="CT810" s="1384"/>
      <c r="CZ810" s="1795">
        <v>248.03</v>
      </c>
      <c r="DA810" s="338" t="s">
        <v>342</v>
      </c>
      <c r="DF810" s="340">
        <v>102.15</v>
      </c>
      <c r="DG810" s="340" t="s">
        <v>316</v>
      </c>
      <c r="DP810" s="236">
        <v>601.28</v>
      </c>
      <c r="DQ810" s="236" t="s">
        <v>289</v>
      </c>
      <c r="DV810" s="340">
        <v>79.180000000000007</v>
      </c>
      <c r="DW810" s="340" t="s">
        <v>340</v>
      </c>
      <c r="DX810" s="1671"/>
      <c r="EB810" s="618"/>
      <c r="EC810" s="618"/>
      <c r="ED810" s="618"/>
      <c r="EE810" s="618"/>
      <c r="EF810" s="618"/>
      <c r="EG810" s="618"/>
      <c r="EH810" s="618"/>
      <c r="EI810" s="618"/>
      <c r="EJ810" s="618"/>
      <c r="EK810" s="618"/>
      <c r="EL810" s="618"/>
      <c r="EM810" s="618"/>
    </row>
    <row r="811" spans="6:143">
      <c r="F811" s="338">
        <v>810.01</v>
      </c>
      <c r="G811" s="338" t="s">
        <v>355</v>
      </c>
      <c r="L811" s="2481">
        <v>104.01</v>
      </c>
      <c r="M811" s="340" t="s">
        <v>316</v>
      </c>
      <c r="N811" s="1390"/>
      <c r="O811" s="2479"/>
      <c r="P811" s="2282"/>
      <c r="AA811" s="338">
        <v>3801</v>
      </c>
      <c r="AB811" s="338" t="s">
        <v>350</v>
      </c>
      <c r="AG811" s="2297">
        <v>81.02</v>
      </c>
      <c r="AH811" s="2297" t="s">
        <v>331</v>
      </c>
      <c r="AI811" s="1390"/>
      <c r="AJ811" s="2282"/>
      <c r="AK811" s="2282"/>
      <c r="AL811" s="1037"/>
      <c r="AR811" s="338">
        <v>825.13</v>
      </c>
      <c r="AS811" s="338" t="s">
        <v>355</v>
      </c>
      <c r="AX811" s="340">
        <v>60</v>
      </c>
      <c r="AY811" s="340" t="s">
        <v>316</v>
      </c>
      <c r="BH811" s="338">
        <v>9611</v>
      </c>
      <c r="BI811" s="338" t="s">
        <v>315</v>
      </c>
      <c r="BN811" s="340">
        <v>77.75</v>
      </c>
      <c r="BO811" s="340" t="s">
        <v>340</v>
      </c>
      <c r="BP811" s="1385"/>
      <c r="BV811" s="338">
        <v>311.05</v>
      </c>
      <c r="BW811" s="338" t="s">
        <v>296</v>
      </c>
      <c r="CB811" s="340">
        <v>55</v>
      </c>
      <c r="CC811" s="340" t="s">
        <v>316</v>
      </c>
      <c r="CL811" s="236">
        <v>24.04</v>
      </c>
      <c r="CM811" s="236" t="s">
        <v>331</v>
      </c>
      <c r="CR811" s="340">
        <v>78.05</v>
      </c>
      <c r="CS811" s="340" t="s">
        <v>331</v>
      </c>
      <c r="CT811" s="1384"/>
      <c r="CZ811" s="1795">
        <v>249.07</v>
      </c>
      <c r="DA811" s="338" t="s">
        <v>342</v>
      </c>
      <c r="DF811" s="340">
        <v>102.16</v>
      </c>
      <c r="DG811" s="340" t="s">
        <v>316</v>
      </c>
      <c r="DP811" s="236">
        <v>602.03</v>
      </c>
      <c r="DQ811" s="236" t="s">
        <v>289</v>
      </c>
      <c r="DV811" s="340">
        <v>79.19</v>
      </c>
      <c r="DW811" s="340" t="s">
        <v>340</v>
      </c>
      <c r="DX811" s="1671"/>
      <c r="EB811" s="618"/>
      <c r="EC811" s="618"/>
      <c r="ED811" s="618"/>
      <c r="EE811" s="618"/>
      <c r="EF811" s="618"/>
      <c r="EG811" s="618"/>
      <c r="EH811" s="618"/>
      <c r="EI811" s="618"/>
      <c r="EJ811" s="618"/>
      <c r="EK811" s="618"/>
      <c r="EL811" s="618"/>
      <c r="EM811" s="618"/>
    </row>
    <row r="812" spans="6:143">
      <c r="F812" s="338">
        <v>810.02</v>
      </c>
      <c r="G812" s="338" t="s">
        <v>355</v>
      </c>
      <c r="L812" s="2481">
        <v>107.01</v>
      </c>
      <c r="M812" s="340" t="s">
        <v>316</v>
      </c>
      <c r="N812" s="1390"/>
      <c r="O812" s="2479"/>
      <c r="P812" s="2282"/>
      <c r="AA812" s="338">
        <v>3802</v>
      </c>
      <c r="AB812" s="338" t="s">
        <v>350</v>
      </c>
      <c r="AG812" s="2297">
        <v>82.02</v>
      </c>
      <c r="AH812" s="2297" t="s">
        <v>331</v>
      </c>
      <c r="AI812" s="1390"/>
      <c r="AJ812" s="2282"/>
      <c r="AK812" s="2282"/>
      <c r="AL812" s="1037"/>
      <c r="AR812" s="338">
        <v>905</v>
      </c>
      <c r="AS812" s="338" t="s">
        <v>355</v>
      </c>
      <c r="AX812" s="340">
        <v>61.01</v>
      </c>
      <c r="AY812" s="340" t="s">
        <v>316</v>
      </c>
      <c r="BH812" s="338">
        <v>9616.0400000000009</v>
      </c>
      <c r="BI812" s="338" t="s">
        <v>315</v>
      </c>
      <c r="BN812" s="340">
        <v>77.760000000000005</v>
      </c>
      <c r="BO812" s="340" t="s">
        <v>340</v>
      </c>
      <c r="BP812" s="1385"/>
      <c r="BV812" s="338">
        <v>311.08</v>
      </c>
      <c r="BW812" s="338" t="s">
        <v>296</v>
      </c>
      <c r="CB812" s="340">
        <v>57</v>
      </c>
      <c r="CC812" s="340" t="s">
        <v>316</v>
      </c>
      <c r="CL812" s="236">
        <v>24.04</v>
      </c>
      <c r="CM812" s="236" t="s">
        <v>347</v>
      </c>
      <c r="CR812" s="340">
        <v>78.05</v>
      </c>
      <c r="CS812" s="340" t="s">
        <v>340</v>
      </c>
      <c r="CT812" s="1384"/>
      <c r="CZ812" s="1795">
        <v>250.15</v>
      </c>
      <c r="DA812" s="338" t="s">
        <v>342</v>
      </c>
      <c r="DF812" s="340">
        <v>102.17</v>
      </c>
      <c r="DG812" s="340" t="s">
        <v>316</v>
      </c>
      <c r="DP812" s="236">
        <v>602.05999999999995</v>
      </c>
      <c r="DQ812" s="236" t="s">
        <v>289</v>
      </c>
      <c r="DV812" s="340">
        <v>80</v>
      </c>
      <c r="DW812" s="340" t="s">
        <v>331</v>
      </c>
      <c r="DX812" s="1671"/>
      <c r="EB812" s="618"/>
      <c r="EC812" s="618"/>
      <c r="ED812" s="618"/>
      <c r="EE812" s="618"/>
      <c r="EF812" s="618"/>
      <c r="EG812" s="618"/>
      <c r="EH812" s="618"/>
      <c r="EI812" s="618"/>
      <c r="EJ812" s="618"/>
      <c r="EK812" s="618"/>
      <c r="EL812" s="618"/>
      <c r="EM812" s="618"/>
    </row>
    <row r="813" spans="6:143">
      <c r="F813" s="338">
        <v>812.02</v>
      </c>
      <c r="G813" s="338" t="s">
        <v>355</v>
      </c>
      <c r="L813" s="2481">
        <v>107.02</v>
      </c>
      <c r="M813" s="340" t="s">
        <v>316</v>
      </c>
      <c r="N813" s="1390"/>
      <c r="O813" s="2479"/>
      <c r="P813" s="2282"/>
      <c r="AA813" s="338">
        <v>3803</v>
      </c>
      <c r="AB813" s="338" t="s">
        <v>350</v>
      </c>
      <c r="AG813" s="2297">
        <v>82.05</v>
      </c>
      <c r="AH813" s="2297" t="s">
        <v>331</v>
      </c>
      <c r="AI813" s="1390"/>
      <c r="AJ813" s="2282"/>
      <c r="AK813" s="2282"/>
      <c r="AL813" s="1037"/>
      <c r="AR813" s="338">
        <v>906</v>
      </c>
      <c r="AS813" s="338" t="s">
        <v>355</v>
      </c>
      <c r="AX813" s="340">
        <v>61.03</v>
      </c>
      <c r="AY813" s="340" t="s">
        <v>316</v>
      </c>
      <c r="BH813" s="338">
        <v>9616.0499999999993</v>
      </c>
      <c r="BI813" s="338" t="s">
        <v>315</v>
      </c>
      <c r="BN813" s="340">
        <v>77.77</v>
      </c>
      <c r="BO813" s="340" t="s">
        <v>340</v>
      </c>
      <c r="BP813" s="1385"/>
      <c r="BV813" s="338">
        <v>311.08999999999997</v>
      </c>
      <c r="BW813" s="338" t="s">
        <v>296</v>
      </c>
      <c r="CB813" s="340">
        <v>58</v>
      </c>
      <c r="CC813" s="340" t="s">
        <v>316</v>
      </c>
      <c r="CL813" s="236">
        <v>24.1</v>
      </c>
      <c r="CM813" s="236" t="s">
        <v>324</v>
      </c>
      <c r="CR813" s="340">
        <v>78.06</v>
      </c>
      <c r="CS813" s="340" t="s">
        <v>331</v>
      </c>
      <c r="CT813" s="1384"/>
      <c r="CZ813" s="1795">
        <v>250.17</v>
      </c>
      <c r="DA813" s="338" t="s">
        <v>342</v>
      </c>
      <c r="DF813" s="340">
        <v>102.18</v>
      </c>
      <c r="DG813" s="340" t="s">
        <v>316</v>
      </c>
      <c r="DP813" s="236">
        <v>602.11</v>
      </c>
      <c r="DQ813" s="236" t="s">
        <v>289</v>
      </c>
      <c r="DV813" s="340">
        <v>81.02</v>
      </c>
      <c r="DW813" s="340" t="s">
        <v>331</v>
      </c>
      <c r="DX813" s="1671"/>
      <c r="EB813" s="618"/>
      <c r="EC813" s="618"/>
      <c r="ED813" s="618"/>
      <c r="EE813" s="618"/>
      <c r="EF813" s="618"/>
      <c r="EG813" s="618"/>
      <c r="EH813" s="618"/>
      <c r="EI813" s="618"/>
      <c r="EJ813" s="618"/>
      <c r="EK813" s="618"/>
      <c r="EL813" s="618"/>
      <c r="EM813" s="618"/>
    </row>
    <row r="814" spans="6:143">
      <c r="F814" s="338">
        <v>813</v>
      </c>
      <c r="G814" s="338" t="s">
        <v>355</v>
      </c>
      <c r="L814" s="2481">
        <v>108.1</v>
      </c>
      <c r="M814" s="340" t="s">
        <v>316</v>
      </c>
      <c r="N814" s="1390"/>
      <c r="O814" s="2479"/>
      <c r="P814" s="2282"/>
      <c r="AA814" s="338">
        <v>3804</v>
      </c>
      <c r="AB814" s="338" t="s">
        <v>350</v>
      </c>
      <c r="AG814" s="2297">
        <v>82.06</v>
      </c>
      <c r="AH814" s="2297" t="s">
        <v>331</v>
      </c>
      <c r="AI814" s="1390"/>
      <c r="AJ814" s="2282"/>
      <c r="AK814" s="2282"/>
      <c r="AL814" s="1037"/>
      <c r="AR814" s="338">
        <v>9503.0400000000009</v>
      </c>
      <c r="AS814" s="338" t="s">
        <v>357</v>
      </c>
      <c r="AX814" s="340">
        <v>62</v>
      </c>
      <c r="AY814" s="340" t="s">
        <v>316</v>
      </c>
      <c r="BH814" s="338">
        <v>9807</v>
      </c>
      <c r="BI814" s="338" t="s">
        <v>331</v>
      </c>
      <c r="BN814" s="340">
        <v>77.78</v>
      </c>
      <c r="BO814" s="340" t="s">
        <v>340</v>
      </c>
      <c r="BP814" s="1385"/>
      <c r="BV814" s="338">
        <v>311.10000000000002</v>
      </c>
      <c r="BW814" s="338" t="s">
        <v>296</v>
      </c>
      <c r="CB814" s="340">
        <v>59</v>
      </c>
      <c r="CC814" s="340" t="s">
        <v>316</v>
      </c>
      <c r="CL814" s="236">
        <v>24.11</v>
      </c>
      <c r="CM814" s="236" t="s">
        <v>324</v>
      </c>
      <c r="CR814" s="340">
        <v>78.069999999999993</v>
      </c>
      <c r="CS814" s="340" t="s">
        <v>331</v>
      </c>
      <c r="CT814" s="1384"/>
      <c r="CZ814" s="1795">
        <v>250.18</v>
      </c>
      <c r="DA814" s="338" t="s">
        <v>342</v>
      </c>
      <c r="DF814" s="340">
        <v>103.05</v>
      </c>
      <c r="DG814" s="340" t="s">
        <v>316</v>
      </c>
      <c r="DP814" s="236">
        <v>603.02</v>
      </c>
      <c r="DQ814" s="236" t="s">
        <v>289</v>
      </c>
      <c r="DV814" s="340">
        <v>82.02</v>
      </c>
      <c r="DW814" s="340" t="s">
        <v>331</v>
      </c>
      <c r="DX814" s="1671"/>
      <c r="EB814" s="618"/>
      <c r="EC814" s="618"/>
      <c r="ED814" s="618"/>
      <c r="EE814" s="618"/>
      <c r="EF814" s="618"/>
      <c r="EG814" s="618"/>
      <c r="EH814" s="618"/>
      <c r="EI814" s="618"/>
      <c r="EJ814" s="618"/>
      <c r="EK814" s="618"/>
      <c r="EL814" s="618"/>
      <c r="EM814" s="618"/>
    </row>
    <row r="815" spans="6:143">
      <c r="F815" s="338">
        <v>815</v>
      </c>
      <c r="G815" s="338" t="s">
        <v>355</v>
      </c>
      <c r="L815" s="2481">
        <v>110.05</v>
      </c>
      <c r="M815" s="340" t="s">
        <v>316</v>
      </c>
      <c r="N815" s="1390"/>
      <c r="O815" s="2479"/>
      <c r="P815" s="2282"/>
      <c r="AA815" s="338">
        <v>3805</v>
      </c>
      <c r="AB815" s="338" t="s">
        <v>350</v>
      </c>
      <c r="AG815" s="2297">
        <v>82.07</v>
      </c>
      <c r="AH815" s="2297" t="s">
        <v>331</v>
      </c>
      <c r="AI815" s="1390"/>
      <c r="AJ815" s="2282"/>
      <c r="AK815" s="2282"/>
      <c r="AL815" s="1037"/>
      <c r="AR815" s="2711" t="s">
        <v>2072</v>
      </c>
      <c r="AS815" s="2712"/>
      <c r="AX815" s="340">
        <v>63</v>
      </c>
      <c r="AY815" s="340" t="s">
        <v>316</v>
      </c>
      <c r="BH815" s="2711" t="s">
        <v>2072</v>
      </c>
      <c r="BI815" s="2712"/>
      <c r="BN815" s="340">
        <v>78.010000000000005</v>
      </c>
      <c r="BO815" s="340" t="s">
        <v>331</v>
      </c>
      <c r="BP815" s="1385"/>
      <c r="BV815" s="236">
        <v>312.01</v>
      </c>
      <c r="BW815" s="236" t="s">
        <v>296</v>
      </c>
      <c r="CB815" s="340">
        <v>60</v>
      </c>
      <c r="CC815" s="340" t="s">
        <v>316</v>
      </c>
      <c r="CL815" s="236">
        <v>24.13</v>
      </c>
      <c r="CM815" s="236" t="s">
        <v>324</v>
      </c>
      <c r="CR815" s="340">
        <v>78.08</v>
      </c>
      <c r="CS815" s="340" t="s">
        <v>331</v>
      </c>
      <c r="CT815" s="1384"/>
      <c r="CZ815" s="1795">
        <v>250.19</v>
      </c>
      <c r="DA815" s="338" t="s">
        <v>342</v>
      </c>
      <c r="DF815" s="340">
        <v>107.01</v>
      </c>
      <c r="DG815" s="340" t="s">
        <v>316</v>
      </c>
      <c r="DP815" s="236">
        <v>603.03</v>
      </c>
      <c r="DQ815" s="236" t="s">
        <v>289</v>
      </c>
      <c r="DV815" s="340">
        <v>82.05</v>
      </c>
      <c r="DW815" s="340" t="s">
        <v>331</v>
      </c>
      <c r="DX815" s="1671"/>
      <c r="EB815" s="618"/>
      <c r="EC815" s="618"/>
      <c r="ED815" s="618"/>
      <c r="EE815" s="618"/>
      <c r="EF815" s="618"/>
      <c r="EG815" s="618"/>
      <c r="EH815" s="618"/>
      <c r="EI815" s="618"/>
      <c r="EJ815" s="618"/>
      <c r="EK815" s="618"/>
      <c r="EL815" s="618"/>
      <c r="EM815" s="618"/>
    </row>
    <row r="816" spans="6:143">
      <c r="F816" s="338">
        <v>816</v>
      </c>
      <c r="G816" s="338" t="s">
        <v>355</v>
      </c>
      <c r="L816" s="2481">
        <v>110.06</v>
      </c>
      <c r="M816" s="340" t="s">
        <v>316</v>
      </c>
      <c r="N816" s="1390"/>
      <c r="O816" s="2479"/>
      <c r="P816" s="2282"/>
      <c r="AA816" s="338">
        <v>3809.02</v>
      </c>
      <c r="AB816" s="338" t="s">
        <v>350</v>
      </c>
      <c r="AG816" s="2297">
        <v>82.08</v>
      </c>
      <c r="AH816" s="2297" t="s">
        <v>331</v>
      </c>
      <c r="AI816" s="1390"/>
      <c r="AJ816" s="2282"/>
      <c r="AK816" s="2282"/>
      <c r="AL816" s="1037"/>
      <c r="AX816" s="340">
        <v>64</v>
      </c>
      <c r="AY816" s="340" t="s">
        <v>316</v>
      </c>
      <c r="BN816" s="340">
        <v>78.05</v>
      </c>
      <c r="BO816" s="340" t="s">
        <v>331</v>
      </c>
      <c r="BP816" s="1385"/>
      <c r="BV816" s="236">
        <v>312.02</v>
      </c>
      <c r="BW816" s="236" t="s">
        <v>296</v>
      </c>
      <c r="CB816" s="340">
        <v>61.01</v>
      </c>
      <c r="CC816" s="340" t="s">
        <v>316</v>
      </c>
      <c r="CL816" s="236">
        <v>24.14</v>
      </c>
      <c r="CM816" s="236" t="s">
        <v>324</v>
      </c>
      <c r="CR816" s="340">
        <v>78.09</v>
      </c>
      <c r="CS816" s="340" t="s">
        <v>331</v>
      </c>
      <c r="CT816" s="1384"/>
      <c r="CZ816" s="1795">
        <v>251.11</v>
      </c>
      <c r="DA816" s="338" t="s">
        <v>342</v>
      </c>
      <c r="DF816" s="340">
        <v>108.1</v>
      </c>
      <c r="DG816" s="340" t="s">
        <v>316</v>
      </c>
      <c r="DP816" s="236">
        <v>604</v>
      </c>
      <c r="DQ816" s="236" t="s">
        <v>288</v>
      </c>
      <c r="DV816" s="340">
        <v>82.06</v>
      </c>
      <c r="DW816" s="340" t="s">
        <v>331</v>
      </c>
      <c r="DX816" s="1671"/>
      <c r="EB816" s="618"/>
      <c r="EC816" s="618"/>
      <c r="ED816" s="618"/>
      <c r="EE816" s="618"/>
      <c r="EF816" s="618"/>
      <c r="EG816" s="618"/>
      <c r="EH816" s="618"/>
      <c r="EI816" s="618"/>
      <c r="EJ816" s="618"/>
      <c r="EK816" s="618"/>
      <c r="EL816" s="618"/>
      <c r="EM816" s="618"/>
    </row>
    <row r="817" spans="6:143">
      <c r="F817" s="338">
        <v>818</v>
      </c>
      <c r="G817" s="338" t="s">
        <v>355</v>
      </c>
      <c r="L817" s="2481">
        <v>110.07</v>
      </c>
      <c r="M817" s="340" t="s">
        <v>316</v>
      </c>
      <c r="N817" s="1390"/>
      <c r="O817" s="2479"/>
      <c r="P817" s="2282"/>
      <c r="AA817" s="338">
        <v>3816.05</v>
      </c>
      <c r="AB817" s="338" t="s">
        <v>350</v>
      </c>
      <c r="AG817" s="2297">
        <v>82.09</v>
      </c>
      <c r="AH817" s="2297" t="s">
        <v>331</v>
      </c>
      <c r="AI817" s="1390"/>
      <c r="AJ817" s="2282"/>
      <c r="AK817" s="2282"/>
      <c r="AL817" s="1037"/>
      <c r="AX817" s="340">
        <v>65.03</v>
      </c>
      <c r="AY817" s="340" t="s">
        <v>316</v>
      </c>
      <c r="BN817" s="340">
        <v>78.05</v>
      </c>
      <c r="BO817" s="340" t="s">
        <v>340</v>
      </c>
      <c r="BP817" s="1385"/>
      <c r="BV817" s="236">
        <v>312.02999999999997</v>
      </c>
      <c r="BW817" s="236" t="s">
        <v>296</v>
      </c>
      <c r="CB817" s="340">
        <v>61.03</v>
      </c>
      <c r="CC817" s="340" t="s">
        <v>316</v>
      </c>
      <c r="CL817" s="236">
        <v>24.15</v>
      </c>
      <c r="CM817" s="236" t="s">
        <v>324</v>
      </c>
      <c r="CR817" s="340">
        <v>78.14</v>
      </c>
      <c r="CS817" s="340" t="s">
        <v>340</v>
      </c>
      <c r="CT817" s="1384"/>
      <c r="CZ817" s="1795">
        <v>253.05</v>
      </c>
      <c r="DA817" s="338" t="s">
        <v>342</v>
      </c>
      <c r="DF817" s="340">
        <v>108.11</v>
      </c>
      <c r="DG817" s="340" t="s">
        <v>316</v>
      </c>
      <c r="DP817" s="236">
        <v>604.01</v>
      </c>
      <c r="DQ817" s="236" t="s">
        <v>289</v>
      </c>
      <c r="DV817" s="340">
        <v>82.07</v>
      </c>
      <c r="DW817" s="340" t="s">
        <v>331</v>
      </c>
      <c r="DX817" s="1671"/>
      <c r="EB817" s="618"/>
      <c r="EC817" s="618"/>
      <c r="ED817" s="618"/>
      <c r="EE817" s="618"/>
      <c r="EF817" s="618"/>
      <c r="EG817" s="618"/>
      <c r="EH817" s="618"/>
      <c r="EI817" s="618"/>
      <c r="EJ817" s="618"/>
      <c r="EK817" s="618"/>
      <c r="EL817" s="618"/>
      <c r="EM817" s="618"/>
    </row>
    <row r="818" spans="6:143">
      <c r="F818" s="338">
        <v>819</v>
      </c>
      <c r="G818" s="338" t="s">
        <v>355</v>
      </c>
      <c r="L818" s="2481">
        <v>110.08</v>
      </c>
      <c r="M818" s="340" t="s">
        <v>316</v>
      </c>
      <c r="N818" s="1390"/>
      <c r="O818" s="2479"/>
      <c r="P818" s="2282"/>
      <c r="AA818" s="338">
        <v>3818.02</v>
      </c>
      <c r="AB818" s="338" t="s">
        <v>350</v>
      </c>
      <c r="AG818" s="2297">
        <v>83.05</v>
      </c>
      <c r="AH818" s="2297" t="s">
        <v>331</v>
      </c>
      <c r="AI818" s="1390"/>
      <c r="AJ818" s="2282"/>
      <c r="AK818" s="2282"/>
      <c r="AL818" s="1037"/>
      <c r="AX818" s="340">
        <v>65.040000000000006</v>
      </c>
      <c r="AY818" s="340" t="s">
        <v>316</v>
      </c>
      <c r="BN818" s="340">
        <v>78.069999999999993</v>
      </c>
      <c r="BO818" s="340" t="s">
        <v>331</v>
      </c>
      <c r="BP818" s="1385"/>
      <c r="BV818" s="236">
        <v>313.01</v>
      </c>
      <c r="BW818" s="236" t="s">
        <v>296</v>
      </c>
      <c r="CB818" s="340">
        <v>62</v>
      </c>
      <c r="CC818" s="340" t="s">
        <v>316</v>
      </c>
      <c r="CL818" s="236">
        <v>24.16</v>
      </c>
      <c r="CM818" s="236" t="s">
        <v>324</v>
      </c>
      <c r="CR818" s="340">
        <v>78.180000000000007</v>
      </c>
      <c r="CS818" s="340" t="s">
        <v>340</v>
      </c>
      <c r="CT818" s="1384"/>
      <c r="CZ818" s="1795">
        <v>253.11</v>
      </c>
      <c r="DA818" s="338" t="s">
        <v>342</v>
      </c>
      <c r="DF818" s="340">
        <v>108.19</v>
      </c>
      <c r="DG818" s="340" t="s">
        <v>316</v>
      </c>
      <c r="DP818" s="236">
        <v>604.02</v>
      </c>
      <c r="DQ818" s="236" t="s">
        <v>289</v>
      </c>
      <c r="DV818" s="340">
        <v>82.08</v>
      </c>
      <c r="DW818" s="340" t="s">
        <v>331</v>
      </c>
      <c r="DX818" s="1671"/>
      <c r="EB818" s="618"/>
      <c r="EC818" s="618"/>
      <c r="ED818" s="618"/>
      <c r="EE818" s="618"/>
      <c r="EF818" s="618"/>
      <c r="EG818" s="618"/>
      <c r="EH818" s="618"/>
      <c r="EI818" s="618"/>
      <c r="EJ818" s="618"/>
      <c r="EK818" s="618"/>
      <c r="EL818" s="618"/>
      <c r="EM818" s="618"/>
    </row>
    <row r="819" spans="6:143">
      <c r="F819" s="338">
        <v>820</v>
      </c>
      <c r="G819" s="338" t="s">
        <v>355</v>
      </c>
      <c r="L819" s="2481">
        <v>110.13</v>
      </c>
      <c r="M819" s="340" t="s">
        <v>316</v>
      </c>
      <c r="N819" s="1390"/>
      <c r="O819" s="2479"/>
      <c r="P819" s="2282"/>
      <c r="AA819" s="338">
        <v>3820.1</v>
      </c>
      <c r="AB819" s="338" t="s">
        <v>350</v>
      </c>
      <c r="AG819" s="2297">
        <v>83.08</v>
      </c>
      <c r="AH819" s="2297" t="s">
        <v>331</v>
      </c>
      <c r="AI819" s="1390"/>
      <c r="AJ819" s="2282"/>
      <c r="AK819" s="2282"/>
      <c r="AL819" s="1037"/>
      <c r="AX819" s="340">
        <v>66</v>
      </c>
      <c r="AY819" s="340" t="s">
        <v>316</v>
      </c>
      <c r="BN819" s="340">
        <v>78.08</v>
      </c>
      <c r="BO819" s="340" t="s">
        <v>331</v>
      </c>
      <c r="BP819" s="1385"/>
      <c r="BV819" s="236">
        <v>313.02</v>
      </c>
      <c r="BW819" s="236" t="s">
        <v>296</v>
      </c>
      <c r="CB819" s="340">
        <v>63</v>
      </c>
      <c r="CC819" s="340" t="s">
        <v>316</v>
      </c>
      <c r="CL819" s="236">
        <v>24.18</v>
      </c>
      <c r="CM819" s="236" t="s">
        <v>324</v>
      </c>
      <c r="CR819" s="340">
        <v>78.2</v>
      </c>
      <c r="CS819" s="340" t="s">
        <v>340</v>
      </c>
      <c r="CT819" s="1384"/>
      <c r="CZ819" s="1795">
        <v>255.05</v>
      </c>
      <c r="DA819" s="338" t="s">
        <v>342</v>
      </c>
      <c r="DF819" s="340">
        <v>108.2</v>
      </c>
      <c r="DG819" s="340" t="s">
        <v>316</v>
      </c>
      <c r="DP819" s="236">
        <v>607</v>
      </c>
      <c r="DQ819" s="236" t="s">
        <v>288</v>
      </c>
      <c r="DV819" s="340">
        <v>82.09</v>
      </c>
      <c r="DW819" s="340" t="s">
        <v>331</v>
      </c>
      <c r="DX819" s="1671"/>
      <c r="EB819" s="618"/>
      <c r="EC819" s="618"/>
      <c r="ED819" s="618"/>
      <c r="EE819" s="618"/>
      <c r="EF819" s="618"/>
      <c r="EG819" s="618"/>
      <c r="EH819" s="618"/>
      <c r="EI819" s="618"/>
      <c r="EJ819" s="618"/>
      <c r="EK819" s="618"/>
      <c r="EL819" s="618"/>
      <c r="EM819" s="618"/>
    </row>
    <row r="820" spans="6:143">
      <c r="F820" s="338">
        <v>821</v>
      </c>
      <c r="G820" s="338" t="s">
        <v>355</v>
      </c>
      <c r="L820" s="2481">
        <v>110.16</v>
      </c>
      <c r="M820" s="340" t="s">
        <v>316</v>
      </c>
      <c r="N820" s="1390"/>
      <c r="O820" s="2479"/>
      <c r="P820" s="2282"/>
      <c r="AA820" s="338">
        <v>4503.05</v>
      </c>
      <c r="AB820" s="338" t="s">
        <v>295</v>
      </c>
      <c r="AG820" s="2297">
        <v>83.11</v>
      </c>
      <c r="AH820" s="2297" t="s">
        <v>331</v>
      </c>
      <c r="AI820" s="1390"/>
      <c r="AJ820" s="2282"/>
      <c r="AK820" s="2282"/>
      <c r="AL820" s="1037"/>
      <c r="AX820" s="340">
        <v>67</v>
      </c>
      <c r="AY820" s="340" t="s">
        <v>316</v>
      </c>
      <c r="BN820" s="340">
        <v>78.09</v>
      </c>
      <c r="BO820" s="340" t="s">
        <v>331</v>
      </c>
      <c r="BP820" s="1385"/>
      <c r="BV820" s="236">
        <v>313.02999999999997</v>
      </c>
      <c r="BW820" s="236" t="s">
        <v>296</v>
      </c>
      <c r="CB820" s="340">
        <v>64</v>
      </c>
      <c r="CC820" s="340" t="s">
        <v>316</v>
      </c>
      <c r="CL820" s="236">
        <v>24.19</v>
      </c>
      <c r="CM820" s="236" t="s">
        <v>324</v>
      </c>
      <c r="CR820" s="340">
        <v>78.209999999999994</v>
      </c>
      <c r="CS820" s="340" t="s">
        <v>340</v>
      </c>
      <c r="CT820" s="1384"/>
      <c r="CZ820" s="1795">
        <v>255.07</v>
      </c>
      <c r="DA820" s="338" t="s">
        <v>342</v>
      </c>
      <c r="DF820" s="340">
        <v>110.05</v>
      </c>
      <c r="DG820" s="340" t="s">
        <v>316</v>
      </c>
      <c r="DP820" s="236">
        <v>611</v>
      </c>
      <c r="DQ820" s="236" t="s">
        <v>289</v>
      </c>
      <c r="DV820" s="340">
        <v>83.05</v>
      </c>
      <c r="DW820" s="340" t="s">
        <v>331</v>
      </c>
      <c r="DX820" s="1671"/>
      <c r="EB820" s="618"/>
      <c r="EC820" s="618"/>
      <c r="ED820" s="618"/>
      <c r="EE820" s="618"/>
      <c r="EF820" s="618"/>
      <c r="EG820" s="618"/>
      <c r="EH820" s="618"/>
      <c r="EI820" s="618"/>
      <c r="EJ820" s="618"/>
      <c r="EK820" s="618"/>
      <c r="EL820" s="618"/>
      <c r="EM820" s="618"/>
    </row>
    <row r="821" spans="6:143">
      <c r="F821" s="338">
        <v>822.01</v>
      </c>
      <c r="G821" s="338" t="s">
        <v>355</v>
      </c>
      <c r="L821" s="2481">
        <v>110.17</v>
      </c>
      <c r="M821" s="340" t="s">
        <v>316</v>
      </c>
      <c r="N821" s="1390"/>
      <c r="O821" s="2479"/>
      <c r="P821" s="2282"/>
      <c r="AA821" s="338">
        <v>4512</v>
      </c>
      <c r="AB821" s="338" t="s">
        <v>295</v>
      </c>
      <c r="AG821" s="2297">
        <v>83.12</v>
      </c>
      <c r="AH821" s="2297" t="s">
        <v>331</v>
      </c>
      <c r="AI821" s="1390"/>
      <c r="AJ821" s="2282"/>
      <c r="AK821" s="2282"/>
      <c r="AL821" s="1037"/>
      <c r="AX821" s="340">
        <v>68.010000000000005</v>
      </c>
      <c r="AY821" s="340" t="s">
        <v>316</v>
      </c>
      <c r="BN821" s="340">
        <v>78.12</v>
      </c>
      <c r="BO821" s="340" t="s">
        <v>340</v>
      </c>
      <c r="BP821" s="1385"/>
      <c r="BV821" s="236">
        <v>314</v>
      </c>
      <c r="BW821" s="236" t="s">
        <v>296</v>
      </c>
      <c r="CB821" s="340">
        <v>65.010000000000005</v>
      </c>
      <c r="CC821" s="340" t="s">
        <v>316</v>
      </c>
      <c r="CL821" s="236">
        <v>24.2</v>
      </c>
      <c r="CM821" s="236" t="s">
        <v>324</v>
      </c>
      <c r="CR821" s="340">
        <v>78.23</v>
      </c>
      <c r="CS821" s="340" t="s">
        <v>340</v>
      </c>
      <c r="CT821" s="1384"/>
      <c r="CZ821" s="1795">
        <v>256.02</v>
      </c>
      <c r="DA821" s="338" t="s">
        <v>342</v>
      </c>
      <c r="DF821" s="340">
        <v>110.06</v>
      </c>
      <c r="DG821" s="340" t="s">
        <v>316</v>
      </c>
      <c r="DP821" s="236">
        <v>621.14</v>
      </c>
      <c r="DQ821" s="236" t="s">
        <v>288</v>
      </c>
      <c r="DV821" s="340">
        <v>83.1</v>
      </c>
      <c r="DW821" s="340" t="s">
        <v>331</v>
      </c>
      <c r="DX821" s="1671"/>
      <c r="EB821" s="618"/>
      <c r="EC821" s="618"/>
      <c r="ED821" s="618"/>
      <c r="EE821" s="618"/>
      <c r="EF821" s="618"/>
      <c r="EG821" s="618"/>
      <c r="EH821" s="618"/>
      <c r="EI821" s="618"/>
      <c r="EJ821" s="618"/>
      <c r="EK821" s="618"/>
      <c r="EL821" s="618"/>
      <c r="EM821" s="618"/>
    </row>
    <row r="822" spans="6:143">
      <c r="F822" s="338">
        <v>823.02</v>
      </c>
      <c r="G822" s="338" t="s">
        <v>355</v>
      </c>
      <c r="L822" s="2481">
        <v>110.18</v>
      </c>
      <c r="M822" s="340" t="s">
        <v>316</v>
      </c>
      <c r="N822" s="1390"/>
      <c r="O822" s="2479"/>
      <c r="P822" s="2282"/>
      <c r="AA822" s="338">
        <v>4516.05</v>
      </c>
      <c r="AB822" s="338" t="s">
        <v>295</v>
      </c>
      <c r="AG822" s="2297">
        <v>83.14</v>
      </c>
      <c r="AH822" s="2297" t="s">
        <v>331</v>
      </c>
      <c r="AI822" s="1390"/>
      <c r="AJ822" s="2282"/>
      <c r="AK822" s="2282"/>
      <c r="AL822" s="1037"/>
      <c r="AX822" s="340">
        <v>68.02</v>
      </c>
      <c r="AY822" s="340" t="s">
        <v>316</v>
      </c>
      <c r="BN822" s="340">
        <v>78.13</v>
      </c>
      <c r="BO822" s="340" t="s">
        <v>340</v>
      </c>
      <c r="BP822" s="1385"/>
      <c r="BV822" s="236">
        <v>315</v>
      </c>
      <c r="BW822" s="236" t="s">
        <v>296</v>
      </c>
      <c r="CB822" s="340">
        <v>65.03</v>
      </c>
      <c r="CC822" s="340" t="s">
        <v>316</v>
      </c>
      <c r="CL822" s="236">
        <v>24.21</v>
      </c>
      <c r="CM822" s="236" t="s">
        <v>324</v>
      </c>
      <c r="CR822" s="340">
        <v>78.3</v>
      </c>
      <c r="CS822" s="340" t="s">
        <v>340</v>
      </c>
      <c r="CT822" s="1384"/>
      <c r="CZ822" s="1795">
        <v>258</v>
      </c>
      <c r="DA822" s="338" t="s">
        <v>342</v>
      </c>
      <c r="DF822" s="340">
        <v>110.07</v>
      </c>
      <c r="DG822" s="340" t="s">
        <v>316</v>
      </c>
      <c r="DP822" s="236">
        <v>623.02</v>
      </c>
      <c r="DQ822" s="236" t="s">
        <v>288</v>
      </c>
      <c r="DV822" s="340">
        <v>83.12</v>
      </c>
      <c r="DW822" s="340" t="s">
        <v>331</v>
      </c>
      <c r="DX822" s="1671"/>
      <c r="EB822" s="618"/>
      <c r="EC822" s="618"/>
      <c r="ED822" s="618"/>
      <c r="EE822" s="618"/>
      <c r="EF822" s="618"/>
      <c r="EG822" s="618"/>
      <c r="EH822" s="618"/>
      <c r="EI822" s="618"/>
      <c r="EJ822" s="618"/>
      <c r="EK822" s="618"/>
      <c r="EL822" s="618"/>
      <c r="EM822" s="618"/>
    </row>
    <row r="823" spans="6:143">
      <c r="F823" s="338">
        <v>824.01</v>
      </c>
      <c r="G823" s="338" t="s">
        <v>355</v>
      </c>
      <c r="L823" s="2481">
        <v>110.19</v>
      </c>
      <c r="M823" s="340" t="s">
        <v>316</v>
      </c>
      <c r="N823" s="1390"/>
      <c r="O823" s="2479"/>
      <c r="P823" s="2282"/>
      <c r="AA823" s="338">
        <v>9113.01</v>
      </c>
      <c r="AB823" s="338" t="s">
        <v>351</v>
      </c>
      <c r="AG823" s="2297">
        <v>83.15</v>
      </c>
      <c r="AH823" s="2297" t="s">
        <v>331</v>
      </c>
      <c r="AI823" s="1390"/>
      <c r="AJ823" s="2282"/>
      <c r="AK823" s="2282"/>
      <c r="AL823" s="1037"/>
      <c r="AX823" s="340">
        <v>69</v>
      </c>
      <c r="AY823" s="340" t="s">
        <v>316</v>
      </c>
      <c r="BN823" s="340">
        <v>78.14</v>
      </c>
      <c r="BO823" s="340" t="s">
        <v>340</v>
      </c>
      <c r="BP823" s="1385"/>
      <c r="BV823" s="236">
        <v>9800</v>
      </c>
      <c r="BW823" s="236" t="s">
        <v>296</v>
      </c>
      <c r="CB823" s="340">
        <v>65.040000000000006</v>
      </c>
      <c r="CC823" s="340" t="s">
        <v>316</v>
      </c>
      <c r="CL823" s="236">
        <v>24.22</v>
      </c>
      <c r="CM823" s="236" t="s">
        <v>324</v>
      </c>
      <c r="CR823" s="340">
        <v>78.31</v>
      </c>
      <c r="CS823" s="340" t="s">
        <v>340</v>
      </c>
      <c r="CT823" s="1384"/>
      <c r="CZ823" s="1795">
        <v>259.01</v>
      </c>
      <c r="DA823" s="338" t="s">
        <v>342</v>
      </c>
      <c r="DF823" s="340">
        <v>110.08</v>
      </c>
      <c r="DG823" s="340" t="s">
        <v>316</v>
      </c>
      <c r="DP823" s="236">
        <v>624.01</v>
      </c>
      <c r="DQ823" s="236" t="s">
        <v>288</v>
      </c>
      <c r="DV823" s="340">
        <v>83.14</v>
      </c>
      <c r="DW823" s="340" t="s">
        <v>331</v>
      </c>
      <c r="DX823" s="1671"/>
      <c r="EB823" s="618"/>
      <c r="EC823" s="618"/>
      <c r="ED823" s="618"/>
      <c r="EE823" s="618"/>
      <c r="EF823" s="618"/>
      <c r="EG823" s="618"/>
      <c r="EH823" s="618"/>
      <c r="EI823" s="618"/>
      <c r="EJ823" s="618"/>
      <c r="EK823" s="618"/>
      <c r="EL823" s="618"/>
      <c r="EM823" s="618"/>
    </row>
    <row r="824" spans="6:143">
      <c r="F824" s="338">
        <v>825.11</v>
      </c>
      <c r="G824" s="338" t="s">
        <v>355</v>
      </c>
      <c r="L824" s="2481">
        <v>111.03</v>
      </c>
      <c r="M824" s="340" t="s">
        <v>316</v>
      </c>
      <c r="N824" s="1390"/>
      <c r="O824" s="2479"/>
      <c r="P824" s="2282"/>
      <c r="AA824" s="338">
        <v>9503.0400000000009</v>
      </c>
      <c r="AB824" s="338" t="s">
        <v>357</v>
      </c>
      <c r="AG824" s="2297">
        <v>84.15</v>
      </c>
      <c r="AH824" s="2297" t="s">
        <v>331</v>
      </c>
      <c r="AI824" s="1390"/>
      <c r="AJ824" s="2282"/>
      <c r="AK824" s="2282"/>
      <c r="AL824" s="1037"/>
      <c r="AX824" s="340">
        <v>71.02</v>
      </c>
      <c r="AY824" s="340" t="s">
        <v>316</v>
      </c>
      <c r="BN824" s="340">
        <v>78.180000000000007</v>
      </c>
      <c r="BO824" s="340" t="s">
        <v>340</v>
      </c>
      <c r="BP824" s="1385"/>
      <c r="BV824" s="236">
        <v>1.01</v>
      </c>
      <c r="BW824" s="236" t="s">
        <v>297</v>
      </c>
      <c r="CB824" s="340">
        <v>66</v>
      </c>
      <c r="CC824" s="340" t="s">
        <v>316</v>
      </c>
      <c r="CL824" s="236">
        <v>24.23</v>
      </c>
      <c r="CM824" s="236" t="s">
        <v>324</v>
      </c>
      <c r="CR824" s="340">
        <v>78.34</v>
      </c>
      <c r="CS824" s="340" t="s">
        <v>340</v>
      </c>
      <c r="CT824" s="1384"/>
      <c r="CZ824" s="1795">
        <v>261.01</v>
      </c>
      <c r="DA824" s="338" t="s">
        <v>342</v>
      </c>
      <c r="DF824" s="340">
        <v>110.1</v>
      </c>
      <c r="DG824" s="340" t="s">
        <v>316</v>
      </c>
      <c r="DP824" s="236">
        <v>624.02</v>
      </c>
      <c r="DQ824" s="236" t="s">
        <v>288</v>
      </c>
      <c r="DV824" s="340">
        <v>83.15</v>
      </c>
      <c r="DW824" s="340" t="s">
        <v>331</v>
      </c>
      <c r="DX824" s="1671"/>
      <c r="EB824" s="618"/>
      <c r="EC824" s="618"/>
      <c r="ED824" s="618"/>
      <c r="EE824" s="618"/>
      <c r="EF824" s="618"/>
      <c r="EG824" s="618"/>
      <c r="EH824" s="618"/>
      <c r="EI824" s="618"/>
      <c r="EJ824" s="618"/>
      <c r="EK824" s="618"/>
      <c r="EL824" s="618"/>
      <c r="EM824" s="618"/>
    </row>
    <row r="825" spans="6:143">
      <c r="F825" s="338">
        <v>825.13</v>
      </c>
      <c r="G825" s="338" t="s">
        <v>355</v>
      </c>
      <c r="L825" s="2481">
        <v>111.07</v>
      </c>
      <c r="M825" s="340" t="s">
        <v>316</v>
      </c>
      <c r="N825" s="1390"/>
      <c r="O825" s="2479"/>
      <c r="P825" s="2282"/>
      <c r="AA825" s="338">
        <v>9603</v>
      </c>
      <c r="AB825" s="338" t="s">
        <v>315</v>
      </c>
      <c r="AG825" s="2297">
        <v>84.16</v>
      </c>
      <c r="AH825" s="2297" t="s">
        <v>331</v>
      </c>
      <c r="AI825" s="1390"/>
      <c r="AJ825" s="2282"/>
      <c r="AK825" s="2282"/>
      <c r="AL825" s="1037"/>
      <c r="AX825" s="340">
        <v>71.03</v>
      </c>
      <c r="AY825" s="340" t="s">
        <v>316</v>
      </c>
      <c r="BN825" s="340">
        <v>78.2</v>
      </c>
      <c r="BO825" s="340" t="s">
        <v>340</v>
      </c>
      <c r="BP825" s="1385"/>
      <c r="BV825" s="236">
        <v>1.02</v>
      </c>
      <c r="BW825" s="236" t="s">
        <v>297</v>
      </c>
      <c r="CB825" s="340">
        <v>67</v>
      </c>
      <c r="CC825" s="340" t="s">
        <v>316</v>
      </c>
      <c r="CL825" s="338">
        <v>25</v>
      </c>
      <c r="CM825" s="338" t="s">
        <v>285</v>
      </c>
      <c r="CR825" s="340">
        <v>78.349999999999994</v>
      </c>
      <c r="CS825" s="340" t="s">
        <v>340</v>
      </c>
      <c r="CT825" s="1384"/>
      <c r="CZ825" s="1795">
        <v>262</v>
      </c>
      <c r="DA825" s="338" t="s">
        <v>342</v>
      </c>
      <c r="DF825" s="340">
        <v>110.13</v>
      </c>
      <c r="DG825" s="340" t="s">
        <v>316</v>
      </c>
      <c r="DP825" s="236">
        <v>625</v>
      </c>
      <c r="DQ825" s="236" t="s">
        <v>288</v>
      </c>
      <c r="DV825" s="340">
        <v>84.09</v>
      </c>
      <c r="DW825" s="340" t="s">
        <v>331</v>
      </c>
      <c r="DX825" s="1671"/>
      <c r="EB825" s="618"/>
      <c r="EC825" s="618"/>
      <c r="ED825" s="618"/>
      <c r="EE825" s="618"/>
      <c r="EF825" s="618"/>
      <c r="EG825" s="618"/>
      <c r="EH825" s="618"/>
      <c r="EI825" s="618"/>
      <c r="EJ825" s="618"/>
      <c r="EK825" s="618"/>
      <c r="EL825" s="618"/>
      <c r="EM825" s="618"/>
    </row>
    <row r="826" spans="6:143">
      <c r="F826" s="338">
        <v>830.08</v>
      </c>
      <c r="G826" s="338" t="s">
        <v>355</v>
      </c>
      <c r="L826" s="2481">
        <v>111.08</v>
      </c>
      <c r="M826" s="340" t="s">
        <v>316</v>
      </c>
      <c r="N826" s="1390"/>
      <c r="O826" s="2479"/>
      <c r="P826" s="2282"/>
      <c r="AA826" s="338">
        <v>9609</v>
      </c>
      <c r="AB826" s="338" t="s">
        <v>315</v>
      </c>
      <c r="AG826" s="2297">
        <v>84.18</v>
      </c>
      <c r="AH826" s="2297" t="s">
        <v>331</v>
      </c>
      <c r="AI826" s="1390"/>
      <c r="AJ826" s="2282"/>
      <c r="AK826" s="2282"/>
      <c r="AL826" s="1037"/>
      <c r="AX826" s="340">
        <v>72</v>
      </c>
      <c r="AY826" s="340" t="s">
        <v>316</v>
      </c>
      <c r="BN826" s="340">
        <v>78.209999999999994</v>
      </c>
      <c r="BO826" s="340" t="s">
        <v>340</v>
      </c>
      <c r="BP826" s="1385"/>
      <c r="BV826" s="236">
        <v>2</v>
      </c>
      <c r="BW826" s="236" t="s">
        <v>297</v>
      </c>
      <c r="CB826" s="340">
        <v>68.010000000000005</v>
      </c>
      <c r="CC826" s="340" t="s">
        <v>316</v>
      </c>
      <c r="CL826" s="236">
        <v>25</v>
      </c>
      <c r="CM826" s="236" t="s">
        <v>304</v>
      </c>
      <c r="CR826" s="340">
        <v>78.37</v>
      </c>
      <c r="CS826" s="340" t="s">
        <v>340</v>
      </c>
      <c r="CT826" s="1384"/>
      <c r="CZ826" s="1795">
        <v>263</v>
      </c>
      <c r="DA826" s="338" t="s">
        <v>342</v>
      </c>
      <c r="DF826" s="340">
        <v>110.16</v>
      </c>
      <c r="DG826" s="340" t="s">
        <v>316</v>
      </c>
      <c r="DP826" s="236">
        <v>626</v>
      </c>
      <c r="DQ826" s="236" t="s">
        <v>288</v>
      </c>
      <c r="DV826" s="340">
        <v>84.15</v>
      </c>
      <c r="DW826" s="340" t="s">
        <v>331</v>
      </c>
      <c r="DX826" s="1671"/>
      <c r="EB826" s="618"/>
      <c r="EC826" s="618"/>
      <c r="ED826" s="618"/>
      <c r="EE826" s="618"/>
      <c r="EF826" s="618"/>
      <c r="EG826" s="618"/>
      <c r="EH826" s="618"/>
      <c r="EI826" s="618"/>
      <c r="EJ826" s="618"/>
      <c r="EK826" s="618"/>
      <c r="EL826" s="618"/>
      <c r="EM826" s="618"/>
    </row>
    <row r="827" spans="6:143">
      <c r="F827" s="338">
        <v>905</v>
      </c>
      <c r="G827" s="338" t="s">
        <v>355</v>
      </c>
      <c r="L827" s="2481">
        <v>111.09</v>
      </c>
      <c r="M827" s="340" t="s">
        <v>316</v>
      </c>
      <c r="N827" s="1390"/>
      <c r="O827" s="2479"/>
      <c r="P827" s="2282"/>
      <c r="AA827" s="338">
        <v>9611</v>
      </c>
      <c r="AB827" s="338" t="s">
        <v>315</v>
      </c>
      <c r="AG827" s="2297">
        <v>84.19</v>
      </c>
      <c r="AH827" s="2297" t="s">
        <v>331</v>
      </c>
      <c r="AI827" s="1390"/>
      <c r="AJ827" s="2282"/>
      <c r="AK827" s="2282"/>
      <c r="AL827" s="1037"/>
      <c r="AX827" s="340">
        <v>101.05</v>
      </c>
      <c r="AY827" s="340" t="s">
        <v>316</v>
      </c>
      <c r="BN827" s="340">
        <v>78.23</v>
      </c>
      <c r="BO827" s="340" t="s">
        <v>340</v>
      </c>
      <c r="BP827" s="1385"/>
      <c r="BV827" s="236">
        <v>3.01</v>
      </c>
      <c r="BW827" s="236" t="s">
        <v>297</v>
      </c>
      <c r="CB827" s="340">
        <v>68.02</v>
      </c>
      <c r="CC827" s="340" t="s">
        <v>316</v>
      </c>
      <c r="CL827" s="236">
        <v>25</v>
      </c>
      <c r="CM827" s="236" t="s">
        <v>316</v>
      </c>
      <c r="CR827" s="340">
        <v>78.38</v>
      </c>
      <c r="CS827" s="340" t="s">
        <v>340</v>
      </c>
      <c r="CT827" s="1384"/>
      <c r="CZ827" s="1795">
        <v>264.02</v>
      </c>
      <c r="DA827" s="338" t="s">
        <v>342</v>
      </c>
      <c r="DF827" s="340">
        <v>110.17</v>
      </c>
      <c r="DG827" s="340" t="s">
        <v>316</v>
      </c>
      <c r="DP827" s="236">
        <v>642.02</v>
      </c>
      <c r="DQ827" s="236" t="s">
        <v>288</v>
      </c>
      <c r="DV827" s="340">
        <v>84.16</v>
      </c>
      <c r="DW827" s="340" t="s">
        <v>331</v>
      </c>
      <c r="DX827" s="1671"/>
      <c r="EB827" s="618"/>
      <c r="EC827" s="618"/>
      <c r="ED827" s="618"/>
      <c r="EE827" s="618"/>
      <c r="EF827" s="618"/>
      <c r="EG827" s="618"/>
      <c r="EH827" s="618"/>
      <c r="EI827" s="618"/>
      <c r="EJ827" s="618"/>
      <c r="EK827" s="618"/>
      <c r="EL827" s="618"/>
      <c r="EM827" s="618"/>
    </row>
    <row r="828" spans="6:143">
      <c r="F828" s="338">
        <v>9503.0400000000009</v>
      </c>
      <c r="G828" s="338" t="s">
        <v>357</v>
      </c>
      <c r="L828" s="2481">
        <v>112.03</v>
      </c>
      <c r="M828" s="340" t="s">
        <v>316</v>
      </c>
      <c r="N828" s="1390"/>
      <c r="O828" s="2479"/>
      <c r="P828" s="2282"/>
      <c r="AA828" s="338">
        <v>9612.01</v>
      </c>
      <c r="AB828" s="338" t="s">
        <v>315</v>
      </c>
      <c r="AG828" s="2297">
        <v>84.2</v>
      </c>
      <c r="AH828" s="2297" t="s">
        <v>331</v>
      </c>
      <c r="AI828" s="1390"/>
      <c r="AJ828" s="2282"/>
      <c r="AK828" s="2282"/>
      <c r="AL828" s="1037"/>
      <c r="AX828" s="340">
        <v>101.06</v>
      </c>
      <c r="AY828" s="340" t="s">
        <v>316</v>
      </c>
      <c r="BN828" s="340">
        <v>78.3</v>
      </c>
      <c r="BO828" s="340" t="s">
        <v>340</v>
      </c>
      <c r="BP828" s="1385"/>
      <c r="BV828" s="236">
        <v>3.02</v>
      </c>
      <c r="BW828" s="236" t="s">
        <v>297</v>
      </c>
      <c r="CB828" s="340">
        <v>69</v>
      </c>
      <c r="CC828" s="340" t="s">
        <v>316</v>
      </c>
      <c r="CL828" s="236">
        <v>25.01</v>
      </c>
      <c r="CM828" s="236" t="s">
        <v>302</v>
      </c>
      <c r="CR828" s="340">
        <v>78.41</v>
      </c>
      <c r="CS828" s="340" t="s">
        <v>340</v>
      </c>
      <c r="CT828" s="1384"/>
      <c r="CZ828" s="1795">
        <v>267.02999999999997</v>
      </c>
      <c r="DA828" s="338" t="s">
        <v>342</v>
      </c>
      <c r="DF828" s="340">
        <v>110.18</v>
      </c>
      <c r="DG828" s="340" t="s">
        <v>316</v>
      </c>
      <c r="DP828" s="236">
        <v>645</v>
      </c>
      <c r="DQ828" s="236" t="s">
        <v>288</v>
      </c>
      <c r="DV828" s="340">
        <v>84.18</v>
      </c>
      <c r="DW828" s="340" t="s">
        <v>331</v>
      </c>
      <c r="DX828" s="1671"/>
      <c r="EB828" s="618"/>
      <c r="EC828" s="618"/>
      <c r="ED828" s="618"/>
      <c r="EE828" s="618"/>
      <c r="EF828" s="618"/>
      <c r="EG828" s="618"/>
      <c r="EH828" s="618"/>
      <c r="EI828" s="618"/>
      <c r="EJ828" s="618"/>
      <c r="EK828" s="618"/>
      <c r="EL828" s="618"/>
      <c r="EM828" s="618"/>
    </row>
    <row r="829" spans="6:143">
      <c r="F829" s="338">
        <v>9702</v>
      </c>
      <c r="G829" s="338" t="s">
        <v>358</v>
      </c>
      <c r="L829" s="2481">
        <v>112.05</v>
      </c>
      <c r="M829" s="340" t="s">
        <v>316</v>
      </c>
      <c r="N829" s="1390"/>
      <c r="O829" s="2479"/>
      <c r="P829" s="2282"/>
      <c r="AA829" s="338">
        <v>9702</v>
      </c>
      <c r="AB829" s="338" t="s">
        <v>358</v>
      </c>
      <c r="AG829" s="2297">
        <v>84.21</v>
      </c>
      <c r="AH829" s="2297" t="s">
        <v>331</v>
      </c>
      <c r="AI829" s="1390"/>
      <c r="AJ829" s="2282"/>
      <c r="AK829" s="2282"/>
      <c r="AL829" s="1037"/>
      <c r="AX829" s="340">
        <v>101.08</v>
      </c>
      <c r="AY829" s="340" t="s">
        <v>316</v>
      </c>
      <c r="BN829" s="340">
        <v>78.31</v>
      </c>
      <c r="BO829" s="340" t="s">
        <v>340</v>
      </c>
      <c r="BP829" s="1385"/>
      <c r="BV829" s="236">
        <v>4.01</v>
      </c>
      <c r="BW829" s="236" t="s">
        <v>297</v>
      </c>
      <c r="CB829" s="340">
        <v>70.010000000000005</v>
      </c>
      <c r="CC829" s="340" t="s">
        <v>316</v>
      </c>
      <c r="CL829" s="236">
        <v>25.01</v>
      </c>
      <c r="CM829" s="236" t="s">
        <v>331</v>
      </c>
      <c r="CR829" s="340">
        <v>78.42</v>
      </c>
      <c r="CS829" s="340" t="s">
        <v>340</v>
      </c>
      <c r="CT829" s="1384"/>
      <c r="CZ829" s="1795">
        <v>268.18</v>
      </c>
      <c r="DA829" s="338" t="s">
        <v>342</v>
      </c>
      <c r="DF829" s="340">
        <v>110.19</v>
      </c>
      <c r="DG829" s="340" t="s">
        <v>316</v>
      </c>
      <c r="DP829" s="236">
        <v>648</v>
      </c>
      <c r="DQ829" s="236" t="s">
        <v>288</v>
      </c>
      <c r="DV829" s="340">
        <v>84.19</v>
      </c>
      <c r="DW829" s="340" t="s">
        <v>331</v>
      </c>
      <c r="DX829" s="1671"/>
      <c r="EB829" s="618"/>
      <c r="EC829" s="618"/>
      <c r="ED829" s="618"/>
      <c r="EE829" s="618"/>
      <c r="EF829" s="618"/>
      <c r="EG829" s="618"/>
      <c r="EH829" s="618"/>
      <c r="EI829" s="618"/>
      <c r="EJ829" s="618"/>
      <c r="EK829" s="618"/>
      <c r="EL829" s="618"/>
      <c r="EM829" s="618"/>
    </row>
    <row r="830" spans="6:143">
      <c r="F830" s="2711" t="s">
        <v>2072</v>
      </c>
      <c r="G830" s="2712"/>
      <c r="L830" s="2481">
        <v>113.01</v>
      </c>
      <c r="M830" s="340" t="s">
        <v>316</v>
      </c>
      <c r="N830" s="1390"/>
      <c r="O830" s="2479"/>
      <c r="P830" s="2282"/>
      <c r="AA830" s="2711" t="s">
        <v>2072</v>
      </c>
      <c r="AB830" s="2712"/>
      <c r="AG830" s="2297">
        <v>84.23</v>
      </c>
      <c r="AH830" s="2297" t="s">
        <v>331</v>
      </c>
      <c r="AI830" s="1390"/>
      <c r="AJ830" s="2282"/>
      <c r="AK830" s="2282"/>
      <c r="AL830" s="1037"/>
      <c r="AX830" s="340">
        <v>102.1</v>
      </c>
      <c r="AY830" s="340" t="s">
        <v>316</v>
      </c>
      <c r="BN830" s="340">
        <v>78.34</v>
      </c>
      <c r="BO830" s="340" t="s">
        <v>340</v>
      </c>
      <c r="BP830" s="1385"/>
      <c r="BV830" s="236">
        <v>4.0199999999999996</v>
      </c>
      <c r="BW830" s="236" t="s">
        <v>297</v>
      </c>
      <c r="CB830" s="340">
        <v>70.02</v>
      </c>
      <c r="CC830" s="340" t="s">
        <v>316</v>
      </c>
      <c r="CL830" s="236">
        <v>25.02</v>
      </c>
      <c r="CM830" s="236" t="s">
        <v>302</v>
      </c>
      <c r="CR830" s="340">
        <v>78.430000000000007</v>
      </c>
      <c r="CS830" s="340" t="s">
        <v>340</v>
      </c>
      <c r="CT830" s="1384"/>
      <c r="CZ830" s="1795">
        <v>269.04000000000002</v>
      </c>
      <c r="DA830" s="338" t="s">
        <v>342</v>
      </c>
      <c r="DF830" s="340">
        <v>111.03</v>
      </c>
      <c r="DG830" s="340" t="s">
        <v>316</v>
      </c>
      <c r="DP830" s="236">
        <v>649.02</v>
      </c>
      <c r="DQ830" s="236" t="s">
        <v>288</v>
      </c>
      <c r="DV830" s="340">
        <v>84.2</v>
      </c>
      <c r="DW830" s="340" t="s">
        <v>331</v>
      </c>
      <c r="DX830" s="1671"/>
      <c r="EB830" s="618"/>
      <c r="EC830" s="618"/>
      <c r="ED830" s="618"/>
      <c r="EE830" s="618"/>
      <c r="EF830" s="618"/>
      <c r="EG830" s="618"/>
      <c r="EH830" s="618"/>
      <c r="EI830" s="618"/>
      <c r="EJ830" s="618"/>
      <c r="EK830" s="618"/>
      <c r="EL830" s="618"/>
      <c r="EM830" s="618"/>
    </row>
    <row r="831" spans="6:143">
      <c r="L831" s="2481">
        <v>113.03</v>
      </c>
      <c r="M831" s="340" t="s">
        <v>316</v>
      </c>
      <c r="N831" s="1390"/>
      <c r="O831" s="2479"/>
      <c r="P831" s="2282"/>
      <c r="AG831" s="2297">
        <v>84.25</v>
      </c>
      <c r="AH831" s="2297" t="s">
        <v>331</v>
      </c>
      <c r="AI831" s="1390"/>
      <c r="AJ831" s="2282"/>
      <c r="AK831" s="2282"/>
      <c r="AL831" s="1037"/>
      <c r="AX831" s="340">
        <v>102.11</v>
      </c>
      <c r="AY831" s="340" t="s">
        <v>316</v>
      </c>
      <c r="BN831" s="340">
        <v>78.349999999999994</v>
      </c>
      <c r="BO831" s="340" t="s">
        <v>340</v>
      </c>
      <c r="BP831" s="1385"/>
      <c r="BV831" s="236">
        <v>5</v>
      </c>
      <c r="BW831" s="236" t="s">
        <v>297</v>
      </c>
      <c r="CB831" s="340">
        <v>71.02</v>
      </c>
      <c r="CC831" s="340" t="s">
        <v>316</v>
      </c>
      <c r="CL831" s="236">
        <v>25.02</v>
      </c>
      <c r="CM831" s="236" t="s">
        <v>331</v>
      </c>
      <c r="CR831" s="340">
        <v>78.44</v>
      </c>
      <c r="CS831" s="340" t="s">
        <v>340</v>
      </c>
      <c r="CT831" s="1384"/>
      <c r="CZ831" s="1795">
        <v>269.12</v>
      </c>
      <c r="DA831" s="338" t="s">
        <v>342</v>
      </c>
      <c r="DF831" s="340">
        <v>111.07</v>
      </c>
      <c r="DG831" s="340" t="s">
        <v>316</v>
      </c>
      <c r="DP831" s="236">
        <v>651.24</v>
      </c>
      <c r="DQ831" s="236" t="s">
        <v>288</v>
      </c>
      <c r="DV831" s="340">
        <v>84.21</v>
      </c>
      <c r="DW831" s="340" t="s">
        <v>331</v>
      </c>
      <c r="DX831" s="1671"/>
      <c r="EB831" s="618"/>
      <c r="EC831" s="618"/>
      <c r="ED831" s="618"/>
      <c r="EE831" s="618"/>
      <c r="EF831" s="618"/>
      <c r="EG831" s="618"/>
      <c r="EH831" s="618"/>
      <c r="EI831" s="618"/>
      <c r="EJ831" s="618"/>
      <c r="EK831" s="618"/>
      <c r="EL831" s="618"/>
      <c r="EM831" s="618"/>
    </row>
    <row r="832" spans="6:143">
      <c r="L832" s="2481">
        <v>113.04</v>
      </c>
      <c r="M832" s="340" t="s">
        <v>316</v>
      </c>
      <c r="N832" s="1390"/>
      <c r="O832" s="2479"/>
      <c r="P832" s="2282"/>
      <c r="AG832" s="2297">
        <v>84.26</v>
      </c>
      <c r="AH832" s="2297" t="s">
        <v>331</v>
      </c>
      <c r="AI832" s="1390"/>
      <c r="AJ832" s="2282"/>
      <c r="AK832" s="2282"/>
      <c r="AL832" s="1037"/>
      <c r="AX832" s="340">
        <v>102.12</v>
      </c>
      <c r="AY832" s="340" t="s">
        <v>316</v>
      </c>
      <c r="BN832" s="340">
        <v>78.37</v>
      </c>
      <c r="BO832" s="340" t="s">
        <v>340</v>
      </c>
      <c r="BP832" s="1385"/>
      <c r="BV832" s="236">
        <v>6</v>
      </c>
      <c r="BW832" s="236" t="s">
        <v>297</v>
      </c>
      <c r="CB832" s="340">
        <v>71.03</v>
      </c>
      <c r="CC832" s="340" t="s">
        <v>316</v>
      </c>
      <c r="CL832" s="236">
        <v>25.03</v>
      </c>
      <c r="CM832" s="236" t="s">
        <v>329</v>
      </c>
      <c r="CR832" s="340">
        <v>78.45</v>
      </c>
      <c r="CS832" s="340" t="s">
        <v>340</v>
      </c>
      <c r="CT832" s="1384"/>
      <c r="CZ832" s="1795">
        <v>271.08</v>
      </c>
      <c r="DA832" s="338" t="s">
        <v>342</v>
      </c>
      <c r="DF832" s="340">
        <v>111.08</v>
      </c>
      <c r="DG832" s="340" t="s">
        <v>316</v>
      </c>
      <c r="DP832" s="236">
        <v>651.28</v>
      </c>
      <c r="DQ832" s="236" t="s">
        <v>288</v>
      </c>
      <c r="DV832" s="340">
        <v>84.22</v>
      </c>
      <c r="DW832" s="340" t="s">
        <v>331</v>
      </c>
      <c r="DX832" s="1671"/>
      <c r="EB832" s="618"/>
      <c r="EC832" s="618"/>
      <c r="ED832" s="618"/>
      <c r="EE832" s="618"/>
      <c r="EF832" s="618"/>
      <c r="EG832" s="618"/>
      <c r="EH832" s="618"/>
      <c r="EI832" s="618"/>
      <c r="EJ832" s="618"/>
      <c r="EK832" s="618"/>
      <c r="EL832" s="618"/>
      <c r="EM832" s="618"/>
    </row>
    <row r="833" spans="12:143">
      <c r="L833" s="2481">
        <v>114.07</v>
      </c>
      <c r="M833" s="340" t="s">
        <v>316</v>
      </c>
      <c r="N833" s="1390"/>
      <c r="O833" s="2479"/>
      <c r="P833" s="2282"/>
      <c r="AG833" s="2297">
        <v>84.27</v>
      </c>
      <c r="AH833" s="2297" t="s">
        <v>331</v>
      </c>
      <c r="AI833" s="1390"/>
      <c r="AJ833" s="2282"/>
      <c r="AK833" s="2282"/>
      <c r="AL833" s="1037"/>
      <c r="AX833" s="340">
        <v>102.15</v>
      </c>
      <c r="AY833" s="340" t="s">
        <v>316</v>
      </c>
      <c r="BN833" s="340">
        <v>78.38</v>
      </c>
      <c r="BO833" s="340" t="s">
        <v>340</v>
      </c>
      <c r="BP833" s="1385"/>
      <c r="BV833" s="236">
        <v>7</v>
      </c>
      <c r="BW833" s="236" t="s">
        <v>297</v>
      </c>
      <c r="CB833" s="340">
        <v>72</v>
      </c>
      <c r="CC833" s="340" t="s">
        <v>316</v>
      </c>
      <c r="CL833" s="236">
        <v>25.04</v>
      </c>
      <c r="CM833" s="236" t="s">
        <v>329</v>
      </c>
      <c r="CR833" s="340">
        <v>78.459999999999994</v>
      </c>
      <c r="CS833" s="340" t="s">
        <v>340</v>
      </c>
      <c r="CT833" s="1384"/>
      <c r="CZ833" s="1795">
        <v>274.04000000000002</v>
      </c>
      <c r="DA833" s="338" t="s">
        <v>342</v>
      </c>
      <c r="DF833" s="340">
        <v>111.09</v>
      </c>
      <c r="DG833" s="340" t="s">
        <v>316</v>
      </c>
      <c r="DP833" s="236">
        <v>652.4</v>
      </c>
      <c r="DQ833" s="236" t="s">
        <v>288</v>
      </c>
      <c r="DV833" s="340">
        <v>84.23</v>
      </c>
      <c r="DW833" s="340" t="s">
        <v>331</v>
      </c>
      <c r="DX833" s="1671"/>
      <c r="EB833" s="618"/>
      <c r="EC833" s="618"/>
      <c r="ED833" s="618"/>
      <c r="EE833" s="618"/>
      <c r="EF833" s="618"/>
      <c r="EG833" s="618"/>
      <c r="EH833" s="618"/>
      <c r="EI833" s="618"/>
      <c r="EJ833" s="618"/>
      <c r="EK833" s="618"/>
      <c r="EL833" s="618"/>
      <c r="EM833" s="618"/>
    </row>
    <row r="834" spans="12:143">
      <c r="L834" s="2481">
        <v>114.08</v>
      </c>
      <c r="M834" s="340" t="s">
        <v>316</v>
      </c>
      <c r="N834" s="1390"/>
      <c r="O834" s="2479"/>
      <c r="P834" s="2282"/>
      <c r="AG834" s="2297">
        <v>84.28</v>
      </c>
      <c r="AH834" s="2297" t="s">
        <v>331</v>
      </c>
      <c r="AI834" s="1390"/>
      <c r="AJ834" s="2282"/>
      <c r="AK834" s="2282"/>
      <c r="AL834" s="1037"/>
      <c r="AX834" s="340">
        <v>102.16</v>
      </c>
      <c r="AY834" s="340" t="s">
        <v>316</v>
      </c>
      <c r="BN834" s="340">
        <v>78.42</v>
      </c>
      <c r="BO834" s="340" t="s">
        <v>340</v>
      </c>
      <c r="BP834" s="1385"/>
      <c r="BV834" s="236">
        <v>101.02</v>
      </c>
      <c r="BW834" s="236" t="s">
        <v>297</v>
      </c>
      <c r="CB834" s="340">
        <v>73</v>
      </c>
      <c r="CC834" s="340" t="s">
        <v>316</v>
      </c>
      <c r="CL834" s="236">
        <v>25.04</v>
      </c>
      <c r="CM834" s="236" t="s">
        <v>347</v>
      </c>
      <c r="CR834" s="340">
        <v>78.47</v>
      </c>
      <c r="CS834" s="340" t="s">
        <v>340</v>
      </c>
      <c r="CT834" s="1384"/>
      <c r="CZ834" s="1795">
        <v>281.02999999999997</v>
      </c>
      <c r="DA834" s="338" t="s">
        <v>342</v>
      </c>
      <c r="DF834" s="340">
        <v>112.03</v>
      </c>
      <c r="DG834" s="340" t="s">
        <v>316</v>
      </c>
      <c r="DP834" s="236">
        <v>701.04</v>
      </c>
      <c r="DQ834" s="236" t="s">
        <v>289</v>
      </c>
      <c r="DV834" s="340">
        <v>84.24</v>
      </c>
      <c r="DW834" s="340" t="s">
        <v>331</v>
      </c>
      <c r="DX834" s="1671"/>
      <c r="EB834" s="618"/>
      <c r="EC834" s="618"/>
      <c r="ED834" s="618"/>
      <c r="EE834" s="618"/>
      <c r="EF834" s="618"/>
      <c r="EG834" s="618"/>
      <c r="EH834" s="618"/>
      <c r="EI834" s="618"/>
      <c r="EJ834" s="618"/>
      <c r="EK834" s="618"/>
      <c r="EL834" s="618"/>
      <c r="EM834" s="618"/>
    </row>
    <row r="835" spans="12:143">
      <c r="L835" s="2481">
        <v>114.09</v>
      </c>
      <c r="M835" s="340" t="s">
        <v>316</v>
      </c>
      <c r="N835" s="1390"/>
      <c r="O835" s="2479"/>
      <c r="P835" s="2282"/>
      <c r="AG835" s="2297">
        <v>84.29</v>
      </c>
      <c r="AH835" s="2297" t="s">
        <v>331</v>
      </c>
      <c r="AI835" s="1390"/>
      <c r="AJ835" s="2282"/>
      <c r="AK835" s="2282"/>
      <c r="AL835" s="1037"/>
      <c r="AX835" s="340">
        <v>102.17</v>
      </c>
      <c r="AY835" s="340" t="s">
        <v>316</v>
      </c>
      <c r="BN835" s="340">
        <v>78.430000000000007</v>
      </c>
      <c r="BO835" s="340" t="s">
        <v>340</v>
      </c>
      <c r="BP835" s="1385"/>
      <c r="BV835" s="236">
        <v>101.07</v>
      </c>
      <c r="BW835" s="236" t="s">
        <v>297</v>
      </c>
      <c r="CB835" s="340">
        <v>101.05</v>
      </c>
      <c r="CC835" s="340" t="s">
        <v>316</v>
      </c>
      <c r="CL835" s="236">
        <v>25.05</v>
      </c>
      <c r="CM835" s="236" t="s">
        <v>324</v>
      </c>
      <c r="CR835" s="340">
        <v>78.48</v>
      </c>
      <c r="CS835" s="340" t="s">
        <v>340</v>
      </c>
      <c r="CT835" s="1384"/>
      <c r="CZ835" s="1795">
        <v>287</v>
      </c>
      <c r="DA835" s="338" t="s">
        <v>342</v>
      </c>
      <c r="DF835" s="340">
        <v>112.04</v>
      </c>
      <c r="DG835" s="340" t="s">
        <v>316</v>
      </c>
      <c r="DP835" s="236">
        <v>702.02</v>
      </c>
      <c r="DQ835" s="236" t="s">
        <v>323</v>
      </c>
      <c r="DV835" s="340">
        <v>84.25</v>
      </c>
      <c r="DW835" s="340" t="s">
        <v>331</v>
      </c>
      <c r="DX835" s="1671"/>
      <c r="EB835" s="618"/>
      <c r="EC835" s="618"/>
      <c r="ED835" s="618"/>
      <c r="EE835" s="618"/>
      <c r="EF835" s="618"/>
      <c r="EG835" s="618"/>
      <c r="EH835" s="618"/>
      <c r="EI835" s="618"/>
      <c r="EJ835" s="618"/>
      <c r="EK835" s="618"/>
      <c r="EL835" s="618"/>
      <c r="EM835" s="618"/>
    </row>
    <row r="836" spans="12:143">
      <c r="L836" s="2481">
        <v>114.1</v>
      </c>
      <c r="M836" s="340" t="s">
        <v>316</v>
      </c>
      <c r="N836" s="1390"/>
      <c r="O836" s="2479"/>
      <c r="P836" s="2282"/>
      <c r="AG836" s="2297">
        <v>84.31</v>
      </c>
      <c r="AH836" s="2297" t="s">
        <v>331</v>
      </c>
      <c r="AI836" s="1390"/>
      <c r="AJ836" s="2282"/>
      <c r="AK836" s="2282"/>
      <c r="AL836" s="1037"/>
      <c r="AX836" s="340">
        <v>102.18</v>
      </c>
      <c r="AY836" s="340" t="s">
        <v>316</v>
      </c>
      <c r="BN836" s="340">
        <v>78.44</v>
      </c>
      <c r="BO836" s="340" t="s">
        <v>340</v>
      </c>
      <c r="BP836" s="1385"/>
      <c r="BV836" s="236">
        <v>101.08</v>
      </c>
      <c r="BW836" s="236" t="s">
        <v>297</v>
      </c>
      <c r="CB836" s="340">
        <v>101.06</v>
      </c>
      <c r="CC836" s="340" t="s">
        <v>316</v>
      </c>
      <c r="CL836" s="236">
        <v>25.05</v>
      </c>
      <c r="CM836" s="236" t="s">
        <v>329</v>
      </c>
      <c r="CR836" s="340">
        <v>78.489999999999995</v>
      </c>
      <c r="CS836" s="340" t="s">
        <v>340</v>
      </c>
      <c r="CT836" s="1384"/>
      <c r="CZ836" s="1795">
        <v>103</v>
      </c>
      <c r="DA836" s="338" t="s">
        <v>344</v>
      </c>
      <c r="DF836" s="340">
        <v>112.05</v>
      </c>
      <c r="DG836" s="340" t="s">
        <v>316</v>
      </c>
      <c r="DP836" s="236">
        <v>702.04</v>
      </c>
      <c r="DQ836" s="236" t="s">
        <v>289</v>
      </c>
      <c r="DV836" s="340">
        <v>84.26</v>
      </c>
      <c r="DW836" s="340" t="s">
        <v>331</v>
      </c>
      <c r="DX836" s="1671"/>
      <c r="EB836" s="618"/>
      <c r="EC836" s="618"/>
      <c r="ED836" s="618"/>
      <c r="EE836" s="618"/>
      <c r="EF836" s="618"/>
      <c r="EG836" s="618"/>
      <c r="EH836" s="618"/>
      <c r="EI836" s="618"/>
      <c r="EJ836" s="618"/>
      <c r="EK836" s="618"/>
      <c r="EL836" s="618"/>
      <c r="EM836" s="618"/>
    </row>
    <row r="837" spans="12:143">
      <c r="L837" s="2481">
        <v>114.11</v>
      </c>
      <c r="M837" s="340" t="s">
        <v>316</v>
      </c>
      <c r="N837" s="1390"/>
      <c r="O837" s="2479"/>
      <c r="P837" s="2282"/>
      <c r="AG837" s="2297">
        <v>85.02</v>
      </c>
      <c r="AH837" s="2297" t="s">
        <v>331</v>
      </c>
      <c r="AI837" s="1390"/>
      <c r="AJ837" s="2282"/>
      <c r="AK837" s="2282"/>
      <c r="AL837" s="1037"/>
      <c r="AX837" s="340">
        <v>106</v>
      </c>
      <c r="AY837" s="340" t="s">
        <v>316</v>
      </c>
      <c r="BN837" s="340">
        <v>78.45</v>
      </c>
      <c r="BO837" s="340" t="s">
        <v>340</v>
      </c>
      <c r="BP837" s="1385"/>
      <c r="BV837" s="236">
        <v>101.09</v>
      </c>
      <c r="BW837" s="236" t="s">
        <v>297</v>
      </c>
      <c r="CB837" s="340">
        <v>101.08</v>
      </c>
      <c r="CC837" s="340" t="s">
        <v>316</v>
      </c>
      <c r="CL837" s="236">
        <v>25.05</v>
      </c>
      <c r="CM837" s="236" t="s">
        <v>347</v>
      </c>
      <c r="CR837" s="340">
        <v>78.5</v>
      </c>
      <c r="CS837" s="340" t="s">
        <v>340</v>
      </c>
      <c r="CT837" s="1384"/>
      <c r="CZ837" s="1795">
        <v>108</v>
      </c>
      <c r="DA837" s="338" t="s">
        <v>344</v>
      </c>
      <c r="DF837" s="340">
        <v>113.01</v>
      </c>
      <c r="DG837" s="340" t="s">
        <v>316</v>
      </c>
      <c r="DP837" s="236">
        <v>705.04</v>
      </c>
      <c r="DQ837" s="236" t="s">
        <v>289</v>
      </c>
      <c r="DV837" s="340">
        <v>84.27</v>
      </c>
      <c r="DW837" s="340" t="s">
        <v>331</v>
      </c>
      <c r="DX837" s="1671"/>
      <c r="EB837" s="618"/>
      <c r="EC837" s="618"/>
      <c r="ED837" s="618"/>
      <c r="EE837" s="618"/>
      <c r="EF837" s="618"/>
      <c r="EG837" s="618"/>
      <c r="EH837" s="618"/>
      <c r="EI837" s="618"/>
      <c r="EJ837" s="618"/>
      <c r="EK837" s="618"/>
      <c r="EL837" s="618"/>
      <c r="EM837" s="618"/>
    </row>
    <row r="838" spans="12:143">
      <c r="L838" s="2481">
        <v>114.12</v>
      </c>
      <c r="M838" s="340" t="s">
        <v>316</v>
      </c>
      <c r="N838" s="1390"/>
      <c r="O838" s="2479"/>
      <c r="P838" s="2282"/>
      <c r="AG838" s="2297">
        <v>85.04</v>
      </c>
      <c r="AH838" s="2297" t="s">
        <v>331</v>
      </c>
      <c r="AI838" s="1390"/>
      <c r="AJ838" s="2282"/>
      <c r="AK838" s="2282"/>
      <c r="AL838" s="1037"/>
      <c r="AX838" s="340">
        <v>107.01</v>
      </c>
      <c r="AY838" s="340" t="s">
        <v>316</v>
      </c>
      <c r="BN838" s="340">
        <v>78.459999999999994</v>
      </c>
      <c r="BO838" s="340" t="s">
        <v>340</v>
      </c>
      <c r="BP838" s="1385"/>
      <c r="BV838" s="236">
        <v>101.1</v>
      </c>
      <c r="BW838" s="236" t="s">
        <v>297</v>
      </c>
      <c r="CB838" s="340">
        <v>102.1</v>
      </c>
      <c r="CC838" s="340" t="s">
        <v>316</v>
      </c>
      <c r="CL838" s="236">
        <v>25.06</v>
      </c>
      <c r="CM838" s="236" t="s">
        <v>329</v>
      </c>
      <c r="CR838" s="340">
        <v>78.53</v>
      </c>
      <c r="CS838" s="340" t="s">
        <v>340</v>
      </c>
      <c r="CT838" s="1384"/>
      <c r="CZ838" s="1795">
        <v>109</v>
      </c>
      <c r="DA838" s="338" t="s">
        <v>344</v>
      </c>
      <c r="DF838" s="340">
        <v>113.03</v>
      </c>
      <c r="DG838" s="340" t="s">
        <v>316</v>
      </c>
      <c r="DP838" s="236">
        <v>713.41</v>
      </c>
      <c r="DQ838" s="236" t="s">
        <v>288</v>
      </c>
      <c r="DV838" s="340">
        <v>84.28</v>
      </c>
      <c r="DW838" s="340" t="s">
        <v>331</v>
      </c>
      <c r="DX838" s="1671"/>
      <c r="EB838" s="618"/>
      <c r="EC838" s="618"/>
      <c r="ED838" s="618"/>
      <c r="EE838" s="618"/>
      <c r="EF838" s="618"/>
      <c r="EG838" s="618"/>
      <c r="EH838" s="618"/>
      <c r="EI838" s="618"/>
      <c r="EJ838" s="618"/>
      <c r="EK838" s="618"/>
      <c r="EL838" s="618"/>
      <c r="EM838" s="618"/>
    </row>
    <row r="839" spans="12:143">
      <c r="L839" s="2481">
        <v>114.13</v>
      </c>
      <c r="M839" s="340" t="s">
        <v>316</v>
      </c>
      <c r="N839" s="1390"/>
      <c r="O839" s="2479"/>
      <c r="P839" s="2282"/>
      <c r="AG839" s="2297">
        <v>86.01</v>
      </c>
      <c r="AH839" s="2297" t="s">
        <v>331</v>
      </c>
      <c r="AI839" s="1390"/>
      <c r="AJ839" s="2282"/>
      <c r="AK839" s="2282"/>
      <c r="AL839" s="1037"/>
      <c r="AX839" s="340">
        <v>107.02</v>
      </c>
      <c r="AY839" s="340" t="s">
        <v>316</v>
      </c>
      <c r="BN839" s="340">
        <v>78.47</v>
      </c>
      <c r="BO839" s="340" t="s">
        <v>340</v>
      </c>
      <c r="BP839" s="1385"/>
      <c r="BV839" s="236">
        <v>101.11</v>
      </c>
      <c r="BW839" s="236" t="s">
        <v>297</v>
      </c>
      <c r="CB839" s="340">
        <v>102.11</v>
      </c>
      <c r="CC839" s="340" t="s">
        <v>316</v>
      </c>
      <c r="CL839" s="236">
        <v>25.07</v>
      </c>
      <c r="CM839" s="236" t="s">
        <v>324</v>
      </c>
      <c r="CR839" s="340">
        <v>79.010000000000005</v>
      </c>
      <c r="CS839" s="340" t="s">
        <v>331</v>
      </c>
      <c r="CT839" s="1384"/>
      <c r="CZ839" s="1795">
        <v>110</v>
      </c>
      <c r="DA839" s="338" t="s">
        <v>344</v>
      </c>
      <c r="DF839" s="340">
        <v>113.04</v>
      </c>
      <c r="DG839" s="340" t="s">
        <v>316</v>
      </c>
      <c r="DP839" s="236">
        <v>714.02</v>
      </c>
      <c r="DQ839" s="236" t="s">
        <v>288</v>
      </c>
      <c r="DV839" s="340">
        <v>84.29</v>
      </c>
      <c r="DW839" s="340" t="s">
        <v>331</v>
      </c>
      <c r="DX839" s="1671"/>
      <c r="EB839" s="618"/>
      <c r="EC839" s="618"/>
      <c r="ED839" s="618"/>
      <c r="EE839" s="618"/>
      <c r="EF839" s="618"/>
      <c r="EG839" s="618"/>
      <c r="EH839" s="618"/>
      <c r="EI839" s="618"/>
      <c r="EJ839" s="618"/>
      <c r="EK839" s="618"/>
      <c r="EL839" s="618"/>
      <c r="EM839" s="618"/>
    </row>
    <row r="840" spans="12:143">
      <c r="L840" s="2481">
        <v>114.15</v>
      </c>
      <c r="M840" s="340" t="s">
        <v>316</v>
      </c>
      <c r="N840" s="1390"/>
      <c r="O840" s="2479"/>
      <c r="P840" s="2282"/>
      <c r="AG840" s="2297">
        <v>86.03</v>
      </c>
      <c r="AH840" s="2297" t="s">
        <v>331</v>
      </c>
      <c r="AI840" s="1390"/>
      <c r="AJ840" s="2282"/>
      <c r="AK840" s="2282"/>
      <c r="AL840" s="1037"/>
      <c r="AX840" s="340">
        <v>108.1</v>
      </c>
      <c r="AY840" s="340" t="s">
        <v>316</v>
      </c>
      <c r="BN840" s="340">
        <v>78.48</v>
      </c>
      <c r="BO840" s="340" t="s">
        <v>340</v>
      </c>
      <c r="BP840" s="1385"/>
      <c r="BV840" s="236">
        <v>101.12</v>
      </c>
      <c r="BW840" s="236" t="s">
        <v>297</v>
      </c>
      <c r="CB840" s="340">
        <v>102.12</v>
      </c>
      <c r="CC840" s="340" t="s">
        <v>316</v>
      </c>
      <c r="CL840" s="236">
        <v>25.07</v>
      </c>
      <c r="CM840" s="236" t="s">
        <v>329</v>
      </c>
      <c r="CR840" s="340">
        <v>79.02</v>
      </c>
      <c r="CS840" s="340" t="s">
        <v>331</v>
      </c>
      <c r="CT840" s="1384"/>
      <c r="CZ840" s="1795">
        <v>112.02</v>
      </c>
      <c r="DA840" s="338" t="s">
        <v>344</v>
      </c>
      <c r="DF840" s="340">
        <v>114.07</v>
      </c>
      <c r="DG840" s="340" t="s">
        <v>316</v>
      </c>
      <c r="DP840" s="236">
        <v>801.02</v>
      </c>
      <c r="DQ840" s="236" t="s">
        <v>289</v>
      </c>
      <c r="DV840" s="340">
        <v>84.3</v>
      </c>
      <c r="DW840" s="340" t="s">
        <v>331</v>
      </c>
      <c r="DX840" s="1671"/>
      <c r="EB840" s="618"/>
      <c r="EC840" s="618"/>
      <c r="ED840" s="618"/>
      <c r="EE840" s="618"/>
      <c r="EF840" s="618"/>
      <c r="EG840" s="618"/>
      <c r="EH840" s="618"/>
      <c r="EI840" s="618"/>
      <c r="EJ840" s="618"/>
      <c r="EK840" s="618"/>
      <c r="EL840" s="618"/>
      <c r="EM840" s="618"/>
    </row>
    <row r="841" spans="12:143">
      <c r="L841" s="2481">
        <v>114.18</v>
      </c>
      <c r="M841" s="340" t="s">
        <v>316</v>
      </c>
      <c r="N841" s="1390"/>
      <c r="O841" s="2479"/>
      <c r="P841" s="2282"/>
      <c r="AG841" s="2297">
        <v>86.04</v>
      </c>
      <c r="AH841" s="2297" t="s">
        <v>331</v>
      </c>
      <c r="AI841" s="1390"/>
      <c r="AJ841" s="2282"/>
      <c r="AK841" s="2282"/>
      <c r="AL841" s="1037"/>
      <c r="AX841" s="340">
        <v>108.11</v>
      </c>
      <c r="AY841" s="340" t="s">
        <v>316</v>
      </c>
      <c r="BN841" s="340">
        <v>78.5</v>
      </c>
      <c r="BO841" s="340" t="s">
        <v>340</v>
      </c>
      <c r="BP841" s="1385"/>
      <c r="BV841" s="236">
        <v>101.13</v>
      </c>
      <c r="BW841" s="236" t="s">
        <v>297</v>
      </c>
      <c r="CB841" s="340">
        <v>102.15</v>
      </c>
      <c r="CC841" s="340" t="s">
        <v>316</v>
      </c>
      <c r="CL841" s="236">
        <v>25.07</v>
      </c>
      <c r="CM841" s="236" t="s">
        <v>347</v>
      </c>
      <c r="CR841" s="340">
        <v>79.09</v>
      </c>
      <c r="CS841" s="340" t="s">
        <v>340</v>
      </c>
      <c r="CT841" s="1384"/>
      <c r="CZ841" s="1795">
        <v>112.03</v>
      </c>
      <c r="DA841" s="338" t="s">
        <v>344</v>
      </c>
      <c r="DF841" s="340">
        <v>114.08</v>
      </c>
      <c r="DG841" s="340" t="s">
        <v>316</v>
      </c>
      <c r="DP841" s="236">
        <v>804.03</v>
      </c>
      <c r="DQ841" s="236" t="s">
        <v>289</v>
      </c>
      <c r="DV841" s="340">
        <v>85.02</v>
      </c>
      <c r="DW841" s="340" t="s">
        <v>331</v>
      </c>
      <c r="DX841" s="1671"/>
      <c r="EB841" s="618"/>
      <c r="EC841" s="618"/>
      <c r="ED841" s="618"/>
      <c r="EE841" s="618"/>
      <c r="EF841" s="618"/>
      <c r="EG841" s="618"/>
      <c r="EH841" s="618"/>
      <c r="EI841" s="618"/>
      <c r="EJ841" s="618"/>
      <c r="EK841" s="618"/>
      <c r="EL841" s="618"/>
      <c r="EM841" s="618"/>
    </row>
    <row r="842" spans="12:143">
      <c r="L842" s="2481">
        <v>115.04</v>
      </c>
      <c r="M842" s="340" t="s">
        <v>316</v>
      </c>
      <c r="N842" s="1390"/>
      <c r="O842" s="2479"/>
      <c r="P842" s="2282"/>
      <c r="AG842" s="2297">
        <v>87.02</v>
      </c>
      <c r="AH842" s="2297" t="s">
        <v>331</v>
      </c>
      <c r="AI842" s="1390"/>
      <c r="AJ842" s="2282"/>
      <c r="AK842" s="2282"/>
      <c r="AL842" s="1037"/>
      <c r="AX842" s="340">
        <v>108.19</v>
      </c>
      <c r="AY842" s="340" t="s">
        <v>316</v>
      </c>
      <c r="BN842" s="340">
        <v>78.53</v>
      </c>
      <c r="BO842" s="340" t="s">
        <v>340</v>
      </c>
      <c r="BP842" s="1385"/>
      <c r="BV842" s="236">
        <v>101.14</v>
      </c>
      <c r="BW842" s="236" t="s">
        <v>297</v>
      </c>
      <c r="CB842" s="340">
        <v>102.16</v>
      </c>
      <c r="CC842" s="340" t="s">
        <v>316</v>
      </c>
      <c r="CL842" s="236">
        <v>25.08</v>
      </c>
      <c r="CM842" s="236" t="s">
        <v>347</v>
      </c>
      <c r="CR842" s="340">
        <v>79.13</v>
      </c>
      <c r="CS842" s="340" t="s">
        <v>340</v>
      </c>
      <c r="CT842" s="1384"/>
      <c r="CZ842" s="1795">
        <v>112.04</v>
      </c>
      <c r="DA842" s="338" t="s">
        <v>344</v>
      </c>
      <c r="DF842" s="340">
        <v>114.09</v>
      </c>
      <c r="DG842" s="340" t="s">
        <v>316</v>
      </c>
      <c r="DP842" s="236">
        <v>805</v>
      </c>
      <c r="DQ842" s="236" t="s">
        <v>289</v>
      </c>
      <c r="DV842" s="340">
        <v>85.03</v>
      </c>
      <c r="DW842" s="340" t="s">
        <v>331</v>
      </c>
      <c r="DX842" s="1671"/>
      <c r="EB842" s="618"/>
      <c r="EC842" s="618"/>
      <c r="ED842" s="618"/>
      <c r="EE842" s="618"/>
      <c r="EF842" s="618"/>
      <c r="EG842" s="618"/>
      <c r="EH842" s="618"/>
      <c r="EI842" s="618"/>
      <c r="EJ842" s="618"/>
      <c r="EK842" s="618"/>
      <c r="EL842" s="618"/>
      <c r="EM842" s="618"/>
    </row>
    <row r="843" spans="12:143">
      <c r="L843" s="2481">
        <v>115.06</v>
      </c>
      <c r="M843" s="340" t="s">
        <v>316</v>
      </c>
      <c r="N843" s="1390"/>
      <c r="O843" s="2479"/>
      <c r="P843" s="2282"/>
      <c r="AG843" s="2297">
        <v>87.04</v>
      </c>
      <c r="AH843" s="2297" t="s">
        <v>331</v>
      </c>
      <c r="AI843" s="1390"/>
      <c r="AJ843" s="2282"/>
      <c r="AK843" s="2282"/>
      <c r="AL843" s="1037"/>
      <c r="AX843" s="340">
        <v>108.24</v>
      </c>
      <c r="AY843" s="340" t="s">
        <v>316</v>
      </c>
      <c r="BN843" s="340">
        <v>79.010000000000005</v>
      </c>
      <c r="BO843" s="340" t="s">
        <v>331</v>
      </c>
      <c r="BP843" s="1385"/>
      <c r="BV843" s="236">
        <v>102.05</v>
      </c>
      <c r="BW843" s="236" t="s">
        <v>297</v>
      </c>
      <c r="CB843" s="340">
        <v>102.17</v>
      </c>
      <c r="CC843" s="340" t="s">
        <v>316</v>
      </c>
      <c r="CL843" s="236">
        <v>25.09</v>
      </c>
      <c r="CM843" s="236" t="s">
        <v>324</v>
      </c>
      <c r="CR843" s="340">
        <v>79.150000000000006</v>
      </c>
      <c r="CS843" s="340" t="s">
        <v>340</v>
      </c>
      <c r="CT843" s="1384"/>
      <c r="CZ843" s="1795">
        <v>113</v>
      </c>
      <c r="DA843" s="338" t="s">
        <v>344</v>
      </c>
      <c r="DF843" s="340">
        <v>114.1</v>
      </c>
      <c r="DG843" s="340" t="s">
        <v>316</v>
      </c>
      <c r="DP843" s="236">
        <v>806</v>
      </c>
      <c r="DQ843" s="236" t="s">
        <v>355</v>
      </c>
      <c r="DV843" s="340">
        <v>85.04</v>
      </c>
      <c r="DW843" s="340" t="s">
        <v>331</v>
      </c>
      <c r="DX843" s="1671"/>
      <c r="EB843" s="618"/>
      <c r="EC843" s="618"/>
      <c r="ED843" s="618"/>
      <c r="EE843" s="618"/>
      <c r="EF843" s="618"/>
      <c r="EG843" s="618"/>
      <c r="EH843" s="618"/>
      <c r="EI843" s="618"/>
      <c r="EJ843" s="618"/>
      <c r="EK843" s="618"/>
      <c r="EL843" s="618"/>
      <c r="EM843" s="618"/>
    </row>
    <row r="844" spans="12:143">
      <c r="L844" s="2481">
        <v>115.09</v>
      </c>
      <c r="M844" s="340" t="s">
        <v>316</v>
      </c>
      <c r="N844" s="1390"/>
      <c r="O844" s="2479"/>
      <c r="P844" s="2282"/>
      <c r="AG844" s="2297">
        <v>88.05</v>
      </c>
      <c r="AH844" s="2297" t="s">
        <v>331</v>
      </c>
      <c r="AI844" s="1390"/>
      <c r="AJ844" s="2282"/>
      <c r="AK844" s="2282"/>
      <c r="AL844" s="1037"/>
      <c r="AX844" s="340">
        <v>110.05</v>
      </c>
      <c r="AY844" s="340" t="s">
        <v>316</v>
      </c>
      <c r="BN844" s="340">
        <v>79.02</v>
      </c>
      <c r="BO844" s="340" t="s">
        <v>331</v>
      </c>
      <c r="BP844" s="1385"/>
      <c r="BV844" s="236">
        <v>102.08</v>
      </c>
      <c r="BW844" s="236" t="s">
        <v>297</v>
      </c>
      <c r="CB844" s="340">
        <v>102.18</v>
      </c>
      <c r="CC844" s="340" t="s">
        <v>316</v>
      </c>
      <c r="CL844" s="236">
        <v>25.09</v>
      </c>
      <c r="CM844" s="236" t="s">
        <v>347</v>
      </c>
      <c r="CR844" s="340">
        <v>79.16</v>
      </c>
      <c r="CS844" s="340" t="s">
        <v>340</v>
      </c>
      <c r="CT844" s="1384"/>
      <c r="CZ844" s="1795">
        <v>114</v>
      </c>
      <c r="DA844" s="338" t="s">
        <v>344</v>
      </c>
      <c r="DF844" s="340">
        <v>114.11</v>
      </c>
      <c r="DG844" s="340" t="s">
        <v>316</v>
      </c>
      <c r="DP844" s="236">
        <v>809.02</v>
      </c>
      <c r="DQ844" s="236" t="s">
        <v>355</v>
      </c>
      <c r="DV844" s="340">
        <v>86.01</v>
      </c>
      <c r="DW844" s="340" t="s">
        <v>331</v>
      </c>
      <c r="DX844" s="1671"/>
      <c r="EB844" s="618"/>
      <c r="EC844" s="618"/>
      <c r="ED844" s="618"/>
      <c r="EE844" s="618"/>
      <c r="EF844" s="618"/>
      <c r="EG844" s="618"/>
      <c r="EH844" s="618"/>
      <c r="EI844" s="618"/>
      <c r="EJ844" s="618"/>
      <c r="EK844" s="618"/>
      <c r="EL844" s="618"/>
      <c r="EM844" s="618"/>
    </row>
    <row r="845" spans="12:143">
      <c r="L845" s="2481">
        <v>115.1</v>
      </c>
      <c r="M845" s="340" t="s">
        <v>316</v>
      </c>
      <c r="N845" s="1390"/>
      <c r="O845" s="2479"/>
      <c r="P845" s="2282"/>
      <c r="AG845" s="2297">
        <v>88.06</v>
      </c>
      <c r="AH845" s="2297" t="s">
        <v>331</v>
      </c>
      <c r="AI845" s="1390"/>
      <c r="AJ845" s="2282"/>
      <c r="AK845" s="2282"/>
      <c r="AL845" s="1037"/>
      <c r="AX845" s="340">
        <v>110.06</v>
      </c>
      <c r="AY845" s="340" t="s">
        <v>316</v>
      </c>
      <c r="BN845" s="340">
        <v>79.09</v>
      </c>
      <c r="BO845" s="340" t="s">
        <v>340</v>
      </c>
      <c r="BP845" s="1385"/>
      <c r="BV845" s="236">
        <v>102.09</v>
      </c>
      <c r="BW845" s="236" t="s">
        <v>297</v>
      </c>
      <c r="CB845" s="340">
        <v>103.04</v>
      </c>
      <c r="CC845" s="340" t="s">
        <v>316</v>
      </c>
      <c r="CL845" s="236">
        <v>25.1</v>
      </c>
      <c r="CM845" s="236" t="s">
        <v>347</v>
      </c>
      <c r="CR845" s="340">
        <v>79.17</v>
      </c>
      <c r="CS845" s="340" t="s">
        <v>340</v>
      </c>
      <c r="CT845" s="1384"/>
      <c r="CZ845" s="1795">
        <v>115.01</v>
      </c>
      <c r="DA845" s="338" t="s">
        <v>344</v>
      </c>
      <c r="DF845" s="340">
        <v>114.12</v>
      </c>
      <c r="DG845" s="340" t="s">
        <v>316</v>
      </c>
      <c r="DP845" s="236">
        <v>810.01</v>
      </c>
      <c r="DQ845" s="236" t="s">
        <v>355</v>
      </c>
      <c r="DV845" s="340">
        <v>86.03</v>
      </c>
      <c r="DW845" s="340" t="s">
        <v>331</v>
      </c>
      <c r="DX845" s="1671"/>
      <c r="EB845" s="618"/>
      <c r="EC845" s="618"/>
      <c r="ED845" s="618"/>
      <c r="EE845" s="618"/>
      <c r="EF845" s="618"/>
      <c r="EG845" s="618"/>
      <c r="EH845" s="618"/>
      <c r="EI845" s="618"/>
      <c r="EJ845" s="618"/>
      <c r="EK845" s="618"/>
      <c r="EL845" s="618"/>
      <c r="EM845" s="618"/>
    </row>
    <row r="846" spans="12:143">
      <c r="L846" s="2481">
        <v>115.12</v>
      </c>
      <c r="M846" s="340" t="s">
        <v>316</v>
      </c>
      <c r="N846" s="1390"/>
      <c r="O846" s="2479"/>
      <c r="P846" s="2282"/>
      <c r="AG846" s="2297">
        <v>88.09</v>
      </c>
      <c r="AH846" s="2297" t="s">
        <v>331</v>
      </c>
      <c r="AI846" s="1390"/>
      <c r="AJ846" s="2282"/>
      <c r="AK846" s="2282"/>
      <c r="AL846" s="1037"/>
      <c r="AX846" s="340">
        <v>110.07</v>
      </c>
      <c r="AY846" s="340" t="s">
        <v>316</v>
      </c>
      <c r="BN846" s="340">
        <v>79.16</v>
      </c>
      <c r="BO846" s="340" t="s">
        <v>340</v>
      </c>
      <c r="BP846" s="1385"/>
      <c r="BV846" s="236">
        <v>102.1</v>
      </c>
      <c r="BW846" s="236" t="s">
        <v>297</v>
      </c>
      <c r="CB846" s="340">
        <v>104.01</v>
      </c>
      <c r="CC846" s="340" t="s">
        <v>316</v>
      </c>
      <c r="CL846" s="236">
        <v>25.11</v>
      </c>
      <c r="CM846" s="236" t="s">
        <v>324</v>
      </c>
      <c r="CR846" s="340">
        <v>79.180000000000007</v>
      </c>
      <c r="CS846" s="340" t="s">
        <v>340</v>
      </c>
      <c r="CT846" s="1384"/>
      <c r="CZ846" s="1795">
        <v>117.04</v>
      </c>
      <c r="DA846" s="338" t="s">
        <v>344</v>
      </c>
      <c r="DF846" s="340">
        <v>114.13</v>
      </c>
      <c r="DG846" s="340" t="s">
        <v>316</v>
      </c>
      <c r="DP846" s="236">
        <v>812.02</v>
      </c>
      <c r="DQ846" s="236" t="s">
        <v>355</v>
      </c>
      <c r="DV846" s="340">
        <v>86.04</v>
      </c>
      <c r="DW846" s="340" t="s">
        <v>331</v>
      </c>
      <c r="DX846" s="1671"/>
      <c r="EB846" s="618"/>
      <c r="EC846" s="618"/>
      <c r="ED846" s="618"/>
      <c r="EG846" s="618"/>
      <c r="EH846" s="618"/>
      <c r="EI846" s="618"/>
      <c r="EJ846" s="618"/>
      <c r="EK846" s="618"/>
      <c r="EL846" s="618"/>
      <c r="EM846" s="618"/>
    </row>
    <row r="847" spans="12:143">
      <c r="L847" s="2481">
        <v>115.14</v>
      </c>
      <c r="M847" s="340" t="s">
        <v>316</v>
      </c>
      <c r="N847" s="1390"/>
      <c r="O847" s="2479"/>
      <c r="P847" s="2282"/>
      <c r="AG847" s="2297">
        <v>89.06</v>
      </c>
      <c r="AH847" s="2297" t="s">
        <v>331</v>
      </c>
      <c r="AI847" s="1390"/>
      <c r="AJ847" s="2282"/>
      <c r="AK847" s="2282"/>
      <c r="AL847" s="1037"/>
      <c r="AX847" s="340">
        <v>110.08</v>
      </c>
      <c r="AY847" s="340" t="s">
        <v>316</v>
      </c>
      <c r="BN847" s="340">
        <v>79.17</v>
      </c>
      <c r="BO847" s="340" t="s">
        <v>340</v>
      </c>
      <c r="BP847" s="1385"/>
      <c r="BV847" s="236">
        <v>102.11</v>
      </c>
      <c r="BW847" s="236" t="s">
        <v>297</v>
      </c>
      <c r="CB847" s="340">
        <v>106</v>
      </c>
      <c r="CC847" s="340" t="s">
        <v>316</v>
      </c>
      <c r="CL847" s="236">
        <v>25.11</v>
      </c>
      <c r="CM847" s="236" t="s">
        <v>347</v>
      </c>
      <c r="CR847" s="340">
        <v>79.19</v>
      </c>
      <c r="CS847" s="340" t="s">
        <v>340</v>
      </c>
      <c r="CT847" s="1384"/>
      <c r="CZ847" s="1795">
        <v>117.31</v>
      </c>
      <c r="DA847" s="338" t="s">
        <v>344</v>
      </c>
      <c r="DF847" s="340">
        <v>114.14</v>
      </c>
      <c r="DG847" s="340" t="s">
        <v>316</v>
      </c>
      <c r="DP847" s="236">
        <v>815</v>
      </c>
      <c r="DQ847" s="236" t="s">
        <v>355</v>
      </c>
      <c r="DV847" s="340">
        <v>87.04</v>
      </c>
      <c r="DW847" s="340" t="s">
        <v>331</v>
      </c>
      <c r="DX847" s="1671"/>
      <c r="EB847" s="618"/>
      <c r="EC847" s="618"/>
      <c r="EH847" s="618"/>
      <c r="EI847" s="618"/>
      <c r="EJ847" s="618"/>
      <c r="EK847" s="618"/>
      <c r="EL847" s="618"/>
      <c r="EM847" s="618"/>
    </row>
    <row r="848" spans="12:143">
      <c r="L848" s="2481">
        <v>115.15</v>
      </c>
      <c r="M848" s="340" t="s">
        <v>316</v>
      </c>
      <c r="N848" s="1390"/>
      <c r="O848" s="2479"/>
      <c r="P848" s="2282"/>
      <c r="AG848" s="2297">
        <v>89.08</v>
      </c>
      <c r="AH848" s="2297" t="s">
        <v>331</v>
      </c>
      <c r="AI848" s="1390"/>
      <c r="AJ848" s="2282"/>
      <c r="AK848" s="2282"/>
      <c r="AL848" s="1037"/>
      <c r="AX848" s="340">
        <v>110.1</v>
      </c>
      <c r="AY848" s="340" t="s">
        <v>316</v>
      </c>
      <c r="BN848" s="340">
        <v>79.19</v>
      </c>
      <c r="BO848" s="340" t="s">
        <v>340</v>
      </c>
      <c r="BP848" s="1385"/>
      <c r="BV848" s="236">
        <v>102.13</v>
      </c>
      <c r="BW848" s="236" t="s">
        <v>297</v>
      </c>
      <c r="CB848" s="340">
        <v>107.01</v>
      </c>
      <c r="CC848" s="340" t="s">
        <v>316</v>
      </c>
      <c r="CL848" s="236">
        <v>25.12</v>
      </c>
      <c r="CM848" s="236" t="s">
        <v>324</v>
      </c>
      <c r="CR848" s="340">
        <v>80</v>
      </c>
      <c r="CS848" s="340" t="s">
        <v>331</v>
      </c>
      <c r="CT848" s="1384"/>
      <c r="CZ848" s="1795">
        <v>120.02</v>
      </c>
      <c r="DA848" s="338" t="s">
        <v>344</v>
      </c>
      <c r="DF848" s="340">
        <v>114.18</v>
      </c>
      <c r="DG848" s="340" t="s">
        <v>316</v>
      </c>
      <c r="DP848" s="236">
        <v>816</v>
      </c>
      <c r="DQ848" s="236" t="s">
        <v>355</v>
      </c>
      <c r="DV848" s="340">
        <v>88.06</v>
      </c>
      <c r="DW848" s="340" t="s">
        <v>331</v>
      </c>
      <c r="DX848" s="1671"/>
      <c r="EB848" s="618"/>
      <c r="EC848" s="618"/>
      <c r="EH848" s="618"/>
      <c r="EI848" s="618"/>
      <c r="EJ848" s="618"/>
      <c r="EK848" s="618"/>
      <c r="EL848" s="618"/>
      <c r="EM848" s="618"/>
    </row>
    <row r="849" spans="12:143">
      <c r="L849" s="2481">
        <v>115.16</v>
      </c>
      <c r="M849" s="340" t="s">
        <v>316</v>
      </c>
      <c r="N849" s="1390"/>
      <c r="O849" s="2479"/>
      <c r="P849" s="2282"/>
      <c r="AG849" s="2297">
        <v>89.11</v>
      </c>
      <c r="AH849" s="2297" t="s">
        <v>331</v>
      </c>
      <c r="AI849" s="1390"/>
      <c r="AJ849" s="2282"/>
      <c r="AK849" s="2282"/>
      <c r="AL849" s="1037"/>
      <c r="AX849" s="340">
        <v>110.13</v>
      </c>
      <c r="AY849" s="340" t="s">
        <v>316</v>
      </c>
      <c r="BN849" s="340">
        <v>80</v>
      </c>
      <c r="BO849" s="340" t="s">
        <v>331</v>
      </c>
      <c r="BP849" s="1385"/>
      <c r="BV849" s="236">
        <v>102.15</v>
      </c>
      <c r="BW849" s="236" t="s">
        <v>297</v>
      </c>
      <c r="CB849" s="340">
        <v>107.02</v>
      </c>
      <c r="CC849" s="340" t="s">
        <v>316</v>
      </c>
      <c r="CL849" s="236">
        <v>25.13</v>
      </c>
      <c r="CM849" s="236" t="s">
        <v>324</v>
      </c>
      <c r="CR849" s="340">
        <v>81.02</v>
      </c>
      <c r="CS849" s="340" t="s">
        <v>331</v>
      </c>
      <c r="CT849" s="1384"/>
      <c r="CZ849" s="1795">
        <v>126.02</v>
      </c>
      <c r="DA849" s="338" t="s">
        <v>344</v>
      </c>
      <c r="DF849" s="340">
        <v>115.04</v>
      </c>
      <c r="DG849" s="340" t="s">
        <v>316</v>
      </c>
      <c r="DP849" s="236">
        <v>818</v>
      </c>
      <c r="DQ849" s="236" t="s">
        <v>355</v>
      </c>
      <c r="DV849" s="340">
        <v>88.07</v>
      </c>
      <c r="DW849" s="340" t="s">
        <v>331</v>
      </c>
      <c r="DX849" s="1671"/>
      <c r="EB849" s="618"/>
      <c r="EC849" s="618"/>
      <c r="EH849" s="618"/>
      <c r="EI849" s="618"/>
      <c r="EJ849" s="618"/>
      <c r="EK849" s="618"/>
      <c r="EL849" s="618"/>
      <c r="EM849" s="618"/>
    </row>
    <row r="850" spans="12:143">
      <c r="L850" s="2481">
        <v>115.18</v>
      </c>
      <c r="M850" s="340" t="s">
        <v>316</v>
      </c>
      <c r="N850" s="1390"/>
      <c r="O850" s="2479"/>
      <c r="P850" s="2282"/>
      <c r="AG850" s="2297">
        <v>90.1</v>
      </c>
      <c r="AH850" s="2297" t="s">
        <v>331</v>
      </c>
      <c r="AI850" s="1390"/>
      <c r="AJ850" s="2282"/>
      <c r="AK850" s="2282"/>
      <c r="AL850" s="1037"/>
      <c r="AX850" s="340">
        <v>110.16</v>
      </c>
      <c r="AY850" s="340" t="s">
        <v>316</v>
      </c>
      <c r="BN850" s="340">
        <v>81.010000000000005</v>
      </c>
      <c r="BO850" s="340" t="s">
        <v>331</v>
      </c>
      <c r="BP850" s="1385"/>
      <c r="BV850" s="236">
        <v>102.16</v>
      </c>
      <c r="BW850" s="236" t="s">
        <v>297</v>
      </c>
      <c r="CB850" s="340">
        <v>108.1</v>
      </c>
      <c r="CC850" s="340" t="s">
        <v>316</v>
      </c>
      <c r="CL850" s="236">
        <v>25.14</v>
      </c>
      <c r="CM850" s="236" t="s">
        <v>324</v>
      </c>
      <c r="CR850" s="340">
        <v>82.02</v>
      </c>
      <c r="CS850" s="340" t="s">
        <v>331</v>
      </c>
      <c r="CT850" s="1384"/>
      <c r="CZ850" s="1795">
        <v>127.02</v>
      </c>
      <c r="DA850" s="338" t="s">
        <v>344</v>
      </c>
      <c r="DF850" s="340">
        <v>115.06</v>
      </c>
      <c r="DG850" s="340" t="s">
        <v>316</v>
      </c>
      <c r="DP850" s="236">
        <v>819</v>
      </c>
      <c r="DQ850" s="236" t="s">
        <v>355</v>
      </c>
      <c r="DV850" s="340">
        <v>88.09</v>
      </c>
      <c r="DW850" s="340" t="s">
        <v>331</v>
      </c>
      <c r="DX850" s="1671"/>
      <c r="EB850" s="618"/>
      <c r="EC850" s="618"/>
      <c r="EK850" s="618"/>
      <c r="EL850" s="618"/>
      <c r="EM850" s="618"/>
    </row>
    <row r="851" spans="12:143">
      <c r="L851" s="2481">
        <v>115.19</v>
      </c>
      <c r="M851" s="340" t="s">
        <v>316</v>
      </c>
      <c r="N851" s="1390"/>
      <c r="O851" s="2479"/>
      <c r="P851" s="2282"/>
      <c r="AG851" s="2297">
        <v>90.14</v>
      </c>
      <c r="AH851" s="2297" t="s">
        <v>331</v>
      </c>
      <c r="AI851" s="1390"/>
      <c r="AJ851" s="2282"/>
      <c r="AK851" s="2282"/>
      <c r="AL851" s="1037"/>
      <c r="AX851" s="340">
        <v>110.17</v>
      </c>
      <c r="AY851" s="340" t="s">
        <v>316</v>
      </c>
      <c r="BN851" s="340">
        <v>81.02</v>
      </c>
      <c r="BO851" s="340" t="s">
        <v>331</v>
      </c>
      <c r="BP851" s="1385"/>
      <c r="BV851" s="236">
        <v>102.17</v>
      </c>
      <c r="BW851" s="236" t="s">
        <v>297</v>
      </c>
      <c r="CB851" s="340">
        <v>108.11</v>
      </c>
      <c r="CC851" s="340" t="s">
        <v>316</v>
      </c>
      <c r="CL851" s="236">
        <v>25.15</v>
      </c>
      <c r="CM851" s="236" t="s">
        <v>324</v>
      </c>
      <c r="CR851" s="340">
        <v>82.05</v>
      </c>
      <c r="CS851" s="340" t="s">
        <v>331</v>
      </c>
      <c r="CT851" s="1384"/>
      <c r="CZ851" s="1795">
        <v>130.02000000000001</v>
      </c>
      <c r="DA851" s="338" t="s">
        <v>344</v>
      </c>
      <c r="DF851" s="340">
        <v>115.09</v>
      </c>
      <c r="DG851" s="340" t="s">
        <v>316</v>
      </c>
      <c r="DP851" s="236">
        <v>820</v>
      </c>
      <c r="DQ851" s="236" t="s">
        <v>355</v>
      </c>
      <c r="DV851" s="340">
        <v>88.1</v>
      </c>
      <c r="DW851" s="340" t="s">
        <v>331</v>
      </c>
      <c r="DX851" s="1671"/>
      <c r="EK851" s="618"/>
      <c r="EL851" s="618"/>
      <c r="EM851" s="618"/>
    </row>
    <row r="852" spans="12:143">
      <c r="L852" s="2481">
        <v>115.2</v>
      </c>
      <c r="M852" s="340" t="s">
        <v>316</v>
      </c>
      <c r="N852" s="1390"/>
      <c r="O852" s="2479"/>
      <c r="P852" s="2282"/>
      <c r="AG852" s="2297">
        <v>90.15</v>
      </c>
      <c r="AH852" s="2297" t="s">
        <v>331</v>
      </c>
      <c r="AI852" s="1390"/>
      <c r="AJ852" s="2282"/>
      <c r="AK852" s="2282"/>
      <c r="AL852" s="1037"/>
      <c r="AX852" s="340">
        <v>110.18</v>
      </c>
      <c r="AY852" s="340" t="s">
        <v>316</v>
      </c>
      <c r="BN852" s="340">
        <v>82.02</v>
      </c>
      <c r="BO852" s="340" t="s">
        <v>331</v>
      </c>
      <c r="BP852" s="1385"/>
      <c r="BV852" s="236">
        <v>103</v>
      </c>
      <c r="BW852" s="236" t="s">
        <v>297</v>
      </c>
      <c r="CB852" s="340">
        <v>108.19</v>
      </c>
      <c r="CC852" s="340" t="s">
        <v>316</v>
      </c>
      <c r="CL852" s="236">
        <v>25.16</v>
      </c>
      <c r="CM852" s="236" t="s">
        <v>324</v>
      </c>
      <c r="CR852" s="340">
        <v>82.06</v>
      </c>
      <c r="CS852" s="340" t="s">
        <v>331</v>
      </c>
      <c r="CT852" s="1384"/>
      <c r="CZ852" s="1795">
        <v>132</v>
      </c>
      <c r="DA852" s="338" t="s">
        <v>344</v>
      </c>
      <c r="DF852" s="340">
        <v>115.1</v>
      </c>
      <c r="DG852" s="340" t="s">
        <v>316</v>
      </c>
      <c r="DP852" s="236">
        <v>821</v>
      </c>
      <c r="DQ852" s="236" t="s">
        <v>355</v>
      </c>
      <c r="DV852" s="340">
        <v>89.06</v>
      </c>
      <c r="DW852" s="340" t="s">
        <v>331</v>
      </c>
      <c r="DX852" s="1671"/>
      <c r="EK852" s="618"/>
      <c r="EL852" s="618"/>
      <c r="EM852" s="618"/>
    </row>
    <row r="853" spans="12:143">
      <c r="L853" s="2481">
        <v>115.21</v>
      </c>
      <c r="M853" s="340" t="s">
        <v>316</v>
      </c>
      <c r="N853" s="1390"/>
      <c r="O853" s="2479"/>
      <c r="P853" s="2282"/>
      <c r="AG853" s="2297">
        <v>90.24</v>
      </c>
      <c r="AH853" s="2297" t="s">
        <v>331</v>
      </c>
      <c r="AI853" s="1390"/>
      <c r="AJ853" s="2282"/>
      <c r="AK853" s="2282"/>
      <c r="AL853" s="1037"/>
      <c r="AX853" s="340">
        <v>110.19</v>
      </c>
      <c r="AY853" s="340" t="s">
        <v>316</v>
      </c>
      <c r="BN853" s="340">
        <v>82.05</v>
      </c>
      <c r="BO853" s="340" t="s">
        <v>331</v>
      </c>
      <c r="BP853" s="1385"/>
      <c r="BV853" s="236">
        <v>104.01</v>
      </c>
      <c r="BW853" s="236" t="s">
        <v>297</v>
      </c>
      <c r="CB853" s="340">
        <v>108.2</v>
      </c>
      <c r="CC853" s="340" t="s">
        <v>316</v>
      </c>
      <c r="CL853" s="236">
        <v>25.17</v>
      </c>
      <c r="CM853" s="236" t="s">
        <v>324</v>
      </c>
      <c r="CR853" s="340">
        <v>82.07</v>
      </c>
      <c r="CS853" s="340" t="s">
        <v>331</v>
      </c>
      <c r="CT853" s="1384"/>
      <c r="CZ853" s="1795">
        <v>133</v>
      </c>
      <c r="DA853" s="338" t="s">
        <v>344</v>
      </c>
      <c r="DF853" s="340">
        <v>115.12</v>
      </c>
      <c r="DG853" s="340" t="s">
        <v>316</v>
      </c>
      <c r="DP853" s="236">
        <v>822.01</v>
      </c>
      <c r="DQ853" s="236" t="s">
        <v>355</v>
      </c>
      <c r="DV853" s="340">
        <v>89.07</v>
      </c>
      <c r="DW853" s="340" t="s">
        <v>331</v>
      </c>
      <c r="DX853" s="1671"/>
      <c r="EK853" s="618"/>
      <c r="EL853" s="618"/>
      <c r="EM853" s="618"/>
    </row>
    <row r="854" spans="12:143">
      <c r="L854" s="2481">
        <v>115.22</v>
      </c>
      <c r="M854" s="340" t="s">
        <v>316</v>
      </c>
      <c r="N854" s="1390"/>
      <c r="O854" s="2479"/>
      <c r="P854" s="2282"/>
      <c r="AG854" s="2297">
        <v>90.26</v>
      </c>
      <c r="AH854" s="2297" t="s">
        <v>331</v>
      </c>
      <c r="AI854" s="1390"/>
      <c r="AJ854" s="2282"/>
      <c r="AK854" s="2282"/>
      <c r="AL854" s="1037"/>
      <c r="AX854" s="340">
        <v>111.03</v>
      </c>
      <c r="AY854" s="340" t="s">
        <v>316</v>
      </c>
      <c r="BN854" s="340">
        <v>82.06</v>
      </c>
      <c r="BO854" s="340" t="s">
        <v>331</v>
      </c>
      <c r="BP854" s="1385"/>
      <c r="BV854" s="236">
        <v>104.08</v>
      </c>
      <c r="BW854" s="236" t="s">
        <v>297</v>
      </c>
      <c r="CB854" s="340">
        <v>110.05</v>
      </c>
      <c r="CC854" s="340" t="s">
        <v>316</v>
      </c>
      <c r="CL854" s="236">
        <v>26</v>
      </c>
      <c r="CM854" s="236" t="s">
        <v>302</v>
      </c>
      <c r="CR854" s="340">
        <v>82.08</v>
      </c>
      <c r="CS854" s="340" t="s">
        <v>331</v>
      </c>
      <c r="CT854" s="1384"/>
      <c r="CZ854" s="1795">
        <v>134</v>
      </c>
      <c r="DA854" s="338" t="s">
        <v>344</v>
      </c>
      <c r="DF854" s="340">
        <v>115.14</v>
      </c>
      <c r="DG854" s="340" t="s">
        <v>316</v>
      </c>
      <c r="DP854" s="236">
        <v>823.02</v>
      </c>
      <c r="DQ854" s="236" t="s">
        <v>355</v>
      </c>
      <c r="DV854" s="340">
        <v>89.08</v>
      </c>
      <c r="DW854" s="340" t="s">
        <v>331</v>
      </c>
      <c r="DX854" s="1671"/>
    </row>
    <row r="855" spans="12:143">
      <c r="L855" s="2481">
        <v>115.23</v>
      </c>
      <c r="M855" s="340" t="s">
        <v>316</v>
      </c>
      <c r="N855" s="1390"/>
      <c r="O855" s="2479"/>
      <c r="P855" s="2282"/>
      <c r="AG855" s="2297">
        <v>90.28</v>
      </c>
      <c r="AH855" s="2297" t="s">
        <v>331</v>
      </c>
      <c r="AI855" s="1390"/>
      <c r="AJ855" s="2282"/>
      <c r="AK855" s="2282"/>
      <c r="AL855" s="1037"/>
      <c r="AX855" s="340">
        <v>111.06</v>
      </c>
      <c r="AY855" s="340" t="s">
        <v>316</v>
      </c>
      <c r="BN855" s="340">
        <v>82.07</v>
      </c>
      <c r="BO855" s="340" t="s">
        <v>331</v>
      </c>
      <c r="BP855" s="1385"/>
      <c r="BV855" s="236">
        <v>104.11</v>
      </c>
      <c r="BW855" s="236" t="s">
        <v>297</v>
      </c>
      <c r="CB855" s="340">
        <v>110.06</v>
      </c>
      <c r="CC855" s="340" t="s">
        <v>316</v>
      </c>
      <c r="CL855" s="236">
        <v>26</v>
      </c>
      <c r="CM855" s="236" t="s">
        <v>316</v>
      </c>
      <c r="CR855" s="340">
        <v>82.09</v>
      </c>
      <c r="CS855" s="340" t="s">
        <v>331</v>
      </c>
      <c r="CT855" s="1384"/>
      <c r="CZ855" s="1795">
        <v>137.01</v>
      </c>
      <c r="DA855" s="338" t="s">
        <v>344</v>
      </c>
      <c r="DF855" s="340">
        <v>115.15</v>
      </c>
      <c r="DG855" s="340" t="s">
        <v>316</v>
      </c>
      <c r="DP855" s="236">
        <v>823.03</v>
      </c>
      <c r="DQ855" s="236" t="s">
        <v>355</v>
      </c>
      <c r="DV855" s="340">
        <v>89.09</v>
      </c>
      <c r="DW855" s="340" t="s">
        <v>331</v>
      </c>
      <c r="DX855" s="1671"/>
    </row>
    <row r="856" spans="12:143">
      <c r="L856" s="2481">
        <v>115.24</v>
      </c>
      <c r="M856" s="340" t="s">
        <v>316</v>
      </c>
      <c r="N856" s="1390"/>
      <c r="O856" s="2479"/>
      <c r="P856" s="2282"/>
      <c r="AG856" s="2297">
        <v>90.29</v>
      </c>
      <c r="AH856" s="2297" t="s">
        <v>331</v>
      </c>
      <c r="AI856" s="1390"/>
      <c r="AJ856" s="2282"/>
      <c r="AK856" s="2282"/>
      <c r="AL856" s="1037"/>
      <c r="AX856" s="340">
        <v>111.07</v>
      </c>
      <c r="AY856" s="340" t="s">
        <v>316</v>
      </c>
      <c r="BN856" s="340">
        <v>82.08</v>
      </c>
      <c r="BO856" s="340" t="s">
        <v>331</v>
      </c>
      <c r="BP856" s="1385"/>
      <c r="BV856" s="236">
        <v>104.16</v>
      </c>
      <c r="BW856" s="236" t="s">
        <v>297</v>
      </c>
      <c r="CB856" s="340">
        <v>110.07</v>
      </c>
      <c r="CC856" s="340" t="s">
        <v>316</v>
      </c>
      <c r="CL856" s="236">
        <v>26</v>
      </c>
      <c r="CM856" s="236" t="s">
        <v>331</v>
      </c>
      <c r="CR856" s="340">
        <v>83.05</v>
      </c>
      <c r="CS856" s="340" t="s">
        <v>331</v>
      </c>
      <c r="CT856" s="1384"/>
      <c r="CZ856" s="1795">
        <v>138.01</v>
      </c>
      <c r="DA856" s="338" t="s">
        <v>344</v>
      </c>
      <c r="DF856" s="340">
        <v>115.16</v>
      </c>
      <c r="DG856" s="340" t="s">
        <v>316</v>
      </c>
      <c r="DP856" s="236">
        <v>824.01</v>
      </c>
      <c r="DQ856" s="236" t="s">
        <v>355</v>
      </c>
      <c r="DV856" s="340">
        <v>89.11</v>
      </c>
      <c r="DW856" s="340" t="s">
        <v>331</v>
      </c>
      <c r="DX856" s="1671"/>
    </row>
    <row r="857" spans="12:143">
      <c r="L857" s="2481">
        <v>115.25</v>
      </c>
      <c r="M857" s="340" t="s">
        <v>316</v>
      </c>
      <c r="N857" s="1390"/>
      <c r="O857" s="2479"/>
      <c r="P857" s="2282"/>
      <c r="AG857" s="2297">
        <v>90.3</v>
      </c>
      <c r="AH857" s="2297" t="s">
        <v>331</v>
      </c>
      <c r="AI857" s="1390"/>
      <c r="AJ857" s="2282"/>
      <c r="AK857" s="2282"/>
      <c r="AL857" s="1037"/>
      <c r="AX857" s="340">
        <v>111.08</v>
      </c>
      <c r="AY857" s="340" t="s">
        <v>316</v>
      </c>
      <c r="BN857" s="340">
        <v>82.09</v>
      </c>
      <c r="BO857" s="340" t="s">
        <v>331</v>
      </c>
      <c r="BP857" s="1385"/>
      <c r="BV857" s="236">
        <v>104.19</v>
      </c>
      <c r="BW857" s="236" t="s">
        <v>297</v>
      </c>
      <c r="CB857" s="340">
        <v>110.08</v>
      </c>
      <c r="CC857" s="340" t="s">
        <v>316</v>
      </c>
      <c r="CL857" s="236">
        <v>26</v>
      </c>
      <c r="CM857" s="236" t="s">
        <v>340</v>
      </c>
      <c r="CR857" s="340">
        <v>83.08</v>
      </c>
      <c r="CS857" s="340" t="s">
        <v>331</v>
      </c>
      <c r="CT857" s="1384"/>
      <c r="CZ857" s="1795">
        <v>141.27000000000001</v>
      </c>
      <c r="DA857" s="338" t="s">
        <v>344</v>
      </c>
      <c r="DF857" s="340">
        <v>115.18</v>
      </c>
      <c r="DG857" s="340" t="s">
        <v>316</v>
      </c>
      <c r="DP857" s="236">
        <v>825.06</v>
      </c>
      <c r="DQ857" s="236" t="s">
        <v>355</v>
      </c>
      <c r="DV857" s="340">
        <v>90.1</v>
      </c>
      <c r="DW857" s="340" t="s">
        <v>331</v>
      </c>
      <c r="DX857" s="1671"/>
    </row>
    <row r="858" spans="12:143">
      <c r="L858" s="2481">
        <v>115.26</v>
      </c>
      <c r="M858" s="340" t="s">
        <v>316</v>
      </c>
      <c r="N858" s="1390"/>
      <c r="O858" s="2479"/>
      <c r="P858" s="2282"/>
      <c r="AG858" s="2297">
        <v>90.31</v>
      </c>
      <c r="AH858" s="2297" t="s">
        <v>331</v>
      </c>
      <c r="AI858" s="1390"/>
      <c r="AJ858" s="2282"/>
      <c r="AK858" s="2282"/>
      <c r="AL858" s="1037"/>
      <c r="AX858" s="340">
        <v>111.09</v>
      </c>
      <c r="AY858" s="340" t="s">
        <v>316</v>
      </c>
      <c r="BN858" s="340">
        <v>83.05</v>
      </c>
      <c r="BO858" s="340" t="s">
        <v>331</v>
      </c>
      <c r="BP858" s="1385"/>
      <c r="BV858" s="236">
        <v>104.2</v>
      </c>
      <c r="BW858" s="236" t="s">
        <v>297</v>
      </c>
      <c r="CB858" s="340">
        <v>110.1</v>
      </c>
      <c r="CC858" s="340" t="s">
        <v>316</v>
      </c>
      <c r="CL858" s="236">
        <v>26.01</v>
      </c>
      <c r="CM858" s="236" t="s">
        <v>304</v>
      </c>
      <c r="CR858" s="340">
        <v>83.1</v>
      </c>
      <c r="CS858" s="340" t="s">
        <v>331</v>
      </c>
      <c r="CT858" s="1384"/>
      <c r="CZ858" s="1795">
        <v>142.03</v>
      </c>
      <c r="DA858" s="338" t="s">
        <v>344</v>
      </c>
      <c r="DF858" s="340">
        <v>115.19</v>
      </c>
      <c r="DG858" s="340" t="s">
        <v>316</v>
      </c>
      <c r="DP858" s="236">
        <v>825.11</v>
      </c>
      <c r="DQ858" s="236" t="s">
        <v>355</v>
      </c>
      <c r="DV858" s="340">
        <v>90.14</v>
      </c>
      <c r="DW858" s="340" t="s">
        <v>331</v>
      </c>
      <c r="DX858" s="1671"/>
    </row>
    <row r="859" spans="12:143">
      <c r="L859" s="2481">
        <v>115.27</v>
      </c>
      <c r="M859" s="340" t="s">
        <v>316</v>
      </c>
      <c r="N859" s="1390"/>
      <c r="O859" s="2479"/>
      <c r="P859" s="2282"/>
      <c r="AG859" s="2297">
        <v>90.39</v>
      </c>
      <c r="AH859" s="2297" t="s">
        <v>331</v>
      </c>
      <c r="AI859" s="1390"/>
      <c r="AJ859" s="2282"/>
      <c r="AK859" s="2282"/>
      <c r="AL859" s="1037"/>
      <c r="AX859" s="340">
        <v>112.03</v>
      </c>
      <c r="AY859" s="340" t="s">
        <v>316</v>
      </c>
      <c r="BN859" s="340">
        <v>83.08</v>
      </c>
      <c r="BO859" s="340" t="s">
        <v>331</v>
      </c>
      <c r="BP859" s="1385"/>
      <c r="BV859" s="236">
        <v>104.21</v>
      </c>
      <c r="BW859" s="236" t="s">
        <v>297</v>
      </c>
      <c r="CB859" s="340">
        <v>110.13</v>
      </c>
      <c r="CC859" s="340" t="s">
        <v>316</v>
      </c>
      <c r="CL859" s="236">
        <v>26.01</v>
      </c>
      <c r="CM859" s="236" t="s">
        <v>347</v>
      </c>
      <c r="CR859" s="340">
        <v>83.11</v>
      </c>
      <c r="CS859" s="340" t="s">
        <v>331</v>
      </c>
      <c r="CT859" s="1384"/>
      <c r="CZ859" s="1795">
        <v>143.01</v>
      </c>
      <c r="DA859" s="338" t="s">
        <v>344</v>
      </c>
      <c r="DF859" s="340">
        <v>115.2</v>
      </c>
      <c r="DG859" s="340" t="s">
        <v>316</v>
      </c>
      <c r="DP859" s="236">
        <v>825.13</v>
      </c>
      <c r="DQ859" s="236" t="s">
        <v>355</v>
      </c>
      <c r="DV859" s="340">
        <v>90.22</v>
      </c>
      <c r="DW859" s="340" t="s">
        <v>331</v>
      </c>
      <c r="DX859" s="1671"/>
    </row>
    <row r="860" spans="12:143">
      <c r="L860" s="2481">
        <v>115.28</v>
      </c>
      <c r="M860" s="340" t="s">
        <v>316</v>
      </c>
      <c r="N860" s="1390"/>
      <c r="O860" s="2479"/>
      <c r="P860" s="2282"/>
      <c r="AG860" s="2297">
        <v>90.4</v>
      </c>
      <c r="AH860" s="2297" t="s">
        <v>331</v>
      </c>
      <c r="AI860" s="1390"/>
      <c r="AJ860" s="2282"/>
      <c r="AK860" s="2282"/>
      <c r="AL860" s="1037"/>
      <c r="AX860" s="340">
        <v>112.04</v>
      </c>
      <c r="AY860" s="340" t="s">
        <v>316</v>
      </c>
      <c r="BN860" s="340">
        <v>83.1</v>
      </c>
      <c r="BO860" s="340" t="s">
        <v>331</v>
      </c>
      <c r="BP860" s="1385"/>
      <c r="BV860" s="236">
        <v>104.22</v>
      </c>
      <c r="BW860" s="236" t="s">
        <v>297</v>
      </c>
      <c r="CB860" s="340">
        <v>110.16</v>
      </c>
      <c r="CC860" s="340" t="s">
        <v>316</v>
      </c>
      <c r="CL860" s="236">
        <v>26.02</v>
      </c>
      <c r="CM860" s="236" t="s">
        <v>304</v>
      </c>
      <c r="CR860" s="340">
        <v>83.12</v>
      </c>
      <c r="CS860" s="340" t="s">
        <v>331</v>
      </c>
      <c r="CT860" s="1384"/>
      <c r="CZ860" s="1795">
        <v>145.02000000000001</v>
      </c>
      <c r="DA860" s="338" t="s">
        <v>344</v>
      </c>
      <c r="DF860" s="340">
        <v>115.21</v>
      </c>
      <c r="DG860" s="340" t="s">
        <v>316</v>
      </c>
      <c r="DP860" s="236">
        <v>903.01</v>
      </c>
      <c r="DQ860" s="236" t="s">
        <v>289</v>
      </c>
      <c r="DV860" s="340">
        <v>90.24</v>
      </c>
      <c r="DW860" s="340" t="s">
        <v>331</v>
      </c>
      <c r="DX860" s="1671"/>
    </row>
    <row r="861" spans="12:143">
      <c r="L861" s="2481">
        <v>116.03</v>
      </c>
      <c r="M861" s="340" t="s">
        <v>316</v>
      </c>
      <c r="N861" s="1390"/>
      <c r="O861" s="2479"/>
      <c r="P861" s="2282"/>
      <c r="AG861" s="2297">
        <v>90.43</v>
      </c>
      <c r="AH861" s="2297" t="s">
        <v>331</v>
      </c>
      <c r="AI861" s="1390"/>
      <c r="AJ861" s="2282"/>
      <c r="AK861" s="2282"/>
      <c r="AL861" s="1037"/>
      <c r="AX861" s="340">
        <v>112.05</v>
      </c>
      <c r="AY861" s="340" t="s">
        <v>316</v>
      </c>
      <c r="BN861" s="340">
        <v>83.12</v>
      </c>
      <c r="BO861" s="340" t="s">
        <v>331</v>
      </c>
      <c r="BP861" s="1385"/>
      <c r="BV861" s="236">
        <v>104.23</v>
      </c>
      <c r="BW861" s="236" t="s">
        <v>297</v>
      </c>
      <c r="CB861" s="340">
        <v>110.17</v>
      </c>
      <c r="CC861" s="340" t="s">
        <v>316</v>
      </c>
      <c r="CL861" s="236">
        <v>26.02</v>
      </c>
      <c r="CM861" s="236" t="s">
        <v>329</v>
      </c>
      <c r="CR861" s="340">
        <v>83.14</v>
      </c>
      <c r="CS861" s="340" t="s">
        <v>331</v>
      </c>
      <c r="CT861" s="1384"/>
      <c r="CZ861" s="1795">
        <v>149.04</v>
      </c>
      <c r="DA861" s="338" t="s">
        <v>344</v>
      </c>
      <c r="DF861" s="340">
        <v>115.22</v>
      </c>
      <c r="DG861" s="340" t="s">
        <v>316</v>
      </c>
      <c r="DP861" s="236">
        <v>903.03</v>
      </c>
      <c r="DQ861" s="236" t="s">
        <v>289</v>
      </c>
      <c r="DV861" s="340">
        <v>90.28</v>
      </c>
      <c r="DW861" s="340" t="s">
        <v>331</v>
      </c>
      <c r="DX861" s="1671"/>
    </row>
    <row r="862" spans="12:143">
      <c r="L862" s="2481">
        <v>116.11</v>
      </c>
      <c r="M862" s="340" t="s">
        <v>316</v>
      </c>
      <c r="N862" s="1390"/>
      <c r="O862" s="2479"/>
      <c r="P862" s="2282"/>
      <c r="AG862" s="2297">
        <v>90.44</v>
      </c>
      <c r="AH862" s="2297" t="s">
        <v>331</v>
      </c>
      <c r="AI862" s="1390"/>
      <c r="AJ862" s="2282"/>
      <c r="AK862" s="2282"/>
      <c r="AL862" s="1037"/>
      <c r="AX862" s="340">
        <v>113.01</v>
      </c>
      <c r="AY862" s="340" t="s">
        <v>316</v>
      </c>
      <c r="BN862" s="340">
        <v>83.14</v>
      </c>
      <c r="BO862" s="340" t="s">
        <v>331</v>
      </c>
      <c r="BP862" s="1385"/>
      <c r="BV862" s="236">
        <v>104.24</v>
      </c>
      <c r="BW862" s="236" t="s">
        <v>297</v>
      </c>
      <c r="CB862" s="340">
        <v>110.18</v>
      </c>
      <c r="CC862" s="340" t="s">
        <v>316</v>
      </c>
      <c r="CL862" s="236">
        <v>26.02</v>
      </c>
      <c r="CM862" s="236" t="s">
        <v>347</v>
      </c>
      <c r="CR862" s="340">
        <v>83.15</v>
      </c>
      <c r="CS862" s="340" t="s">
        <v>331</v>
      </c>
      <c r="CT862" s="1384"/>
      <c r="CZ862" s="1795">
        <v>150</v>
      </c>
      <c r="DA862" s="338" t="s">
        <v>344</v>
      </c>
      <c r="DF862" s="340">
        <v>115.23</v>
      </c>
      <c r="DG862" s="340" t="s">
        <v>316</v>
      </c>
      <c r="DP862" s="236">
        <v>904.03</v>
      </c>
      <c r="DQ862" s="236" t="s">
        <v>289</v>
      </c>
      <c r="DV862" s="340">
        <v>90.29</v>
      </c>
      <c r="DW862" s="340" t="s">
        <v>331</v>
      </c>
      <c r="DX862" s="1671"/>
    </row>
    <row r="863" spans="12:143">
      <c r="L863" s="2481">
        <v>116.15</v>
      </c>
      <c r="M863" s="340" t="s">
        <v>316</v>
      </c>
      <c r="N863" s="1390"/>
      <c r="O863" s="2479"/>
      <c r="P863" s="2282"/>
      <c r="AG863" s="2297">
        <v>90.48</v>
      </c>
      <c r="AH863" s="2297" t="s">
        <v>331</v>
      </c>
      <c r="AI863" s="1390"/>
      <c r="AJ863" s="2282"/>
      <c r="AK863" s="2282"/>
      <c r="AL863" s="1037"/>
      <c r="AX863" s="340">
        <v>113.03</v>
      </c>
      <c r="AY863" s="340" t="s">
        <v>316</v>
      </c>
      <c r="BN863" s="340">
        <v>83.15</v>
      </c>
      <c r="BO863" s="340" t="s">
        <v>331</v>
      </c>
      <c r="BP863" s="1385"/>
      <c r="BV863" s="236">
        <v>104.25</v>
      </c>
      <c r="BW863" s="236" t="s">
        <v>297</v>
      </c>
      <c r="CB863" s="340">
        <v>110.19</v>
      </c>
      <c r="CC863" s="340" t="s">
        <v>316</v>
      </c>
      <c r="CL863" s="236">
        <v>26.03</v>
      </c>
      <c r="CM863" s="236" t="s">
        <v>324</v>
      </c>
      <c r="CR863" s="340">
        <v>84.09</v>
      </c>
      <c r="CS863" s="340" t="s">
        <v>331</v>
      </c>
      <c r="CT863" s="1384"/>
      <c r="CZ863" s="1795">
        <v>152</v>
      </c>
      <c r="DA863" s="338" t="s">
        <v>344</v>
      </c>
      <c r="DF863" s="340">
        <v>115.24</v>
      </c>
      <c r="DG863" s="340" t="s">
        <v>316</v>
      </c>
      <c r="DP863" s="236">
        <v>905</v>
      </c>
      <c r="DQ863" s="236" t="s">
        <v>355</v>
      </c>
      <c r="DV863" s="340">
        <v>90.39</v>
      </c>
      <c r="DW863" s="340" t="s">
        <v>331</v>
      </c>
      <c r="DX863" s="1671"/>
    </row>
    <row r="864" spans="12:143">
      <c r="L864" s="2481">
        <v>116.16</v>
      </c>
      <c r="M864" s="340" t="s">
        <v>316</v>
      </c>
      <c r="N864" s="1390"/>
      <c r="O864" s="2479"/>
      <c r="P864" s="2282"/>
      <c r="AG864" s="2297">
        <v>90.49</v>
      </c>
      <c r="AH864" s="2297" t="s">
        <v>331</v>
      </c>
      <c r="AI864" s="1390"/>
      <c r="AJ864" s="2282"/>
      <c r="AK864" s="2282"/>
      <c r="AL864" s="1037"/>
      <c r="AX864" s="340">
        <v>113.04</v>
      </c>
      <c r="AY864" s="340" t="s">
        <v>316</v>
      </c>
      <c r="BN864" s="340">
        <v>84.09</v>
      </c>
      <c r="BO864" s="340" t="s">
        <v>331</v>
      </c>
      <c r="BP864" s="1385"/>
      <c r="BV864" s="236">
        <v>104.26</v>
      </c>
      <c r="BW864" s="236" t="s">
        <v>297</v>
      </c>
      <c r="CB864" s="340">
        <v>111.03</v>
      </c>
      <c r="CC864" s="340" t="s">
        <v>316</v>
      </c>
      <c r="CL864" s="236">
        <v>26.03</v>
      </c>
      <c r="CM864" s="236" t="s">
        <v>347</v>
      </c>
      <c r="CR864" s="340">
        <v>84.15</v>
      </c>
      <c r="CS864" s="340" t="s">
        <v>331</v>
      </c>
      <c r="CT864" s="1384"/>
      <c r="CZ864" s="1795">
        <v>154.05000000000001</v>
      </c>
      <c r="DA864" s="338" t="s">
        <v>344</v>
      </c>
      <c r="DF864" s="340">
        <v>115.25</v>
      </c>
      <c r="DG864" s="340" t="s">
        <v>316</v>
      </c>
      <c r="DP864" s="236">
        <v>905.04</v>
      </c>
      <c r="DQ864" s="236" t="s">
        <v>289</v>
      </c>
      <c r="DV864" s="340">
        <v>90.4</v>
      </c>
      <c r="DW864" s="340" t="s">
        <v>331</v>
      </c>
      <c r="DX864" s="1671"/>
    </row>
    <row r="865" spans="12:128">
      <c r="L865" s="2481">
        <v>117.08</v>
      </c>
      <c r="M865" s="340" t="s">
        <v>316</v>
      </c>
      <c r="N865" s="1390"/>
      <c r="O865" s="2479"/>
      <c r="P865" s="2282"/>
      <c r="AG865" s="2297">
        <v>90.5</v>
      </c>
      <c r="AH865" s="2297" t="s">
        <v>331</v>
      </c>
      <c r="AI865" s="1390"/>
      <c r="AJ865" s="2282"/>
      <c r="AK865" s="2282"/>
      <c r="AL865" s="1037"/>
      <c r="AX865" s="340">
        <v>114.07</v>
      </c>
      <c r="AY865" s="340" t="s">
        <v>316</v>
      </c>
      <c r="BN865" s="340">
        <v>84.15</v>
      </c>
      <c r="BO865" s="340" t="s">
        <v>331</v>
      </c>
      <c r="BP865" s="1385"/>
      <c r="BV865" s="236">
        <v>104.27</v>
      </c>
      <c r="BW865" s="236" t="s">
        <v>297</v>
      </c>
      <c r="CB865" s="340">
        <v>111.07</v>
      </c>
      <c r="CC865" s="340" t="s">
        <v>316</v>
      </c>
      <c r="CL865" s="338">
        <v>26.04</v>
      </c>
      <c r="CM865" s="338" t="s">
        <v>285</v>
      </c>
      <c r="CR865" s="340">
        <v>84.16</v>
      </c>
      <c r="CS865" s="340" t="s">
        <v>331</v>
      </c>
      <c r="CT865" s="1384"/>
      <c r="CZ865" s="1795">
        <v>155</v>
      </c>
      <c r="DA865" s="338" t="s">
        <v>344</v>
      </c>
      <c r="DF865" s="340">
        <v>115.26</v>
      </c>
      <c r="DG865" s="340" t="s">
        <v>316</v>
      </c>
      <c r="DP865" s="236">
        <v>911</v>
      </c>
      <c r="DQ865" s="236" t="s">
        <v>289</v>
      </c>
      <c r="DV865" s="340">
        <v>90.43</v>
      </c>
      <c r="DW865" s="340" t="s">
        <v>331</v>
      </c>
      <c r="DX865" s="1671"/>
    </row>
    <row r="866" spans="12:128">
      <c r="L866" s="2481">
        <v>117.12</v>
      </c>
      <c r="M866" s="340" t="s">
        <v>316</v>
      </c>
      <c r="N866" s="1390"/>
      <c r="O866" s="2479"/>
      <c r="P866" s="2282"/>
      <c r="AG866" s="2297">
        <v>90.51</v>
      </c>
      <c r="AH866" s="2297" t="s">
        <v>331</v>
      </c>
      <c r="AI866" s="1390"/>
      <c r="AJ866" s="2282"/>
      <c r="AK866" s="2282"/>
      <c r="AL866" s="1037"/>
      <c r="AX866" s="340">
        <v>114.08</v>
      </c>
      <c r="AY866" s="340" t="s">
        <v>316</v>
      </c>
      <c r="BN866" s="340">
        <v>84.16</v>
      </c>
      <c r="BO866" s="340" t="s">
        <v>331</v>
      </c>
      <c r="BP866" s="1385"/>
      <c r="BV866" s="236">
        <v>104.28</v>
      </c>
      <c r="BW866" s="236" t="s">
        <v>297</v>
      </c>
      <c r="CB866" s="340">
        <v>111.08</v>
      </c>
      <c r="CC866" s="340" t="s">
        <v>316</v>
      </c>
      <c r="CL866" s="236">
        <v>26.04</v>
      </c>
      <c r="CM866" s="236" t="s">
        <v>304</v>
      </c>
      <c r="CR866" s="340">
        <v>84.18</v>
      </c>
      <c r="CS866" s="340" t="s">
        <v>331</v>
      </c>
      <c r="CT866" s="1384"/>
      <c r="CZ866" s="1795">
        <v>160.01</v>
      </c>
      <c r="DA866" s="338" t="s">
        <v>344</v>
      </c>
      <c r="DF866" s="340">
        <v>115.27</v>
      </c>
      <c r="DG866" s="340" t="s">
        <v>316</v>
      </c>
      <c r="DP866" s="236">
        <v>914</v>
      </c>
      <c r="DQ866" s="236" t="s">
        <v>289</v>
      </c>
      <c r="DV866" s="340">
        <v>90.44</v>
      </c>
      <c r="DW866" s="340" t="s">
        <v>331</v>
      </c>
      <c r="DX866" s="1671"/>
    </row>
    <row r="867" spans="12:128">
      <c r="L867" s="2481">
        <v>117.13</v>
      </c>
      <c r="M867" s="340" t="s">
        <v>316</v>
      </c>
      <c r="N867" s="1390"/>
      <c r="O867" s="2479"/>
      <c r="P867" s="2282"/>
      <c r="AG867" s="2297">
        <v>90.53</v>
      </c>
      <c r="AH867" s="2297" t="s">
        <v>331</v>
      </c>
      <c r="AI867" s="1390"/>
      <c r="AJ867" s="2282"/>
      <c r="AK867" s="2282"/>
      <c r="AL867" s="1037"/>
      <c r="AX867" s="340">
        <v>114.09</v>
      </c>
      <c r="AY867" s="340" t="s">
        <v>316</v>
      </c>
      <c r="BN867" s="340">
        <v>84.18</v>
      </c>
      <c r="BO867" s="340" t="s">
        <v>331</v>
      </c>
      <c r="BP867" s="1385"/>
      <c r="BV867" s="236">
        <v>104.29</v>
      </c>
      <c r="BW867" s="236" t="s">
        <v>297</v>
      </c>
      <c r="CB867" s="340">
        <v>111.09</v>
      </c>
      <c r="CC867" s="340" t="s">
        <v>316</v>
      </c>
      <c r="CL867" s="236">
        <v>26.04</v>
      </c>
      <c r="CM867" s="236" t="s">
        <v>324</v>
      </c>
      <c r="CR867" s="340">
        <v>84.19</v>
      </c>
      <c r="CS867" s="340" t="s">
        <v>331</v>
      </c>
      <c r="CT867" s="1384"/>
      <c r="CZ867" s="1795">
        <v>160.03</v>
      </c>
      <c r="DA867" s="338" t="s">
        <v>344</v>
      </c>
      <c r="DF867" s="340">
        <v>115.28</v>
      </c>
      <c r="DG867" s="340" t="s">
        <v>316</v>
      </c>
      <c r="DP867" s="236">
        <v>916.01</v>
      </c>
      <c r="DQ867" s="236" t="s">
        <v>289</v>
      </c>
      <c r="DV867" s="340">
        <v>90.48</v>
      </c>
      <c r="DW867" s="340" t="s">
        <v>331</v>
      </c>
      <c r="DX867" s="1671"/>
    </row>
    <row r="868" spans="12:128">
      <c r="L868" s="2481">
        <v>117.14</v>
      </c>
      <c r="M868" s="340" t="s">
        <v>316</v>
      </c>
      <c r="N868" s="1390"/>
      <c r="O868" s="2479"/>
      <c r="P868" s="2282"/>
      <c r="AG868" s="2297">
        <v>90.54</v>
      </c>
      <c r="AH868" s="2297" t="s">
        <v>331</v>
      </c>
      <c r="AI868" s="1390"/>
      <c r="AJ868" s="2282"/>
      <c r="AK868" s="2282"/>
      <c r="AL868" s="1037"/>
      <c r="AX868" s="340">
        <v>114.1</v>
      </c>
      <c r="AY868" s="340" t="s">
        <v>316</v>
      </c>
      <c r="BN868" s="340">
        <v>84.19</v>
      </c>
      <c r="BO868" s="340" t="s">
        <v>331</v>
      </c>
      <c r="BP868" s="1385"/>
      <c r="BV868" s="236">
        <v>104.3</v>
      </c>
      <c r="BW868" s="236" t="s">
        <v>297</v>
      </c>
      <c r="CB868" s="340">
        <v>112.03</v>
      </c>
      <c r="CC868" s="340" t="s">
        <v>316</v>
      </c>
      <c r="CL868" s="236">
        <v>26.04</v>
      </c>
      <c r="CM868" s="236" t="s">
        <v>329</v>
      </c>
      <c r="CR868" s="340">
        <v>84.2</v>
      </c>
      <c r="CS868" s="340" t="s">
        <v>331</v>
      </c>
      <c r="CT868" s="1384"/>
      <c r="CZ868" s="1795">
        <v>161</v>
      </c>
      <c r="DA868" s="338" t="s">
        <v>344</v>
      </c>
      <c r="DF868" s="340">
        <v>116.11</v>
      </c>
      <c r="DG868" s="340" t="s">
        <v>316</v>
      </c>
      <c r="DP868" s="236">
        <v>1001.04</v>
      </c>
      <c r="DQ868" s="236" t="s">
        <v>289</v>
      </c>
      <c r="DV868" s="340">
        <v>90.49</v>
      </c>
      <c r="DW868" s="340" t="s">
        <v>331</v>
      </c>
      <c r="DX868" s="1671"/>
    </row>
    <row r="869" spans="12:128">
      <c r="L869" s="2481">
        <v>117.16</v>
      </c>
      <c r="M869" s="340" t="s">
        <v>316</v>
      </c>
      <c r="N869" s="1390"/>
      <c r="O869" s="2479"/>
      <c r="P869" s="2282"/>
      <c r="AG869" s="2297">
        <v>90.56</v>
      </c>
      <c r="AH869" s="2297" t="s">
        <v>331</v>
      </c>
      <c r="AI869" s="1390"/>
      <c r="AJ869" s="2282"/>
      <c r="AK869" s="2282"/>
      <c r="AL869" s="1037"/>
      <c r="AX869" s="340">
        <v>114.11</v>
      </c>
      <c r="AY869" s="340" t="s">
        <v>316</v>
      </c>
      <c r="BN869" s="340">
        <v>84.2</v>
      </c>
      <c r="BO869" s="340" t="s">
        <v>331</v>
      </c>
      <c r="BP869" s="1385"/>
      <c r="BV869" s="236">
        <v>104.31</v>
      </c>
      <c r="BW869" s="236" t="s">
        <v>297</v>
      </c>
      <c r="CB869" s="340">
        <v>112.04</v>
      </c>
      <c r="CC869" s="340" t="s">
        <v>316</v>
      </c>
      <c r="CL869" s="236">
        <v>26.04</v>
      </c>
      <c r="CM869" s="236" t="s">
        <v>347</v>
      </c>
      <c r="CR869" s="340">
        <v>84.21</v>
      </c>
      <c r="CS869" s="340" t="s">
        <v>331</v>
      </c>
      <c r="CT869" s="1384"/>
      <c r="CZ869" s="1795">
        <v>164</v>
      </c>
      <c r="DA869" s="338" t="s">
        <v>344</v>
      </c>
      <c r="DF869" s="340">
        <v>116.15</v>
      </c>
      <c r="DG869" s="340" t="s">
        <v>316</v>
      </c>
      <c r="DP869" s="236">
        <v>1002.01</v>
      </c>
      <c r="DQ869" s="236" t="s">
        <v>289</v>
      </c>
      <c r="DV869" s="340">
        <v>90.5</v>
      </c>
      <c r="DW869" s="340" t="s">
        <v>331</v>
      </c>
      <c r="DX869" s="1671"/>
    </row>
    <row r="870" spans="12:128">
      <c r="L870" s="2481">
        <v>119.07</v>
      </c>
      <c r="M870" s="340" t="s">
        <v>316</v>
      </c>
      <c r="N870" s="1390"/>
      <c r="O870" s="2479"/>
      <c r="P870" s="2282"/>
      <c r="AG870" s="2297">
        <v>90.57</v>
      </c>
      <c r="AH870" s="2297" t="s">
        <v>331</v>
      </c>
      <c r="AI870" s="1390"/>
      <c r="AJ870" s="2282"/>
      <c r="AK870" s="2282"/>
      <c r="AL870" s="1037"/>
      <c r="AX870" s="340">
        <v>114.12</v>
      </c>
      <c r="AY870" s="340" t="s">
        <v>316</v>
      </c>
      <c r="BN870" s="340">
        <v>84.21</v>
      </c>
      <c r="BO870" s="340" t="s">
        <v>331</v>
      </c>
      <c r="BP870" s="1385"/>
      <c r="BV870" s="236">
        <v>104.32</v>
      </c>
      <c r="BW870" s="236" t="s">
        <v>297</v>
      </c>
      <c r="CB870" s="340">
        <v>112.05</v>
      </c>
      <c r="CC870" s="340" t="s">
        <v>316</v>
      </c>
      <c r="CL870" s="338">
        <v>26.05</v>
      </c>
      <c r="CM870" s="338" t="s">
        <v>285</v>
      </c>
      <c r="CR870" s="340">
        <v>84.22</v>
      </c>
      <c r="CS870" s="340" t="s">
        <v>331</v>
      </c>
      <c r="CT870" s="1384"/>
      <c r="CZ870" s="1795">
        <v>9502.01</v>
      </c>
      <c r="DA870" s="338" t="s">
        <v>345</v>
      </c>
      <c r="DF870" s="340">
        <v>116.16</v>
      </c>
      <c r="DG870" s="340" t="s">
        <v>316</v>
      </c>
      <c r="DP870" s="236">
        <v>1002.03</v>
      </c>
      <c r="DQ870" s="236" t="s">
        <v>289</v>
      </c>
      <c r="DV870" s="340">
        <v>90.51</v>
      </c>
      <c r="DW870" s="340" t="s">
        <v>331</v>
      </c>
      <c r="DX870" s="1671"/>
    </row>
    <row r="871" spans="12:128">
      <c r="L871" s="2481">
        <v>121.03</v>
      </c>
      <c r="M871" s="340" t="s">
        <v>316</v>
      </c>
      <c r="N871" s="1390"/>
      <c r="O871" s="2479"/>
      <c r="P871" s="2282"/>
      <c r="AG871" s="2297">
        <v>90.58</v>
      </c>
      <c r="AH871" s="2297" t="s">
        <v>331</v>
      </c>
      <c r="AI871" s="1390"/>
      <c r="AJ871" s="2282"/>
      <c r="AK871" s="2282"/>
      <c r="AL871" s="1037"/>
      <c r="AX871" s="340">
        <v>114.13</v>
      </c>
      <c r="AY871" s="340" t="s">
        <v>316</v>
      </c>
      <c r="BN871" s="340">
        <v>84.22</v>
      </c>
      <c r="BO871" s="340" t="s">
        <v>331</v>
      </c>
      <c r="BP871" s="1385"/>
      <c r="BV871" s="236">
        <v>104.33</v>
      </c>
      <c r="BW871" s="236" t="s">
        <v>297</v>
      </c>
      <c r="CB871" s="340">
        <v>113.01</v>
      </c>
      <c r="CC871" s="340" t="s">
        <v>316</v>
      </c>
      <c r="CL871" s="236">
        <v>26.05</v>
      </c>
      <c r="CM871" s="236" t="s">
        <v>304</v>
      </c>
      <c r="CR871" s="340">
        <v>84.23</v>
      </c>
      <c r="CS871" s="340" t="s">
        <v>331</v>
      </c>
      <c r="CT871" s="1384"/>
      <c r="CZ871" s="1795">
        <v>9502.02</v>
      </c>
      <c r="DA871" s="338" t="s">
        <v>345</v>
      </c>
      <c r="DF871" s="340">
        <v>116.17</v>
      </c>
      <c r="DG871" s="340" t="s">
        <v>316</v>
      </c>
      <c r="DP871" s="236">
        <v>1004</v>
      </c>
      <c r="DQ871" s="236" t="s">
        <v>289</v>
      </c>
      <c r="DV871" s="340">
        <v>90.53</v>
      </c>
      <c r="DW871" s="340" t="s">
        <v>331</v>
      </c>
      <c r="DX871" s="1671"/>
    </row>
    <row r="872" spans="12:128">
      <c r="L872" s="2481">
        <v>121.08</v>
      </c>
      <c r="M872" s="340" t="s">
        <v>316</v>
      </c>
      <c r="N872" s="1390"/>
      <c r="O872" s="2479"/>
      <c r="P872" s="2282"/>
      <c r="AG872" s="2297">
        <v>90.59</v>
      </c>
      <c r="AH872" s="2297" t="s">
        <v>331</v>
      </c>
      <c r="AI872" s="1390"/>
      <c r="AJ872" s="2282"/>
      <c r="AK872" s="2282"/>
      <c r="AL872" s="1037"/>
      <c r="AX872" s="340">
        <v>114.14</v>
      </c>
      <c r="AY872" s="340" t="s">
        <v>316</v>
      </c>
      <c r="BN872" s="340">
        <v>84.23</v>
      </c>
      <c r="BO872" s="340" t="s">
        <v>331</v>
      </c>
      <c r="BP872" s="1385"/>
      <c r="BV872" s="236">
        <v>104.34</v>
      </c>
      <c r="BW872" s="236" t="s">
        <v>297</v>
      </c>
      <c r="CB872" s="340">
        <v>113.03</v>
      </c>
      <c r="CC872" s="340" t="s">
        <v>316</v>
      </c>
      <c r="CL872" s="236">
        <v>26.05</v>
      </c>
      <c r="CM872" s="236" t="s">
        <v>324</v>
      </c>
      <c r="CR872" s="340">
        <v>84.24</v>
      </c>
      <c r="CS872" s="340" t="s">
        <v>331</v>
      </c>
      <c r="CT872" s="1384"/>
      <c r="CZ872" s="1795">
        <v>9507</v>
      </c>
      <c r="DA872" s="338" t="s">
        <v>345</v>
      </c>
      <c r="DF872" s="340">
        <v>117.08</v>
      </c>
      <c r="DG872" s="340" t="s">
        <v>316</v>
      </c>
      <c r="DP872" s="236">
        <v>1005.01</v>
      </c>
      <c r="DQ872" s="236" t="s">
        <v>289</v>
      </c>
      <c r="DV872" s="340">
        <v>90.54</v>
      </c>
      <c r="DW872" s="340" t="s">
        <v>331</v>
      </c>
      <c r="DX872" s="1671"/>
    </row>
    <row r="873" spans="12:128">
      <c r="L873" s="2481">
        <v>122.06</v>
      </c>
      <c r="M873" s="340" t="s">
        <v>316</v>
      </c>
      <c r="N873" s="1390"/>
      <c r="O873" s="2479"/>
      <c r="P873" s="2282"/>
      <c r="AG873" s="2297">
        <v>90.6</v>
      </c>
      <c r="AH873" s="2297" t="s">
        <v>331</v>
      </c>
      <c r="AI873" s="1390"/>
      <c r="AJ873" s="2282"/>
      <c r="AK873" s="2282"/>
      <c r="AL873" s="1037"/>
      <c r="AX873" s="340">
        <v>114.15</v>
      </c>
      <c r="AY873" s="340" t="s">
        <v>316</v>
      </c>
      <c r="BN873" s="340">
        <v>84.24</v>
      </c>
      <c r="BO873" s="340" t="s">
        <v>331</v>
      </c>
      <c r="BP873" s="1385"/>
      <c r="BV873" s="236">
        <v>104.35</v>
      </c>
      <c r="BW873" s="236" t="s">
        <v>297</v>
      </c>
      <c r="CB873" s="340">
        <v>113.04</v>
      </c>
      <c r="CC873" s="340" t="s">
        <v>316</v>
      </c>
      <c r="CL873" s="236">
        <v>26.05</v>
      </c>
      <c r="CM873" s="236" t="s">
        <v>329</v>
      </c>
      <c r="CR873" s="340">
        <v>84.25</v>
      </c>
      <c r="CS873" s="340" t="s">
        <v>331</v>
      </c>
      <c r="CT873" s="1384"/>
      <c r="CZ873" s="1795">
        <v>9508</v>
      </c>
      <c r="DA873" s="338" t="s">
        <v>345</v>
      </c>
      <c r="DF873" s="340">
        <v>117.12</v>
      </c>
      <c r="DG873" s="340" t="s">
        <v>316</v>
      </c>
      <c r="DP873" s="236">
        <v>1005.02</v>
      </c>
      <c r="DQ873" s="236" t="s">
        <v>289</v>
      </c>
      <c r="DV873" s="340">
        <v>90.56</v>
      </c>
      <c r="DW873" s="340" t="s">
        <v>331</v>
      </c>
      <c r="DX873" s="1671"/>
    </row>
    <row r="874" spans="12:128">
      <c r="L874" s="2481">
        <v>122.07</v>
      </c>
      <c r="M874" s="340" t="s">
        <v>316</v>
      </c>
      <c r="N874" s="1390"/>
      <c r="O874" s="2479"/>
      <c r="P874" s="2282"/>
      <c r="AG874" s="2297">
        <v>90.62</v>
      </c>
      <c r="AH874" s="2297" t="s">
        <v>331</v>
      </c>
      <c r="AI874" s="1390"/>
      <c r="AJ874" s="2282"/>
      <c r="AK874" s="2282"/>
      <c r="AL874" s="1037"/>
      <c r="AX874" s="340">
        <v>114.17</v>
      </c>
      <c r="AY874" s="340" t="s">
        <v>316</v>
      </c>
      <c r="BN874" s="340">
        <v>84.25</v>
      </c>
      <c r="BO874" s="340" t="s">
        <v>331</v>
      </c>
      <c r="BP874" s="1385"/>
      <c r="BV874" s="236">
        <v>104.36</v>
      </c>
      <c r="BW874" s="236" t="s">
        <v>297</v>
      </c>
      <c r="CB874" s="340">
        <v>114.07</v>
      </c>
      <c r="CC874" s="340" t="s">
        <v>316</v>
      </c>
      <c r="CL874" s="236">
        <v>26.05</v>
      </c>
      <c r="CM874" s="236" t="s">
        <v>347</v>
      </c>
      <c r="CR874" s="340">
        <v>84.26</v>
      </c>
      <c r="CS874" s="340" t="s">
        <v>331</v>
      </c>
      <c r="CT874" s="1384"/>
      <c r="CZ874" s="1795">
        <v>9509</v>
      </c>
      <c r="DA874" s="338" t="s">
        <v>345</v>
      </c>
      <c r="DF874" s="340">
        <v>117.13</v>
      </c>
      <c r="DG874" s="340" t="s">
        <v>316</v>
      </c>
      <c r="DP874" s="236">
        <v>1007</v>
      </c>
      <c r="DQ874" s="236" t="s">
        <v>289</v>
      </c>
      <c r="DV874" s="340">
        <v>90.57</v>
      </c>
      <c r="DW874" s="340" t="s">
        <v>331</v>
      </c>
      <c r="DX874" s="1671"/>
    </row>
    <row r="875" spans="12:128">
      <c r="L875" s="2481">
        <v>122.08</v>
      </c>
      <c r="M875" s="340" t="s">
        <v>316</v>
      </c>
      <c r="N875" s="1390"/>
      <c r="O875" s="2479"/>
      <c r="P875" s="2282"/>
      <c r="AG875" s="2297">
        <v>90.63</v>
      </c>
      <c r="AH875" s="2297" t="s">
        <v>331</v>
      </c>
      <c r="AI875" s="1390"/>
      <c r="AJ875" s="2282"/>
      <c r="AK875" s="2282"/>
      <c r="AL875" s="1037"/>
      <c r="AX875" s="340">
        <v>114.18</v>
      </c>
      <c r="AY875" s="340" t="s">
        <v>316</v>
      </c>
      <c r="BN875" s="340">
        <v>84.26</v>
      </c>
      <c r="BO875" s="340" t="s">
        <v>331</v>
      </c>
      <c r="BP875" s="1385"/>
      <c r="BV875" s="236">
        <v>104.37</v>
      </c>
      <c r="BW875" s="236" t="s">
        <v>297</v>
      </c>
      <c r="CB875" s="340">
        <v>114.08</v>
      </c>
      <c r="CC875" s="340" t="s">
        <v>316</v>
      </c>
      <c r="CL875" s="338">
        <v>26.06</v>
      </c>
      <c r="CM875" s="338" t="s">
        <v>285</v>
      </c>
      <c r="CR875" s="340">
        <v>84.27</v>
      </c>
      <c r="CS875" s="340" t="s">
        <v>331</v>
      </c>
      <c r="CT875" s="1384"/>
      <c r="CZ875" s="1795">
        <v>9512</v>
      </c>
      <c r="DA875" s="338" t="s">
        <v>345</v>
      </c>
      <c r="DF875" s="340">
        <v>117.14</v>
      </c>
      <c r="DG875" s="340" t="s">
        <v>316</v>
      </c>
      <c r="DP875" s="236">
        <v>1008.01</v>
      </c>
      <c r="DQ875" s="236" t="s">
        <v>289</v>
      </c>
      <c r="DV875" s="340">
        <v>90.58</v>
      </c>
      <c r="DW875" s="340" t="s">
        <v>331</v>
      </c>
      <c r="DX875" s="1671"/>
    </row>
    <row r="876" spans="12:128">
      <c r="L876" s="2481">
        <v>122.09</v>
      </c>
      <c r="M876" s="340" t="s">
        <v>316</v>
      </c>
      <c r="N876" s="1390"/>
      <c r="O876" s="2479"/>
      <c r="P876" s="2282"/>
      <c r="AG876" s="2297">
        <v>90.64</v>
      </c>
      <c r="AH876" s="2297" t="s">
        <v>331</v>
      </c>
      <c r="AI876" s="1390"/>
      <c r="AJ876" s="2282"/>
      <c r="AK876" s="2282"/>
      <c r="AL876" s="1037"/>
      <c r="AX876" s="340">
        <v>115.04</v>
      </c>
      <c r="AY876" s="340" t="s">
        <v>316</v>
      </c>
      <c r="BN876" s="340">
        <v>84.27</v>
      </c>
      <c r="BO876" s="340" t="s">
        <v>331</v>
      </c>
      <c r="BP876" s="1385"/>
      <c r="BV876" s="236">
        <v>104.38</v>
      </c>
      <c r="BW876" s="236" t="s">
        <v>297</v>
      </c>
      <c r="CB876" s="340">
        <v>114.09</v>
      </c>
      <c r="CC876" s="340" t="s">
        <v>316</v>
      </c>
      <c r="CL876" s="236">
        <v>26.06</v>
      </c>
      <c r="CM876" s="236" t="s">
        <v>304</v>
      </c>
      <c r="CR876" s="340">
        <v>84.28</v>
      </c>
      <c r="CS876" s="340" t="s">
        <v>331</v>
      </c>
      <c r="CT876" s="1384"/>
      <c r="CZ876" s="1795">
        <v>9514.01</v>
      </c>
      <c r="DA876" s="338" t="s">
        <v>345</v>
      </c>
      <c r="DF876" s="340">
        <v>117.16</v>
      </c>
      <c r="DG876" s="340" t="s">
        <v>316</v>
      </c>
      <c r="DP876" s="236">
        <v>1102</v>
      </c>
      <c r="DQ876" s="236" t="s">
        <v>327</v>
      </c>
      <c r="DV876" s="340">
        <v>90.59</v>
      </c>
      <c r="DW876" s="340" t="s">
        <v>331</v>
      </c>
      <c r="DX876" s="1671"/>
    </row>
    <row r="877" spans="12:128">
      <c r="L877" s="2481">
        <v>122.1</v>
      </c>
      <c r="M877" s="340" t="s">
        <v>316</v>
      </c>
      <c r="N877" s="1390"/>
      <c r="O877" s="2479"/>
      <c r="P877" s="2282"/>
      <c r="AG877" s="2297">
        <v>90.65</v>
      </c>
      <c r="AH877" s="2297" t="s">
        <v>331</v>
      </c>
      <c r="AI877" s="1390"/>
      <c r="AJ877" s="2282"/>
      <c r="AK877" s="2282"/>
      <c r="AL877" s="1037"/>
      <c r="AX877" s="340">
        <v>115.06</v>
      </c>
      <c r="AY877" s="340" t="s">
        <v>316</v>
      </c>
      <c r="BN877" s="340">
        <v>84.28</v>
      </c>
      <c r="BO877" s="340" t="s">
        <v>331</v>
      </c>
      <c r="BP877" s="1385"/>
      <c r="BV877" s="236">
        <v>105.08</v>
      </c>
      <c r="BW877" s="236" t="s">
        <v>297</v>
      </c>
      <c r="CB877" s="340">
        <v>114.1</v>
      </c>
      <c r="CC877" s="340" t="s">
        <v>316</v>
      </c>
      <c r="CL877" s="236">
        <v>26.06</v>
      </c>
      <c r="CM877" s="236" t="s">
        <v>324</v>
      </c>
      <c r="CR877" s="340">
        <v>84.29</v>
      </c>
      <c r="CS877" s="340" t="s">
        <v>331</v>
      </c>
      <c r="CT877" s="1384"/>
      <c r="CZ877" s="1795">
        <v>3</v>
      </c>
      <c r="DA877" s="338" t="s">
        <v>347</v>
      </c>
      <c r="DF877" s="340">
        <v>119.07</v>
      </c>
      <c r="DG877" s="340" t="s">
        <v>316</v>
      </c>
      <c r="DP877" s="236">
        <v>1103</v>
      </c>
      <c r="DQ877" s="236" t="s">
        <v>298</v>
      </c>
      <c r="DV877" s="340">
        <v>90.6</v>
      </c>
      <c r="DW877" s="340" t="s">
        <v>331</v>
      </c>
      <c r="DX877" s="1671"/>
    </row>
    <row r="878" spans="12:128">
      <c r="L878" s="2481">
        <v>122.12</v>
      </c>
      <c r="M878" s="340" t="s">
        <v>316</v>
      </c>
      <c r="N878" s="1390"/>
      <c r="O878" s="2479"/>
      <c r="P878" s="2282"/>
      <c r="AG878" s="2297">
        <v>90.66</v>
      </c>
      <c r="AH878" s="2297" t="s">
        <v>331</v>
      </c>
      <c r="AI878" s="1390"/>
      <c r="AJ878" s="2282"/>
      <c r="AK878" s="2282"/>
      <c r="AL878" s="1037"/>
      <c r="AX878" s="340">
        <v>115.09</v>
      </c>
      <c r="AY878" s="340" t="s">
        <v>316</v>
      </c>
      <c r="BN878" s="340">
        <v>84.29</v>
      </c>
      <c r="BO878" s="340" t="s">
        <v>331</v>
      </c>
      <c r="BP878" s="1385"/>
      <c r="BV878" s="236">
        <v>105.11</v>
      </c>
      <c r="BW878" s="236" t="s">
        <v>297</v>
      </c>
      <c r="CB878" s="340">
        <v>114.11</v>
      </c>
      <c r="CC878" s="340" t="s">
        <v>316</v>
      </c>
      <c r="CL878" s="338">
        <v>26.07</v>
      </c>
      <c r="CM878" s="338" t="s">
        <v>285</v>
      </c>
      <c r="CR878" s="340">
        <v>84.3</v>
      </c>
      <c r="CS878" s="340" t="s">
        <v>331</v>
      </c>
      <c r="CT878" s="1384"/>
      <c r="CZ878" s="1795">
        <v>5.03</v>
      </c>
      <c r="DA878" s="338" t="s">
        <v>347</v>
      </c>
      <c r="DF878" s="340">
        <v>121.06</v>
      </c>
      <c r="DG878" s="340" t="s">
        <v>316</v>
      </c>
      <c r="DP878" s="236">
        <v>1103.02</v>
      </c>
      <c r="DQ878" s="236" t="s">
        <v>327</v>
      </c>
      <c r="DV878" s="340">
        <v>90.62</v>
      </c>
      <c r="DW878" s="340" t="s">
        <v>331</v>
      </c>
      <c r="DX878" s="1671"/>
    </row>
    <row r="879" spans="12:128">
      <c r="L879" s="2481">
        <v>122.13</v>
      </c>
      <c r="M879" s="340" t="s">
        <v>316</v>
      </c>
      <c r="N879" s="1390"/>
      <c r="O879" s="2479"/>
      <c r="P879" s="2282"/>
      <c r="AG879" s="2297">
        <v>92</v>
      </c>
      <c r="AH879" s="2297" t="s">
        <v>331</v>
      </c>
      <c r="AI879" s="1390"/>
      <c r="AJ879" s="2282"/>
      <c r="AK879" s="2282"/>
      <c r="AL879" s="1037"/>
      <c r="AX879" s="340">
        <v>115.1</v>
      </c>
      <c r="AY879" s="340" t="s">
        <v>316</v>
      </c>
      <c r="BN879" s="340">
        <v>84.3</v>
      </c>
      <c r="BO879" s="340" t="s">
        <v>331</v>
      </c>
      <c r="BP879" s="1385"/>
      <c r="BV879" s="236">
        <v>105.12</v>
      </c>
      <c r="BW879" s="236" t="s">
        <v>297</v>
      </c>
      <c r="CB879" s="340">
        <v>114.12</v>
      </c>
      <c r="CC879" s="340" t="s">
        <v>316</v>
      </c>
      <c r="CL879" s="236">
        <v>26.07</v>
      </c>
      <c r="CM879" s="236" t="s">
        <v>304</v>
      </c>
      <c r="CR879" s="340">
        <v>85.02</v>
      </c>
      <c r="CS879" s="340" t="s">
        <v>331</v>
      </c>
      <c r="CT879" s="1384"/>
      <c r="CZ879" s="1795">
        <v>10</v>
      </c>
      <c r="DA879" s="338" t="s">
        <v>347</v>
      </c>
      <c r="DF879" s="340">
        <v>121.08</v>
      </c>
      <c r="DG879" s="340" t="s">
        <v>316</v>
      </c>
      <c r="DP879" s="236">
        <v>1103.3399999999999</v>
      </c>
      <c r="DQ879" s="236" t="s">
        <v>289</v>
      </c>
      <c r="DV879" s="340">
        <v>90.64</v>
      </c>
      <c r="DW879" s="340" t="s">
        <v>331</v>
      </c>
      <c r="DX879" s="1671"/>
    </row>
    <row r="880" spans="12:128">
      <c r="L880" s="2481">
        <v>123.03</v>
      </c>
      <c r="M880" s="340" t="s">
        <v>316</v>
      </c>
      <c r="N880" s="1390"/>
      <c r="O880" s="2479"/>
      <c r="P880" s="2282"/>
      <c r="AG880" s="2297">
        <v>93.05</v>
      </c>
      <c r="AH880" s="2297" t="s">
        <v>331</v>
      </c>
      <c r="AI880" s="1390"/>
      <c r="AJ880" s="2282"/>
      <c r="AK880" s="2282"/>
      <c r="AL880" s="1037"/>
      <c r="AX880" s="340">
        <v>115.12</v>
      </c>
      <c r="AY880" s="340" t="s">
        <v>316</v>
      </c>
      <c r="BN880" s="340">
        <v>84.31</v>
      </c>
      <c r="BO880" s="340" t="s">
        <v>331</v>
      </c>
      <c r="BP880" s="1385"/>
      <c r="BV880" s="236">
        <v>105.13</v>
      </c>
      <c r="BW880" s="236" t="s">
        <v>297</v>
      </c>
      <c r="CB880" s="340">
        <v>114.13</v>
      </c>
      <c r="CC880" s="340" t="s">
        <v>316</v>
      </c>
      <c r="CL880" s="236">
        <v>26.07</v>
      </c>
      <c r="CM880" s="236" t="s">
        <v>329</v>
      </c>
      <c r="CR880" s="340">
        <v>85.04</v>
      </c>
      <c r="CS880" s="340" t="s">
        <v>331</v>
      </c>
      <c r="CT880" s="1384"/>
      <c r="CZ880" s="1795">
        <v>11.02</v>
      </c>
      <c r="DA880" s="338" t="s">
        <v>347</v>
      </c>
      <c r="DF880" s="340">
        <v>122.07</v>
      </c>
      <c r="DG880" s="340" t="s">
        <v>316</v>
      </c>
      <c r="DP880" s="236">
        <v>1103.51</v>
      </c>
      <c r="DQ880" s="236" t="s">
        <v>289</v>
      </c>
      <c r="DV880" s="340">
        <v>90.66</v>
      </c>
      <c r="DW880" s="340" t="s">
        <v>331</v>
      </c>
      <c r="DX880" s="1671"/>
    </row>
    <row r="881" spans="12:128">
      <c r="L881" s="2481">
        <v>123.04</v>
      </c>
      <c r="M881" s="340" t="s">
        <v>316</v>
      </c>
      <c r="N881" s="1390"/>
      <c r="O881" s="2479"/>
      <c r="P881" s="2282"/>
      <c r="AG881" s="2297">
        <v>93.12</v>
      </c>
      <c r="AH881" s="2297" t="s">
        <v>331</v>
      </c>
      <c r="AI881" s="1390"/>
      <c r="AJ881" s="2282"/>
      <c r="AK881" s="2282"/>
      <c r="AL881" s="1037"/>
      <c r="AX881" s="340">
        <v>115.14</v>
      </c>
      <c r="AY881" s="340" t="s">
        <v>316</v>
      </c>
      <c r="BN881" s="340">
        <v>85.02</v>
      </c>
      <c r="BO881" s="340" t="s">
        <v>331</v>
      </c>
      <c r="BP881" s="1385"/>
      <c r="BV881" s="236">
        <v>105.14</v>
      </c>
      <c r="BW881" s="236" t="s">
        <v>297</v>
      </c>
      <c r="CB881" s="340">
        <v>114.14</v>
      </c>
      <c r="CC881" s="340" t="s">
        <v>316</v>
      </c>
      <c r="CL881" s="338">
        <v>26.08</v>
      </c>
      <c r="CM881" s="338" t="s">
        <v>285</v>
      </c>
      <c r="CR881" s="340">
        <v>86.01</v>
      </c>
      <c r="CS881" s="340" t="s">
        <v>331</v>
      </c>
      <c r="CT881" s="1384"/>
      <c r="CZ881" s="1795">
        <v>27.21</v>
      </c>
      <c r="DA881" s="338" t="s">
        <v>347</v>
      </c>
      <c r="DF881" s="340">
        <v>122.08</v>
      </c>
      <c r="DG881" s="340" t="s">
        <v>316</v>
      </c>
      <c r="DP881" s="236">
        <v>1103.55</v>
      </c>
      <c r="DQ881" s="236" t="s">
        <v>289</v>
      </c>
      <c r="DV881" s="340">
        <v>92</v>
      </c>
      <c r="DW881" s="340" t="s">
        <v>331</v>
      </c>
      <c r="DX881" s="1671"/>
    </row>
    <row r="882" spans="12:128">
      <c r="L882" s="2481">
        <v>124.01</v>
      </c>
      <c r="M882" s="340" t="s">
        <v>316</v>
      </c>
      <c r="N882" s="1390"/>
      <c r="O882" s="2479"/>
      <c r="P882" s="2282"/>
      <c r="AG882" s="2297">
        <v>93.17</v>
      </c>
      <c r="AH882" s="2297" t="s">
        <v>331</v>
      </c>
      <c r="AI882" s="1390"/>
      <c r="AJ882" s="2282"/>
      <c r="AK882" s="2282"/>
      <c r="AL882" s="1037"/>
      <c r="AX882" s="340">
        <v>115.15</v>
      </c>
      <c r="AY882" s="340" t="s">
        <v>316</v>
      </c>
      <c r="BN882" s="340">
        <v>85.04</v>
      </c>
      <c r="BO882" s="340" t="s">
        <v>331</v>
      </c>
      <c r="BP882" s="1385"/>
      <c r="BV882" s="236">
        <v>105.15</v>
      </c>
      <c r="BW882" s="236" t="s">
        <v>297</v>
      </c>
      <c r="CB882" s="340">
        <v>114.15</v>
      </c>
      <c r="CC882" s="340" t="s">
        <v>316</v>
      </c>
      <c r="CL882" s="236">
        <v>26.08</v>
      </c>
      <c r="CM882" s="236" t="s">
        <v>329</v>
      </c>
      <c r="CR882" s="340">
        <v>86.03</v>
      </c>
      <c r="CS882" s="340" t="s">
        <v>331</v>
      </c>
      <c r="CT882" s="1384"/>
      <c r="CZ882" s="1795">
        <v>27.23</v>
      </c>
      <c r="DA882" s="338" t="s">
        <v>347</v>
      </c>
      <c r="DF882" s="340">
        <v>122.09</v>
      </c>
      <c r="DG882" s="340" t="s">
        <v>316</v>
      </c>
      <c r="DP882" s="236">
        <v>1104</v>
      </c>
      <c r="DQ882" s="236" t="s">
        <v>298</v>
      </c>
      <c r="DV882" s="340">
        <v>93.05</v>
      </c>
      <c r="DW882" s="340" t="s">
        <v>331</v>
      </c>
      <c r="DX882" s="1671"/>
    </row>
    <row r="883" spans="12:128">
      <c r="L883" s="2481">
        <v>124.03</v>
      </c>
      <c r="M883" s="340" t="s">
        <v>316</v>
      </c>
      <c r="N883" s="1390"/>
      <c r="O883" s="2479"/>
      <c r="P883" s="2282"/>
      <c r="AG883" s="2297">
        <v>93.19</v>
      </c>
      <c r="AH883" s="2297" t="s">
        <v>331</v>
      </c>
      <c r="AI883" s="1390"/>
      <c r="AJ883" s="2282"/>
      <c r="AK883" s="2282"/>
      <c r="AL883" s="1037"/>
      <c r="AX883" s="340">
        <v>115.16</v>
      </c>
      <c r="AY883" s="340" t="s">
        <v>316</v>
      </c>
      <c r="BN883" s="340">
        <v>86.01</v>
      </c>
      <c r="BO883" s="340" t="s">
        <v>331</v>
      </c>
      <c r="BP883" s="1385"/>
      <c r="BV883" s="236">
        <v>105.16</v>
      </c>
      <c r="BW883" s="236" t="s">
        <v>297</v>
      </c>
      <c r="CB883" s="340">
        <v>114.17</v>
      </c>
      <c r="CC883" s="340" t="s">
        <v>316</v>
      </c>
      <c r="CL883" s="338">
        <v>26.09</v>
      </c>
      <c r="CM883" s="338" t="s">
        <v>285</v>
      </c>
      <c r="CR883" s="340">
        <v>86.04</v>
      </c>
      <c r="CS883" s="340" t="s">
        <v>331</v>
      </c>
      <c r="CT883" s="1384"/>
      <c r="CZ883" s="1795">
        <v>27.39</v>
      </c>
      <c r="DA883" s="338" t="s">
        <v>347</v>
      </c>
      <c r="DF883" s="340">
        <v>122.1</v>
      </c>
      <c r="DG883" s="340" t="s">
        <v>316</v>
      </c>
      <c r="DP883" s="236">
        <v>2106</v>
      </c>
      <c r="DQ883" s="236" t="s">
        <v>319</v>
      </c>
      <c r="DV883" s="340">
        <v>93.12</v>
      </c>
      <c r="DW883" s="340" t="s">
        <v>331</v>
      </c>
      <c r="DX883" s="1671"/>
    </row>
    <row r="884" spans="12:128">
      <c r="L884" s="2481">
        <v>125.03</v>
      </c>
      <c r="M884" s="340" t="s">
        <v>316</v>
      </c>
      <c r="N884" s="1390"/>
      <c r="O884" s="2479"/>
      <c r="P884" s="2282"/>
      <c r="AG884" s="2297">
        <v>93.21</v>
      </c>
      <c r="AH884" s="2297" t="s">
        <v>331</v>
      </c>
      <c r="AI884" s="1390"/>
      <c r="AJ884" s="2282"/>
      <c r="AK884" s="2282"/>
      <c r="AL884" s="1037"/>
      <c r="AX884" s="340">
        <v>115.18</v>
      </c>
      <c r="AY884" s="340" t="s">
        <v>316</v>
      </c>
      <c r="BN884" s="340">
        <v>86.03</v>
      </c>
      <c r="BO884" s="340" t="s">
        <v>331</v>
      </c>
      <c r="BP884" s="1385"/>
      <c r="BV884" s="236">
        <v>105.17</v>
      </c>
      <c r="BW884" s="236" t="s">
        <v>297</v>
      </c>
      <c r="CB884" s="340">
        <v>114.18</v>
      </c>
      <c r="CC884" s="340" t="s">
        <v>316</v>
      </c>
      <c r="CL884" s="236">
        <v>26.09</v>
      </c>
      <c r="CM884" s="236" t="s">
        <v>329</v>
      </c>
      <c r="CR884" s="340">
        <v>87.04</v>
      </c>
      <c r="CS884" s="340" t="s">
        <v>331</v>
      </c>
      <c r="CT884" s="1384"/>
      <c r="CZ884" s="1795">
        <v>201.01</v>
      </c>
      <c r="DA884" s="338" t="s">
        <v>348</v>
      </c>
      <c r="DF884" s="340">
        <v>122.12</v>
      </c>
      <c r="DG884" s="340" t="s">
        <v>316</v>
      </c>
      <c r="DP884" s="236">
        <v>2108</v>
      </c>
      <c r="DQ884" s="236" t="s">
        <v>319</v>
      </c>
      <c r="DV884" s="340">
        <v>93.17</v>
      </c>
      <c r="DW884" s="340" t="s">
        <v>331</v>
      </c>
      <c r="DX884" s="1671"/>
    </row>
    <row r="885" spans="12:128">
      <c r="L885" s="2481">
        <v>125.04</v>
      </c>
      <c r="M885" s="340" t="s">
        <v>316</v>
      </c>
      <c r="N885" s="1390"/>
      <c r="O885" s="2479"/>
      <c r="P885" s="2282"/>
      <c r="AG885" s="2297">
        <v>93.27</v>
      </c>
      <c r="AH885" s="2297" t="s">
        <v>331</v>
      </c>
      <c r="AI885" s="1390"/>
      <c r="AJ885" s="2282"/>
      <c r="AK885" s="2282"/>
      <c r="AL885" s="1037"/>
      <c r="AX885" s="340">
        <v>115.19</v>
      </c>
      <c r="AY885" s="340" t="s">
        <v>316</v>
      </c>
      <c r="BN885" s="340">
        <v>86.04</v>
      </c>
      <c r="BO885" s="340" t="s">
        <v>331</v>
      </c>
      <c r="BP885" s="1385"/>
      <c r="BV885" s="236">
        <v>105.18</v>
      </c>
      <c r="BW885" s="236" t="s">
        <v>297</v>
      </c>
      <c r="CB885" s="340">
        <v>115.04</v>
      </c>
      <c r="CC885" s="340" t="s">
        <v>316</v>
      </c>
      <c r="CL885" s="236">
        <v>26.1</v>
      </c>
      <c r="CM885" s="236" t="s">
        <v>329</v>
      </c>
      <c r="CR885" s="340">
        <v>88.06</v>
      </c>
      <c r="CS885" s="340" t="s">
        <v>331</v>
      </c>
      <c r="CT885" s="1384"/>
      <c r="CZ885" s="1795">
        <v>202.01</v>
      </c>
      <c r="DA885" s="338" t="s">
        <v>348</v>
      </c>
      <c r="DF885" s="340">
        <v>122.13</v>
      </c>
      <c r="DG885" s="340" t="s">
        <v>316</v>
      </c>
      <c r="DP885" s="236">
        <v>2501.0300000000002</v>
      </c>
      <c r="DQ885" s="236" t="s">
        <v>320</v>
      </c>
      <c r="DV885" s="340">
        <v>93.19</v>
      </c>
      <c r="DW885" s="340" t="s">
        <v>331</v>
      </c>
      <c r="DX885" s="1671"/>
    </row>
    <row r="886" spans="12:128">
      <c r="L886" s="2481">
        <v>127.01</v>
      </c>
      <c r="M886" s="340" t="s">
        <v>316</v>
      </c>
      <c r="N886" s="1390"/>
      <c r="O886" s="2479"/>
      <c r="P886" s="2282"/>
      <c r="AG886" s="2297">
        <v>97.03</v>
      </c>
      <c r="AH886" s="2297" t="s">
        <v>331</v>
      </c>
      <c r="AI886" s="1390"/>
      <c r="AJ886" s="2282"/>
      <c r="AK886" s="2282"/>
      <c r="AL886" s="1037"/>
      <c r="AX886" s="340">
        <v>115.2</v>
      </c>
      <c r="AY886" s="340" t="s">
        <v>316</v>
      </c>
      <c r="BN886" s="340">
        <v>87.03</v>
      </c>
      <c r="BO886" s="340" t="s">
        <v>331</v>
      </c>
      <c r="BP886" s="1385"/>
      <c r="BV886" s="236">
        <v>105.19</v>
      </c>
      <c r="BW886" s="236" t="s">
        <v>297</v>
      </c>
      <c r="CB886" s="340">
        <v>115.06</v>
      </c>
      <c r="CC886" s="340" t="s">
        <v>316</v>
      </c>
      <c r="CL886" s="236">
        <v>27.01</v>
      </c>
      <c r="CM886" s="236" t="s">
        <v>302</v>
      </c>
      <c r="CR886" s="340">
        <v>88.09</v>
      </c>
      <c r="CS886" s="340" t="s">
        <v>331</v>
      </c>
      <c r="CT886" s="1384"/>
      <c r="CZ886" s="1795">
        <v>203.02</v>
      </c>
      <c r="DA886" s="338" t="s">
        <v>348</v>
      </c>
      <c r="DF886" s="340">
        <v>123.01</v>
      </c>
      <c r="DG886" s="340" t="s">
        <v>316</v>
      </c>
      <c r="DP886" s="236">
        <v>3801</v>
      </c>
      <c r="DQ886" s="236" t="s">
        <v>350</v>
      </c>
      <c r="DV886" s="340">
        <v>93.21</v>
      </c>
      <c r="DW886" s="340" t="s">
        <v>331</v>
      </c>
      <c r="DX886" s="1671"/>
    </row>
    <row r="887" spans="12:128">
      <c r="L887" s="2481">
        <v>130.02000000000001</v>
      </c>
      <c r="M887" s="340" t="s">
        <v>316</v>
      </c>
      <c r="N887" s="1390"/>
      <c r="O887" s="2479"/>
      <c r="P887" s="2282"/>
      <c r="AG887" s="2297">
        <v>97.04</v>
      </c>
      <c r="AH887" s="2297" t="s">
        <v>331</v>
      </c>
      <c r="AI887" s="1390"/>
      <c r="AJ887" s="2282"/>
      <c r="AK887" s="2282"/>
      <c r="AL887" s="1037"/>
      <c r="AX887" s="340">
        <v>115.21</v>
      </c>
      <c r="AY887" s="340" t="s">
        <v>316</v>
      </c>
      <c r="BN887" s="340">
        <v>87.04</v>
      </c>
      <c r="BO887" s="340" t="s">
        <v>331</v>
      </c>
      <c r="BP887" s="1385"/>
      <c r="BV887" s="236">
        <v>105.2</v>
      </c>
      <c r="BW887" s="236" t="s">
        <v>297</v>
      </c>
      <c r="CB887" s="340">
        <v>115.09</v>
      </c>
      <c r="CC887" s="340" t="s">
        <v>316</v>
      </c>
      <c r="CL887" s="236">
        <v>27.01</v>
      </c>
      <c r="CM887" s="236" t="s">
        <v>304</v>
      </c>
      <c r="CR887" s="340">
        <v>88.1</v>
      </c>
      <c r="CS887" s="340" t="s">
        <v>331</v>
      </c>
      <c r="CT887" s="1384"/>
      <c r="CZ887" s="1795">
        <v>204.01</v>
      </c>
      <c r="DA887" s="338" t="s">
        <v>348</v>
      </c>
      <c r="DF887" s="340">
        <v>123.03</v>
      </c>
      <c r="DG887" s="340" t="s">
        <v>316</v>
      </c>
      <c r="DP887" s="236">
        <v>3802</v>
      </c>
      <c r="DQ887" s="236" t="s">
        <v>350</v>
      </c>
      <c r="DV887" s="340">
        <v>93.23</v>
      </c>
      <c r="DW887" s="340" t="s">
        <v>331</v>
      </c>
      <c r="DX887" s="1671"/>
    </row>
    <row r="888" spans="12:128">
      <c r="L888" s="2481">
        <v>130.04</v>
      </c>
      <c r="M888" s="340" t="s">
        <v>316</v>
      </c>
      <c r="N888" s="1390"/>
      <c r="O888" s="2479"/>
      <c r="P888" s="2282"/>
      <c r="AG888" s="2297">
        <v>98.03</v>
      </c>
      <c r="AH888" s="2297" t="s">
        <v>331</v>
      </c>
      <c r="AI888" s="1390"/>
      <c r="AJ888" s="2282"/>
      <c r="AK888" s="2282"/>
      <c r="AL888" s="1037"/>
      <c r="AX888" s="340">
        <v>115.22</v>
      </c>
      <c r="AY888" s="340" t="s">
        <v>316</v>
      </c>
      <c r="BN888" s="340">
        <v>88.05</v>
      </c>
      <c r="BO888" s="340" t="s">
        <v>331</v>
      </c>
      <c r="BP888" s="1385"/>
      <c r="BV888" s="236">
        <v>106.01</v>
      </c>
      <c r="BW888" s="236" t="s">
        <v>297</v>
      </c>
      <c r="CB888" s="340">
        <v>115.1</v>
      </c>
      <c r="CC888" s="340" t="s">
        <v>316</v>
      </c>
      <c r="CL888" s="236">
        <v>27.01</v>
      </c>
      <c r="CM888" s="236" t="s">
        <v>316</v>
      </c>
      <c r="CR888" s="340">
        <v>89.06</v>
      </c>
      <c r="CS888" s="340" t="s">
        <v>331</v>
      </c>
      <c r="CT888" s="1384"/>
      <c r="CZ888" s="1795">
        <v>205</v>
      </c>
      <c r="DA888" s="338" t="s">
        <v>348</v>
      </c>
      <c r="DF888" s="340">
        <v>123.04</v>
      </c>
      <c r="DG888" s="340" t="s">
        <v>316</v>
      </c>
      <c r="DP888" s="236">
        <v>3803</v>
      </c>
      <c r="DQ888" s="236" t="s">
        <v>350</v>
      </c>
      <c r="DV888" s="340">
        <v>93.27</v>
      </c>
      <c r="DW888" s="340" t="s">
        <v>331</v>
      </c>
      <c r="DX888" s="1671"/>
    </row>
    <row r="889" spans="12:128">
      <c r="L889" s="2481">
        <v>132.03</v>
      </c>
      <c r="M889" s="340" t="s">
        <v>316</v>
      </c>
      <c r="N889" s="1390"/>
      <c r="O889" s="2479"/>
      <c r="P889" s="2282"/>
      <c r="AG889" s="2297">
        <v>98.04</v>
      </c>
      <c r="AH889" s="2297" t="s">
        <v>331</v>
      </c>
      <c r="AI889" s="1390"/>
      <c r="AJ889" s="2282"/>
      <c r="AK889" s="2282"/>
      <c r="AL889" s="1037"/>
      <c r="AX889" s="340">
        <v>115.23</v>
      </c>
      <c r="AY889" s="340" t="s">
        <v>316</v>
      </c>
      <c r="BN889" s="340">
        <v>88.06</v>
      </c>
      <c r="BO889" s="340" t="s">
        <v>331</v>
      </c>
      <c r="BP889" s="1385"/>
      <c r="BV889" s="236">
        <v>106.02</v>
      </c>
      <c r="BW889" s="236" t="s">
        <v>297</v>
      </c>
      <c r="CB889" s="340">
        <v>115.12</v>
      </c>
      <c r="CC889" s="340" t="s">
        <v>316</v>
      </c>
      <c r="CL889" s="236">
        <v>27.01</v>
      </c>
      <c r="CM889" s="236" t="s">
        <v>324</v>
      </c>
      <c r="CR889" s="340">
        <v>89.08</v>
      </c>
      <c r="CS889" s="340" t="s">
        <v>331</v>
      </c>
      <c r="CT889" s="1384"/>
      <c r="CZ889" s="1795">
        <v>209.01</v>
      </c>
      <c r="DA889" s="338" t="s">
        <v>348</v>
      </c>
      <c r="DF889" s="340">
        <v>124.02</v>
      </c>
      <c r="DG889" s="340" t="s">
        <v>316</v>
      </c>
      <c r="DP889" s="236">
        <v>3804</v>
      </c>
      <c r="DQ889" s="236" t="s">
        <v>350</v>
      </c>
      <c r="DV889" s="340">
        <v>95.03</v>
      </c>
      <c r="DW889" s="340" t="s">
        <v>331</v>
      </c>
      <c r="DX889" s="1671"/>
    </row>
    <row r="890" spans="12:128">
      <c r="L890" s="2481">
        <v>132.05000000000001</v>
      </c>
      <c r="M890" s="340" t="s">
        <v>316</v>
      </c>
      <c r="N890" s="1390"/>
      <c r="O890" s="2479"/>
      <c r="P890" s="2282"/>
      <c r="AG890" s="2297">
        <v>98.09</v>
      </c>
      <c r="AH890" s="2297" t="s">
        <v>331</v>
      </c>
      <c r="AI890" s="1390"/>
      <c r="AJ890" s="2282"/>
      <c r="AK890" s="2282"/>
      <c r="AL890" s="1037"/>
      <c r="AX890" s="340">
        <v>115.24</v>
      </c>
      <c r="AY890" s="340" t="s">
        <v>316</v>
      </c>
      <c r="BN890" s="340">
        <v>88.09</v>
      </c>
      <c r="BO890" s="340" t="s">
        <v>331</v>
      </c>
      <c r="BP890" s="1385"/>
      <c r="BV890" s="236">
        <v>106.04</v>
      </c>
      <c r="BW890" s="236" t="s">
        <v>297</v>
      </c>
      <c r="CB890" s="340">
        <v>115.14</v>
      </c>
      <c r="CC890" s="340" t="s">
        <v>316</v>
      </c>
      <c r="CL890" s="236">
        <v>27.01</v>
      </c>
      <c r="CM890" s="236" t="s">
        <v>340</v>
      </c>
      <c r="CR890" s="340">
        <v>89.09</v>
      </c>
      <c r="CS890" s="340" t="s">
        <v>331</v>
      </c>
      <c r="CT890" s="1384"/>
      <c r="CZ890" s="1795">
        <v>209.02</v>
      </c>
      <c r="DA890" s="338" t="s">
        <v>348</v>
      </c>
      <c r="DF890" s="340">
        <v>124.03</v>
      </c>
      <c r="DG890" s="340" t="s">
        <v>316</v>
      </c>
      <c r="DP890" s="236">
        <v>3805</v>
      </c>
      <c r="DQ890" s="236" t="s">
        <v>350</v>
      </c>
      <c r="DV890" s="340">
        <v>96.01</v>
      </c>
      <c r="DW890" s="340" t="s">
        <v>331</v>
      </c>
      <c r="DX890" s="1671"/>
    </row>
    <row r="891" spans="12:128">
      <c r="L891" s="2481">
        <v>132.06</v>
      </c>
      <c r="M891" s="340" t="s">
        <v>316</v>
      </c>
      <c r="N891" s="1390"/>
      <c r="O891" s="2479"/>
      <c r="P891" s="2282"/>
      <c r="AG891" s="2297">
        <v>98.1</v>
      </c>
      <c r="AH891" s="2297" t="s">
        <v>331</v>
      </c>
      <c r="AI891" s="1390"/>
      <c r="AJ891" s="2282"/>
      <c r="AK891" s="2282"/>
      <c r="AL891" s="1037"/>
      <c r="AX891" s="340">
        <v>115.25</v>
      </c>
      <c r="AY891" s="340" t="s">
        <v>316</v>
      </c>
      <c r="BN891" s="340">
        <v>88.1</v>
      </c>
      <c r="BO891" s="340" t="s">
        <v>331</v>
      </c>
      <c r="BP891" s="1385"/>
      <c r="BV891" s="236">
        <v>106.05</v>
      </c>
      <c r="BW891" s="236" t="s">
        <v>297</v>
      </c>
      <c r="CB891" s="340">
        <v>115.15</v>
      </c>
      <c r="CC891" s="340" t="s">
        <v>316</v>
      </c>
      <c r="CL891" s="236">
        <v>27.02</v>
      </c>
      <c r="CM891" s="236" t="s">
        <v>302</v>
      </c>
      <c r="CR891" s="340">
        <v>89.1</v>
      </c>
      <c r="CS891" s="340" t="s">
        <v>331</v>
      </c>
      <c r="CT891" s="1384"/>
      <c r="CZ891" s="1795">
        <v>220.01</v>
      </c>
      <c r="DA891" s="338" t="s">
        <v>348</v>
      </c>
      <c r="DF891" s="340">
        <v>125.03</v>
      </c>
      <c r="DG891" s="340" t="s">
        <v>316</v>
      </c>
      <c r="DP891" s="236">
        <v>3806</v>
      </c>
      <c r="DQ891" s="236" t="s">
        <v>350</v>
      </c>
      <c r="DV891" s="340">
        <v>97.03</v>
      </c>
      <c r="DW891" s="340" t="s">
        <v>331</v>
      </c>
      <c r="DX891" s="1671"/>
    </row>
    <row r="892" spans="12:128">
      <c r="L892" s="2481">
        <v>132.07</v>
      </c>
      <c r="M892" s="340" t="s">
        <v>316</v>
      </c>
      <c r="N892" s="1390"/>
      <c r="O892" s="2479"/>
      <c r="P892" s="2282"/>
      <c r="AG892" s="2297">
        <v>98.12</v>
      </c>
      <c r="AH892" s="2297" t="s">
        <v>331</v>
      </c>
      <c r="AI892" s="1390"/>
      <c r="AJ892" s="2282"/>
      <c r="AK892" s="2282"/>
      <c r="AL892" s="1037"/>
      <c r="AX892" s="340">
        <v>115.26</v>
      </c>
      <c r="AY892" s="340" t="s">
        <v>316</v>
      </c>
      <c r="BN892" s="340">
        <v>89.06</v>
      </c>
      <c r="BO892" s="340" t="s">
        <v>331</v>
      </c>
      <c r="BP892" s="1385"/>
      <c r="BV892" s="236">
        <v>106.06</v>
      </c>
      <c r="BW892" s="236" t="s">
        <v>297</v>
      </c>
      <c r="CB892" s="340">
        <v>115.16</v>
      </c>
      <c r="CC892" s="340" t="s">
        <v>316</v>
      </c>
      <c r="CL892" s="236">
        <v>27.02</v>
      </c>
      <c r="CM892" s="236" t="s">
        <v>316</v>
      </c>
      <c r="CR892" s="340">
        <v>89.11</v>
      </c>
      <c r="CS892" s="340" t="s">
        <v>331</v>
      </c>
      <c r="CT892" s="1384"/>
      <c r="CZ892" s="1795">
        <v>203</v>
      </c>
      <c r="DA892" s="338" t="s">
        <v>349</v>
      </c>
      <c r="DF892" s="340">
        <v>127.01</v>
      </c>
      <c r="DG892" s="340" t="s">
        <v>316</v>
      </c>
      <c r="DP892" s="236">
        <v>3809.02</v>
      </c>
      <c r="DQ892" s="236" t="s">
        <v>350</v>
      </c>
      <c r="DV892" s="340">
        <v>97.04</v>
      </c>
      <c r="DW892" s="340" t="s">
        <v>331</v>
      </c>
      <c r="DX892" s="1671"/>
    </row>
    <row r="893" spans="12:128">
      <c r="L893" s="2481">
        <v>132.08000000000001</v>
      </c>
      <c r="M893" s="340" t="s">
        <v>316</v>
      </c>
      <c r="N893" s="1390"/>
      <c r="O893" s="2479"/>
      <c r="P893" s="2282"/>
      <c r="AG893" s="2297">
        <v>99.03</v>
      </c>
      <c r="AH893" s="2297" t="s">
        <v>331</v>
      </c>
      <c r="AI893" s="1390"/>
      <c r="AJ893" s="2282"/>
      <c r="AK893" s="2282"/>
      <c r="AL893" s="1037"/>
      <c r="AX893" s="340">
        <v>115.27</v>
      </c>
      <c r="AY893" s="340" t="s">
        <v>316</v>
      </c>
      <c r="BN893" s="340">
        <v>89.08</v>
      </c>
      <c r="BO893" s="340" t="s">
        <v>331</v>
      </c>
      <c r="BP893" s="1385"/>
      <c r="BV893" s="236">
        <v>107.01</v>
      </c>
      <c r="BW893" s="236" t="s">
        <v>297</v>
      </c>
      <c r="CB893" s="340">
        <v>115.18</v>
      </c>
      <c r="CC893" s="340" t="s">
        <v>316</v>
      </c>
      <c r="CL893" s="236">
        <v>27.02</v>
      </c>
      <c r="CM893" s="236" t="s">
        <v>324</v>
      </c>
      <c r="CR893" s="340">
        <v>90.1</v>
      </c>
      <c r="CS893" s="340" t="s">
        <v>331</v>
      </c>
      <c r="CT893" s="1384"/>
      <c r="CZ893" s="1795">
        <v>210.02</v>
      </c>
      <c r="DA893" s="338" t="s">
        <v>349</v>
      </c>
      <c r="DF893" s="340">
        <v>132.03</v>
      </c>
      <c r="DG893" s="340" t="s">
        <v>316</v>
      </c>
      <c r="DP893" s="236">
        <v>3814.01</v>
      </c>
      <c r="DQ893" s="236" t="s">
        <v>350</v>
      </c>
      <c r="DV893" s="340">
        <v>98.03</v>
      </c>
      <c r="DW893" s="340" t="s">
        <v>331</v>
      </c>
      <c r="DX893" s="1671"/>
    </row>
    <row r="894" spans="12:128">
      <c r="L894" s="2481">
        <v>133.05000000000001</v>
      </c>
      <c r="M894" s="340" t="s">
        <v>316</v>
      </c>
      <c r="N894" s="1390"/>
      <c r="O894" s="2479"/>
      <c r="P894" s="2282"/>
      <c r="AG894" s="2297">
        <v>100.12</v>
      </c>
      <c r="AH894" s="2297" t="s">
        <v>331</v>
      </c>
      <c r="AI894" s="1390"/>
      <c r="AJ894" s="2282"/>
      <c r="AK894" s="2282"/>
      <c r="AL894" s="1037"/>
      <c r="AX894" s="340">
        <v>115.28</v>
      </c>
      <c r="AY894" s="340" t="s">
        <v>316</v>
      </c>
      <c r="BN894" s="340">
        <v>89.09</v>
      </c>
      <c r="BO894" s="340" t="s">
        <v>331</v>
      </c>
      <c r="BP894" s="1385"/>
      <c r="BV894" s="236">
        <v>107.02</v>
      </c>
      <c r="BW894" s="236" t="s">
        <v>297</v>
      </c>
      <c r="CB894" s="340">
        <v>115.19</v>
      </c>
      <c r="CC894" s="340" t="s">
        <v>316</v>
      </c>
      <c r="CL894" s="236">
        <v>27.02</v>
      </c>
      <c r="CM894" s="236" t="s">
        <v>331</v>
      </c>
      <c r="CR894" s="340">
        <v>90.14</v>
      </c>
      <c r="CS894" s="340" t="s">
        <v>331</v>
      </c>
      <c r="CT894" s="1384"/>
      <c r="CZ894" s="1795">
        <v>3801</v>
      </c>
      <c r="DA894" s="338" t="s">
        <v>350</v>
      </c>
      <c r="DF894" s="340">
        <v>132.05000000000001</v>
      </c>
      <c r="DG894" s="340" t="s">
        <v>316</v>
      </c>
      <c r="DP894" s="236">
        <v>3815.04</v>
      </c>
      <c r="DQ894" s="236" t="s">
        <v>350</v>
      </c>
      <c r="DV894" s="340">
        <v>98.04</v>
      </c>
      <c r="DW894" s="340" t="s">
        <v>331</v>
      </c>
      <c r="DX894" s="1671"/>
    </row>
    <row r="895" spans="12:128">
      <c r="L895" s="2481">
        <v>133.1</v>
      </c>
      <c r="M895" s="340" t="s">
        <v>316</v>
      </c>
      <c r="N895" s="1390"/>
      <c r="O895" s="2479"/>
      <c r="P895" s="2282"/>
      <c r="AG895" s="2297">
        <v>100.16</v>
      </c>
      <c r="AH895" s="2297" t="s">
        <v>331</v>
      </c>
      <c r="AI895" s="1390"/>
      <c r="AJ895" s="2282"/>
      <c r="AK895" s="2282"/>
      <c r="AL895" s="1037"/>
      <c r="AX895" s="340">
        <v>116.03</v>
      </c>
      <c r="AY895" s="340" t="s">
        <v>316</v>
      </c>
      <c r="BN895" s="340">
        <v>89.1</v>
      </c>
      <c r="BO895" s="340" t="s">
        <v>331</v>
      </c>
      <c r="BP895" s="1385"/>
      <c r="BV895" s="236">
        <v>108.01</v>
      </c>
      <c r="BW895" s="236" t="s">
        <v>297</v>
      </c>
      <c r="CB895" s="340">
        <v>115.2</v>
      </c>
      <c r="CC895" s="340" t="s">
        <v>316</v>
      </c>
      <c r="CL895" s="236">
        <v>27.02</v>
      </c>
      <c r="CM895" s="236" t="s">
        <v>340</v>
      </c>
      <c r="CR895" s="340">
        <v>90.22</v>
      </c>
      <c r="CS895" s="340" t="s">
        <v>331</v>
      </c>
      <c r="CT895" s="1384"/>
      <c r="CZ895" s="1795">
        <v>3802</v>
      </c>
      <c r="DA895" s="338" t="s">
        <v>350</v>
      </c>
      <c r="DF895" s="340">
        <v>132.06</v>
      </c>
      <c r="DG895" s="340" t="s">
        <v>316</v>
      </c>
      <c r="DP895" s="236">
        <v>3816.05</v>
      </c>
      <c r="DQ895" s="236" t="s">
        <v>350</v>
      </c>
      <c r="DV895" s="340">
        <v>98.09</v>
      </c>
      <c r="DW895" s="340" t="s">
        <v>331</v>
      </c>
      <c r="DX895" s="1671"/>
    </row>
    <row r="896" spans="12:128">
      <c r="L896" s="2481">
        <v>133.12</v>
      </c>
      <c r="M896" s="340" t="s">
        <v>316</v>
      </c>
      <c r="N896" s="1390"/>
      <c r="O896" s="2479"/>
      <c r="P896" s="2282"/>
      <c r="AG896" s="2297">
        <v>100.17</v>
      </c>
      <c r="AH896" s="2297" t="s">
        <v>331</v>
      </c>
      <c r="AI896" s="1390"/>
      <c r="AJ896" s="2282"/>
      <c r="AK896" s="2282"/>
      <c r="AL896" s="1037"/>
      <c r="AX896" s="340">
        <v>116.11</v>
      </c>
      <c r="AY896" s="340" t="s">
        <v>316</v>
      </c>
      <c r="BN896" s="340">
        <v>89.11</v>
      </c>
      <c r="BO896" s="340" t="s">
        <v>331</v>
      </c>
      <c r="BP896" s="1385"/>
      <c r="BV896" s="236">
        <v>108.04</v>
      </c>
      <c r="BW896" s="236" t="s">
        <v>297</v>
      </c>
      <c r="CB896" s="340">
        <v>115.21</v>
      </c>
      <c r="CC896" s="340" t="s">
        <v>316</v>
      </c>
      <c r="CL896" s="338">
        <v>27.03</v>
      </c>
      <c r="CM896" s="338" t="s">
        <v>285</v>
      </c>
      <c r="CR896" s="340">
        <v>90.24</v>
      </c>
      <c r="CS896" s="340" t="s">
        <v>331</v>
      </c>
      <c r="CT896" s="1384"/>
      <c r="CZ896" s="1795">
        <v>3803</v>
      </c>
      <c r="DA896" s="338" t="s">
        <v>350</v>
      </c>
      <c r="DF896" s="340">
        <v>132.07</v>
      </c>
      <c r="DG896" s="340" t="s">
        <v>316</v>
      </c>
      <c r="DP896" s="236">
        <v>3818.02</v>
      </c>
      <c r="DQ896" s="236" t="s">
        <v>350</v>
      </c>
      <c r="DV896" s="340">
        <v>98.1</v>
      </c>
      <c r="DW896" s="340" t="s">
        <v>331</v>
      </c>
      <c r="DX896" s="1671"/>
    </row>
    <row r="897" spans="12:128">
      <c r="L897" s="2481">
        <v>133.13</v>
      </c>
      <c r="M897" s="340" t="s">
        <v>316</v>
      </c>
      <c r="N897" s="1390"/>
      <c r="O897" s="2479"/>
      <c r="P897" s="2282"/>
      <c r="AG897" s="2297">
        <v>100.21</v>
      </c>
      <c r="AH897" s="2297" t="s">
        <v>331</v>
      </c>
      <c r="AI897" s="1390"/>
      <c r="AJ897" s="2282"/>
      <c r="AK897" s="2282"/>
      <c r="AL897" s="1037"/>
      <c r="AX897" s="340">
        <v>116.12</v>
      </c>
      <c r="AY897" s="340" t="s">
        <v>316</v>
      </c>
      <c r="BN897" s="340">
        <v>90.1</v>
      </c>
      <c r="BO897" s="340" t="s">
        <v>331</v>
      </c>
      <c r="BP897" s="1385"/>
      <c r="BV897" s="236">
        <v>108.05</v>
      </c>
      <c r="BW897" s="236" t="s">
        <v>297</v>
      </c>
      <c r="CB897" s="340">
        <v>115.22</v>
      </c>
      <c r="CC897" s="340" t="s">
        <v>316</v>
      </c>
      <c r="CL897" s="236">
        <v>27.03</v>
      </c>
      <c r="CM897" s="236" t="s">
        <v>304</v>
      </c>
      <c r="CR897" s="340">
        <v>90.28</v>
      </c>
      <c r="CS897" s="340" t="s">
        <v>331</v>
      </c>
      <c r="CT897" s="1384"/>
      <c r="CZ897" s="1795">
        <v>3804</v>
      </c>
      <c r="DA897" s="338" t="s">
        <v>350</v>
      </c>
      <c r="DF897" s="340">
        <v>132.08000000000001</v>
      </c>
      <c r="DG897" s="340" t="s">
        <v>316</v>
      </c>
      <c r="DP897" s="236">
        <v>3820.1</v>
      </c>
      <c r="DQ897" s="236" t="s">
        <v>350</v>
      </c>
      <c r="DV897" s="340">
        <v>98.12</v>
      </c>
      <c r="DW897" s="340" t="s">
        <v>331</v>
      </c>
      <c r="DX897" s="1671"/>
    </row>
    <row r="898" spans="12:128">
      <c r="L898" s="2481">
        <v>133.13999999999999</v>
      </c>
      <c r="M898" s="340" t="s">
        <v>316</v>
      </c>
      <c r="N898" s="1390"/>
      <c r="O898" s="2479"/>
      <c r="P898" s="2282"/>
      <c r="AG898" s="2297">
        <v>100.25</v>
      </c>
      <c r="AH898" s="2297" t="s">
        <v>331</v>
      </c>
      <c r="AI898" s="1390"/>
      <c r="AJ898" s="2282"/>
      <c r="AK898" s="2282"/>
      <c r="AL898" s="1037"/>
      <c r="AX898" s="340">
        <v>116.15</v>
      </c>
      <c r="AY898" s="340" t="s">
        <v>316</v>
      </c>
      <c r="BN898" s="340">
        <v>90.14</v>
      </c>
      <c r="BO898" s="340" t="s">
        <v>331</v>
      </c>
      <c r="BP898" s="1385"/>
      <c r="BV898" s="236">
        <v>108.06</v>
      </c>
      <c r="BW898" s="236" t="s">
        <v>297</v>
      </c>
      <c r="CB898" s="340">
        <v>115.23</v>
      </c>
      <c r="CC898" s="340" t="s">
        <v>316</v>
      </c>
      <c r="CL898" s="236">
        <v>27.03</v>
      </c>
      <c r="CM898" s="236" t="s">
        <v>329</v>
      </c>
      <c r="CR898" s="340">
        <v>90.29</v>
      </c>
      <c r="CS898" s="340" t="s">
        <v>331</v>
      </c>
      <c r="CT898" s="1384"/>
      <c r="CZ898" s="1795">
        <v>3805</v>
      </c>
      <c r="DA898" s="338" t="s">
        <v>350</v>
      </c>
      <c r="DF898" s="340">
        <v>133.05000000000001</v>
      </c>
      <c r="DG898" s="340" t="s">
        <v>316</v>
      </c>
      <c r="DP898" s="236">
        <v>4508</v>
      </c>
      <c r="DQ898" s="236" t="s">
        <v>295</v>
      </c>
      <c r="DV898" s="340">
        <v>100.12</v>
      </c>
      <c r="DW898" s="340" t="s">
        <v>331</v>
      </c>
      <c r="DX898" s="1671"/>
    </row>
    <row r="899" spans="12:128">
      <c r="L899" s="2481">
        <v>133.15</v>
      </c>
      <c r="M899" s="340" t="s">
        <v>316</v>
      </c>
      <c r="N899" s="1390"/>
      <c r="O899" s="2479"/>
      <c r="P899" s="2282"/>
      <c r="AG899" s="2297">
        <v>101</v>
      </c>
      <c r="AH899" s="2297" t="s">
        <v>292</v>
      </c>
      <c r="AI899" s="1390"/>
      <c r="AJ899" s="2282"/>
      <c r="AK899" s="2282"/>
      <c r="AL899" s="1037"/>
      <c r="AX899" s="340">
        <v>116.16</v>
      </c>
      <c r="AY899" s="340" t="s">
        <v>316</v>
      </c>
      <c r="BN899" s="340">
        <v>90.15</v>
      </c>
      <c r="BO899" s="340" t="s">
        <v>331</v>
      </c>
      <c r="BP899" s="1385"/>
      <c r="BV899" s="236">
        <v>108.07</v>
      </c>
      <c r="BW899" s="236" t="s">
        <v>297</v>
      </c>
      <c r="CB899" s="340">
        <v>115.24</v>
      </c>
      <c r="CC899" s="340" t="s">
        <v>316</v>
      </c>
      <c r="CL899" s="236">
        <v>27.03</v>
      </c>
      <c r="CM899" s="236" t="s">
        <v>340</v>
      </c>
      <c r="CR899" s="340">
        <v>90.3</v>
      </c>
      <c r="CS899" s="340" t="s">
        <v>331</v>
      </c>
      <c r="CT899" s="1384"/>
      <c r="CZ899" s="1795">
        <v>3806</v>
      </c>
      <c r="DA899" s="338" t="s">
        <v>350</v>
      </c>
      <c r="DF899" s="340">
        <v>133.1</v>
      </c>
      <c r="DG899" s="340" t="s">
        <v>316</v>
      </c>
      <c r="DP899" s="236">
        <v>4516.05</v>
      </c>
      <c r="DQ899" s="236" t="s">
        <v>295</v>
      </c>
      <c r="DV899" s="340">
        <v>100.13</v>
      </c>
      <c r="DW899" s="340" t="s">
        <v>331</v>
      </c>
      <c r="DX899" s="1671"/>
    </row>
    <row r="900" spans="12:128">
      <c r="L900" s="2481">
        <v>133.19</v>
      </c>
      <c r="M900" s="340" t="s">
        <v>316</v>
      </c>
      <c r="N900" s="1390"/>
      <c r="O900" s="2479"/>
      <c r="P900" s="2282"/>
      <c r="AG900" s="2297">
        <v>101.01</v>
      </c>
      <c r="AH900" s="2297" t="s">
        <v>300</v>
      </c>
      <c r="AI900" s="1390"/>
      <c r="AJ900" s="2282"/>
      <c r="AK900" s="2282"/>
      <c r="AL900" s="1037"/>
      <c r="AX900" s="340">
        <v>116.17</v>
      </c>
      <c r="AY900" s="340" t="s">
        <v>316</v>
      </c>
      <c r="BN900" s="340">
        <v>90.22</v>
      </c>
      <c r="BO900" s="340" t="s">
        <v>331</v>
      </c>
      <c r="BP900" s="1385"/>
      <c r="BV900" s="236">
        <v>108.08</v>
      </c>
      <c r="BW900" s="236" t="s">
        <v>297</v>
      </c>
      <c r="CB900" s="340">
        <v>115.25</v>
      </c>
      <c r="CC900" s="340" t="s">
        <v>316</v>
      </c>
      <c r="CL900" s="236">
        <v>27.04</v>
      </c>
      <c r="CM900" s="236" t="s">
        <v>304</v>
      </c>
      <c r="CR900" s="340">
        <v>90.31</v>
      </c>
      <c r="CS900" s="340" t="s">
        <v>331</v>
      </c>
      <c r="CT900" s="1384"/>
      <c r="CZ900" s="1795">
        <v>3809.02</v>
      </c>
      <c r="DA900" s="338" t="s">
        <v>350</v>
      </c>
      <c r="DF900" s="340">
        <v>133.12</v>
      </c>
      <c r="DG900" s="340" t="s">
        <v>316</v>
      </c>
      <c r="DP900" s="236">
        <v>9103</v>
      </c>
      <c r="DQ900" s="236" t="s">
        <v>337</v>
      </c>
      <c r="DV900" s="340">
        <v>100.16</v>
      </c>
      <c r="DW900" s="340" t="s">
        <v>331</v>
      </c>
      <c r="DX900" s="1671"/>
    </row>
    <row r="901" spans="12:128">
      <c r="L901" s="2481">
        <v>133.19999999999999</v>
      </c>
      <c r="M901" s="340" t="s">
        <v>316</v>
      </c>
      <c r="N901" s="1390"/>
      <c r="O901" s="2479"/>
      <c r="P901" s="2282"/>
      <c r="AG901" s="2297">
        <v>101.01</v>
      </c>
      <c r="AH901" s="2297" t="s">
        <v>302</v>
      </c>
      <c r="AI901" s="1390"/>
      <c r="AJ901" s="2282"/>
      <c r="AK901" s="2282"/>
      <c r="AL901" s="1037"/>
      <c r="AX901" s="340">
        <v>117.08</v>
      </c>
      <c r="AY901" s="340" t="s">
        <v>316</v>
      </c>
      <c r="BN901" s="340">
        <v>90.24</v>
      </c>
      <c r="BO901" s="340" t="s">
        <v>331</v>
      </c>
      <c r="BP901" s="1385"/>
      <c r="BV901" s="236">
        <v>109.02</v>
      </c>
      <c r="BW901" s="236" t="s">
        <v>297</v>
      </c>
      <c r="CB901" s="340">
        <v>115.26</v>
      </c>
      <c r="CC901" s="340" t="s">
        <v>316</v>
      </c>
      <c r="CL901" s="236">
        <v>27.04</v>
      </c>
      <c r="CM901" s="236" t="s">
        <v>329</v>
      </c>
      <c r="CR901" s="340">
        <v>90.39</v>
      </c>
      <c r="CS901" s="340" t="s">
        <v>331</v>
      </c>
      <c r="CT901" s="1384"/>
      <c r="CZ901" s="1795">
        <v>3814.01</v>
      </c>
      <c r="DA901" s="338" t="s">
        <v>350</v>
      </c>
      <c r="DF901" s="340">
        <v>133.13</v>
      </c>
      <c r="DG901" s="340" t="s">
        <v>316</v>
      </c>
      <c r="DP901" s="236">
        <v>9104.01</v>
      </c>
      <c r="DQ901" s="236" t="s">
        <v>351</v>
      </c>
      <c r="DV901" s="340">
        <v>100.17</v>
      </c>
      <c r="DW901" s="340" t="s">
        <v>331</v>
      </c>
      <c r="DX901" s="1671"/>
    </row>
    <row r="902" spans="12:128">
      <c r="L902" s="2481">
        <v>133.22</v>
      </c>
      <c r="M902" s="340" t="s">
        <v>316</v>
      </c>
      <c r="N902" s="1390"/>
      <c r="O902" s="2479"/>
      <c r="P902" s="2282"/>
      <c r="AG902" s="2297">
        <v>101.02</v>
      </c>
      <c r="AH902" s="2297" t="s">
        <v>289</v>
      </c>
      <c r="AI902" s="1390"/>
      <c r="AJ902" s="2282"/>
      <c r="AK902" s="2282"/>
      <c r="AL902" s="1037"/>
      <c r="AX902" s="340">
        <v>117.12</v>
      </c>
      <c r="AY902" s="340" t="s">
        <v>316</v>
      </c>
      <c r="BN902" s="340">
        <v>90.28</v>
      </c>
      <c r="BO902" s="340" t="s">
        <v>331</v>
      </c>
      <c r="BP902" s="1385"/>
      <c r="BV902" s="236">
        <v>109.04</v>
      </c>
      <c r="BW902" s="236" t="s">
        <v>297</v>
      </c>
      <c r="CB902" s="340">
        <v>115.27</v>
      </c>
      <c r="CC902" s="340" t="s">
        <v>316</v>
      </c>
      <c r="CL902" s="236">
        <v>27.05</v>
      </c>
      <c r="CM902" s="236" t="s">
        <v>329</v>
      </c>
      <c r="CR902" s="340">
        <v>90.4</v>
      </c>
      <c r="CS902" s="340" t="s">
        <v>331</v>
      </c>
      <c r="CT902" s="1384"/>
      <c r="CZ902" s="1795">
        <v>3815.04</v>
      </c>
      <c r="DA902" s="338" t="s">
        <v>350</v>
      </c>
      <c r="DF902" s="340">
        <v>133.15</v>
      </c>
      <c r="DG902" s="340" t="s">
        <v>316</v>
      </c>
      <c r="DP902" s="236">
        <v>9104.02</v>
      </c>
      <c r="DQ902" s="236" t="s">
        <v>337</v>
      </c>
      <c r="DV902" s="340">
        <v>100.25</v>
      </c>
      <c r="DW902" s="340" t="s">
        <v>331</v>
      </c>
      <c r="DX902" s="1671"/>
    </row>
    <row r="903" spans="12:128">
      <c r="L903" s="2481">
        <v>133.22999999999999</v>
      </c>
      <c r="M903" s="340" t="s">
        <v>316</v>
      </c>
      <c r="N903" s="1390"/>
      <c r="O903" s="2479"/>
      <c r="P903" s="2282"/>
      <c r="AG903" s="2297">
        <v>101.02</v>
      </c>
      <c r="AH903" s="2297" t="s">
        <v>297</v>
      </c>
      <c r="AI903" s="1390"/>
      <c r="AJ903" s="2282"/>
      <c r="AK903" s="2282"/>
      <c r="AL903" s="1037"/>
      <c r="AX903" s="340">
        <v>117.13</v>
      </c>
      <c r="AY903" s="340" t="s">
        <v>316</v>
      </c>
      <c r="BN903" s="340">
        <v>90.29</v>
      </c>
      <c r="BO903" s="340" t="s">
        <v>331</v>
      </c>
      <c r="BP903" s="1385"/>
      <c r="BV903" s="236">
        <v>109.05</v>
      </c>
      <c r="BW903" s="236" t="s">
        <v>297</v>
      </c>
      <c r="CB903" s="340">
        <v>115.28</v>
      </c>
      <c r="CC903" s="340" t="s">
        <v>316</v>
      </c>
      <c r="CL903" s="236">
        <v>27.05</v>
      </c>
      <c r="CM903" s="236" t="s">
        <v>331</v>
      </c>
      <c r="CR903" s="340">
        <v>90.43</v>
      </c>
      <c r="CS903" s="340" t="s">
        <v>331</v>
      </c>
      <c r="CT903" s="1384"/>
      <c r="CZ903" s="1795">
        <v>3816.05</v>
      </c>
      <c r="DA903" s="338" t="s">
        <v>350</v>
      </c>
      <c r="DF903" s="340">
        <v>133.16999999999999</v>
      </c>
      <c r="DG903" s="340" t="s">
        <v>316</v>
      </c>
      <c r="DP903" s="236">
        <v>9113.01</v>
      </c>
      <c r="DQ903" s="236" t="s">
        <v>351</v>
      </c>
      <c r="DV903" s="340">
        <v>101</v>
      </c>
      <c r="DW903" s="340" t="s">
        <v>292</v>
      </c>
      <c r="DX903" s="1671"/>
    </row>
    <row r="904" spans="12:128">
      <c r="L904" s="2481">
        <v>134.07</v>
      </c>
      <c r="M904" s="340" t="s">
        <v>316</v>
      </c>
      <c r="N904" s="1390"/>
      <c r="O904" s="2479"/>
      <c r="P904" s="2282"/>
      <c r="AG904" s="2297">
        <v>101.03</v>
      </c>
      <c r="AH904" s="2297" t="s">
        <v>289</v>
      </c>
      <c r="AI904" s="1390"/>
      <c r="AJ904" s="2282"/>
      <c r="AK904" s="2282"/>
      <c r="AL904" s="1037"/>
      <c r="AX904" s="340">
        <v>117.14</v>
      </c>
      <c r="AY904" s="340" t="s">
        <v>316</v>
      </c>
      <c r="BN904" s="340">
        <v>90.3</v>
      </c>
      <c r="BO904" s="340" t="s">
        <v>331</v>
      </c>
      <c r="BP904" s="1385"/>
      <c r="BV904" s="236">
        <v>109.06</v>
      </c>
      <c r="BW904" s="236" t="s">
        <v>297</v>
      </c>
      <c r="CB904" s="340">
        <v>116.03</v>
      </c>
      <c r="CC904" s="340" t="s">
        <v>316</v>
      </c>
      <c r="CL904" s="338">
        <v>27.06</v>
      </c>
      <c r="CM904" s="338" t="s">
        <v>285</v>
      </c>
      <c r="CR904" s="340">
        <v>90.44</v>
      </c>
      <c r="CS904" s="340" t="s">
        <v>331</v>
      </c>
      <c r="CT904" s="1384"/>
      <c r="CZ904" s="1795">
        <v>3818.02</v>
      </c>
      <c r="DA904" s="338" t="s">
        <v>350</v>
      </c>
      <c r="DF904" s="340">
        <v>133.19</v>
      </c>
      <c r="DG904" s="340" t="s">
        <v>316</v>
      </c>
      <c r="DP904" s="236">
        <v>9502.01</v>
      </c>
      <c r="DQ904" s="236" t="s">
        <v>345</v>
      </c>
      <c r="DV904" s="340">
        <v>101.01</v>
      </c>
      <c r="DW904" s="340" t="s">
        <v>300</v>
      </c>
      <c r="DX904" s="1671"/>
    </row>
    <row r="905" spans="12:128">
      <c r="L905" s="2481">
        <v>134.09</v>
      </c>
      <c r="M905" s="340" t="s">
        <v>316</v>
      </c>
      <c r="N905" s="1390"/>
      <c r="O905" s="2479"/>
      <c r="P905" s="2282"/>
      <c r="AG905" s="2297">
        <v>101.04</v>
      </c>
      <c r="AH905" s="2297" t="s">
        <v>289</v>
      </c>
      <c r="AI905" s="1390"/>
      <c r="AJ905" s="2282"/>
      <c r="AK905" s="2282"/>
      <c r="AL905" s="1037"/>
      <c r="AX905" s="340">
        <v>117.16</v>
      </c>
      <c r="AY905" s="340" t="s">
        <v>316</v>
      </c>
      <c r="BN905" s="340">
        <v>90.31</v>
      </c>
      <c r="BO905" s="340" t="s">
        <v>331</v>
      </c>
      <c r="BP905" s="1385"/>
      <c r="BV905" s="236">
        <v>109.07</v>
      </c>
      <c r="BW905" s="236" t="s">
        <v>297</v>
      </c>
      <c r="CB905" s="340">
        <v>116.12</v>
      </c>
      <c r="CC905" s="340" t="s">
        <v>316</v>
      </c>
      <c r="CL905" s="236">
        <v>27.06</v>
      </c>
      <c r="CM905" s="236" t="s">
        <v>329</v>
      </c>
      <c r="CR905" s="340">
        <v>90.48</v>
      </c>
      <c r="CS905" s="340" t="s">
        <v>331</v>
      </c>
      <c r="CT905" s="1384"/>
      <c r="CZ905" s="1795">
        <v>3820.1</v>
      </c>
      <c r="DA905" s="338" t="s">
        <v>350</v>
      </c>
      <c r="DF905" s="340">
        <v>133.19999999999999</v>
      </c>
      <c r="DG905" s="340" t="s">
        <v>316</v>
      </c>
      <c r="DP905" s="236">
        <v>9502.02</v>
      </c>
      <c r="DQ905" s="236" t="s">
        <v>326</v>
      </c>
      <c r="DV905" s="340">
        <v>101.01</v>
      </c>
      <c r="DW905" s="340" t="s">
        <v>302</v>
      </c>
      <c r="DX905" s="1671"/>
    </row>
    <row r="906" spans="12:128">
      <c r="L906" s="2481">
        <v>134.1</v>
      </c>
      <c r="M906" s="340" t="s">
        <v>316</v>
      </c>
      <c r="N906" s="1390"/>
      <c r="O906" s="2479"/>
      <c r="P906" s="2282"/>
      <c r="AG906" s="2297">
        <v>101.04</v>
      </c>
      <c r="AH906" s="2297" t="s">
        <v>302</v>
      </c>
      <c r="AI906" s="1390"/>
      <c r="AJ906" s="2282"/>
      <c r="AK906" s="2282"/>
      <c r="AL906" s="1037"/>
      <c r="AX906" s="340">
        <v>119.07</v>
      </c>
      <c r="AY906" s="340" t="s">
        <v>316</v>
      </c>
      <c r="BN906" s="340">
        <v>90.39</v>
      </c>
      <c r="BO906" s="340" t="s">
        <v>331</v>
      </c>
      <c r="BP906" s="1385"/>
      <c r="BV906" s="236">
        <v>110.03</v>
      </c>
      <c r="BW906" s="236" t="s">
        <v>297</v>
      </c>
      <c r="CB906" s="340">
        <v>116.15</v>
      </c>
      <c r="CC906" s="340" t="s">
        <v>316</v>
      </c>
      <c r="CL906" s="338">
        <v>27.07</v>
      </c>
      <c r="CM906" s="338" t="s">
        <v>285</v>
      </c>
      <c r="CR906" s="340">
        <v>90.49</v>
      </c>
      <c r="CS906" s="340" t="s">
        <v>331</v>
      </c>
      <c r="CT906" s="1384"/>
      <c r="CZ906" s="1795">
        <v>9104.01</v>
      </c>
      <c r="DA906" s="338" t="s">
        <v>351</v>
      </c>
      <c r="DF906" s="340">
        <v>133.22</v>
      </c>
      <c r="DG906" s="340" t="s">
        <v>316</v>
      </c>
      <c r="DP906" s="236">
        <v>9502.02</v>
      </c>
      <c r="DQ906" s="236" t="s">
        <v>345</v>
      </c>
      <c r="DV906" s="340">
        <v>101.01</v>
      </c>
      <c r="DW906" s="340" t="s">
        <v>356</v>
      </c>
      <c r="DX906" s="1671"/>
    </row>
    <row r="907" spans="12:128">
      <c r="L907" s="2481">
        <v>134.12</v>
      </c>
      <c r="M907" s="340" t="s">
        <v>316</v>
      </c>
      <c r="N907" s="1390"/>
      <c r="O907" s="2479"/>
      <c r="P907" s="2282"/>
      <c r="AG907" s="2297">
        <v>101.04</v>
      </c>
      <c r="AH907" s="2297" t="s">
        <v>323</v>
      </c>
      <c r="AI907" s="1390"/>
      <c r="AJ907" s="2282"/>
      <c r="AK907" s="2282"/>
      <c r="AL907" s="1037"/>
      <c r="AX907" s="340">
        <v>121.06</v>
      </c>
      <c r="AY907" s="340" t="s">
        <v>316</v>
      </c>
      <c r="BN907" s="340">
        <v>90.4</v>
      </c>
      <c r="BO907" s="340" t="s">
        <v>331</v>
      </c>
      <c r="BP907" s="1385"/>
      <c r="BV907" s="236">
        <v>111.03</v>
      </c>
      <c r="BW907" s="236" t="s">
        <v>297</v>
      </c>
      <c r="CB907" s="340">
        <v>116.17</v>
      </c>
      <c r="CC907" s="340" t="s">
        <v>316</v>
      </c>
      <c r="CL907" s="236">
        <v>27.07</v>
      </c>
      <c r="CM907" s="236" t="s">
        <v>331</v>
      </c>
      <c r="CR907" s="340">
        <v>90.5</v>
      </c>
      <c r="CS907" s="340" t="s">
        <v>331</v>
      </c>
      <c r="CT907" s="1384"/>
      <c r="CZ907" s="1795">
        <v>9113.01</v>
      </c>
      <c r="DA907" s="338" t="s">
        <v>351</v>
      </c>
      <c r="DF907" s="340">
        <v>133.22999999999999</v>
      </c>
      <c r="DG907" s="340" t="s">
        <v>316</v>
      </c>
      <c r="DP907" s="236">
        <v>9503.0400000000009</v>
      </c>
      <c r="DQ907" s="236" t="s">
        <v>357</v>
      </c>
      <c r="DV907" s="340">
        <v>101.02</v>
      </c>
      <c r="DW907" s="340" t="s">
        <v>289</v>
      </c>
      <c r="DX907" s="1671"/>
    </row>
    <row r="908" spans="12:128">
      <c r="L908" s="2481">
        <v>134.13</v>
      </c>
      <c r="M908" s="340" t="s">
        <v>316</v>
      </c>
      <c r="N908" s="1390"/>
      <c r="O908" s="2479"/>
      <c r="P908" s="2282"/>
      <c r="AG908" s="2297">
        <v>101.05</v>
      </c>
      <c r="AH908" s="2297" t="s">
        <v>302</v>
      </c>
      <c r="AI908" s="1390"/>
      <c r="AJ908" s="2282"/>
      <c r="AK908" s="2282"/>
      <c r="AL908" s="1037"/>
      <c r="AX908" s="340">
        <v>121.08</v>
      </c>
      <c r="AY908" s="340" t="s">
        <v>316</v>
      </c>
      <c r="BN908" s="340">
        <v>90.43</v>
      </c>
      <c r="BO908" s="340" t="s">
        <v>331</v>
      </c>
      <c r="BP908" s="1385"/>
      <c r="BV908" s="236">
        <v>111.07</v>
      </c>
      <c r="BW908" s="236" t="s">
        <v>297</v>
      </c>
      <c r="CB908" s="340">
        <v>117.08</v>
      </c>
      <c r="CC908" s="340" t="s">
        <v>316</v>
      </c>
      <c r="CL908" s="338">
        <v>27.08</v>
      </c>
      <c r="CM908" s="338" t="s">
        <v>285</v>
      </c>
      <c r="CR908" s="340">
        <v>90.51</v>
      </c>
      <c r="CS908" s="340" t="s">
        <v>331</v>
      </c>
      <c r="CT908" s="1384"/>
      <c r="CZ908" s="1795">
        <v>806</v>
      </c>
      <c r="DA908" s="338" t="s">
        <v>355</v>
      </c>
      <c r="DF908" s="340">
        <v>134.07</v>
      </c>
      <c r="DG908" s="340" t="s">
        <v>316</v>
      </c>
      <c r="DP908" s="236">
        <v>9503.0499999999993</v>
      </c>
      <c r="DQ908" s="236" t="s">
        <v>357</v>
      </c>
      <c r="DV908" s="340">
        <v>101.02</v>
      </c>
      <c r="DW908" s="340" t="s">
        <v>297</v>
      </c>
      <c r="DX908" s="1671"/>
    </row>
    <row r="909" spans="12:128">
      <c r="L909" s="2481">
        <v>134.13999999999999</v>
      </c>
      <c r="M909" s="340" t="s">
        <v>316</v>
      </c>
      <c r="N909" s="1390"/>
      <c r="O909" s="2479"/>
      <c r="P909" s="2282"/>
      <c r="AG909" s="2297">
        <v>101.05</v>
      </c>
      <c r="AH909" s="2297" t="s">
        <v>316</v>
      </c>
      <c r="AI909" s="1390"/>
      <c r="AJ909" s="2282"/>
      <c r="AK909" s="2282"/>
      <c r="AL909" s="1037"/>
      <c r="AX909" s="340">
        <v>122.08</v>
      </c>
      <c r="AY909" s="340" t="s">
        <v>316</v>
      </c>
      <c r="BN909" s="340">
        <v>90.44</v>
      </c>
      <c r="BO909" s="340" t="s">
        <v>331</v>
      </c>
      <c r="BP909" s="1385"/>
      <c r="BV909" s="236">
        <v>111.08</v>
      </c>
      <c r="BW909" s="236" t="s">
        <v>297</v>
      </c>
      <c r="CB909" s="340">
        <v>117.12</v>
      </c>
      <c r="CC909" s="340" t="s">
        <v>316</v>
      </c>
      <c r="CL909" s="236">
        <v>27.08</v>
      </c>
      <c r="CM909" s="236" t="s">
        <v>331</v>
      </c>
      <c r="CR909" s="340">
        <v>90.53</v>
      </c>
      <c r="CS909" s="340" t="s">
        <v>331</v>
      </c>
      <c r="CT909" s="1384"/>
      <c r="CZ909" s="1795">
        <v>809.02</v>
      </c>
      <c r="DA909" s="338" t="s">
        <v>355</v>
      </c>
      <c r="DF909" s="340">
        <v>134.09</v>
      </c>
      <c r="DG909" s="340" t="s">
        <v>316</v>
      </c>
      <c r="DP909" s="236">
        <v>9507</v>
      </c>
      <c r="DQ909" s="236" t="s">
        <v>345</v>
      </c>
      <c r="DV909" s="340">
        <v>101.03</v>
      </c>
      <c r="DW909" s="340" t="s">
        <v>289</v>
      </c>
      <c r="DX909" s="1671"/>
    </row>
    <row r="910" spans="12:128">
      <c r="L910" s="2481">
        <v>134.15</v>
      </c>
      <c r="M910" s="340" t="s">
        <v>316</v>
      </c>
      <c r="N910" s="1390"/>
      <c r="O910" s="2479"/>
      <c r="P910" s="2282"/>
      <c r="AG910" s="2297">
        <v>101.06</v>
      </c>
      <c r="AH910" s="2297" t="s">
        <v>302</v>
      </c>
      <c r="AI910" s="1390"/>
      <c r="AJ910" s="2282"/>
      <c r="AK910" s="2282"/>
      <c r="AL910" s="1037"/>
      <c r="AX910" s="340">
        <v>122.09</v>
      </c>
      <c r="AY910" s="340" t="s">
        <v>316</v>
      </c>
      <c r="BN910" s="340">
        <v>90.48</v>
      </c>
      <c r="BO910" s="340" t="s">
        <v>331</v>
      </c>
      <c r="BP910" s="1385"/>
      <c r="BV910" s="236">
        <v>111.09</v>
      </c>
      <c r="BW910" s="236" t="s">
        <v>297</v>
      </c>
      <c r="CB910" s="340">
        <v>117.13</v>
      </c>
      <c r="CC910" s="340" t="s">
        <v>316</v>
      </c>
      <c r="CL910" s="338">
        <v>27.09</v>
      </c>
      <c r="CM910" s="338" t="s">
        <v>285</v>
      </c>
      <c r="CR910" s="340">
        <v>90.54</v>
      </c>
      <c r="CS910" s="340" t="s">
        <v>331</v>
      </c>
      <c r="CT910" s="1384"/>
      <c r="CZ910" s="1795">
        <v>810.01</v>
      </c>
      <c r="DA910" s="338" t="s">
        <v>355</v>
      </c>
      <c r="DF910" s="340">
        <v>134.1</v>
      </c>
      <c r="DG910" s="340" t="s">
        <v>316</v>
      </c>
      <c r="DP910" s="236">
        <v>9508</v>
      </c>
      <c r="DQ910" s="236" t="s">
        <v>345</v>
      </c>
      <c r="DV910" s="340">
        <v>101.04</v>
      </c>
      <c r="DW910" s="340" t="s">
        <v>289</v>
      </c>
      <c r="DX910" s="1671"/>
    </row>
    <row r="911" spans="12:128">
      <c r="L911" s="2481">
        <v>137.02000000000001</v>
      </c>
      <c r="M911" s="340" t="s">
        <v>316</v>
      </c>
      <c r="N911" s="1390"/>
      <c r="O911" s="2479"/>
      <c r="P911" s="2282"/>
      <c r="AG911" s="2297">
        <v>101.06</v>
      </c>
      <c r="AH911" s="2297" t="s">
        <v>316</v>
      </c>
      <c r="AI911" s="1390"/>
      <c r="AJ911" s="2282"/>
      <c r="AK911" s="2282"/>
      <c r="AL911" s="1037"/>
      <c r="AX911" s="340">
        <v>122.1</v>
      </c>
      <c r="AY911" s="340" t="s">
        <v>316</v>
      </c>
      <c r="BN911" s="340">
        <v>90.49</v>
      </c>
      <c r="BO911" s="340" t="s">
        <v>331</v>
      </c>
      <c r="BP911" s="1385"/>
      <c r="BV911" s="236">
        <v>111.1</v>
      </c>
      <c r="BW911" s="236" t="s">
        <v>297</v>
      </c>
      <c r="CB911" s="340">
        <v>117.14</v>
      </c>
      <c r="CC911" s="340" t="s">
        <v>316</v>
      </c>
      <c r="CL911" s="236">
        <v>27.09</v>
      </c>
      <c r="CM911" s="236" t="s">
        <v>331</v>
      </c>
      <c r="CR911" s="340">
        <v>90.56</v>
      </c>
      <c r="CS911" s="340" t="s">
        <v>331</v>
      </c>
      <c r="CT911" s="1384"/>
      <c r="CZ911" s="1795">
        <v>812.02</v>
      </c>
      <c r="DA911" s="338" t="s">
        <v>355</v>
      </c>
      <c r="DF911" s="340">
        <v>134.12</v>
      </c>
      <c r="DG911" s="340" t="s">
        <v>316</v>
      </c>
      <c r="DP911" s="236">
        <v>9509</v>
      </c>
      <c r="DQ911" s="236" t="s">
        <v>345</v>
      </c>
      <c r="DV911" s="340">
        <v>101.04</v>
      </c>
      <c r="DW911" s="340" t="s">
        <v>302</v>
      </c>
      <c r="DX911" s="1671"/>
    </row>
    <row r="912" spans="12:128">
      <c r="L912" s="2481">
        <v>137.03</v>
      </c>
      <c r="M912" s="340" t="s">
        <v>316</v>
      </c>
      <c r="N912" s="1390"/>
      <c r="O912" s="2479"/>
      <c r="P912" s="2282"/>
      <c r="AG912" s="2297">
        <v>101.06</v>
      </c>
      <c r="AH912" s="2297" t="s">
        <v>323</v>
      </c>
      <c r="AI912" s="1390"/>
      <c r="AJ912" s="2282"/>
      <c r="AK912" s="2282"/>
      <c r="AL912" s="1037"/>
      <c r="AX912" s="340">
        <v>122.12</v>
      </c>
      <c r="AY912" s="340" t="s">
        <v>316</v>
      </c>
      <c r="BN912" s="340">
        <v>90.5</v>
      </c>
      <c r="BO912" s="340" t="s">
        <v>331</v>
      </c>
      <c r="BP912" s="1385"/>
      <c r="BV912" s="236">
        <v>111.11</v>
      </c>
      <c r="BW912" s="236" t="s">
        <v>297</v>
      </c>
      <c r="CB912" s="340">
        <v>117.16</v>
      </c>
      <c r="CC912" s="340" t="s">
        <v>316</v>
      </c>
      <c r="CL912" s="338">
        <v>27.1</v>
      </c>
      <c r="CM912" s="338" t="s">
        <v>285</v>
      </c>
      <c r="CR912" s="340">
        <v>90.57</v>
      </c>
      <c r="CS912" s="340" t="s">
        <v>331</v>
      </c>
      <c r="CT912" s="1384"/>
      <c r="CZ912" s="1795">
        <v>815</v>
      </c>
      <c r="DA912" s="338" t="s">
        <v>355</v>
      </c>
      <c r="DF912" s="340">
        <v>134.13</v>
      </c>
      <c r="DG912" s="340" t="s">
        <v>316</v>
      </c>
      <c r="DP912" s="236">
        <v>9512</v>
      </c>
      <c r="DQ912" s="236" t="s">
        <v>345</v>
      </c>
      <c r="DV912" s="340">
        <v>101.04</v>
      </c>
      <c r="DW912" s="340" t="s">
        <v>323</v>
      </c>
      <c r="DX912" s="1671"/>
    </row>
    <row r="913" spans="12:128">
      <c r="L913" s="2481">
        <v>137.05000000000001</v>
      </c>
      <c r="M913" s="340" t="s">
        <v>316</v>
      </c>
      <c r="N913" s="1390"/>
      <c r="O913" s="2479"/>
      <c r="P913" s="2282"/>
      <c r="AG913" s="2297">
        <v>101.07</v>
      </c>
      <c r="AH913" s="2297" t="s">
        <v>297</v>
      </c>
      <c r="AI913" s="1390"/>
      <c r="AJ913" s="2282"/>
      <c r="AK913" s="2282"/>
      <c r="AL913" s="1037"/>
      <c r="AX913" s="340">
        <v>122.13</v>
      </c>
      <c r="AY913" s="340" t="s">
        <v>316</v>
      </c>
      <c r="BN913" s="340">
        <v>90.53</v>
      </c>
      <c r="BO913" s="340" t="s">
        <v>331</v>
      </c>
      <c r="BP913" s="1385"/>
      <c r="BV913" s="236">
        <v>111.12</v>
      </c>
      <c r="BW913" s="236" t="s">
        <v>297</v>
      </c>
      <c r="CB913" s="340">
        <v>119.07</v>
      </c>
      <c r="CC913" s="340" t="s">
        <v>316</v>
      </c>
      <c r="CL913" s="236">
        <v>27.1</v>
      </c>
      <c r="CM913" s="236" t="s">
        <v>331</v>
      </c>
      <c r="CR913" s="340">
        <v>90.58</v>
      </c>
      <c r="CS913" s="340" t="s">
        <v>331</v>
      </c>
      <c r="CT913" s="1384"/>
      <c r="CZ913" s="1795">
        <v>816</v>
      </c>
      <c r="DA913" s="338" t="s">
        <v>355</v>
      </c>
      <c r="DF913" s="340">
        <v>134.13999999999999</v>
      </c>
      <c r="DG913" s="340" t="s">
        <v>316</v>
      </c>
      <c r="DP913" s="236">
        <v>9514.01</v>
      </c>
      <c r="DQ913" s="236" t="s">
        <v>345</v>
      </c>
      <c r="DV913" s="340">
        <v>101.05</v>
      </c>
      <c r="DW913" s="340" t="s">
        <v>302</v>
      </c>
      <c r="DX913" s="1671"/>
    </row>
    <row r="914" spans="12:128">
      <c r="L914" s="2481">
        <v>138.02000000000001</v>
      </c>
      <c r="M914" s="340" t="s">
        <v>316</v>
      </c>
      <c r="N914" s="1390"/>
      <c r="O914" s="2479"/>
      <c r="P914" s="2282"/>
      <c r="AG914" s="2297">
        <v>101.07</v>
      </c>
      <c r="AH914" s="2297" t="s">
        <v>323</v>
      </c>
      <c r="AI914" s="1390"/>
      <c r="AJ914" s="2282"/>
      <c r="AK914" s="2282"/>
      <c r="AL914" s="1037"/>
      <c r="AX914" s="340">
        <v>123.01</v>
      </c>
      <c r="AY914" s="340" t="s">
        <v>316</v>
      </c>
      <c r="BN914" s="340">
        <v>90.54</v>
      </c>
      <c r="BO914" s="340" t="s">
        <v>331</v>
      </c>
      <c r="BP914" s="1385"/>
      <c r="BV914" s="236">
        <v>111.13</v>
      </c>
      <c r="BW914" s="236" t="s">
        <v>297</v>
      </c>
      <c r="CB914" s="340">
        <v>121.06</v>
      </c>
      <c r="CC914" s="340" t="s">
        <v>316</v>
      </c>
      <c r="CL914" s="236">
        <v>27.1</v>
      </c>
      <c r="CM914" s="236" t="s">
        <v>347</v>
      </c>
      <c r="CR914" s="340">
        <v>90.59</v>
      </c>
      <c r="CS914" s="340" t="s">
        <v>331</v>
      </c>
      <c r="CT914" s="1384"/>
      <c r="CZ914" s="1795">
        <v>818</v>
      </c>
      <c r="DA914" s="338" t="s">
        <v>355</v>
      </c>
      <c r="DF914" s="340">
        <v>134.15</v>
      </c>
      <c r="DG914" s="340" t="s">
        <v>316</v>
      </c>
      <c r="DP914" s="236">
        <v>9601.0499999999993</v>
      </c>
      <c r="DQ914" s="236" t="s">
        <v>315</v>
      </c>
      <c r="DV914" s="340">
        <v>101.06</v>
      </c>
      <c r="DW914" s="340" t="s">
        <v>302</v>
      </c>
      <c r="DX914" s="1671"/>
    </row>
    <row r="915" spans="12:128">
      <c r="L915" s="2481">
        <v>138.06</v>
      </c>
      <c r="M915" s="340" t="s">
        <v>316</v>
      </c>
      <c r="N915" s="1390"/>
      <c r="O915" s="2479"/>
      <c r="P915" s="2282"/>
      <c r="AG915" s="2297">
        <v>101.08</v>
      </c>
      <c r="AH915" s="2297" t="s">
        <v>297</v>
      </c>
      <c r="AI915" s="1390"/>
      <c r="AJ915" s="2282"/>
      <c r="AK915" s="2282"/>
      <c r="AL915" s="1037"/>
      <c r="AX915" s="340">
        <v>123.03</v>
      </c>
      <c r="AY915" s="340" t="s">
        <v>316</v>
      </c>
      <c r="BN915" s="340">
        <v>90.56</v>
      </c>
      <c r="BO915" s="340" t="s">
        <v>331</v>
      </c>
      <c r="BP915" s="1385"/>
      <c r="BV915" s="236">
        <v>111.14</v>
      </c>
      <c r="BW915" s="236" t="s">
        <v>297</v>
      </c>
      <c r="CB915" s="340">
        <v>121.08</v>
      </c>
      <c r="CC915" s="340" t="s">
        <v>316</v>
      </c>
      <c r="CL915" s="338">
        <v>27.11</v>
      </c>
      <c r="CM915" s="338" t="s">
        <v>285</v>
      </c>
      <c r="CR915" s="340">
        <v>90.6</v>
      </c>
      <c r="CS915" s="340" t="s">
        <v>331</v>
      </c>
      <c r="CT915" s="1384"/>
      <c r="CZ915" s="1795">
        <v>819</v>
      </c>
      <c r="DA915" s="338" t="s">
        <v>355</v>
      </c>
      <c r="DF915" s="340">
        <v>135.01</v>
      </c>
      <c r="DG915" s="340" t="s">
        <v>316</v>
      </c>
      <c r="DP915" s="236">
        <v>9602.01</v>
      </c>
      <c r="DQ915" s="236" t="s">
        <v>311</v>
      </c>
      <c r="DV915" s="340">
        <v>101.06</v>
      </c>
      <c r="DW915" s="340" t="s">
        <v>316</v>
      </c>
      <c r="DX915" s="1671"/>
    </row>
    <row r="916" spans="12:128">
      <c r="L916" s="2481">
        <v>138.07</v>
      </c>
      <c r="M916" s="340" t="s">
        <v>316</v>
      </c>
      <c r="N916" s="1390"/>
      <c r="O916" s="2479"/>
      <c r="P916" s="2282"/>
      <c r="AG916" s="2297">
        <v>101.08</v>
      </c>
      <c r="AH916" s="2297" t="s">
        <v>323</v>
      </c>
      <c r="AI916" s="1390"/>
      <c r="AJ916" s="2282"/>
      <c r="AK916" s="2282"/>
      <c r="AL916" s="1037"/>
      <c r="AX916" s="340">
        <v>123.04</v>
      </c>
      <c r="AY916" s="340" t="s">
        <v>316</v>
      </c>
      <c r="BN916" s="340">
        <v>90.57</v>
      </c>
      <c r="BO916" s="340" t="s">
        <v>331</v>
      </c>
      <c r="BP916" s="1385"/>
      <c r="BV916" s="236">
        <v>112.04</v>
      </c>
      <c r="BW916" s="236" t="s">
        <v>297</v>
      </c>
      <c r="CB916" s="340">
        <v>122.07</v>
      </c>
      <c r="CC916" s="340" t="s">
        <v>316</v>
      </c>
      <c r="CL916" s="338">
        <v>27.12</v>
      </c>
      <c r="CM916" s="338" t="s">
        <v>285</v>
      </c>
      <c r="CR916" s="340">
        <v>90.62</v>
      </c>
      <c r="CS916" s="340" t="s">
        <v>331</v>
      </c>
      <c r="CT916" s="1384"/>
      <c r="CZ916" s="1795">
        <v>820</v>
      </c>
      <c r="DA916" s="338" t="s">
        <v>355</v>
      </c>
      <c r="DF916" s="340">
        <v>137.02000000000001</v>
      </c>
      <c r="DG916" s="340" t="s">
        <v>316</v>
      </c>
      <c r="DP916" s="236">
        <v>9602.02</v>
      </c>
      <c r="DQ916" s="236" t="s">
        <v>311</v>
      </c>
      <c r="DV916" s="340">
        <v>101.06</v>
      </c>
      <c r="DW916" s="340" t="s">
        <v>323</v>
      </c>
      <c r="DX916" s="1671"/>
    </row>
    <row r="917" spans="12:128">
      <c r="L917" s="2481">
        <v>139.03</v>
      </c>
      <c r="M917" s="340" t="s">
        <v>316</v>
      </c>
      <c r="N917" s="1390"/>
      <c r="O917" s="2479"/>
      <c r="P917" s="2282"/>
      <c r="AG917" s="2297">
        <v>101.09</v>
      </c>
      <c r="AH917" s="2297" t="s">
        <v>297</v>
      </c>
      <c r="AI917" s="1390"/>
      <c r="AJ917" s="2282"/>
      <c r="AK917" s="2282"/>
      <c r="AL917" s="1037"/>
      <c r="AX917" s="340">
        <v>124.03</v>
      </c>
      <c r="AY917" s="340" t="s">
        <v>316</v>
      </c>
      <c r="BN917" s="340">
        <v>90.58</v>
      </c>
      <c r="BO917" s="340" t="s">
        <v>331</v>
      </c>
      <c r="BP917" s="1385"/>
      <c r="BV917" s="236">
        <v>112.05</v>
      </c>
      <c r="BW917" s="236" t="s">
        <v>297</v>
      </c>
      <c r="CB917" s="340">
        <v>122.08</v>
      </c>
      <c r="CC917" s="340" t="s">
        <v>316</v>
      </c>
      <c r="CL917" s="338">
        <v>27.13</v>
      </c>
      <c r="CM917" s="338" t="s">
        <v>285</v>
      </c>
      <c r="CR917" s="340">
        <v>90.64</v>
      </c>
      <c r="CS917" s="340" t="s">
        <v>331</v>
      </c>
      <c r="CT917" s="1384"/>
      <c r="CZ917" s="1795">
        <v>821</v>
      </c>
      <c r="DA917" s="338" t="s">
        <v>355</v>
      </c>
      <c r="DF917" s="340">
        <v>137.03</v>
      </c>
      <c r="DG917" s="340" t="s">
        <v>316</v>
      </c>
      <c r="DP917" s="236">
        <v>9603</v>
      </c>
      <c r="DQ917" s="236" t="s">
        <v>315</v>
      </c>
      <c r="DV917" s="340">
        <v>101.07</v>
      </c>
      <c r="DW917" s="340" t="s">
        <v>323</v>
      </c>
      <c r="DX917" s="1671"/>
    </row>
    <row r="918" spans="12:128">
      <c r="L918" s="2481">
        <v>139.12</v>
      </c>
      <c r="M918" s="340" t="s">
        <v>316</v>
      </c>
      <c r="N918" s="1390"/>
      <c r="O918" s="2479"/>
      <c r="P918" s="2282"/>
      <c r="AG918" s="2297">
        <v>101.09</v>
      </c>
      <c r="AH918" s="2297" t="s">
        <v>323</v>
      </c>
      <c r="AI918" s="1390"/>
      <c r="AJ918" s="2282"/>
      <c r="AK918" s="2282"/>
      <c r="AL918" s="1037"/>
      <c r="AX918" s="340">
        <v>125.03</v>
      </c>
      <c r="AY918" s="340" t="s">
        <v>316</v>
      </c>
      <c r="BN918" s="340">
        <v>90.59</v>
      </c>
      <c r="BO918" s="340" t="s">
        <v>331</v>
      </c>
      <c r="BP918" s="1385"/>
      <c r="BV918" s="236">
        <v>112.06</v>
      </c>
      <c r="BW918" s="236" t="s">
        <v>297</v>
      </c>
      <c r="CB918" s="340">
        <v>122.09</v>
      </c>
      <c r="CC918" s="340" t="s">
        <v>316</v>
      </c>
      <c r="CL918" s="236">
        <v>27.14</v>
      </c>
      <c r="CM918" s="236" t="s">
        <v>347</v>
      </c>
      <c r="CR918" s="340">
        <v>90.65</v>
      </c>
      <c r="CS918" s="340" t="s">
        <v>331</v>
      </c>
      <c r="CT918" s="1384"/>
      <c r="CZ918" s="1795">
        <v>822.01</v>
      </c>
      <c r="DA918" s="338" t="s">
        <v>355</v>
      </c>
      <c r="DF918" s="340">
        <v>137.05000000000001</v>
      </c>
      <c r="DG918" s="340" t="s">
        <v>316</v>
      </c>
      <c r="DP918" s="236">
        <v>9604.0300000000007</v>
      </c>
      <c r="DQ918" s="236" t="s">
        <v>317</v>
      </c>
      <c r="DV918" s="340">
        <v>101.08</v>
      </c>
      <c r="DW918" s="340" t="s">
        <v>297</v>
      </c>
      <c r="DX918" s="1671"/>
    </row>
    <row r="919" spans="12:128">
      <c r="L919" s="2481">
        <v>139.13</v>
      </c>
      <c r="M919" s="340" t="s">
        <v>316</v>
      </c>
      <c r="N919" s="1390"/>
      <c r="O919" s="2479"/>
      <c r="P919" s="2282"/>
      <c r="AG919" s="2297">
        <v>101.11</v>
      </c>
      <c r="AH919" s="2297" t="s">
        <v>297</v>
      </c>
      <c r="AI919" s="1390"/>
      <c r="AJ919" s="2282"/>
      <c r="AK919" s="2282"/>
      <c r="AL919" s="1037"/>
      <c r="AX919" s="340">
        <v>127.01</v>
      </c>
      <c r="AY919" s="340" t="s">
        <v>316</v>
      </c>
      <c r="BN919" s="340">
        <v>90.6</v>
      </c>
      <c r="BO919" s="340" t="s">
        <v>331</v>
      </c>
      <c r="BP919" s="1385"/>
      <c r="BV919" s="236">
        <v>112.07</v>
      </c>
      <c r="BW919" s="236" t="s">
        <v>297</v>
      </c>
      <c r="CB919" s="340">
        <v>122.1</v>
      </c>
      <c r="CC919" s="340" t="s">
        <v>316</v>
      </c>
      <c r="CL919" s="236">
        <v>27.16</v>
      </c>
      <c r="CM919" s="236" t="s">
        <v>347</v>
      </c>
      <c r="CR919" s="340">
        <v>90.66</v>
      </c>
      <c r="CS919" s="340" t="s">
        <v>331</v>
      </c>
      <c r="CT919" s="1384"/>
      <c r="CZ919" s="1795">
        <v>823.02</v>
      </c>
      <c r="DA919" s="338" t="s">
        <v>355</v>
      </c>
      <c r="DF919" s="340">
        <v>137.06</v>
      </c>
      <c r="DG919" s="340" t="s">
        <v>316</v>
      </c>
      <c r="DP919" s="236">
        <v>9609</v>
      </c>
      <c r="DQ919" s="236" t="s">
        <v>315</v>
      </c>
      <c r="DV919" s="340">
        <v>101.08</v>
      </c>
      <c r="DW919" s="340" t="s">
        <v>316</v>
      </c>
      <c r="DX919" s="1671"/>
    </row>
    <row r="920" spans="12:128">
      <c r="L920" s="2481">
        <v>139.15</v>
      </c>
      <c r="M920" s="340" t="s">
        <v>316</v>
      </c>
      <c r="N920" s="1390"/>
      <c r="O920" s="2479"/>
      <c r="P920" s="2282"/>
      <c r="AG920" s="2297">
        <v>101.12</v>
      </c>
      <c r="AH920" s="2297" t="s">
        <v>297</v>
      </c>
      <c r="AI920" s="1390"/>
      <c r="AJ920" s="2282"/>
      <c r="AK920" s="2282"/>
      <c r="AL920" s="1037"/>
      <c r="AX920" s="340">
        <v>130.02000000000001</v>
      </c>
      <c r="AY920" s="340" t="s">
        <v>316</v>
      </c>
      <c r="BN920" s="340">
        <v>90.62</v>
      </c>
      <c r="BO920" s="340" t="s">
        <v>331</v>
      </c>
      <c r="BP920" s="1385"/>
      <c r="BV920" s="236">
        <v>112.08</v>
      </c>
      <c r="BW920" s="236" t="s">
        <v>297</v>
      </c>
      <c r="CB920" s="340">
        <v>122.13</v>
      </c>
      <c r="CC920" s="340" t="s">
        <v>316</v>
      </c>
      <c r="CL920" s="236">
        <v>27.2</v>
      </c>
      <c r="CM920" s="236" t="s">
        <v>347</v>
      </c>
      <c r="CR920" s="340">
        <v>92</v>
      </c>
      <c r="CS920" s="340" t="s">
        <v>331</v>
      </c>
      <c r="CT920" s="1384"/>
      <c r="CZ920" s="1795">
        <v>823.03</v>
      </c>
      <c r="DA920" s="338" t="s">
        <v>355</v>
      </c>
      <c r="DF920" s="340">
        <v>138.06</v>
      </c>
      <c r="DG920" s="340" t="s">
        <v>316</v>
      </c>
      <c r="DP920" s="236">
        <v>9611</v>
      </c>
      <c r="DQ920" s="236" t="s">
        <v>315</v>
      </c>
      <c r="DV920" s="340">
        <v>101.08</v>
      </c>
      <c r="DW920" s="340" t="s">
        <v>323</v>
      </c>
      <c r="DX920" s="1671"/>
    </row>
    <row r="921" spans="12:128">
      <c r="L921" s="2481">
        <v>139.16</v>
      </c>
      <c r="M921" s="340" t="s">
        <v>316</v>
      </c>
      <c r="N921" s="1390"/>
      <c r="O921" s="2479"/>
      <c r="P921" s="2282"/>
      <c r="AG921" s="2297">
        <v>101.12</v>
      </c>
      <c r="AH921" s="2297" t="s">
        <v>323</v>
      </c>
      <c r="AI921" s="1390"/>
      <c r="AJ921" s="2282"/>
      <c r="AK921" s="2282"/>
      <c r="AL921" s="1037"/>
      <c r="AX921" s="340">
        <v>130.03</v>
      </c>
      <c r="AY921" s="340" t="s">
        <v>316</v>
      </c>
      <c r="BN921" s="340">
        <v>90.64</v>
      </c>
      <c r="BO921" s="340" t="s">
        <v>331</v>
      </c>
      <c r="BP921" s="1385"/>
      <c r="BV921" s="236">
        <v>112.09</v>
      </c>
      <c r="BW921" s="236" t="s">
        <v>297</v>
      </c>
      <c r="CB921" s="340">
        <v>123.01</v>
      </c>
      <c r="CC921" s="340" t="s">
        <v>316</v>
      </c>
      <c r="CL921" s="236">
        <v>27.21</v>
      </c>
      <c r="CM921" s="236" t="s">
        <v>347</v>
      </c>
      <c r="CR921" s="340">
        <v>93.05</v>
      </c>
      <c r="CS921" s="340" t="s">
        <v>331</v>
      </c>
      <c r="CT921" s="1384"/>
      <c r="CZ921" s="1795">
        <v>824.01</v>
      </c>
      <c r="DA921" s="338" t="s">
        <v>355</v>
      </c>
      <c r="DF921" s="340">
        <v>138.07</v>
      </c>
      <c r="DG921" s="340" t="s">
        <v>316</v>
      </c>
      <c r="DP921" s="236">
        <v>9612.01</v>
      </c>
      <c r="DQ921" s="236" t="s">
        <v>315</v>
      </c>
      <c r="DV921" s="340">
        <v>101.09</v>
      </c>
      <c r="DW921" s="340" t="s">
        <v>297</v>
      </c>
      <c r="DX921" s="1671"/>
    </row>
    <row r="922" spans="12:128">
      <c r="L922" s="2481">
        <v>139.16999999999999</v>
      </c>
      <c r="M922" s="340" t="s">
        <v>316</v>
      </c>
      <c r="N922" s="1390"/>
      <c r="O922" s="2479"/>
      <c r="P922" s="2282"/>
      <c r="AG922" s="2297">
        <v>101.13</v>
      </c>
      <c r="AH922" s="2297" t="s">
        <v>297</v>
      </c>
      <c r="AI922" s="1390"/>
      <c r="AJ922" s="2282"/>
      <c r="AK922" s="2282"/>
      <c r="AL922" s="1037"/>
      <c r="AX922" s="340">
        <v>130.04</v>
      </c>
      <c r="AY922" s="340" t="s">
        <v>316</v>
      </c>
      <c r="BN922" s="340">
        <v>90.66</v>
      </c>
      <c r="BO922" s="340" t="s">
        <v>331</v>
      </c>
      <c r="BP922" s="1385"/>
      <c r="BV922" s="236">
        <v>112.1</v>
      </c>
      <c r="BW922" s="236" t="s">
        <v>297</v>
      </c>
      <c r="CB922" s="340">
        <v>123.03</v>
      </c>
      <c r="CC922" s="340" t="s">
        <v>316</v>
      </c>
      <c r="CL922" s="236">
        <v>27.23</v>
      </c>
      <c r="CM922" s="236" t="s">
        <v>347</v>
      </c>
      <c r="CR922" s="340">
        <v>93.12</v>
      </c>
      <c r="CS922" s="340" t="s">
        <v>331</v>
      </c>
      <c r="CT922" s="1384"/>
      <c r="CZ922" s="1795">
        <v>825.06</v>
      </c>
      <c r="DA922" s="338" t="s">
        <v>355</v>
      </c>
      <c r="DF922" s="340">
        <v>139.03</v>
      </c>
      <c r="DG922" s="340" t="s">
        <v>316</v>
      </c>
      <c r="DP922" s="236">
        <v>9701.02</v>
      </c>
      <c r="DQ922" s="236" t="s">
        <v>312</v>
      </c>
      <c r="DV922" s="340">
        <v>101.09</v>
      </c>
      <c r="DW922" s="340" t="s">
        <v>323</v>
      </c>
      <c r="DX922" s="1671"/>
    </row>
    <row r="923" spans="12:128">
      <c r="L923" s="2481">
        <v>139.18</v>
      </c>
      <c r="M923" s="340" t="s">
        <v>316</v>
      </c>
      <c r="N923" s="1390"/>
      <c r="O923" s="2479"/>
      <c r="P923" s="2282"/>
      <c r="AG923" s="2297">
        <v>101.14</v>
      </c>
      <c r="AH923" s="2297" t="s">
        <v>297</v>
      </c>
      <c r="AI923" s="1390"/>
      <c r="AJ923" s="2282"/>
      <c r="AK923" s="2282"/>
      <c r="AL923" s="1037"/>
      <c r="AX923" s="340">
        <v>132.03</v>
      </c>
      <c r="AY923" s="340" t="s">
        <v>316</v>
      </c>
      <c r="BN923" s="340">
        <v>92</v>
      </c>
      <c r="BO923" s="340" t="s">
        <v>331</v>
      </c>
      <c r="BP923" s="1385"/>
      <c r="BV923" s="236">
        <v>112.11</v>
      </c>
      <c r="BW923" s="236" t="s">
        <v>297</v>
      </c>
      <c r="CB923" s="340">
        <v>123.04</v>
      </c>
      <c r="CC923" s="340" t="s">
        <v>316</v>
      </c>
      <c r="CL923" s="236">
        <v>27.24</v>
      </c>
      <c r="CM923" s="236" t="s">
        <v>347</v>
      </c>
      <c r="CR923" s="340">
        <v>93.19</v>
      </c>
      <c r="CS923" s="340" t="s">
        <v>331</v>
      </c>
      <c r="CT923" s="1384"/>
      <c r="CZ923" s="1795">
        <v>825.11</v>
      </c>
      <c r="DA923" s="338" t="s">
        <v>355</v>
      </c>
      <c r="DF923" s="340">
        <v>139.07</v>
      </c>
      <c r="DG923" s="340" t="s">
        <v>316</v>
      </c>
      <c r="DP923" s="236">
        <v>9701.0400000000009</v>
      </c>
      <c r="DQ923" s="236" t="s">
        <v>358</v>
      </c>
      <c r="DV923" s="340">
        <v>101.1</v>
      </c>
      <c r="DW923" s="340" t="s">
        <v>323</v>
      </c>
      <c r="DX923" s="1671"/>
    </row>
    <row r="924" spans="12:128">
      <c r="L924" s="2481">
        <v>139.19</v>
      </c>
      <c r="M924" s="340" t="s">
        <v>316</v>
      </c>
      <c r="N924" s="1390"/>
      <c r="O924" s="2479"/>
      <c r="P924" s="2282"/>
      <c r="AG924" s="2297">
        <v>101.93</v>
      </c>
      <c r="AH924" s="2297" t="s">
        <v>331</v>
      </c>
      <c r="AI924" s="1390"/>
      <c r="AJ924" s="2282"/>
      <c r="AK924" s="2282"/>
      <c r="AL924" s="1037"/>
      <c r="AX924" s="340">
        <v>132.05000000000001</v>
      </c>
      <c r="AY924" s="340" t="s">
        <v>316</v>
      </c>
      <c r="BN924" s="340">
        <v>93.05</v>
      </c>
      <c r="BO924" s="340" t="s">
        <v>331</v>
      </c>
      <c r="BP924" s="1385"/>
      <c r="BV924" s="236">
        <v>112.12</v>
      </c>
      <c r="BW924" s="236" t="s">
        <v>297</v>
      </c>
      <c r="CB924" s="340">
        <v>124.03</v>
      </c>
      <c r="CC924" s="340" t="s">
        <v>316</v>
      </c>
      <c r="CL924" s="236">
        <v>27.25</v>
      </c>
      <c r="CM924" s="236" t="s">
        <v>347</v>
      </c>
      <c r="CR924" s="340">
        <v>93.21</v>
      </c>
      <c r="CS924" s="340" t="s">
        <v>331</v>
      </c>
      <c r="CT924" s="1384"/>
      <c r="CZ924" s="1795">
        <v>825.13</v>
      </c>
      <c r="DA924" s="338" t="s">
        <v>355</v>
      </c>
      <c r="DF924" s="340">
        <v>139.15</v>
      </c>
      <c r="DG924" s="340" t="s">
        <v>316</v>
      </c>
      <c r="DP924" s="236">
        <v>9702</v>
      </c>
      <c r="DQ924" s="236" t="s">
        <v>358</v>
      </c>
      <c r="DV924" s="340">
        <v>101.11</v>
      </c>
      <c r="DW924" s="340" t="s">
        <v>297</v>
      </c>
      <c r="DX924" s="1671"/>
    </row>
    <row r="925" spans="12:128">
      <c r="L925" s="2481">
        <v>139.22</v>
      </c>
      <c r="M925" s="340" t="s">
        <v>316</v>
      </c>
      <c r="N925" s="1390"/>
      <c r="O925" s="2479"/>
      <c r="P925" s="2282"/>
      <c r="AG925" s="2297">
        <v>101.98</v>
      </c>
      <c r="AH925" s="2297" t="s">
        <v>331</v>
      </c>
      <c r="AI925" s="1390"/>
      <c r="AJ925" s="2282"/>
      <c r="AK925" s="2282"/>
      <c r="AL925" s="1037"/>
      <c r="AX925" s="340">
        <v>132.06</v>
      </c>
      <c r="AY925" s="340" t="s">
        <v>316</v>
      </c>
      <c r="BN925" s="340">
        <v>93.12</v>
      </c>
      <c r="BO925" s="340" t="s">
        <v>331</v>
      </c>
      <c r="BP925" s="1385"/>
      <c r="BV925" s="236">
        <v>112.13</v>
      </c>
      <c r="BW925" s="236" t="s">
        <v>297</v>
      </c>
      <c r="CB925" s="340">
        <v>125.03</v>
      </c>
      <c r="CC925" s="340" t="s">
        <v>316</v>
      </c>
      <c r="CL925" s="236">
        <v>27.26</v>
      </c>
      <c r="CM925" s="236" t="s">
        <v>347</v>
      </c>
      <c r="CR925" s="340">
        <v>93.23</v>
      </c>
      <c r="CS925" s="340" t="s">
        <v>331</v>
      </c>
      <c r="CT925" s="1384"/>
      <c r="CZ925" s="1795">
        <v>905</v>
      </c>
      <c r="DA925" s="338" t="s">
        <v>355</v>
      </c>
      <c r="DF925" s="340">
        <v>139.16</v>
      </c>
      <c r="DG925" s="340" t="s">
        <v>316</v>
      </c>
      <c r="DP925" s="236">
        <v>9702.01</v>
      </c>
      <c r="DQ925" s="236" t="s">
        <v>301</v>
      </c>
      <c r="DV925" s="340">
        <v>101.11</v>
      </c>
      <c r="DW925" s="340" t="s">
        <v>323</v>
      </c>
      <c r="DX925" s="1671"/>
    </row>
    <row r="926" spans="12:128">
      <c r="L926" s="2481">
        <v>139.22999999999999</v>
      </c>
      <c r="M926" s="340" t="s">
        <v>316</v>
      </c>
      <c r="N926" s="1390"/>
      <c r="O926" s="2479"/>
      <c r="P926" s="2282"/>
      <c r="AG926" s="2297">
        <v>102.01</v>
      </c>
      <c r="AH926" s="2297" t="s">
        <v>331</v>
      </c>
      <c r="AI926" s="1390"/>
      <c r="AJ926" s="2282"/>
      <c r="AK926" s="2282"/>
      <c r="AL926" s="1037"/>
      <c r="AX926" s="340">
        <v>132.08000000000001</v>
      </c>
      <c r="AY926" s="340" t="s">
        <v>316</v>
      </c>
      <c r="BN926" s="340">
        <v>93.16</v>
      </c>
      <c r="BO926" s="340" t="s">
        <v>331</v>
      </c>
      <c r="BP926" s="1385"/>
      <c r="BV926" s="236">
        <v>112.14</v>
      </c>
      <c r="BW926" s="236" t="s">
        <v>297</v>
      </c>
      <c r="CB926" s="340">
        <v>127.01</v>
      </c>
      <c r="CC926" s="340" t="s">
        <v>316</v>
      </c>
      <c r="CL926" s="236">
        <v>27.27</v>
      </c>
      <c r="CM926" s="236" t="s">
        <v>347</v>
      </c>
      <c r="CR926" s="340">
        <v>93.25</v>
      </c>
      <c r="CS926" s="340" t="s">
        <v>331</v>
      </c>
      <c r="CT926" s="1384"/>
      <c r="CZ926" s="1795">
        <v>9503.0400000000009</v>
      </c>
      <c r="DA926" s="338" t="s">
        <v>357</v>
      </c>
      <c r="DF926" s="340">
        <v>139.16999999999999</v>
      </c>
      <c r="DG926" s="340" t="s">
        <v>316</v>
      </c>
      <c r="DP926" s="236">
        <v>9702.01</v>
      </c>
      <c r="DQ926" s="236" t="s">
        <v>312</v>
      </c>
      <c r="DV926" s="340">
        <v>101.12</v>
      </c>
      <c r="DW926" s="340" t="s">
        <v>297</v>
      </c>
      <c r="DX926" s="1671"/>
    </row>
    <row r="927" spans="12:128">
      <c r="L927" s="2481">
        <v>139.24</v>
      </c>
      <c r="M927" s="340" t="s">
        <v>316</v>
      </c>
      <c r="N927" s="1390"/>
      <c r="O927" s="2479"/>
      <c r="P927" s="2282"/>
      <c r="AG927" s="2297">
        <v>102.01</v>
      </c>
      <c r="AH927" s="2297" t="s">
        <v>338</v>
      </c>
      <c r="AI927" s="1390"/>
      <c r="AJ927" s="2282"/>
      <c r="AK927" s="2282"/>
      <c r="AL927" s="1037"/>
      <c r="AX927" s="340">
        <v>133.05000000000001</v>
      </c>
      <c r="AY927" s="340" t="s">
        <v>316</v>
      </c>
      <c r="BN927" s="340">
        <v>93.17</v>
      </c>
      <c r="BO927" s="340" t="s">
        <v>331</v>
      </c>
      <c r="BP927" s="1385"/>
      <c r="BV927" s="236">
        <v>113.03</v>
      </c>
      <c r="BW927" s="236" t="s">
        <v>297</v>
      </c>
      <c r="CB927" s="340">
        <v>130.02000000000001</v>
      </c>
      <c r="CC927" s="340" t="s">
        <v>316</v>
      </c>
      <c r="CL927" s="236">
        <v>27.28</v>
      </c>
      <c r="CM927" s="236" t="s">
        <v>347</v>
      </c>
      <c r="CR927" s="340">
        <v>93.27</v>
      </c>
      <c r="CS927" s="340" t="s">
        <v>331</v>
      </c>
      <c r="CT927" s="1384"/>
      <c r="CZ927" s="1795">
        <v>9503.0499999999993</v>
      </c>
      <c r="DA927" s="338" t="s">
        <v>357</v>
      </c>
      <c r="DF927" s="340">
        <v>139.18</v>
      </c>
      <c r="DG927" s="340" t="s">
        <v>316</v>
      </c>
      <c r="DP927" s="236">
        <v>9704.01</v>
      </c>
      <c r="DQ927" s="236" t="s">
        <v>312</v>
      </c>
      <c r="DV927" s="340">
        <v>101.12</v>
      </c>
      <c r="DW927" s="340" t="s">
        <v>323</v>
      </c>
      <c r="DX927" s="1671"/>
    </row>
    <row r="928" spans="12:128">
      <c r="L928" s="2481">
        <v>139.26</v>
      </c>
      <c r="M928" s="340" t="s">
        <v>316</v>
      </c>
      <c r="N928" s="1390"/>
      <c r="O928" s="2479"/>
      <c r="P928" s="2282"/>
      <c r="AG928" s="2297">
        <v>102.02</v>
      </c>
      <c r="AH928" s="2297" t="s">
        <v>338</v>
      </c>
      <c r="AI928" s="1390"/>
      <c r="AJ928" s="2282"/>
      <c r="AK928" s="2282"/>
      <c r="AL928" s="1037"/>
      <c r="AX928" s="340">
        <v>133.07</v>
      </c>
      <c r="AY928" s="340" t="s">
        <v>316</v>
      </c>
      <c r="BN928" s="340">
        <v>93.19</v>
      </c>
      <c r="BO928" s="340" t="s">
        <v>331</v>
      </c>
      <c r="BP928" s="1385"/>
      <c r="BV928" s="236">
        <v>113.04</v>
      </c>
      <c r="BW928" s="236" t="s">
        <v>297</v>
      </c>
      <c r="CB928" s="340">
        <v>130.04</v>
      </c>
      <c r="CC928" s="340" t="s">
        <v>316</v>
      </c>
      <c r="CL928" s="236">
        <v>27.29</v>
      </c>
      <c r="CM928" s="236" t="s">
        <v>347</v>
      </c>
      <c r="CR928" s="340">
        <v>94.02</v>
      </c>
      <c r="CS928" s="340" t="s">
        <v>331</v>
      </c>
      <c r="CT928" s="1384"/>
      <c r="CZ928" s="1795">
        <v>9701.0400000000009</v>
      </c>
      <c r="DA928" s="338" t="s">
        <v>358</v>
      </c>
      <c r="DF928" s="340">
        <v>139.19</v>
      </c>
      <c r="DG928" s="340" t="s">
        <v>316</v>
      </c>
      <c r="DP928" s="236">
        <v>9713</v>
      </c>
      <c r="DQ928" s="236" t="s">
        <v>333</v>
      </c>
      <c r="DV928" s="340">
        <v>101.13</v>
      </c>
      <c r="DW928" s="340" t="s">
        <v>323</v>
      </c>
      <c r="DX928" s="1671"/>
    </row>
    <row r="929" spans="12:128">
      <c r="L929" s="2481">
        <v>140.03</v>
      </c>
      <c r="M929" s="340" t="s">
        <v>316</v>
      </c>
      <c r="N929" s="1390"/>
      <c r="O929" s="2479"/>
      <c r="P929" s="2282"/>
      <c r="AG929" s="2297">
        <v>102.03</v>
      </c>
      <c r="AH929" s="2297" t="s">
        <v>302</v>
      </c>
      <c r="AI929" s="1390"/>
      <c r="AJ929" s="2282"/>
      <c r="AK929" s="2282"/>
      <c r="AL929" s="1037"/>
      <c r="AX929" s="340">
        <v>133.1</v>
      </c>
      <c r="AY929" s="340" t="s">
        <v>316</v>
      </c>
      <c r="BN929" s="340">
        <v>93.21</v>
      </c>
      <c r="BO929" s="340" t="s">
        <v>331</v>
      </c>
      <c r="BP929" s="1385"/>
      <c r="BV929" s="236">
        <v>113.05</v>
      </c>
      <c r="BW929" s="236" t="s">
        <v>297</v>
      </c>
      <c r="CB929" s="340">
        <v>132.03</v>
      </c>
      <c r="CC929" s="340" t="s">
        <v>316</v>
      </c>
      <c r="CL929" s="236">
        <v>27.3</v>
      </c>
      <c r="CM929" s="236" t="s">
        <v>347</v>
      </c>
      <c r="CR929" s="340">
        <v>96.01</v>
      </c>
      <c r="CS929" s="340" t="s">
        <v>331</v>
      </c>
      <c r="CT929" s="1384"/>
      <c r="CZ929" s="1795">
        <v>9702</v>
      </c>
      <c r="DA929" s="338" t="s">
        <v>358</v>
      </c>
      <c r="DF929" s="340">
        <v>139.22</v>
      </c>
      <c r="DG929" s="340" t="s">
        <v>316</v>
      </c>
      <c r="DP929" s="236">
        <v>9724</v>
      </c>
      <c r="DQ929" s="236"/>
      <c r="DV929" s="340">
        <v>101.14</v>
      </c>
      <c r="DW929" s="340" t="s">
        <v>297</v>
      </c>
      <c r="DX929" s="1671"/>
    </row>
    <row r="930" spans="12:128">
      <c r="L930" s="2481">
        <v>140.07</v>
      </c>
      <c r="M930" s="340" t="s">
        <v>316</v>
      </c>
      <c r="N930" s="1390"/>
      <c r="O930" s="2479"/>
      <c r="P930" s="2282"/>
      <c r="AG930" s="2297">
        <v>102.04</v>
      </c>
      <c r="AH930" s="2297" t="s">
        <v>302</v>
      </c>
      <c r="AI930" s="1390"/>
      <c r="AJ930" s="2282"/>
      <c r="AK930" s="2282"/>
      <c r="AL930" s="1037"/>
      <c r="AX930" s="340">
        <v>133.13</v>
      </c>
      <c r="AY930" s="340" t="s">
        <v>316</v>
      </c>
      <c r="BN930" s="340">
        <v>93.23</v>
      </c>
      <c r="BO930" s="340" t="s">
        <v>331</v>
      </c>
      <c r="BP930" s="1385"/>
      <c r="BV930" s="236">
        <v>113.06</v>
      </c>
      <c r="BW930" s="236" t="s">
        <v>297</v>
      </c>
      <c r="CB930" s="340">
        <v>132.05000000000001</v>
      </c>
      <c r="CC930" s="340" t="s">
        <v>316</v>
      </c>
      <c r="CL930" s="236">
        <v>27.31</v>
      </c>
      <c r="CM930" s="236" t="s">
        <v>347</v>
      </c>
      <c r="CR930" s="340">
        <v>97.03</v>
      </c>
      <c r="CS930" s="340" t="s">
        <v>331</v>
      </c>
      <c r="CT930" s="1384"/>
      <c r="CZ930" s="2711" t="s">
        <v>2072</v>
      </c>
      <c r="DA930" s="2712"/>
      <c r="DF930" s="340">
        <v>139.22999999999999</v>
      </c>
      <c r="DG930" s="340" t="s">
        <v>316</v>
      </c>
      <c r="DP930" s="2711" t="s">
        <v>2072</v>
      </c>
      <c r="DQ930" s="2712"/>
      <c r="DV930" s="340">
        <v>101.93</v>
      </c>
      <c r="DW930" s="340" t="s">
        <v>331</v>
      </c>
      <c r="DX930" s="1671"/>
    </row>
    <row r="931" spans="12:128">
      <c r="L931" s="2481">
        <v>140.08000000000001</v>
      </c>
      <c r="M931" s="340" t="s">
        <v>316</v>
      </c>
      <c r="N931" s="1390"/>
      <c r="O931" s="2479"/>
      <c r="P931" s="2282"/>
      <c r="AG931" s="2297">
        <v>102.04</v>
      </c>
      <c r="AH931" s="2297" t="s">
        <v>356</v>
      </c>
      <c r="AI931" s="1390"/>
      <c r="AJ931" s="2282"/>
      <c r="AK931" s="2282"/>
      <c r="AL931" s="1037"/>
      <c r="AX931" s="340">
        <v>133.15</v>
      </c>
      <c r="AY931" s="340" t="s">
        <v>316</v>
      </c>
      <c r="BN931" s="340">
        <v>96.01</v>
      </c>
      <c r="BO931" s="340" t="s">
        <v>331</v>
      </c>
      <c r="BP931" s="1385"/>
      <c r="BV931" s="236">
        <v>114</v>
      </c>
      <c r="BW931" s="236" t="s">
        <v>297</v>
      </c>
      <c r="CB931" s="340">
        <v>132.06</v>
      </c>
      <c r="CC931" s="340" t="s">
        <v>316</v>
      </c>
      <c r="CL931" s="236">
        <v>27.32</v>
      </c>
      <c r="CM931" s="236" t="s">
        <v>347</v>
      </c>
      <c r="CR931" s="340">
        <v>97.04</v>
      </c>
      <c r="CS931" s="340" t="s">
        <v>331</v>
      </c>
      <c r="CT931" s="1384"/>
      <c r="DF931" s="340">
        <v>139.24</v>
      </c>
      <c r="DG931" s="340" t="s">
        <v>316</v>
      </c>
      <c r="DV931" s="340">
        <v>101.98</v>
      </c>
      <c r="DW931" s="340" t="s">
        <v>331</v>
      </c>
      <c r="DX931" s="1671"/>
    </row>
    <row r="932" spans="12:128">
      <c r="L932" s="2481">
        <v>140.09</v>
      </c>
      <c r="M932" s="340" t="s">
        <v>316</v>
      </c>
      <c r="N932" s="1390"/>
      <c r="O932" s="2479"/>
      <c r="P932" s="2282"/>
      <c r="AG932" s="2297">
        <v>102.05</v>
      </c>
      <c r="AH932" s="2297" t="s">
        <v>297</v>
      </c>
      <c r="AI932" s="1390"/>
      <c r="AJ932" s="2282"/>
      <c r="AK932" s="2282"/>
      <c r="AL932" s="1037"/>
      <c r="AX932" s="340">
        <v>133.16999999999999</v>
      </c>
      <c r="AY932" s="340" t="s">
        <v>316</v>
      </c>
      <c r="BN932" s="340">
        <v>97.03</v>
      </c>
      <c r="BO932" s="340" t="s">
        <v>331</v>
      </c>
      <c r="BP932" s="1385"/>
      <c r="BV932" s="236">
        <v>9900</v>
      </c>
      <c r="BW932" s="236" t="s">
        <v>297</v>
      </c>
      <c r="CB932" s="340">
        <v>132.07</v>
      </c>
      <c r="CC932" s="340" t="s">
        <v>316</v>
      </c>
      <c r="CL932" s="236">
        <v>27.33</v>
      </c>
      <c r="CM932" s="236" t="s">
        <v>347</v>
      </c>
      <c r="CR932" s="340">
        <v>98.03</v>
      </c>
      <c r="CS932" s="340" t="s">
        <v>331</v>
      </c>
      <c r="CT932" s="1384"/>
      <c r="DF932" s="340">
        <v>139.26</v>
      </c>
      <c r="DG932" s="340" t="s">
        <v>316</v>
      </c>
      <c r="DV932" s="340">
        <v>102.01</v>
      </c>
      <c r="DW932" s="340" t="s">
        <v>331</v>
      </c>
      <c r="DX932" s="1671"/>
    </row>
    <row r="933" spans="12:128">
      <c r="L933" s="2481">
        <v>140.1</v>
      </c>
      <c r="M933" s="340" t="s">
        <v>316</v>
      </c>
      <c r="N933" s="1390"/>
      <c r="O933" s="2479"/>
      <c r="P933" s="2282"/>
      <c r="AG933" s="2297">
        <v>102.05</v>
      </c>
      <c r="AH933" s="2297" t="s">
        <v>323</v>
      </c>
      <c r="AI933" s="1390"/>
      <c r="AJ933" s="2282"/>
      <c r="AK933" s="2282"/>
      <c r="AL933" s="1037"/>
      <c r="AX933" s="340">
        <v>133.19</v>
      </c>
      <c r="AY933" s="340" t="s">
        <v>316</v>
      </c>
      <c r="BN933" s="340">
        <v>97.04</v>
      </c>
      <c r="BO933" s="340" t="s">
        <v>331</v>
      </c>
      <c r="BP933" s="1385"/>
      <c r="BV933" s="236">
        <v>1.01</v>
      </c>
      <c r="BW933" s="236" t="s">
        <v>302</v>
      </c>
      <c r="CB933" s="340">
        <v>132.08000000000001</v>
      </c>
      <c r="CC933" s="340" t="s">
        <v>316</v>
      </c>
      <c r="CL933" s="236">
        <v>27.34</v>
      </c>
      <c r="CM933" s="236" t="s">
        <v>347</v>
      </c>
      <c r="CR933" s="340">
        <v>98.04</v>
      </c>
      <c r="CS933" s="340" t="s">
        <v>331</v>
      </c>
      <c r="CT933" s="1384"/>
      <c r="DF933" s="340">
        <v>140.03</v>
      </c>
      <c r="DG933" s="340" t="s">
        <v>316</v>
      </c>
      <c r="DV933" s="340">
        <v>102.01</v>
      </c>
      <c r="DW933" s="340" t="s">
        <v>338</v>
      </c>
      <c r="DX933" s="1671"/>
    </row>
    <row r="934" spans="12:128">
      <c r="L934" s="2481">
        <v>140.11000000000001</v>
      </c>
      <c r="M934" s="340" t="s">
        <v>316</v>
      </c>
      <c r="N934" s="1390"/>
      <c r="O934" s="2479"/>
      <c r="P934" s="2282"/>
      <c r="AG934" s="2297">
        <v>102.05</v>
      </c>
      <c r="AH934" s="2297" t="s">
        <v>331</v>
      </c>
      <c r="AI934" s="1390"/>
      <c r="AJ934" s="2282"/>
      <c r="AK934" s="2282"/>
      <c r="AL934" s="1037"/>
      <c r="AX934" s="340">
        <v>133.19999999999999</v>
      </c>
      <c r="AY934" s="340" t="s">
        <v>316</v>
      </c>
      <c r="BN934" s="340">
        <v>98.03</v>
      </c>
      <c r="BO934" s="340" t="s">
        <v>331</v>
      </c>
      <c r="BP934" s="1385"/>
      <c r="BV934" s="236">
        <v>1.02</v>
      </c>
      <c r="BW934" s="236" t="s">
        <v>302</v>
      </c>
      <c r="CB934" s="340">
        <v>133.05000000000001</v>
      </c>
      <c r="CC934" s="340" t="s">
        <v>316</v>
      </c>
      <c r="CL934" s="236">
        <v>27.35</v>
      </c>
      <c r="CM934" s="236" t="s">
        <v>347</v>
      </c>
      <c r="CR934" s="340">
        <v>98.09</v>
      </c>
      <c r="CS934" s="340" t="s">
        <v>331</v>
      </c>
      <c r="CT934" s="1384"/>
      <c r="DF934" s="340">
        <v>140.07</v>
      </c>
      <c r="DG934" s="340" t="s">
        <v>316</v>
      </c>
      <c r="DV934" s="340">
        <v>102.02</v>
      </c>
      <c r="DW934" s="340" t="s">
        <v>302</v>
      </c>
      <c r="DX934" s="1671"/>
    </row>
    <row r="935" spans="12:128">
      <c r="L935" s="2481">
        <v>140.12</v>
      </c>
      <c r="M935" s="340" t="s">
        <v>316</v>
      </c>
      <c r="N935" s="1390"/>
      <c r="O935" s="2479"/>
      <c r="P935" s="2282"/>
      <c r="AG935" s="2297">
        <v>102.05</v>
      </c>
      <c r="AH935" s="2297" t="s">
        <v>356</v>
      </c>
      <c r="AI935" s="1390"/>
      <c r="AJ935" s="2282"/>
      <c r="AK935" s="2282"/>
      <c r="AL935" s="1037"/>
      <c r="AX935" s="340">
        <v>133.22</v>
      </c>
      <c r="AY935" s="340" t="s">
        <v>316</v>
      </c>
      <c r="BN935" s="340">
        <v>98.04</v>
      </c>
      <c r="BO935" s="340" t="s">
        <v>331</v>
      </c>
      <c r="BP935" s="1385"/>
      <c r="BV935" s="236">
        <v>2</v>
      </c>
      <c r="BW935" s="236" t="s">
        <v>302</v>
      </c>
      <c r="CB935" s="340">
        <v>133.07</v>
      </c>
      <c r="CC935" s="340" t="s">
        <v>316</v>
      </c>
      <c r="CL935" s="236">
        <v>27.36</v>
      </c>
      <c r="CM935" s="236" t="s">
        <v>347</v>
      </c>
      <c r="CR935" s="340">
        <v>98.1</v>
      </c>
      <c r="CS935" s="340" t="s">
        <v>331</v>
      </c>
      <c r="CT935" s="1384"/>
      <c r="DF935" s="340">
        <v>140.08000000000001</v>
      </c>
      <c r="DG935" s="340" t="s">
        <v>316</v>
      </c>
      <c r="DV935" s="340">
        <v>102.02</v>
      </c>
      <c r="DW935" s="340" t="s">
        <v>338</v>
      </c>
      <c r="DX935" s="1671"/>
    </row>
    <row r="936" spans="12:128">
      <c r="L936" s="2481">
        <v>140.16999999999999</v>
      </c>
      <c r="M936" s="340" t="s">
        <v>316</v>
      </c>
      <c r="N936" s="1390"/>
      <c r="O936" s="2479"/>
      <c r="P936" s="2282"/>
      <c r="AG936" s="2297">
        <v>102.06</v>
      </c>
      <c r="AH936" s="2297" t="s">
        <v>323</v>
      </c>
      <c r="AI936" s="1390"/>
      <c r="AJ936" s="2282"/>
      <c r="AK936" s="2282"/>
      <c r="AL936" s="1037"/>
      <c r="AX936" s="340">
        <v>133.22999999999999</v>
      </c>
      <c r="AY936" s="340" t="s">
        <v>316</v>
      </c>
      <c r="BN936" s="340">
        <v>98.09</v>
      </c>
      <c r="BO936" s="340" t="s">
        <v>331</v>
      </c>
      <c r="BP936" s="1385"/>
      <c r="BV936" s="236">
        <v>3</v>
      </c>
      <c r="BW936" s="236" t="s">
        <v>302</v>
      </c>
      <c r="CB936" s="340">
        <v>133.1</v>
      </c>
      <c r="CC936" s="340" t="s">
        <v>316</v>
      </c>
      <c r="CL936" s="236">
        <v>27.37</v>
      </c>
      <c r="CM936" s="236" t="s">
        <v>347</v>
      </c>
      <c r="CR936" s="340">
        <v>98.12</v>
      </c>
      <c r="CS936" s="340" t="s">
        <v>331</v>
      </c>
      <c r="CT936" s="1384"/>
      <c r="DF936" s="340">
        <v>140.09</v>
      </c>
      <c r="DG936" s="340" t="s">
        <v>316</v>
      </c>
      <c r="DV936" s="340">
        <v>102.04</v>
      </c>
      <c r="DW936" s="340" t="s">
        <v>302</v>
      </c>
      <c r="DX936" s="1671"/>
    </row>
    <row r="937" spans="12:128">
      <c r="L937" s="2481">
        <v>141.06</v>
      </c>
      <c r="M937" s="340" t="s">
        <v>316</v>
      </c>
      <c r="N937" s="1390"/>
      <c r="O937" s="2479"/>
      <c r="P937" s="2282"/>
      <c r="AG937" s="2297">
        <v>102.07</v>
      </c>
      <c r="AH937" s="2297" t="s">
        <v>323</v>
      </c>
      <c r="AI937" s="1390"/>
      <c r="AJ937" s="2282"/>
      <c r="AK937" s="2282"/>
      <c r="AL937" s="1037"/>
      <c r="AX937" s="340">
        <v>134.07</v>
      </c>
      <c r="AY937" s="340" t="s">
        <v>316</v>
      </c>
      <c r="BN937" s="340">
        <v>98.1</v>
      </c>
      <c r="BO937" s="340" t="s">
        <v>331</v>
      </c>
      <c r="BP937" s="1385"/>
      <c r="BV937" s="236">
        <v>6</v>
      </c>
      <c r="BW937" s="236" t="s">
        <v>302</v>
      </c>
      <c r="CB937" s="340">
        <v>133.12</v>
      </c>
      <c r="CC937" s="340" t="s">
        <v>316</v>
      </c>
      <c r="CL937" s="236">
        <v>27.38</v>
      </c>
      <c r="CM937" s="236" t="s">
        <v>347</v>
      </c>
      <c r="CR937" s="340">
        <v>99.07</v>
      </c>
      <c r="CS937" s="340" t="s">
        <v>331</v>
      </c>
      <c r="CT937" s="1384"/>
      <c r="DF937" s="340">
        <v>140.12</v>
      </c>
      <c r="DG937" s="340" t="s">
        <v>316</v>
      </c>
      <c r="DV937" s="340">
        <v>102.04</v>
      </c>
      <c r="DW937" s="340" t="s">
        <v>356</v>
      </c>
      <c r="DX937" s="1671"/>
    </row>
    <row r="938" spans="12:128">
      <c r="L938" s="2481">
        <v>141.09</v>
      </c>
      <c r="M938" s="340" t="s">
        <v>316</v>
      </c>
      <c r="N938" s="1390"/>
      <c r="O938" s="2479"/>
      <c r="P938" s="2282"/>
      <c r="AG938" s="2297">
        <v>102.07</v>
      </c>
      <c r="AH938" s="2297" t="s">
        <v>356</v>
      </c>
      <c r="AI938" s="1390"/>
      <c r="AJ938" s="2282"/>
      <c r="AK938" s="2282"/>
      <c r="AL938" s="1037"/>
      <c r="AX938" s="340">
        <v>134.09</v>
      </c>
      <c r="AY938" s="340" t="s">
        <v>316</v>
      </c>
      <c r="BN938" s="340">
        <v>98.12</v>
      </c>
      <c r="BO938" s="340" t="s">
        <v>331</v>
      </c>
      <c r="BP938" s="1385"/>
      <c r="BV938" s="236">
        <v>7</v>
      </c>
      <c r="BW938" s="236" t="s">
        <v>302</v>
      </c>
      <c r="CB938" s="340">
        <v>133.13</v>
      </c>
      <c r="CC938" s="340" t="s">
        <v>316</v>
      </c>
      <c r="CL938" s="236">
        <v>27.39</v>
      </c>
      <c r="CM938" s="236" t="s">
        <v>347</v>
      </c>
      <c r="CR938" s="340">
        <v>99.09</v>
      </c>
      <c r="CS938" s="340" t="s">
        <v>331</v>
      </c>
      <c r="CT938" s="1384"/>
      <c r="DF938" s="340">
        <v>140.16999999999999</v>
      </c>
      <c r="DG938" s="340" t="s">
        <v>316</v>
      </c>
      <c r="DV938" s="340">
        <v>102.05</v>
      </c>
      <c r="DW938" s="340" t="s">
        <v>297</v>
      </c>
      <c r="DX938" s="1671"/>
    </row>
    <row r="939" spans="12:128">
      <c r="L939" s="2481">
        <v>141.16999999999999</v>
      </c>
      <c r="M939" s="340" t="s">
        <v>316</v>
      </c>
      <c r="N939" s="1390"/>
      <c r="O939" s="2479"/>
      <c r="P939" s="2282"/>
      <c r="AG939" s="2297">
        <v>102.08</v>
      </c>
      <c r="AH939" s="2297" t="s">
        <v>297</v>
      </c>
      <c r="AI939" s="1390"/>
      <c r="AJ939" s="2282"/>
      <c r="AK939" s="2282"/>
      <c r="AL939" s="1037"/>
      <c r="AX939" s="340">
        <v>134.1</v>
      </c>
      <c r="AY939" s="340" t="s">
        <v>316</v>
      </c>
      <c r="BN939" s="340">
        <v>99.07</v>
      </c>
      <c r="BO939" s="340" t="s">
        <v>331</v>
      </c>
      <c r="BP939" s="1385"/>
      <c r="BV939" s="236">
        <v>8</v>
      </c>
      <c r="BW939" s="236" t="s">
        <v>302</v>
      </c>
      <c r="CB939" s="340">
        <v>133.15</v>
      </c>
      <c r="CC939" s="340" t="s">
        <v>316</v>
      </c>
      <c r="CL939" s="236">
        <v>27.4</v>
      </c>
      <c r="CM939" s="236" t="s">
        <v>347</v>
      </c>
      <c r="CR939" s="340">
        <v>100.12</v>
      </c>
      <c r="CS939" s="340" t="s">
        <v>331</v>
      </c>
      <c r="CT939" s="1384"/>
      <c r="DF939" s="340">
        <v>141.08000000000001</v>
      </c>
      <c r="DG939" s="340" t="s">
        <v>316</v>
      </c>
      <c r="DV939" s="340">
        <v>102.05</v>
      </c>
      <c r="DW939" s="340" t="s">
        <v>323</v>
      </c>
      <c r="DX939" s="1671"/>
    </row>
    <row r="940" spans="12:128">
      <c r="L940" s="2481">
        <v>141.18</v>
      </c>
      <c r="M940" s="340" t="s">
        <v>316</v>
      </c>
      <c r="N940" s="1390"/>
      <c r="O940" s="2479"/>
      <c r="P940" s="2282"/>
      <c r="AG940" s="2297">
        <v>102.08</v>
      </c>
      <c r="AH940" s="2297" t="s">
        <v>356</v>
      </c>
      <c r="AI940" s="1390"/>
      <c r="AJ940" s="2282"/>
      <c r="AK940" s="2282"/>
      <c r="AL940" s="1037"/>
      <c r="AX940" s="340">
        <v>134.12</v>
      </c>
      <c r="AY940" s="340" t="s">
        <v>316</v>
      </c>
      <c r="BN940" s="340">
        <v>99.09</v>
      </c>
      <c r="BO940" s="340" t="s">
        <v>331</v>
      </c>
      <c r="BP940" s="1385"/>
      <c r="BV940" s="236">
        <v>10</v>
      </c>
      <c r="BW940" s="236" t="s">
        <v>302</v>
      </c>
      <c r="CB940" s="340">
        <v>133.16999999999999</v>
      </c>
      <c r="CC940" s="340" t="s">
        <v>316</v>
      </c>
      <c r="CL940" s="236">
        <v>27.41</v>
      </c>
      <c r="CM940" s="236" t="s">
        <v>347</v>
      </c>
      <c r="CR940" s="340">
        <v>100.13</v>
      </c>
      <c r="CS940" s="340" t="s">
        <v>331</v>
      </c>
      <c r="CT940" s="1384"/>
      <c r="DF940" s="340">
        <v>141.09</v>
      </c>
      <c r="DG940" s="340" t="s">
        <v>316</v>
      </c>
      <c r="DV940" s="340">
        <v>102.05</v>
      </c>
      <c r="DW940" s="340" t="s">
        <v>331</v>
      </c>
      <c r="DX940" s="1671"/>
    </row>
    <row r="941" spans="12:128">
      <c r="L941" s="2481">
        <v>141.19</v>
      </c>
      <c r="M941" s="340" t="s">
        <v>316</v>
      </c>
      <c r="N941" s="1390"/>
      <c r="O941" s="2479"/>
      <c r="P941" s="2282"/>
      <c r="AG941" s="2297">
        <v>102.09</v>
      </c>
      <c r="AH941" s="2297" t="s">
        <v>297</v>
      </c>
      <c r="AI941" s="1390"/>
      <c r="AJ941" s="2282"/>
      <c r="AK941" s="2282"/>
      <c r="AL941" s="1037"/>
      <c r="AX941" s="340">
        <v>134.13</v>
      </c>
      <c r="AY941" s="340" t="s">
        <v>316</v>
      </c>
      <c r="BN941" s="340">
        <v>100.12</v>
      </c>
      <c r="BO941" s="340" t="s">
        <v>331</v>
      </c>
      <c r="BP941" s="1385"/>
      <c r="BV941" s="236">
        <v>11</v>
      </c>
      <c r="BW941" s="236" t="s">
        <v>302</v>
      </c>
      <c r="CB941" s="340">
        <v>133.19</v>
      </c>
      <c r="CC941" s="340" t="s">
        <v>316</v>
      </c>
      <c r="CL941" s="236">
        <v>27.42</v>
      </c>
      <c r="CM941" s="236" t="s">
        <v>347</v>
      </c>
      <c r="CR941" s="340">
        <v>100.16</v>
      </c>
      <c r="CS941" s="340" t="s">
        <v>331</v>
      </c>
      <c r="CT941" s="1384"/>
      <c r="DF941" s="340">
        <v>141.16999999999999</v>
      </c>
      <c r="DG941" s="340" t="s">
        <v>316</v>
      </c>
      <c r="DV941" s="340">
        <v>102.05</v>
      </c>
      <c r="DW941" s="340" t="s">
        <v>356</v>
      </c>
      <c r="DX941" s="1671"/>
    </row>
    <row r="942" spans="12:128">
      <c r="L942" s="2481">
        <v>141.21</v>
      </c>
      <c r="M942" s="340" t="s">
        <v>316</v>
      </c>
      <c r="N942" s="1390"/>
      <c r="O942" s="2479"/>
      <c r="P942" s="2282"/>
      <c r="AG942" s="2297">
        <v>102.09</v>
      </c>
      <c r="AH942" s="2297" t="s">
        <v>356</v>
      </c>
      <c r="AI942" s="1390"/>
      <c r="AJ942" s="2282"/>
      <c r="AK942" s="2282"/>
      <c r="AL942" s="1037"/>
      <c r="AX942" s="340">
        <v>134.13999999999999</v>
      </c>
      <c r="AY942" s="340" t="s">
        <v>316</v>
      </c>
      <c r="BN942" s="340">
        <v>100.13</v>
      </c>
      <c r="BO942" s="340" t="s">
        <v>331</v>
      </c>
      <c r="BP942" s="1385"/>
      <c r="BV942" s="236">
        <v>12</v>
      </c>
      <c r="BW942" s="236" t="s">
        <v>302</v>
      </c>
      <c r="CB942" s="340">
        <v>133.19999999999999</v>
      </c>
      <c r="CC942" s="340" t="s">
        <v>316</v>
      </c>
      <c r="CL942" s="236">
        <v>27.43</v>
      </c>
      <c r="CM942" s="236" t="s">
        <v>347</v>
      </c>
      <c r="CR942" s="340">
        <v>100.17</v>
      </c>
      <c r="CS942" s="340" t="s">
        <v>331</v>
      </c>
      <c r="CT942" s="1384"/>
      <c r="DF942" s="340">
        <v>141.18</v>
      </c>
      <c r="DG942" s="340" t="s">
        <v>316</v>
      </c>
      <c r="DV942" s="340">
        <v>102.07</v>
      </c>
      <c r="DW942" s="340" t="s">
        <v>323</v>
      </c>
      <c r="DX942" s="1671"/>
    </row>
    <row r="943" spans="12:128">
      <c r="L943" s="2481">
        <v>141.22</v>
      </c>
      <c r="M943" s="340" t="s">
        <v>316</v>
      </c>
      <c r="N943" s="1390"/>
      <c r="O943" s="2479"/>
      <c r="P943" s="2282"/>
      <c r="AG943" s="2297">
        <v>102.1</v>
      </c>
      <c r="AH943" s="2297" t="s">
        <v>297</v>
      </c>
      <c r="AI943" s="1390"/>
      <c r="AJ943" s="2282"/>
      <c r="AK943" s="2282"/>
      <c r="AL943" s="1037"/>
      <c r="AX943" s="340">
        <v>134.15</v>
      </c>
      <c r="AY943" s="340" t="s">
        <v>316</v>
      </c>
      <c r="BN943" s="340">
        <v>100.16</v>
      </c>
      <c r="BO943" s="340" t="s">
        <v>331</v>
      </c>
      <c r="BP943" s="1385"/>
      <c r="BV943" s="236">
        <v>13</v>
      </c>
      <c r="BW943" s="236" t="s">
        <v>302</v>
      </c>
      <c r="CB943" s="340">
        <v>133.22</v>
      </c>
      <c r="CC943" s="340" t="s">
        <v>316</v>
      </c>
      <c r="CL943" s="236">
        <v>27.44</v>
      </c>
      <c r="CM943" s="236" t="s">
        <v>347</v>
      </c>
      <c r="CR943" s="340">
        <v>100.25</v>
      </c>
      <c r="CS943" s="340" t="s">
        <v>331</v>
      </c>
      <c r="CT943" s="1384"/>
      <c r="DF943" s="340">
        <v>141.19</v>
      </c>
      <c r="DG943" s="340" t="s">
        <v>316</v>
      </c>
      <c r="DV943" s="340">
        <v>102.07</v>
      </c>
      <c r="DW943" s="340" t="s">
        <v>356</v>
      </c>
      <c r="DX943" s="1671"/>
    </row>
    <row r="944" spans="12:128">
      <c r="L944" s="2481">
        <v>143</v>
      </c>
      <c r="M944" s="340" t="s">
        <v>316</v>
      </c>
      <c r="N944" s="1390"/>
      <c r="O944" s="2479"/>
      <c r="P944" s="2282"/>
      <c r="AG944" s="2297">
        <v>102.1</v>
      </c>
      <c r="AH944" s="2297" t="s">
        <v>316</v>
      </c>
      <c r="AI944" s="1390"/>
      <c r="AJ944" s="2282"/>
      <c r="AK944" s="2282"/>
      <c r="AL944" s="1037"/>
      <c r="AX944" s="340">
        <v>137.02000000000001</v>
      </c>
      <c r="AY944" s="340" t="s">
        <v>316</v>
      </c>
      <c r="BN944" s="340">
        <v>100.17</v>
      </c>
      <c r="BO944" s="340" t="s">
        <v>331</v>
      </c>
      <c r="BP944" s="1385"/>
      <c r="BV944" s="236">
        <v>14.01</v>
      </c>
      <c r="BW944" s="236" t="s">
        <v>302</v>
      </c>
      <c r="CB944" s="340">
        <v>133.22999999999999</v>
      </c>
      <c r="CC944" s="340" t="s">
        <v>316</v>
      </c>
      <c r="CL944" s="236">
        <v>27.45</v>
      </c>
      <c r="CM944" s="236" t="s">
        <v>347</v>
      </c>
      <c r="CR944" s="340">
        <v>101</v>
      </c>
      <c r="CS944" s="340" t="s">
        <v>292</v>
      </c>
      <c r="CT944" s="1384"/>
      <c r="DF944" s="340">
        <v>141.21</v>
      </c>
      <c r="DG944" s="340" t="s">
        <v>316</v>
      </c>
      <c r="DV944" s="340">
        <v>102.08</v>
      </c>
      <c r="DW944" s="340" t="s">
        <v>297</v>
      </c>
      <c r="DX944" s="1671"/>
    </row>
    <row r="945" spans="12:128">
      <c r="L945" s="2481">
        <v>144</v>
      </c>
      <c r="M945" s="340" t="s">
        <v>316</v>
      </c>
      <c r="N945" s="1390"/>
      <c r="O945" s="2479"/>
      <c r="P945" s="2282"/>
      <c r="AG945" s="2297">
        <v>102.11</v>
      </c>
      <c r="AH945" s="2297" t="s">
        <v>297</v>
      </c>
      <c r="AI945" s="1390"/>
      <c r="AJ945" s="2282"/>
      <c r="AK945" s="2282"/>
      <c r="AL945" s="1037"/>
      <c r="AX945" s="340">
        <v>137.03</v>
      </c>
      <c r="AY945" s="340" t="s">
        <v>316</v>
      </c>
      <c r="BN945" s="340">
        <v>100.18</v>
      </c>
      <c r="BO945" s="340" t="s">
        <v>331</v>
      </c>
      <c r="BP945" s="1385"/>
      <c r="BV945" s="236">
        <v>14.02</v>
      </c>
      <c r="BW945" s="236" t="s">
        <v>302</v>
      </c>
      <c r="CB945" s="340">
        <v>134.07</v>
      </c>
      <c r="CC945" s="340" t="s">
        <v>316</v>
      </c>
      <c r="CL945" s="236">
        <v>27.46</v>
      </c>
      <c r="CM945" s="236" t="s">
        <v>347</v>
      </c>
      <c r="CR945" s="340">
        <v>101.01</v>
      </c>
      <c r="CS945" s="340" t="s">
        <v>300</v>
      </c>
      <c r="CT945" s="1384"/>
      <c r="DF945" s="340">
        <v>141.22</v>
      </c>
      <c r="DG945" s="340" t="s">
        <v>316</v>
      </c>
      <c r="DV945" s="340">
        <v>102.08</v>
      </c>
      <c r="DW945" s="340" t="s">
        <v>356</v>
      </c>
      <c r="DX945" s="1671"/>
    </row>
    <row r="946" spans="12:128">
      <c r="L946" s="2481">
        <v>9601</v>
      </c>
      <c r="M946" s="340" t="s">
        <v>317</v>
      </c>
      <c r="N946" s="1390"/>
      <c r="O946" s="2479"/>
      <c r="P946" s="2282"/>
      <c r="AG946" s="2297">
        <v>102.11</v>
      </c>
      <c r="AH946" s="2297" t="s">
        <v>316</v>
      </c>
      <c r="AI946" s="1390"/>
      <c r="AJ946" s="2282"/>
      <c r="AK946" s="2282"/>
      <c r="AL946" s="1037"/>
      <c r="AX946" s="340">
        <v>137.06</v>
      </c>
      <c r="AY946" s="340" t="s">
        <v>316</v>
      </c>
      <c r="BN946" s="340">
        <v>100.2</v>
      </c>
      <c r="BO946" s="340" t="s">
        <v>331</v>
      </c>
      <c r="BP946" s="1385"/>
      <c r="BV946" s="236">
        <v>15</v>
      </c>
      <c r="BW946" s="236" t="s">
        <v>302</v>
      </c>
      <c r="CB946" s="340">
        <v>134.09</v>
      </c>
      <c r="CC946" s="340" t="s">
        <v>316</v>
      </c>
      <c r="CL946" s="236">
        <v>27.47</v>
      </c>
      <c r="CM946" s="236" t="s">
        <v>347</v>
      </c>
      <c r="CR946" s="340">
        <v>101.01</v>
      </c>
      <c r="CS946" s="340" t="s">
        <v>302</v>
      </c>
      <c r="CT946" s="1384"/>
      <c r="DF946" s="340">
        <v>143</v>
      </c>
      <c r="DG946" s="340" t="s">
        <v>316</v>
      </c>
      <c r="DV946" s="340">
        <v>102.09</v>
      </c>
      <c r="DW946" s="340" t="s">
        <v>297</v>
      </c>
      <c r="DX946" s="1671"/>
    </row>
    <row r="947" spans="12:128">
      <c r="L947" s="2481">
        <v>9602.01</v>
      </c>
      <c r="M947" s="340" t="s">
        <v>317</v>
      </c>
      <c r="N947" s="1390"/>
      <c r="O947" s="2479"/>
      <c r="P947" s="2282"/>
      <c r="AG947" s="2297">
        <v>102.12</v>
      </c>
      <c r="AH947" s="2297" t="s">
        <v>316</v>
      </c>
      <c r="AI947" s="1390"/>
      <c r="AJ947" s="2282"/>
      <c r="AK947" s="2282"/>
      <c r="AL947" s="1037"/>
      <c r="AX947" s="340">
        <v>138.04</v>
      </c>
      <c r="AY947" s="340" t="s">
        <v>316</v>
      </c>
      <c r="BN947" s="340">
        <v>100.21</v>
      </c>
      <c r="BO947" s="340" t="s">
        <v>331</v>
      </c>
      <c r="BP947" s="1385"/>
      <c r="BV947" s="236">
        <v>16</v>
      </c>
      <c r="BW947" s="236" t="s">
        <v>302</v>
      </c>
      <c r="CB947" s="340">
        <v>134.1</v>
      </c>
      <c r="CC947" s="340" t="s">
        <v>316</v>
      </c>
      <c r="CL947" s="236">
        <v>27.48</v>
      </c>
      <c r="CM947" s="236" t="s">
        <v>347</v>
      </c>
      <c r="CR947" s="340">
        <v>101.02</v>
      </c>
      <c r="CS947" s="340" t="s">
        <v>289</v>
      </c>
      <c r="CT947" s="1384"/>
      <c r="DF947" s="340">
        <v>144</v>
      </c>
      <c r="DG947" s="340" t="s">
        <v>316</v>
      </c>
      <c r="DV947" s="340">
        <v>102.09</v>
      </c>
      <c r="DW947" s="340" t="s">
        <v>356</v>
      </c>
      <c r="DX947" s="1671"/>
    </row>
    <row r="948" spans="12:128">
      <c r="L948" s="2481">
        <v>9604.02</v>
      </c>
      <c r="M948" s="340" t="s">
        <v>317</v>
      </c>
      <c r="N948" s="1390"/>
      <c r="O948" s="2479"/>
      <c r="P948" s="2282"/>
      <c r="AG948" s="2297">
        <v>102.12</v>
      </c>
      <c r="AH948" s="2297" t="s">
        <v>331</v>
      </c>
      <c r="AI948" s="1390"/>
      <c r="AJ948" s="2282"/>
      <c r="AK948" s="2282"/>
      <c r="AL948" s="1037"/>
      <c r="AX948" s="340">
        <v>138.06</v>
      </c>
      <c r="AY948" s="340" t="s">
        <v>316</v>
      </c>
      <c r="BN948" s="340">
        <v>100.25</v>
      </c>
      <c r="BO948" s="340" t="s">
        <v>331</v>
      </c>
      <c r="BP948" s="1385"/>
      <c r="BV948" s="236">
        <v>21.01</v>
      </c>
      <c r="BW948" s="236" t="s">
        <v>302</v>
      </c>
      <c r="CB948" s="340">
        <v>134.12</v>
      </c>
      <c r="CC948" s="340" t="s">
        <v>316</v>
      </c>
      <c r="CL948" s="236">
        <v>28</v>
      </c>
      <c r="CM948" s="236" t="s">
        <v>316</v>
      </c>
      <c r="CR948" s="340">
        <v>101.02</v>
      </c>
      <c r="CS948" s="340" t="s">
        <v>297</v>
      </c>
      <c r="CT948" s="1384"/>
      <c r="DF948" s="340">
        <v>9601</v>
      </c>
      <c r="DG948" s="340" t="s">
        <v>317</v>
      </c>
      <c r="DV948" s="340">
        <v>102.1</v>
      </c>
      <c r="DW948" s="340" t="s">
        <v>297</v>
      </c>
      <c r="DX948" s="1671"/>
    </row>
    <row r="949" spans="12:128">
      <c r="L949" s="2481">
        <v>503.06</v>
      </c>
      <c r="M949" s="340" t="s">
        <v>318</v>
      </c>
      <c r="N949" s="1390"/>
      <c r="O949" s="2479"/>
      <c r="P949" s="2282"/>
      <c r="AG949" s="2297">
        <v>102.13</v>
      </c>
      <c r="AH949" s="2297" t="s">
        <v>297</v>
      </c>
      <c r="AI949" s="1390"/>
      <c r="AJ949" s="2282"/>
      <c r="AK949" s="2282"/>
      <c r="AL949" s="1037"/>
      <c r="AX949" s="340">
        <v>138.07</v>
      </c>
      <c r="AY949" s="340" t="s">
        <v>316</v>
      </c>
      <c r="BN949" s="340">
        <v>101</v>
      </c>
      <c r="BO949" s="340" t="s">
        <v>292</v>
      </c>
      <c r="BP949" s="1385"/>
      <c r="BV949" s="236">
        <v>21.02</v>
      </c>
      <c r="BW949" s="236" t="s">
        <v>302</v>
      </c>
      <c r="CB949" s="340">
        <v>134.13</v>
      </c>
      <c r="CC949" s="340" t="s">
        <v>316</v>
      </c>
      <c r="CL949" s="236">
        <v>28</v>
      </c>
      <c r="CM949" s="236" t="s">
        <v>331</v>
      </c>
      <c r="CR949" s="340">
        <v>101.03</v>
      </c>
      <c r="CS949" s="340" t="s">
        <v>289</v>
      </c>
      <c r="CT949" s="1384"/>
      <c r="DF949" s="340">
        <v>9602.01</v>
      </c>
      <c r="DG949" s="340" t="s">
        <v>317</v>
      </c>
      <c r="DV949" s="340">
        <v>102.1</v>
      </c>
      <c r="DW949" s="340" t="s">
        <v>316</v>
      </c>
      <c r="DX949" s="1671"/>
    </row>
    <row r="950" spans="12:128">
      <c r="L950" s="2481">
        <v>504.02</v>
      </c>
      <c r="M950" s="340" t="s">
        <v>318</v>
      </c>
      <c r="N950" s="1390"/>
      <c r="O950" s="2479"/>
      <c r="P950" s="2282"/>
      <c r="AG950" s="2297">
        <v>102.14</v>
      </c>
      <c r="AH950" s="2297" t="s">
        <v>331</v>
      </c>
      <c r="AI950" s="1390"/>
      <c r="AJ950" s="2282"/>
      <c r="AK950" s="2282"/>
      <c r="AL950" s="1037"/>
      <c r="AX950" s="340">
        <v>139.07</v>
      </c>
      <c r="AY950" s="340" t="s">
        <v>316</v>
      </c>
      <c r="BN950" s="340">
        <v>101.01</v>
      </c>
      <c r="BO950" s="340" t="s">
        <v>300</v>
      </c>
      <c r="BP950" s="1385"/>
      <c r="BV950" s="236">
        <v>22</v>
      </c>
      <c r="BW950" s="236" t="s">
        <v>302</v>
      </c>
      <c r="CB950" s="340">
        <v>134.13999999999999</v>
      </c>
      <c r="CC950" s="340" t="s">
        <v>316</v>
      </c>
      <c r="CL950" s="236">
        <v>28</v>
      </c>
      <c r="CM950" s="236" t="s">
        <v>340</v>
      </c>
      <c r="CR950" s="340">
        <v>101.04</v>
      </c>
      <c r="CS950" s="340" t="s">
        <v>289</v>
      </c>
      <c r="CT950" s="1384"/>
      <c r="DF950" s="340">
        <v>9604.0300000000007</v>
      </c>
      <c r="DG950" s="340" t="s">
        <v>317</v>
      </c>
      <c r="DV950" s="340">
        <v>102.11</v>
      </c>
      <c r="DW950" s="340" t="s">
        <v>297</v>
      </c>
      <c r="DX950" s="1671"/>
    </row>
    <row r="951" spans="12:128">
      <c r="L951" s="2481">
        <v>505.04</v>
      </c>
      <c r="M951" s="340" t="s">
        <v>318</v>
      </c>
      <c r="N951" s="1390"/>
      <c r="O951" s="2479"/>
      <c r="P951" s="2282"/>
      <c r="AG951" s="2297">
        <v>102.15</v>
      </c>
      <c r="AH951" s="2297" t="s">
        <v>297</v>
      </c>
      <c r="AI951" s="1390"/>
      <c r="AJ951" s="2282"/>
      <c r="AK951" s="2282"/>
      <c r="AL951" s="1037"/>
      <c r="AX951" s="340">
        <v>139.13</v>
      </c>
      <c r="AY951" s="340" t="s">
        <v>316</v>
      </c>
      <c r="BN951" s="340">
        <v>101.01</v>
      </c>
      <c r="BO951" s="340" t="s">
        <v>302</v>
      </c>
      <c r="BP951" s="1385"/>
      <c r="BV951" s="236">
        <v>23</v>
      </c>
      <c r="BW951" s="236" t="s">
        <v>302</v>
      </c>
      <c r="CB951" s="340">
        <v>134.15</v>
      </c>
      <c r="CC951" s="340" t="s">
        <v>316</v>
      </c>
      <c r="CL951" s="236">
        <v>28.01</v>
      </c>
      <c r="CM951" s="236" t="s">
        <v>302</v>
      </c>
      <c r="CR951" s="340">
        <v>101.04</v>
      </c>
      <c r="CS951" s="340" t="s">
        <v>302</v>
      </c>
      <c r="CT951" s="1384"/>
      <c r="DF951" s="340">
        <v>502.01</v>
      </c>
      <c r="DG951" s="340" t="s">
        <v>318</v>
      </c>
      <c r="DV951" s="340">
        <v>102.11</v>
      </c>
      <c r="DW951" s="340" t="s">
        <v>316</v>
      </c>
      <c r="DX951" s="1671"/>
    </row>
    <row r="952" spans="12:128">
      <c r="L952" s="2481">
        <v>505.05</v>
      </c>
      <c r="M952" s="340" t="s">
        <v>318</v>
      </c>
      <c r="N952" s="1390"/>
      <c r="O952" s="2479"/>
      <c r="P952" s="2282"/>
      <c r="AG952" s="2297">
        <v>102.15</v>
      </c>
      <c r="AH952" s="2297" t="s">
        <v>316</v>
      </c>
      <c r="AI952" s="1390"/>
      <c r="AJ952" s="2282"/>
      <c r="AK952" s="2282"/>
      <c r="AL952" s="1037"/>
      <c r="AX952" s="340">
        <v>139.15</v>
      </c>
      <c r="AY952" s="340" t="s">
        <v>316</v>
      </c>
      <c r="BN952" s="340">
        <v>101.01</v>
      </c>
      <c r="BO952" s="340" t="s">
        <v>356</v>
      </c>
      <c r="BP952" s="1385"/>
      <c r="BV952" s="236">
        <v>24</v>
      </c>
      <c r="BW952" s="236" t="s">
        <v>302</v>
      </c>
      <c r="CB952" s="340">
        <v>135.01</v>
      </c>
      <c r="CC952" s="340" t="s">
        <v>316</v>
      </c>
      <c r="CL952" s="236">
        <v>28.01</v>
      </c>
      <c r="CM952" s="236" t="s">
        <v>304</v>
      </c>
      <c r="CR952" s="340">
        <v>101.04</v>
      </c>
      <c r="CS952" s="340" t="s">
        <v>323</v>
      </c>
      <c r="CT952" s="1384"/>
      <c r="DF952" s="340">
        <v>503.06</v>
      </c>
      <c r="DG952" s="340" t="s">
        <v>318</v>
      </c>
      <c r="DV952" s="340">
        <v>102.12</v>
      </c>
      <c r="DW952" s="340" t="s">
        <v>316</v>
      </c>
      <c r="DX952" s="1671"/>
    </row>
    <row r="953" spans="12:128">
      <c r="L953" s="2481">
        <v>505.06</v>
      </c>
      <c r="M953" s="340" t="s">
        <v>318</v>
      </c>
      <c r="N953" s="1390"/>
      <c r="O953" s="2479"/>
      <c r="P953" s="2282"/>
      <c r="AG953" s="2297">
        <v>102.16</v>
      </c>
      <c r="AH953" s="2297" t="s">
        <v>297</v>
      </c>
      <c r="AI953" s="1390"/>
      <c r="AJ953" s="2282"/>
      <c r="AK953" s="2282"/>
      <c r="AL953" s="1037"/>
      <c r="AX953" s="340">
        <v>139.16</v>
      </c>
      <c r="AY953" s="340" t="s">
        <v>316</v>
      </c>
      <c r="BN953" s="340">
        <v>101.02</v>
      </c>
      <c r="BO953" s="340" t="s">
        <v>289</v>
      </c>
      <c r="BP953" s="1385"/>
      <c r="BV953" s="236">
        <v>25.01</v>
      </c>
      <c r="BW953" s="236" t="s">
        <v>302</v>
      </c>
      <c r="CB953" s="340">
        <v>137.02000000000001</v>
      </c>
      <c r="CC953" s="340" t="s">
        <v>316</v>
      </c>
      <c r="CL953" s="236">
        <v>28.02</v>
      </c>
      <c r="CM953" s="236" t="s">
        <v>302</v>
      </c>
      <c r="CR953" s="340">
        <v>101.05</v>
      </c>
      <c r="CS953" s="340" t="s">
        <v>302</v>
      </c>
      <c r="CT953" s="1384"/>
      <c r="DF953" s="340">
        <v>505.04</v>
      </c>
      <c r="DG953" s="340" t="s">
        <v>318</v>
      </c>
      <c r="DV953" s="340">
        <v>102.12</v>
      </c>
      <c r="DW953" s="340" t="s">
        <v>331</v>
      </c>
      <c r="DX953" s="1671"/>
    </row>
    <row r="954" spans="12:128">
      <c r="L954" s="2481">
        <v>505.07</v>
      </c>
      <c r="M954" s="340" t="s">
        <v>318</v>
      </c>
      <c r="N954" s="1390"/>
      <c r="O954" s="2479"/>
      <c r="P954" s="2282"/>
      <c r="AG954" s="2297">
        <v>102.16</v>
      </c>
      <c r="AH954" s="2297" t="s">
        <v>316</v>
      </c>
      <c r="AI954" s="1390"/>
      <c r="AJ954" s="2282"/>
      <c r="AK954" s="2282"/>
      <c r="AL954" s="1037"/>
      <c r="AX954" s="340">
        <v>139.16999999999999</v>
      </c>
      <c r="AY954" s="340" t="s">
        <v>316</v>
      </c>
      <c r="BN954" s="340">
        <v>101.02</v>
      </c>
      <c r="BO954" s="340" t="s">
        <v>297</v>
      </c>
      <c r="BP954" s="1385"/>
      <c r="BV954" s="236">
        <v>25.02</v>
      </c>
      <c r="BW954" s="236" t="s">
        <v>302</v>
      </c>
      <c r="CB954" s="340">
        <v>137.03</v>
      </c>
      <c r="CC954" s="340" t="s">
        <v>316</v>
      </c>
      <c r="CL954" s="236">
        <v>28.02</v>
      </c>
      <c r="CM954" s="236" t="s">
        <v>304</v>
      </c>
      <c r="CR954" s="340">
        <v>101.05</v>
      </c>
      <c r="CS954" s="340" t="s">
        <v>316</v>
      </c>
      <c r="CT954" s="1384"/>
      <c r="DF954" s="340">
        <v>505.05</v>
      </c>
      <c r="DG954" s="340" t="s">
        <v>318</v>
      </c>
      <c r="DV954" s="340">
        <v>102.13</v>
      </c>
      <c r="DW954" s="340" t="s">
        <v>297</v>
      </c>
      <c r="DX954" s="1671"/>
    </row>
    <row r="955" spans="12:128">
      <c r="L955" s="2481">
        <v>505.08</v>
      </c>
      <c r="M955" s="340" t="s">
        <v>318</v>
      </c>
      <c r="N955" s="1390"/>
      <c r="O955" s="2479"/>
      <c r="P955" s="2282"/>
      <c r="AG955" s="2297">
        <v>102.17</v>
      </c>
      <c r="AH955" s="2297" t="s">
        <v>297</v>
      </c>
      <c r="AI955" s="1390"/>
      <c r="AJ955" s="2282"/>
      <c r="AK955" s="2282"/>
      <c r="AL955" s="1037"/>
      <c r="AX955" s="340">
        <v>139.18</v>
      </c>
      <c r="AY955" s="340" t="s">
        <v>316</v>
      </c>
      <c r="BN955" s="340">
        <v>101.03</v>
      </c>
      <c r="BO955" s="340" t="s">
        <v>289</v>
      </c>
      <c r="BP955" s="1385"/>
      <c r="BV955" s="236">
        <v>26</v>
      </c>
      <c r="BW955" s="236" t="s">
        <v>302</v>
      </c>
      <c r="CB955" s="340">
        <v>137.06</v>
      </c>
      <c r="CC955" s="340" t="s">
        <v>316</v>
      </c>
      <c r="CL955" s="236">
        <v>28.03</v>
      </c>
      <c r="CM955" s="236" t="s">
        <v>304</v>
      </c>
      <c r="CR955" s="340">
        <v>101.06</v>
      </c>
      <c r="CS955" s="340" t="s">
        <v>302</v>
      </c>
      <c r="CT955" s="1384"/>
      <c r="DF955" s="340">
        <v>505.06</v>
      </c>
      <c r="DG955" s="340" t="s">
        <v>318</v>
      </c>
      <c r="DV955" s="340">
        <v>102.15</v>
      </c>
      <c r="DW955" s="340" t="s">
        <v>297</v>
      </c>
      <c r="DX955" s="1671"/>
    </row>
    <row r="956" spans="12:128">
      <c r="L956" s="2481">
        <v>505.09</v>
      </c>
      <c r="M956" s="340" t="s">
        <v>318</v>
      </c>
      <c r="N956" s="1390"/>
      <c r="O956" s="2479"/>
      <c r="P956" s="2282"/>
      <c r="AG956" s="2297">
        <v>102.17</v>
      </c>
      <c r="AH956" s="2297" t="s">
        <v>316</v>
      </c>
      <c r="AI956" s="1390"/>
      <c r="AJ956" s="2282"/>
      <c r="AK956" s="2282"/>
      <c r="AL956" s="1037"/>
      <c r="AX956" s="340">
        <v>139.19</v>
      </c>
      <c r="AY956" s="340" t="s">
        <v>316</v>
      </c>
      <c r="BN956" s="340">
        <v>101.04</v>
      </c>
      <c r="BO956" s="340" t="s">
        <v>289</v>
      </c>
      <c r="BP956" s="1385"/>
      <c r="BV956" s="236">
        <v>27.01</v>
      </c>
      <c r="BW956" s="236" t="s">
        <v>302</v>
      </c>
      <c r="CB956" s="340">
        <v>138.06</v>
      </c>
      <c r="CC956" s="340" t="s">
        <v>316</v>
      </c>
      <c r="CL956" s="236">
        <v>28.04</v>
      </c>
      <c r="CM956" s="236" t="s">
        <v>304</v>
      </c>
      <c r="CR956" s="340">
        <v>101.06</v>
      </c>
      <c r="CS956" s="340" t="s">
        <v>316</v>
      </c>
      <c r="CT956" s="1384"/>
      <c r="DF956" s="340">
        <v>505.07</v>
      </c>
      <c r="DG956" s="340" t="s">
        <v>318</v>
      </c>
      <c r="DV956" s="340">
        <v>102.15</v>
      </c>
      <c r="DW956" s="340" t="s">
        <v>316</v>
      </c>
      <c r="DX956" s="1671"/>
    </row>
    <row r="957" spans="12:128">
      <c r="L957" s="2481">
        <v>506.01</v>
      </c>
      <c r="M957" s="340" t="s">
        <v>318</v>
      </c>
      <c r="N957" s="1390"/>
      <c r="O957" s="2479"/>
      <c r="P957" s="2282"/>
      <c r="AG957" s="2297">
        <v>102.18</v>
      </c>
      <c r="AH957" s="2297" t="s">
        <v>316</v>
      </c>
      <c r="AI957" s="1390"/>
      <c r="AJ957" s="2282"/>
      <c r="AK957" s="2282"/>
      <c r="AL957" s="1037"/>
      <c r="AX957" s="340">
        <v>139.22</v>
      </c>
      <c r="AY957" s="340" t="s">
        <v>316</v>
      </c>
      <c r="BN957" s="340">
        <v>101.04</v>
      </c>
      <c r="BO957" s="340" t="s">
        <v>302</v>
      </c>
      <c r="BP957" s="1385"/>
      <c r="BV957" s="236">
        <v>27.02</v>
      </c>
      <c r="BW957" s="236" t="s">
        <v>302</v>
      </c>
      <c r="CB957" s="340">
        <v>138.07</v>
      </c>
      <c r="CC957" s="340" t="s">
        <v>316</v>
      </c>
      <c r="CL957" s="236">
        <v>29</v>
      </c>
      <c r="CM957" s="236" t="s">
        <v>304</v>
      </c>
      <c r="CR957" s="340">
        <v>101.06</v>
      </c>
      <c r="CS957" s="340" t="s">
        <v>323</v>
      </c>
      <c r="CT957" s="1384"/>
      <c r="DF957" s="340">
        <v>505.08</v>
      </c>
      <c r="DG957" s="340" t="s">
        <v>318</v>
      </c>
      <c r="DV957" s="340">
        <v>102.16</v>
      </c>
      <c r="DW957" s="340" t="s">
        <v>297</v>
      </c>
      <c r="DX957" s="1671"/>
    </row>
    <row r="958" spans="12:128">
      <c r="L958" s="2481">
        <v>506.02</v>
      </c>
      <c r="M958" s="340" t="s">
        <v>318</v>
      </c>
      <c r="N958" s="1390"/>
      <c r="O958" s="2479"/>
      <c r="P958" s="2282"/>
      <c r="AG958" s="2297">
        <v>103</v>
      </c>
      <c r="AH958" s="2297" t="s">
        <v>297</v>
      </c>
      <c r="AI958" s="1390"/>
      <c r="AJ958" s="2282"/>
      <c r="AK958" s="2282"/>
      <c r="AL958" s="1037"/>
      <c r="AX958" s="340">
        <v>139.22999999999999</v>
      </c>
      <c r="AY958" s="340" t="s">
        <v>316</v>
      </c>
      <c r="BN958" s="340">
        <v>101.04</v>
      </c>
      <c r="BO958" s="340" t="s">
        <v>323</v>
      </c>
      <c r="BP958" s="1385"/>
      <c r="BV958" s="236">
        <v>28.01</v>
      </c>
      <c r="BW958" s="236" t="s">
        <v>302</v>
      </c>
      <c r="CB958" s="340">
        <v>139.03</v>
      </c>
      <c r="CC958" s="340" t="s">
        <v>316</v>
      </c>
      <c r="CL958" s="236">
        <v>29</v>
      </c>
      <c r="CM958" s="236" t="s">
        <v>316</v>
      </c>
      <c r="CR958" s="340">
        <v>101.07</v>
      </c>
      <c r="CS958" s="340" t="s">
        <v>302</v>
      </c>
      <c r="CT958" s="1384"/>
      <c r="DF958" s="340">
        <v>505.09</v>
      </c>
      <c r="DG958" s="340" t="s">
        <v>318</v>
      </c>
      <c r="DV958" s="340">
        <v>102.16</v>
      </c>
      <c r="DW958" s="340" t="s">
        <v>316</v>
      </c>
      <c r="DX958" s="1671"/>
    </row>
    <row r="959" spans="12:128">
      <c r="L959" s="2481">
        <v>506.03</v>
      </c>
      <c r="M959" s="340" t="s">
        <v>318</v>
      </c>
      <c r="N959" s="1390"/>
      <c r="O959" s="2479"/>
      <c r="P959" s="2282"/>
      <c r="AG959" s="2297">
        <v>103</v>
      </c>
      <c r="AH959" s="2297" t="s">
        <v>338</v>
      </c>
      <c r="AI959" s="1390"/>
      <c r="AJ959" s="2282"/>
      <c r="AK959" s="2282"/>
      <c r="AL959" s="1037"/>
      <c r="AX959" s="340">
        <v>139.24</v>
      </c>
      <c r="AY959" s="340" t="s">
        <v>316</v>
      </c>
      <c r="BN959" s="340">
        <v>101.05</v>
      </c>
      <c r="BO959" s="340" t="s">
        <v>302</v>
      </c>
      <c r="BP959" s="1385"/>
      <c r="BV959" s="236">
        <v>28.02</v>
      </c>
      <c r="BW959" s="236" t="s">
        <v>302</v>
      </c>
      <c r="CB959" s="340">
        <v>139.07</v>
      </c>
      <c r="CC959" s="340" t="s">
        <v>316</v>
      </c>
      <c r="CL959" s="236">
        <v>29</v>
      </c>
      <c r="CM959" s="236" t="s">
        <v>331</v>
      </c>
      <c r="CR959" s="340">
        <v>101.07</v>
      </c>
      <c r="CS959" s="340" t="s">
        <v>323</v>
      </c>
      <c r="CT959" s="1384"/>
      <c r="DF959" s="340">
        <v>506.01</v>
      </c>
      <c r="DG959" s="340" t="s">
        <v>318</v>
      </c>
      <c r="DV959" s="340">
        <v>102.17</v>
      </c>
      <c r="DW959" s="340" t="s">
        <v>297</v>
      </c>
      <c r="DX959" s="1671"/>
    </row>
    <row r="960" spans="12:128">
      <c r="L960" s="2481">
        <v>506.05</v>
      </c>
      <c r="M960" s="340" t="s">
        <v>318</v>
      </c>
      <c r="N960" s="1390"/>
      <c r="O960" s="2479"/>
      <c r="P960" s="2282"/>
      <c r="AG960" s="2297">
        <v>103</v>
      </c>
      <c r="AH960" s="2297" t="s">
        <v>344</v>
      </c>
      <c r="AI960" s="1390"/>
      <c r="AJ960" s="2282"/>
      <c r="AK960" s="2282"/>
      <c r="AL960" s="1037"/>
      <c r="AX960" s="340">
        <v>139.26</v>
      </c>
      <c r="AY960" s="340" t="s">
        <v>316</v>
      </c>
      <c r="BN960" s="340">
        <v>101.05</v>
      </c>
      <c r="BO960" s="340" t="s">
        <v>316</v>
      </c>
      <c r="BP960" s="1385"/>
      <c r="BV960" s="236">
        <v>29.01</v>
      </c>
      <c r="BW960" s="236" t="s">
        <v>302</v>
      </c>
      <c r="CB960" s="340">
        <v>139.13</v>
      </c>
      <c r="CC960" s="340" t="s">
        <v>316</v>
      </c>
      <c r="CL960" s="236">
        <v>29</v>
      </c>
      <c r="CM960" s="236" t="s">
        <v>340</v>
      </c>
      <c r="CR960" s="340">
        <v>101.08</v>
      </c>
      <c r="CS960" s="340" t="s">
        <v>297</v>
      </c>
      <c r="CT960" s="1384"/>
      <c r="DF960" s="340">
        <v>506.02</v>
      </c>
      <c r="DG960" s="340" t="s">
        <v>318</v>
      </c>
      <c r="DV960" s="340">
        <v>102.17</v>
      </c>
      <c r="DW960" s="340" t="s">
        <v>316</v>
      </c>
      <c r="DX960" s="1671"/>
    </row>
    <row r="961" spans="12:128">
      <c r="L961" s="2481">
        <v>507.02</v>
      </c>
      <c r="M961" s="340" t="s">
        <v>318</v>
      </c>
      <c r="N961" s="1390"/>
      <c r="O961" s="2479"/>
      <c r="P961" s="2282"/>
      <c r="AG961" s="2297">
        <v>103.01</v>
      </c>
      <c r="AH961" s="2297" t="s">
        <v>292</v>
      </c>
      <c r="AI961" s="1390"/>
      <c r="AJ961" s="2282"/>
      <c r="AK961" s="2282"/>
      <c r="AL961" s="1037"/>
      <c r="AX961" s="340">
        <v>140.03</v>
      </c>
      <c r="AY961" s="340" t="s">
        <v>316</v>
      </c>
      <c r="BN961" s="340">
        <v>101.06</v>
      </c>
      <c r="BO961" s="340" t="s">
        <v>302</v>
      </c>
      <c r="BP961" s="1385"/>
      <c r="BV961" s="236">
        <v>29.02</v>
      </c>
      <c r="BW961" s="236" t="s">
        <v>302</v>
      </c>
      <c r="CB961" s="340">
        <v>139.15</v>
      </c>
      <c r="CC961" s="340" t="s">
        <v>316</v>
      </c>
      <c r="CL961" s="236">
        <v>29.01</v>
      </c>
      <c r="CM961" s="236" t="s">
        <v>302</v>
      </c>
      <c r="CR961" s="340">
        <v>101.08</v>
      </c>
      <c r="CS961" s="340" t="s">
        <v>316</v>
      </c>
      <c r="CT961" s="1384"/>
      <c r="DF961" s="340">
        <v>506.05</v>
      </c>
      <c r="DG961" s="340" t="s">
        <v>318</v>
      </c>
      <c r="DV961" s="340">
        <v>102.18</v>
      </c>
      <c r="DW961" s="340" t="s">
        <v>316</v>
      </c>
      <c r="DX961" s="1671"/>
    </row>
    <row r="962" spans="12:128">
      <c r="L962" s="2481">
        <v>507.04</v>
      </c>
      <c r="M962" s="340" t="s">
        <v>318</v>
      </c>
      <c r="N962" s="1390"/>
      <c r="O962" s="2479"/>
      <c r="P962" s="2282"/>
      <c r="AG962" s="2297">
        <v>103.01</v>
      </c>
      <c r="AH962" s="2297" t="s">
        <v>294</v>
      </c>
      <c r="AI962" s="1390"/>
      <c r="AJ962" s="2282"/>
      <c r="AK962" s="2282"/>
      <c r="AL962" s="1037"/>
      <c r="AX962" s="340">
        <v>140.07</v>
      </c>
      <c r="AY962" s="340" t="s">
        <v>316</v>
      </c>
      <c r="BN962" s="340">
        <v>101.06</v>
      </c>
      <c r="BO962" s="340" t="s">
        <v>316</v>
      </c>
      <c r="BP962" s="1385"/>
      <c r="BV962" s="236">
        <v>101.01</v>
      </c>
      <c r="BW962" s="236" t="s">
        <v>302</v>
      </c>
      <c r="CB962" s="340">
        <v>139.16</v>
      </c>
      <c r="CC962" s="340" t="s">
        <v>316</v>
      </c>
      <c r="CL962" s="236">
        <v>29.02</v>
      </c>
      <c r="CM962" s="236" t="s">
        <v>302</v>
      </c>
      <c r="CR962" s="340">
        <v>101.08</v>
      </c>
      <c r="CS962" s="340" t="s">
        <v>323</v>
      </c>
      <c r="CT962" s="1384"/>
      <c r="DF962" s="340">
        <v>507.04</v>
      </c>
      <c r="DG962" s="340" t="s">
        <v>318</v>
      </c>
      <c r="DV962" s="340">
        <v>103</v>
      </c>
      <c r="DW962" s="340" t="s">
        <v>297</v>
      </c>
      <c r="DX962" s="1671"/>
    </row>
    <row r="963" spans="12:128">
      <c r="L963" s="2481">
        <v>507.06</v>
      </c>
      <c r="M963" s="340" t="s">
        <v>318</v>
      </c>
      <c r="N963" s="1390"/>
      <c r="O963" s="2479"/>
      <c r="P963" s="2282"/>
      <c r="AG963" s="2297">
        <v>103.01</v>
      </c>
      <c r="AH963" s="2297" t="s">
        <v>302</v>
      </c>
      <c r="AI963" s="1390"/>
      <c r="AJ963" s="2282"/>
      <c r="AK963" s="2282"/>
      <c r="AL963" s="1037"/>
      <c r="AX963" s="340">
        <v>140.08000000000001</v>
      </c>
      <c r="AY963" s="340" t="s">
        <v>316</v>
      </c>
      <c r="BN963" s="340">
        <v>101.07</v>
      </c>
      <c r="BO963" s="340" t="s">
        <v>302</v>
      </c>
      <c r="BP963" s="1385"/>
      <c r="BV963" s="236">
        <v>101.04</v>
      </c>
      <c r="BW963" s="236" t="s">
        <v>302</v>
      </c>
      <c r="CB963" s="340">
        <v>139.16999999999999</v>
      </c>
      <c r="CC963" s="340" t="s">
        <v>316</v>
      </c>
      <c r="CL963" s="236">
        <v>30</v>
      </c>
      <c r="CM963" s="236" t="s">
        <v>316</v>
      </c>
      <c r="CR963" s="340">
        <v>101.09</v>
      </c>
      <c r="CS963" s="340" t="s">
        <v>297</v>
      </c>
      <c r="CT963" s="1384"/>
      <c r="DF963" s="340">
        <v>507.06</v>
      </c>
      <c r="DG963" s="340" t="s">
        <v>318</v>
      </c>
      <c r="DV963" s="340">
        <v>103</v>
      </c>
      <c r="DW963" s="340" t="s">
        <v>338</v>
      </c>
      <c r="DX963" s="1671"/>
    </row>
    <row r="964" spans="12:128">
      <c r="L964" s="2481">
        <v>507.07</v>
      </c>
      <c r="M964" s="340" t="s">
        <v>318</v>
      </c>
      <c r="N964" s="1390"/>
      <c r="O964" s="2479"/>
      <c r="P964" s="2282"/>
      <c r="AG964" s="2297">
        <v>103.01</v>
      </c>
      <c r="AH964" s="2297" t="s">
        <v>346</v>
      </c>
      <c r="AI964" s="1390"/>
      <c r="AJ964" s="2282"/>
      <c r="AK964" s="2282"/>
      <c r="AL964" s="1037"/>
      <c r="AX964" s="340">
        <v>140.09</v>
      </c>
      <c r="AY964" s="340" t="s">
        <v>316</v>
      </c>
      <c r="BN964" s="340">
        <v>101.07</v>
      </c>
      <c r="BO964" s="340" t="s">
        <v>323</v>
      </c>
      <c r="BP964" s="1385"/>
      <c r="BV964" s="236">
        <v>101.05</v>
      </c>
      <c r="BW964" s="236" t="s">
        <v>302</v>
      </c>
      <c r="CB964" s="340">
        <v>139.18</v>
      </c>
      <c r="CC964" s="340" t="s">
        <v>316</v>
      </c>
      <c r="CL964" s="236">
        <v>30</v>
      </c>
      <c r="CM964" s="236" t="s">
        <v>340</v>
      </c>
      <c r="CR964" s="340">
        <v>101.09</v>
      </c>
      <c r="CS964" s="340" t="s">
        <v>323</v>
      </c>
      <c r="CT964" s="1384"/>
      <c r="DF964" s="340">
        <v>507.07</v>
      </c>
      <c r="DG964" s="340" t="s">
        <v>318</v>
      </c>
      <c r="DV964" s="340">
        <v>103.01</v>
      </c>
      <c r="DW964" s="340" t="s">
        <v>292</v>
      </c>
      <c r="DX964" s="1671"/>
    </row>
    <row r="965" spans="12:128">
      <c r="L965" s="2481">
        <v>508.07</v>
      </c>
      <c r="M965" s="340" t="s">
        <v>318</v>
      </c>
      <c r="N965" s="1390"/>
      <c r="O965" s="2479"/>
      <c r="P965" s="2282"/>
      <c r="AG965" s="2297">
        <v>103.02</v>
      </c>
      <c r="AH965" s="2297" t="s">
        <v>346</v>
      </c>
      <c r="AI965" s="1390"/>
      <c r="AJ965" s="2282"/>
      <c r="AK965" s="2282"/>
      <c r="AL965" s="1037"/>
      <c r="AX965" s="340">
        <v>140.12</v>
      </c>
      <c r="AY965" s="340" t="s">
        <v>316</v>
      </c>
      <c r="BN965" s="340">
        <v>101.08</v>
      </c>
      <c r="BO965" s="340" t="s">
        <v>297</v>
      </c>
      <c r="BP965" s="1385"/>
      <c r="BV965" s="236">
        <v>101.06</v>
      </c>
      <c r="BW965" s="236" t="s">
        <v>302</v>
      </c>
      <c r="CB965" s="340">
        <v>139.19</v>
      </c>
      <c r="CC965" s="340" t="s">
        <v>316</v>
      </c>
      <c r="CL965" s="236">
        <v>30.01</v>
      </c>
      <c r="CM965" s="236" t="s">
        <v>304</v>
      </c>
      <c r="CR965" s="340">
        <v>101.1</v>
      </c>
      <c r="CS965" s="340" t="s">
        <v>323</v>
      </c>
      <c r="CT965" s="1384"/>
      <c r="DF965" s="340">
        <v>508.07</v>
      </c>
      <c r="DG965" s="340" t="s">
        <v>318</v>
      </c>
      <c r="DV965" s="340">
        <v>103.01</v>
      </c>
      <c r="DW965" s="340" t="s">
        <v>294</v>
      </c>
      <c r="DX965" s="1671"/>
    </row>
    <row r="966" spans="12:128">
      <c r="L966" s="2481">
        <v>508.09</v>
      </c>
      <c r="M966" s="340" t="s">
        <v>318</v>
      </c>
      <c r="N966" s="1390"/>
      <c r="O966" s="2479"/>
      <c r="P966" s="2282"/>
      <c r="AG966" s="2297">
        <v>103.03</v>
      </c>
      <c r="AH966" s="2297" t="s">
        <v>323</v>
      </c>
      <c r="AI966" s="1390"/>
      <c r="AJ966" s="2282"/>
      <c r="AK966" s="2282"/>
      <c r="AL966" s="1037"/>
      <c r="AX966" s="340">
        <v>140.13</v>
      </c>
      <c r="AY966" s="340" t="s">
        <v>316</v>
      </c>
      <c r="BN966" s="340">
        <v>101.08</v>
      </c>
      <c r="BO966" s="340" t="s">
        <v>316</v>
      </c>
      <c r="BP966" s="1385"/>
      <c r="BV966" s="236">
        <v>101.07</v>
      </c>
      <c r="BW966" s="236" t="s">
        <v>302</v>
      </c>
      <c r="CB966" s="340">
        <v>139.22</v>
      </c>
      <c r="CC966" s="340" t="s">
        <v>316</v>
      </c>
      <c r="CL966" s="236">
        <v>30.01</v>
      </c>
      <c r="CM966" s="236" t="s">
        <v>331</v>
      </c>
      <c r="CR966" s="340">
        <v>101.11</v>
      </c>
      <c r="CS966" s="340" t="s">
        <v>297</v>
      </c>
      <c r="CT966" s="1384"/>
      <c r="DF966" s="340">
        <v>508.1</v>
      </c>
      <c r="DG966" s="340" t="s">
        <v>318</v>
      </c>
      <c r="DV966" s="340">
        <v>103.01</v>
      </c>
      <c r="DW966" s="340" t="s">
        <v>302</v>
      </c>
      <c r="DX966" s="1671"/>
    </row>
    <row r="967" spans="12:128">
      <c r="L967" s="2481">
        <v>508.1</v>
      </c>
      <c r="M967" s="340" t="s">
        <v>318</v>
      </c>
      <c r="N967" s="1390"/>
      <c r="O967" s="2479"/>
      <c r="P967" s="2282"/>
      <c r="AG967" s="2297">
        <v>103.03</v>
      </c>
      <c r="AH967" s="2297" t="s">
        <v>346</v>
      </c>
      <c r="AI967" s="1390"/>
      <c r="AJ967" s="2282"/>
      <c r="AK967" s="2282"/>
      <c r="AL967" s="1037"/>
      <c r="AX967" s="340">
        <v>140.16999999999999</v>
      </c>
      <c r="AY967" s="340" t="s">
        <v>316</v>
      </c>
      <c r="BN967" s="340">
        <v>101.08</v>
      </c>
      <c r="BO967" s="340" t="s">
        <v>323</v>
      </c>
      <c r="BP967" s="1385"/>
      <c r="BV967" s="236">
        <v>102.02</v>
      </c>
      <c r="BW967" s="236" t="s">
        <v>302</v>
      </c>
      <c r="CB967" s="340">
        <v>139.22999999999999</v>
      </c>
      <c r="CC967" s="340" t="s">
        <v>316</v>
      </c>
      <c r="CL967" s="236">
        <v>30.02</v>
      </c>
      <c r="CM967" s="236" t="s">
        <v>304</v>
      </c>
      <c r="CR967" s="340">
        <v>101.11</v>
      </c>
      <c r="CS967" s="340" t="s">
        <v>323</v>
      </c>
      <c r="CT967" s="1384"/>
      <c r="DF967" s="340">
        <v>508.11</v>
      </c>
      <c r="DG967" s="340" t="s">
        <v>318</v>
      </c>
      <c r="DV967" s="340">
        <v>103.01</v>
      </c>
      <c r="DW967" s="340" t="s">
        <v>346</v>
      </c>
      <c r="DX967" s="1671"/>
    </row>
    <row r="968" spans="12:128">
      <c r="L968" s="2481">
        <v>508.11</v>
      </c>
      <c r="M968" s="340" t="s">
        <v>318</v>
      </c>
      <c r="N968" s="1390"/>
      <c r="O968" s="2479"/>
      <c r="P968" s="2282"/>
      <c r="AG968" s="2297">
        <v>103.05</v>
      </c>
      <c r="AH968" s="2297" t="s">
        <v>316</v>
      </c>
      <c r="AI968" s="1390"/>
      <c r="AJ968" s="2282"/>
      <c r="AK968" s="2282"/>
      <c r="AL968" s="1037"/>
      <c r="AX968" s="340">
        <v>141.06</v>
      </c>
      <c r="AY968" s="340" t="s">
        <v>316</v>
      </c>
      <c r="BN968" s="340">
        <v>101.09</v>
      </c>
      <c r="BO968" s="340" t="s">
        <v>297</v>
      </c>
      <c r="BP968" s="1385"/>
      <c r="BV968" s="236">
        <v>102.03</v>
      </c>
      <c r="BW968" s="236" t="s">
        <v>302</v>
      </c>
      <c r="CB968" s="340">
        <v>139.24</v>
      </c>
      <c r="CC968" s="340" t="s">
        <v>316</v>
      </c>
      <c r="CL968" s="236">
        <v>30.04</v>
      </c>
      <c r="CM968" s="236" t="s">
        <v>331</v>
      </c>
      <c r="CR968" s="340">
        <v>101.12</v>
      </c>
      <c r="CS968" s="340" t="s">
        <v>297</v>
      </c>
      <c r="CT968" s="1384"/>
      <c r="DF968" s="340">
        <v>508.12</v>
      </c>
      <c r="DG968" s="340" t="s">
        <v>318</v>
      </c>
      <c r="DV968" s="340">
        <v>103.02</v>
      </c>
      <c r="DW968" s="340" t="s">
        <v>331</v>
      </c>
      <c r="DX968" s="1671"/>
    </row>
    <row r="969" spans="12:128">
      <c r="L969" s="2481">
        <v>508.12</v>
      </c>
      <c r="M969" s="340" t="s">
        <v>318</v>
      </c>
      <c r="N969" s="1390"/>
      <c r="O969" s="2479"/>
      <c r="P969" s="2282"/>
      <c r="AG969" s="2297">
        <v>103.05</v>
      </c>
      <c r="AH969" s="2297" t="s">
        <v>323</v>
      </c>
      <c r="AI969" s="1390"/>
      <c r="AJ969" s="2282"/>
      <c r="AK969" s="2282"/>
      <c r="AL969" s="1037"/>
      <c r="AX969" s="340">
        <v>141.09</v>
      </c>
      <c r="AY969" s="340" t="s">
        <v>316</v>
      </c>
      <c r="BN969" s="340">
        <v>101.09</v>
      </c>
      <c r="BO969" s="340" t="s">
        <v>323</v>
      </c>
      <c r="BP969" s="1385"/>
      <c r="BV969" s="236">
        <v>102.04</v>
      </c>
      <c r="BW969" s="236" t="s">
        <v>302</v>
      </c>
      <c r="CB969" s="340">
        <v>139.26</v>
      </c>
      <c r="CC969" s="340" t="s">
        <v>316</v>
      </c>
      <c r="CL969" s="236">
        <v>30.05</v>
      </c>
      <c r="CM969" s="236" t="s">
        <v>331</v>
      </c>
      <c r="CR969" s="340">
        <v>101.13</v>
      </c>
      <c r="CS969" s="340" t="s">
        <v>297</v>
      </c>
      <c r="CT969" s="1384"/>
      <c r="DF969" s="340">
        <v>509.05</v>
      </c>
      <c r="DG969" s="340" t="s">
        <v>318</v>
      </c>
      <c r="DV969" s="340">
        <v>103.02</v>
      </c>
      <c r="DW969" s="340" t="s">
        <v>346</v>
      </c>
      <c r="DX969" s="1671"/>
    </row>
    <row r="970" spans="12:128">
      <c r="L970" s="2481">
        <v>509.03</v>
      </c>
      <c r="M970" s="340" t="s">
        <v>318</v>
      </c>
      <c r="N970" s="1390"/>
      <c r="O970" s="2479"/>
      <c r="P970" s="2282"/>
      <c r="AG970" s="2297">
        <v>103.06</v>
      </c>
      <c r="AH970" s="2297" t="s">
        <v>302</v>
      </c>
      <c r="AI970" s="1390"/>
      <c r="AJ970" s="2282"/>
      <c r="AK970" s="2282"/>
      <c r="AL970" s="1037"/>
      <c r="AX970" s="340">
        <v>141.16999999999999</v>
      </c>
      <c r="AY970" s="340" t="s">
        <v>316</v>
      </c>
      <c r="BN970" s="340">
        <v>101.1</v>
      </c>
      <c r="BO970" s="340" t="s">
        <v>297</v>
      </c>
      <c r="BP970" s="1385"/>
      <c r="BV970" s="236">
        <v>103.01</v>
      </c>
      <c r="BW970" s="236" t="s">
        <v>302</v>
      </c>
      <c r="CB970" s="340">
        <v>140.03</v>
      </c>
      <c r="CC970" s="340" t="s">
        <v>316</v>
      </c>
      <c r="CL970" s="236">
        <v>30.06</v>
      </c>
      <c r="CM970" s="236" t="s">
        <v>331</v>
      </c>
      <c r="CR970" s="340">
        <v>101.14</v>
      </c>
      <c r="CS970" s="340" t="s">
        <v>297</v>
      </c>
      <c r="CT970" s="1384"/>
      <c r="DF970" s="340">
        <v>509.09</v>
      </c>
      <c r="DG970" s="340" t="s">
        <v>318</v>
      </c>
      <c r="DV970" s="340">
        <v>103.03</v>
      </c>
      <c r="DW970" s="340" t="s">
        <v>346</v>
      </c>
      <c r="DX970" s="1671"/>
    </row>
    <row r="971" spans="12:128">
      <c r="L971" s="2481">
        <v>2101</v>
      </c>
      <c r="M971" s="340" t="s">
        <v>319</v>
      </c>
      <c r="N971" s="1390"/>
      <c r="O971" s="2479"/>
      <c r="P971" s="2282"/>
      <c r="AG971" s="2297">
        <v>103.08</v>
      </c>
      <c r="AH971" s="2297" t="s">
        <v>302</v>
      </c>
      <c r="AI971" s="1390"/>
      <c r="AJ971" s="2282"/>
      <c r="AK971" s="2282"/>
      <c r="AL971" s="1037"/>
      <c r="AX971" s="340">
        <v>141.18</v>
      </c>
      <c r="AY971" s="340" t="s">
        <v>316</v>
      </c>
      <c r="BN971" s="340">
        <v>101.1</v>
      </c>
      <c r="BO971" s="340" t="s">
        <v>323</v>
      </c>
      <c r="BP971" s="1385"/>
      <c r="BV971" s="236">
        <v>103.05</v>
      </c>
      <c r="BW971" s="236" t="s">
        <v>302</v>
      </c>
      <c r="CB971" s="340">
        <v>140.07</v>
      </c>
      <c r="CC971" s="340" t="s">
        <v>316</v>
      </c>
      <c r="CL971" s="236">
        <v>31</v>
      </c>
      <c r="CM971" s="236" t="s">
        <v>304</v>
      </c>
      <c r="CR971" s="340">
        <v>101.93</v>
      </c>
      <c r="CS971" s="340" t="s">
        <v>331</v>
      </c>
      <c r="CT971" s="1384"/>
      <c r="DF971" s="340">
        <v>2101</v>
      </c>
      <c r="DG971" s="340" t="s">
        <v>319</v>
      </c>
      <c r="DV971" s="340">
        <v>103.05</v>
      </c>
      <c r="DW971" s="340" t="s">
        <v>316</v>
      </c>
      <c r="DX971" s="1671"/>
    </row>
    <row r="972" spans="12:128">
      <c r="L972" s="2481">
        <v>2103.0100000000002</v>
      </c>
      <c r="M972" s="340" t="s">
        <v>319</v>
      </c>
      <c r="N972" s="1390"/>
      <c r="O972" s="2479"/>
      <c r="P972" s="2282"/>
      <c r="AG972" s="2297">
        <v>103.08</v>
      </c>
      <c r="AH972" s="2297" t="s">
        <v>323</v>
      </c>
      <c r="AI972" s="1390"/>
      <c r="AJ972" s="2282"/>
      <c r="AK972" s="2282"/>
      <c r="AL972" s="1037"/>
      <c r="AX972" s="340">
        <v>141.19</v>
      </c>
      <c r="AY972" s="340" t="s">
        <v>316</v>
      </c>
      <c r="BN972" s="340">
        <v>101.11</v>
      </c>
      <c r="BO972" s="340" t="s">
        <v>297</v>
      </c>
      <c r="BP972" s="1385"/>
      <c r="BV972" s="236">
        <v>103.06</v>
      </c>
      <c r="BW972" s="236" t="s">
        <v>302</v>
      </c>
      <c r="CB972" s="340">
        <v>140.08000000000001</v>
      </c>
      <c r="CC972" s="340" t="s">
        <v>316</v>
      </c>
      <c r="CL972" s="236">
        <v>31</v>
      </c>
      <c r="CM972" s="236" t="s">
        <v>316</v>
      </c>
      <c r="CR972" s="340">
        <v>101.98</v>
      </c>
      <c r="CS972" s="340" t="s">
        <v>331</v>
      </c>
      <c r="CT972" s="1384"/>
      <c r="DF972" s="340">
        <v>2102</v>
      </c>
      <c r="DG972" s="340" t="s">
        <v>319</v>
      </c>
      <c r="DV972" s="340">
        <v>103.05</v>
      </c>
      <c r="DW972" s="340" t="s">
        <v>323</v>
      </c>
      <c r="DX972" s="1671"/>
    </row>
    <row r="973" spans="12:128">
      <c r="L973" s="2481">
        <v>2103.02</v>
      </c>
      <c r="M973" s="340" t="s">
        <v>319</v>
      </c>
      <c r="N973" s="1390"/>
      <c r="O973" s="2479"/>
      <c r="P973" s="2282"/>
      <c r="AG973" s="2297">
        <v>103.09</v>
      </c>
      <c r="AH973" s="2297" t="s">
        <v>323</v>
      </c>
      <c r="AI973" s="1390"/>
      <c r="AJ973" s="2282"/>
      <c r="AK973" s="2282"/>
      <c r="AL973" s="1037"/>
      <c r="AX973" s="340">
        <v>141.21</v>
      </c>
      <c r="AY973" s="340" t="s">
        <v>316</v>
      </c>
      <c r="BN973" s="340">
        <v>101.12</v>
      </c>
      <c r="BO973" s="340" t="s">
        <v>297</v>
      </c>
      <c r="BP973" s="1385"/>
      <c r="BV973" s="236">
        <v>103.07</v>
      </c>
      <c r="BW973" s="236" t="s">
        <v>302</v>
      </c>
      <c r="CB973" s="340">
        <v>140.09</v>
      </c>
      <c r="CC973" s="340" t="s">
        <v>316</v>
      </c>
      <c r="CL973" s="236">
        <v>31</v>
      </c>
      <c r="CM973" s="236" t="s">
        <v>331</v>
      </c>
      <c r="CR973" s="340">
        <v>102</v>
      </c>
      <c r="CS973" s="340" t="s">
        <v>292</v>
      </c>
      <c r="CT973" s="1384"/>
      <c r="DF973" s="340">
        <v>2103.0100000000002</v>
      </c>
      <c r="DG973" s="340" t="s">
        <v>319</v>
      </c>
      <c r="DV973" s="340">
        <v>103.06</v>
      </c>
      <c r="DW973" s="340" t="s">
        <v>302</v>
      </c>
      <c r="DX973" s="1671"/>
    </row>
    <row r="974" spans="12:128">
      <c r="L974" s="2481">
        <v>2105</v>
      </c>
      <c r="M974" s="340" t="s">
        <v>319</v>
      </c>
      <c r="N974" s="1390"/>
      <c r="O974" s="2479"/>
      <c r="P974" s="2282"/>
      <c r="AG974" s="2297">
        <v>104</v>
      </c>
      <c r="AH974" s="2297" t="s">
        <v>331</v>
      </c>
      <c r="AI974" s="1390"/>
      <c r="AJ974" s="2282"/>
      <c r="AK974" s="2282"/>
      <c r="AL974" s="1037"/>
      <c r="AX974" s="340">
        <v>141.22</v>
      </c>
      <c r="AY974" s="340" t="s">
        <v>316</v>
      </c>
      <c r="BN974" s="340">
        <v>101.13</v>
      </c>
      <c r="BO974" s="340" t="s">
        <v>297</v>
      </c>
      <c r="BP974" s="1385"/>
      <c r="BV974" s="236">
        <v>103.08</v>
      </c>
      <c r="BW974" s="236" t="s">
        <v>302</v>
      </c>
      <c r="CB974" s="340">
        <v>140.12</v>
      </c>
      <c r="CC974" s="340" t="s">
        <v>316</v>
      </c>
      <c r="CL974" s="236">
        <v>31.01</v>
      </c>
      <c r="CM974" s="236" t="s">
        <v>340</v>
      </c>
      <c r="CR974" s="340">
        <v>102.01</v>
      </c>
      <c r="CS974" s="340" t="s">
        <v>331</v>
      </c>
      <c r="CT974" s="1384"/>
      <c r="DF974" s="340">
        <v>2103.02</v>
      </c>
      <c r="DG974" s="340" t="s">
        <v>319</v>
      </c>
      <c r="DV974" s="340">
        <v>103.07</v>
      </c>
      <c r="DW974" s="340" t="s">
        <v>302</v>
      </c>
      <c r="DX974" s="1671"/>
    </row>
    <row r="975" spans="12:128">
      <c r="L975" s="2481">
        <v>2107</v>
      </c>
      <c r="M975" s="340" t="s">
        <v>319</v>
      </c>
      <c r="N975" s="1390"/>
      <c r="O975" s="2479"/>
      <c r="P975" s="2282"/>
      <c r="AG975" s="2297">
        <v>104</v>
      </c>
      <c r="AH975" s="2297" t="s">
        <v>346</v>
      </c>
      <c r="AI975" s="1390"/>
      <c r="AJ975" s="2282"/>
      <c r="AK975" s="2282"/>
      <c r="AL975" s="1037"/>
      <c r="AX975" s="340">
        <v>143</v>
      </c>
      <c r="AY975" s="340" t="s">
        <v>316</v>
      </c>
      <c r="BN975" s="340">
        <v>101.14</v>
      </c>
      <c r="BO975" s="340" t="s">
        <v>297</v>
      </c>
      <c r="BP975" s="1385"/>
      <c r="BV975" s="236">
        <v>104.01</v>
      </c>
      <c r="BW975" s="236" t="s">
        <v>302</v>
      </c>
      <c r="CB975" s="340">
        <v>140.16999999999999</v>
      </c>
      <c r="CC975" s="340" t="s">
        <v>316</v>
      </c>
      <c r="CL975" s="236">
        <v>31.02</v>
      </c>
      <c r="CM975" s="236" t="s">
        <v>340</v>
      </c>
      <c r="CR975" s="340">
        <v>102.01</v>
      </c>
      <c r="CS975" s="340" t="s">
        <v>338</v>
      </c>
      <c r="CT975" s="1384"/>
      <c r="DF975" s="340">
        <v>2105</v>
      </c>
      <c r="DG975" s="340" t="s">
        <v>319</v>
      </c>
      <c r="DV975" s="340">
        <v>103.08</v>
      </c>
      <c r="DW975" s="340" t="s">
        <v>289</v>
      </c>
      <c r="DX975" s="1671"/>
    </row>
    <row r="976" spans="12:128">
      <c r="L976" s="2481">
        <v>2108</v>
      </c>
      <c r="M976" s="340" t="s">
        <v>319</v>
      </c>
      <c r="N976" s="1390"/>
      <c r="O976" s="2479"/>
      <c r="P976" s="2282"/>
      <c r="AG976" s="2297">
        <v>104.01</v>
      </c>
      <c r="AH976" s="2297" t="s">
        <v>289</v>
      </c>
      <c r="AI976" s="1390"/>
      <c r="AJ976" s="2282"/>
      <c r="AK976" s="2282"/>
      <c r="AL976" s="1037"/>
      <c r="AX976" s="340">
        <v>144</v>
      </c>
      <c r="AY976" s="340" t="s">
        <v>316</v>
      </c>
      <c r="BN976" s="340">
        <v>101.93</v>
      </c>
      <c r="BO976" s="340" t="s">
        <v>331</v>
      </c>
      <c r="BP976" s="1385"/>
      <c r="BV976" s="236">
        <v>104.02</v>
      </c>
      <c r="BW976" s="236" t="s">
        <v>302</v>
      </c>
      <c r="CB976" s="340">
        <v>141.16999999999999</v>
      </c>
      <c r="CC976" s="340" t="s">
        <v>316</v>
      </c>
      <c r="CL976" s="236">
        <v>32</v>
      </c>
      <c r="CM976" s="236" t="s">
        <v>316</v>
      </c>
      <c r="CR976" s="340">
        <v>102.02</v>
      </c>
      <c r="CS976" s="340" t="s">
        <v>338</v>
      </c>
      <c r="CT976" s="1384"/>
      <c r="DF976" s="340">
        <v>2107</v>
      </c>
      <c r="DG976" s="340" t="s">
        <v>319</v>
      </c>
      <c r="DV976" s="340">
        <v>103.08</v>
      </c>
      <c r="DW976" s="340" t="s">
        <v>302</v>
      </c>
      <c r="DX976" s="1671"/>
    </row>
    <row r="977" spans="12:128">
      <c r="L977" s="2481">
        <v>2109.0100000000002</v>
      </c>
      <c r="M977" s="340" t="s">
        <v>319</v>
      </c>
      <c r="N977" s="1390"/>
      <c r="O977" s="2479"/>
      <c r="P977" s="2282"/>
      <c r="AG977" s="2297">
        <v>104.01</v>
      </c>
      <c r="AH977" s="2297" t="s">
        <v>294</v>
      </c>
      <c r="AI977" s="1390"/>
      <c r="AJ977" s="2282"/>
      <c r="AK977" s="2282"/>
      <c r="AL977" s="1037"/>
      <c r="AX977" s="340">
        <v>9601</v>
      </c>
      <c r="AY977" s="340" t="s">
        <v>317</v>
      </c>
      <c r="BN977" s="340">
        <v>101.98</v>
      </c>
      <c r="BO977" s="340" t="s">
        <v>331</v>
      </c>
      <c r="BP977" s="1385"/>
      <c r="BV977" s="236">
        <v>105.01</v>
      </c>
      <c r="BW977" s="236" t="s">
        <v>302</v>
      </c>
      <c r="CB977" s="340">
        <v>141.18</v>
      </c>
      <c r="CC977" s="340" t="s">
        <v>316</v>
      </c>
      <c r="CL977" s="236">
        <v>32.01</v>
      </c>
      <c r="CM977" s="236" t="s">
        <v>304</v>
      </c>
      <c r="CR977" s="340">
        <v>102.03</v>
      </c>
      <c r="CS977" s="340" t="s">
        <v>323</v>
      </c>
      <c r="CT977" s="1384"/>
      <c r="DF977" s="340">
        <v>2108</v>
      </c>
      <c r="DG977" s="340" t="s">
        <v>319</v>
      </c>
      <c r="DV977" s="340">
        <v>103.08</v>
      </c>
      <c r="DW977" s="340" t="s">
        <v>323</v>
      </c>
      <c r="DX977" s="1671"/>
    </row>
    <row r="978" spans="12:128">
      <c r="L978" s="2481">
        <v>2109.02</v>
      </c>
      <c r="M978" s="340" t="s">
        <v>319</v>
      </c>
      <c r="N978" s="1390"/>
      <c r="O978" s="2479"/>
      <c r="P978" s="2282"/>
      <c r="AG978" s="2297">
        <v>104.01</v>
      </c>
      <c r="AH978" s="2297" t="s">
        <v>297</v>
      </c>
      <c r="AI978" s="1390"/>
      <c r="AJ978" s="2282"/>
      <c r="AK978" s="2282"/>
      <c r="AL978" s="1037"/>
      <c r="AX978" s="340">
        <v>9602.01</v>
      </c>
      <c r="AY978" s="340" t="s">
        <v>317</v>
      </c>
      <c r="BN978" s="340">
        <v>102</v>
      </c>
      <c r="BO978" s="340" t="s">
        <v>292</v>
      </c>
      <c r="BP978" s="1385"/>
      <c r="BV978" s="236">
        <v>105.02</v>
      </c>
      <c r="BW978" s="236" t="s">
        <v>302</v>
      </c>
      <c r="CB978" s="340">
        <v>141.19</v>
      </c>
      <c r="CC978" s="340" t="s">
        <v>316</v>
      </c>
      <c r="CL978" s="236">
        <v>32.01</v>
      </c>
      <c r="CM978" s="236" t="s">
        <v>340</v>
      </c>
      <c r="CR978" s="340">
        <v>102.04</v>
      </c>
      <c r="CS978" s="340" t="s">
        <v>302</v>
      </c>
      <c r="CT978" s="1384"/>
      <c r="DF978" s="340">
        <v>2111</v>
      </c>
      <c r="DG978" s="340" t="s">
        <v>319</v>
      </c>
      <c r="DV978" s="340">
        <v>103.09</v>
      </c>
      <c r="DW978" s="340" t="s">
        <v>323</v>
      </c>
      <c r="DX978" s="1671"/>
    </row>
    <row r="979" spans="12:128">
      <c r="L979" s="2481">
        <v>2110</v>
      </c>
      <c r="M979" s="340" t="s">
        <v>319</v>
      </c>
      <c r="N979" s="1390"/>
      <c r="O979" s="2479"/>
      <c r="P979" s="2282"/>
      <c r="AG979" s="2297">
        <v>104.01</v>
      </c>
      <c r="AH979" s="2297" t="s">
        <v>316</v>
      </c>
      <c r="AI979" s="1390"/>
      <c r="AJ979" s="2282"/>
      <c r="AK979" s="2282"/>
      <c r="AL979" s="1037"/>
      <c r="AX979" s="340">
        <v>9603</v>
      </c>
      <c r="AY979" s="340" t="s">
        <v>317</v>
      </c>
      <c r="BN979" s="340">
        <v>102</v>
      </c>
      <c r="BO979" s="340" t="s">
        <v>300</v>
      </c>
      <c r="BP979" s="1385"/>
      <c r="BV979" s="236">
        <v>105.03</v>
      </c>
      <c r="BW979" s="236" t="s">
        <v>302</v>
      </c>
      <c r="CB979" s="340">
        <v>141.21</v>
      </c>
      <c r="CC979" s="340" t="s">
        <v>316</v>
      </c>
      <c r="CL979" s="236">
        <v>32.020000000000003</v>
      </c>
      <c r="CM979" s="236" t="s">
        <v>340</v>
      </c>
      <c r="CR979" s="340">
        <v>102.04</v>
      </c>
      <c r="CS979" s="340" t="s">
        <v>356</v>
      </c>
      <c r="CT979" s="1384"/>
      <c r="DF979" s="340">
        <v>2501.04</v>
      </c>
      <c r="DG979" s="340" t="s">
        <v>320</v>
      </c>
      <c r="DV979" s="340">
        <v>104</v>
      </c>
      <c r="DW979" s="340" t="s">
        <v>331</v>
      </c>
      <c r="DX979" s="1671"/>
    </row>
    <row r="980" spans="12:128">
      <c r="L980" s="2481">
        <v>2501.0500000000002</v>
      </c>
      <c r="M980" s="340" t="s">
        <v>320</v>
      </c>
      <c r="N980" s="1390"/>
      <c r="O980" s="2479"/>
      <c r="P980" s="2282"/>
      <c r="AG980" s="2297">
        <v>104.01</v>
      </c>
      <c r="AH980" s="2297" t="s">
        <v>344</v>
      </c>
      <c r="AI980" s="1390"/>
      <c r="AJ980" s="2282"/>
      <c r="AK980" s="2282"/>
      <c r="AL980" s="1037"/>
      <c r="AX980" s="340">
        <v>9604.02</v>
      </c>
      <c r="AY980" s="340" t="s">
        <v>317</v>
      </c>
      <c r="BN980" s="340">
        <v>102.01</v>
      </c>
      <c r="BO980" s="340" t="s">
        <v>331</v>
      </c>
      <c r="BP980" s="1385"/>
      <c r="BV980" s="236">
        <v>106.01</v>
      </c>
      <c r="BW980" s="236" t="s">
        <v>302</v>
      </c>
      <c r="CB980" s="340">
        <v>141.22</v>
      </c>
      <c r="CC980" s="340" t="s">
        <v>316</v>
      </c>
      <c r="CL980" s="236">
        <v>32.03</v>
      </c>
      <c r="CM980" s="236" t="s">
        <v>304</v>
      </c>
      <c r="CR980" s="340">
        <v>102.05</v>
      </c>
      <c r="CS980" s="340" t="s">
        <v>297</v>
      </c>
      <c r="CT980" s="1384"/>
      <c r="DF980" s="340">
        <v>2501.06</v>
      </c>
      <c r="DG980" s="340" t="s">
        <v>320</v>
      </c>
      <c r="DV980" s="340">
        <v>104.01</v>
      </c>
      <c r="DW980" s="340" t="s">
        <v>289</v>
      </c>
      <c r="DX980" s="1671"/>
    </row>
    <row r="981" spans="12:128">
      <c r="L981" s="2481">
        <v>2501.06</v>
      </c>
      <c r="M981" s="340" t="s">
        <v>320</v>
      </c>
      <c r="N981" s="1390"/>
      <c r="O981" s="2479"/>
      <c r="P981" s="2282"/>
      <c r="AG981" s="2297">
        <v>104.02</v>
      </c>
      <c r="AH981" s="2297" t="s">
        <v>289</v>
      </c>
      <c r="AI981" s="1390"/>
      <c r="AJ981" s="2282"/>
      <c r="AK981" s="2282"/>
      <c r="AL981" s="1037"/>
      <c r="AX981" s="340">
        <v>9604.0300000000007</v>
      </c>
      <c r="AY981" s="340" t="s">
        <v>317</v>
      </c>
      <c r="BN981" s="340">
        <v>102.01</v>
      </c>
      <c r="BO981" s="340" t="s">
        <v>338</v>
      </c>
      <c r="BP981" s="1385"/>
      <c r="BV981" s="236">
        <v>106.02</v>
      </c>
      <c r="BW981" s="236" t="s">
        <v>302</v>
      </c>
      <c r="CB981" s="340">
        <v>143</v>
      </c>
      <c r="CC981" s="340" t="s">
        <v>316</v>
      </c>
      <c r="CL981" s="236">
        <v>32.04</v>
      </c>
      <c r="CM981" s="236" t="s">
        <v>304</v>
      </c>
      <c r="CR981" s="340">
        <v>102.05</v>
      </c>
      <c r="CS981" s="340" t="s">
        <v>323</v>
      </c>
      <c r="CT981" s="1384"/>
      <c r="DF981" s="340">
        <v>9602.02</v>
      </c>
      <c r="DG981" s="340" t="s">
        <v>321</v>
      </c>
      <c r="DV981" s="340">
        <v>104.01</v>
      </c>
      <c r="DW981" s="340" t="s">
        <v>294</v>
      </c>
      <c r="DX981" s="1671"/>
    </row>
    <row r="982" spans="12:128">
      <c r="L982" s="2481">
        <v>9602.02</v>
      </c>
      <c r="M982" s="340" t="s">
        <v>321</v>
      </c>
      <c r="N982" s="1390"/>
      <c r="O982" s="2479"/>
      <c r="P982" s="2282"/>
      <c r="AG982" s="2297">
        <v>104.02</v>
      </c>
      <c r="AH982" s="2297" t="s">
        <v>294</v>
      </c>
      <c r="AI982" s="1390"/>
      <c r="AJ982" s="2282"/>
      <c r="AK982" s="2282"/>
      <c r="AL982" s="1037"/>
      <c r="AX982" s="340">
        <v>501.02</v>
      </c>
      <c r="AY982" s="340" t="s">
        <v>318</v>
      </c>
      <c r="BN982" s="340">
        <v>102.02</v>
      </c>
      <c r="BO982" s="340" t="s">
        <v>302</v>
      </c>
      <c r="BP982" s="1385"/>
      <c r="BV982" s="236">
        <v>107</v>
      </c>
      <c r="BW982" s="236" t="s">
        <v>302</v>
      </c>
      <c r="CB982" s="340">
        <v>144</v>
      </c>
      <c r="CC982" s="340" t="s">
        <v>316</v>
      </c>
      <c r="CL982" s="236">
        <v>33</v>
      </c>
      <c r="CM982" s="236" t="s">
        <v>316</v>
      </c>
      <c r="CR982" s="340">
        <v>102.05</v>
      </c>
      <c r="CS982" s="340" t="s">
        <v>356</v>
      </c>
      <c r="CT982" s="1384"/>
      <c r="DF982" s="340">
        <v>301.08</v>
      </c>
      <c r="DG982" s="340" t="s">
        <v>322</v>
      </c>
      <c r="DV982" s="340">
        <v>104.01</v>
      </c>
      <c r="DW982" s="340" t="s">
        <v>297</v>
      </c>
      <c r="DX982" s="1671"/>
    </row>
    <row r="983" spans="12:128">
      <c r="L983" s="2481">
        <v>301.04000000000002</v>
      </c>
      <c r="M983" s="340" t="s">
        <v>322</v>
      </c>
      <c r="N983" s="1390"/>
      <c r="O983" s="2479"/>
      <c r="P983" s="2282"/>
      <c r="AG983" s="2297">
        <v>104.02</v>
      </c>
      <c r="AH983" s="2297" t="s">
        <v>344</v>
      </c>
      <c r="AI983" s="1390"/>
      <c r="AJ983" s="2282"/>
      <c r="AK983" s="2282"/>
      <c r="AL983" s="1037"/>
      <c r="AX983" s="340">
        <v>502.01</v>
      </c>
      <c r="AY983" s="340" t="s">
        <v>318</v>
      </c>
      <c r="BN983" s="340">
        <v>102.02</v>
      </c>
      <c r="BO983" s="340" t="s">
        <v>338</v>
      </c>
      <c r="BP983" s="1385"/>
      <c r="BV983" s="236">
        <v>108</v>
      </c>
      <c r="BW983" s="236" t="s">
        <v>302</v>
      </c>
      <c r="CB983" s="340">
        <v>9601</v>
      </c>
      <c r="CC983" s="340" t="s">
        <v>317</v>
      </c>
      <c r="CL983" s="236">
        <v>33</v>
      </c>
      <c r="CM983" s="236" t="s">
        <v>340</v>
      </c>
      <c r="CR983" s="340">
        <v>102.06</v>
      </c>
      <c r="CS983" s="340" t="s">
        <v>356</v>
      </c>
      <c r="CT983" s="1384"/>
      <c r="DF983" s="340">
        <v>301.08999999999997</v>
      </c>
      <c r="DG983" s="340" t="s">
        <v>322</v>
      </c>
      <c r="DV983" s="340">
        <v>104.01</v>
      </c>
      <c r="DW983" s="340" t="s">
        <v>344</v>
      </c>
      <c r="DX983" s="1671"/>
    </row>
    <row r="984" spans="12:128">
      <c r="L984" s="2481">
        <v>301.08</v>
      </c>
      <c r="M984" s="340" t="s">
        <v>322</v>
      </c>
      <c r="N984" s="1390"/>
      <c r="O984" s="2479"/>
      <c r="P984" s="2282"/>
      <c r="AG984" s="2297">
        <v>104.03</v>
      </c>
      <c r="AH984" s="2297" t="s">
        <v>300</v>
      </c>
      <c r="AI984" s="1390"/>
      <c r="AJ984" s="2282"/>
      <c r="AK984" s="2282"/>
      <c r="AL984" s="1037"/>
      <c r="AX984" s="340">
        <v>502.02</v>
      </c>
      <c r="AY984" s="340" t="s">
        <v>318</v>
      </c>
      <c r="BN984" s="340">
        <v>102.04</v>
      </c>
      <c r="BO984" s="340" t="s">
        <v>356</v>
      </c>
      <c r="BP984" s="1385"/>
      <c r="BV984" s="236">
        <v>109</v>
      </c>
      <c r="BW984" s="236" t="s">
        <v>302</v>
      </c>
      <c r="CB984" s="340">
        <v>9602.01</v>
      </c>
      <c r="CC984" s="340" t="s">
        <v>317</v>
      </c>
      <c r="CL984" s="236">
        <v>33.01</v>
      </c>
      <c r="CM984" s="236" t="s">
        <v>304</v>
      </c>
      <c r="CR984" s="340">
        <v>102.08</v>
      </c>
      <c r="CS984" s="340" t="s">
        <v>297</v>
      </c>
      <c r="CT984" s="1384"/>
      <c r="DF984" s="340">
        <v>301.10000000000002</v>
      </c>
      <c r="DG984" s="340" t="s">
        <v>322</v>
      </c>
      <c r="DV984" s="340">
        <v>104.02</v>
      </c>
      <c r="DW984" s="340" t="s">
        <v>294</v>
      </c>
      <c r="DX984" s="1671"/>
    </row>
    <row r="985" spans="12:128">
      <c r="L985" s="2481">
        <v>301.10000000000002</v>
      </c>
      <c r="M985" s="340" t="s">
        <v>322</v>
      </c>
      <c r="N985" s="1390"/>
      <c r="O985" s="2479"/>
      <c r="P985" s="2282"/>
      <c r="AG985" s="2297">
        <v>104.04</v>
      </c>
      <c r="AH985" s="2297" t="s">
        <v>323</v>
      </c>
      <c r="AI985" s="1390"/>
      <c r="AJ985" s="2282"/>
      <c r="AK985" s="2282"/>
      <c r="AL985" s="1037"/>
      <c r="AX985" s="340">
        <v>503.06</v>
      </c>
      <c r="AY985" s="340" t="s">
        <v>318</v>
      </c>
      <c r="BN985" s="340">
        <v>102.05</v>
      </c>
      <c r="BO985" s="340" t="s">
        <v>297</v>
      </c>
      <c r="BP985" s="1385"/>
      <c r="BV985" s="236">
        <v>110</v>
      </c>
      <c r="BW985" s="236" t="s">
        <v>302</v>
      </c>
      <c r="CB985" s="340">
        <v>9603</v>
      </c>
      <c r="CC985" s="340" t="s">
        <v>317</v>
      </c>
      <c r="CL985" s="236">
        <v>33.049999999999997</v>
      </c>
      <c r="CM985" s="236" t="s">
        <v>304</v>
      </c>
      <c r="CR985" s="340">
        <v>102.08</v>
      </c>
      <c r="CS985" s="340" t="s">
        <v>356</v>
      </c>
      <c r="CT985" s="1384"/>
      <c r="DF985" s="340">
        <v>302.02999999999997</v>
      </c>
      <c r="DG985" s="340" t="s">
        <v>322</v>
      </c>
      <c r="DV985" s="340">
        <v>104.02</v>
      </c>
      <c r="DW985" s="340" t="s">
        <v>344</v>
      </c>
      <c r="DX985" s="1671"/>
    </row>
    <row r="986" spans="12:128">
      <c r="L986" s="2481">
        <v>301.11</v>
      </c>
      <c r="M986" s="340" t="s">
        <v>322</v>
      </c>
      <c r="N986" s="1390"/>
      <c r="O986" s="2479"/>
      <c r="P986" s="2282"/>
      <c r="AG986" s="2297">
        <v>104.05</v>
      </c>
      <c r="AH986" s="2297" t="s">
        <v>289</v>
      </c>
      <c r="AI986" s="1390"/>
      <c r="AJ986" s="2282"/>
      <c r="AK986" s="2282"/>
      <c r="AL986" s="1037"/>
      <c r="AX986" s="340">
        <v>504.02</v>
      </c>
      <c r="AY986" s="340" t="s">
        <v>318</v>
      </c>
      <c r="BN986" s="340">
        <v>102.05</v>
      </c>
      <c r="BO986" s="340" t="s">
        <v>323</v>
      </c>
      <c r="BP986" s="1385"/>
      <c r="BV986" s="236">
        <v>111</v>
      </c>
      <c r="BW986" s="236" t="s">
        <v>302</v>
      </c>
      <c r="CB986" s="340">
        <v>9604.02</v>
      </c>
      <c r="CC986" s="340" t="s">
        <v>317</v>
      </c>
      <c r="CL986" s="236">
        <v>33.07</v>
      </c>
      <c r="CM986" s="236" t="s">
        <v>304</v>
      </c>
      <c r="CR986" s="340">
        <v>102.09</v>
      </c>
      <c r="CS986" s="340" t="s">
        <v>297</v>
      </c>
      <c r="CT986" s="1384"/>
      <c r="DF986" s="340">
        <v>302.04000000000002</v>
      </c>
      <c r="DG986" s="340" t="s">
        <v>322</v>
      </c>
      <c r="DV986" s="340">
        <v>104.03</v>
      </c>
      <c r="DW986" s="340" t="s">
        <v>300</v>
      </c>
      <c r="DX986" s="1671"/>
    </row>
    <row r="987" spans="12:128">
      <c r="L987" s="2481">
        <v>302.02999999999997</v>
      </c>
      <c r="M987" s="340" t="s">
        <v>322</v>
      </c>
      <c r="N987" s="1390"/>
      <c r="O987" s="2479"/>
      <c r="P987" s="2282"/>
      <c r="AG987" s="2297">
        <v>104.05</v>
      </c>
      <c r="AH987" s="2297" t="s">
        <v>294</v>
      </c>
      <c r="AI987" s="1390"/>
      <c r="AJ987" s="2282"/>
      <c r="AK987" s="2282"/>
      <c r="AL987" s="1037"/>
      <c r="AX987" s="340">
        <v>505.04</v>
      </c>
      <c r="AY987" s="340" t="s">
        <v>318</v>
      </c>
      <c r="BN987" s="340">
        <v>102.05</v>
      </c>
      <c r="BO987" s="340" t="s">
        <v>356</v>
      </c>
      <c r="BP987" s="1385"/>
      <c r="BV987" s="236">
        <v>112</v>
      </c>
      <c r="BW987" s="236" t="s">
        <v>302</v>
      </c>
      <c r="CB987" s="340">
        <v>502.01</v>
      </c>
      <c r="CC987" s="340" t="s">
        <v>318</v>
      </c>
      <c r="CL987" s="236">
        <v>33.08</v>
      </c>
      <c r="CM987" s="236" t="s">
        <v>304</v>
      </c>
      <c r="CR987" s="340">
        <v>102.09</v>
      </c>
      <c r="CS987" s="340" t="s">
        <v>356</v>
      </c>
      <c r="CT987" s="1384"/>
      <c r="DF987" s="340">
        <v>302.08</v>
      </c>
      <c r="DG987" s="340" t="s">
        <v>322</v>
      </c>
      <c r="DV987" s="340">
        <v>104.04</v>
      </c>
      <c r="DW987" s="340" t="s">
        <v>323</v>
      </c>
      <c r="DX987" s="1671"/>
    </row>
    <row r="988" spans="12:128">
      <c r="L988" s="2481">
        <v>302.04000000000002</v>
      </c>
      <c r="M988" s="340" t="s">
        <v>322</v>
      </c>
      <c r="N988" s="1390"/>
      <c r="O988" s="2479"/>
      <c r="P988" s="2282"/>
      <c r="AG988" s="2297">
        <v>104.05</v>
      </c>
      <c r="AH988" s="2297" t="s">
        <v>300</v>
      </c>
      <c r="AI988" s="1390"/>
      <c r="AJ988" s="2282"/>
      <c r="AK988" s="2282"/>
      <c r="AL988" s="1037"/>
      <c r="AX988" s="340">
        <v>505.05</v>
      </c>
      <c r="AY988" s="340" t="s">
        <v>318</v>
      </c>
      <c r="BN988" s="340">
        <v>102.07</v>
      </c>
      <c r="BO988" s="340" t="s">
        <v>356</v>
      </c>
      <c r="BP988" s="1385"/>
      <c r="BV988" s="236">
        <v>113</v>
      </c>
      <c r="BW988" s="236" t="s">
        <v>302</v>
      </c>
      <c r="CB988" s="340">
        <v>503.06</v>
      </c>
      <c r="CC988" s="340" t="s">
        <v>318</v>
      </c>
      <c r="CL988" s="236">
        <v>33.1</v>
      </c>
      <c r="CM988" s="236" t="s">
        <v>304</v>
      </c>
      <c r="CR988" s="340">
        <v>102.1</v>
      </c>
      <c r="CS988" s="340" t="s">
        <v>297</v>
      </c>
      <c r="CT988" s="1384"/>
      <c r="DF988" s="340">
        <v>302.11</v>
      </c>
      <c r="DG988" s="340" t="s">
        <v>322</v>
      </c>
      <c r="DV988" s="340">
        <v>104.05</v>
      </c>
      <c r="DW988" s="340" t="s">
        <v>289</v>
      </c>
      <c r="DX988" s="1671"/>
    </row>
    <row r="989" spans="12:128">
      <c r="L989" s="2481">
        <v>302.08</v>
      </c>
      <c r="M989" s="340" t="s">
        <v>322</v>
      </c>
      <c r="N989" s="1390"/>
      <c r="O989" s="2479"/>
      <c r="P989" s="2282"/>
      <c r="AG989" s="2297">
        <v>104.06</v>
      </c>
      <c r="AH989" s="2297" t="s">
        <v>289</v>
      </c>
      <c r="AI989" s="1390"/>
      <c r="AJ989" s="2282"/>
      <c r="AK989" s="2282"/>
      <c r="AL989" s="1037"/>
      <c r="AX989" s="340">
        <v>505.06</v>
      </c>
      <c r="AY989" s="340" t="s">
        <v>318</v>
      </c>
      <c r="BN989" s="340">
        <v>102.08</v>
      </c>
      <c r="BO989" s="340" t="s">
        <v>297</v>
      </c>
      <c r="BP989" s="1385"/>
      <c r="BV989" s="236">
        <v>114</v>
      </c>
      <c r="BW989" s="236" t="s">
        <v>302</v>
      </c>
      <c r="CB989" s="340">
        <v>504.02</v>
      </c>
      <c r="CC989" s="340" t="s">
        <v>318</v>
      </c>
      <c r="CL989" s="236">
        <v>33.11</v>
      </c>
      <c r="CM989" s="236" t="s">
        <v>304</v>
      </c>
      <c r="CR989" s="340">
        <v>102.1</v>
      </c>
      <c r="CS989" s="340" t="s">
        <v>316</v>
      </c>
      <c r="CT989" s="1384"/>
      <c r="DF989" s="340">
        <v>304.08</v>
      </c>
      <c r="DG989" s="340" t="s">
        <v>322</v>
      </c>
      <c r="DV989" s="340">
        <v>104.05</v>
      </c>
      <c r="DW989" s="340" t="s">
        <v>294</v>
      </c>
      <c r="DX989" s="1671"/>
    </row>
    <row r="990" spans="12:128">
      <c r="L990" s="2481">
        <v>302.11</v>
      </c>
      <c r="M990" s="340" t="s">
        <v>322</v>
      </c>
      <c r="N990" s="1390"/>
      <c r="O990" s="2479"/>
      <c r="P990" s="2282"/>
      <c r="AG990" s="2297">
        <v>104.06</v>
      </c>
      <c r="AH990" s="2297" t="s">
        <v>300</v>
      </c>
      <c r="AI990" s="1390"/>
      <c r="AJ990" s="2282"/>
      <c r="AK990" s="2282"/>
      <c r="AL990" s="1037"/>
      <c r="AX990" s="340">
        <v>505.07</v>
      </c>
      <c r="AY990" s="340" t="s">
        <v>318</v>
      </c>
      <c r="BN990" s="340">
        <v>102.08</v>
      </c>
      <c r="BO990" s="340" t="s">
        <v>356</v>
      </c>
      <c r="BP990" s="1385"/>
      <c r="BV990" s="236">
        <v>115</v>
      </c>
      <c r="BW990" s="236" t="s">
        <v>302</v>
      </c>
      <c r="CB990" s="340">
        <v>505.04</v>
      </c>
      <c r="CC990" s="340" t="s">
        <v>318</v>
      </c>
      <c r="CL990" s="236">
        <v>33.119999999999997</v>
      </c>
      <c r="CM990" s="236" t="s">
        <v>304</v>
      </c>
      <c r="CR990" s="340">
        <v>102.11</v>
      </c>
      <c r="CS990" s="340" t="s">
        <v>297</v>
      </c>
      <c r="CT990" s="1384"/>
      <c r="DF990" s="340">
        <v>304.10000000000002</v>
      </c>
      <c r="DG990" s="340" t="s">
        <v>322</v>
      </c>
      <c r="DV990" s="340">
        <v>104.06</v>
      </c>
      <c r="DW990" s="340" t="s">
        <v>289</v>
      </c>
      <c r="DX990" s="1671"/>
    </row>
    <row r="991" spans="12:128">
      <c r="L991" s="2481">
        <v>303.08</v>
      </c>
      <c r="M991" s="340" t="s">
        <v>322</v>
      </c>
      <c r="N991" s="1390"/>
      <c r="O991" s="2479"/>
      <c r="P991" s="2282"/>
      <c r="AG991" s="2297">
        <v>104.07</v>
      </c>
      <c r="AH991" s="2297" t="s">
        <v>289</v>
      </c>
      <c r="AI991" s="1390"/>
      <c r="AJ991" s="2282"/>
      <c r="AK991" s="2282"/>
      <c r="AL991" s="1037"/>
      <c r="AX991" s="340">
        <v>505.08</v>
      </c>
      <c r="AY991" s="340" t="s">
        <v>318</v>
      </c>
      <c r="BN991" s="340">
        <v>102.09</v>
      </c>
      <c r="BO991" s="340" t="s">
        <v>297</v>
      </c>
      <c r="BP991" s="1385"/>
      <c r="BV991" s="236">
        <v>116</v>
      </c>
      <c r="BW991" s="236" t="s">
        <v>302</v>
      </c>
      <c r="CB991" s="340">
        <v>505.05</v>
      </c>
      <c r="CC991" s="340" t="s">
        <v>318</v>
      </c>
      <c r="CL991" s="236">
        <v>33.130000000000003</v>
      </c>
      <c r="CM991" s="236" t="s">
        <v>304</v>
      </c>
      <c r="CR991" s="340">
        <v>102.11</v>
      </c>
      <c r="CS991" s="340" t="s">
        <v>316</v>
      </c>
      <c r="CT991" s="1384"/>
      <c r="DF991" s="340">
        <v>305.06</v>
      </c>
      <c r="DG991" s="340" t="s">
        <v>322</v>
      </c>
      <c r="DV991" s="340">
        <v>104.06</v>
      </c>
      <c r="DW991" s="340" t="s">
        <v>300</v>
      </c>
      <c r="DX991" s="1671"/>
    </row>
    <row r="992" spans="12:128">
      <c r="L992" s="2481">
        <v>304.05</v>
      </c>
      <c r="M992" s="340" t="s">
        <v>322</v>
      </c>
      <c r="N992" s="1390"/>
      <c r="O992" s="2479"/>
      <c r="P992" s="2282"/>
      <c r="AG992" s="2297">
        <v>104.08</v>
      </c>
      <c r="AH992" s="2297" t="s">
        <v>297</v>
      </c>
      <c r="AI992" s="1390"/>
      <c r="AJ992" s="2282"/>
      <c r="AK992" s="2282"/>
      <c r="AL992" s="1037"/>
      <c r="AX992" s="340">
        <v>505.09</v>
      </c>
      <c r="AY992" s="340" t="s">
        <v>318</v>
      </c>
      <c r="BN992" s="340">
        <v>102.09</v>
      </c>
      <c r="BO992" s="340" t="s">
        <v>356</v>
      </c>
      <c r="BP992" s="1385"/>
      <c r="BV992" s="236">
        <v>117</v>
      </c>
      <c r="BW992" s="236" t="s">
        <v>302</v>
      </c>
      <c r="CB992" s="340">
        <v>505.06</v>
      </c>
      <c r="CC992" s="340" t="s">
        <v>318</v>
      </c>
      <c r="CL992" s="236">
        <v>34</v>
      </c>
      <c r="CM992" s="236" t="s">
        <v>304</v>
      </c>
      <c r="CR992" s="340">
        <v>102.12</v>
      </c>
      <c r="CS992" s="340" t="s">
        <v>316</v>
      </c>
      <c r="CT992" s="1384"/>
      <c r="DF992" s="340">
        <v>307.01</v>
      </c>
      <c r="DG992" s="340" t="s">
        <v>322</v>
      </c>
      <c r="DV992" s="340">
        <v>104.07</v>
      </c>
      <c r="DW992" s="340" t="s">
        <v>289</v>
      </c>
      <c r="DX992" s="1671"/>
    </row>
    <row r="993" spans="12:128">
      <c r="L993" s="2481">
        <v>304.10000000000002</v>
      </c>
      <c r="M993" s="340" t="s">
        <v>322</v>
      </c>
      <c r="N993" s="1390"/>
      <c r="O993" s="2479"/>
      <c r="P993" s="2282"/>
      <c r="AG993" s="2297">
        <v>104.12</v>
      </c>
      <c r="AH993" s="2297" t="s">
        <v>323</v>
      </c>
      <c r="AI993" s="1390"/>
      <c r="AJ993" s="2282"/>
      <c r="AK993" s="2282"/>
      <c r="AL993" s="1037"/>
      <c r="AX993" s="340">
        <v>506.02</v>
      </c>
      <c r="AY993" s="340" t="s">
        <v>318</v>
      </c>
      <c r="BN993" s="340">
        <v>102.1</v>
      </c>
      <c r="BO993" s="340" t="s">
        <v>297</v>
      </c>
      <c r="BP993" s="1385"/>
      <c r="BV993" s="236">
        <v>118</v>
      </c>
      <c r="BW993" s="236" t="s">
        <v>302</v>
      </c>
      <c r="CB993" s="340">
        <v>505.07</v>
      </c>
      <c r="CC993" s="340" t="s">
        <v>318</v>
      </c>
      <c r="CL993" s="236">
        <v>34</v>
      </c>
      <c r="CM993" s="236" t="s">
        <v>316</v>
      </c>
      <c r="CR993" s="340">
        <v>102.12</v>
      </c>
      <c r="CS993" s="340" t="s">
        <v>331</v>
      </c>
      <c r="CT993" s="1384"/>
      <c r="DF993" s="340">
        <v>308.02999999999997</v>
      </c>
      <c r="DG993" s="340" t="s">
        <v>322</v>
      </c>
      <c r="DV993" s="340">
        <v>104.12</v>
      </c>
      <c r="DW993" s="340" t="s">
        <v>323</v>
      </c>
      <c r="DX993" s="1671"/>
    </row>
    <row r="994" spans="12:128">
      <c r="L994" s="2481">
        <v>305.06</v>
      </c>
      <c r="M994" s="340" t="s">
        <v>322</v>
      </c>
      <c r="N994" s="1390"/>
      <c r="O994" s="2479"/>
      <c r="P994" s="2282"/>
      <c r="AG994" s="2297">
        <v>104.15</v>
      </c>
      <c r="AH994" s="2297" t="s">
        <v>323</v>
      </c>
      <c r="AI994" s="1390"/>
      <c r="AJ994" s="2282"/>
      <c r="AK994" s="2282"/>
      <c r="AL994" s="1037"/>
      <c r="AX994" s="340">
        <v>506.03</v>
      </c>
      <c r="AY994" s="340" t="s">
        <v>318</v>
      </c>
      <c r="BN994" s="340">
        <v>102.1</v>
      </c>
      <c r="BO994" s="340" t="s">
        <v>316</v>
      </c>
      <c r="BP994" s="1385"/>
      <c r="BV994" s="236">
        <v>119.01</v>
      </c>
      <c r="BW994" s="236" t="s">
        <v>302</v>
      </c>
      <c r="CB994" s="340">
        <v>505.08</v>
      </c>
      <c r="CC994" s="340" t="s">
        <v>318</v>
      </c>
      <c r="CL994" s="236">
        <v>34</v>
      </c>
      <c r="CM994" s="236" t="s">
        <v>331</v>
      </c>
      <c r="CR994" s="340">
        <v>102.13</v>
      </c>
      <c r="CS994" s="340" t="s">
        <v>297</v>
      </c>
      <c r="CT994" s="1384"/>
      <c r="DF994" s="340">
        <v>308.05</v>
      </c>
      <c r="DG994" s="340" t="s">
        <v>322</v>
      </c>
      <c r="DV994" s="340">
        <v>104.15</v>
      </c>
      <c r="DW994" s="340" t="s">
        <v>323</v>
      </c>
      <c r="DX994" s="1671"/>
    </row>
    <row r="995" spans="12:128">
      <c r="L995" s="2481">
        <v>307.01</v>
      </c>
      <c r="M995" s="340" t="s">
        <v>322</v>
      </c>
      <c r="N995" s="1390"/>
      <c r="O995" s="2479"/>
      <c r="P995" s="2282"/>
      <c r="AG995" s="2297">
        <v>104.16</v>
      </c>
      <c r="AH995" s="2297" t="s">
        <v>297</v>
      </c>
      <c r="AI995" s="1390"/>
      <c r="AJ995" s="2282"/>
      <c r="AK995" s="2282"/>
      <c r="AL995" s="1037"/>
      <c r="AX995" s="340">
        <v>506.04</v>
      </c>
      <c r="AY995" s="340" t="s">
        <v>318</v>
      </c>
      <c r="BN995" s="340">
        <v>102.1</v>
      </c>
      <c r="BO995" s="340" t="s">
        <v>323</v>
      </c>
      <c r="BP995" s="1385"/>
      <c r="BV995" s="236">
        <v>119.03</v>
      </c>
      <c r="BW995" s="236" t="s">
        <v>302</v>
      </c>
      <c r="CB995" s="340">
        <v>505.09</v>
      </c>
      <c r="CC995" s="340" t="s">
        <v>318</v>
      </c>
      <c r="CL995" s="236">
        <v>34</v>
      </c>
      <c r="CM995" s="236" t="s">
        <v>340</v>
      </c>
      <c r="CR995" s="340">
        <v>102.15</v>
      </c>
      <c r="CS995" s="340" t="s">
        <v>297</v>
      </c>
      <c r="CT995" s="1384"/>
      <c r="DF995" s="340">
        <v>308.07</v>
      </c>
      <c r="DG995" s="340" t="s">
        <v>322</v>
      </c>
      <c r="DV995" s="340">
        <v>104.16</v>
      </c>
      <c r="DW995" s="340" t="s">
        <v>297</v>
      </c>
      <c r="DX995" s="1671"/>
    </row>
    <row r="996" spans="12:128">
      <c r="L996" s="2481">
        <v>308.02999999999997</v>
      </c>
      <c r="M996" s="340" t="s">
        <v>322</v>
      </c>
      <c r="N996" s="1390"/>
      <c r="O996" s="2479"/>
      <c r="P996" s="2282"/>
      <c r="AG996" s="2297">
        <v>104.16</v>
      </c>
      <c r="AH996" s="2297" t="s">
        <v>323</v>
      </c>
      <c r="AI996" s="1390"/>
      <c r="AJ996" s="2282"/>
      <c r="AK996" s="2282"/>
      <c r="AL996" s="1037"/>
      <c r="AX996" s="340">
        <v>506.05</v>
      </c>
      <c r="AY996" s="340" t="s">
        <v>318</v>
      </c>
      <c r="BN996" s="340">
        <v>102.11</v>
      </c>
      <c r="BO996" s="340" t="s">
        <v>297</v>
      </c>
      <c r="BP996" s="1385"/>
      <c r="BV996" s="236">
        <v>119.04</v>
      </c>
      <c r="BW996" s="236" t="s">
        <v>302</v>
      </c>
      <c r="CB996" s="340">
        <v>506.01</v>
      </c>
      <c r="CC996" s="340" t="s">
        <v>318</v>
      </c>
      <c r="CL996" s="236">
        <v>35</v>
      </c>
      <c r="CM996" s="236" t="s">
        <v>316</v>
      </c>
      <c r="CR996" s="340">
        <v>102.15</v>
      </c>
      <c r="CS996" s="340" t="s">
        <v>316</v>
      </c>
      <c r="CT996" s="1384"/>
      <c r="DF996" s="340">
        <v>309.14999999999998</v>
      </c>
      <c r="DG996" s="340" t="s">
        <v>322</v>
      </c>
      <c r="DV996" s="340">
        <v>104.16</v>
      </c>
      <c r="DW996" s="340" t="s">
        <v>323</v>
      </c>
      <c r="DX996" s="1671"/>
    </row>
    <row r="997" spans="12:128">
      <c r="L997" s="2481">
        <v>308.05</v>
      </c>
      <c r="M997" s="340" t="s">
        <v>322</v>
      </c>
      <c r="N997" s="1390"/>
      <c r="O997" s="2479"/>
      <c r="P997" s="2282"/>
      <c r="AG997" s="2297">
        <v>104.17</v>
      </c>
      <c r="AH997" s="2297" t="s">
        <v>323</v>
      </c>
      <c r="AI997" s="1390"/>
      <c r="AJ997" s="2282"/>
      <c r="AK997" s="2282"/>
      <c r="AL997" s="1037"/>
      <c r="AX997" s="340">
        <v>506.08</v>
      </c>
      <c r="AY997" s="340" t="s">
        <v>318</v>
      </c>
      <c r="BN997" s="340">
        <v>102.11</v>
      </c>
      <c r="BO997" s="340" t="s">
        <v>316</v>
      </c>
      <c r="BP997" s="1385"/>
      <c r="BV997" s="236">
        <v>119.05</v>
      </c>
      <c r="BW997" s="236" t="s">
        <v>302</v>
      </c>
      <c r="CB997" s="340">
        <v>506.02</v>
      </c>
      <c r="CC997" s="340" t="s">
        <v>318</v>
      </c>
      <c r="CL997" s="236">
        <v>35.049999999999997</v>
      </c>
      <c r="CM997" s="236" t="s">
        <v>304</v>
      </c>
      <c r="CR997" s="340">
        <v>102.16</v>
      </c>
      <c r="CS997" s="340" t="s">
        <v>297</v>
      </c>
      <c r="CT997" s="1384"/>
      <c r="DF997" s="340">
        <v>309.16000000000003</v>
      </c>
      <c r="DG997" s="340" t="s">
        <v>322</v>
      </c>
      <c r="DV997" s="340">
        <v>104.17</v>
      </c>
      <c r="DW997" s="340" t="s">
        <v>323</v>
      </c>
      <c r="DX997" s="1671"/>
    </row>
    <row r="998" spans="12:128">
      <c r="L998" s="2481">
        <v>309.17</v>
      </c>
      <c r="M998" s="340" t="s">
        <v>322</v>
      </c>
      <c r="N998" s="1390"/>
      <c r="O998" s="2479"/>
      <c r="P998" s="2282"/>
      <c r="AG998" s="2297">
        <v>104.18</v>
      </c>
      <c r="AH998" s="2297" t="s">
        <v>323</v>
      </c>
      <c r="AI998" s="1390"/>
      <c r="AJ998" s="2282"/>
      <c r="AK998" s="2282"/>
      <c r="AL998" s="1037"/>
      <c r="AX998" s="340">
        <v>507.02</v>
      </c>
      <c r="AY998" s="340" t="s">
        <v>318</v>
      </c>
      <c r="BN998" s="340">
        <v>102.12</v>
      </c>
      <c r="BO998" s="340" t="s">
        <v>316</v>
      </c>
      <c r="BP998" s="1385"/>
      <c r="BV998" s="236">
        <v>120</v>
      </c>
      <c r="BW998" s="236" t="s">
        <v>302</v>
      </c>
      <c r="CB998" s="340">
        <v>506.05</v>
      </c>
      <c r="CC998" s="340" t="s">
        <v>318</v>
      </c>
      <c r="CL998" s="236">
        <v>35.06</v>
      </c>
      <c r="CM998" s="236" t="s">
        <v>304</v>
      </c>
      <c r="CR998" s="340">
        <v>102.16</v>
      </c>
      <c r="CS998" s="340" t="s">
        <v>316</v>
      </c>
      <c r="CT998" s="1384"/>
      <c r="DF998" s="340">
        <v>309.17</v>
      </c>
      <c r="DG998" s="340" t="s">
        <v>322</v>
      </c>
      <c r="DV998" s="340">
        <v>104.18</v>
      </c>
      <c r="DW998" s="340" t="s">
        <v>323</v>
      </c>
      <c r="DX998" s="1671"/>
    </row>
    <row r="999" spans="12:128">
      <c r="L999" s="2481">
        <v>309.18</v>
      </c>
      <c r="M999" s="340" t="s">
        <v>322</v>
      </c>
      <c r="N999" s="1390"/>
      <c r="O999" s="2479"/>
      <c r="P999" s="2282"/>
      <c r="AG999" s="2297">
        <v>104.2</v>
      </c>
      <c r="AH999" s="2297" t="s">
        <v>323</v>
      </c>
      <c r="AI999" s="1390"/>
      <c r="AJ999" s="2282"/>
      <c r="AK999" s="2282"/>
      <c r="AL999" s="1037"/>
      <c r="AX999" s="340">
        <v>507.04</v>
      </c>
      <c r="AY999" s="340" t="s">
        <v>318</v>
      </c>
      <c r="BN999" s="340">
        <v>102.12</v>
      </c>
      <c r="BO999" s="340" t="s">
        <v>331</v>
      </c>
      <c r="BP999" s="1385"/>
      <c r="BV999" s="236">
        <v>121</v>
      </c>
      <c r="BW999" s="236" t="s">
        <v>302</v>
      </c>
      <c r="CB999" s="340">
        <v>506.08</v>
      </c>
      <c r="CC999" s="340" t="s">
        <v>318</v>
      </c>
      <c r="CL999" s="236">
        <v>35.07</v>
      </c>
      <c r="CM999" s="236" t="s">
        <v>304</v>
      </c>
      <c r="CR999" s="340">
        <v>102.17</v>
      </c>
      <c r="CS999" s="340" t="s">
        <v>316</v>
      </c>
      <c r="CT999" s="1384"/>
      <c r="DF999" s="340">
        <v>309.18</v>
      </c>
      <c r="DG999" s="340" t="s">
        <v>322</v>
      </c>
      <c r="DV999" s="340">
        <v>104.2</v>
      </c>
      <c r="DW999" s="340" t="s">
        <v>323</v>
      </c>
      <c r="DX999" s="1671"/>
    </row>
    <row r="1000" spans="12:128">
      <c r="L1000" s="2481">
        <v>310.02</v>
      </c>
      <c r="M1000" s="340" t="s">
        <v>322</v>
      </c>
      <c r="N1000" s="1390"/>
      <c r="O1000" s="2479"/>
      <c r="P1000" s="2282"/>
      <c r="AG1000" s="2297">
        <v>104.21</v>
      </c>
      <c r="AH1000" s="2297" t="s">
        <v>323</v>
      </c>
      <c r="AI1000" s="1390"/>
      <c r="AJ1000" s="2282"/>
      <c r="AK1000" s="2282"/>
      <c r="AL1000" s="1037"/>
      <c r="AX1000" s="340">
        <v>507.06</v>
      </c>
      <c r="AY1000" s="340" t="s">
        <v>318</v>
      </c>
      <c r="BN1000" s="340">
        <v>102.13</v>
      </c>
      <c r="BO1000" s="340" t="s">
        <v>297</v>
      </c>
      <c r="BP1000" s="1385"/>
      <c r="BV1000" s="236">
        <v>122.01</v>
      </c>
      <c r="BW1000" s="236" t="s">
        <v>302</v>
      </c>
      <c r="CB1000" s="340">
        <v>507.02</v>
      </c>
      <c r="CC1000" s="340" t="s">
        <v>318</v>
      </c>
      <c r="CL1000" s="236">
        <v>35.07</v>
      </c>
      <c r="CM1000" s="236" t="s">
        <v>340</v>
      </c>
      <c r="CR1000" s="340">
        <v>102.18</v>
      </c>
      <c r="CS1000" s="340" t="s">
        <v>316</v>
      </c>
      <c r="CT1000" s="1384"/>
      <c r="DF1000" s="340">
        <v>310.02</v>
      </c>
      <c r="DG1000" s="340" t="s">
        <v>322</v>
      </c>
      <c r="DV1000" s="340">
        <v>104.21</v>
      </c>
      <c r="DW1000" s="340" t="s">
        <v>323</v>
      </c>
      <c r="DX1000" s="1671"/>
    </row>
    <row r="1001" spans="12:128">
      <c r="L1001" s="2481">
        <v>311.02999999999997</v>
      </c>
      <c r="M1001" s="340" t="s">
        <v>322</v>
      </c>
      <c r="N1001" s="1390"/>
      <c r="O1001" s="2479"/>
      <c r="P1001" s="2282"/>
      <c r="AG1001" s="2297">
        <v>104.22</v>
      </c>
      <c r="AH1001" s="2297" t="s">
        <v>323</v>
      </c>
      <c r="AI1001" s="1390"/>
      <c r="AJ1001" s="2282"/>
      <c r="AK1001" s="2282"/>
      <c r="AL1001" s="1037"/>
      <c r="AX1001" s="340">
        <v>507.07</v>
      </c>
      <c r="AY1001" s="340" t="s">
        <v>318</v>
      </c>
      <c r="BN1001" s="340">
        <v>102.15</v>
      </c>
      <c r="BO1001" s="340" t="s">
        <v>297</v>
      </c>
      <c r="BP1001" s="1385"/>
      <c r="BV1001" s="236">
        <v>122.02</v>
      </c>
      <c r="BW1001" s="236" t="s">
        <v>302</v>
      </c>
      <c r="CB1001" s="340">
        <v>507.04</v>
      </c>
      <c r="CC1001" s="340" t="s">
        <v>318</v>
      </c>
      <c r="CL1001" s="236">
        <v>35.090000000000003</v>
      </c>
      <c r="CM1001" s="236" t="s">
        <v>304</v>
      </c>
      <c r="CR1001" s="340">
        <v>103</v>
      </c>
      <c r="CS1001" s="340" t="s">
        <v>297</v>
      </c>
      <c r="CT1001" s="1384"/>
      <c r="DF1001" s="340">
        <v>311.02999999999997</v>
      </c>
      <c r="DG1001" s="340" t="s">
        <v>322</v>
      </c>
      <c r="DV1001" s="340">
        <v>104.22</v>
      </c>
      <c r="DW1001" s="340" t="s">
        <v>323</v>
      </c>
      <c r="DX1001" s="1671"/>
    </row>
    <row r="1002" spans="12:128">
      <c r="L1002" s="2481">
        <v>311.05</v>
      </c>
      <c r="M1002" s="340" t="s">
        <v>322</v>
      </c>
      <c r="N1002" s="1390"/>
      <c r="O1002" s="2479"/>
      <c r="P1002" s="2282"/>
      <c r="AG1002" s="2297">
        <v>104.23</v>
      </c>
      <c r="AH1002" s="2297" t="s">
        <v>297</v>
      </c>
      <c r="AI1002" s="1390"/>
      <c r="AJ1002" s="2282"/>
      <c r="AK1002" s="2282"/>
      <c r="AL1002" s="1037"/>
      <c r="AX1002" s="340">
        <v>507.08</v>
      </c>
      <c r="AY1002" s="340" t="s">
        <v>318</v>
      </c>
      <c r="BN1002" s="340">
        <v>102.15</v>
      </c>
      <c r="BO1002" s="340" t="s">
        <v>316</v>
      </c>
      <c r="BP1002" s="1385"/>
      <c r="BV1002" s="236">
        <v>123</v>
      </c>
      <c r="BW1002" s="236" t="s">
        <v>302</v>
      </c>
      <c r="CB1002" s="340">
        <v>507.06</v>
      </c>
      <c r="CC1002" s="340" t="s">
        <v>318</v>
      </c>
      <c r="CL1002" s="236">
        <v>35.1</v>
      </c>
      <c r="CM1002" s="236" t="s">
        <v>304</v>
      </c>
      <c r="CR1002" s="340">
        <v>103</v>
      </c>
      <c r="CS1002" s="340" t="s">
        <v>338</v>
      </c>
      <c r="CT1002" s="1384"/>
      <c r="DF1002" s="340">
        <v>311.05</v>
      </c>
      <c r="DG1002" s="340" t="s">
        <v>322</v>
      </c>
      <c r="DV1002" s="340">
        <v>104.23</v>
      </c>
      <c r="DW1002" s="340" t="s">
        <v>297</v>
      </c>
      <c r="DX1002" s="1671"/>
    </row>
    <row r="1003" spans="12:128">
      <c r="L1003" s="2481">
        <v>311.06</v>
      </c>
      <c r="M1003" s="340" t="s">
        <v>322</v>
      </c>
      <c r="N1003" s="1390"/>
      <c r="O1003" s="2479"/>
      <c r="P1003" s="2282"/>
      <c r="AG1003" s="2297">
        <v>104.23</v>
      </c>
      <c r="AH1003" s="2297" t="s">
        <v>323</v>
      </c>
      <c r="AI1003" s="1390"/>
      <c r="AJ1003" s="2282"/>
      <c r="AK1003" s="2282"/>
      <c r="AL1003" s="1037"/>
      <c r="AX1003" s="340">
        <v>508.1</v>
      </c>
      <c r="AY1003" s="340" t="s">
        <v>318</v>
      </c>
      <c r="BN1003" s="340">
        <v>102.16</v>
      </c>
      <c r="BO1003" s="340" t="s">
        <v>297</v>
      </c>
      <c r="BP1003" s="1385"/>
      <c r="BV1003" s="236">
        <v>124</v>
      </c>
      <c r="BW1003" s="236" t="s">
        <v>302</v>
      </c>
      <c r="CB1003" s="340">
        <v>507.07</v>
      </c>
      <c r="CC1003" s="340" t="s">
        <v>318</v>
      </c>
      <c r="CL1003" s="236">
        <v>35.11</v>
      </c>
      <c r="CM1003" s="236" t="s">
        <v>304</v>
      </c>
      <c r="CR1003" s="340">
        <v>103.01</v>
      </c>
      <c r="CS1003" s="340" t="s">
        <v>292</v>
      </c>
      <c r="CT1003" s="1384"/>
      <c r="DF1003" s="340">
        <v>311.06</v>
      </c>
      <c r="DG1003" s="340" t="s">
        <v>322</v>
      </c>
      <c r="DV1003" s="340">
        <v>104.23</v>
      </c>
      <c r="DW1003" s="340" t="s">
        <v>323</v>
      </c>
      <c r="DX1003" s="1671"/>
    </row>
    <row r="1004" spans="12:128">
      <c r="L1004" s="2481">
        <v>311.07</v>
      </c>
      <c r="M1004" s="340" t="s">
        <v>322</v>
      </c>
      <c r="N1004" s="1390"/>
      <c r="O1004" s="2479"/>
      <c r="P1004" s="2282"/>
      <c r="AG1004" s="2297">
        <v>104.24</v>
      </c>
      <c r="AH1004" s="2297" t="s">
        <v>297</v>
      </c>
      <c r="AI1004" s="1390"/>
      <c r="AJ1004" s="2282"/>
      <c r="AK1004" s="2282"/>
      <c r="AL1004" s="1037"/>
      <c r="AX1004" s="340">
        <v>508.11</v>
      </c>
      <c r="AY1004" s="340" t="s">
        <v>318</v>
      </c>
      <c r="BN1004" s="340">
        <v>102.16</v>
      </c>
      <c r="BO1004" s="340" t="s">
        <v>316</v>
      </c>
      <c r="BP1004" s="1385"/>
      <c r="BV1004" s="236">
        <v>125</v>
      </c>
      <c r="BW1004" s="236" t="s">
        <v>302</v>
      </c>
      <c r="CB1004" s="340">
        <v>507.08</v>
      </c>
      <c r="CC1004" s="340" t="s">
        <v>318</v>
      </c>
      <c r="CL1004" s="236">
        <v>35.119999999999997</v>
      </c>
      <c r="CM1004" s="236" t="s">
        <v>304</v>
      </c>
      <c r="CR1004" s="340">
        <v>103.01</v>
      </c>
      <c r="CS1004" s="340" t="s">
        <v>294</v>
      </c>
      <c r="CT1004" s="1384"/>
      <c r="DF1004" s="340">
        <v>311.07</v>
      </c>
      <c r="DG1004" s="340" t="s">
        <v>322</v>
      </c>
      <c r="DV1004" s="340">
        <v>104.24</v>
      </c>
      <c r="DW1004" s="340" t="s">
        <v>297</v>
      </c>
      <c r="DX1004" s="1671"/>
    </row>
    <row r="1005" spans="12:128">
      <c r="L1005" s="2481">
        <v>311.08</v>
      </c>
      <c r="M1005" s="340" t="s">
        <v>322</v>
      </c>
      <c r="N1005" s="1390"/>
      <c r="O1005" s="2479"/>
      <c r="P1005" s="2282"/>
      <c r="AG1005" s="2297">
        <v>104.25</v>
      </c>
      <c r="AH1005" s="2297" t="s">
        <v>297</v>
      </c>
      <c r="AI1005" s="1390"/>
      <c r="AJ1005" s="2282"/>
      <c r="AK1005" s="2282"/>
      <c r="AL1005" s="1037"/>
      <c r="AX1005" s="340">
        <v>509.03</v>
      </c>
      <c r="AY1005" s="340" t="s">
        <v>318</v>
      </c>
      <c r="BN1005" s="340">
        <v>102.17</v>
      </c>
      <c r="BO1005" s="340" t="s">
        <v>297</v>
      </c>
      <c r="BP1005" s="1385"/>
      <c r="BV1005" s="236">
        <v>126.01</v>
      </c>
      <c r="BW1005" s="236" t="s">
        <v>302</v>
      </c>
      <c r="CB1005" s="340">
        <v>507.09</v>
      </c>
      <c r="CC1005" s="340" t="s">
        <v>318</v>
      </c>
      <c r="CL1005" s="236">
        <v>35.119999999999997</v>
      </c>
      <c r="CM1005" s="236" t="s">
        <v>340</v>
      </c>
      <c r="CR1005" s="340">
        <v>103.01</v>
      </c>
      <c r="CS1005" s="340" t="s">
        <v>302</v>
      </c>
      <c r="CT1005" s="1384"/>
      <c r="DF1005" s="340">
        <v>311.08</v>
      </c>
      <c r="DG1005" s="340" t="s">
        <v>322</v>
      </c>
      <c r="DV1005" s="340">
        <v>104.25</v>
      </c>
      <c r="DW1005" s="340" t="s">
        <v>297</v>
      </c>
      <c r="DX1005" s="1671"/>
    </row>
    <row r="1006" spans="12:128">
      <c r="L1006" s="2481">
        <v>312.02</v>
      </c>
      <c r="M1006" s="340" t="s">
        <v>322</v>
      </c>
      <c r="N1006" s="1390"/>
      <c r="O1006" s="2479"/>
      <c r="P1006" s="2282"/>
      <c r="AG1006" s="2297">
        <v>104.27</v>
      </c>
      <c r="AH1006" s="2297" t="s">
        <v>297</v>
      </c>
      <c r="AI1006" s="1390"/>
      <c r="AJ1006" s="2282"/>
      <c r="AK1006" s="2282"/>
      <c r="AL1006" s="1037"/>
      <c r="AX1006" s="340">
        <v>509.05</v>
      </c>
      <c r="AY1006" s="340" t="s">
        <v>318</v>
      </c>
      <c r="BN1006" s="340">
        <v>102.17</v>
      </c>
      <c r="BO1006" s="340" t="s">
        <v>316</v>
      </c>
      <c r="BP1006" s="1385"/>
      <c r="BV1006" s="236">
        <v>126.02</v>
      </c>
      <c r="BW1006" s="236" t="s">
        <v>302</v>
      </c>
      <c r="CB1006" s="340">
        <v>508.07</v>
      </c>
      <c r="CC1006" s="340" t="s">
        <v>318</v>
      </c>
      <c r="CL1006" s="236">
        <v>35.130000000000003</v>
      </c>
      <c r="CM1006" s="236" t="s">
        <v>340</v>
      </c>
      <c r="CR1006" s="340">
        <v>103.01</v>
      </c>
      <c r="CS1006" s="340" t="s">
        <v>331</v>
      </c>
      <c r="CT1006" s="1384"/>
      <c r="DF1006" s="340">
        <v>312.02</v>
      </c>
      <c r="DG1006" s="340" t="s">
        <v>322</v>
      </c>
      <c r="DV1006" s="340">
        <v>104.26</v>
      </c>
      <c r="DW1006" s="340" t="s">
        <v>297</v>
      </c>
      <c r="DX1006" s="1671"/>
    </row>
    <row r="1007" spans="12:128">
      <c r="L1007" s="2481">
        <v>312.02999999999997</v>
      </c>
      <c r="M1007" s="340" t="s">
        <v>322</v>
      </c>
      <c r="N1007" s="1390"/>
      <c r="O1007" s="2479"/>
      <c r="P1007" s="2282"/>
      <c r="AG1007" s="2297">
        <v>104.3</v>
      </c>
      <c r="AH1007" s="2297" t="s">
        <v>297</v>
      </c>
      <c r="AI1007" s="1390"/>
      <c r="AJ1007" s="2282"/>
      <c r="AK1007" s="2282"/>
      <c r="AL1007" s="1037"/>
      <c r="AX1007" s="340">
        <v>2101</v>
      </c>
      <c r="AY1007" s="340" t="s">
        <v>319</v>
      </c>
      <c r="BN1007" s="340">
        <v>102.18</v>
      </c>
      <c r="BO1007" s="340" t="s">
        <v>316</v>
      </c>
      <c r="BP1007" s="1385"/>
      <c r="BV1007" s="236">
        <v>127.02</v>
      </c>
      <c r="BW1007" s="236" t="s">
        <v>302</v>
      </c>
      <c r="CB1007" s="340">
        <v>508.09</v>
      </c>
      <c r="CC1007" s="340" t="s">
        <v>318</v>
      </c>
      <c r="CL1007" s="236">
        <v>35.14</v>
      </c>
      <c r="CM1007" s="236" t="s">
        <v>340</v>
      </c>
      <c r="CR1007" s="340">
        <v>103.02</v>
      </c>
      <c r="CS1007" s="340" t="s">
        <v>300</v>
      </c>
      <c r="CT1007" s="1384"/>
      <c r="DF1007" s="340">
        <v>312.02999999999997</v>
      </c>
      <c r="DG1007" s="340" t="s">
        <v>322</v>
      </c>
      <c r="DV1007" s="340">
        <v>104.27</v>
      </c>
      <c r="DW1007" s="340" t="s">
        <v>297</v>
      </c>
      <c r="DX1007" s="1671"/>
    </row>
    <row r="1008" spans="12:128">
      <c r="L1008" s="2481">
        <v>312.05</v>
      </c>
      <c r="M1008" s="340" t="s">
        <v>322</v>
      </c>
      <c r="N1008" s="1390"/>
      <c r="O1008" s="2479"/>
      <c r="P1008" s="2282"/>
      <c r="AG1008" s="2297">
        <v>104.31</v>
      </c>
      <c r="AH1008" s="2297" t="s">
        <v>297</v>
      </c>
      <c r="AI1008" s="1390"/>
      <c r="AJ1008" s="2282"/>
      <c r="AK1008" s="2282"/>
      <c r="AL1008" s="1037"/>
      <c r="AX1008" s="340">
        <v>2103.0100000000002</v>
      </c>
      <c r="AY1008" s="340" t="s">
        <v>319</v>
      </c>
      <c r="BN1008" s="340">
        <v>103</v>
      </c>
      <c r="BO1008" s="340" t="s">
        <v>338</v>
      </c>
      <c r="BP1008" s="1385"/>
      <c r="BV1008" s="236">
        <v>127.03</v>
      </c>
      <c r="BW1008" s="236" t="s">
        <v>302</v>
      </c>
      <c r="CB1008" s="340">
        <v>508.11</v>
      </c>
      <c r="CC1008" s="340" t="s">
        <v>318</v>
      </c>
      <c r="CL1008" s="236">
        <v>36</v>
      </c>
      <c r="CM1008" s="236" t="s">
        <v>316</v>
      </c>
      <c r="CR1008" s="340">
        <v>103.02</v>
      </c>
      <c r="CS1008" s="340" t="s">
        <v>331</v>
      </c>
      <c r="CT1008" s="1384"/>
      <c r="DF1008" s="340">
        <v>312.05</v>
      </c>
      <c r="DG1008" s="340" t="s">
        <v>322</v>
      </c>
      <c r="DV1008" s="340">
        <v>104.3</v>
      </c>
      <c r="DW1008" s="340" t="s">
        <v>297</v>
      </c>
      <c r="DX1008" s="1671"/>
    </row>
    <row r="1009" spans="12:128">
      <c r="L1009" s="2481">
        <v>312.07</v>
      </c>
      <c r="M1009" s="340" t="s">
        <v>322</v>
      </c>
      <c r="N1009" s="1390"/>
      <c r="O1009" s="2479"/>
      <c r="P1009" s="2282"/>
      <c r="AG1009" s="2297">
        <v>104.32</v>
      </c>
      <c r="AH1009" s="2297" t="s">
        <v>297</v>
      </c>
      <c r="AI1009" s="1390"/>
      <c r="AJ1009" s="2282"/>
      <c r="AK1009" s="2282"/>
      <c r="AL1009" s="1037"/>
      <c r="AX1009" s="340">
        <v>2104</v>
      </c>
      <c r="AY1009" s="340" t="s">
        <v>319</v>
      </c>
      <c r="BN1009" s="340">
        <v>103.01</v>
      </c>
      <c r="BO1009" s="340" t="s">
        <v>292</v>
      </c>
      <c r="BP1009" s="1385"/>
      <c r="BV1009" s="236">
        <v>127.04</v>
      </c>
      <c r="BW1009" s="236" t="s">
        <v>302</v>
      </c>
      <c r="CB1009" s="340">
        <v>508.12</v>
      </c>
      <c r="CC1009" s="340" t="s">
        <v>318</v>
      </c>
      <c r="CL1009" s="236">
        <v>36</v>
      </c>
      <c r="CM1009" s="236" t="s">
        <v>340</v>
      </c>
      <c r="CR1009" s="340">
        <v>103.02</v>
      </c>
      <c r="CS1009" s="340" t="s">
        <v>346</v>
      </c>
      <c r="CT1009" s="1384"/>
      <c r="DF1009" s="340">
        <v>312.08</v>
      </c>
      <c r="DG1009" s="340" t="s">
        <v>322</v>
      </c>
      <c r="DV1009" s="340">
        <v>104.31</v>
      </c>
      <c r="DW1009" s="340" t="s">
        <v>297</v>
      </c>
      <c r="DX1009" s="1671"/>
    </row>
    <row r="1010" spans="12:128">
      <c r="L1010" s="2481">
        <v>312.08</v>
      </c>
      <c r="M1010" s="340" t="s">
        <v>322</v>
      </c>
      <c r="N1010" s="1390"/>
      <c r="O1010" s="2479"/>
      <c r="P1010" s="2282"/>
      <c r="AG1010" s="2297">
        <v>104.33</v>
      </c>
      <c r="AH1010" s="2297" t="s">
        <v>297</v>
      </c>
      <c r="AI1010" s="1390"/>
      <c r="AJ1010" s="2282"/>
      <c r="AK1010" s="2282"/>
      <c r="AL1010" s="1037"/>
      <c r="AX1010" s="340">
        <v>2105</v>
      </c>
      <c r="AY1010" s="340" t="s">
        <v>319</v>
      </c>
      <c r="BN1010" s="340">
        <v>103.01</v>
      </c>
      <c r="BO1010" s="340" t="s">
        <v>294</v>
      </c>
      <c r="BP1010" s="1385"/>
      <c r="BV1010" s="236">
        <v>128</v>
      </c>
      <c r="BW1010" s="236" t="s">
        <v>302</v>
      </c>
      <c r="CB1010" s="340">
        <v>509.03</v>
      </c>
      <c r="CC1010" s="340" t="s">
        <v>318</v>
      </c>
      <c r="CL1010" s="236">
        <v>36.03</v>
      </c>
      <c r="CM1010" s="236" t="s">
        <v>304</v>
      </c>
      <c r="CR1010" s="340">
        <v>103.03</v>
      </c>
      <c r="CS1010" s="340" t="s">
        <v>331</v>
      </c>
      <c r="CT1010" s="1384"/>
      <c r="DF1010" s="340">
        <v>313.01</v>
      </c>
      <c r="DG1010" s="340" t="s">
        <v>322</v>
      </c>
      <c r="DV1010" s="340">
        <v>104.32</v>
      </c>
      <c r="DW1010" s="340" t="s">
        <v>297</v>
      </c>
      <c r="DX1010" s="1671"/>
    </row>
    <row r="1011" spans="12:128">
      <c r="L1011" s="2481">
        <v>313.01</v>
      </c>
      <c r="M1011" s="340" t="s">
        <v>322</v>
      </c>
      <c r="N1011" s="1390"/>
      <c r="O1011" s="2479"/>
      <c r="P1011" s="2282"/>
      <c r="AG1011" s="2297">
        <v>104.34</v>
      </c>
      <c r="AH1011" s="2297" t="s">
        <v>297</v>
      </c>
      <c r="AI1011" s="1390"/>
      <c r="AJ1011" s="2282"/>
      <c r="AK1011" s="2282"/>
      <c r="AL1011" s="1037"/>
      <c r="AX1011" s="340">
        <v>2107</v>
      </c>
      <c r="AY1011" s="340" t="s">
        <v>319</v>
      </c>
      <c r="BN1011" s="340">
        <v>103.01</v>
      </c>
      <c r="BO1011" s="340" t="s">
        <v>331</v>
      </c>
      <c r="BP1011" s="1385"/>
      <c r="BV1011" s="236">
        <v>129</v>
      </c>
      <c r="BW1011" s="236" t="s">
        <v>302</v>
      </c>
      <c r="CB1011" s="340">
        <v>509.05</v>
      </c>
      <c r="CC1011" s="340" t="s">
        <v>318</v>
      </c>
      <c r="CL1011" s="236">
        <v>36.03</v>
      </c>
      <c r="CM1011" s="236" t="s">
        <v>331</v>
      </c>
      <c r="CR1011" s="340">
        <v>103.03</v>
      </c>
      <c r="CS1011" s="340" t="s">
        <v>346</v>
      </c>
      <c r="CT1011" s="1384"/>
      <c r="DF1011" s="340">
        <v>313.06</v>
      </c>
      <c r="DG1011" s="340" t="s">
        <v>322</v>
      </c>
      <c r="DV1011" s="340">
        <v>104.33</v>
      </c>
      <c r="DW1011" s="340" t="s">
        <v>297</v>
      </c>
      <c r="DX1011" s="1671"/>
    </row>
    <row r="1012" spans="12:128">
      <c r="L1012" s="2481">
        <v>313.06</v>
      </c>
      <c r="M1012" s="340" t="s">
        <v>322</v>
      </c>
      <c r="N1012" s="1390"/>
      <c r="O1012" s="2479"/>
      <c r="P1012" s="2282"/>
      <c r="AG1012" s="2297">
        <v>104.35</v>
      </c>
      <c r="AH1012" s="2297" t="s">
        <v>297</v>
      </c>
      <c r="AI1012" s="1390"/>
      <c r="AJ1012" s="2282"/>
      <c r="AK1012" s="2282"/>
      <c r="AL1012" s="1037"/>
      <c r="AX1012" s="340">
        <v>2109.0100000000002</v>
      </c>
      <c r="AY1012" s="340" t="s">
        <v>319</v>
      </c>
      <c r="BN1012" s="340">
        <v>103.02</v>
      </c>
      <c r="BO1012" s="340" t="s">
        <v>346</v>
      </c>
      <c r="BP1012" s="1385"/>
      <c r="BV1012" s="236">
        <v>130</v>
      </c>
      <c r="BW1012" s="236" t="s">
        <v>302</v>
      </c>
      <c r="CB1012" s="340">
        <v>509.09</v>
      </c>
      <c r="CC1012" s="340" t="s">
        <v>318</v>
      </c>
      <c r="CL1012" s="236">
        <v>36.04</v>
      </c>
      <c r="CM1012" s="236" t="s">
        <v>331</v>
      </c>
      <c r="CR1012" s="340">
        <v>103.04</v>
      </c>
      <c r="CS1012" s="340" t="s">
        <v>316</v>
      </c>
      <c r="CT1012" s="1384"/>
      <c r="DF1012" s="340">
        <v>313.08</v>
      </c>
      <c r="DG1012" s="340" t="s">
        <v>322</v>
      </c>
      <c r="DV1012" s="340">
        <v>104.34</v>
      </c>
      <c r="DW1012" s="340" t="s">
        <v>297</v>
      </c>
      <c r="DX1012" s="1671"/>
    </row>
    <row r="1013" spans="12:128">
      <c r="L1013" s="2481">
        <v>313.08</v>
      </c>
      <c r="M1013" s="340" t="s">
        <v>322</v>
      </c>
      <c r="N1013" s="1390"/>
      <c r="O1013" s="2479"/>
      <c r="P1013" s="2282"/>
      <c r="AG1013" s="2297">
        <v>104.36</v>
      </c>
      <c r="AH1013" s="2297" t="s">
        <v>297</v>
      </c>
      <c r="AI1013" s="1390"/>
      <c r="AJ1013" s="2282"/>
      <c r="AK1013" s="2282"/>
      <c r="AL1013" s="1037"/>
      <c r="AX1013" s="340">
        <v>2110</v>
      </c>
      <c r="AY1013" s="340" t="s">
        <v>319</v>
      </c>
      <c r="BN1013" s="340">
        <v>103.03</v>
      </c>
      <c r="BO1013" s="340" t="s">
        <v>323</v>
      </c>
      <c r="BP1013" s="1385"/>
      <c r="BV1013" s="236">
        <v>131</v>
      </c>
      <c r="BW1013" s="236" t="s">
        <v>302</v>
      </c>
      <c r="CB1013" s="340">
        <v>2101</v>
      </c>
      <c r="CC1013" s="340" t="s">
        <v>319</v>
      </c>
      <c r="CL1013" s="236">
        <v>36.049999999999997</v>
      </c>
      <c r="CM1013" s="236" t="s">
        <v>331</v>
      </c>
      <c r="CR1013" s="340">
        <v>103.07</v>
      </c>
      <c r="CS1013" s="340" t="s">
        <v>323</v>
      </c>
      <c r="CT1013" s="1384"/>
      <c r="DF1013" s="340">
        <v>313.08999999999997</v>
      </c>
      <c r="DG1013" s="340" t="s">
        <v>322</v>
      </c>
      <c r="DV1013" s="340">
        <v>104.35</v>
      </c>
      <c r="DW1013" s="340" t="s">
        <v>297</v>
      </c>
      <c r="DX1013" s="1671"/>
    </row>
    <row r="1014" spans="12:128">
      <c r="L1014" s="2481">
        <v>313.08999999999997</v>
      </c>
      <c r="M1014" s="340" t="s">
        <v>322</v>
      </c>
      <c r="N1014" s="1390"/>
      <c r="O1014" s="2479"/>
      <c r="P1014" s="2282"/>
      <c r="AG1014" s="2297">
        <v>104.37</v>
      </c>
      <c r="AH1014" s="2297" t="s">
        <v>297</v>
      </c>
      <c r="AI1014" s="1390"/>
      <c r="AJ1014" s="2282"/>
      <c r="AK1014" s="2282"/>
      <c r="AL1014" s="1037"/>
      <c r="AX1014" s="340">
        <v>2111</v>
      </c>
      <c r="AY1014" s="340" t="s">
        <v>319</v>
      </c>
      <c r="BN1014" s="340">
        <v>103.03</v>
      </c>
      <c r="BO1014" s="340" t="s">
        <v>346</v>
      </c>
      <c r="BP1014" s="1385"/>
      <c r="BV1014" s="236">
        <v>132</v>
      </c>
      <c r="BW1014" s="236" t="s">
        <v>302</v>
      </c>
      <c r="CB1014" s="340">
        <v>2103.0100000000002</v>
      </c>
      <c r="CC1014" s="340" t="s">
        <v>319</v>
      </c>
      <c r="CL1014" s="236">
        <v>36.06</v>
      </c>
      <c r="CM1014" s="236" t="s">
        <v>331</v>
      </c>
      <c r="CR1014" s="340">
        <v>103.08</v>
      </c>
      <c r="CS1014" s="340" t="s">
        <v>289</v>
      </c>
      <c r="CT1014" s="1384"/>
      <c r="DF1014" s="340">
        <v>313.13</v>
      </c>
      <c r="DG1014" s="340" t="s">
        <v>322</v>
      </c>
      <c r="DV1014" s="340">
        <v>104.36</v>
      </c>
      <c r="DW1014" s="340" t="s">
        <v>297</v>
      </c>
      <c r="DX1014" s="1671"/>
    </row>
    <row r="1015" spans="12:128">
      <c r="L1015" s="2481">
        <v>313.13</v>
      </c>
      <c r="M1015" s="340" t="s">
        <v>322</v>
      </c>
      <c r="N1015" s="1390"/>
      <c r="O1015" s="2479"/>
      <c r="P1015" s="2282"/>
      <c r="AG1015" s="2297">
        <v>104.38</v>
      </c>
      <c r="AH1015" s="2297" t="s">
        <v>297</v>
      </c>
      <c r="AI1015" s="1390"/>
      <c r="AJ1015" s="2282"/>
      <c r="AK1015" s="2282"/>
      <c r="AL1015" s="1037"/>
      <c r="AX1015" s="340">
        <v>2501.04</v>
      </c>
      <c r="AY1015" s="340" t="s">
        <v>320</v>
      </c>
      <c r="BN1015" s="340">
        <v>103.05</v>
      </c>
      <c r="BO1015" s="340" t="s">
        <v>323</v>
      </c>
      <c r="BP1015" s="1385"/>
      <c r="BV1015" s="236">
        <v>133.01</v>
      </c>
      <c r="BW1015" s="236" t="s">
        <v>302</v>
      </c>
      <c r="CB1015" s="340">
        <v>2103.02</v>
      </c>
      <c r="CC1015" s="340" t="s">
        <v>319</v>
      </c>
      <c r="CL1015" s="236">
        <v>36.07</v>
      </c>
      <c r="CM1015" s="236" t="s">
        <v>304</v>
      </c>
      <c r="CR1015" s="340">
        <v>103.08</v>
      </c>
      <c r="CS1015" s="340" t="s">
        <v>302</v>
      </c>
      <c r="CT1015" s="1384"/>
      <c r="DF1015" s="340">
        <v>313.14</v>
      </c>
      <c r="DG1015" s="340" t="s">
        <v>322</v>
      </c>
      <c r="DV1015" s="340">
        <v>104.38</v>
      </c>
      <c r="DW1015" s="340" t="s">
        <v>297</v>
      </c>
      <c r="DX1015" s="1671"/>
    </row>
    <row r="1016" spans="12:128">
      <c r="L1016" s="2481">
        <v>313.14</v>
      </c>
      <c r="M1016" s="340" t="s">
        <v>322</v>
      </c>
      <c r="N1016" s="1390"/>
      <c r="O1016" s="2479"/>
      <c r="P1016" s="2282"/>
      <c r="AG1016" s="2297">
        <v>105.01</v>
      </c>
      <c r="AH1016" s="2297" t="s">
        <v>302</v>
      </c>
      <c r="AI1016" s="1390"/>
      <c r="AJ1016" s="2282"/>
      <c r="AK1016" s="2282"/>
      <c r="AL1016" s="1037"/>
      <c r="AX1016" s="340">
        <v>2501.0500000000002</v>
      </c>
      <c r="AY1016" s="340" t="s">
        <v>320</v>
      </c>
      <c r="BN1016" s="340">
        <v>103.07</v>
      </c>
      <c r="BO1016" s="340" t="s">
        <v>302</v>
      </c>
      <c r="BP1016" s="1385"/>
      <c r="BV1016" s="236">
        <v>133.02000000000001</v>
      </c>
      <c r="BW1016" s="236" t="s">
        <v>302</v>
      </c>
      <c r="CB1016" s="340">
        <v>2104</v>
      </c>
      <c r="CC1016" s="340" t="s">
        <v>319</v>
      </c>
      <c r="CL1016" s="236">
        <v>36.07</v>
      </c>
      <c r="CM1016" s="236" t="s">
        <v>331</v>
      </c>
      <c r="CR1016" s="340">
        <v>103.08</v>
      </c>
      <c r="CS1016" s="340" t="s">
        <v>323</v>
      </c>
      <c r="CT1016" s="1384"/>
      <c r="DF1016" s="340">
        <v>313.14999999999998</v>
      </c>
      <c r="DG1016" s="340" t="s">
        <v>322</v>
      </c>
      <c r="DV1016" s="340">
        <v>105.01</v>
      </c>
      <c r="DW1016" s="340" t="s">
        <v>302</v>
      </c>
      <c r="DX1016" s="1671"/>
    </row>
    <row r="1017" spans="12:128">
      <c r="L1017" s="2481">
        <v>313.14999999999998</v>
      </c>
      <c r="M1017" s="340" t="s">
        <v>322</v>
      </c>
      <c r="N1017" s="1390"/>
      <c r="O1017" s="2479"/>
      <c r="P1017" s="2282"/>
      <c r="AG1017" s="2297">
        <v>105.01</v>
      </c>
      <c r="AH1017" s="2297" t="s">
        <v>323</v>
      </c>
      <c r="AI1017" s="1390"/>
      <c r="AJ1017" s="2282"/>
      <c r="AK1017" s="2282"/>
      <c r="AL1017" s="1037"/>
      <c r="AX1017" s="340">
        <v>2501.06</v>
      </c>
      <c r="AY1017" s="340" t="s">
        <v>320</v>
      </c>
      <c r="BN1017" s="340">
        <v>103.07</v>
      </c>
      <c r="BO1017" s="340" t="s">
        <v>323</v>
      </c>
      <c r="BP1017" s="1385"/>
      <c r="BV1017" s="236">
        <v>134.02000000000001</v>
      </c>
      <c r="BW1017" s="236" t="s">
        <v>302</v>
      </c>
      <c r="CB1017" s="340">
        <v>2105</v>
      </c>
      <c r="CC1017" s="340" t="s">
        <v>319</v>
      </c>
      <c r="CL1017" s="236">
        <v>36.08</v>
      </c>
      <c r="CM1017" s="236" t="s">
        <v>304</v>
      </c>
      <c r="CR1017" s="340">
        <v>103.09</v>
      </c>
      <c r="CS1017" s="340" t="s">
        <v>323</v>
      </c>
      <c r="CT1017" s="1384"/>
      <c r="DF1017" s="340">
        <v>313.16000000000003</v>
      </c>
      <c r="DG1017" s="340" t="s">
        <v>322</v>
      </c>
      <c r="DV1017" s="340">
        <v>105.01</v>
      </c>
      <c r="DW1017" s="340" t="s">
        <v>323</v>
      </c>
      <c r="DX1017" s="1671"/>
    </row>
    <row r="1018" spans="12:128">
      <c r="L1018" s="2481">
        <v>313.16000000000003</v>
      </c>
      <c r="M1018" s="340" t="s">
        <v>322</v>
      </c>
      <c r="N1018" s="1390"/>
      <c r="O1018" s="2479"/>
      <c r="P1018" s="2282"/>
      <c r="AG1018" s="2297">
        <v>105.01</v>
      </c>
      <c r="AH1018" s="2297" t="s">
        <v>344</v>
      </c>
      <c r="AI1018" s="1390"/>
      <c r="AJ1018" s="2282"/>
      <c r="AK1018" s="2282"/>
      <c r="AL1018" s="1037"/>
      <c r="AX1018" s="340">
        <v>2502</v>
      </c>
      <c r="AY1018" s="340" t="s">
        <v>320</v>
      </c>
      <c r="BN1018" s="340">
        <v>103.08</v>
      </c>
      <c r="BO1018" s="340" t="s">
        <v>289</v>
      </c>
      <c r="BP1018" s="1385"/>
      <c r="BV1018" s="236">
        <v>134.03</v>
      </c>
      <c r="BW1018" s="236" t="s">
        <v>302</v>
      </c>
      <c r="CB1018" s="340">
        <v>2107</v>
      </c>
      <c r="CC1018" s="340" t="s">
        <v>319</v>
      </c>
      <c r="CL1018" s="236">
        <v>36.090000000000003</v>
      </c>
      <c r="CM1018" s="236" t="s">
        <v>304</v>
      </c>
      <c r="CR1018" s="340">
        <v>104</v>
      </c>
      <c r="CS1018" s="340" t="s">
        <v>331</v>
      </c>
      <c r="CT1018" s="1384"/>
      <c r="DF1018" s="340">
        <v>313.18</v>
      </c>
      <c r="DG1018" s="340" t="s">
        <v>322</v>
      </c>
      <c r="DV1018" s="340">
        <v>105.01</v>
      </c>
      <c r="DW1018" s="340" t="s">
        <v>344</v>
      </c>
      <c r="DX1018" s="1671"/>
    </row>
    <row r="1019" spans="12:128">
      <c r="L1019" s="2481">
        <v>313.18</v>
      </c>
      <c r="M1019" s="340" t="s">
        <v>322</v>
      </c>
      <c r="N1019" s="1390"/>
      <c r="O1019" s="2479"/>
      <c r="P1019" s="2282"/>
      <c r="AG1019" s="2297">
        <v>105.02</v>
      </c>
      <c r="AH1019" s="2297" t="s">
        <v>289</v>
      </c>
      <c r="AI1019" s="1390"/>
      <c r="AJ1019" s="2282"/>
      <c r="AK1019" s="2282"/>
      <c r="AL1019" s="1037"/>
      <c r="AX1019" s="340">
        <v>9602.02</v>
      </c>
      <c r="AY1019" s="340" t="s">
        <v>321</v>
      </c>
      <c r="BN1019" s="340">
        <v>103.08</v>
      </c>
      <c r="BO1019" s="340" t="s">
        <v>302</v>
      </c>
      <c r="BP1019" s="1385"/>
      <c r="BV1019" s="236">
        <v>134.04</v>
      </c>
      <c r="BW1019" s="236" t="s">
        <v>302</v>
      </c>
      <c r="CB1019" s="340">
        <v>2109.02</v>
      </c>
      <c r="CC1019" s="340" t="s">
        <v>319</v>
      </c>
      <c r="CL1019" s="236">
        <v>36.1</v>
      </c>
      <c r="CM1019" s="236" t="s">
        <v>304</v>
      </c>
      <c r="CR1019" s="340">
        <v>104.01</v>
      </c>
      <c r="CS1019" s="340" t="s">
        <v>289</v>
      </c>
      <c r="CT1019" s="1384"/>
      <c r="DF1019" s="340">
        <v>313.19</v>
      </c>
      <c r="DG1019" s="340" t="s">
        <v>322</v>
      </c>
      <c r="DV1019" s="340">
        <v>105.02</v>
      </c>
      <c r="DW1019" s="340" t="s">
        <v>289</v>
      </c>
      <c r="DX1019" s="1671"/>
    </row>
    <row r="1020" spans="12:128">
      <c r="L1020" s="2481">
        <v>313.19</v>
      </c>
      <c r="M1020" s="340" t="s">
        <v>322</v>
      </c>
      <c r="N1020" s="1390"/>
      <c r="O1020" s="2479"/>
      <c r="P1020" s="2282"/>
      <c r="AG1020" s="2297">
        <v>105.02</v>
      </c>
      <c r="AH1020" s="2297" t="s">
        <v>302</v>
      </c>
      <c r="AI1020" s="1390"/>
      <c r="AJ1020" s="2282"/>
      <c r="AK1020" s="2282"/>
      <c r="AL1020" s="1037"/>
      <c r="AX1020" s="340">
        <v>301.04000000000002</v>
      </c>
      <c r="AY1020" s="340" t="s">
        <v>322</v>
      </c>
      <c r="BN1020" s="340">
        <v>103.08</v>
      </c>
      <c r="BO1020" s="340" t="s">
        <v>323</v>
      </c>
      <c r="BP1020" s="1385"/>
      <c r="BV1020" s="236">
        <v>135.02000000000001</v>
      </c>
      <c r="BW1020" s="236" t="s">
        <v>302</v>
      </c>
      <c r="CB1020" s="340">
        <v>2111</v>
      </c>
      <c r="CC1020" s="340" t="s">
        <v>319</v>
      </c>
      <c r="CL1020" s="236">
        <v>36.11</v>
      </c>
      <c r="CM1020" s="236" t="s">
        <v>304</v>
      </c>
      <c r="CR1020" s="340">
        <v>104.01</v>
      </c>
      <c r="CS1020" s="340" t="s">
        <v>294</v>
      </c>
      <c r="CT1020" s="1384"/>
      <c r="DF1020" s="340">
        <v>313.2</v>
      </c>
      <c r="DG1020" s="340" t="s">
        <v>322</v>
      </c>
      <c r="DV1020" s="340">
        <v>105.02</v>
      </c>
      <c r="DW1020" s="340" t="s">
        <v>302</v>
      </c>
      <c r="DX1020" s="1671"/>
    </row>
    <row r="1021" spans="12:128">
      <c r="L1021" s="2481">
        <v>313.2</v>
      </c>
      <c r="M1021" s="340" t="s">
        <v>322</v>
      </c>
      <c r="N1021" s="1390"/>
      <c r="O1021" s="2479"/>
      <c r="P1021" s="2282"/>
      <c r="AG1021" s="2297">
        <v>105.02</v>
      </c>
      <c r="AH1021" s="2297" t="s">
        <v>331</v>
      </c>
      <c r="AI1021" s="1390"/>
      <c r="AJ1021" s="2282"/>
      <c r="AK1021" s="2282"/>
      <c r="AL1021" s="1037"/>
      <c r="AX1021" s="340">
        <v>301.08</v>
      </c>
      <c r="AY1021" s="340" t="s">
        <v>322</v>
      </c>
      <c r="BN1021" s="340">
        <v>103.09</v>
      </c>
      <c r="BO1021" s="340" t="s">
        <v>323</v>
      </c>
      <c r="BP1021" s="1385"/>
      <c r="BV1021" s="236">
        <v>135.04</v>
      </c>
      <c r="BW1021" s="236" t="s">
        <v>302</v>
      </c>
      <c r="CB1021" s="340">
        <v>2501.04</v>
      </c>
      <c r="CC1021" s="340" t="s">
        <v>320</v>
      </c>
      <c r="CL1021" s="236">
        <v>36.119999999999997</v>
      </c>
      <c r="CM1021" s="236" t="s">
        <v>304</v>
      </c>
      <c r="CR1021" s="340">
        <v>104.01</v>
      </c>
      <c r="CS1021" s="340" t="s">
        <v>297</v>
      </c>
      <c r="CT1021" s="1384"/>
      <c r="DF1021" s="340">
        <v>313.20999999999998</v>
      </c>
      <c r="DG1021" s="340" t="s">
        <v>322</v>
      </c>
      <c r="DV1021" s="340">
        <v>105.02</v>
      </c>
      <c r="DW1021" s="340" t="s">
        <v>331</v>
      </c>
      <c r="DX1021" s="1671"/>
    </row>
    <row r="1022" spans="12:128">
      <c r="L1022" s="2481">
        <v>313.20999999999998</v>
      </c>
      <c r="M1022" s="340" t="s">
        <v>322</v>
      </c>
      <c r="N1022" s="1390"/>
      <c r="O1022" s="2479"/>
      <c r="P1022" s="2282"/>
      <c r="AG1022" s="2297">
        <v>105.02</v>
      </c>
      <c r="AH1022" s="2297" t="s">
        <v>344</v>
      </c>
      <c r="AI1022" s="1390"/>
      <c r="AJ1022" s="2282"/>
      <c r="AK1022" s="2282"/>
      <c r="AL1022" s="1037"/>
      <c r="AX1022" s="340">
        <v>301.08999999999997</v>
      </c>
      <c r="AY1022" s="340" t="s">
        <v>322</v>
      </c>
      <c r="BN1022" s="340">
        <v>104</v>
      </c>
      <c r="BO1022" s="340" t="s">
        <v>331</v>
      </c>
      <c r="BP1022" s="1385"/>
      <c r="BV1022" s="236">
        <v>135.22</v>
      </c>
      <c r="BW1022" s="236" t="s">
        <v>302</v>
      </c>
      <c r="CB1022" s="340">
        <v>2501.0500000000002</v>
      </c>
      <c r="CC1022" s="340" t="s">
        <v>320</v>
      </c>
      <c r="CL1022" s="236">
        <v>36.130000000000003</v>
      </c>
      <c r="CM1022" s="236" t="s">
        <v>304</v>
      </c>
      <c r="CR1022" s="340">
        <v>104.01</v>
      </c>
      <c r="CS1022" s="340" t="s">
        <v>316</v>
      </c>
      <c r="CT1022" s="1384"/>
      <c r="DF1022" s="340">
        <v>313.22000000000003</v>
      </c>
      <c r="DG1022" s="340" t="s">
        <v>322</v>
      </c>
      <c r="DV1022" s="340">
        <v>105.02</v>
      </c>
      <c r="DW1022" s="340" t="s">
        <v>344</v>
      </c>
      <c r="DX1022" s="1671"/>
    </row>
    <row r="1023" spans="12:128">
      <c r="L1023" s="2481">
        <v>313.22000000000003</v>
      </c>
      <c r="M1023" s="340" t="s">
        <v>322</v>
      </c>
      <c r="N1023" s="1390"/>
      <c r="O1023" s="2479"/>
      <c r="P1023" s="2282"/>
      <c r="AG1023" s="2297">
        <v>105.03</v>
      </c>
      <c r="AH1023" s="2297" t="s">
        <v>289</v>
      </c>
      <c r="AI1023" s="1390"/>
      <c r="AJ1023" s="2282"/>
      <c r="AK1023" s="2282"/>
      <c r="AL1023" s="1037"/>
      <c r="AX1023" s="340">
        <v>301.10000000000002</v>
      </c>
      <c r="AY1023" s="340" t="s">
        <v>322</v>
      </c>
      <c r="BN1023" s="340">
        <v>104.01</v>
      </c>
      <c r="BO1023" s="340" t="s">
        <v>289</v>
      </c>
      <c r="BP1023" s="1385"/>
      <c r="BV1023" s="236">
        <v>135.22999999999999</v>
      </c>
      <c r="BW1023" s="236" t="s">
        <v>302</v>
      </c>
      <c r="CB1023" s="340">
        <v>2501.06</v>
      </c>
      <c r="CC1023" s="340" t="s">
        <v>320</v>
      </c>
      <c r="CL1023" s="236">
        <v>36.14</v>
      </c>
      <c r="CM1023" s="236" t="s">
        <v>304</v>
      </c>
      <c r="CR1023" s="340">
        <v>104.01</v>
      </c>
      <c r="CS1023" s="340" t="s">
        <v>344</v>
      </c>
      <c r="CT1023" s="1384"/>
      <c r="DF1023" s="340">
        <v>313.23</v>
      </c>
      <c r="DG1023" s="340" t="s">
        <v>322</v>
      </c>
      <c r="DV1023" s="340">
        <v>105.03</v>
      </c>
      <c r="DW1023" s="340" t="s">
        <v>289</v>
      </c>
      <c r="DX1023" s="1671"/>
    </row>
    <row r="1024" spans="12:128">
      <c r="L1024" s="2481">
        <v>313.23</v>
      </c>
      <c r="M1024" s="340" t="s">
        <v>322</v>
      </c>
      <c r="N1024" s="1390"/>
      <c r="O1024" s="2479"/>
      <c r="P1024" s="2282"/>
      <c r="AG1024" s="2297">
        <v>105.03</v>
      </c>
      <c r="AH1024" s="2297" t="s">
        <v>294</v>
      </c>
      <c r="AI1024" s="1390"/>
      <c r="AJ1024" s="2282"/>
      <c r="AK1024" s="2282"/>
      <c r="AL1024" s="1037"/>
      <c r="AX1024" s="340">
        <v>302.02999999999997</v>
      </c>
      <c r="AY1024" s="340" t="s">
        <v>322</v>
      </c>
      <c r="BN1024" s="340">
        <v>104.01</v>
      </c>
      <c r="BO1024" s="340" t="s">
        <v>294</v>
      </c>
      <c r="BP1024" s="1385"/>
      <c r="BV1024" s="236">
        <v>135.24</v>
      </c>
      <c r="BW1024" s="236" t="s">
        <v>302</v>
      </c>
      <c r="CB1024" s="340">
        <v>9602.02</v>
      </c>
      <c r="CC1024" s="340" t="s">
        <v>321</v>
      </c>
      <c r="CL1024" s="236">
        <v>37</v>
      </c>
      <c r="CM1024" s="236" t="s">
        <v>304</v>
      </c>
      <c r="CR1024" s="340">
        <v>104.02</v>
      </c>
      <c r="CS1024" s="340" t="s">
        <v>294</v>
      </c>
      <c r="CT1024" s="1384"/>
      <c r="DF1024" s="340">
        <v>313.24</v>
      </c>
      <c r="DG1024" s="340" t="s">
        <v>322</v>
      </c>
      <c r="DV1024" s="340">
        <v>105.03</v>
      </c>
      <c r="DW1024" s="340" t="s">
        <v>294</v>
      </c>
      <c r="DX1024" s="1671"/>
    </row>
    <row r="1025" spans="12:128">
      <c r="L1025" s="2481">
        <v>313.24</v>
      </c>
      <c r="M1025" s="340" t="s">
        <v>322</v>
      </c>
      <c r="N1025" s="1390"/>
      <c r="O1025" s="2479"/>
      <c r="P1025" s="2282"/>
      <c r="AG1025" s="2297">
        <v>105.03</v>
      </c>
      <c r="AH1025" s="2297" t="s">
        <v>323</v>
      </c>
      <c r="AI1025" s="1390"/>
      <c r="AJ1025" s="2282"/>
      <c r="AK1025" s="2282"/>
      <c r="AL1025" s="1037"/>
      <c r="AX1025" s="340">
        <v>302.08</v>
      </c>
      <c r="AY1025" s="340" t="s">
        <v>322</v>
      </c>
      <c r="BN1025" s="340">
        <v>104.01</v>
      </c>
      <c r="BO1025" s="340" t="s">
        <v>297</v>
      </c>
      <c r="BP1025" s="1385"/>
      <c r="BV1025" s="236">
        <v>135.25</v>
      </c>
      <c r="BW1025" s="236" t="s">
        <v>302</v>
      </c>
      <c r="CB1025" s="340">
        <v>301.04000000000002</v>
      </c>
      <c r="CC1025" s="340" t="s">
        <v>322</v>
      </c>
      <c r="CL1025" s="236">
        <v>37</v>
      </c>
      <c r="CM1025" s="236" t="s">
        <v>316</v>
      </c>
      <c r="CR1025" s="340">
        <v>104.02</v>
      </c>
      <c r="CS1025" s="340" t="s">
        <v>344</v>
      </c>
      <c r="CT1025" s="1384"/>
      <c r="DF1025" s="340">
        <v>4.01</v>
      </c>
      <c r="DG1025" s="340" t="s">
        <v>323</v>
      </c>
      <c r="DV1025" s="340">
        <v>105.04</v>
      </c>
      <c r="DW1025" s="340" t="s">
        <v>289</v>
      </c>
      <c r="DX1025" s="1671"/>
    </row>
    <row r="1026" spans="12:128">
      <c r="L1026" s="2481">
        <v>4.01</v>
      </c>
      <c r="M1026" s="340" t="s">
        <v>323</v>
      </c>
      <c r="N1026" s="1390"/>
      <c r="O1026" s="2479"/>
      <c r="P1026" s="2282"/>
      <c r="AG1026" s="2297">
        <v>105.04</v>
      </c>
      <c r="AH1026" s="2297" t="s">
        <v>289</v>
      </c>
      <c r="AI1026" s="1390"/>
      <c r="AJ1026" s="2282"/>
      <c r="AK1026" s="2282"/>
      <c r="AL1026" s="1037"/>
      <c r="AX1026" s="340">
        <v>302.11</v>
      </c>
      <c r="AY1026" s="340" t="s">
        <v>322</v>
      </c>
      <c r="BN1026" s="340">
        <v>104.01</v>
      </c>
      <c r="BO1026" s="340" t="s">
        <v>344</v>
      </c>
      <c r="BP1026" s="1385"/>
      <c r="BV1026" s="236">
        <v>135.26</v>
      </c>
      <c r="BW1026" s="236" t="s">
        <v>302</v>
      </c>
      <c r="CB1026" s="340">
        <v>301.08</v>
      </c>
      <c r="CC1026" s="340" t="s">
        <v>322</v>
      </c>
      <c r="CL1026" s="236">
        <v>37</v>
      </c>
      <c r="CM1026" s="236" t="s">
        <v>340</v>
      </c>
      <c r="CR1026" s="340">
        <v>104.03</v>
      </c>
      <c r="CS1026" s="340" t="s">
        <v>300</v>
      </c>
      <c r="CT1026" s="1384"/>
      <c r="DF1026" s="340">
        <v>8</v>
      </c>
      <c r="DG1026" s="340" t="s">
        <v>323</v>
      </c>
      <c r="DV1026" s="340">
        <v>105.04</v>
      </c>
      <c r="DW1026" s="340" t="s">
        <v>346</v>
      </c>
      <c r="DX1026" s="1671"/>
    </row>
    <row r="1027" spans="12:128">
      <c r="L1027" s="2481">
        <v>9</v>
      </c>
      <c r="M1027" s="340" t="s">
        <v>323</v>
      </c>
      <c r="N1027" s="1390"/>
      <c r="O1027" s="2479"/>
      <c r="P1027" s="2282"/>
      <c r="AG1027" s="2297">
        <v>105.04</v>
      </c>
      <c r="AH1027" s="2297" t="s">
        <v>346</v>
      </c>
      <c r="AI1027" s="1390"/>
      <c r="AJ1027" s="2282"/>
      <c r="AK1027" s="2282"/>
      <c r="AL1027" s="1037"/>
      <c r="AX1027" s="340">
        <v>303.05</v>
      </c>
      <c r="AY1027" s="340" t="s">
        <v>322</v>
      </c>
      <c r="BN1027" s="340">
        <v>104.02</v>
      </c>
      <c r="BO1027" s="340" t="s">
        <v>294</v>
      </c>
      <c r="BP1027" s="1385"/>
      <c r="BV1027" s="236">
        <v>137.22999999999999</v>
      </c>
      <c r="BW1027" s="236" t="s">
        <v>302</v>
      </c>
      <c r="CB1027" s="340">
        <v>301.08999999999997</v>
      </c>
      <c r="CC1027" s="340" t="s">
        <v>322</v>
      </c>
      <c r="CL1027" s="236">
        <v>37.03</v>
      </c>
      <c r="CM1027" s="236" t="s">
        <v>331</v>
      </c>
      <c r="CR1027" s="340">
        <v>104.04</v>
      </c>
      <c r="CS1027" s="340" t="s">
        <v>323</v>
      </c>
      <c r="CT1027" s="1384"/>
      <c r="DF1027" s="340">
        <v>9</v>
      </c>
      <c r="DG1027" s="340" t="s">
        <v>323</v>
      </c>
      <c r="DV1027" s="340">
        <v>105.05</v>
      </c>
      <c r="DW1027" s="340" t="s">
        <v>294</v>
      </c>
      <c r="DX1027" s="1671"/>
    </row>
    <row r="1028" spans="12:128">
      <c r="L1028" s="2481">
        <v>10.01</v>
      </c>
      <c r="M1028" s="340" t="s">
        <v>323</v>
      </c>
      <c r="N1028" s="1390"/>
      <c r="O1028" s="2479"/>
      <c r="P1028" s="2282"/>
      <c r="AG1028" s="2297">
        <v>105.05</v>
      </c>
      <c r="AH1028" s="2297" t="s">
        <v>294</v>
      </c>
      <c r="AI1028" s="1390"/>
      <c r="AJ1028" s="2282"/>
      <c r="AK1028" s="2282"/>
      <c r="AL1028" s="1037"/>
      <c r="AX1028" s="340">
        <v>303.08</v>
      </c>
      <c r="AY1028" s="340" t="s">
        <v>322</v>
      </c>
      <c r="BN1028" s="340">
        <v>104.02</v>
      </c>
      <c r="BO1028" s="340" t="s">
        <v>344</v>
      </c>
      <c r="BP1028" s="1385"/>
      <c r="BV1028" s="236">
        <v>137.28</v>
      </c>
      <c r="BW1028" s="236" t="s">
        <v>302</v>
      </c>
      <c r="CB1028" s="340">
        <v>301.10000000000002</v>
      </c>
      <c r="CC1028" s="340" t="s">
        <v>322</v>
      </c>
      <c r="CL1028" s="236">
        <v>37.04</v>
      </c>
      <c r="CM1028" s="236" t="s">
        <v>331</v>
      </c>
      <c r="CR1028" s="340">
        <v>104.05</v>
      </c>
      <c r="CS1028" s="340" t="s">
        <v>294</v>
      </c>
      <c r="CT1028" s="1384"/>
      <c r="DF1028" s="340">
        <v>10.01</v>
      </c>
      <c r="DG1028" s="340" t="s">
        <v>323</v>
      </c>
      <c r="DV1028" s="340">
        <v>105.06</v>
      </c>
      <c r="DW1028" s="340" t="s">
        <v>294</v>
      </c>
      <c r="DX1028" s="1671"/>
    </row>
    <row r="1029" spans="12:128">
      <c r="L1029" s="2481">
        <v>12.04</v>
      </c>
      <c r="M1029" s="340" t="s">
        <v>323</v>
      </c>
      <c r="N1029" s="1390"/>
      <c r="O1029" s="2479"/>
      <c r="P1029" s="2282"/>
      <c r="AG1029" s="2297">
        <v>105.06</v>
      </c>
      <c r="AH1029" s="2297" t="s">
        <v>294</v>
      </c>
      <c r="AI1029" s="1390"/>
      <c r="AJ1029" s="2282"/>
      <c r="AK1029" s="2282"/>
      <c r="AL1029" s="1037"/>
      <c r="AX1029" s="340">
        <v>304.05</v>
      </c>
      <c r="AY1029" s="340" t="s">
        <v>322</v>
      </c>
      <c r="BN1029" s="340">
        <v>104.03</v>
      </c>
      <c r="BO1029" s="340" t="s">
        <v>300</v>
      </c>
      <c r="BP1029" s="1385"/>
      <c r="BV1029" s="236">
        <v>137.29</v>
      </c>
      <c r="BW1029" s="236" t="s">
        <v>302</v>
      </c>
      <c r="CB1029" s="340">
        <v>302.02999999999997</v>
      </c>
      <c r="CC1029" s="340" t="s">
        <v>322</v>
      </c>
      <c r="CL1029" s="236">
        <v>37.049999999999997</v>
      </c>
      <c r="CM1029" s="236" t="s">
        <v>331</v>
      </c>
      <c r="CR1029" s="340">
        <v>104.05</v>
      </c>
      <c r="CS1029" s="340" t="s">
        <v>300</v>
      </c>
      <c r="CT1029" s="1384"/>
      <c r="DF1029" s="340">
        <v>12.04</v>
      </c>
      <c r="DG1029" s="340" t="s">
        <v>323</v>
      </c>
      <c r="DV1029" s="340">
        <v>105.06</v>
      </c>
      <c r="DW1029" s="340" t="s">
        <v>346</v>
      </c>
      <c r="DX1029" s="1671"/>
    </row>
    <row r="1030" spans="12:128">
      <c r="L1030" s="2481">
        <v>12.06</v>
      </c>
      <c r="M1030" s="340" t="s">
        <v>323</v>
      </c>
      <c r="N1030" s="1390"/>
      <c r="O1030" s="2479"/>
      <c r="P1030" s="2282"/>
      <c r="AG1030" s="2297">
        <v>105.06</v>
      </c>
      <c r="AH1030" s="2297" t="s">
        <v>346</v>
      </c>
      <c r="AI1030" s="1390"/>
      <c r="AJ1030" s="2282"/>
      <c r="AK1030" s="2282"/>
      <c r="AL1030" s="1037"/>
      <c r="AX1030" s="340">
        <v>304.08</v>
      </c>
      <c r="AY1030" s="340" t="s">
        <v>322</v>
      </c>
      <c r="BN1030" s="340">
        <v>104.05</v>
      </c>
      <c r="BO1030" s="340" t="s">
        <v>294</v>
      </c>
      <c r="BP1030" s="1385"/>
      <c r="BV1030" s="236">
        <v>137.30000000000001</v>
      </c>
      <c r="BW1030" s="236" t="s">
        <v>302</v>
      </c>
      <c r="CB1030" s="340">
        <v>302.04000000000002</v>
      </c>
      <c r="CC1030" s="340" t="s">
        <v>322</v>
      </c>
      <c r="CL1030" s="236">
        <v>37.06</v>
      </c>
      <c r="CM1030" s="236" t="s">
        <v>331</v>
      </c>
      <c r="CR1030" s="340">
        <v>104.06</v>
      </c>
      <c r="CS1030" s="340" t="s">
        <v>289</v>
      </c>
      <c r="CT1030" s="1384"/>
      <c r="DF1030" s="340">
        <v>12.05</v>
      </c>
      <c r="DG1030" s="340" t="s">
        <v>323</v>
      </c>
      <c r="DV1030" s="340">
        <v>105.13</v>
      </c>
      <c r="DW1030" s="340" t="s">
        <v>297</v>
      </c>
      <c r="DX1030" s="1671"/>
    </row>
    <row r="1031" spans="12:128">
      <c r="L1031" s="2481">
        <v>12.07</v>
      </c>
      <c r="M1031" s="340" t="s">
        <v>323</v>
      </c>
      <c r="N1031" s="1390"/>
      <c r="O1031" s="2479"/>
      <c r="P1031" s="2282"/>
      <c r="AG1031" s="2297">
        <v>105.13</v>
      </c>
      <c r="AH1031" s="2297" t="s">
        <v>297</v>
      </c>
      <c r="AI1031" s="1390"/>
      <c r="AJ1031" s="2282"/>
      <c r="AK1031" s="2282"/>
      <c r="AL1031" s="1037"/>
      <c r="AX1031" s="340">
        <v>304.10000000000002</v>
      </c>
      <c r="AY1031" s="340" t="s">
        <v>322</v>
      </c>
      <c r="BN1031" s="340">
        <v>104.05</v>
      </c>
      <c r="BO1031" s="340" t="s">
        <v>300</v>
      </c>
      <c r="BP1031" s="1385"/>
      <c r="BV1031" s="236">
        <v>137.31</v>
      </c>
      <c r="BW1031" s="236" t="s">
        <v>302</v>
      </c>
      <c r="CB1031" s="340">
        <v>302.08</v>
      </c>
      <c r="CC1031" s="340" t="s">
        <v>322</v>
      </c>
      <c r="CL1031" s="236">
        <v>37.07</v>
      </c>
      <c r="CM1031" s="236" t="s">
        <v>331</v>
      </c>
      <c r="CR1031" s="340">
        <v>104.06</v>
      </c>
      <c r="CS1031" s="340" t="s">
        <v>300</v>
      </c>
      <c r="CT1031" s="1384"/>
      <c r="DF1031" s="340">
        <v>12.06</v>
      </c>
      <c r="DG1031" s="340" t="s">
        <v>323</v>
      </c>
      <c r="DV1031" s="340">
        <v>105.18</v>
      </c>
      <c r="DW1031" s="340" t="s">
        <v>297</v>
      </c>
      <c r="DX1031" s="1671"/>
    </row>
    <row r="1032" spans="12:128">
      <c r="L1032" s="2481">
        <v>12.08</v>
      </c>
      <c r="M1032" s="340" t="s">
        <v>323</v>
      </c>
      <c r="N1032" s="1390"/>
      <c r="O1032" s="2479"/>
      <c r="P1032" s="2282"/>
      <c r="AG1032" s="2297">
        <v>105.18</v>
      </c>
      <c r="AH1032" s="2297" t="s">
        <v>297</v>
      </c>
      <c r="AI1032" s="1390"/>
      <c r="AJ1032" s="2282"/>
      <c r="AK1032" s="2282"/>
      <c r="AL1032" s="1037"/>
      <c r="AX1032" s="340">
        <v>305.06</v>
      </c>
      <c r="AY1032" s="340" t="s">
        <v>322</v>
      </c>
      <c r="BN1032" s="340">
        <v>104.06</v>
      </c>
      <c r="BO1032" s="340" t="s">
        <v>289</v>
      </c>
      <c r="BP1032" s="1385"/>
      <c r="BV1032" s="236">
        <v>137.32</v>
      </c>
      <c r="BW1032" s="236" t="s">
        <v>302</v>
      </c>
      <c r="CB1032" s="340">
        <v>302.11</v>
      </c>
      <c r="CC1032" s="340" t="s">
        <v>322</v>
      </c>
      <c r="CL1032" s="236">
        <v>37.08</v>
      </c>
      <c r="CM1032" s="236" t="s">
        <v>331</v>
      </c>
      <c r="CR1032" s="340">
        <v>104.07</v>
      </c>
      <c r="CS1032" s="340" t="s">
        <v>289</v>
      </c>
      <c r="CT1032" s="1384"/>
      <c r="DF1032" s="340">
        <v>12.07</v>
      </c>
      <c r="DG1032" s="340" t="s">
        <v>323</v>
      </c>
      <c r="DV1032" s="340">
        <v>105.19</v>
      </c>
      <c r="DW1032" s="340" t="s">
        <v>297</v>
      </c>
      <c r="DX1032" s="1671"/>
    </row>
    <row r="1033" spans="12:128">
      <c r="L1033" s="2481">
        <v>12.09</v>
      </c>
      <c r="M1033" s="340" t="s">
        <v>323</v>
      </c>
      <c r="N1033" s="1390"/>
      <c r="O1033" s="2479"/>
      <c r="P1033" s="2282"/>
      <c r="AG1033" s="2297">
        <v>106.01</v>
      </c>
      <c r="AH1033" s="2297" t="s">
        <v>289</v>
      </c>
      <c r="AI1033" s="1390"/>
      <c r="AJ1033" s="2282"/>
      <c r="AK1033" s="2282"/>
      <c r="AL1033" s="1037"/>
      <c r="AX1033" s="340">
        <v>307.01</v>
      </c>
      <c r="AY1033" s="340" t="s">
        <v>322</v>
      </c>
      <c r="BN1033" s="340">
        <v>104.06</v>
      </c>
      <c r="BO1033" s="340" t="s">
        <v>300</v>
      </c>
      <c r="BP1033" s="1385"/>
      <c r="BV1033" s="236">
        <v>137.33000000000001</v>
      </c>
      <c r="BW1033" s="236" t="s">
        <v>302</v>
      </c>
      <c r="CB1033" s="340">
        <v>304.08</v>
      </c>
      <c r="CC1033" s="340" t="s">
        <v>322</v>
      </c>
      <c r="CL1033" s="236">
        <v>37.090000000000003</v>
      </c>
      <c r="CM1033" s="236" t="s">
        <v>331</v>
      </c>
      <c r="CR1033" s="340">
        <v>104.12</v>
      </c>
      <c r="CS1033" s="340" t="s">
        <v>323</v>
      </c>
      <c r="CT1033" s="1384"/>
      <c r="DF1033" s="340">
        <v>12.08</v>
      </c>
      <c r="DG1033" s="340" t="s">
        <v>323</v>
      </c>
      <c r="DV1033" s="340">
        <v>106.01</v>
      </c>
      <c r="DW1033" s="340" t="s">
        <v>289</v>
      </c>
      <c r="DX1033" s="1671"/>
    </row>
    <row r="1034" spans="12:128">
      <c r="L1034" s="2481">
        <v>14.02</v>
      </c>
      <c r="M1034" s="340" t="s">
        <v>323</v>
      </c>
      <c r="N1034" s="1390"/>
      <c r="O1034" s="2479"/>
      <c r="P1034" s="2282"/>
      <c r="AG1034" s="2297">
        <v>106.01</v>
      </c>
      <c r="AH1034" s="2297" t="s">
        <v>323</v>
      </c>
      <c r="AI1034" s="1390"/>
      <c r="AJ1034" s="2282"/>
      <c r="AK1034" s="2282"/>
      <c r="AL1034" s="1037"/>
      <c r="AX1034" s="340">
        <v>308.02999999999997</v>
      </c>
      <c r="AY1034" s="340" t="s">
        <v>322</v>
      </c>
      <c r="BN1034" s="340">
        <v>104.08</v>
      </c>
      <c r="BO1034" s="340" t="s">
        <v>297</v>
      </c>
      <c r="BP1034" s="1385"/>
      <c r="BV1034" s="236">
        <v>138</v>
      </c>
      <c r="BW1034" s="236" t="s">
        <v>302</v>
      </c>
      <c r="CB1034" s="340">
        <v>304.10000000000002</v>
      </c>
      <c r="CC1034" s="340" t="s">
        <v>322</v>
      </c>
      <c r="CL1034" s="236">
        <v>37.1</v>
      </c>
      <c r="CM1034" s="236" t="s">
        <v>331</v>
      </c>
      <c r="CR1034" s="340">
        <v>104.15</v>
      </c>
      <c r="CS1034" s="340" t="s">
        <v>323</v>
      </c>
      <c r="CT1034" s="1384"/>
      <c r="DF1034" s="340">
        <v>12.09</v>
      </c>
      <c r="DG1034" s="340" t="s">
        <v>323</v>
      </c>
      <c r="DV1034" s="340">
        <v>106.01</v>
      </c>
      <c r="DW1034" s="340" t="s">
        <v>302</v>
      </c>
      <c r="DX1034" s="1671"/>
    </row>
    <row r="1035" spans="12:128">
      <c r="L1035" s="2481">
        <v>15.01</v>
      </c>
      <c r="M1035" s="340" t="s">
        <v>323</v>
      </c>
      <c r="N1035" s="1390"/>
      <c r="O1035" s="2479"/>
      <c r="P1035" s="2282"/>
      <c r="AG1035" s="2297">
        <v>106.01</v>
      </c>
      <c r="AH1035" s="2297" t="s">
        <v>344</v>
      </c>
      <c r="AI1035" s="1390"/>
      <c r="AJ1035" s="2282"/>
      <c r="AK1035" s="2282"/>
      <c r="AL1035" s="1037"/>
      <c r="AX1035" s="340">
        <v>308.07</v>
      </c>
      <c r="AY1035" s="340" t="s">
        <v>322</v>
      </c>
      <c r="BN1035" s="340">
        <v>104.11</v>
      </c>
      <c r="BO1035" s="340" t="s">
        <v>297</v>
      </c>
      <c r="BP1035" s="1385"/>
      <c r="BV1035" s="236">
        <v>139.01</v>
      </c>
      <c r="BW1035" s="236" t="s">
        <v>302</v>
      </c>
      <c r="CB1035" s="340">
        <v>305.06</v>
      </c>
      <c r="CC1035" s="340" t="s">
        <v>322</v>
      </c>
      <c r="CL1035" s="236">
        <v>38</v>
      </c>
      <c r="CM1035" s="236" t="s">
        <v>304</v>
      </c>
      <c r="CR1035" s="340">
        <v>104.16</v>
      </c>
      <c r="CS1035" s="340" t="s">
        <v>297</v>
      </c>
      <c r="CT1035" s="1384"/>
      <c r="DF1035" s="340">
        <v>14.02</v>
      </c>
      <c r="DG1035" s="340" t="s">
        <v>323</v>
      </c>
      <c r="DV1035" s="340">
        <v>106.01</v>
      </c>
      <c r="DW1035" s="340" t="s">
        <v>323</v>
      </c>
      <c r="DX1035" s="1671"/>
    </row>
    <row r="1036" spans="12:128">
      <c r="L1036" s="2481">
        <v>17.010000000000002</v>
      </c>
      <c r="M1036" s="340" t="s">
        <v>323</v>
      </c>
      <c r="N1036" s="1390"/>
      <c r="O1036" s="2479"/>
      <c r="P1036" s="2282"/>
      <c r="AG1036" s="2297">
        <v>106.03</v>
      </c>
      <c r="AH1036" s="2297" t="s">
        <v>289</v>
      </c>
      <c r="AI1036" s="1390"/>
      <c r="AJ1036" s="2282"/>
      <c r="AK1036" s="2282"/>
      <c r="AL1036" s="1037"/>
      <c r="AX1036" s="340">
        <v>309.17</v>
      </c>
      <c r="AY1036" s="340" t="s">
        <v>322</v>
      </c>
      <c r="BN1036" s="340">
        <v>104.11</v>
      </c>
      <c r="BO1036" s="340" t="s">
        <v>323</v>
      </c>
      <c r="BP1036" s="1385"/>
      <c r="BV1036" s="236">
        <v>139.02000000000001</v>
      </c>
      <c r="BW1036" s="236" t="s">
        <v>302</v>
      </c>
      <c r="CB1036" s="340">
        <v>307.01</v>
      </c>
      <c r="CC1036" s="340" t="s">
        <v>322</v>
      </c>
      <c r="CL1036" s="236">
        <v>38</v>
      </c>
      <c r="CM1036" s="236" t="s">
        <v>316</v>
      </c>
      <c r="CR1036" s="340">
        <v>104.16</v>
      </c>
      <c r="CS1036" s="340" t="s">
        <v>323</v>
      </c>
      <c r="CT1036" s="1384"/>
      <c r="DF1036" s="340">
        <v>15.01</v>
      </c>
      <c r="DG1036" s="340" t="s">
        <v>323</v>
      </c>
      <c r="DV1036" s="340">
        <v>106.01</v>
      </c>
      <c r="DW1036" s="340" t="s">
        <v>344</v>
      </c>
      <c r="DX1036" s="1671"/>
    </row>
    <row r="1037" spans="12:128">
      <c r="L1037" s="2481">
        <v>17.05</v>
      </c>
      <c r="M1037" s="340" t="s">
        <v>323</v>
      </c>
      <c r="N1037" s="1390"/>
      <c r="O1037" s="2479"/>
      <c r="P1037" s="2282"/>
      <c r="AG1037" s="2297">
        <v>106.03</v>
      </c>
      <c r="AH1037" s="2297" t="s">
        <v>344</v>
      </c>
      <c r="AI1037" s="1390"/>
      <c r="AJ1037" s="2282"/>
      <c r="AK1037" s="2282"/>
      <c r="AL1037" s="1037"/>
      <c r="AX1037" s="340">
        <v>309.18</v>
      </c>
      <c r="AY1037" s="340" t="s">
        <v>322</v>
      </c>
      <c r="BN1037" s="340">
        <v>104.12</v>
      </c>
      <c r="BO1037" s="340" t="s">
        <v>323</v>
      </c>
      <c r="BP1037" s="1385"/>
      <c r="BV1037" s="236">
        <v>139.04</v>
      </c>
      <c r="BW1037" s="236" t="s">
        <v>302</v>
      </c>
      <c r="CB1037" s="340">
        <v>308.02999999999997</v>
      </c>
      <c r="CC1037" s="340" t="s">
        <v>322</v>
      </c>
      <c r="CL1037" s="236">
        <v>38.01</v>
      </c>
      <c r="CM1037" s="236" t="s">
        <v>331</v>
      </c>
      <c r="CR1037" s="340">
        <v>104.17</v>
      </c>
      <c r="CS1037" s="340" t="s">
        <v>323</v>
      </c>
      <c r="CT1037" s="1384"/>
      <c r="DF1037" s="340">
        <v>17.010000000000002</v>
      </c>
      <c r="DG1037" s="340" t="s">
        <v>323</v>
      </c>
      <c r="DV1037" s="340">
        <v>106.03</v>
      </c>
      <c r="DW1037" s="340" t="s">
        <v>289</v>
      </c>
      <c r="DX1037" s="1671"/>
    </row>
    <row r="1038" spans="12:128">
      <c r="L1038" s="2481">
        <v>17.059999999999999</v>
      </c>
      <c r="M1038" s="340" t="s">
        <v>323</v>
      </c>
      <c r="N1038" s="1390"/>
      <c r="O1038" s="2479"/>
      <c r="P1038" s="2282"/>
      <c r="AG1038" s="2297">
        <v>106.04</v>
      </c>
      <c r="AH1038" s="2297" t="s">
        <v>289</v>
      </c>
      <c r="AI1038" s="1390"/>
      <c r="AJ1038" s="2282"/>
      <c r="AK1038" s="2282"/>
      <c r="AL1038" s="1037"/>
      <c r="AX1038" s="340">
        <v>310.02</v>
      </c>
      <c r="AY1038" s="340" t="s">
        <v>322</v>
      </c>
      <c r="BN1038" s="340">
        <v>104.15</v>
      </c>
      <c r="BO1038" s="340" t="s">
        <v>323</v>
      </c>
      <c r="BP1038" s="1385"/>
      <c r="BV1038" s="236">
        <v>139.05000000000001</v>
      </c>
      <c r="BW1038" s="236" t="s">
        <v>302</v>
      </c>
      <c r="CB1038" s="340">
        <v>308.04000000000002</v>
      </c>
      <c r="CC1038" s="340" t="s">
        <v>322</v>
      </c>
      <c r="CL1038" s="236">
        <v>38.01</v>
      </c>
      <c r="CM1038" s="236" t="s">
        <v>340</v>
      </c>
      <c r="CR1038" s="340">
        <v>104.18</v>
      </c>
      <c r="CS1038" s="340" t="s">
        <v>323</v>
      </c>
      <c r="CT1038" s="1384"/>
      <c r="DF1038" s="340">
        <v>17.05</v>
      </c>
      <c r="DG1038" s="340" t="s">
        <v>323</v>
      </c>
      <c r="DV1038" s="340">
        <v>106.03</v>
      </c>
      <c r="DW1038" s="340" t="s">
        <v>344</v>
      </c>
      <c r="DX1038" s="1671"/>
    </row>
    <row r="1039" spans="12:128">
      <c r="L1039" s="2481">
        <v>17.09</v>
      </c>
      <c r="M1039" s="340" t="s">
        <v>323</v>
      </c>
      <c r="N1039" s="1390"/>
      <c r="O1039" s="2479"/>
      <c r="P1039" s="2282"/>
      <c r="AG1039" s="2297">
        <v>106.04</v>
      </c>
      <c r="AH1039" s="2297" t="s">
        <v>297</v>
      </c>
      <c r="AI1039" s="1390"/>
      <c r="AJ1039" s="2282"/>
      <c r="AK1039" s="2282"/>
      <c r="AL1039" s="1037"/>
      <c r="AX1039" s="340">
        <v>311.02999999999997</v>
      </c>
      <c r="AY1039" s="340" t="s">
        <v>322</v>
      </c>
      <c r="BN1039" s="340">
        <v>104.16</v>
      </c>
      <c r="BO1039" s="340" t="s">
        <v>297</v>
      </c>
      <c r="BP1039" s="1385"/>
      <c r="BV1039" s="236">
        <v>139.06</v>
      </c>
      <c r="BW1039" s="236" t="s">
        <v>302</v>
      </c>
      <c r="CB1039" s="340">
        <v>308.05</v>
      </c>
      <c r="CC1039" s="340" t="s">
        <v>322</v>
      </c>
      <c r="CL1039" s="236">
        <v>38.020000000000003</v>
      </c>
      <c r="CM1039" s="236" t="s">
        <v>340</v>
      </c>
      <c r="CR1039" s="340">
        <v>104.2</v>
      </c>
      <c r="CS1039" s="340" t="s">
        <v>323</v>
      </c>
      <c r="CT1039" s="1384"/>
      <c r="DF1039" s="340">
        <v>17.059999999999999</v>
      </c>
      <c r="DG1039" s="340" t="s">
        <v>323</v>
      </c>
      <c r="DV1039" s="340">
        <v>106.04</v>
      </c>
      <c r="DW1039" s="340" t="s">
        <v>289</v>
      </c>
      <c r="DX1039" s="1671"/>
    </row>
    <row r="1040" spans="12:128">
      <c r="L1040" s="2481">
        <v>18.010000000000002</v>
      </c>
      <c r="M1040" s="340" t="s">
        <v>323</v>
      </c>
      <c r="N1040" s="1390"/>
      <c r="O1040" s="2479"/>
      <c r="P1040" s="2282"/>
      <c r="AG1040" s="2297">
        <v>106.04</v>
      </c>
      <c r="AH1040" s="2297" t="s">
        <v>331</v>
      </c>
      <c r="AI1040" s="1390"/>
      <c r="AJ1040" s="2282"/>
      <c r="AK1040" s="2282"/>
      <c r="AL1040" s="1037"/>
      <c r="AX1040" s="340">
        <v>311.05</v>
      </c>
      <c r="AY1040" s="340" t="s">
        <v>322</v>
      </c>
      <c r="BN1040" s="340">
        <v>104.16</v>
      </c>
      <c r="BO1040" s="340" t="s">
        <v>323</v>
      </c>
      <c r="BP1040" s="1385"/>
      <c r="BV1040" s="236">
        <v>140.01</v>
      </c>
      <c r="BW1040" s="236" t="s">
        <v>302</v>
      </c>
      <c r="CB1040" s="340">
        <v>308.07</v>
      </c>
      <c r="CC1040" s="340" t="s">
        <v>322</v>
      </c>
      <c r="CL1040" s="236">
        <v>38.03</v>
      </c>
      <c r="CM1040" s="236" t="s">
        <v>331</v>
      </c>
      <c r="CR1040" s="340">
        <v>104.21</v>
      </c>
      <c r="CS1040" s="340" t="s">
        <v>323</v>
      </c>
      <c r="CT1040" s="1384"/>
      <c r="DF1040" s="340">
        <v>17.09</v>
      </c>
      <c r="DG1040" s="340" t="s">
        <v>323</v>
      </c>
      <c r="DV1040" s="340">
        <v>106.04</v>
      </c>
      <c r="DW1040" s="340" t="s">
        <v>297</v>
      </c>
      <c r="DX1040" s="1671"/>
    </row>
    <row r="1041" spans="12:128">
      <c r="L1041" s="2481">
        <v>18.02</v>
      </c>
      <c r="M1041" s="340" t="s">
        <v>323</v>
      </c>
      <c r="N1041" s="1390"/>
      <c r="O1041" s="2479"/>
      <c r="P1041" s="2282"/>
      <c r="AG1041" s="2297">
        <v>106.04</v>
      </c>
      <c r="AH1041" s="2297" t="s">
        <v>344</v>
      </c>
      <c r="AI1041" s="1390"/>
      <c r="AJ1041" s="2282"/>
      <c r="AK1041" s="2282"/>
      <c r="AL1041" s="1037"/>
      <c r="AX1041" s="340">
        <v>311.06</v>
      </c>
      <c r="AY1041" s="340" t="s">
        <v>322</v>
      </c>
      <c r="BN1041" s="340">
        <v>104.17</v>
      </c>
      <c r="BO1041" s="340" t="s">
        <v>323</v>
      </c>
      <c r="BP1041" s="1385"/>
      <c r="BV1041" s="236">
        <v>140.02000000000001</v>
      </c>
      <c r="BW1041" s="236" t="s">
        <v>302</v>
      </c>
      <c r="CB1041" s="340">
        <v>309.16000000000003</v>
      </c>
      <c r="CC1041" s="340" t="s">
        <v>322</v>
      </c>
      <c r="CL1041" s="236">
        <v>38.04</v>
      </c>
      <c r="CM1041" s="236" t="s">
        <v>331</v>
      </c>
      <c r="CR1041" s="340">
        <v>104.22</v>
      </c>
      <c r="CS1041" s="340" t="s">
        <v>323</v>
      </c>
      <c r="CT1041" s="1384"/>
      <c r="DF1041" s="340">
        <v>18.010000000000002</v>
      </c>
      <c r="DG1041" s="340" t="s">
        <v>323</v>
      </c>
      <c r="DV1041" s="340">
        <v>106.04</v>
      </c>
      <c r="DW1041" s="340" t="s">
        <v>331</v>
      </c>
      <c r="DX1041" s="1671"/>
    </row>
    <row r="1042" spans="12:128">
      <c r="L1042" s="2481">
        <v>19.03</v>
      </c>
      <c r="M1042" s="340" t="s">
        <v>323</v>
      </c>
      <c r="N1042" s="1390"/>
      <c r="O1042" s="2479"/>
      <c r="P1042" s="2282"/>
      <c r="AG1042" s="2297">
        <v>106.05</v>
      </c>
      <c r="AH1042" s="2297" t="s">
        <v>289</v>
      </c>
      <c r="AI1042" s="1390"/>
      <c r="AJ1042" s="2282"/>
      <c r="AK1042" s="2282"/>
      <c r="AL1042" s="1037"/>
      <c r="AX1042" s="340">
        <v>312.02</v>
      </c>
      <c r="AY1042" s="340" t="s">
        <v>322</v>
      </c>
      <c r="BN1042" s="340">
        <v>104.2</v>
      </c>
      <c r="BO1042" s="340" t="s">
        <v>323</v>
      </c>
      <c r="BP1042" s="1385"/>
      <c r="BV1042" s="236">
        <v>141.01</v>
      </c>
      <c r="BW1042" s="236" t="s">
        <v>302</v>
      </c>
      <c r="CB1042" s="340">
        <v>309.17</v>
      </c>
      <c r="CC1042" s="340" t="s">
        <v>322</v>
      </c>
      <c r="CL1042" s="236">
        <v>39</v>
      </c>
      <c r="CM1042" s="236" t="s">
        <v>304</v>
      </c>
      <c r="CR1042" s="340">
        <v>104.23</v>
      </c>
      <c r="CS1042" s="340" t="s">
        <v>297</v>
      </c>
      <c r="CT1042" s="1384"/>
      <c r="DF1042" s="340">
        <v>18.02</v>
      </c>
      <c r="DG1042" s="340" t="s">
        <v>323</v>
      </c>
      <c r="DV1042" s="340">
        <v>106.04</v>
      </c>
      <c r="DW1042" s="340" t="s">
        <v>344</v>
      </c>
      <c r="DX1042" s="1671"/>
    </row>
    <row r="1043" spans="12:128">
      <c r="L1043" s="2481">
        <v>19.100000000000001</v>
      </c>
      <c r="M1043" s="340" t="s">
        <v>323</v>
      </c>
      <c r="N1043" s="1390"/>
      <c r="O1043" s="2479"/>
      <c r="P1043" s="2282"/>
      <c r="AG1043" s="2297">
        <v>106.06</v>
      </c>
      <c r="AH1043" s="2297" t="s">
        <v>289</v>
      </c>
      <c r="AI1043" s="1390"/>
      <c r="AJ1043" s="2282"/>
      <c r="AK1043" s="2282"/>
      <c r="AL1043" s="1037"/>
      <c r="AX1043" s="340">
        <v>312.05</v>
      </c>
      <c r="AY1043" s="340" t="s">
        <v>322</v>
      </c>
      <c r="BN1043" s="340">
        <v>104.21</v>
      </c>
      <c r="BO1043" s="340" t="s">
        <v>323</v>
      </c>
      <c r="BP1043" s="1385"/>
      <c r="BV1043" s="236">
        <v>141.03</v>
      </c>
      <c r="BW1043" s="236" t="s">
        <v>302</v>
      </c>
      <c r="CB1043" s="340">
        <v>309.18</v>
      </c>
      <c r="CC1043" s="340" t="s">
        <v>322</v>
      </c>
      <c r="CL1043" s="236">
        <v>39.01</v>
      </c>
      <c r="CM1043" s="236" t="s">
        <v>340</v>
      </c>
      <c r="CR1043" s="340">
        <v>104.23</v>
      </c>
      <c r="CS1043" s="340" t="s">
        <v>323</v>
      </c>
      <c r="CT1043" s="1384"/>
      <c r="DF1043" s="340">
        <v>19.03</v>
      </c>
      <c r="DG1043" s="340" t="s">
        <v>323</v>
      </c>
      <c r="DV1043" s="340">
        <v>106.05</v>
      </c>
      <c r="DW1043" s="340" t="s">
        <v>289</v>
      </c>
      <c r="DX1043" s="1671"/>
    </row>
    <row r="1044" spans="12:128">
      <c r="L1044" s="2481">
        <v>19.16</v>
      </c>
      <c r="M1044" s="340" t="s">
        <v>323</v>
      </c>
      <c r="N1044" s="1390"/>
      <c r="O1044" s="2479"/>
      <c r="P1044" s="2282"/>
      <c r="AG1044" s="2297">
        <v>106.08</v>
      </c>
      <c r="AH1044" s="2297" t="s">
        <v>331</v>
      </c>
      <c r="AI1044" s="1390"/>
      <c r="AJ1044" s="2282"/>
      <c r="AK1044" s="2282"/>
      <c r="AL1044" s="1037"/>
      <c r="AX1044" s="340">
        <v>312.07</v>
      </c>
      <c r="AY1044" s="340" t="s">
        <v>322</v>
      </c>
      <c r="BN1044" s="340">
        <v>104.22</v>
      </c>
      <c r="BO1044" s="340" t="s">
        <v>323</v>
      </c>
      <c r="BP1044" s="1385"/>
      <c r="BV1044" s="236">
        <v>141.04</v>
      </c>
      <c r="BW1044" s="236" t="s">
        <v>302</v>
      </c>
      <c r="CB1044" s="340">
        <v>310.02</v>
      </c>
      <c r="CC1044" s="340" t="s">
        <v>322</v>
      </c>
      <c r="CL1044" s="236">
        <v>39.020000000000003</v>
      </c>
      <c r="CM1044" s="236" t="s">
        <v>340</v>
      </c>
      <c r="CR1044" s="340">
        <v>104.24</v>
      </c>
      <c r="CS1044" s="340" t="s">
        <v>297</v>
      </c>
      <c r="CT1044" s="1384"/>
      <c r="DF1044" s="340">
        <v>19.13</v>
      </c>
      <c r="DG1044" s="340" t="s">
        <v>323</v>
      </c>
      <c r="DV1044" s="340">
        <v>106.06</v>
      </c>
      <c r="DW1044" s="340" t="s">
        <v>289</v>
      </c>
      <c r="DX1044" s="1671"/>
    </row>
    <row r="1045" spans="12:128">
      <c r="L1045" s="2481">
        <v>19.190000000000001</v>
      </c>
      <c r="M1045" s="340" t="s">
        <v>323</v>
      </c>
      <c r="N1045" s="1390"/>
      <c r="O1045" s="2479"/>
      <c r="P1045" s="2282"/>
      <c r="AG1045" s="2297">
        <v>106.09</v>
      </c>
      <c r="AH1045" s="2297" t="s">
        <v>289</v>
      </c>
      <c r="AI1045" s="1390"/>
      <c r="AJ1045" s="2282"/>
      <c r="AK1045" s="2282"/>
      <c r="AL1045" s="1037"/>
      <c r="AX1045" s="340">
        <v>312.08</v>
      </c>
      <c r="AY1045" s="340" t="s">
        <v>322</v>
      </c>
      <c r="BN1045" s="340">
        <v>104.23</v>
      </c>
      <c r="BO1045" s="340" t="s">
        <v>297</v>
      </c>
      <c r="BP1045" s="1385"/>
      <c r="BV1045" s="236">
        <v>142.03</v>
      </c>
      <c r="BW1045" s="236" t="s">
        <v>302</v>
      </c>
      <c r="CB1045" s="340">
        <v>311.02999999999997</v>
      </c>
      <c r="CC1045" s="340" t="s">
        <v>322</v>
      </c>
      <c r="CL1045" s="236">
        <v>39.06</v>
      </c>
      <c r="CM1045" s="236" t="s">
        <v>331</v>
      </c>
      <c r="CR1045" s="340">
        <v>104.25</v>
      </c>
      <c r="CS1045" s="340" t="s">
        <v>297</v>
      </c>
      <c r="CT1045" s="1384"/>
      <c r="DF1045" s="340">
        <v>19.149999999999999</v>
      </c>
      <c r="DG1045" s="340" t="s">
        <v>323</v>
      </c>
      <c r="DV1045" s="340">
        <v>106.08</v>
      </c>
      <c r="DW1045" s="340" t="s">
        <v>331</v>
      </c>
      <c r="DX1045" s="1671"/>
    </row>
    <row r="1046" spans="12:128">
      <c r="L1046" s="2481">
        <v>19.2</v>
      </c>
      <c r="M1046" s="340" t="s">
        <v>323</v>
      </c>
      <c r="N1046" s="1390"/>
      <c r="O1046" s="2479"/>
      <c r="P1046" s="2282"/>
      <c r="AG1046" s="2297">
        <v>106.1</v>
      </c>
      <c r="AH1046" s="2297" t="s">
        <v>289</v>
      </c>
      <c r="AI1046" s="1390"/>
      <c r="AJ1046" s="2282"/>
      <c r="AK1046" s="2282"/>
      <c r="AL1046" s="1037"/>
      <c r="AX1046" s="340">
        <v>313.01</v>
      </c>
      <c r="AY1046" s="340" t="s">
        <v>322</v>
      </c>
      <c r="BN1046" s="340">
        <v>104.23</v>
      </c>
      <c r="BO1046" s="340" t="s">
        <v>323</v>
      </c>
      <c r="BP1046" s="1385"/>
      <c r="BV1046" s="236">
        <v>142.04</v>
      </c>
      <c r="BW1046" s="236" t="s">
        <v>302</v>
      </c>
      <c r="CB1046" s="340">
        <v>311.04000000000002</v>
      </c>
      <c r="CC1046" s="340" t="s">
        <v>322</v>
      </c>
      <c r="CL1046" s="236">
        <v>39.090000000000003</v>
      </c>
      <c r="CM1046" s="236" t="s">
        <v>331</v>
      </c>
      <c r="CR1046" s="340">
        <v>104.27</v>
      </c>
      <c r="CS1046" s="340" t="s">
        <v>297</v>
      </c>
      <c r="CT1046" s="1384"/>
      <c r="DF1046" s="340">
        <v>19.16</v>
      </c>
      <c r="DG1046" s="340" t="s">
        <v>323</v>
      </c>
      <c r="DV1046" s="340">
        <v>106.09</v>
      </c>
      <c r="DW1046" s="340" t="s">
        <v>289</v>
      </c>
      <c r="DX1046" s="1671"/>
    </row>
    <row r="1047" spans="12:128">
      <c r="L1047" s="2481">
        <v>19.21</v>
      </c>
      <c r="M1047" s="340" t="s">
        <v>323</v>
      </c>
      <c r="N1047" s="1390"/>
      <c r="O1047" s="2479"/>
      <c r="P1047" s="2282"/>
      <c r="AG1047" s="2297">
        <v>106.1</v>
      </c>
      <c r="AH1047" s="2297" t="s">
        <v>331</v>
      </c>
      <c r="AI1047" s="1390"/>
      <c r="AJ1047" s="2282"/>
      <c r="AK1047" s="2282"/>
      <c r="AL1047" s="1037"/>
      <c r="AX1047" s="340">
        <v>313.06</v>
      </c>
      <c r="AY1047" s="340" t="s">
        <v>322</v>
      </c>
      <c r="BN1047" s="340">
        <v>104.25</v>
      </c>
      <c r="BO1047" s="340" t="s">
        <v>297</v>
      </c>
      <c r="BP1047" s="1385"/>
      <c r="BV1047" s="236">
        <v>142.05000000000001</v>
      </c>
      <c r="BW1047" s="236" t="s">
        <v>302</v>
      </c>
      <c r="CB1047" s="340">
        <v>311.05</v>
      </c>
      <c r="CC1047" s="340" t="s">
        <v>322</v>
      </c>
      <c r="CL1047" s="236">
        <v>39.11</v>
      </c>
      <c r="CM1047" s="236" t="s">
        <v>331</v>
      </c>
      <c r="CR1047" s="340">
        <v>104.3</v>
      </c>
      <c r="CS1047" s="340" t="s">
        <v>297</v>
      </c>
      <c r="CT1047" s="1384"/>
      <c r="DF1047" s="340">
        <v>19.18</v>
      </c>
      <c r="DG1047" s="340" t="s">
        <v>323</v>
      </c>
      <c r="DV1047" s="340">
        <v>106.1</v>
      </c>
      <c r="DW1047" s="340" t="s">
        <v>289</v>
      </c>
      <c r="DX1047" s="1671"/>
    </row>
    <row r="1048" spans="12:128">
      <c r="L1048" s="2481">
        <v>101.04</v>
      </c>
      <c r="M1048" s="340" t="s">
        <v>323</v>
      </c>
      <c r="N1048" s="1390"/>
      <c r="O1048" s="2479"/>
      <c r="P1048" s="2282"/>
      <c r="AG1048" s="2297">
        <v>106.11</v>
      </c>
      <c r="AH1048" s="2297" t="s">
        <v>289</v>
      </c>
      <c r="AI1048" s="1390"/>
      <c r="AJ1048" s="2282"/>
      <c r="AK1048" s="2282"/>
      <c r="AL1048" s="1037"/>
      <c r="AX1048" s="340">
        <v>313.08</v>
      </c>
      <c r="AY1048" s="340" t="s">
        <v>322</v>
      </c>
      <c r="BN1048" s="340">
        <v>104.26</v>
      </c>
      <c r="BO1048" s="340" t="s">
        <v>297</v>
      </c>
      <c r="BP1048" s="1385"/>
      <c r="BV1048" s="236">
        <v>142.06</v>
      </c>
      <c r="BW1048" s="236" t="s">
        <v>302</v>
      </c>
      <c r="CB1048" s="340">
        <v>311.06</v>
      </c>
      <c r="CC1048" s="340" t="s">
        <v>322</v>
      </c>
      <c r="CL1048" s="236">
        <v>39.119999999999997</v>
      </c>
      <c r="CM1048" s="236" t="s">
        <v>331</v>
      </c>
      <c r="CR1048" s="340">
        <v>104.31</v>
      </c>
      <c r="CS1048" s="340" t="s">
        <v>297</v>
      </c>
      <c r="CT1048" s="1384"/>
      <c r="DF1048" s="340">
        <v>19.190000000000001</v>
      </c>
      <c r="DG1048" s="340" t="s">
        <v>323</v>
      </c>
      <c r="DV1048" s="340">
        <v>106.1</v>
      </c>
      <c r="DW1048" s="340" t="s">
        <v>331</v>
      </c>
      <c r="DX1048" s="1671"/>
    </row>
    <row r="1049" spans="12:128">
      <c r="L1049" s="2481">
        <v>101.06</v>
      </c>
      <c r="M1049" s="340" t="s">
        <v>323</v>
      </c>
      <c r="N1049" s="1390"/>
      <c r="O1049" s="2479"/>
      <c r="P1049" s="2282"/>
      <c r="AG1049" s="2297">
        <v>106.12</v>
      </c>
      <c r="AH1049" s="2297" t="s">
        <v>289</v>
      </c>
      <c r="AI1049" s="1390"/>
      <c r="AJ1049" s="2282"/>
      <c r="AK1049" s="2282"/>
      <c r="AL1049" s="1037"/>
      <c r="AX1049" s="340">
        <v>313.08999999999997</v>
      </c>
      <c r="AY1049" s="340" t="s">
        <v>322</v>
      </c>
      <c r="BN1049" s="340">
        <v>104.27</v>
      </c>
      <c r="BO1049" s="340" t="s">
        <v>297</v>
      </c>
      <c r="BP1049" s="1385"/>
      <c r="BV1049" s="236">
        <v>143.11000000000001</v>
      </c>
      <c r="BW1049" s="236" t="s">
        <v>302</v>
      </c>
      <c r="CB1049" s="340">
        <v>311.08</v>
      </c>
      <c r="CC1049" s="340" t="s">
        <v>322</v>
      </c>
      <c r="CL1049" s="236">
        <v>39.130000000000003</v>
      </c>
      <c r="CM1049" s="236" t="s">
        <v>331</v>
      </c>
      <c r="CR1049" s="340">
        <v>104.32</v>
      </c>
      <c r="CS1049" s="340" t="s">
        <v>297</v>
      </c>
      <c r="CT1049" s="1384"/>
      <c r="DF1049" s="340">
        <v>19.2</v>
      </c>
      <c r="DG1049" s="340" t="s">
        <v>323</v>
      </c>
      <c r="DV1049" s="340">
        <v>106.11</v>
      </c>
      <c r="DW1049" s="340" t="s">
        <v>289</v>
      </c>
      <c r="DX1049" s="1671"/>
    </row>
    <row r="1050" spans="12:128">
      <c r="L1050" s="2481">
        <v>101.07</v>
      </c>
      <c r="M1050" s="340" t="s">
        <v>323</v>
      </c>
      <c r="N1050" s="1390"/>
      <c r="O1050" s="2479"/>
      <c r="P1050" s="2282"/>
      <c r="AG1050" s="2297">
        <v>106.13</v>
      </c>
      <c r="AH1050" s="2297" t="s">
        <v>289</v>
      </c>
      <c r="AI1050" s="1390"/>
      <c r="AJ1050" s="2282"/>
      <c r="AK1050" s="2282"/>
      <c r="AL1050" s="1037"/>
      <c r="AX1050" s="340">
        <v>313.13</v>
      </c>
      <c r="AY1050" s="340" t="s">
        <v>322</v>
      </c>
      <c r="BN1050" s="340">
        <v>104.29</v>
      </c>
      <c r="BO1050" s="340" t="s">
        <v>297</v>
      </c>
      <c r="BP1050" s="1385"/>
      <c r="BV1050" s="236">
        <v>143.12</v>
      </c>
      <c r="BW1050" s="236" t="s">
        <v>302</v>
      </c>
      <c r="CB1050" s="340">
        <v>312.07</v>
      </c>
      <c r="CC1050" s="340" t="s">
        <v>322</v>
      </c>
      <c r="CL1050" s="236">
        <v>39.14</v>
      </c>
      <c r="CM1050" s="236" t="s">
        <v>331</v>
      </c>
      <c r="CR1050" s="340">
        <v>104.33</v>
      </c>
      <c r="CS1050" s="340" t="s">
        <v>297</v>
      </c>
      <c r="CT1050" s="1384"/>
      <c r="DF1050" s="340">
        <v>19.23</v>
      </c>
      <c r="DG1050" s="340" t="s">
        <v>323</v>
      </c>
      <c r="DV1050" s="340">
        <v>106.12</v>
      </c>
      <c r="DW1050" s="340" t="s">
        <v>289</v>
      </c>
      <c r="DX1050" s="1671"/>
    </row>
    <row r="1051" spans="12:128">
      <c r="L1051" s="2481">
        <v>101.08</v>
      </c>
      <c r="M1051" s="340" t="s">
        <v>323</v>
      </c>
      <c r="N1051" s="1390"/>
      <c r="O1051" s="2479"/>
      <c r="P1051" s="2282"/>
      <c r="AG1051" s="2297">
        <v>106.13</v>
      </c>
      <c r="AH1051" s="2297" t="s">
        <v>331</v>
      </c>
      <c r="AI1051" s="1390"/>
      <c r="AJ1051" s="2282"/>
      <c r="AK1051" s="2282"/>
      <c r="AL1051" s="1037"/>
      <c r="AX1051" s="340">
        <v>313.14</v>
      </c>
      <c r="AY1051" s="340" t="s">
        <v>322</v>
      </c>
      <c r="BN1051" s="340">
        <v>104.3</v>
      </c>
      <c r="BO1051" s="340" t="s">
        <v>297</v>
      </c>
      <c r="BP1051" s="1385"/>
      <c r="BV1051" s="236">
        <v>143.28</v>
      </c>
      <c r="BW1051" s="236" t="s">
        <v>302</v>
      </c>
      <c r="CB1051" s="340">
        <v>312.08</v>
      </c>
      <c r="CC1051" s="340" t="s">
        <v>322</v>
      </c>
      <c r="CL1051" s="236">
        <v>39.15</v>
      </c>
      <c r="CM1051" s="236" t="s">
        <v>331</v>
      </c>
      <c r="CR1051" s="340">
        <v>104.34</v>
      </c>
      <c r="CS1051" s="340" t="s">
        <v>297</v>
      </c>
      <c r="CT1051" s="1384"/>
      <c r="DF1051" s="340">
        <v>101.04</v>
      </c>
      <c r="DG1051" s="340" t="s">
        <v>323</v>
      </c>
      <c r="DV1051" s="340">
        <v>106.13</v>
      </c>
      <c r="DW1051" s="340" t="s">
        <v>289</v>
      </c>
      <c r="DX1051" s="1671"/>
    </row>
    <row r="1052" spans="12:128">
      <c r="L1052" s="2481">
        <v>101.09</v>
      </c>
      <c r="M1052" s="340" t="s">
        <v>323</v>
      </c>
      <c r="N1052" s="1390"/>
      <c r="O1052" s="2479"/>
      <c r="P1052" s="2282"/>
      <c r="AG1052" s="2297">
        <v>106.14</v>
      </c>
      <c r="AH1052" s="2297" t="s">
        <v>289</v>
      </c>
      <c r="AI1052" s="1390"/>
      <c r="AJ1052" s="2282"/>
      <c r="AK1052" s="2282"/>
      <c r="AL1052" s="1037"/>
      <c r="AX1052" s="340">
        <v>313.14999999999998</v>
      </c>
      <c r="AY1052" s="340" t="s">
        <v>322</v>
      </c>
      <c r="BN1052" s="340">
        <v>104.31</v>
      </c>
      <c r="BO1052" s="340" t="s">
        <v>297</v>
      </c>
      <c r="BP1052" s="1385"/>
      <c r="BV1052" s="236">
        <v>143.29</v>
      </c>
      <c r="BW1052" s="236" t="s">
        <v>302</v>
      </c>
      <c r="CB1052" s="340">
        <v>313.01</v>
      </c>
      <c r="CC1052" s="340" t="s">
        <v>322</v>
      </c>
      <c r="CL1052" s="236">
        <v>39.159999999999997</v>
      </c>
      <c r="CM1052" s="236" t="s">
        <v>331</v>
      </c>
      <c r="CR1052" s="340">
        <v>104.35</v>
      </c>
      <c r="CS1052" s="340" t="s">
        <v>297</v>
      </c>
      <c r="CT1052" s="1384"/>
      <c r="DF1052" s="340">
        <v>101.06</v>
      </c>
      <c r="DG1052" s="340" t="s">
        <v>323</v>
      </c>
      <c r="DV1052" s="340">
        <v>106.14</v>
      </c>
      <c r="DW1052" s="340" t="s">
        <v>289</v>
      </c>
      <c r="DX1052" s="1671"/>
    </row>
    <row r="1053" spans="12:128">
      <c r="L1053" s="2481">
        <v>101.12</v>
      </c>
      <c r="M1053" s="340" t="s">
        <v>323</v>
      </c>
      <c r="N1053" s="1390"/>
      <c r="O1053" s="2479"/>
      <c r="P1053" s="2282"/>
      <c r="AG1053" s="2297">
        <v>106.15</v>
      </c>
      <c r="AH1053" s="2297" t="s">
        <v>289</v>
      </c>
      <c r="AI1053" s="1390"/>
      <c r="AJ1053" s="2282"/>
      <c r="AK1053" s="2282"/>
      <c r="AL1053" s="1037"/>
      <c r="AX1053" s="340">
        <v>313.16000000000003</v>
      </c>
      <c r="AY1053" s="340" t="s">
        <v>322</v>
      </c>
      <c r="BN1053" s="340">
        <v>104.32</v>
      </c>
      <c r="BO1053" s="340" t="s">
        <v>297</v>
      </c>
      <c r="BP1053" s="1385"/>
      <c r="BV1053" s="236">
        <v>143.30000000000001</v>
      </c>
      <c r="BW1053" s="236" t="s">
        <v>302</v>
      </c>
      <c r="CB1053" s="340">
        <v>313.06</v>
      </c>
      <c r="CC1053" s="340" t="s">
        <v>322</v>
      </c>
      <c r="CL1053" s="236">
        <v>39.17</v>
      </c>
      <c r="CM1053" s="236" t="s">
        <v>331</v>
      </c>
      <c r="CR1053" s="340">
        <v>104.36</v>
      </c>
      <c r="CS1053" s="340" t="s">
        <v>297</v>
      </c>
      <c r="CT1053" s="1384"/>
      <c r="DF1053" s="340">
        <v>101.07</v>
      </c>
      <c r="DG1053" s="340" t="s">
        <v>323</v>
      </c>
      <c r="DV1053" s="340">
        <v>106.15</v>
      </c>
      <c r="DW1053" s="340" t="s">
        <v>289</v>
      </c>
      <c r="DX1053" s="1671"/>
    </row>
    <row r="1054" spans="12:128">
      <c r="L1054" s="2481">
        <v>102.05</v>
      </c>
      <c r="M1054" s="340" t="s">
        <v>323</v>
      </c>
      <c r="N1054" s="1390"/>
      <c r="O1054" s="2479"/>
      <c r="P1054" s="2282"/>
      <c r="AG1054" s="2297">
        <v>106.18</v>
      </c>
      <c r="AH1054" s="2297" t="s">
        <v>331</v>
      </c>
      <c r="AI1054" s="1390"/>
      <c r="AJ1054" s="2282"/>
      <c r="AK1054" s="2282"/>
      <c r="AL1054" s="1037"/>
      <c r="AX1054" s="340">
        <v>313.18</v>
      </c>
      <c r="AY1054" s="340" t="s">
        <v>322</v>
      </c>
      <c r="BN1054" s="340">
        <v>104.33</v>
      </c>
      <c r="BO1054" s="340" t="s">
        <v>297</v>
      </c>
      <c r="BP1054" s="1385"/>
      <c r="BV1054" s="236">
        <v>143.31</v>
      </c>
      <c r="BW1054" s="236" t="s">
        <v>302</v>
      </c>
      <c r="CB1054" s="340">
        <v>313.08</v>
      </c>
      <c r="CC1054" s="340" t="s">
        <v>322</v>
      </c>
      <c r="CL1054" s="236">
        <v>39.18</v>
      </c>
      <c r="CM1054" s="236" t="s">
        <v>331</v>
      </c>
      <c r="CR1054" s="340">
        <v>104.37</v>
      </c>
      <c r="CS1054" s="340" t="s">
        <v>297</v>
      </c>
      <c r="CT1054" s="1384"/>
      <c r="DF1054" s="340">
        <v>101.08</v>
      </c>
      <c r="DG1054" s="340" t="s">
        <v>323</v>
      </c>
      <c r="DV1054" s="340">
        <v>106.18</v>
      </c>
      <c r="DW1054" s="340" t="s">
        <v>331</v>
      </c>
      <c r="DX1054" s="1671"/>
    </row>
    <row r="1055" spans="12:128">
      <c r="L1055" s="2481">
        <v>102.06</v>
      </c>
      <c r="M1055" s="340" t="s">
        <v>323</v>
      </c>
      <c r="N1055" s="1390"/>
      <c r="O1055" s="2479"/>
      <c r="P1055" s="2282"/>
      <c r="AG1055" s="2297">
        <v>106.19</v>
      </c>
      <c r="AH1055" s="2297" t="s">
        <v>331</v>
      </c>
      <c r="AI1055" s="1390"/>
      <c r="AJ1055" s="2282"/>
      <c r="AK1055" s="2282"/>
      <c r="AL1055" s="1037"/>
      <c r="AX1055" s="340">
        <v>313.19</v>
      </c>
      <c r="AY1055" s="340" t="s">
        <v>322</v>
      </c>
      <c r="BN1055" s="340">
        <v>104.34</v>
      </c>
      <c r="BO1055" s="340" t="s">
        <v>297</v>
      </c>
      <c r="BP1055" s="1385"/>
      <c r="BV1055" s="236">
        <v>143.33000000000001</v>
      </c>
      <c r="BW1055" s="236" t="s">
        <v>302</v>
      </c>
      <c r="CB1055" s="340">
        <v>313.08999999999997</v>
      </c>
      <c r="CC1055" s="340" t="s">
        <v>322</v>
      </c>
      <c r="CL1055" s="236">
        <v>39.19</v>
      </c>
      <c r="CM1055" s="236" t="s">
        <v>331</v>
      </c>
      <c r="CR1055" s="340">
        <v>104.38</v>
      </c>
      <c r="CS1055" s="340" t="s">
        <v>297</v>
      </c>
      <c r="CT1055" s="1384"/>
      <c r="DF1055" s="340">
        <v>101.09</v>
      </c>
      <c r="DG1055" s="340" t="s">
        <v>323</v>
      </c>
      <c r="DV1055" s="340">
        <v>106.19</v>
      </c>
      <c r="DW1055" s="340" t="s">
        <v>331</v>
      </c>
      <c r="DX1055" s="1671"/>
    </row>
    <row r="1056" spans="12:128">
      <c r="L1056" s="2481">
        <v>102.07</v>
      </c>
      <c r="M1056" s="340" t="s">
        <v>323</v>
      </c>
      <c r="N1056" s="1390"/>
      <c r="O1056" s="2479"/>
      <c r="P1056" s="2282"/>
      <c r="AG1056" s="2297">
        <v>106.2</v>
      </c>
      <c r="AH1056" s="2297" t="s">
        <v>331</v>
      </c>
      <c r="AI1056" s="1390"/>
      <c r="AJ1056" s="2282"/>
      <c r="AK1056" s="2282"/>
      <c r="AL1056" s="1037"/>
      <c r="AX1056" s="340">
        <v>313.2</v>
      </c>
      <c r="AY1056" s="340" t="s">
        <v>322</v>
      </c>
      <c r="BN1056" s="340">
        <v>104.35</v>
      </c>
      <c r="BO1056" s="340" t="s">
        <v>297</v>
      </c>
      <c r="BP1056" s="1385"/>
      <c r="BV1056" s="236">
        <v>143.34</v>
      </c>
      <c r="BW1056" s="236" t="s">
        <v>302</v>
      </c>
      <c r="CB1056" s="340">
        <v>313.13</v>
      </c>
      <c r="CC1056" s="340" t="s">
        <v>322</v>
      </c>
      <c r="CL1056" s="236">
        <v>39.21</v>
      </c>
      <c r="CM1056" s="236" t="s">
        <v>331</v>
      </c>
      <c r="CR1056" s="340">
        <v>105.01</v>
      </c>
      <c r="CS1056" s="340" t="s">
        <v>302</v>
      </c>
      <c r="CT1056" s="1384"/>
      <c r="DF1056" s="340">
        <v>101.1</v>
      </c>
      <c r="DG1056" s="340" t="s">
        <v>323</v>
      </c>
      <c r="DV1056" s="340">
        <v>106.2</v>
      </c>
      <c r="DW1056" s="340" t="s">
        <v>331</v>
      </c>
      <c r="DX1056" s="1671"/>
    </row>
    <row r="1057" spans="12:128">
      <c r="L1057" s="2481">
        <v>103.03</v>
      </c>
      <c r="M1057" s="340" t="s">
        <v>323</v>
      </c>
      <c r="N1057" s="1390"/>
      <c r="O1057" s="2479"/>
      <c r="P1057" s="2282"/>
      <c r="AG1057" s="2297">
        <v>106.23</v>
      </c>
      <c r="AH1057" s="2297" t="s">
        <v>331</v>
      </c>
      <c r="AI1057" s="1390"/>
      <c r="AJ1057" s="2282"/>
      <c r="AK1057" s="2282"/>
      <c r="AL1057" s="1037"/>
      <c r="AX1057" s="340">
        <v>313.20999999999998</v>
      </c>
      <c r="AY1057" s="340" t="s">
        <v>322</v>
      </c>
      <c r="BN1057" s="340">
        <v>104.36</v>
      </c>
      <c r="BO1057" s="340" t="s">
        <v>297</v>
      </c>
      <c r="BP1057" s="1385"/>
      <c r="BV1057" s="236">
        <v>143.35</v>
      </c>
      <c r="BW1057" s="236" t="s">
        <v>302</v>
      </c>
      <c r="CB1057" s="340">
        <v>313.14</v>
      </c>
      <c r="CC1057" s="340" t="s">
        <v>322</v>
      </c>
      <c r="CL1057" s="236">
        <v>39.22</v>
      </c>
      <c r="CM1057" s="236" t="s">
        <v>331</v>
      </c>
      <c r="CR1057" s="340">
        <v>105.01</v>
      </c>
      <c r="CS1057" s="340" t="s">
        <v>323</v>
      </c>
      <c r="CT1057" s="1384"/>
      <c r="DF1057" s="340">
        <v>101.11</v>
      </c>
      <c r="DG1057" s="340" t="s">
        <v>323</v>
      </c>
      <c r="DV1057" s="340">
        <v>106.21</v>
      </c>
      <c r="DW1057" s="340" t="s">
        <v>331</v>
      </c>
      <c r="DX1057" s="1671"/>
    </row>
    <row r="1058" spans="12:128">
      <c r="L1058" s="2481">
        <v>103.05</v>
      </c>
      <c r="M1058" s="340" t="s">
        <v>323</v>
      </c>
      <c r="N1058" s="1390"/>
      <c r="O1058" s="2479"/>
      <c r="P1058" s="2282"/>
      <c r="AG1058" s="2297">
        <v>106.24</v>
      </c>
      <c r="AH1058" s="2297" t="s">
        <v>331</v>
      </c>
      <c r="AI1058" s="1390"/>
      <c r="AJ1058" s="2282"/>
      <c r="AK1058" s="2282"/>
      <c r="AL1058" s="1037"/>
      <c r="AX1058" s="340">
        <v>313.22000000000003</v>
      </c>
      <c r="AY1058" s="340" t="s">
        <v>322</v>
      </c>
      <c r="BN1058" s="340">
        <v>104.38</v>
      </c>
      <c r="BO1058" s="340" t="s">
        <v>297</v>
      </c>
      <c r="BP1058" s="1385"/>
      <c r="BV1058" s="236">
        <v>143.36000000000001</v>
      </c>
      <c r="BW1058" s="236" t="s">
        <v>302</v>
      </c>
      <c r="CB1058" s="340">
        <v>313.14999999999998</v>
      </c>
      <c r="CC1058" s="340" t="s">
        <v>322</v>
      </c>
      <c r="CL1058" s="236">
        <v>40</v>
      </c>
      <c r="CM1058" s="236" t="s">
        <v>304</v>
      </c>
      <c r="CR1058" s="340">
        <v>105.01</v>
      </c>
      <c r="CS1058" s="340" t="s">
        <v>344</v>
      </c>
      <c r="CT1058" s="1384"/>
      <c r="DF1058" s="340">
        <v>101.12</v>
      </c>
      <c r="DG1058" s="340" t="s">
        <v>323</v>
      </c>
      <c r="DV1058" s="340">
        <v>106.22</v>
      </c>
      <c r="DW1058" s="340" t="s">
        <v>331</v>
      </c>
      <c r="DX1058" s="1671"/>
    </row>
    <row r="1059" spans="12:128">
      <c r="L1059" s="2481">
        <v>103.08</v>
      </c>
      <c r="M1059" s="340" t="s">
        <v>323</v>
      </c>
      <c r="N1059" s="1390"/>
      <c r="O1059" s="2479"/>
      <c r="P1059" s="2282"/>
      <c r="AG1059" s="2297">
        <v>106.25</v>
      </c>
      <c r="AH1059" s="2297" t="s">
        <v>331</v>
      </c>
      <c r="AI1059" s="1390"/>
      <c r="AJ1059" s="2282"/>
      <c r="AK1059" s="2282"/>
      <c r="AL1059" s="1037"/>
      <c r="AX1059" s="340">
        <v>313.23</v>
      </c>
      <c r="AY1059" s="340" t="s">
        <v>322</v>
      </c>
      <c r="BN1059" s="340">
        <v>105.01</v>
      </c>
      <c r="BO1059" s="340" t="s">
        <v>302</v>
      </c>
      <c r="BP1059" s="1385"/>
      <c r="BV1059" s="236">
        <v>143.38</v>
      </c>
      <c r="BW1059" s="236" t="s">
        <v>302</v>
      </c>
      <c r="CB1059" s="340">
        <v>313.16000000000003</v>
      </c>
      <c r="CC1059" s="340" t="s">
        <v>322</v>
      </c>
      <c r="CL1059" s="236">
        <v>40</v>
      </c>
      <c r="CM1059" s="236" t="s">
        <v>331</v>
      </c>
      <c r="CR1059" s="340">
        <v>105.02</v>
      </c>
      <c r="CS1059" s="340" t="s">
        <v>289</v>
      </c>
      <c r="CT1059" s="1384"/>
      <c r="DF1059" s="340">
        <v>101.13</v>
      </c>
      <c r="DG1059" s="340" t="s">
        <v>323</v>
      </c>
      <c r="DV1059" s="340">
        <v>106.23</v>
      </c>
      <c r="DW1059" s="340" t="s">
        <v>331</v>
      </c>
      <c r="DX1059" s="1671"/>
    </row>
    <row r="1060" spans="12:128">
      <c r="L1060" s="2481">
        <v>103.09</v>
      </c>
      <c r="M1060" s="340" t="s">
        <v>323</v>
      </c>
      <c r="N1060" s="1390"/>
      <c r="O1060" s="2479"/>
      <c r="P1060" s="2282"/>
      <c r="AG1060" s="2297">
        <v>106.26</v>
      </c>
      <c r="AH1060" s="2297" t="s">
        <v>331</v>
      </c>
      <c r="AI1060" s="1390"/>
      <c r="AJ1060" s="2282"/>
      <c r="AK1060" s="2282"/>
      <c r="AL1060" s="1037"/>
      <c r="AX1060" s="340">
        <v>3.04</v>
      </c>
      <c r="AY1060" s="340" t="s">
        <v>323</v>
      </c>
      <c r="BN1060" s="340">
        <v>105.01</v>
      </c>
      <c r="BO1060" s="340" t="s">
        <v>344</v>
      </c>
      <c r="BP1060" s="1385"/>
      <c r="BV1060" s="236">
        <v>143.38999999999999</v>
      </c>
      <c r="BW1060" s="236" t="s">
        <v>302</v>
      </c>
      <c r="CB1060" s="340">
        <v>313.18</v>
      </c>
      <c r="CC1060" s="340" t="s">
        <v>322</v>
      </c>
      <c r="CL1060" s="236">
        <v>40.049999999999997</v>
      </c>
      <c r="CM1060" s="236" t="s">
        <v>340</v>
      </c>
      <c r="CR1060" s="340">
        <v>105.02</v>
      </c>
      <c r="CS1060" s="340" t="s">
        <v>331</v>
      </c>
      <c r="CT1060" s="1384"/>
      <c r="DF1060" s="340">
        <v>102.05</v>
      </c>
      <c r="DG1060" s="340" t="s">
        <v>323</v>
      </c>
      <c r="DV1060" s="340">
        <v>106.25</v>
      </c>
      <c r="DW1060" s="340" t="s">
        <v>331</v>
      </c>
      <c r="DX1060" s="1671"/>
    </row>
    <row r="1061" spans="12:128">
      <c r="L1061" s="2481">
        <v>104.04</v>
      </c>
      <c r="M1061" s="340" t="s">
        <v>323</v>
      </c>
      <c r="N1061" s="1390"/>
      <c r="O1061" s="2479"/>
      <c r="P1061" s="2282"/>
      <c r="AG1061" s="2297">
        <v>107.01</v>
      </c>
      <c r="AH1061" s="2297" t="s">
        <v>316</v>
      </c>
      <c r="AI1061" s="1390"/>
      <c r="AJ1061" s="2282"/>
      <c r="AK1061" s="2282"/>
      <c r="AL1061" s="1037"/>
      <c r="AX1061" s="340">
        <v>4.01</v>
      </c>
      <c r="AY1061" s="340" t="s">
        <v>323</v>
      </c>
      <c r="BN1061" s="340">
        <v>105.02</v>
      </c>
      <c r="BO1061" s="340" t="s">
        <v>289</v>
      </c>
      <c r="BP1061" s="1385"/>
      <c r="BV1061" s="236">
        <v>143.4</v>
      </c>
      <c r="BW1061" s="236" t="s">
        <v>302</v>
      </c>
      <c r="CB1061" s="340">
        <v>313.19</v>
      </c>
      <c r="CC1061" s="340" t="s">
        <v>322</v>
      </c>
      <c r="CL1061" s="236">
        <v>40.07</v>
      </c>
      <c r="CM1061" s="236" t="s">
        <v>340</v>
      </c>
      <c r="CR1061" s="340">
        <v>105.02</v>
      </c>
      <c r="CS1061" s="340" t="s">
        <v>344</v>
      </c>
      <c r="CT1061" s="1384"/>
      <c r="DF1061" s="340">
        <v>102.07</v>
      </c>
      <c r="DG1061" s="340" t="s">
        <v>323</v>
      </c>
      <c r="DV1061" s="340">
        <v>107.01</v>
      </c>
      <c r="DW1061" s="340" t="s">
        <v>316</v>
      </c>
      <c r="DX1061" s="1671"/>
    </row>
    <row r="1062" spans="12:128">
      <c r="L1062" s="2481">
        <v>104.12</v>
      </c>
      <c r="M1062" s="340" t="s">
        <v>323</v>
      </c>
      <c r="N1062" s="1390"/>
      <c r="O1062" s="2479"/>
      <c r="P1062" s="2282"/>
      <c r="AG1062" s="2297">
        <v>107.01</v>
      </c>
      <c r="AH1062" s="2297" t="s">
        <v>323</v>
      </c>
      <c r="AI1062" s="1390"/>
      <c r="AJ1062" s="2282"/>
      <c r="AK1062" s="2282"/>
      <c r="AL1062" s="1037"/>
      <c r="AX1062" s="340">
        <v>8</v>
      </c>
      <c r="AY1062" s="340" t="s">
        <v>323</v>
      </c>
      <c r="BN1062" s="340">
        <v>105.02</v>
      </c>
      <c r="BO1062" s="340" t="s">
        <v>331</v>
      </c>
      <c r="BP1062" s="1385"/>
      <c r="BV1062" s="236">
        <v>143.41</v>
      </c>
      <c r="BW1062" s="236" t="s">
        <v>302</v>
      </c>
      <c r="CB1062" s="340">
        <v>313.2</v>
      </c>
      <c r="CC1062" s="340" t="s">
        <v>322</v>
      </c>
      <c r="CL1062" s="236">
        <v>40.08</v>
      </c>
      <c r="CM1062" s="236" t="s">
        <v>340</v>
      </c>
      <c r="CR1062" s="340">
        <v>105.03</v>
      </c>
      <c r="CS1062" s="340" t="s">
        <v>289</v>
      </c>
      <c r="CT1062" s="1384"/>
      <c r="DF1062" s="340">
        <v>103.05</v>
      </c>
      <c r="DG1062" s="340" t="s">
        <v>323</v>
      </c>
      <c r="DV1062" s="340">
        <v>107.01</v>
      </c>
      <c r="DW1062" s="340" t="s">
        <v>323</v>
      </c>
      <c r="DX1062" s="1671"/>
    </row>
    <row r="1063" spans="12:128">
      <c r="L1063" s="2481">
        <v>104.15</v>
      </c>
      <c r="M1063" s="340" t="s">
        <v>323</v>
      </c>
      <c r="N1063" s="1390"/>
      <c r="O1063" s="2479"/>
      <c r="P1063" s="2282"/>
      <c r="AG1063" s="2297">
        <v>107.01</v>
      </c>
      <c r="AH1063" s="2297" t="s">
        <v>344</v>
      </c>
      <c r="AI1063" s="1390"/>
      <c r="AJ1063" s="2282"/>
      <c r="AK1063" s="2282"/>
      <c r="AL1063" s="1037"/>
      <c r="AX1063" s="340">
        <v>9</v>
      </c>
      <c r="AY1063" s="340" t="s">
        <v>323</v>
      </c>
      <c r="BN1063" s="340">
        <v>105.02</v>
      </c>
      <c r="BO1063" s="340" t="s">
        <v>344</v>
      </c>
      <c r="BP1063" s="1385"/>
      <c r="BV1063" s="236">
        <v>143.41999999999999</v>
      </c>
      <c r="BW1063" s="236" t="s">
        <v>302</v>
      </c>
      <c r="CB1063" s="340">
        <v>313.20999999999998</v>
      </c>
      <c r="CC1063" s="340" t="s">
        <v>322</v>
      </c>
      <c r="CL1063" s="236">
        <v>40.090000000000003</v>
      </c>
      <c r="CM1063" s="236" t="s">
        <v>340</v>
      </c>
      <c r="CR1063" s="340">
        <v>105.03</v>
      </c>
      <c r="CS1063" s="340" t="s">
        <v>294</v>
      </c>
      <c r="CT1063" s="1384"/>
      <c r="DF1063" s="340">
        <v>103.08</v>
      </c>
      <c r="DG1063" s="340" t="s">
        <v>323</v>
      </c>
      <c r="DV1063" s="340">
        <v>107.02</v>
      </c>
      <c r="DW1063" s="340" t="s">
        <v>297</v>
      </c>
      <c r="DX1063" s="1671"/>
    </row>
    <row r="1064" spans="12:128">
      <c r="L1064" s="2481">
        <v>104.16</v>
      </c>
      <c r="M1064" s="340" t="s">
        <v>323</v>
      </c>
      <c r="N1064" s="1390"/>
      <c r="O1064" s="2479"/>
      <c r="P1064" s="2282"/>
      <c r="AG1064" s="2297">
        <v>107.02</v>
      </c>
      <c r="AH1064" s="2297" t="s">
        <v>297</v>
      </c>
      <c r="AI1064" s="1390"/>
      <c r="AJ1064" s="2282"/>
      <c r="AK1064" s="2282"/>
      <c r="AL1064" s="1037"/>
      <c r="AX1064" s="340">
        <v>10.01</v>
      </c>
      <c r="AY1064" s="340" t="s">
        <v>323</v>
      </c>
      <c r="BN1064" s="340">
        <v>105.03</v>
      </c>
      <c r="BO1064" s="340" t="s">
        <v>289</v>
      </c>
      <c r="BP1064" s="1385"/>
      <c r="BV1064" s="236">
        <v>143.43</v>
      </c>
      <c r="BW1064" s="236" t="s">
        <v>302</v>
      </c>
      <c r="CB1064" s="340">
        <v>313.22000000000003</v>
      </c>
      <c r="CC1064" s="340" t="s">
        <v>322</v>
      </c>
      <c r="CL1064" s="236">
        <v>40.1</v>
      </c>
      <c r="CM1064" s="236" t="s">
        <v>340</v>
      </c>
      <c r="CR1064" s="340">
        <v>105.04</v>
      </c>
      <c r="CS1064" s="340" t="s">
        <v>289</v>
      </c>
      <c r="CT1064" s="1384"/>
      <c r="DF1064" s="340">
        <v>103.09</v>
      </c>
      <c r="DG1064" s="340" t="s">
        <v>323</v>
      </c>
      <c r="DV1064" s="340">
        <v>107.02</v>
      </c>
      <c r="DW1064" s="340" t="s">
        <v>323</v>
      </c>
      <c r="DX1064" s="1671"/>
    </row>
    <row r="1065" spans="12:128">
      <c r="L1065" s="2481">
        <v>104.17</v>
      </c>
      <c r="M1065" s="340" t="s">
        <v>323</v>
      </c>
      <c r="N1065" s="1390"/>
      <c r="O1065" s="2479"/>
      <c r="P1065" s="2282"/>
      <c r="AG1065" s="2297">
        <v>107.02</v>
      </c>
      <c r="AH1065" s="2297" t="s">
        <v>316</v>
      </c>
      <c r="AI1065" s="1390"/>
      <c r="AJ1065" s="2282"/>
      <c r="AK1065" s="2282"/>
      <c r="AL1065" s="1037"/>
      <c r="AX1065" s="340">
        <v>12.04</v>
      </c>
      <c r="AY1065" s="340" t="s">
        <v>323</v>
      </c>
      <c r="BN1065" s="340">
        <v>105.03</v>
      </c>
      <c r="BO1065" s="340" t="s">
        <v>294</v>
      </c>
      <c r="BP1065" s="1385"/>
      <c r="BV1065" s="236">
        <v>143.44</v>
      </c>
      <c r="BW1065" s="236" t="s">
        <v>302</v>
      </c>
      <c r="CB1065" s="340">
        <v>313.23</v>
      </c>
      <c r="CC1065" s="340" t="s">
        <v>322</v>
      </c>
      <c r="CL1065" s="236">
        <v>40.11</v>
      </c>
      <c r="CM1065" s="236" t="s">
        <v>340</v>
      </c>
      <c r="CR1065" s="340">
        <v>105.04</v>
      </c>
      <c r="CS1065" s="340" t="s">
        <v>346</v>
      </c>
      <c r="CT1065" s="1384"/>
      <c r="DF1065" s="340">
        <v>104.04</v>
      </c>
      <c r="DG1065" s="340" t="s">
        <v>323</v>
      </c>
      <c r="DV1065" s="340">
        <v>107.02</v>
      </c>
      <c r="DW1065" s="340" t="s">
        <v>344</v>
      </c>
      <c r="DX1065" s="1671"/>
    </row>
    <row r="1066" spans="12:128">
      <c r="L1066" s="2481">
        <v>104.18</v>
      </c>
      <c r="M1066" s="340" t="s">
        <v>323</v>
      </c>
      <c r="N1066" s="1390"/>
      <c r="O1066" s="2479"/>
      <c r="P1066" s="2282"/>
      <c r="AG1066" s="2297">
        <v>107.02</v>
      </c>
      <c r="AH1066" s="2297" t="s">
        <v>323</v>
      </c>
      <c r="AI1066" s="1390"/>
      <c r="AJ1066" s="2282"/>
      <c r="AK1066" s="2282"/>
      <c r="AL1066" s="1037"/>
      <c r="AX1066" s="340">
        <v>12.05</v>
      </c>
      <c r="AY1066" s="340" t="s">
        <v>323</v>
      </c>
      <c r="BN1066" s="340">
        <v>105.03</v>
      </c>
      <c r="BO1066" s="340" t="s">
        <v>323</v>
      </c>
      <c r="BP1066" s="1385"/>
      <c r="BV1066" s="236">
        <v>144.08000000000001</v>
      </c>
      <c r="BW1066" s="236" t="s">
        <v>302</v>
      </c>
      <c r="CB1066" s="340">
        <v>3.04</v>
      </c>
      <c r="CC1066" s="340" t="s">
        <v>323</v>
      </c>
      <c r="CL1066" s="236">
        <v>40.119999999999997</v>
      </c>
      <c r="CM1066" s="236" t="s">
        <v>340</v>
      </c>
      <c r="CR1066" s="340">
        <v>105.05</v>
      </c>
      <c r="CS1066" s="340" t="s">
        <v>294</v>
      </c>
      <c r="CT1066" s="1384"/>
      <c r="DF1066" s="340">
        <v>104.12</v>
      </c>
      <c r="DG1066" s="340" t="s">
        <v>323</v>
      </c>
      <c r="DV1066" s="340">
        <v>107.04</v>
      </c>
      <c r="DW1066" s="340" t="s">
        <v>346</v>
      </c>
      <c r="DX1066" s="1671"/>
    </row>
    <row r="1067" spans="12:128">
      <c r="L1067" s="2481">
        <v>104.2</v>
      </c>
      <c r="M1067" s="340" t="s">
        <v>323</v>
      </c>
      <c r="N1067" s="1390"/>
      <c r="O1067" s="2479"/>
      <c r="P1067" s="2282"/>
      <c r="AG1067" s="2297">
        <v>107.02</v>
      </c>
      <c r="AH1067" s="2297" t="s">
        <v>344</v>
      </c>
      <c r="AI1067" s="1390"/>
      <c r="AJ1067" s="2282"/>
      <c r="AK1067" s="2282"/>
      <c r="AL1067" s="1037"/>
      <c r="AX1067" s="340">
        <v>12.06</v>
      </c>
      <c r="AY1067" s="340" t="s">
        <v>323</v>
      </c>
      <c r="BN1067" s="340">
        <v>105.04</v>
      </c>
      <c r="BO1067" s="340" t="s">
        <v>289</v>
      </c>
      <c r="BP1067" s="1385"/>
      <c r="BV1067" s="236">
        <v>144.13</v>
      </c>
      <c r="BW1067" s="236" t="s">
        <v>302</v>
      </c>
      <c r="CB1067" s="340">
        <v>4.01</v>
      </c>
      <c r="CC1067" s="340" t="s">
        <v>323</v>
      </c>
      <c r="CL1067" s="236">
        <v>40.130000000000003</v>
      </c>
      <c r="CM1067" s="236" t="s">
        <v>340</v>
      </c>
      <c r="CR1067" s="340">
        <v>105.06</v>
      </c>
      <c r="CS1067" s="340" t="s">
        <v>294</v>
      </c>
      <c r="CT1067" s="1384"/>
      <c r="DF1067" s="340">
        <v>104.15</v>
      </c>
      <c r="DG1067" s="340" t="s">
        <v>323</v>
      </c>
      <c r="DV1067" s="340">
        <v>107.07</v>
      </c>
      <c r="DW1067" s="340" t="s">
        <v>346</v>
      </c>
      <c r="DX1067" s="1671"/>
    </row>
    <row r="1068" spans="12:128">
      <c r="L1068" s="2481">
        <v>104.21</v>
      </c>
      <c r="M1068" s="340" t="s">
        <v>323</v>
      </c>
      <c r="N1068" s="1390"/>
      <c r="O1068" s="2479"/>
      <c r="P1068" s="2282"/>
      <c r="AG1068" s="2297">
        <v>107.04</v>
      </c>
      <c r="AH1068" s="2297" t="s">
        <v>346</v>
      </c>
      <c r="AI1068" s="1390"/>
      <c r="AJ1068" s="2282"/>
      <c r="AK1068" s="2282"/>
      <c r="AL1068" s="1037"/>
      <c r="AX1068" s="340">
        <v>12.07</v>
      </c>
      <c r="AY1068" s="340" t="s">
        <v>323</v>
      </c>
      <c r="BN1068" s="340">
        <v>105.04</v>
      </c>
      <c r="BO1068" s="340" t="s">
        <v>346</v>
      </c>
      <c r="BP1068" s="1385"/>
      <c r="BV1068" s="236">
        <v>144.13999999999999</v>
      </c>
      <c r="BW1068" s="236" t="s">
        <v>302</v>
      </c>
      <c r="CB1068" s="340">
        <v>4.0199999999999996</v>
      </c>
      <c r="CC1068" s="340" t="s">
        <v>323</v>
      </c>
      <c r="CL1068" s="236">
        <v>41</v>
      </c>
      <c r="CM1068" s="236" t="s">
        <v>316</v>
      </c>
      <c r="CR1068" s="340">
        <v>105.06</v>
      </c>
      <c r="CS1068" s="340" t="s">
        <v>346</v>
      </c>
      <c r="CT1068" s="1384"/>
      <c r="DF1068" s="340">
        <v>104.16</v>
      </c>
      <c r="DG1068" s="340" t="s">
        <v>323</v>
      </c>
      <c r="DV1068" s="340">
        <v>107.09</v>
      </c>
      <c r="DW1068" s="340" t="s">
        <v>331</v>
      </c>
      <c r="DX1068" s="1671"/>
    </row>
    <row r="1069" spans="12:128">
      <c r="L1069" s="2481">
        <v>104.22</v>
      </c>
      <c r="M1069" s="340" t="s">
        <v>323</v>
      </c>
      <c r="N1069" s="1390"/>
      <c r="O1069" s="2479"/>
      <c r="P1069" s="2282"/>
      <c r="AG1069" s="2297">
        <v>107.07</v>
      </c>
      <c r="AH1069" s="2297" t="s">
        <v>346</v>
      </c>
      <c r="AI1069" s="1390"/>
      <c r="AJ1069" s="2282"/>
      <c r="AK1069" s="2282"/>
      <c r="AL1069" s="1037"/>
      <c r="AX1069" s="340">
        <v>12.08</v>
      </c>
      <c r="AY1069" s="340" t="s">
        <v>323</v>
      </c>
      <c r="BN1069" s="340">
        <v>105.05</v>
      </c>
      <c r="BO1069" s="340" t="s">
        <v>294</v>
      </c>
      <c r="BP1069" s="1385"/>
      <c r="BV1069" s="236">
        <v>144.15</v>
      </c>
      <c r="BW1069" s="236" t="s">
        <v>302</v>
      </c>
      <c r="CB1069" s="340">
        <v>8</v>
      </c>
      <c r="CC1069" s="340" t="s">
        <v>323</v>
      </c>
      <c r="CL1069" s="236">
        <v>41.01</v>
      </c>
      <c r="CM1069" s="236" t="s">
        <v>340</v>
      </c>
      <c r="CR1069" s="340">
        <v>105.13</v>
      </c>
      <c r="CS1069" s="340" t="s">
        <v>297</v>
      </c>
      <c r="CT1069" s="1384"/>
      <c r="DF1069" s="340">
        <v>104.17</v>
      </c>
      <c r="DG1069" s="340" t="s">
        <v>323</v>
      </c>
      <c r="DV1069" s="340">
        <v>107.09</v>
      </c>
      <c r="DW1069" s="340" t="s">
        <v>346</v>
      </c>
      <c r="DX1069" s="1671"/>
    </row>
    <row r="1070" spans="12:128">
      <c r="L1070" s="2481">
        <v>104.23</v>
      </c>
      <c r="M1070" s="340" t="s">
        <v>323</v>
      </c>
      <c r="N1070" s="1390"/>
      <c r="O1070" s="2479"/>
      <c r="P1070" s="2282"/>
      <c r="AG1070" s="2297">
        <v>107.09</v>
      </c>
      <c r="AH1070" s="2297" t="s">
        <v>331</v>
      </c>
      <c r="AI1070" s="1390"/>
      <c r="AJ1070" s="2282"/>
      <c r="AK1070" s="2282"/>
      <c r="AL1070" s="1037"/>
      <c r="AX1070" s="340">
        <v>12.09</v>
      </c>
      <c r="AY1070" s="340" t="s">
        <v>323</v>
      </c>
      <c r="BN1070" s="340">
        <v>105.06</v>
      </c>
      <c r="BO1070" s="340" t="s">
        <v>294</v>
      </c>
      <c r="BP1070" s="1385"/>
      <c r="BV1070" s="236">
        <v>144.16</v>
      </c>
      <c r="BW1070" s="236" t="s">
        <v>302</v>
      </c>
      <c r="CB1070" s="340">
        <v>9</v>
      </c>
      <c r="CC1070" s="340" t="s">
        <v>323</v>
      </c>
      <c r="CL1070" s="236">
        <v>41.02</v>
      </c>
      <c r="CM1070" s="236" t="s">
        <v>331</v>
      </c>
      <c r="CR1070" s="340">
        <v>105.14</v>
      </c>
      <c r="CS1070" s="340" t="s">
        <v>297</v>
      </c>
      <c r="CT1070" s="1384"/>
      <c r="DF1070" s="340">
        <v>104.18</v>
      </c>
      <c r="DG1070" s="340" t="s">
        <v>323</v>
      </c>
      <c r="DV1070" s="340">
        <v>107.1</v>
      </c>
      <c r="DW1070" s="340" t="s">
        <v>331</v>
      </c>
      <c r="DX1070" s="1671"/>
    </row>
    <row r="1071" spans="12:128">
      <c r="L1071" s="2481">
        <v>105.01</v>
      </c>
      <c r="M1071" s="340" t="s">
        <v>323</v>
      </c>
      <c r="N1071" s="1390"/>
      <c r="O1071" s="2479"/>
      <c r="P1071" s="2282"/>
      <c r="AG1071" s="2297">
        <v>107.1</v>
      </c>
      <c r="AH1071" s="2297" t="s">
        <v>331</v>
      </c>
      <c r="AI1071" s="1390"/>
      <c r="AJ1071" s="2282"/>
      <c r="AK1071" s="2282"/>
      <c r="AL1071" s="1037"/>
      <c r="AX1071" s="340">
        <v>14.02</v>
      </c>
      <c r="AY1071" s="340" t="s">
        <v>323</v>
      </c>
      <c r="BN1071" s="340">
        <v>105.06</v>
      </c>
      <c r="BO1071" s="340" t="s">
        <v>346</v>
      </c>
      <c r="BP1071" s="1385"/>
      <c r="BV1071" s="236">
        <v>144.16999999999999</v>
      </c>
      <c r="BW1071" s="236" t="s">
        <v>302</v>
      </c>
      <c r="CB1071" s="340">
        <v>10.01</v>
      </c>
      <c r="CC1071" s="340" t="s">
        <v>323</v>
      </c>
      <c r="CL1071" s="236">
        <v>41.02</v>
      </c>
      <c r="CM1071" s="236" t="s">
        <v>340</v>
      </c>
      <c r="CR1071" s="340">
        <v>105.18</v>
      </c>
      <c r="CS1071" s="340" t="s">
        <v>297</v>
      </c>
      <c r="CT1071" s="1384"/>
      <c r="DF1071" s="340">
        <v>104.2</v>
      </c>
      <c r="DG1071" s="340" t="s">
        <v>323</v>
      </c>
      <c r="DV1071" s="340">
        <v>107.1</v>
      </c>
      <c r="DW1071" s="340" t="s">
        <v>346</v>
      </c>
      <c r="DX1071" s="1671"/>
    </row>
    <row r="1072" spans="12:128">
      <c r="L1072" s="2481">
        <v>105.03</v>
      </c>
      <c r="M1072" s="340" t="s">
        <v>323</v>
      </c>
      <c r="N1072" s="1390"/>
      <c r="O1072" s="2479"/>
      <c r="P1072" s="2282"/>
      <c r="AG1072" s="2297">
        <v>107.1</v>
      </c>
      <c r="AH1072" s="2297" t="s">
        <v>346</v>
      </c>
      <c r="AI1072" s="1390"/>
      <c r="AJ1072" s="2282"/>
      <c r="AK1072" s="2282"/>
      <c r="AL1072" s="1037"/>
      <c r="AX1072" s="340">
        <v>15.01</v>
      </c>
      <c r="AY1072" s="340" t="s">
        <v>323</v>
      </c>
      <c r="BN1072" s="340">
        <v>105.12</v>
      </c>
      <c r="BO1072" s="340" t="s">
        <v>297</v>
      </c>
      <c r="BP1072" s="1385"/>
      <c r="BV1072" s="236">
        <v>144.18</v>
      </c>
      <c r="BW1072" s="236" t="s">
        <v>302</v>
      </c>
      <c r="CB1072" s="340">
        <v>12.04</v>
      </c>
      <c r="CC1072" s="340" t="s">
        <v>323</v>
      </c>
      <c r="CL1072" s="236">
        <v>41.03</v>
      </c>
      <c r="CM1072" s="236" t="s">
        <v>331</v>
      </c>
      <c r="CR1072" s="340">
        <v>105.19</v>
      </c>
      <c r="CS1072" s="340" t="s">
        <v>297</v>
      </c>
      <c r="CT1072" s="1384"/>
      <c r="DF1072" s="340">
        <v>104.21</v>
      </c>
      <c r="DG1072" s="340" t="s">
        <v>323</v>
      </c>
      <c r="DV1072" s="340">
        <v>107.12</v>
      </c>
      <c r="DW1072" s="340" t="s">
        <v>346</v>
      </c>
      <c r="DX1072" s="1671"/>
    </row>
    <row r="1073" spans="12:128">
      <c r="L1073" s="2481">
        <v>106.01</v>
      </c>
      <c r="M1073" s="340" t="s">
        <v>323</v>
      </c>
      <c r="N1073" s="1390"/>
      <c r="O1073" s="2479"/>
      <c r="P1073" s="2282"/>
      <c r="AG1073" s="2297">
        <v>107.12</v>
      </c>
      <c r="AH1073" s="2297" t="s">
        <v>346</v>
      </c>
      <c r="AI1073" s="1390"/>
      <c r="AJ1073" s="2282"/>
      <c r="AK1073" s="2282"/>
      <c r="AL1073" s="1037"/>
      <c r="AX1073" s="340">
        <v>16.010000000000002</v>
      </c>
      <c r="AY1073" s="340" t="s">
        <v>323</v>
      </c>
      <c r="BN1073" s="340">
        <v>105.16</v>
      </c>
      <c r="BO1073" s="340" t="s">
        <v>297</v>
      </c>
      <c r="BP1073" s="1385"/>
      <c r="BV1073" s="236">
        <v>144.19</v>
      </c>
      <c r="BW1073" s="236" t="s">
        <v>302</v>
      </c>
      <c r="CB1073" s="340">
        <v>12.05</v>
      </c>
      <c r="CC1073" s="340" t="s">
        <v>323</v>
      </c>
      <c r="CL1073" s="236">
        <v>41.05</v>
      </c>
      <c r="CM1073" s="236" t="s">
        <v>331</v>
      </c>
      <c r="CR1073" s="340">
        <v>106</v>
      </c>
      <c r="CS1073" s="340" t="s">
        <v>316</v>
      </c>
      <c r="CT1073" s="1384"/>
      <c r="DF1073" s="340">
        <v>104.22</v>
      </c>
      <c r="DG1073" s="340" t="s">
        <v>323</v>
      </c>
      <c r="DV1073" s="340">
        <v>108</v>
      </c>
      <c r="DW1073" s="340" t="s">
        <v>344</v>
      </c>
      <c r="DX1073" s="1671"/>
    </row>
    <row r="1074" spans="12:128">
      <c r="L1074" s="2481">
        <v>107.01</v>
      </c>
      <c r="M1074" s="340" t="s">
        <v>323</v>
      </c>
      <c r="N1074" s="1390"/>
      <c r="O1074" s="2479"/>
      <c r="P1074" s="2282"/>
      <c r="AG1074" s="2297">
        <v>108</v>
      </c>
      <c r="AH1074" s="2297" t="s">
        <v>344</v>
      </c>
      <c r="AI1074" s="1390"/>
      <c r="AJ1074" s="2282"/>
      <c r="AK1074" s="2282"/>
      <c r="AL1074" s="1037"/>
      <c r="AX1074" s="340">
        <v>16.02</v>
      </c>
      <c r="AY1074" s="340" t="s">
        <v>323</v>
      </c>
      <c r="BN1074" s="340">
        <v>105.17</v>
      </c>
      <c r="BO1074" s="340" t="s">
        <v>297</v>
      </c>
      <c r="BP1074" s="1385"/>
      <c r="BV1074" s="236">
        <v>144.19999999999999</v>
      </c>
      <c r="BW1074" s="236" t="s">
        <v>302</v>
      </c>
      <c r="CB1074" s="340">
        <v>12.06</v>
      </c>
      <c r="CC1074" s="340" t="s">
        <v>323</v>
      </c>
      <c r="CL1074" s="236">
        <v>41.06</v>
      </c>
      <c r="CM1074" s="236" t="s">
        <v>331</v>
      </c>
      <c r="CR1074" s="340">
        <v>106.01</v>
      </c>
      <c r="CS1074" s="340" t="s">
        <v>289</v>
      </c>
      <c r="CT1074" s="1384"/>
      <c r="DF1074" s="340">
        <v>104.23</v>
      </c>
      <c r="DG1074" s="340" t="s">
        <v>323</v>
      </c>
      <c r="DV1074" s="340">
        <v>108.01</v>
      </c>
      <c r="DW1074" s="340" t="s">
        <v>323</v>
      </c>
      <c r="DX1074" s="1671"/>
    </row>
    <row r="1075" spans="12:128">
      <c r="L1075" s="2481">
        <v>107.02</v>
      </c>
      <c r="M1075" s="340" t="s">
        <v>323</v>
      </c>
      <c r="N1075" s="1390"/>
      <c r="O1075" s="2479"/>
      <c r="P1075" s="2282"/>
      <c r="AG1075" s="2297">
        <v>108.01</v>
      </c>
      <c r="AH1075" s="2297" t="s">
        <v>323</v>
      </c>
      <c r="AI1075" s="1390"/>
      <c r="AJ1075" s="2282"/>
      <c r="AK1075" s="2282"/>
      <c r="AL1075" s="1037"/>
      <c r="AX1075" s="340">
        <v>17.010000000000002</v>
      </c>
      <c r="AY1075" s="340" t="s">
        <v>323</v>
      </c>
      <c r="BN1075" s="340">
        <v>105.18</v>
      </c>
      <c r="BO1075" s="340" t="s">
        <v>297</v>
      </c>
      <c r="BP1075" s="1385"/>
      <c r="BV1075" s="236">
        <v>144.21</v>
      </c>
      <c r="BW1075" s="236" t="s">
        <v>302</v>
      </c>
      <c r="CB1075" s="340">
        <v>12.07</v>
      </c>
      <c r="CC1075" s="340" t="s">
        <v>323</v>
      </c>
      <c r="CL1075" s="236">
        <v>42</v>
      </c>
      <c r="CM1075" s="236" t="s">
        <v>316</v>
      </c>
      <c r="CR1075" s="340">
        <v>106.01</v>
      </c>
      <c r="CS1075" s="340" t="s">
        <v>302</v>
      </c>
      <c r="CT1075" s="1384"/>
      <c r="DF1075" s="340">
        <v>105.01</v>
      </c>
      <c r="DG1075" s="340" t="s">
        <v>323</v>
      </c>
      <c r="DV1075" s="340">
        <v>108.02</v>
      </c>
      <c r="DW1075" s="340" t="s">
        <v>338</v>
      </c>
      <c r="DX1075" s="1671"/>
    </row>
    <row r="1076" spans="12:128">
      <c r="L1076" s="2481">
        <v>108.01</v>
      </c>
      <c r="M1076" s="340" t="s">
        <v>323</v>
      </c>
      <c r="N1076" s="1390"/>
      <c r="O1076" s="2479"/>
      <c r="P1076" s="2282"/>
      <c r="AG1076" s="2297">
        <v>108.02</v>
      </c>
      <c r="AH1076" s="2297" t="s">
        <v>323</v>
      </c>
      <c r="AI1076" s="1390"/>
      <c r="AJ1076" s="2282"/>
      <c r="AK1076" s="2282"/>
      <c r="AL1076" s="1037"/>
      <c r="AX1076" s="340">
        <v>17.05</v>
      </c>
      <c r="AY1076" s="340" t="s">
        <v>323</v>
      </c>
      <c r="BN1076" s="340">
        <v>105.19</v>
      </c>
      <c r="BO1076" s="340" t="s">
        <v>297</v>
      </c>
      <c r="BP1076" s="1385"/>
      <c r="BV1076" s="236">
        <v>144.22</v>
      </c>
      <c r="BW1076" s="236" t="s">
        <v>302</v>
      </c>
      <c r="CB1076" s="340">
        <v>12.08</v>
      </c>
      <c r="CC1076" s="340" t="s">
        <v>323</v>
      </c>
      <c r="CL1076" s="236">
        <v>42.03</v>
      </c>
      <c r="CM1076" s="236" t="s">
        <v>340</v>
      </c>
      <c r="CR1076" s="340">
        <v>106.01</v>
      </c>
      <c r="CS1076" s="340" t="s">
        <v>344</v>
      </c>
      <c r="CT1076" s="1384"/>
      <c r="DF1076" s="340">
        <v>106.01</v>
      </c>
      <c r="DG1076" s="340" t="s">
        <v>323</v>
      </c>
      <c r="DV1076" s="340">
        <v>108.02</v>
      </c>
      <c r="DW1076" s="340" t="s">
        <v>346</v>
      </c>
      <c r="DX1076" s="1671"/>
    </row>
    <row r="1077" spans="12:128">
      <c r="L1077" s="2481">
        <v>108.02</v>
      </c>
      <c r="M1077" s="340" t="s">
        <v>323</v>
      </c>
      <c r="N1077" s="1390"/>
      <c r="O1077" s="2479"/>
      <c r="P1077" s="2282"/>
      <c r="AG1077" s="2297">
        <v>108.02</v>
      </c>
      <c r="AH1077" s="2297" t="s">
        <v>338</v>
      </c>
      <c r="AI1077" s="1390"/>
      <c r="AJ1077" s="2282"/>
      <c r="AK1077" s="2282"/>
      <c r="AL1077" s="1037"/>
      <c r="AX1077" s="340">
        <v>17.059999999999999</v>
      </c>
      <c r="AY1077" s="340" t="s">
        <v>323</v>
      </c>
      <c r="BN1077" s="340">
        <v>105.2</v>
      </c>
      <c r="BO1077" s="340" t="s">
        <v>297</v>
      </c>
      <c r="BP1077" s="1385"/>
      <c r="BV1077" s="236">
        <v>144.22999999999999</v>
      </c>
      <c r="BW1077" s="236" t="s">
        <v>302</v>
      </c>
      <c r="CB1077" s="340">
        <v>12.09</v>
      </c>
      <c r="CC1077" s="340" t="s">
        <v>323</v>
      </c>
      <c r="CL1077" s="236">
        <v>42.04</v>
      </c>
      <c r="CM1077" s="236" t="s">
        <v>331</v>
      </c>
      <c r="CR1077" s="340">
        <v>106.02</v>
      </c>
      <c r="CS1077" s="340" t="s">
        <v>302</v>
      </c>
      <c r="CT1077" s="1384"/>
      <c r="DF1077" s="340">
        <v>107.01</v>
      </c>
      <c r="DG1077" s="340" t="s">
        <v>323</v>
      </c>
      <c r="DV1077" s="340">
        <v>108.03</v>
      </c>
      <c r="DW1077" s="340" t="s">
        <v>323</v>
      </c>
      <c r="DX1077" s="1671"/>
    </row>
    <row r="1078" spans="12:128">
      <c r="L1078" s="2481">
        <v>108.03</v>
      </c>
      <c r="M1078" s="340" t="s">
        <v>323</v>
      </c>
      <c r="N1078" s="1390"/>
      <c r="O1078" s="2479"/>
      <c r="P1078" s="2282"/>
      <c r="AG1078" s="2297">
        <v>108.02</v>
      </c>
      <c r="AH1078" s="2297" t="s">
        <v>346</v>
      </c>
      <c r="AI1078" s="1390"/>
      <c r="AJ1078" s="2282"/>
      <c r="AK1078" s="2282"/>
      <c r="AL1078" s="1037"/>
      <c r="AX1078" s="340">
        <v>17.09</v>
      </c>
      <c r="AY1078" s="340" t="s">
        <v>323</v>
      </c>
      <c r="BN1078" s="340">
        <v>106</v>
      </c>
      <c r="BO1078" s="340" t="s">
        <v>316</v>
      </c>
      <c r="BP1078" s="1385"/>
      <c r="BV1078" s="236">
        <v>144.24</v>
      </c>
      <c r="BW1078" s="236" t="s">
        <v>302</v>
      </c>
      <c r="CB1078" s="340">
        <v>14.02</v>
      </c>
      <c r="CC1078" s="340" t="s">
        <v>323</v>
      </c>
      <c r="CL1078" s="236">
        <v>42.04</v>
      </c>
      <c r="CM1078" s="236" t="s">
        <v>340</v>
      </c>
      <c r="CR1078" s="340">
        <v>106.03</v>
      </c>
      <c r="CS1078" s="340" t="s">
        <v>289</v>
      </c>
      <c r="CT1078" s="1384"/>
      <c r="DF1078" s="340">
        <v>107.02</v>
      </c>
      <c r="DG1078" s="340" t="s">
        <v>323</v>
      </c>
      <c r="DV1078" s="340">
        <v>108.06</v>
      </c>
      <c r="DW1078" s="340" t="s">
        <v>297</v>
      </c>
      <c r="DX1078" s="1671"/>
    </row>
    <row r="1079" spans="12:128">
      <c r="L1079" s="2481">
        <v>201.04</v>
      </c>
      <c r="M1079" s="340" t="s">
        <v>323</v>
      </c>
      <c r="N1079" s="1390"/>
      <c r="O1079" s="2479"/>
      <c r="P1079" s="2282"/>
      <c r="AG1079" s="2297">
        <v>108.03</v>
      </c>
      <c r="AH1079" s="2297" t="s">
        <v>323</v>
      </c>
      <c r="AI1079" s="1390"/>
      <c r="AJ1079" s="2282"/>
      <c r="AK1079" s="2282"/>
      <c r="AL1079" s="1037"/>
      <c r="AX1079" s="340">
        <v>17.100000000000001</v>
      </c>
      <c r="AY1079" s="340" t="s">
        <v>323</v>
      </c>
      <c r="BN1079" s="340">
        <v>106.01</v>
      </c>
      <c r="BO1079" s="340" t="s">
        <v>289</v>
      </c>
      <c r="BP1079" s="1385"/>
      <c r="BV1079" s="236">
        <v>144.25</v>
      </c>
      <c r="BW1079" s="236" t="s">
        <v>302</v>
      </c>
      <c r="CB1079" s="340">
        <v>15.01</v>
      </c>
      <c r="CC1079" s="340" t="s">
        <v>323</v>
      </c>
      <c r="CL1079" s="236">
        <v>42.05</v>
      </c>
      <c r="CM1079" s="236" t="s">
        <v>331</v>
      </c>
      <c r="CR1079" s="340">
        <v>106.03</v>
      </c>
      <c r="CS1079" s="340" t="s">
        <v>344</v>
      </c>
      <c r="CT1079" s="1384"/>
      <c r="DF1079" s="340">
        <v>108.01</v>
      </c>
      <c r="DG1079" s="340" t="s">
        <v>323</v>
      </c>
      <c r="DV1079" s="340">
        <v>108.07</v>
      </c>
      <c r="DW1079" s="340" t="s">
        <v>297</v>
      </c>
      <c r="DX1079" s="1671"/>
    </row>
    <row r="1080" spans="12:128">
      <c r="L1080" s="2481">
        <v>202.02</v>
      </c>
      <c r="M1080" s="340" t="s">
        <v>323</v>
      </c>
      <c r="N1080" s="1390"/>
      <c r="O1080" s="2479"/>
      <c r="P1080" s="2282"/>
      <c r="AG1080" s="2297">
        <v>108.06</v>
      </c>
      <c r="AH1080" s="2297" t="s">
        <v>297</v>
      </c>
      <c r="AI1080" s="1390"/>
      <c r="AJ1080" s="2282"/>
      <c r="AK1080" s="2282"/>
      <c r="AL1080" s="1037"/>
      <c r="AX1080" s="340">
        <v>18.010000000000002</v>
      </c>
      <c r="AY1080" s="340" t="s">
        <v>323</v>
      </c>
      <c r="BN1080" s="340">
        <v>106.01</v>
      </c>
      <c r="BO1080" s="340" t="s">
        <v>302</v>
      </c>
      <c r="BP1080" s="1385"/>
      <c r="BV1080" s="236">
        <v>144.26</v>
      </c>
      <c r="BW1080" s="236" t="s">
        <v>302</v>
      </c>
      <c r="CB1080" s="340">
        <v>16.010000000000002</v>
      </c>
      <c r="CC1080" s="340" t="s">
        <v>323</v>
      </c>
      <c r="CL1080" s="236">
        <v>42.05</v>
      </c>
      <c r="CM1080" s="236" t="s">
        <v>340</v>
      </c>
      <c r="CR1080" s="340">
        <v>106.04</v>
      </c>
      <c r="CS1080" s="340" t="s">
        <v>289</v>
      </c>
      <c r="CT1080" s="1384"/>
      <c r="DF1080" s="340">
        <v>108.03</v>
      </c>
      <c r="DG1080" s="340" t="s">
        <v>323</v>
      </c>
      <c r="DV1080" s="340">
        <v>108.1</v>
      </c>
      <c r="DW1080" s="340" t="s">
        <v>316</v>
      </c>
      <c r="DX1080" s="1671"/>
    </row>
    <row r="1081" spans="12:128">
      <c r="L1081" s="2481">
        <v>204</v>
      </c>
      <c r="M1081" s="340" t="s">
        <v>323</v>
      </c>
      <c r="N1081" s="1390"/>
      <c r="O1081" s="2479"/>
      <c r="P1081" s="2282"/>
      <c r="AG1081" s="2297">
        <v>108.07</v>
      </c>
      <c r="AH1081" s="2297" t="s">
        <v>297</v>
      </c>
      <c r="AI1081" s="1390"/>
      <c r="AJ1081" s="2282"/>
      <c r="AK1081" s="2282"/>
      <c r="AL1081" s="1037"/>
      <c r="AX1081" s="340">
        <v>18.02</v>
      </c>
      <c r="AY1081" s="340" t="s">
        <v>323</v>
      </c>
      <c r="BN1081" s="340">
        <v>106.01</v>
      </c>
      <c r="BO1081" s="340" t="s">
        <v>323</v>
      </c>
      <c r="BP1081" s="1385"/>
      <c r="BV1081" s="236">
        <v>144.27000000000001</v>
      </c>
      <c r="BW1081" s="236" t="s">
        <v>302</v>
      </c>
      <c r="CB1081" s="340">
        <v>16.02</v>
      </c>
      <c r="CC1081" s="340" t="s">
        <v>323</v>
      </c>
      <c r="CL1081" s="236">
        <v>42.06</v>
      </c>
      <c r="CM1081" s="236" t="s">
        <v>331</v>
      </c>
      <c r="CR1081" s="340">
        <v>106.04</v>
      </c>
      <c r="CS1081" s="340" t="s">
        <v>331</v>
      </c>
      <c r="CT1081" s="1384"/>
      <c r="DF1081" s="340">
        <v>201.04</v>
      </c>
      <c r="DG1081" s="340" t="s">
        <v>323</v>
      </c>
      <c r="DV1081" s="340">
        <v>108.11</v>
      </c>
      <c r="DW1081" s="340" t="s">
        <v>316</v>
      </c>
      <c r="DX1081" s="1671"/>
    </row>
    <row r="1082" spans="12:128">
      <c r="L1082" s="2481">
        <v>207</v>
      </c>
      <c r="M1082" s="340" t="s">
        <v>323</v>
      </c>
      <c r="N1082" s="1390"/>
      <c r="O1082" s="2479"/>
      <c r="P1082" s="2282"/>
      <c r="AG1082" s="2297">
        <v>108.08</v>
      </c>
      <c r="AH1082" s="2297" t="s">
        <v>297</v>
      </c>
      <c r="AI1082" s="1390"/>
      <c r="AJ1082" s="2282"/>
      <c r="AK1082" s="2282"/>
      <c r="AL1082" s="1037"/>
      <c r="AX1082" s="340">
        <v>19.03</v>
      </c>
      <c r="AY1082" s="340" t="s">
        <v>323</v>
      </c>
      <c r="BN1082" s="340">
        <v>106.01</v>
      </c>
      <c r="BO1082" s="340" t="s">
        <v>344</v>
      </c>
      <c r="BP1082" s="1385"/>
      <c r="BV1082" s="236">
        <v>144.28</v>
      </c>
      <c r="BW1082" s="236" t="s">
        <v>302</v>
      </c>
      <c r="CB1082" s="340">
        <v>17.010000000000002</v>
      </c>
      <c r="CC1082" s="340" t="s">
        <v>323</v>
      </c>
      <c r="CL1082" s="236">
        <v>42.06</v>
      </c>
      <c r="CM1082" s="236" t="s">
        <v>340</v>
      </c>
      <c r="CR1082" s="340">
        <v>106.04</v>
      </c>
      <c r="CS1082" s="340" t="s">
        <v>344</v>
      </c>
      <c r="CT1082" s="1384"/>
      <c r="DF1082" s="340">
        <v>202.02</v>
      </c>
      <c r="DG1082" s="340" t="s">
        <v>323</v>
      </c>
      <c r="DV1082" s="340">
        <v>108.12</v>
      </c>
      <c r="DW1082" s="340" t="s">
        <v>346</v>
      </c>
      <c r="DX1082" s="1671"/>
    </row>
    <row r="1083" spans="12:128">
      <c r="L1083" s="2481">
        <v>301</v>
      </c>
      <c r="M1083" s="340" t="s">
        <v>323</v>
      </c>
      <c r="N1083" s="1390"/>
      <c r="O1083" s="2479"/>
      <c r="P1083" s="2282"/>
      <c r="AG1083" s="2297">
        <v>108.1</v>
      </c>
      <c r="AH1083" s="2297" t="s">
        <v>316</v>
      </c>
      <c r="AI1083" s="1390"/>
      <c r="AJ1083" s="2282"/>
      <c r="AK1083" s="2282"/>
      <c r="AL1083" s="1037"/>
      <c r="AX1083" s="340">
        <v>19.079999999999998</v>
      </c>
      <c r="AY1083" s="340" t="s">
        <v>323</v>
      </c>
      <c r="BN1083" s="340">
        <v>106.03</v>
      </c>
      <c r="BO1083" s="340" t="s">
        <v>289</v>
      </c>
      <c r="BP1083" s="1385"/>
      <c r="BV1083" s="236">
        <v>145</v>
      </c>
      <c r="BW1083" s="236" t="s">
        <v>302</v>
      </c>
      <c r="CB1083" s="340">
        <v>17.05</v>
      </c>
      <c r="CC1083" s="340" t="s">
        <v>323</v>
      </c>
      <c r="CL1083" s="236">
        <v>42.07</v>
      </c>
      <c r="CM1083" s="236" t="s">
        <v>331</v>
      </c>
      <c r="CR1083" s="340">
        <v>106.05</v>
      </c>
      <c r="CS1083" s="340" t="s">
        <v>289</v>
      </c>
      <c r="CT1083" s="1384"/>
      <c r="DF1083" s="340">
        <v>204</v>
      </c>
      <c r="DG1083" s="340" t="s">
        <v>323</v>
      </c>
      <c r="DV1083" s="340">
        <v>108.13</v>
      </c>
      <c r="DW1083" s="340" t="s">
        <v>346</v>
      </c>
      <c r="DX1083" s="1671"/>
    </row>
    <row r="1084" spans="12:128">
      <c r="L1084" s="2481">
        <v>302.01</v>
      </c>
      <c r="M1084" s="340" t="s">
        <v>323</v>
      </c>
      <c r="N1084" s="1390"/>
      <c r="O1084" s="2479"/>
      <c r="P1084" s="2282"/>
      <c r="AG1084" s="2297">
        <v>108.12</v>
      </c>
      <c r="AH1084" s="2297" t="s">
        <v>346</v>
      </c>
      <c r="AI1084" s="1390"/>
      <c r="AJ1084" s="2282"/>
      <c r="AK1084" s="2282"/>
      <c r="AL1084" s="1037"/>
      <c r="AX1084" s="340">
        <v>19.12</v>
      </c>
      <c r="AY1084" s="340" t="s">
        <v>323</v>
      </c>
      <c r="BN1084" s="340">
        <v>106.03</v>
      </c>
      <c r="BO1084" s="340" t="s">
        <v>344</v>
      </c>
      <c r="BP1084" s="1385"/>
      <c r="BV1084" s="236">
        <v>146.01</v>
      </c>
      <c r="BW1084" s="236" t="s">
        <v>302</v>
      </c>
      <c r="CB1084" s="340">
        <v>17.059999999999999</v>
      </c>
      <c r="CC1084" s="340" t="s">
        <v>323</v>
      </c>
      <c r="CL1084" s="236">
        <v>42.07</v>
      </c>
      <c r="CM1084" s="236" t="s">
        <v>340</v>
      </c>
      <c r="CR1084" s="340">
        <v>106.06</v>
      </c>
      <c r="CS1084" s="340" t="s">
        <v>289</v>
      </c>
      <c r="CT1084" s="1384"/>
      <c r="DF1084" s="340">
        <v>207</v>
      </c>
      <c r="DG1084" s="340" t="s">
        <v>323</v>
      </c>
      <c r="DV1084" s="340">
        <v>108.14</v>
      </c>
      <c r="DW1084" s="340" t="s">
        <v>346</v>
      </c>
      <c r="DX1084" s="1671"/>
    </row>
    <row r="1085" spans="12:128">
      <c r="L1085" s="2481">
        <v>302.05</v>
      </c>
      <c r="M1085" s="340" t="s">
        <v>323</v>
      </c>
      <c r="N1085" s="1390"/>
      <c r="O1085" s="2479"/>
      <c r="P1085" s="2282"/>
      <c r="AG1085" s="2297">
        <v>108.13</v>
      </c>
      <c r="AH1085" s="2297" t="s">
        <v>346</v>
      </c>
      <c r="AI1085" s="1390"/>
      <c r="AJ1085" s="2282"/>
      <c r="AK1085" s="2282"/>
      <c r="AL1085" s="1037"/>
      <c r="AX1085" s="340">
        <v>19.13</v>
      </c>
      <c r="AY1085" s="340" t="s">
        <v>323</v>
      </c>
      <c r="BN1085" s="340">
        <v>106.04</v>
      </c>
      <c r="BO1085" s="340" t="s">
        <v>289</v>
      </c>
      <c r="BP1085" s="1385"/>
      <c r="BV1085" s="236">
        <v>146.03</v>
      </c>
      <c r="BW1085" s="236" t="s">
        <v>302</v>
      </c>
      <c r="CB1085" s="340">
        <v>17.09</v>
      </c>
      <c r="CC1085" s="340" t="s">
        <v>323</v>
      </c>
      <c r="CL1085" s="236">
        <v>42.08</v>
      </c>
      <c r="CM1085" s="236" t="s">
        <v>331</v>
      </c>
      <c r="CR1085" s="340">
        <v>106.08</v>
      </c>
      <c r="CS1085" s="340" t="s">
        <v>331</v>
      </c>
      <c r="CT1085" s="1384"/>
      <c r="DF1085" s="340">
        <v>301</v>
      </c>
      <c r="DG1085" s="340" t="s">
        <v>323</v>
      </c>
      <c r="DV1085" s="340">
        <v>108.19</v>
      </c>
      <c r="DW1085" s="340" t="s">
        <v>316</v>
      </c>
      <c r="DX1085" s="1671"/>
    </row>
    <row r="1086" spans="12:128">
      <c r="L1086" s="2481">
        <v>303</v>
      </c>
      <c r="M1086" s="340" t="s">
        <v>323</v>
      </c>
      <c r="N1086" s="1390"/>
      <c r="O1086" s="2479"/>
      <c r="P1086" s="2282"/>
      <c r="AG1086" s="2297">
        <v>108.14</v>
      </c>
      <c r="AH1086" s="2297" t="s">
        <v>346</v>
      </c>
      <c r="AI1086" s="1390"/>
      <c r="AJ1086" s="2282"/>
      <c r="AK1086" s="2282"/>
      <c r="AL1086" s="1037"/>
      <c r="AX1086" s="340">
        <v>19.18</v>
      </c>
      <c r="AY1086" s="340" t="s">
        <v>323</v>
      </c>
      <c r="BN1086" s="340">
        <v>106.04</v>
      </c>
      <c r="BO1086" s="340" t="s">
        <v>297</v>
      </c>
      <c r="BP1086" s="1385"/>
      <c r="BV1086" s="236">
        <v>146.04</v>
      </c>
      <c r="BW1086" s="236" t="s">
        <v>302</v>
      </c>
      <c r="CB1086" s="340">
        <v>18.010000000000002</v>
      </c>
      <c r="CC1086" s="340" t="s">
        <v>323</v>
      </c>
      <c r="CL1086" s="236">
        <v>43</v>
      </c>
      <c r="CM1086" s="236" t="s">
        <v>316</v>
      </c>
      <c r="CR1086" s="340">
        <v>106.09</v>
      </c>
      <c r="CS1086" s="340" t="s">
        <v>289</v>
      </c>
      <c r="CT1086" s="1384"/>
      <c r="DF1086" s="340">
        <v>302.01</v>
      </c>
      <c r="DG1086" s="340" t="s">
        <v>323</v>
      </c>
      <c r="DV1086" s="340">
        <v>108.2</v>
      </c>
      <c r="DW1086" s="340" t="s">
        <v>316</v>
      </c>
      <c r="DX1086" s="1671"/>
    </row>
    <row r="1087" spans="12:128">
      <c r="L1087" s="2481">
        <v>401.08</v>
      </c>
      <c r="M1087" s="340" t="s">
        <v>323</v>
      </c>
      <c r="N1087" s="1390"/>
      <c r="O1087" s="2479"/>
      <c r="P1087" s="2282"/>
      <c r="AG1087" s="2297">
        <v>108.2</v>
      </c>
      <c r="AH1087" s="2297" t="s">
        <v>346</v>
      </c>
      <c r="AI1087" s="1390"/>
      <c r="AJ1087" s="2282"/>
      <c r="AK1087" s="2282"/>
      <c r="AL1087" s="1037"/>
      <c r="AX1087" s="340">
        <v>19.190000000000001</v>
      </c>
      <c r="AY1087" s="340" t="s">
        <v>323</v>
      </c>
      <c r="BN1087" s="340">
        <v>106.04</v>
      </c>
      <c r="BO1087" s="340" t="s">
        <v>331</v>
      </c>
      <c r="BP1087" s="1385"/>
      <c r="BV1087" s="236">
        <v>147.02000000000001</v>
      </c>
      <c r="BW1087" s="236" t="s">
        <v>302</v>
      </c>
      <c r="CB1087" s="340">
        <v>18.02</v>
      </c>
      <c r="CC1087" s="340" t="s">
        <v>323</v>
      </c>
      <c r="CL1087" s="236">
        <v>43</v>
      </c>
      <c r="CM1087" s="236" t="s">
        <v>340</v>
      </c>
      <c r="CR1087" s="340">
        <v>106.1</v>
      </c>
      <c r="CS1087" s="340" t="s">
        <v>331</v>
      </c>
      <c r="CT1087" s="1384"/>
      <c r="DF1087" s="340">
        <v>302.05</v>
      </c>
      <c r="DG1087" s="340" t="s">
        <v>323</v>
      </c>
      <c r="DV1087" s="340">
        <v>108.2</v>
      </c>
      <c r="DW1087" s="340" t="s">
        <v>346</v>
      </c>
      <c r="DX1087" s="1671"/>
    </row>
    <row r="1088" spans="12:128">
      <c r="L1088" s="2481">
        <v>401.1</v>
      </c>
      <c r="M1088" s="340" t="s">
        <v>323</v>
      </c>
      <c r="N1088" s="1390"/>
      <c r="O1088" s="2479"/>
      <c r="P1088" s="2282"/>
      <c r="AG1088" s="2297">
        <v>108.21</v>
      </c>
      <c r="AH1088" s="2297" t="s">
        <v>346</v>
      </c>
      <c r="AI1088" s="1390"/>
      <c r="AJ1088" s="2282"/>
      <c r="AK1088" s="2282"/>
      <c r="AL1088" s="1037"/>
      <c r="AX1088" s="340">
        <v>19.2</v>
      </c>
      <c r="AY1088" s="340" t="s">
        <v>323</v>
      </c>
      <c r="BN1088" s="340">
        <v>106.04</v>
      </c>
      <c r="BO1088" s="340" t="s">
        <v>344</v>
      </c>
      <c r="BP1088" s="1385"/>
      <c r="BV1088" s="236">
        <v>147.03</v>
      </c>
      <c r="BW1088" s="236" t="s">
        <v>302</v>
      </c>
      <c r="CB1088" s="340">
        <v>19.03</v>
      </c>
      <c r="CC1088" s="340" t="s">
        <v>323</v>
      </c>
      <c r="CL1088" s="236">
        <v>43.01</v>
      </c>
      <c r="CM1088" s="236" t="s">
        <v>331</v>
      </c>
      <c r="CR1088" s="340">
        <v>106.11</v>
      </c>
      <c r="CS1088" s="340" t="s">
        <v>289</v>
      </c>
      <c r="CT1088" s="1384"/>
      <c r="DF1088" s="340">
        <v>303</v>
      </c>
      <c r="DG1088" s="340" t="s">
        <v>323</v>
      </c>
      <c r="DV1088" s="340">
        <v>108.22</v>
      </c>
      <c r="DW1088" s="340" t="s">
        <v>346</v>
      </c>
      <c r="DX1088" s="1671"/>
    </row>
    <row r="1089" spans="12:128">
      <c r="L1089" s="2481">
        <v>401.11</v>
      </c>
      <c r="M1089" s="340" t="s">
        <v>323</v>
      </c>
      <c r="N1089" s="1390"/>
      <c r="O1089" s="2479"/>
      <c r="P1089" s="2282"/>
      <c r="AG1089" s="2297">
        <v>108.22</v>
      </c>
      <c r="AH1089" s="2297" t="s">
        <v>346</v>
      </c>
      <c r="AI1089" s="1390"/>
      <c r="AJ1089" s="2282"/>
      <c r="AK1089" s="2282"/>
      <c r="AL1089" s="1037"/>
      <c r="AX1089" s="340">
        <v>19.21</v>
      </c>
      <c r="AY1089" s="340" t="s">
        <v>323</v>
      </c>
      <c r="BN1089" s="340">
        <v>106.05</v>
      </c>
      <c r="BO1089" s="340" t="s">
        <v>289</v>
      </c>
      <c r="BP1089" s="1385"/>
      <c r="BV1089" s="236">
        <v>147.04</v>
      </c>
      <c r="BW1089" s="236" t="s">
        <v>302</v>
      </c>
      <c r="CB1089" s="340">
        <v>19.079999999999998</v>
      </c>
      <c r="CC1089" s="340" t="s">
        <v>323</v>
      </c>
      <c r="CL1089" s="236">
        <v>43.03</v>
      </c>
      <c r="CM1089" s="236" t="s">
        <v>331</v>
      </c>
      <c r="CR1089" s="340">
        <v>106.12</v>
      </c>
      <c r="CS1089" s="340" t="s">
        <v>289</v>
      </c>
      <c r="CT1089" s="1384"/>
      <c r="DF1089" s="340">
        <v>401.08</v>
      </c>
      <c r="DG1089" s="340" t="s">
        <v>323</v>
      </c>
      <c r="DV1089" s="340">
        <v>108.24</v>
      </c>
      <c r="DW1089" s="340" t="s">
        <v>346</v>
      </c>
      <c r="DX1089" s="1671"/>
    </row>
    <row r="1090" spans="12:128">
      <c r="L1090" s="2481">
        <v>401.13</v>
      </c>
      <c r="M1090" s="340" t="s">
        <v>323</v>
      </c>
      <c r="N1090" s="1390"/>
      <c r="O1090" s="2479"/>
      <c r="P1090" s="2282"/>
      <c r="AG1090" s="2297">
        <v>108.23</v>
      </c>
      <c r="AH1090" s="2297" t="s">
        <v>346</v>
      </c>
      <c r="AI1090" s="1390"/>
      <c r="AJ1090" s="2282"/>
      <c r="AK1090" s="2282"/>
      <c r="AL1090" s="1037"/>
      <c r="AX1090" s="340">
        <v>19.23</v>
      </c>
      <c r="AY1090" s="340" t="s">
        <v>323</v>
      </c>
      <c r="BN1090" s="340">
        <v>106.06</v>
      </c>
      <c r="BO1090" s="340" t="s">
        <v>289</v>
      </c>
      <c r="BP1090" s="1385"/>
      <c r="BV1090" s="236">
        <v>148</v>
      </c>
      <c r="BW1090" s="236" t="s">
        <v>302</v>
      </c>
      <c r="CB1090" s="340">
        <v>19.100000000000001</v>
      </c>
      <c r="CC1090" s="340" t="s">
        <v>323</v>
      </c>
      <c r="CL1090" s="236">
        <v>43.04</v>
      </c>
      <c r="CM1090" s="236" t="s">
        <v>331</v>
      </c>
      <c r="CR1090" s="340">
        <v>106.13</v>
      </c>
      <c r="CS1090" s="340" t="s">
        <v>289</v>
      </c>
      <c r="CT1090" s="1384"/>
      <c r="DF1090" s="340">
        <v>401.1</v>
      </c>
      <c r="DG1090" s="340" t="s">
        <v>323</v>
      </c>
      <c r="DV1090" s="340">
        <v>108.25</v>
      </c>
      <c r="DW1090" s="340" t="s">
        <v>346</v>
      </c>
      <c r="DX1090" s="1671"/>
    </row>
    <row r="1091" spans="12:128">
      <c r="L1091" s="2481">
        <v>401.17</v>
      </c>
      <c r="M1091" s="340" t="s">
        <v>323</v>
      </c>
      <c r="N1091" s="1390"/>
      <c r="O1091" s="2479"/>
      <c r="P1091" s="2282"/>
      <c r="AG1091" s="2297">
        <v>108.24</v>
      </c>
      <c r="AH1091" s="2297" t="s">
        <v>346</v>
      </c>
      <c r="AI1091" s="1390"/>
      <c r="AJ1091" s="2282"/>
      <c r="AK1091" s="2282"/>
      <c r="AL1091" s="1037"/>
      <c r="AX1091" s="340">
        <v>101.04</v>
      </c>
      <c r="AY1091" s="340" t="s">
        <v>323</v>
      </c>
      <c r="BN1091" s="340">
        <v>106.08</v>
      </c>
      <c r="BO1091" s="340" t="s">
        <v>331</v>
      </c>
      <c r="BP1091" s="1385"/>
      <c r="BV1091" s="236">
        <v>149.01</v>
      </c>
      <c r="BW1091" s="236" t="s">
        <v>302</v>
      </c>
      <c r="CB1091" s="340">
        <v>19.11</v>
      </c>
      <c r="CC1091" s="340" t="s">
        <v>323</v>
      </c>
      <c r="CL1091" s="236">
        <v>44</v>
      </c>
      <c r="CM1091" s="236" t="s">
        <v>316</v>
      </c>
      <c r="CR1091" s="340">
        <v>106.15</v>
      </c>
      <c r="CS1091" s="340" t="s">
        <v>289</v>
      </c>
      <c r="CT1091" s="1384"/>
      <c r="DF1091" s="340">
        <v>401.11</v>
      </c>
      <c r="DG1091" s="340" t="s">
        <v>323</v>
      </c>
      <c r="DV1091" s="340">
        <v>108.27</v>
      </c>
      <c r="DW1091" s="340" t="s">
        <v>346</v>
      </c>
      <c r="DX1091" s="1671"/>
    </row>
    <row r="1092" spans="12:128">
      <c r="L1092" s="2481">
        <v>401.18</v>
      </c>
      <c r="M1092" s="340" t="s">
        <v>323</v>
      </c>
      <c r="N1092" s="1390"/>
      <c r="O1092" s="2479"/>
      <c r="P1092" s="2282"/>
      <c r="AG1092" s="2297">
        <v>108.25</v>
      </c>
      <c r="AH1092" s="2297" t="s">
        <v>346</v>
      </c>
      <c r="AI1092" s="1390"/>
      <c r="AJ1092" s="2282"/>
      <c r="AK1092" s="2282"/>
      <c r="AL1092" s="1037"/>
      <c r="AX1092" s="340">
        <v>101.07</v>
      </c>
      <c r="AY1092" s="340" t="s">
        <v>323</v>
      </c>
      <c r="BN1092" s="340">
        <v>106.09</v>
      </c>
      <c r="BO1092" s="340" t="s">
        <v>289</v>
      </c>
      <c r="BP1092" s="1385"/>
      <c r="BV1092" s="236">
        <v>149.02000000000001</v>
      </c>
      <c r="BW1092" s="236" t="s">
        <v>302</v>
      </c>
      <c r="CB1092" s="340">
        <v>19.149999999999999</v>
      </c>
      <c r="CC1092" s="340" t="s">
        <v>323</v>
      </c>
      <c r="CL1092" s="236">
        <v>44.01</v>
      </c>
      <c r="CM1092" s="236" t="s">
        <v>340</v>
      </c>
      <c r="CR1092" s="340">
        <v>106.18</v>
      </c>
      <c r="CS1092" s="340" t="s">
        <v>331</v>
      </c>
      <c r="CT1092" s="1384"/>
      <c r="DF1092" s="340">
        <v>401.13</v>
      </c>
      <c r="DG1092" s="340" t="s">
        <v>323</v>
      </c>
      <c r="DV1092" s="340">
        <v>108.28</v>
      </c>
      <c r="DW1092" s="340" t="s">
        <v>346</v>
      </c>
      <c r="DX1092" s="1671"/>
    </row>
    <row r="1093" spans="12:128">
      <c r="L1093" s="2481">
        <v>401.2</v>
      </c>
      <c r="M1093" s="340" t="s">
        <v>323</v>
      </c>
      <c r="N1093" s="1390"/>
      <c r="O1093" s="2479"/>
      <c r="P1093" s="2282"/>
      <c r="AG1093" s="2297">
        <v>108.27</v>
      </c>
      <c r="AH1093" s="2297" t="s">
        <v>346</v>
      </c>
      <c r="AI1093" s="1390"/>
      <c r="AJ1093" s="2282"/>
      <c r="AK1093" s="2282"/>
      <c r="AL1093" s="1037"/>
      <c r="AX1093" s="340">
        <v>101.08</v>
      </c>
      <c r="AY1093" s="340" t="s">
        <v>323</v>
      </c>
      <c r="BN1093" s="340">
        <v>106.1</v>
      </c>
      <c r="BO1093" s="340" t="s">
        <v>289</v>
      </c>
      <c r="BP1093" s="1385"/>
      <c r="BV1093" s="236">
        <v>150.01</v>
      </c>
      <c r="BW1093" s="236" t="s">
        <v>302</v>
      </c>
      <c r="CB1093" s="340">
        <v>19.16</v>
      </c>
      <c r="CC1093" s="340" t="s">
        <v>323</v>
      </c>
      <c r="CL1093" s="236">
        <v>44.02</v>
      </c>
      <c r="CM1093" s="236" t="s">
        <v>340</v>
      </c>
      <c r="CR1093" s="340">
        <v>106.19</v>
      </c>
      <c r="CS1093" s="340" t="s">
        <v>331</v>
      </c>
      <c r="CT1093" s="1384"/>
      <c r="DF1093" s="340">
        <v>401.17</v>
      </c>
      <c r="DG1093" s="340" t="s">
        <v>323</v>
      </c>
      <c r="DV1093" s="340">
        <v>109</v>
      </c>
      <c r="DW1093" s="340" t="s">
        <v>346</v>
      </c>
      <c r="DX1093" s="1671"/>
    </row>
    <row r="1094" spans="12:128">
      <c r="L1094" s="2481">
        <v>401.23</v>
      </c>
      <c r="M1094" s="340" t="s">
        <v>323</v>
      </c>
      <c r="N1094" s="1390"/>
      <c r="O1094" s="2479"/>
      <c r="P1094" s="2282"/>
      <c r="AG1094" s="2297">
        <v>108.28</v>
      </c>
      <c r="AH1094" s="2297" t="s">
        <v>346</v>
      </c>
      <c r="AI1094" s="1390"/>
      <c r="AJ1094" s="2282"/>
      <c r="AK1094" s="2282"/>
      <c r="AL1094" s="1037"/>
      <c r="AX1094" s="340">
        <v>101.09</v>
      </c>
      <c r="AY1094" s="340" t="s">
        <v>323</v>
      </c>
      <c r="BN1094" s="340">
        <v>106.1</v>
      </c>
      <c r="BO1094" s="340" t="s">
        <v>331</v>
      </c>
      <c r="BP1094" s="1385"/>
      <c r="BV1094" s="236">
        <v>150.02000000000001</v>
      </c>
      <c r="BW1094" s="236" t="s">
        <v>302</v>
      </c>
      <c r="CB1094" s="340">
        <v>19.190000000000001</v>
      </c>
      <c r="CC1094" s="340" t="s">
        <v>323</v>
      </c>
      <c r="CL1094" s="236">
        <v>44.03</v>
      </c>
      <c r="CM1094" s="236" t="s">
        <v>331</v>
      </c>
      <c r="CR1094" s="340">
        <v>106.2</v>
      </c>
      <c r="CS1094" s="340" t="s">
        <v>331</v>
      </c>
      <c r="CT1094" s="1384"/>
      <c r="DF1094" s="340">
        <v>401.18</v>
      </c>
      <c r="DG1094" s="340" t="s">
        <v>323</v>
      </c>
      <c r="DV1094" s="340">
        <v>109.01</v>
      </c>
      <c r="DW1094" s="340" t="s">
        <v>289</v>
      </c>
      <c r="DX1094" s="1671"/>
    </row>
    <row r="1095" spans="12:128">
      <c r="L1095" s="2481">
        <v>401.24</v>
      </c>
      <c r="M1095" s="340" t="s">
        <v>323</v>
      </c>
      <c r="N1095" s="1390"/>
      <c r="O1095" s="2479"/>
      <c r="P1095" s="2282"/>
      <c r="AG1095" s="2297">
        <v>109</v>
      </c>
      <c r="AH1095" s="2297" t="s">
        <v>346</v>
      </c>
      <c r="AI1095" s="1390"/>
      <c r="AJ1095" s="2282"/>
      <c r="AK1095" s="2282"/>
      <c r="AL1095" s="1037"/>
      <c r="AX1095" s="340">
        <v>101.1</v>
      </c>
      <c r="AY1095" s="340" t="s">
        <v>323</v>
      </c>
      <c r="BN1095" s="340">
        <v>106.11</v>
      </c>
      <c r="BO1095" s="340" t="s">
        <v>289</v>
      </c>
      <c r="BP1095" s="1385"/>
      <c r="BV1095" s="236">
        <v>151</v>
      </c>
      <c r="BW1095" s="236" t="s">
        <v>302</v>
      </c>
      <c r="CB1095" s="340">
        <v>19.2</v>
      </c>
      <c r="CC1095" s="340" t="s">
        <v>323</v>
      </c>
      <c r="CL1095" s="236">
        <v>44.04</v>
      </c>
      <c r="CM1095" s="236" t="s">
        <v>331</v>
      </c>
      <c r="CR1095" s="340">
        <v>106.23</v>
      </c>
      <c r="CS1095" s="340" t="s">
        <v>331</v>
      </c>
      <c r="CT1095" s="1384"/>
      <c r="DF1095" s="340">
        <v>401.2</v>
      </c>
      <c r="DG1095" s="340" t="s">
        <v>323</v>
      </c>
      <c r="DV1095" s="340">
        <v>109.02</v>
      </c>
      <c r="DW1095" s="340" t="s">
        <v>289</v>
      </c>
      <c r="DX1095" s="1671"/>
    </row>
    <row r="1096" spans="12:128">
      <c r="L1096" s="2481">
        <v>401.25</v>
      </c>
      <c r="M1096" s="340" t="s">
        <v>323</v>
      </c>
      <c r="N1096" s="1390"/>
      <c r="O1096" s="2479"/>
      <c r="P1096" s="2282"/>
      <c r="AG1096" s="2297">
        <v>109.01</v>
      </c>
      <c r="AH1096" s="2297" t="s">
        <v>289</v>
      </c>
      <c r="AI1096" s="1390"/>
      <c r="AJ1096" s="2282"/>
      <c r="AK1096" s="2282"/>
      <c r="AL1096" s="1037"/>
      <c r="AX1096" s="340">
        <v>102.05</v>
      </c>
      <c r="AY1096" s="340" t="s">
        <v>323</v>
      </c>
      <c r="BN1096" s="340">
        <v>106.12</v>
      </c>
      <c r="BO1096" s="340" t="s">
        <v>289</v>
      </c>
      <c r="BP1096" s="1385"/>
      <c r="BV1096" s="236">
        <v>152</v>
      </c>
      <c r="BW1096" s="236" t="s">
        <v>302</v>
      </c>
      <c r="CB1096" s="340">
        <v>19.21</v>
      </c>
      <c r="CC1096" s="340" t="s">
        <v>323</v>
      </c>
      <c r="CL1096" s="236">
        <v>44.05</v>
      </c>
      <c r="CM1096" s="236" t="s">
        <v>331</v>
      </c>
      <c r="CR1096" s="340">
        <v>106.24</v>
      </c>
      <c r="CS1096" s="340" t="s">
        <v>331</v>
      </c>
      <c r="CT1096" s="1384"/>
      <c r="DF1096" s="340">
        <v>401.23</v>
      </c>
      <c r="DG1096" s="340" t="s">
        <v>323</v>
      </c>
      <c r="DV1096" s="340">
        <v>109.02</v>
      </c>
      <c r="DW1096" s="340" t="s">
        <v>297</v>
      </c>
      <c r="DX1096" s="1671"/>
    </row>
    <row r="1097" spans="12:128">
      <c r="L1097" s="2481">
        <v>401.26</v>
      </c>
      <c r="M1097" s="340" t="s">
        <v>323</v>
      </c>
      <c r="N1097" s="1390"/>
      <c r="O1097" s="2479"/>
      <c r="P1097" s="2282"/>
      <c r="AG1097" s="2297">
        <v>109.02</v>
      </c>
      <c r="AH1097" s="2297" t="s">
        <v>289</v>
      </c>
      <c r="AI1097" s="1390"/>
      <c r="AJ1097" s="2282"/>
      <c r="AK1097" s="2282"/>
      <c r="AL1097" s="1037"/>
      <c r="AX1097" s="340">
        <v>102.1</v>
      </c>
      <c r="AY1097" s="340" t="s">
        <v>323</v>
      </c>
      <c r="BN1097" s="340">
        <v>106.13</v>
      </c>
      <c r="BO1097" s="340" t="s">
        <v>289</v>
      </c>
      <c r="BP1097" s="1385"/>
      <c r="BV1097" s="236">
        <v>153</v>
      </c>
      <c r="BW1097" s="236" t="s">
        <v>302</v>
      </c>
      <c r="CB1097" s="340">
        <v>19.23</v>
      </c>
      <c r="CC1097" s="340" t="s">
        <v>323</v>
      </c>
      <c r="CL1097" s="236">
        <v>44.06</v>
      </c>
      <c r="CM1097" s="236" t="s">
        <v>331</v>
      </c>
      <c r="CR1097" s="340">
        <v>106.25</v>
      </c>
      <c r="CS1097" s="340" t="s">
        <v>331</v>
      </c>
      <c r="CT1097" s="1384"/>
      <c r="DF1097" s="340">
        <v>401.24</v>
      </c>
      <c r="DG1097" s="340" t="s">
        <v>323</v>
      </c>
      <c r="DV1097" s="340">
        <v>109.05</v>
      </c>
      <c r="DW1097" s="340" t="s">
        <v>297</v>
      </c>
      <c r="DX1097" s="1671"/>
    </row>
    <row r="1098" spans="12:128">
      <c r="L1098" s="2481">
        <v>401.27</v>
      </c>
      <c r="M1098" s="340" t="s">
        <v>323</v>
      </c>
      <c r="N1098" s="1390"/>
      <c r="O1098" s="2479"/>
      <c r="P1098" s="2282"/>
      <c r="AG1098" s="2297">
        <v>109.02</v>
      </c>
      <c r="AH1098" s="2297" t="s">
        <v>297</v>
      </c>
      <c r="AI1098" s="1390"/>
      <c r="AJ1098" s="2282"/>
      <c r="AK1098" s="2282"/>
      <c r="AL1098" s="1037"/>
      <c r="AX1098" s="340">
        <v>103.03</v>
      </c>
      <c r="AY1098" s="340" t="s">
        <v>323</v>
      </c>
      <c r="BN1098" s="340">
        <v>106.13</v>
      </c>
      <c r="BO1098" s="340" t="s">
        <v>331</v>
      </c>
      <c r="BP1098" s="1385"/>
      <c r="BV1098" s="236">
        <v>154</v>
      </c>
      <c r="BW1098" s="236" t="s">
        <v>302</v>
      </c>
      <c r="CB1098" s="340">
        <v>101.04</v>
      </c>
      <c r="CC1098" s="340" t="s">
        <v>323</v>
      </c>
      <c r="CL1098" s="236">
        <v>45</v>
      </c>
      <c r="CM1098" s="236" t="s">
        <v>316</v>
      </c>
      <c r="CR1098" s="340">
        <v>107.01</v>
      </c>
      <c r="CS1098" s="340" t="s">
        <v>316</v>
      </c>
      <c r="CT1098" s="1384"/>
      <c r="DF1098" s="340">
        <v>401.25</v>
      </c>
      <c r="DG1098" s="340" t="s">
        <v>323</v>
      </c>
      <c r="DV1098" s="340">
        <v>109.06</v>
      </c>
      <c r="DW1098" s="340" t="s">
        <v>297</v>
      </c>
      <c r="DX1098" s="1671"/>
    </row>
    <row r="1099" spans="12:128">
      <c r="L1099" s="2481">
        <v>401.28</v>
      </c>
      <c r="M1099" s="340" t="s">
        <v>323</v>
      </c>
      <c r="N1099" s="1390"/>
      <c r="O1099" s="2479"/>
      <c r="P1099" s="2282"/>
      <c r="AG1099" s="2297">
        <v>109.05</v>
      </c>
      <c r="AH1099" s="2297" t="s">
        <v>297</v>
      </c>
      <c r="AI1099" s="1390"/>
      <c r="AJ1099" s="2282"/>
      <c r="AK1099" s="2282"/>
      <c r="AL1099" s="1037"/>
      <c r="AX1099" s="340">
        <v>103.05</v>
      </c>
      <c r="AY1099" s="340" t="s">
        <v>323</v>
      </c>
      <c r="BN1099" s="340">
        <v>106.14</v>
      </c>
      <c r="BO1099" s="340" t="s">
        <v>289</v>
      </c>
      <c r="BP1099" s="1385"/>
      <c r="BV1099" s="236">
        <v>155.01</v>
      </c>
      <c r="BW1099" s="236" t="s">
        <v>302</v>
      </c>
      <c r="CB1099" s="340">
        <v>101.06</v>
      </c>
      <c r="CC1099" s="340" t="s">
        <v>323</v>
      </c>
      <c r="CL1099" s="236">
        <v>45</v>
      </c>
      <c r="CM1099" s="236" t="s">
        <v>331</v>
      </c>
      <c r="CR1099" s="340">
        <v>107.01</v>
      </c>
      <c r="CS1099" s="340" t="s">
        <v>323</v>
      </c>
      <c r="CT1099" s="1384"/>
      <c r="DF1099" s="340">
        <v>401.26</v>
      </c>
      <c r="DG1099" s="340" t="s">
        <v>323</v>
      </c>
      <c r="DV1099" s="340">
        <v>109.07</v>
      </c>
      <c r="DW1099" s="340" t="s">
        <v>297</v>
      </c>
      <c r="DX1099" s="1671"/>
    </row>
    <row r="1100" spans="12:128">
      <c r="L1100" s="2481">
        <v>401.29</v>
      </c>
      <c r="M1100" s="340" t="s">
        <v>323</v>
      </c>
      <c r="N1100" s="1390"/>
      <c r="O1100" s="2479"/>
      <c r="P1100" s="2282"/>
      <c r="AG1100" s="2297">
        <v>109.06</v>
      </c>
      <c r="AH1100" s="2297" t="s">
        <v>297</v>
      </c>
      <c r="AI1100" s="1390"/>
      <c r="AJ1100" s="2282"/>
      <c r="AK1100" s="2282"/>
      <c r="AL1100" s="1037"/>
      <c r="AX1100" s="340">
        <v>103.07</v>
      </c>
      <c r="AY1100" s="340" t="s">
        <v>323</v>
      </c>
      <c r="BN1100" s="340">
        <v>106.15</v>
      </c>
      <c r="BO1100" s="340" t="s">
        <v>289</v>
      </c>
      <c r="BP1100" s="1385"/>
      <c r="BV1100" s="236">
        <v>155.02000000000001</v>
      </c>
      <c r="BW1100" s="236" t="s">
        <v>302</v>
      </c>
      <c r="CB1100" s="340">
        <v>101.07</v>
      </c>
      <c r="CC1100" s="340" t="s">
        <v>323</v>
      </c>
      <c r="CL1100" s="236">
        <v>45</v>
      </c>
      <c r="CM1100" s="236" t="s">
        <v>340</v>
      </c>
      <c r="CR1100" s="340">
        <v>107.01</v>
      </c>
      <c r="CS1100" s="340" t="s">
        <v>344</v>
      </c>
      <c r="CT1100" s="1384"/>
      <c r="DF1100" s="340">
        <v>401.28</v>
      </c>
      <c r="DG1100" s="340" t="s">
        <v>323</v>
      </c>
      <c r="DV1100" s="340">
        <v>110</v>
      </c>
      <c r="DW1100" s="340" t="s">
        <v>289</v>
      </c>
      <c r="DX1100" s="1671"/>
    </row>
    <row r="1101" spans="12:128">
      <c r="L1101" s="2481">
        <v>401.3</v>
      </c>
      <c r="M1101" s="340" t="s">
        <v>323</v>
      </c>
      <c r="N1101" s="1390"/>
      <c r="O1101" s="2479"/>
      <c r="P1101" s="2282"/>
      <c r="AG1101" s="2297">
        <v>109.07</v>
      </c>
      <c r="AH1101" s="2297" t="s">
        <v>297</v>
      </c>
      <c r="AI1101" s="1390"/>
      <c r="AJ1101" s="2282"/>
      <c r="AK1101" s="2282"/>
      <c r="AL1101" s="1037"/>
      <c r="AX1101" s="340">
        <v>103.08</v>
      </c>
      <c r="AY1101" s="340" t="s">
        <v>323</v>
      </c>
      <c r="BN1101" s="340">
        <v>106.18</v>
      </c>
      <c r="BO1101" s="340" t="s">
        <v>331</v>
      </c>
      <c r="BP1101" s="1385"/>
      <c r="BV1101" s="236">
        <v>156</v>
      </c>
      <c r="BW1101" s="236" t="s">
        <v>302</v>
      </c>
      <c r="CB1101" s="340">
        <v>101.08</v>
      </c>
      <c r="CC1101" s="340" t="s">
        <v>323</v>
      </c>
      <c r="CL1101" s="236">
        <v>46.01</v>
      </c>
      <c r="CM1101" s="236" t="s">
        <v>316</v>
      </c>
      <c r="CR1101" s="340">
        <v>107.02</v>
      </c>
      <c r="CS1101" s="340" t="s">
        <v>316</v>
      </c>
      <c r="CT1101" s="1384"/>
      <c r="DF1101" s="340">
        <v>401.29</v>
      </c>
      <c r="DG1101" s="340" t="s">
        <v>323</v>
      </c>
      <c r="DV1101" s="340">
        <v>110</v>
      </c>
      <c r="DW1101" s="340" t="s">
        <v>338</v>
      </c>
      <c r="DX1101" s="1671"/>
    </row>
    <row r="1102" spans="12:128">
      <c r="L1102" s="2481">
        <v>401.31</v>
      </c>
      <c r="M1102" s="340" t="s">
        <v>323</v>
      </c>
      <c r="N1102" s="1390"/>
      <c r="O1102" s="2479"/>
      <c r="P1102" s="2282"/>
      <c r="AG1102" s="2297">
        <v>110</v>
      </c>
      <c r="AH1102" s="2297" t="s">
        <v>289</v>
      </c>
      <c r="AI1102" s="1390"/>
      <c r="AJ1102" s="2282"/>
      <c r="AK1102" s="2282"/>
      <c r="AL1102" s="1037"/>
      <c r="AX1102" s="340">
        <v>103.09</v>
      </c>
      <c r="AY1102" s="340" t="s">
        <v>323</v>
      </c>
      <c r="BN1102" s="340">
        <v>106.19</v>
      </c>
      <c r="BO1102" s="340" t="s">
        <v>331</v>
      </c>
      <c r="BP1102" s="1385"/>
      <c r="BV1102" s="236">
        <v>157.01</v>
      </c>
      <c r="BW1102" s="236" t="s">
        <v>302</v>
      </c>
      <c r="CB1102" s="340">
        <v>101.09</v>
      </c>
      <c r="CC1102" s="340" t="s">
        <v>323</v>
      </c>
      <c r="CL1102" s="236">
        <v>46.01</v>
      </c>
      <c r="CM1102" s="236" t="s">
        <v>340</v>
      </c>
      <c r="CR1102" s="340">
        <v>107.02</v>
      </c>
      <c r="CS1102" s="340" t="s">
        <v>323</v>
      </c>
      <c r="CT1102" s="1384"/>
      <c r="DF1102" s="340">
        <v>401.3</v>
      </c>
      <c r="DG1102" s="340" t="s">
        <v>323</v>
      </c>
      <c r="DV1102" s="340">
        <v>110.03</v>
      </c>
      <c r="DW1102" s="340" t="s">
        <v>297</v>
      </c>
      <c r="DX1102" s="1671"/>
    </row>
    <row r="1103" spans="12:128">
      <c r="L1103" s="2481">
        <v>401.32</v>
      </c>
      <c r="M1103" s="340" t="s">
        <v>323</v>
      </c>
      <c r="N1103" s="1390"/>
      <c r="O1103" s="2479"/>
      <c r="P1103" s="2282"/>
      <c r="AG1103" s="2297">
        <v>110</v>
      </c>
      <c r="AH1103" s="2297" t="s">
        <v>338</v>
      </c>
      <c r="AI1103" s="1390"/>
      <c r="AJ1103" s="2282"/>
      <c r="AK1103" s="2282"/>
      <c r="AL1103" s="1037"/>
      <c r="AX1103" s="340">
        <v>104.11</v>
      </c>
      <c r="AY1103" s="340" t="s">
        <v>323</v>
      </c>
      <c r="BN1103" s="340">
        <v>106.21</v>
      </c>
      <c r="BO1103" s="340" t="s">
        <v>331</v>
      </c>
      <c r="BP1103" s="1385"/>
      <c r="BV1103" s="236">
        <v>157.02000000000001</v>
      </c>
      <c r="BW1103" s="236" t="s">
        <v>302</v>
      </c>
      <c r="CB1103" s="340">
        <v>101.1</v>
      </c>
      <c r="CC1103" s="340" t="s">
        <v>323</v>
      </c>
      <c r="CL1103" s="236">
        <v>46.02</v>
      </c>
      <c r="CM1103" s="236" t="s">
        <v>316</v>
      </c>
      <c r="CR1103" s="340">
        <v>107.02</v>
      </c>
      <c r="CS1103" s="340" t="s">
        <v>344</v>
      </c>
      <c r="CT1103" s="1384"/>
      <c r="DF1103" s="340">
        <v>401.31</v>
      </c>
      <c r="DG1103" s="340" t="s">
        <v>323</v>
      </c>
      <c r="DV1103" s="340">
        <v>110.03</v>
      </c>
      <c r="DW1103" s="340" t="s">
        <v>331</v>
      </c>
      <c r="DX1103" s="1671"/>
    </row>
    <row r="1104" spans="12:128">
      <c r="L1104" s="2481">
        <v>401.33</v>
      </c>
      <c r="M1104" s="340" t="s">
        <v>323</v>
      </c>
      <c r="N1104" s="1390"/>
      <c r="O1104" s="2479"/>
      <c r="P1104" s="2282"/>
      <c r="AG1104" s="2297">
        <v>110.03</v>
      </c>
      <c r="AH1104" s="2297" t="s">
        <v>297</v>
      </c>
      <c r="AI1104" s="1390"/>
      <c r="AJ1104" s="2282"/>
      <c r="AK1104" s="2282"/>
      <c r="AL1104" s="1037"/>
      <c r="AX1104" s="340">
        <v>104.12</v>
      </c>
      <c r="AY1104" s="340" t="s">
        <v>323</v>
      </c>
      <c r="BN1104" s="340">
        <v>106.22</v>
      </c>
      <c r="BO1104" s="340" t="s">
        <v>331</v>
      </c>
      <c r="BP1104" s="1385"/>
      <c r="BV1104" s="236">
        <v>158.03</v>
      </c>
      <c r="BW1104" s="236" t="s">
        <v>302</v>
      </c>
      <c r="CB1104" s="340">
        <v>101.11</v>
      </c>
      <c r="CC1104" s="340" t="s">
        <v>323</v>
      </c>
      <c r="CL1104" s="236">
        <v>46.02</v>
      </c>
      <c r="CM1104" s="236" t="s">
        <v>331</v>
      </c>
      <c r="CR1104" s="340">
        <v>107.04</v>
      </c>
      <c r="CS1104" s="340" t="s">
        <v>346</v>
      </c>
      <c r="CT1104" s="1384"/>
      <c r="DF1104" s="340">
        <v>401.32</v>
      </c>
      <c r="DG1104" s="340" t="s">
        <v>323</v>
      </c>
      <c r="DV1104" s="340">
        <v>110.05</v>
      </c>
      <c r="DW1104" s="340" t="s">
        <v>316</v>
      </c>
      <c r="DX1104" s="1671"/>
    </row>
    <row r="1105" spans="12:128">
      <c r="L1105" s="2481">
        <v>401.34</v>
      </c>
      <c r="M1105" s="340" t="s">
        <v>323</v>
      </c>
      <c r="N1105" s="1390"/>
      <c r="O1105" s="2479"/>
      <c r="P1105" s="2282"/>
      <c r="AG1105" s="2297">
        <v>110.03</v>
      </c>
      <c r="AH1105" s="2297" t="s">
        <v>331</v>
      </c>
      <c r="AI1105" s="1390"/>
      <c r="AJ1105" s="2282"/>
      <c r="AK1105" s="2282"/>
      <c r="AL1105" s="1037"/>
      <c r="AX1105" s="340">
        <v>104.15</v>
      </c>
      <c r="AY1105" s="340" t="s">
        <v>323</v>
      </c>
      <c r="BN1105" s="340">
        <v>106.23</v>
      </c>
      <c r="BO1105" s="340" t="s">
        <v>331</v>
      </c>
      <c r="BP1105" s="1385"/>
      <c r="BV1105" s="236">
        <v>158.04</v>
      </c>
      <c r="BW1105" s="236" t="s">
        <v>302</v>
      </c>
      <c r="CB1105" s="340">
        <v>102.03</v>
      </c>
      <c r="CC1105" s="340" t="s">
        <v>323</v>
      </c>
      <c r="CL1105" s="236">
        <v>46.02</v>
      </c>
      <c r="CM1105" s="236" t="s">
        <v>340</v>
      </c>
      <c r="CR1105" s="340">
        <v>107.05</v>
      </c>
      <c r="CS1105" s="340" t="s">
        <v>331</v>
      </c>
      <c r="CT1105" s="1384"/>
      <c r="DF1105" s="340">
        <v>401.33</v>
      </c>
      <c r="DG1105" s="340" t="s">
        <v>323</v>
      </c>
      <c r="DV1105" s="340">
        <v>110.06</v>
      </c>
      <c r="DW1105" s="340" t="s">
        <v>316</v>
      </c>
      <c r="DX1105" s="1671"/>
    </row>
    <row r="1106" spans="12:128">
      <c r="L1106" s="2481">
        <v>401.35</v>
      </c>
      <c r="M1106" s="340" t="s">
        <v>323</v>
      </c>
      <c r="N1106" s="1390"/>
      <c r="O1106" s="2479"/>
      <c r="P1106" s="2282"/>
      <c r="AG1106" s="2297">
        <v>110.05</v>
      </c>
      <c r="AH1106" s="2297" t="s">
        <v>316</v>
      </c>
      <c r="AI1106" s="1390"/>
      <c r="AJ1106" s="2282"/>
      <c r="AK1106" s="2282"/>
      <c r="AL1106" s="1037"/>
      <c r="AX1106" s="340">
        <v>104.16</v>
      </c>
      <c r="AY1106" s="340" t="s">
        <v>323</v>
      </c>
      <c r="BN1106" s="340">
        <v>106.24</v>
      </c>
      <c r="BO1106" s="340" t="s">
        <v>331</v>
      </c>
      <c r="BP1106" s="1385"/>
      <c r="BV1106" s="236">
        <v>158.05000000000001</v>
      </c>
      <c r="BW1106" s="236" t="s">
        <v>302</v>
      </c>
      <c r="CB1106" s="340">
        <v>102.05</v>
      </c>
      <c r="CC1106" s="340" t="s">
        <v>323</v>
      </c>
      <c r="CL1106" s="236">
        <v>46.05</v>
      </c>
      <c r="CM1106" s="236" t="s">
        <v>331</v>
      </c>
      <c r="CR1106" s="340">
        <v>107.07</v>
      </c>
      <c r="CS1106" s="340" t="s">
        <v>346</v>
      </c>
      <c r="CT1106" s="1384"/>
      <c r="DF1106" s="340">
        <v>401.34</v>
      </c>
      <c r="DG1106" s="340" t="s">
        <v>323</v>
      </c>
      <c r="DV1106" s="340">
        <v>110.07</v>
      </c>
      <c r="DW1106" s="340" t="s">
        <v>316</v>
      </c>
      <c r="DX1106" s="1671"/>
    </row>
    <row r="1107" spans="12:128">
      <c r="L1107" s="2481">
        <v>401.36</v>
      </c>
      <c r="M1107" s="340" t="s">
        <v>323</v>
      </c>
      <c r="N1107" s="1390"/>
      <c r="O1107" s="2479"/>
      <c r="P1107" s="2282"/>
      <c r="AG1107" s="2297">
        <v>110.06</v>
      </c>
      <c r="AH1107" s="2297" t="s">
        <v>316</v>
      </c>
      <c r="AI1107" s="1390"/>
      <c r="AJ1107" s="2282"/>
      <c r="AK1107" s="2282"/>
      <c r="AL1107" s="1037"/>
      <c r="AX1107" s="340">
        <v>104.17</v>
      </c>
      <c r="AY1107" s="340" t="s">
        <v>323</v>
      </c>
      <c r="BN1107" s="340">
        <v>106.25</v>
      </c>
      <c r="BO1107" s="340" t="s">
        <v>331</v>
      </c>
      <c r="BP1107" s="1385"/>
      <c r="BV1107" s="236">
        <v>158.06</v>
      </c>
      <c r="BW1107" s="236" t="s">
        <v>302</v>
      </c>
      <c r="CB1107" s="340">
        <v>103.07</v>
      </c>
      <c r="CC1107" s="340" t="s">
        <v>323</v>
      </c>
      <c r="CL1107" s="236">
        <v>46.07</v>
      </c>
      <c r="CM1107" s="236" t="s">
        <v>331</v>
      </c>
      <c r="CR1107" s="340">
        <v>107.08</v>
      </c>
      <c r="CS1107" s="340" t="s">
        <v>331</v>
      </c>
      <c r="CT1107" s="1384"/>
      <c r="DF1107" s="340">
        <v>401.35</v>
      </c>
      <c r="DG1107" s="340" t="s">
        <v>323</v>
      </c>
      <c r="DV1107" s="340">
        <v>110.08</v>
      </c>
      <c r="DW1107" s="340" t="s">
        <v>316</v>
      </c>
      <c r="DX1107" s="1671"/>
    </row>
    <row r="1108" spans="12:128">
      <c r="L1108" s="2481">
        <v>401.37</v>
      </c>
      <c r="M1108" s="340" t="s">
        <v>323</v>
      </c>
      <c r="N1108" s="1390"/>
      <c r="O1108" s="2479"/>
      <c r="P1108" s="2282"/>
      <c r="AG1108" s="2297">
        <v>110.07</v>
      </c>
      <c r="AH1108" s="2297" t="s">
        <v>316</v>
      </c>
      <c r="AI1108" s="1390"/>
      <c r="AJ1108" s="2282"/>
      <c r="AK1108" s="2282"/>
      <c r="AL1108" s="1037"/>
      <c r="AX1108" s="340">
        <v>104.2</v>
      </c>
      <c r="AY1108" s="340" t="s">
        <v>323</v>
      </c>
      <c r="BN1108" s="340">
        <v>107.01</v>
      </c>
      <c r="BO1108" s="340" t="s">
        <v>316</v>
      </c>
      <c r="BP1108" s="1385"/>
      <c r="BV1108" s="236">
        <v>159.22</v>
      </c>
      <c r="BW1108" s="236" t="s">
        <v>302</v>
      </c>
      <c r="CB1108" s="340">
        <v>103.08</v>
      </c>
      <c r="CC1108" s="340" t="s">
        <v>323</v>
      </c>
      <c r="CL1108" s="236">
        <v>46.08</v>
      </c>
      <c r="CM1108" s="236" t="s">
        <v>331</v>
      </c>
      <c r="CR1108" s="340">
        <v>107.09</v>
      </c>
      <c r="CS1108" s="340" t="s">
        <v>331</v>
      </c>
      <c r="CT1108" s="1384"/>
      <c r="DF1108" s="340">
        <v>401.36</v>
      </c>
      <c r="DG1108" s="340" t="s">
        <v>323</v>
      </c>
      <c r="DV1108" s="340">
        <v>110.08</v>
      </c>
      <c r="DW1108" s="340" t="s">
        <v>331</v>
      </c>
      <c r="DX1108" s="1671"/>
    </row>
    <row r="1109" spans="12:128">
      <c r="L1109" s="2481">
        <v>401.38</v>
      </c>
      <c r="M1109" s="340" t="s">
        <v>323</v>
      </c>
      <c r="N1109" s="1390"/>
      <c r="O1109" s="2479"/>
      <c r="P1109" s="2282"/>
      <c r="AG1109" s="2297">
        <v>110.08</v>
      </c>
      <c r="AH1109" s="2297" t="s">
        <v>316</v>
      </c>
      <c r="AI1109" s="1390"/>
      <c r="AJ1109" s="2282"/>
      <c r="AK1109" s="2282"/>
      <c r="AL1109" s="1037"/>
      <c r="AX1109" s="340">
        <v>104.21</v>
      </c>
      <c r="AY1109" s="340" t="s">
        <v>323</v>
      </c>
      <c r="BN1109" s="340">
        <v>107.01</v>
      </c>
      <c r="BO1109" s="340" t="s">
        <v>323</v>
      </c>
      <c r="BP1109" s="1385"/>
      <c r="BV1109" s="236">
        <v>159.24</v>
      </c>
      <c r="BW1109" s="236" t="s">
        <v>302</v>
      </c>
      <c r="CB1109" s="340">
        <v>103.09</v>
      </c>
      <c r="CC1109" s="340" t="s">
        <v>323</v>
      </c>
      <c r="CL1109" s="236">
        <v>47</v>
      </c>
      <c r="CM1109" s="236" t="s">
        <v>316</v>
      </c>
      <c r="CR1109" s="340">
        <v>107.09</v>
      </c>
      <c r="CS1109" s="340" t="s">
        <v>346</v>
      </c>
      <c r="CT1109" s="1384"/>
      <c r="DF1109" s="340">
        <v>401.37</v>
      </c>
      <c r="DG1109" s="340" t="s">
        <v>323</v>
      </c>
      <c r="DV1109" s="340">
        <v>110.09</v>
      </c>
      <c r="DW1109" s="340" t="s">
        <v>331</v>
      </c>
      <c r="DX1109" s="1671"/>
    </row>
    <row r="1110" spans="12:128">
      <c r="L1110" s="2481">
        <v>402.06</v>
      </c>
      <c r="M1110" s="340" t="s">
        <v>323</v>
      </c>
      <c r="N1110" s="1390"/>
      <c r="O1110" s="2479"/>
      <c r="P1110" s="2282"/>
      <c r="AG1110" s="2297">
        <v>110.08</v>
      </c>
      <c r="AH1110" s="2297" t="s">
        <v>331</v>
      </c>
      <c r="AI1110" s="1390"/>
      <c r="AJ1110" s="2282"/>
      <c r="AK1110" s="2282"/>
      <c r="AL1110" s="1037"/>
      <c r="AX1110" s="340">
        <v>104.22</v>
      </c>
      <c r="AY1110" s="340" t="s">
        <v>323</v>
      </c>
      <c r="BN1110" s="340">
        <v>107.01</v>
      </c>
      <c r="BO1110" s="340" t="s">
        <v>344</v>
      </c>
      <c r="BP1110" s="1385"/>
      <c r="BV1110" s="236">
        <v>159.25</v>
      </c>
      <c r="BW1110" s="236" t="s">
        <v>302</v>
      </c>
      <c r="CB1110" s="340">
        <v>104.04</v>
      </c>
      <c r="CC1110" s="340" t="s">
        <v>323</v>
      </c>
      <c r="CL1110" s="236">
        <v>47.01</v>
      </c>
      <c r="CM1110" s="236" t="s">
        <v>331</v>
      </c>
      <c r="CR1110" s="340">
        <v>107.1</v>
      </c>
      <c r="CS1110" s="340" t="s">
        <v>331</v>
      </c>
      <c r="CT1110" s="1384"/>
      <c r="DF1110" s="340">
        <v>401.38</v>
      </c>
      <c r="DG1110" s="340" t="s">
        <v>323</v>
      </c>
      <c r="DV1110" s="340">
        <v>110.1</v>
      </c>
      <c r="DW1110" s="340" t="s">
        <v>316</v>
      </c>
      <c r="DX1110" s="1671"/>
    </row>
    <row r="1111" spans="12:128">
      <c r="L1111" s="2481">
        <v>402.09</v>
      </c>
      <c r="M1111" s="340" t="s">
        <v>323</v>
      </c>
      <c r="N1111" s="1390"/>
      <c r="O1111" s="2479"/>
      <c r="P1111" s="2282"/>
      <c r="AG1111" s="2297">
        <v>110.13</v>
      </c>
      <c r="AH1111" s="2297" t="s">
        <v>316</v>
      </c>
      <c r="AI1111" s="1390"/>
      <c r="AJ1111" s="2282"/>
      <c r="AK1111" s="2282"/>
      <c r="AL1111" s="1037"/>
      <c r="AX1111" s="340">
        <v>104.23</v>
      </c>
      <c r="AY1111" s="340" t="s">
        <v>323</v>
      </c>
      <c r="BN1111" s="340">
        <v>107.02</v>
      </c>
      <c r="BO1111" s="340" t="s">
        <v>316</v>
      </c>
      <c r="BP1111" s="1385"/>
      <c r="BV1111" s="236">
        <v>159.26</v>
      </c>
      <c r="BW1111" s="236" t="s">
        <v>302</v>
      </c>
      <c r="CB1111" s="340">
        <v>104.12</v>
      </c>
      <c r="CC1111" s="340" t="s">
        <v>323</v>
      </c>
      <c r="CL1111" s="236">
        <v>47.02</v>
      </c>
      <c r="CM1111" s="236" t="s">
        <v>340</v>
      </c>
      <c r="CR1111" s="340">
        <v>107.11</v>
      </c>
      <c r="CS1111" s="340" t="s">
        <v>346</v>
      </c>
      <c r="CT1111" s="1384"/>
      <c r="DF1111" s="340">
        <v>402.06</v>
      </c>
      <c r="DG1111" s="340" t="s">
        <v>323</v>
      </c>
      <c r="DV1111" s="340">
        <v>110.13</v>
      </c>
      <c r="DW1111" s="340" t="s">
        <v>316</v>
      </c>
      <c r="DX1111" s="1671"/>
    </row>
    <row r="1112" spans="12:128">
      <c r="L1112" s="2481">
        <v>402.1</v>
      </c>
      <c r="M1112" s="340" t="s">
        <v>323</v>
      </c>
      <c r="N1112" s="1390"/>
      <c r="O1112" s="2479"/>
      <c r="P1112" s="2282"/>
      <c r="AG1112" s="2297">
        <v>110.14</v>
      </c>
      <c r="AH1112" s="2297" t="s">
        <v>331</v>
      </c>
      <c r="AI1112" s="1390"/>
      <c r="AJ1112" s="2282"/>
      <c r="AK1112" s="2282"/>
      <c r="AL1112" s="1037"/>
      <c r="AX1112" s="340">
        <v>105.03</v>
      </c>
      <c r="AY1112" s="340" t="s">
        <v>323</v>
      </c>
      <c r="BN1112" s="340">
        <v>107.02</v>
      </c>
      <c r="BO1112" s="340" t="s">
        <v>323</v>
      </c>
      <c r="BP1112" s="1385"/>
      <c r="BV1112" s="236">
        <v>159.27000000000001</v>
      </c>
      <c r="BW1112" s="236" t="s">
        <v>302</v>
      </c>
      <c r="CB1112" s="340">
        <v>104.15</v>
      </c>
      <c r="CC1112" s="340" t="s">
        <v>323</v>
      </c>
      <c r="CL1112" s="236">
        <v>47.03</v>
      </c>
      <c r="CM1112" s="236" t="s">
        <v>331</v>
      </c>
      <c r="CR1112" s="340">
        <v>107.12</v>
      </c>
      <c r="CS1112" s="340" t="s">
        <v>346</v>
      </c>
      <c r="CT1112" s="1384"/>
      <c r="DF1112" s="340">
        <v>402.09</v>
      </c>
      <c r="DG1112" s="340" t="s">
        <v>323</v>
      </c>
      <c r="DV1112" s="340">
        <v>110.13</v>
      </c>
      <c r="DW1112" s="340" t="s">
        <v>331</v>
      </c>
      <c r="DX1112" s="1671"/>
    </row>
    <row r="1113" spans="12:128">
      <c r="L1113" s="2481">
        <v>403.02</v>
      </c>
      <c r="M1113" s="340" t="s">
        <v>323</v>
      </c>
      <c r="N1113" s="1390"/>
      <c r="O1113" s="2479"/>
      <c r="P1113" s="2282"/>
      <c r="AG1113" s="2297">
        <v>110.15</v>
      </c>
      <c r="AH1113" s="2297" t="s">
        <v>331</v>
      </c>
      <c r="AI1113" s="1390"/>
      <c r="AJ1113" s="2282"/>
      <c r="AK1113" s="2282"/>
      <c r="AL1113" s="1037"/>
      <c r="AX1113" s="340">
        <v>106.01</v>
      </c>
      <c r="AY1113" s="340" t="s">
        <v>323</v>
      </c>
      <c r="BN1113" s="340">
        <v>107.02</v>
      </c>
      <c r="BO1113" s="340" t="s">
        <v>344</v>
      </c>
      <c r="BP1113" s="1385"/>
      <c r="BV1113" s="236">
        <v>159.28</v>
      </c>
      <c r="BW1113" s="236" t="s">
        <v>302</v>
      </c>
      <c r="CB1113" s="340">
        <v>104.16</v>
      </c>
      <c r="CC1113" s="340" t="s">
        <v>323</v>
      </c>
      <c r="CL1113" s="236">
        <v>47.04</v>
      </c>
      <c r="CM1113" s="236" t="s">
        <v>331</v>
      </c>
      <c r="CR1113" s="340">
        <v>108</v>
      </c>
      <c r="CS1113" s="340" t="s">
        <v>344</v>
      </c>
      <c r="CT1113" s="1384"/>
      <c r="DF1113" s="340">
        <v>402.1</v>
      </c>
      <c r="DG1113" s="340" t="s">
        <v>323</v>
      </c>
      <c r="DV1113" s="340">
        <v>110.14</v>
      </c>
      <c r="DW1113" s="340" t="s">
        <v>331</v>
      </c>
      <c r="DX1113" s="1671"/>
    </row>
    <row r="1114" spans="12:128">
      <c r="L1114" s="2481">
        <v>403.03</v>
      </c>
      <c r="M1114" s="340" t="s">
        <v>323</v>
      </c>
      <c r="N1114" s="1390"/>
      <c r="O1114" s="2479"/>
      <c r="P1114" s="2282"/>
      <c r="AG1114" s="2297">
        <v>110.16</v>
      </c>
      <c r="AH1114" s="2297" t="s">
        <v>316</v>
      </c>
      <c r="AI1114" s="1390"/>
      <c r="AJ1114" s="2282"/>
      <c r="AK1114" s="2282"/>
      <c r="AL1114" s="1037"/>
      <c r="AX1114" s="340">
        <v>107.01</v>
      </c>
      <c r="AY1114" s="340" t="s">
        <v>323</v>
      </c>
      <c r="BN1114" s="340">
        <v>107.04</v>
      </c>
      <c r="BO1114" s="340" t="s">
        <v>346</v>
      </c>
      <c r="BP1114" s="1385"/>
      <c r="BV1114" s="236">
        <v>159.29</v>
      </c>
      <c r="BW1114" s="236" t="s">
        <v>302</v>
      </c>
      <c r="CB1114" s="340">
        <v>104.17</v>
      </c>
      <c r="CC1114" s="340" t="s">
        <v>323</v>
      </c>
      <c r="CL1114" s="236">
        <v>47.04</v>
      </c>
      <c r="CM1114" s="236" t="s">
        <v>340</v>
      </c>
      <c r="CR1114" s="340">
        <v>108.01</v>
      </c>
      <c r="CS1114" s="340" t="s">
        <v>323</v>
      </c>
      <c r="CT1114" s="1384"/>
      <c r="DF1114" s="340">
        <v>403.1</v>
      </c>
      <c r="DG1114" s="340" t="s">
        <v>323</v>
      </c>
      <c r="DV1114" s="340">
        <v>110.15</v>
      </c>
      <c r="DW1114" s="340" t="s">
        <v>331</v>
      </c>
      <c r="DX1114" s="1671"/>
    </row>
    <row r="1115" spans="12:128">
      <c r="L1115" s="2481">
        <v>403.1</v>
      </c>
      <c r="M1115" s="340" t="s">
        <v>323</v>
      </c>
      <c r="N1115" s="1390"/>
      <c r="O1115" s="2479"/>
      <c r="P1115" s="2282"/>
      <c r="AG1115" s="2297">
        <v>110.17</v>
      </c>
      <c r="AH1115" s="2297" t="s">
        <v>316</v>
      </c>
      <c r="AI1115" s="1390"/>
      <c r="AJ1115" s="2282"/>
      <c r="AK1115" s="2282"/>
      <c r="AL1115" s="1037"/>
      <c r="AX1115" s="340">
        <v>107.02</v>
      </c>
      <c r="AY1115" s="340" t="s">
        <v>323</v>
      </c>
      <c r="BN1115" s="340">
        <v>107.05</v>
      </c>
      <c r="BO1115" s="340" t="s">
        <v>331</v>
      </c>
      <c r="BP1115" s="1385"/>
      <c r="BV1115" s="236">
        <v>160.01</v>
      </c>
      <c r="BW1115" s="236" t="s">
        <v>302</v>
      </c>
      <c r="CB1115" s="340">
        <v>104.18</v>
      </c>
      <c r="CC1115" s="340" t="s">
        <v>323</v>
      </c>
      <c r="CL1115" s="236">
        <v>47.05</v>
      </c>
      <c r="CM1115" s="236" t="s">
        <v>331</v>
      </c>
      <c r="CR1115" s="340">
        <v>108.02</v>
      </c>
      <c r="CS1115" s="340" t="s">
        <v>338</v>
      </c>
      <c r="CT1115" s="1384"/>
      <c r="DF1115" s="340">
        <v>501.03</v>
      </c>
      <c r="DG1115" s="340" t="s">
        <v>323</v>
      </c>
      <c r="DV1115" s="340">
        <v>110.16</v>
      </c>
      <c r="DW1115" s="340" t="s">
        <v>316</v>
      </c>
      <c r="DX1115" s="1671"/>
    </row>
    <row r="1116" spans="12:128">
      <c r="L1116" s="2481">
        <v>501.03</v>
      </c>
      <c r="M1116" s="340" t="s">
        <v>323</v>
      </c>
      <c r="N1116" s="1390"/>
      <c r="O1116" s="2479"/>
      <c r="P1116" s="2282"/>
      <c r="AG1116" s="2297">
        <v>110.18</v>
      </c>
      <c r="AH1116" s="2297" t="s">
        <v>316</v>
      </c>
      <c r="AI1116" s="1390"/>
      <c r="AJ1116" s="2282"/>
      <c r="AK1116" s="2282"/>
      <c r="AL1116" s="1037"/>
      <c r="AX1116" s="340">
        <v>108.03</v>
      </c>
      <c r="AY1116" s="340" t="s">
        <v>323</v>
      </c>
      <c r="BN1116" s="340">
        <v>107.07</v>
      </c>
      <c r="BO1116" s="340" t="s">
        <v>346</v>
      </c>
      <c r="BP1116" s="1385"/>
      <c r="BV1116" s="236">
        <v>160.02000000000001</v>
      </c>
      <c r="BW1116" s="236" t="s">
        <v>302</v>
      </c>
      <c r="CB1116" s="340">
        <v>104.2</v>
      </c>
      <c r="CC1116" s="340" t="s">
        <v>323</v>
      </c>
      <c r="CL1116" s="236">
        <v>47.05</v>
      </c>
      <c r="CM1116" s="236" t="s">
        <v>340</v>
      </c>
      <c r="CR1116" s="340">
        <v>108.02</v>
      </c>
      <c r="CS1116" s="340" t="s">
        <v>346</v>
      </c>
      <c r="CT1116" s="1384"/>
      <c r="DF1116" s="340">
        <v>501.04</v>
      </c>
      <c r="DG1116" s="340" t="s">
        <v>323</v>
      </c>
      <c r="DV1116" s="340">
        <v>110.17</v>
      </c>
      <c r="DW1116" s="340" t="s">
        <v>316</v>
      </c>
      <c r="DX1116" s="1671"/>
    </row>
    <row r="1117" spans="12:128">
      <c r="L1117" s="2481">
        <v>501.04</v>
      </c>
      <c r="M1117" s="340" t="s">
        <v>323</v>
      </c>
      <c r="N1117" s="1390"/>
      <c r="O1117" s="2479"/>
      <c r="P1117" s="2282"/>
      <c r="AG1117" s="2297">
        <v>110.19</v>
      </c>
      <c r="AH1117" s="2297" t="s">
        <v>316</v>
      </c>
      <c r="AI1117" s="1390"/>
      <c r="AJ1117" s="2282"/>
      <c r="AK1117" s="2282"/>
      <c r="AL1117" s="1037"/>
      <c r="AX1117" s="340">
        <v>201.04</v>
      </c>
      <c r="AY1117" s="340" t="s">
        <v>323</v>
      </c>
      <c r="BN1117" s="340">
        <v>107.09</v>
      </c>
      <c r="BO1117" s="340" t="s">
        <v>331</v>
      </c>
      <c r="BP1117" s="1385"/>
      <c r="BV1117" s="236">
        <v>161.01</v>
      </c>
      <c r="BW1117" s="236" t="s">
        <v>302</v>
      </c>
      <c r="CB1117" s="340">
        <v>104.21</v>
      </c>
      <c r="CC1117" s="340" t="s">
        <v>323</v>
      </c>
      <c r="CL1117" s="236">
        <v>47.06</v>
      </c>
      <c r="CM1117" s="236" t="s">
        <v>340</v>
      </c>
      <c r="CR1117" s="340">
        <v>108.03</v>
      </c>
      <c r="CS1117" s="340" t="s">
        <v>323</v>
      </c>
      <c r="CT1117" s="1384"/>
      <c r="DF1117" s="340">
        <v>501.06</v>
      </c>
      <c r="DG1117" s="340" t="s">
        <v>323</v>
      </c>
      <c r="DV1117" s="340">
        <v>110.18</v>
      </c>
      <c r="DW1117" s="340" t="s">
        <v>316</v>
      </c>
      <c r="DX1117" s="1671"/>
    </row>
    <row r="1118" spans="12:128">
      <c r="L1118" s="2481">
        <v>501.06</v>
      </c>
      <c r="M1118" s="340" t="s">
        <v>323</v>
      </c>
      <c r="N1118" s="1390"/>
      <c r="O1118" s="2479"/>
      <c r="P1118" s="2282"/>
      <c r="AG1118" s="2297">
        <v>111</v>
      </c>
      <c r="AH1118" s="2297" t="s">
        <v>338</v>
      </c>
      <c r="AI1118" s="1390"/>
      <c r="AJ1118" s="2282"/>
      <c r="AK1118" s="2282"/>
      <c r="AL1118" s="1037"/>
      <c r="AX1118" s="340">
        <v>202.02</v>
      </c>
      <c r="AY1118" s="340" t="s">
        <v>323</v>
      </c>
      <c r="BN1118" s="340">
        <v>107.1</v>
      </c>
      <c r="BO1118" s="340" t="s">
        <v>331</v>
      </c>
      <c r="BP1118" s="1385"/>
      <c r="BV1118" s="236">
        <v>161.02000000000001</v>
      </c>
      <c r="BW1118" s="236" t="s">
        <v>302</v>
      </c>
      <c r="CB1118" s="340">
        <v>104.22</v>
      </c>
      <c r="CC1118" s="340" t="s">
        <v>323</v>
      </c>
      <c r="CL1118" s="236">
        <v>48</v>
      </c>
      <c r="CM1118" s="236" t="s">
        <v>316</v>
      </c>
      <c r="CR1118" s="340">
        <v>108.05</v>
      </c>
      <c r="CS1118" s="340" t="s">
        <v>297</v>
      </c>
      <c r="CT1118" s="1384"/>
      <c r="DF1118" s="340">
        <v>502.04</v>
      </c>
      <c r="DG1118" s="340" t="s">
        <v>323</v>
      </c>
      <c r="DV1118" s="340">
        <v>110.19</v>
      </c>
      <c r="DW1118" s="340" t="s">
        <v>316</v>
      </c>
      <c r="DX1118" s="1671"/>
    </row>
    <row r="1119" spans="12:128">
      <c r="L1119" s="2481">
        <v>502.04</v>
      </c>
      <c r="M1119" s="340" t="s">
        <v>323</v>
      </c>
      <c r="N1119" s="1390"/>
      <c r="O1119" s="2479"/>
      <c r="P1119" s="2282"/>
      <c r="AG1119" s="2297">
        <v>111.03</v>
      </c>
      <c r="AH1119" s="2297" t="s">
        <v>316</v>
      </c>
      <c r="AI1119" s="1390"/>
      <c r="AJ1119" s="2282"/>
      <c r="AK1119" s="2282"/>
      <c r="AL1119" s="1037"/>
      <c r="AX1119" s="340">
        <v>204</v>
      </c>
      <c r="AY1119" s="340" t="s">
        <v>323</v>
      </c>
      <c r="BN1119" s="340">
        <v>107.1</v>
      </c>
      <c r="BO1119" s="340" t="s">
        <v>346</v>
      </c>
      <c r="BP1119" s="1385"/>
      <c r="BV1119" s="236">
        <v>162</v>
      </c>
      <c r="BW1119" s="236" t="s">
        <v>302</v>
      </c>
      <c r="CB1119" s="340">
        <v>104.23</v>
      </c>
      <c r="CC1119" s="340" t="s">
        <v>323</v>
      </c>
      <c r="CL1119" s="236">
        <v>48.1</v>
      </c>
      <c r="CM1119" s="236" t="s">
        <v>340</v>
      </c>
      <c r="CR1119" s="340">
        <v>108.06</v>
      </c>
      <c r="CS1119" s="340" t="s">
        <v>297</v>
      </c>
      <c r="CT1119" s="1384"/>
      <c r="DF1119" s="340">
        <v>502.06</v>
      </c>
      <c r="DG1119" s="340" t="s">
        <v>323</v>
      </c>
      <c r="DV1119" s="340">
        <v>111</v>
      </c>
      <c r="DW1119" s="340" t="s">
        <v>338</v>
      </c>
      <c r="DX1119" s="1671"/>
    </row>
    <row r="1120" spans="12:128">
      <c r="L1120" s="2481">
        <v>502.06</v>
      </c>
      <c r="M1120" s="340" t="s">
        <v>323</v>
      </c>
      <c r="N1120" s="1390"/>
      <c r="O1120" s="2479"/>
      <c r="P1120" s="2282"/>
      <c r="AG1120" s="2297">
        <v>111.05</v>
      </c>
      <c r="AH1120" s="2297" t="s">
        <v>331</v>
      </c>
      <c r="AI1120" s="1390"/>
      <c r="AJ1120" s="2282"/>
      <c r="AK1120" s="2282"/>
      <c r="AL1120" s="1037"/>
      <c r="AX1120" s="340">
        <v>206</v>
      </c>
      <c r="AY1120" s="340" t="s">
        <v>323</v>
      </c>
      <c r="BN1120" s="340">
        <v>107.12</v>
      </c>
      <c r="BO1120" s="340" t="s">
        <v>346</v>
      </c>
      <c r="BP1120" s="1385"/>
      <c r="BV1120" s="236">
        <v>163</v>
      </c>
      <c r="BW1120" s="236" t="s">
        <v>302</v>
      </c>
      <c r="CB1120" s="340">
        <v>105.01</v>
      </c>
      <c r="CC1120" s="340" t="s">
        <v>323</v>
      </c>
      <c r="CL1120" s="236">
        <v>48.13</v>
      </c>
      <c r="CM1120" s="236" t="s">
        <v>340</v>
      </c>
      <c r="CR1120" s="340">
        <v>108.07</v>
      </c>
      <c r="CS1120" s="340" t="s">
        <v>297</v>
      </c>
      <c r="CT1120" s="1384"/>
      <c r="DF1120" s="340">
        <v>502.07</v>
      </c>
      <c r="DG1120" s="340" t="s">
        <v>323</v>
      </c>
      <c r="DV1120" s="340">
        <v>111.03</v>
      </c>
      <c r="DW1120" s="340" t="s">
        <v>316</v>
      </c>
      <c r="DX1120" s="1671"/>
    </row>
    <row r="1121" spans="12:128">
      <c r="L1121" s="2481">
        <v>502.07</v>
      </c>
      <c r="M1121" s="340" t="s">
        <v>323</v>
      </c>
      <c r="N1121" s="1390"/>
      <c r="O1121" s="2479"/>
      <c r="P1121" s="2282"/>
      <c r="AG1121" s="2297">
        <v>111.07</v>
      </c>
      <c r="AH1121" s="2297" t="s">
        <v>316</v>
      </c>
      <c r="AI1121" s="1390"/>
      <c r="AJ1121" s="2282"/>
      <c r="AK1121" s="2282"/>
      <c r="AL1121" s="1037"/>
      <c r="AX1121" s="340">
        <v>207</v>
      </c>
      <c r="AY1121" s="340" t="s">
        <v>323</v>
      </c>
      <c r="BN1121" s="340">
        <v>108</v>
      </c>
      <c r="BO1121" s="340" t="s">
        <v>344</v>
      </c>
      <c r="BP1121" s="1385"/>
      <c r="BV1121" s="236">
        <v>164</v>
      </c>
      <c r="BW1121" s="236" t="s">
        <v>302</v>
      </c>
      <c r="CB1121" s="340">
        <v>107.01</v>
      </c>
      <c r="CC1121" s="340" t="s">
        <v>323</v>
      </c>
      <c r="CL1121" s="236">
        <v>48.15</v>
      </c>
      <c r="CM1121" s="236" t="s">
        <v>340</v>
      </c>
      <c r="CR1121" s="340">
        <v>108.1</v>
      </c>
      <c r="CS1121" s="340" t="s">
        <v>316</v>
      </c>
      <c r="CT1121" s="1384"/>
      <c r="DF1121" s="340">
        <v>502.08</v>
      </c>
      <c r="DG1121" s="340" t="s">
        <v>323</v>
      </c>
      <c r="DV1121" s="340">
        <v>111.05</v>
      </c>
      <c r="DW1121" s="340" t="s">
        <v>331</v>
      </c>
      <c r="DX1121" s="1671"/>
    </row>
    <row r="1122" spans="12:128">
      <c r="L1122" s="2481">
        <v>502.08</v>
      </c>
      <c r="M1122" s="340" t="s">
        <v>323</v>
      </c>
      <c r="N1122" s="1390"/>
      <c r="O1122" s="2479"/>
      <c r="P1122" s="2282"/>
      <c r="AG1122" s="2297">
        <v>111.08</v>
      </c>
      <c r="AH1122" s="2297" t="s">
        <v>297</v>
      </c>
      <c r="AI1122" s="1390"/>
      <c r="AJ1122" s="2282"/>
      <c r="AK1122" s="2282"/>
      <c r="AL1122" s="1037"/>
      <c r="AX1122" s="340">
        <v>301</v>
      </c>
      <c r="AY1122" s="340" t="s">
        <v>323</v>
      </c>
      <c r="BN1122" s="340">
        <v>108.02</v>
      </c>
      <c r="BO1122" s="340" t="s">
        <v>338</v>
      </c>
      <c r="BP1122" s="1385"/>
      <c r="BV1122" s="236">
        <v>165</v>
      </c>
      <c r="BW1122" s="236" t="s">
        <v>302</v>
      </c>
      <c r="CB1122" s="340">
        <v>107.02</v>
      </c>
      <c r="CC1122" s="340" t="s">
        <v>323</v>
      </c>
      <c r="CL1122" s="236">
        <v>48.16</v>
      </c>
      <c r="CM1122" s="236" t="s">
        <v>340</v>
      </c>
      <c r="CR1122" s="340">
        <v>108.11</v>
      </c>
      <c r="CS1122" s="340" t="s">
        <v>316</v>
      </c>
      <c r="CT1122" s="1384"/>
      <c r="DF1122" s="340">
        <v>502.1</v>
      </c>
      <c r="DG1122" s="340" t="s">
        <v>323</v>
      </c>
      <c r="DV1122" s="340">
        <v>111.06</v>
      </c>
      <c r="DW1122" s="340" t="s">
        <v>331</v>
      </c>
      <c r="DX1122" s="1671"/>
    </row>
    <row r="1123" spans="12:128">
      <c r="L1123" s="2481">
        <v>502.1</v>
      </c>
      <c r="M1123" s="340" t="s">
        <v>323</v>
      </c>
      <c r="N1123" s="1390"/>
      <c r="O1123" s="2479"/>
      <c r="P1123" s="2282"/>
      <c r="AG1123" s="2297">
        <v>111.08</v>
      </c>
      <c r="AH1123" s="2297" t="s">
        <v>316</v>
      </c>
      <c r="AI1123" s="1390"/>
      <c r="AJ1123" s="2282"/>
      <c r="AK1123" s="2282"/>
      <c r="AL1123" s="1037"/>
      <c r="AX1123" s="340">
        <v>302.01</v>
      </c>
      <c r="AY1123" s="340" t="s">
        <v>323</v>
      </c>
      <c r="BN1123" s="340">
        <v>108.02</v>
      </c>
      <c r="BO1123" s="340" t="s">
        <v>346</v>
      </c>
      <c r="BP1123" s="1385"/>
      <c r="BV1123" s="236">
        <v>166.03</v>
      </c>
      <c r="BW1123" s="236" t="s">
        <v>302</v>
      </c>
      <c r="CB1123" s="340">
        <v>108.01</v>
      </c>
      <c r="CC1123" s="340" t="s">
        <v>323</v>
      </c>
      <c r="CL1123" s="236">
        <v>48.17</v>
      </c>
      <c r="CM1123" s="236" t="s">
        <v>340</v>
      </c>
      <c r="CR1123" s="340">
        <v>108.12</v>
      </c>
      <c r="CS1123" s="340" t="s">
        <v>346</v>
      </c>
      <c r="CT1123" s="1384"/>
      <c r="DF1123" s="340">
        <v>502.11</v>
      </c>
      <c r="DG1123" s="340" t="s">
        <v>323</v>
      </c>
      <c r="DV1123" s="340">
        <v>111.07</v>
      </c>
      <c r="DW1123" s="340" t="s">
        <v>316</v>
      </c>
      <c r="DX1123" s="1671"/>
    </row>
    <row r="1124" spans="12:128">
      <c r="L1124" s="2481">
        <v>502.12</v>
      </c>
      <c r="M1124" s="340" t="s">
        <v>323</v>
      </c>
      <c r="N1124" s="1390"/>
      <c r="O1124" s="2479"/>
      <c r="P1124" s="2282"/>
      <c r="AG1124" s="2297">
        <v>111.09</v>
      </c>
      <c r="AH1124" s="2297" t="s">
        <v>297</v>
      </c>
      <c r="AI1124" s="1390"/>
      <c r="AJ1124" s="2282"/>
      <c r="AK1124" s="2282"/>
      <c r="AL1124" s="1037"/>
      <c r="AX1124" s="340">
        <v>302.05</v>
      </c>
      <c r="AY1124" s="340" t="s">
        <v>323</v>
      </c>
      <c r="BN1124" s="340">
        <v>108.03</v>
      </c>
      <c r="BO1124" s="340" t="s">
        <v>323</v>
      </c>
      <c r="BP1124" s="1385"/>
      <c r="BV1124" s="236">
        <v>166.04</v>
      </c>
      <c r="BW1124" s="236" t="s">
        <v>302</v>
      </c>
      <c r="CB1124" s="340">
        <v>108.03</v>
      </c>
      <c r="CC1124" s="340" t="s">
        <v>323</v>
      </c>
      <c r="CL1124" s="236">
        <v>48.18</v>
      </c>
      <c r="CM1124" s="236" t="s">
        <v>340</v>
      </c>
      <c r="CR1124" s="340">
        <v>108.13</v>
      </c>
      <c r="CS1124" s="340" t="s">
        <v>346</v>
      </c>
      <c r="CT1124" s="1384"/>
      <c r="DF1124" s="340">
        <v>502.12</v>
      </c>
      <c r="DG1124" s="340" t="s">
        <v>323</v>
      </c>
      <c r="DV1124" s="340">
        <v>111.08</v>
      </c>
      <c r="DW1124" s="340" t="s">
        <v>316</v>
      </c>
      <c r="DX1124" s="1671"/>
    </row>
    <row r="1125" spans="12:128">
      <c r="L1125" s="2481">
        <v>502.13</v>
      </c>
      <c r="M1125" s="340" t="s">
        <v>323</v>
      </c>
      <c r="N1125" s="1390"/>
      <c r="O1125" s="2479"/>
      <c r="P1125" s="2282"/>
      <c r="AG1125" s="2297">
        <v>111.09</v>
      </c>
      <c r="AH1125" s="2297" t="s">
        <v>316</v>
      </c>
      <c r="AI1125" s="1390"/>
      <c r="AJ1125" s="2282"/>
      <c r="AK1125" s="2282"/>
      <c r="AL1125" s="1037"/>
      <c r="AX1125" s="340">
        <v>303</v>
      </c>
      <c r="AY1125" s="340" t="s">
        <v>323</v>
      </c>
      <c r="BN1125" s="340">
        <v>108.06</v>
      </c>
      <c r="BO1125" s="340" t="s">
        <v>297</v>
      </c>
      <c r="BP1125" s="1385"/>
      <c r="BV1125" s="236">
        <v>166.05</v>
      </c>
      <c r="BW1125" s="236" t="s">
        <v>302</v>
      </c>
      <c r="CB1125" s="340">
        <v>201.04</v>
      </c>
      <c r="CC1125" s="340" t="s">
        <v>323</v>
      </c>
      <c r="CL1125" s="236">
        <v>48.19</v>
      </c>
      <c r="CM1125" s="236" t="s">
        <v>340</v>
      </c>
      <c r="CR1125" s="340">
        <v>108.14</v>
      </c>
      <c r="CS1125" s="340" t="s">
        <v>346</v>
      </c>
      <c r="CT1125" s="1384"/>
      <c r="DF1125" s="340">
        <v>502.13</v>
      </c>
      <c r="DG1125" s="340" t="s">
        <v>323</v>
      </c>
      <c r="DV1125" s="340">
        <v>111.09</v>
      </c>
      <c r="DW1125" s="340" t="s">
        <v>297</v>
      </c>
      <c r="DX1125" s="1671"/>
    </row>
    <row r="1126" spans="12:128">
      <c r="L1126" s="2481">
        <v>503.05</v>
      </c>
      <c r="M1126" s="340" t="s">
        <v>323</v>
      </c>
      <c r="N1126" s="1390"/>
      <c r="O1126" s="2479"/>
      <c r="P1126" s="2282"/>
      <c r="AG1126" s="2297">
        <v>111.11</v>
      </c>
      <c r="AH1126" s="2297" t="s">
        <v>297</v>
      </c>
      <c r="AI1126" s="1390"/>
      <c r="AJ1126" s="2282"/>
      <c r="AK1126" s="2282"/>
      <c r="AL1126" s="1037"/>
      <c r="AX1126" s="340">
        <v>401.08</v>
      </c>
      <c r="AY1126" s="340" t="s">
        <v>323</v>
      </c>
      <c r="BN1126" s="340">
        <v>108.07</v>
      </c>
      <c r="BO1126" s="340" t="s">
        <v>297</v>
      </c>
      <c r="BP1126" s="1385"/>
      <c r="BV1126" s="236">
        <v>166.06</v>
      </c>
      <c r="BW1126" s="236" t="s">
        <v>302</v>
      </c>
      <c r="CB1126" s="340">
        <v>202.02</v>
      </c>
      <c r="CC1126" s="340" t="s">
        <v>323</v>
      </c>
      <c r="CL1126" s="236">
        <v>48.2</v>
      </c>
      <c r="CM1126" s="236" t="s">
        <v>340</v>
      </c>
      <c r="CR1126" s="340">
        <v>108.19</v>
      </c>
      <c r="CS1126" s="340" t="s">
        <v>316</v>
      </c>
      <c r="CT1126" s="1384"/>
      <c r="DF1126" s="340">
        <v>503.05</v>
      </c>
      <c r="DG1126" s="340" t="s">
        <v>323</v>
      </c>
      <c r="DV1126" s="340">
        <v>111.09</v>
      </c>
      <c r="DW1126" s="340" t="s">
        <v>316</v>
      </c>
      <c r="DX1126" s="1671"/>
    </row>
    <row r="1127" spans="12:128">
      <c r="L1127" s="2481">
        <v>503.06</v>
      </c>
      <c r="M1127" s="340" t="s">
        <v>323</v>
      </c>
      <c r="N1127" s="1390"/>
      <c r="O1127" s="2479"/>
      <c r="P1127" s="2282"/>
      <c r="AG1127" s="2297">
        <v>111.12</v>
      </c>
      <c r="AH1127" s="2297" t="s">
        <v>297</v>
      </c>
      <c r="AI1127" s="1390"/>
      <c r="AJ1127" s="2282"/>
      <c r="AK1127" s="2282"/>
      <c r="AL1127" s="1037"/>
      <c r="AX1127" s="340">
        <v>401.1</v>
      </c>
      <c r="AY1127" s="340" t="s">
        <v>323</v>
      </c>
      <c r="BN1127" s="340">
        <v>108.1</v>
      </c>
      <c r="BO1127" s="340" t="s">
        <v>316</v>
      </c>
      <c r="BP1127" s="1385"/>
      <c r="BV1127" s="236">
        <v>167.11</v>
      </c>
      <c r="BW1127" s="236" t="s">
        <v>302</v>
      </c>
      <c r="CB1127" s="340">
        <v>204</v>
      </c>
      <c r="CC1127" s="340" t="s">
        <v>323</v>
      </c>
      <c r="CL1127" s="236">
        <v>48.21</v>
      </c>
      <c r="CM1127" s="236" t="s">
        <v>340</v>
      </c>
      <c r="CR1127" s="340">
        <v>108.2</v>
      </c>
      <c r="CS1127" s="340" t="s">
        <v>316</v>
      </c>
      <c r="CT1127" s="1384"/>
      <c r="DF1127" s="340">
        <v>503.06</v>
      </c>
      <c r="DG1127" s="340" t="s">
        <v>323</v>
      </c>
      <c r="DV1127" s="340">
        <v>111.11</v>
      </c>
      <c r="DW1127" s="340" t="s">
        <v>297</v>
      </c>
      <c r="DX1127" s="1671"/>
    </row>
    <row r="1128" spans="12:128">
      <c r="L1128" s="2481">
        <v>503.11</v>
      </c>
      <c r="M1128" s="340" t="s">
        <v>323</v>
      </c>
      <c r="N1128" s="1390"/>
      <c r="O1128" s="2479"/>
      <c r="P1128" s="2282"/>
      <c r="AG1128" s="2297">
        <v>112</v>
      </c>
      <c r="AH1128" s="2297" t="s">
        <v>338</v>
      </c>
      <c r="AI1128" s="1390"/>
      <c r="AJ1128" s="2282"/>
      <c r="AK1128" s="2282"/>
      <c r="AL1128" s="1037"/>
      <c r="AX1128" s="340">
        <v>401.11</v>
      </c>
      <c r="AY1128" s="340" t="s">
        <v>323</v>
      </c>
      <c r="BN1128" s="340">
        <v>108.11</v>
      </c>
      <c r="BO1128" s="340" t="s">
        <v>316</v>
      </c>
      <c r="BP1128" s="1385"/>
      <c r="BV1128" s="236">
        <v>167.24</v>
      </c>
      <c r="BW1128" s="236" t="s">
        <v>302</v>
      </c>
      <c r="CB1128" s="340">
        <v>207</v>
      </c>
      <c r="CC1128" s="340" t="s">
        <v>323</v>
      </c>
      <c r="CL1128" s="236">
        <v>48.22</v>
      </c>
      <c r="CM1128" s="236" t="s">
        <v>340</v>
      </c>
      <c r="CR1128" s="340">
        <v>108.2</v>
      </c>
      <c r="CS1128" s="340" t="s">
        <v>346</v>
      </c>
      <c r="CT1128" s="1384"/>
      <c r="DF1128" s="340">
        <v>503.11</v>
      </c>
      <c r="DG1128" s="340" t="s">
        <v>323</v>
      </c>
      <c r="DV1128" s="340">
        <v>111.12</v>
      </c>
      <c r="DW1128" s="340" t="s">
        <v>297</v>
      </c>
      <c r="DX1128" s="1671"/>
    </row>
    <row r="1129" spans="12:128">
      <c r="L1129" s="2481">
        <v>503.12</v>
      </c>
      <c r="M1129" s="340" t="s">
        <v>323</v>
      </c>
      <c r="N1129" s="1390"/>
      <c r="O1129" s="2479"/>
      <c r="P1129" s="2282"/>
      <c r="AG1129" s="2297">
        <v>112.03</v>
      </c>
      <c r="AH1129" s="2297" t="s">
        <v>316</v>
      </c>
      <c r="AI1129" s="1390"/>
      <c r="AJ1129" s="2282"/>
      <c r="AK1129" s="2282"/>
      <c r="AL1129" s="1037"/>
      <c r="AX1129" s="340">
        <v>401.13</v>
      </c>
      <c r="AY1129" s="340" t="s">
        <v>323</v>
      </c>
      <c r="BN1129" s="340">
        <v>108.12</v>
      </c>
      <c r="BO1129" s="340" t="s">
        <v>346</v>
      </c>
      <c r="BP1129" s="1385"/>
      <c r="BV1129" s="236">
        <v>167.25</v>
      </c>
      <c r="BW1129" s="236" t="s">
        <v>302</v>
      </c>
      <c r="CB1129" s="340">
        <v>301</v>
      </c>
      <c r="CC1129" s="340" t="s">
        <v>323</v>
      </c>
      <c r="CL1129" s="236">
        <v>48.23</v>
      </c>
      <c r="CM1129" s="236" t="s">
        <v>340</v>
      </c>
      <c r="CR1129" s="340">
        <v>108.21</v>
      </c>
      <c r="CS1129" s="340" t="s">
        <v>346</v>
      </c>
      <c r="CT1129" s="1384"/>
      <c r="DF1129" s="340">
        <v>503.12</v>
      </c>
      <c r="DG1129" s="340" t="s">
        <v>323</v>
      </c>
      <c r="DV1129" s="340">
        <v>111.13</v>
      </c>
      <c r="DW1129" s="340" t="s">
        <v>297</v>
      </c>
      <c r="DX1129" s="1671"/>
    </row>
    <row r="1130" spans="12:128">
      <c r="L1130" s="2481">
        <v>503.15</v>
      </c>
      <c r="M1130" s="340" t="s">
        <v>323</v>
      </c>
      <c r="N1130" s="1390"/>
      <c r="O1130" s="2479"/>
      <c r="P1130" s="2282"/>
      <c r="AG1130" s="2297">
        <v>112.04</v>
      </c>
      <c r="AH1130" s="2297" t="s">
        <v>331</v>
      </c>
      <c r="AI1130" s="1390"/>
      <c r="AJ1130" s="2282"/>
      <c r="AK1130" s="2282"/>
      <c r="AL1130" s="1037"/>
      <c r="AX1130" s="340">
        <v>401.17</v>
      </c>
      <c r="AY1130" s="340" t="s">
        <v>323</v>
      </c>
      <c r="BN1130" s="340">
        <v>108.13</v>
      </c>
      <c r="BO1130" s="340" t="s">
        <v>346</v>
      </c>
      <c r="BP1130" s="1385"/>
      <c r="BV1130" s="236">
        <v>167.26</v>
      </c>
      <c r="BW1130" s="236" t="s">
        <v>302</v>
      </c>
      <c r="CB1130" s="340">
        <v>302.01</v>
      </c>
      <c r="CC1130" s="340" t="s">
        <v>323</v>
      </c>
      <c r="CL1130" s="236">
        <v>49.01</v>
      </c>
      <c r="CM1130" s="236" t="s">
        <v>316</v>
      </c>
      <c r="CR1130" s="340">
        <v>108.22</v>
      </c>
      <c r="CS1130" s="340" t="s">
        <v>346</v>
      </c>
      <c r="CT1130" s="1384"/>
      <c r="DF1130" s="340">
        <v>503.15</v>
      </c>
      <c r="DG1130" s="340" t="s">
        <v>323</v>
      </c>
      <c r="DV1130" s="340">
        <v>112</v>
      </c>
      <c r="DW1130" s="340" t="s">
        <v>338</v>
      </c>
      <c r="DX1130" s="1671"/>
    </row>
    <row r="1131" spans="12:128">
      <c r="L1131" s="2481">
        <v>503.16</v>
      </c>
      <c r="M1131" s="340" t="s">
        <v>323</v>
      </c>
      <c r="N1131" s="1390"/>
      <c r="O1131" s="2479"/>
      <c r="P1131" s="2282"/>
      <c r="AG1131" s="2297">
        <v>112.05</v>
      </c>
      <c r="AH1131" s="2297" t="s">
        <v>316</v>
      </c>
      <c r="AI1131" s="1390"/>
      <c r="AJ1131" s="2282"/>
      <c r="AK1131" s="2282"/>
      <c r="AL1131" s="1037"/>
      <c r="AX1131" s="340">
        <v>401.18</v>
      </c>
      <c r="AY1131" s="340" t="s">
        <v>323</v>
      </c>
      <c r="BN1131" s="340">
        <v>108.14</v>
      </c>
      <c r="BO1131" s="340" t="s">
        <v>346</v>
      </c>
      <c r="BP1131" s="1385"/>
      <c r="BV1131" s="236">
        <v>167.27</v>
      </c>
      <c r="BW1131" s="236" t="s">
        <v>302</v>
      </c>
      <c r="CB1131" s="340">
        <v>302.05</v>
      </c>
      <c r="CC1131" s="340" t="s">
        <v>323</v>
      </c>
      <c r="CL1131" s="236">
        <v>49.01</v>
      </c>
      <c r="CM1131" s="236" t="s">
        <v>331</v>
      </c>
      <c r="CR1131" s="340">
        <v>108.24</v>
      </c>
      <c r="CS1131" s="340" t="s">
        <v>346</v>
      </c>
      <c r="CT1131" s="1384"/>
      <c r="DF1131" s="340">
        <v>503.16</v>
      </c>
      <c r="DG1131" s="340" t="s">
        <v>323</v>
      </c>
      <c r="DV1131" s="340">
        <v>112.03</v>
      </c>
      <c r="DW1131" s="340" t="s">
        <v>316</v>
      </c>
      <c r="DX1131" s="1671"/>
    </row>
    <row r="1132" spans="12:128">
      <c r="L1132" s="2481">
        <v>503.18</v>
      </c>
      <c r="M1132" s="340" t="s">
        <v>323</v>
      </c>
      <c r="N1132" s="1390"/>
      <c r="O1132" s="2479"/>
      <c r="P1132" s="2282"/>
      <c r="AG1132" s="2297">
        <v>112.06</v>
      </c>
      <c r="AH1132" s="2297" t="s">
        <v>297</v>
      </c>
      <c r="AI1132" s="1390"/>
      <c r="AJ1132" s="2282"/>
      <c r="AK1132" s="2282"/>
      <c r="AL1132" s="1037"/>
      <c r="AX1132" s="340">
        <v>401.2</v>
      </c>
      <c r="AY1132" s="340" t="s">
        <v>323</v>
      </c>
      <c r="BN1132" s="340">
        <v>108.19</v>
      </c>
      <c r="BO1132" s="340" t="s">
        <v>316</v>
      </c>
      <c r="BP1132" s="1385"/>
      <c r="BV1132" s="236">
        <v>167.28</v>
      </c>
      <c r="BW1132" s="236" t="s">
        <v>302</v>
      </c>
      <c r="CB1132" s="340">
        <v>303</v>
      </c>
      <c r="CC1132" s="340" t="s">
        <v>323</v>
      </c>
      <c r="CL1132" s="236">
        <v>49.02</v>
      </c>
      <c r="CM1132" s="236" t="s">
        <v>316</v>
      </c>
      <c r="CR1132" s="340">
        <v>108.25</v>
      </c>
      <c r="CS1132" s="340" t="s">
        <v>346</v>
      </c>
      <c r="CT1132" s="1384"/>
      <c r="DF1132" s="340">
        <v>503.17</v>
      </c>
      <c r="DG1132" s="340" t="s">
        <v>323</v>
      </c>
      <c r="DV1132" s="340">
        <v>112.04</v>
      </c>
      <c r="DW1132" s="340" t="s">
        <v>316</v>
      </c>
      <c r="DX1132" s="1671"/>
    </row>
    <row r="1133" spans="12:128">
      <c r="L1133" s="2481">
        <v>503.19</v>
      </c>
      <c r="M1133" s="340" t="s">
        <v>323</v>
      </c>
      <c r="N1133" s="1390"/>
      <c r="O1133" s="2479"/>
      <c r="P1133" s="2282"/>
      <c r="AG1133" s="2297">
        <v>112.06</v>
      </c>
      <c r="AH1133" s="2297" t="s">
        <v>331</v>
      </c>
      <c r="AI1133" s="1390"/>
      <c r="AJ1133" s="2282"/>
      <c r="AK1133" s="2282"/>
      <c r="AL1133" s="1037"/>
      <c r="AX1133" s="340">
        <v>401.23</v>
      </c>
      <c r="AY1133" s="340" t="s">
        <v>323</v>
      </c>
      <c r="BN1133" s="340">
        <v>108.2</v>
      </c>
      <c r="BO1133" s="340" t="s">
        <v>346</v>
      </c>
      <c r="BP1133" s="1385"/>
      <c r="BV1133" s="236">
        <v>167.29</v>
      </c>
      <c r="BW1133" s="236" t="s">
        <v>302</v>
      </c>
      <c r="CB1133" s="340">
        <v>401.08</v>
      </c>
      <c r="CC1133" s="340" t="s">
        <v>323</v>
      </c>
      <c r="CL1133" s="236">
        <v>49.02</v>
      </c>
      <c r="CM1133" s="236" t="s">
        <v>340</v>
      </c>
      <c r="CR1133" s="340">
        <v>108.27</v>
      </c>
      <c r="CS1133" s="340" t="s">
        <v>346</v>
      </c>
      <c r="CT1133" s="1384"/>
      <c r="DF1133" s="340">
        <v>503.18</v>
      </c>
      <c r="DG1133" s="340" t="s">
        <v>323</v>
      </c>
      <c r="DV1133" s="340">
        <v>112.04</v>
      </c>
      <c r="DW1133" s="340" t="s">
        <v>331</v>
      </c>
      <c r="DX1133" s="1671"/>
    </row>
    <row r="1134" spans="12:128">
      <c r="L1134" s="2481">
        <v>503.2</v>
      </c>
      <c r="M1134" s="340" t="s">
        <v>323</v>
      </c>
      <c r="N1134" s="1390"/>
      <c r="O1134" s="2479"/>
      <c r="P1134" s="2282"/>
      <c r="AG1134" s="2297">
        <v>112.08</v>
      </c>
      <c r="AH1134" s="2297" t="s">
        <v>297</v>
      </c>
      <c r="AI1134" s="1390"/>
      <c r="AJ1134" s="2282"/>
      <c r="AK1134" s="2282"/>
      <c r="AL1134" s="1037"/>
      <c r="AX1134" s="340">
        <v>401.25</v>
      </c>
      <c r="AY1134" s="340" t="s">
        <v>323</v>
      </c>
      <c r="BN1134" s="340">
        <v>108.21</v>
      </c>
      <c r="BO1134" s="340" t="s">
        <v>346</v>
      </c>
      <c r="BP1134" s="1385"/>
      <c r="BV1134" s="236">
        <v>167.3</v>
      </c>
      <c r="BW1134" s="236" t="s">
        <v>302</v>
      </c>
      <c r="CB1134" s="340">
        <v>401.1</v>
      </c>
      <c r="CC1134" s="340" t="s">
        <v>323</v>
      </c>
      <c r="CL1134" s="236">
        <v>49.03</v>
      </c>
      <c r="CM1134" s="236" t="s">
        <v>331</v>
      </c>
      <c r="CR1134" s="340">
        <v>108.28</v>
      </c>
      <c r="CS1134" s="340" t="s">
        <v>346</v>
      </c>
      <c r="CT1134" s="1384"/>
      <c r="DF1134" s="340">
        <v>503.19</v>
      </c>
      <c r="DG1134" s="340" t="s">
        <v>323</v>
      </c>
      <c r="DV1134" s="340">
        <v>112.05</v>
      </c>
      <c r="DW1134" s="340" t="s">
        <v>316</v>
      </c>
      <c r="DX1134" s="1671"/>
    </row>
    <row r="1135" spans="12:128">
      <c r="L1135" s="2481">
        <v>503.21</v>
      </c>
      <c r="M1135" s="340" t="s">
        <v>323</v>
      </c>
      <c r="N1135" s="1390"/>
      <c r="O1135" s="2479"/>
      <c r="P1135" s="2282"/>
      <c r="AG1135" s="2297">
        <v>112.09</v>
      </c>
      <c r="AH1135" s="2297" t="s">
        <v>297</v>
      </c>
      <c r="AI1135" s="1390"/>
      <c r="AJ1135" s="2282"/>
      <c r="AK1135" s="2282"/>
      <c r="AL1135" s="1037"/>
      <c r="AX1135" s="340">
        <v>401.26</v>
      </c>
      <c r="AY1135" s="340" t="s">
        <v>323</v>
      </c>
      <c r="BN1135" s="340">
        <v>108.22</v>
      </c>
      <c r="BO1135" s="340" t="s">
        <v>346</v>
      </c>
      <c r="BP1135" s="1385"/>
      <c r="BV1135" s="236">
        <v>167.31</v>
      </c>
      <c r="BW1135" s="236" t="s">
        <v>302</v>
      </c>
      <c r="CB1135" s="340">
        <v>401.11</v>
      </c>
      <c r="CC1135" s="340" t="s">
        <v>323</v>
      </c>
      <c r="CL1135" s="236">
        <v>49.03</v>
      </c>
      <c r="CM1135" s="236" t="s">
        <v>340</v>
      </c>
      <c r="CR1135" s="340">
        <v>109</v>
      </c>
      <c r="CS1135" s="340" t="s">
        <v>346</v>
      </c>
      <c r="CT1135" s="1384"/>
      <c r="DF1135" s="340">
        <v>503.2</v>
      </c>
      <c r="DG1135" s="340" t="s">
        <v>323</v>
      </c>
      <c r="DV1135" s="340">
        <v>112.06</v>
      </c>
      <c r="DW1135" s="340" t="s">
        <v>297</v>
      </c>
      <c r="DX1135" s="1671"/>
    </row>
    <row r="1136" spans="12:128">
      <c r="L1136" s="2481">
        <v>503.22</v>
      </c>
      <c r="M1136" s="340" t="s">
        <v>323</v>
      </c>
      <c r="N1136" s="1390"/>
      <c r="O1136" s="2479"/>
      <c r="P1136" s="2282"/>
      <c r="AG1136" s="2297">
        <v>112.1</v>
      </c>
      <c r="AH1136" s="2297" t="s">
        <v>297</v>
      </c>
      <c r="AI1136" s="1390"/>
      <c r="AJ1136" s="2282"/>
      <c r="AK1136" s="2282"/>
      <c r="AL1136" s="1037"/>
      <c r="AX1136" s="340">
        <v>401.28</v>
      </c>
      <c r="AY1136" s="340" t="s">
        <v>323</v>
      </c>
      <c r="BN1136" s="340">
        <v>108.24</v>
      </c>
      <c r="BO1136" s="340" t="s">
        <v>316</v>
      </c>
      <c r="BP1136" s="1385"/>
      <c r="BV1136" s="236">
        <v>168.01</v>
      </c>
      <c r="BW1136" s="236" t="s">
        <v>302</v>
      </c>
      <c r="CB1136" s="340">
        <v>401.13</v>
      </c>
      <c r="CC1136" s="340" t="s">
        <v>323</v>
      </c>
      <c r="CL1136" s="236">
        <v>49.04</v>
      </c>
      <c r="CM1136" s="236" t="s">
        <v>331</v>
      </c>
      <c r="CR1136" s="340">
        <v>109.01</v>
      </c>
      <c r="CS1136" s="340" t="s">
        <v>289</v>
      </c>
      <c r="CT1136" s="1384"/>
      <c r="DF1136" s="340">
        <v>503.21</v>
      </c>
      <c r="DG1136" s="340" t="s">
        <v>323</v>
      </c>
      <c r="DV1136" s="340">
        <v>112.06</v>
      </c>
      <c r="DW1136" s="340" t="s">
        <v>331</v>
      </c>
      <c r="DX1136" s="1671"/>
    </row>
    <row r="1137" spans="12:128">
      <c r="L1137" s="2481">
        <v>503.23</v>
      </c>
      <c r="M1137" s="340" t="s">
        <v>323</v>
      </c>
      <c r="N1137" s="1390"/>
      <c r="O1137" s="2479"/>
      <c r="P1137" s="2282"/>
      <c r="AG1137" s="2297">
        <v>112.12</v>
      </c>
      <c r="AH1137" s="2297" t="s">
        <v>297</v>
      </c>
      <c r="AI1137" s="1390"/>
      <c r="AJ1137" s="2282"/>
      <c r="AK1137" s="2282"/>
      <c r="AL1137" s="1037"/>
      <c r="AX1137" s="340">
        <v>401.29</v>
      </c>
      <c r="AY1137" s="340" t="s">
        <v>323</v>
      </c>
      <c r="BN1137" s="340">
        <v>108.24</v>
      </c>
      <c r="BO1137" s="340" t="s">
        <v>346</v>
      </c>
      <c r="BP1137" s="1385"/>
      <c r="BV1137" s="236">
        <v>168.03</v>
      </c>
      <c r="BW1137" s="236" t="s">
        <v>302</v>
      </c>
      <c r="CB1137" s="340">
        <v>401.17</v>
      </c>
      <c r="CC1137" s="340" t="s">
        <v>323</v>
      </c>
      <c r="CL1137" s="236">
        <v>49.04</v>
      </c>
      <c r="CM1137" s="236" t="s">
        <v>340</v>
      </c>
      <c r="CR1137" s="340">
        <v>109.02</v>
      </c>
      <c r="CS1137" s="340" t="s">
        <v>289</v>
      </c>
      <c r="CT1137" s="1384"/>
      <c r="DF1137" s="340">
        <v>503.22</v>
      </c>
      <c r="DG1137" s="340" t="s">
        <v>323</v>
      </c>
      <c r="DV1137" s="340">
        <v>112.08</v>
      </c>
      <c r="DW1137" s="340" t="s">
        <v>297</v>
      </c>
      <c r="DX1137" s="1671"/>
    </row>
    <row r="1138" spans="12:128">
      <c r="L1138" s="2481">
        <v>503.24</v>
      </c>
      <c r="M1138" s="340" t="s">
        <v>323</v>
      </c>
      <c r="N1138" s="1390"/>
      <c r="O1138" s="2479"/>
      <c r="P1138" s="2282"/>
      <c r="AG1138" s="2297">
        <v>112.13</v>
      </c>
      <c r="AH1138" s="2297" t="s">
        <v>297</v>
      </c>
      <c r="AI1138" s="1390"/>
      <c r="AJ1138" s="2282"/>
      <c r="AK1138" s="2282"/>
      <c r="AL1138" s="1037"/>
      <c r="AX1138" s="340">
        <v>401.3</v>
      </c>
      <c r="AY1138" s="340" t="s">
        <v>323</v>
      </c>
      <c r="BN1138" s="340">
        <v>108.25</v>
      </c>
      <c r="BO1138" s="340" t="s">
        <v>346</v>
      </c>
      <c r="BP1138" s="1385"/>
      <c r="BV1138" s="236">
        <v>168.04</v>
      </c>
      <c r="BW1138" s="236" t="s">
        <v>302</v>
      </c>
      <c r="CB1138" s="340">
        <v>401.18</v>
      </c>
      <c r="CC1138" s="340" t="s">
        <v>323</v>
      </c>
      <c r="CL1138" s="236">
        <v>50</v>
      </c>
      <c r="CM1138" s="236" t="s">
        <v>316</v>
      </c>
      <c r="CR1138" s="340">
        <v>109.02</v>
      </c>
      <c r="CS1138" s="340" t="s">
        <v>297</v>
      </c>
      <c r="CT1138" s="1384"/>
      <c r="DF1138" s="340">
        <v>503.23</v>
      </c>
      <c r="DG1138" s="340" t="s">
        <v>323</v>
      </c>
      <c r="DV1138" s="340">
        <v>112.09</v>
      </c>
      <c r="DW1138" s="340" t="s">
        <v>297</v>
      </c>
      <c r="DX1138" s="1671"/>
    </row>
    <row r="1139" spans="12:128">
      <c r="L1139" s="2481">
        <v>503.25</v>
      </c>
      <c r="M1139" s="340" t="s">
        <v>323</v>
      </c>
      <c r="N1139" s="1390"/>
      <c r="O1139" s="2479"/>
      <c r="P1139" s="2282"/>
      <c r="AG1139" s="2297">
        <v>113</v>
      </c>
      <c r="AH1139" s="2297" t="s">
        <v>338</v>
      </c>
      <c r="AI1139" s="1390"/>
      <c r="AJ1139" s="2282"/>
      <c r="AK1139" s="2282"/>
      <c r="AL1139" s="1037"/>
      <c r="AX1139" s="340">
        <v>401.31</v>
      </c>
      <c r="AY1139" s="340" t="s">
        <v>323</v>
      </c>
      <c r="BN1139" s="340">
        <v>108.27</v>
      </c>
      <c r="BO1139" s="340" t="s">
        <v>346</v>
      </c>
      <c r="BP1139" s="1385"/>
      <c r="BV1139" s="236">
        <v>168.07</v>
      </c>
      <c r="BW1139" s="236" t="s">
        <v>302</v>
      </c>
      <c r="CB1139" s="340">
        <v>401.2</v>
      </c>
      <c r="CC1139" s="340" t="s">
        <v>323</v>
      </c>
      <c r="CL1139" s="236">
        <v>50</v>
      </c>
      <c r="CM1139" s="236" t="s">
        <v>340</v>
      </c>
      <c r="CR1139" s="340">
        <v>109.04</v>
      </c>
      <c r="CS1139" s="340" t="s">
        <v>297</v>
      </c>
      <c r="CT1139" s="1384"/>
      <c r="DF1139" s="340">
        <v>503.24</v>
      </c>
      <c r="DG1139" s="340" t="s">
        <v>323</v>
      </c>
      <c r="DV1139" s="340">
        <v>112.1</v>
      </c>
      <c r="DW1139" s="340" t="s">
        <v>297</v>
      </c>
      <c r="DX1139" s="1671"/>
    </row>
    <row r="1140" spans="12:128">
      <c r="L1140" s="2481">
        <v>504.02</v>
      </c>
      <c r="M1140" s="340" t="s">
        <v>323</v>
      </c>
      <c r="N1140" s="1390"/>
      <c r="O1140" s="2479"/>
      <c r="P1140" s="2282"/>
      <c r="AG1140" s="2297">
        <v>113.01</v>
      </c>
      <c r="AH1140" s="2297" t="s">
        <v>316</v>
      </c>
      <c r="AI1140" s="1390"/>
      <c r="AJ1140" s="2282"/>
      <c r="AK1140" s="2282"/>
      <c r="AL1140" s="1037"/>
      <c r="AX1140" s="340">
        <v>401.32</v>
      </c>
      <c r="AY1140" s="340" t="s">
        <v>323</v>
      </c>
      <c r="BN1140" s="340">
        <v>108.28</v>
      </c>
      <c r="BO1140" s="340" t="s">
        <v>346</v>
      </c>
      <c r="BP1140" s="1385"/>
      <c r="BV1140" s="236">
        <v>168.08</v>
      </c>
      <c r="BW1140" s="236" t="s">
        <v>302</v>
      </c>
      <c r="CB1140" s="340">
        <v>401.23</v>
      </c>
      <c r="CC1140" s="340" t="s">
        <v>323</v>
      </c>
      <c r="CL1140" s="236">
        <v>50.02</v>
      </c>
      <c r="CM1140" s="236" t="s">
        <v>331</v>
      </c>
      <c r="CR1140" s="340">
        <v>109.05</v>
      </c>
      <c r="CS1140" s="340" t="s">
        <v>297</v>
      </c>
      <c r="CT1140" s="1384"/>
      <c r="DF1140" s="340">
        <v>503.25</v>
      </c>
      <c r="DG1140" s="340" t="s">
        <v>323</v>
      </c>
      <c r="DV1140" s="340">
        <v>112.12</v>
      </c>
      <c r="DW1140" s="340" t="s">
        <v>297</v>
      </c>
      <c r="DX1140" s="1671"/>
    </row>
    <row r="1141" spans="12:128">
      <c r="L1141" s="2481">
        <v>505.02</v>
      </c>
      <c r="M1141" s="340" t="s">
        <v>323</v>
      </c>
      <c r="N1141" s="1390"/>
      <c r="O1141" s="2479"/>
      <c r="P1141" s="2282"/>
      <c r="AG1141" s="2297">
        <v>113.03</v>
      </c>
      <c r="AH1141" s="2297" t="s">
        <v>316</v>
      </c>
      <c r="AI1141" s="1390"/>
      <c r="AJ1141" s="2282"/>
      <c r="AK1141" s="2282"/>
      <c r="AL1141" s="1037"/>
      <c r="AX1141" s="340">
        <v>401.33</v>
      </c>
      <c r="AY1141" s="340" t="s">
        <v>323</v>
      </c>
      <c r="BN1141" s="340">
        <v>109</v>
      </c>
      <c r="BO1141" s="340" t="s">
        <v>346</v>
      </c>
      <c r="BP1141" s="1385"/>
      <c r="BV1141" s="236">
        <v>168.09</v>
      </c>
      <c r="BW1141" s="236" t="s">
        <v>302</v>
      </c>
      <c r="CB1141" s="340">
        <v>401.25</v>
      </c>
      <c r="CC1141" s="340" t="s">
        <v>323</v>
      </c>
      <c r="CL1141" s="236">
        <v>50.03</v>
      </c>
      <c r="CM1141" s="236" t="s">
        <v>331</v>
      </c>
      <c r="CR1141" s="340">
        <v>109.07</v>
      </c>
      <c r="CS1141" s="340" t="s">
        <v>297</v>
      </c>
      <c r="CT1141" s="1384"/>
      <c r="DF1141" s="340">
        <v>504.02</v>
      </c>
      <c r="DG1141" s="340" t="s">
        <v>323</v>
      </c>
      <c r="DV1141" s="340">
        <v>112.13</v>
      </c>
      <c r="DW1141" s="340" t="s">
        <v>297</v>
      </c>
      <c r="DX1141" s="1671"/>
    </row>
    <row r="1142" spans="12:128">
      <c r="L1142" s="2481">
        <v>506.04</v>
      </c>
      <c r="M1142" s="340" t="s">
        <v>323</v>
      </c>
      <c r="N1142" s="1390"/>
      <c r="O1142" s="2479"/>
      <c r="P1142" s="2282"/>
      <c r="AG1142" s="2297">
        <v>113.04</v>
      </c>
      <c r="AH1142" s="2297" t="s">
        <v>316</v>
      </c>
      <c r="AI1142" s="1390"/>
      <c r="AJ1142" s="2282"/>
      <c r="AK1142" s="2282"/>
      <c r="AL1142" s="1037"/>
      <c r="AX1142" s="340">
        <v>401.35</v>
      </c>
      <c r="AY1142" s="340" t="s">
        <v>323</v>
      </c>
      <c r="BN1142" s="340">
        <v>109.01</v>
      </c>
      <c r="BO1142" s="340" t="s">
        <v>289</v>
      </c>
      <c r="BP1142" s="1385"/>
      <c r="BV1142" s="236">
        <v>168.1</v>
      </c>
      <c r="BW1142" s="236" t="s">
        <v>302</v>
      </c>
      <c r="CB1142" s="340">
        <v>401.26</v>
      </c>
      <c r="CC1142" s="340" t="s">
        <v>323</v>
      </c>
      <c r="CL1142" s="236">
        <v>50.04</v>
      </c>
      <c r="CM1142" s="236" t="s">
        <v>331</v>
      </c>
      <c r="CR1142" s="340">
        <v>110</v>
      </c>
      <c r="CS1142" s="340" t="s">
        <v>289</v>
      </c>
      <c r="CT1142" s="1384"/>
      <c r="DF1142" s="340">
        <v>505.02</v>
      </c>
      <c r="DG1142" s="340" t="s">
        <v>323</v>
      </c>
      <c r="DV1142" s="340">
        <v>113</v>
      </c>
      <c r="DW1142" s="340" t="s">
        <v>338</v>
      </c>
      <c r="DX1142" s="1671"/>
    </row>
    <row r="1143" spans="12:128">
      <c r="L1143" s="2481">
        <v>601.02</v>
      </c>
      <c r="M1143" s="340" t="s">
        <v>323</v>
      </c>
      <c r="N1143" s="1390"/>
      <c r="O1143" s="2479"/>
      <c r="P1143" s="2282"/>
      <c r="AG1143" s="2297">
        <v>114.07</v>
      </c>
      <c r="AH1143" s="2297" t="s">
        <v>316</v>
      </c>
      <c r="AI1143" s="1390"/>
      <c r="AJ1143" s="2282"/>
      <c r="AK1143" s="2282"/>
      <c r="AL1143" s="1037"/>
      <c r="AX1143" s="340">
        <v>401.36</v>
      </c>
      <c r="AY1143" s="340" t="s">
        <v>323</v>
      </c>
      <c r="BN1143" s="340">
        <v>109.02</v>
      </c>
      <c r="BO1143" s="340" t="s">
        <v>289</v>
      </c>
      <c r="BP1143" s="1385"/>
      <c r="BV1143" s="236">
        <v>168.11</v>
      </c>
      <c r="BW1143" s="236" t="s">
        <v>302</v>
      </c>
      <c r="CB1143" s="340">
        <v>401.28</v>
      </c>
      <c r="CC1143" s="340" t="s">
        <v>323</v>
      </c>
      <c r="CL1143" s="236">
        <v>51.01</v>
      </c>
      <c r="CM1143" s="236" t="s">
        <v>316</v>
      </c>
      <c r="CR1143" s="340">
        <v>110</v>
      </c>
      <c r="CS1143" s="340" t="s">
        <v>338</v>
      </c>
      <c r="CT1143" s="1384"/>
      <c r="DF1143" s="340">
        <v>506.01</v>
      </c>
      <c r="DG1143" s="340" t="s">
        <v>323</v>
      </c>
      <c r="DV1143" s="340">
        <v>113.01</v>
      </c>
      <c r="DW1143" s="340" t="s">
        <v>316</v>
      </c>
      <c r="DX1143" s="1671"/>
    </row>
    <row r="1144" spans="12:128">
      <c r="L1144" s="2481">
        <v>602.01</v>
      </c>
      <c r="M1144" s="340" t="s">
        <v>323</v>
      </c>
      <c r="N1144" s="1390"/>
      <c r="O1144" s="2479"/>
      <c r="P1144" s="2282"/>
      <c r="AG1144" s="2297">
        <v>114.07</v>
      </c>
      <c r="AH1144" s="2297" t="s">
        <v>331</v>
      </c>
      <c r="AI1144" s="1390"/>
      <c r="AJ1144" s="2282"/>
      <c r="AK1144" s="2282"/>
      <c r="AL1144" s="1037"/>
      <c r="AX1144" s="340">
        <v>401.37</v>
      </c>
      <c r="AY1144" s="340" t="s">
        <v>323</v>
      </c>
      <c r="BN1144" s="340">
        <v>109.02</v>
      </c>
      <c r="BO1144" s="340" t="s">
        <v>297</v>
      </c>
      <c r="BP1144" s="1385"/>
      <c r="BV1144" s="236">
        <v>168.12</v>
      </c>
      <c r="BW1144" s="236" t="s">
        <v>302</v>
      </c>
      <c r="CB1144" s="340">
        <v>401.29</v>
      </c>
      <c r="CC1144" s="340" t="s">
        <v>323</v>
      </c>
      <c r="CL1144" s="236">
        <v>51.01</v>
      </c>
      <c r="CM1144" s="236" t="s">
        <v>340</v>
      </c>
      <c r="CR1144" s="340">
        <v>110.03</v>
      </c>
      <c r="CS1144" s="340" t="s">
        <v>297</v>
      </c>
      <c r="CT1144" s="1384"/>
      <c r="DF1144" s="340">
        <v>506.04</v>
      </c>
      <c r="DG1144" s="340" t="s">
        <v>323</v>
      </c>
      <c r="DV1144" s="340">
        <v>113.03</v>
      </c>
      <c r="DW1144" s="340" t="s">
        <v>316</v>
      </c>
      <c r="DX1144" s="1671"/>
    </row>
    <row r="1145" spans="12:128">
      <c r="L1145" s="2481">
        <v>602.02</v>
      </c>
      <c r="M1145" s="340" t="s">
        <v>323</v>
      </c>
      <c r="N1145" s="1390"/>
      <c r="O1145" s="2479"/>
      <c r="P1145" s="2282"/>
      <c r="AG1145" s="2297">
        <v>114.08</v>
      </c>
      <c r="AH1145" s="2297" t="s">
        <v>316</v>
      </c>
      <c r="AI1145" s="1390"/>
      <c r="AJ1145" s="2282"/>
      <c r="AK1145" s="2282"/>
      <c r="AL1145" s="1037"/>
      <c r="AX1145" s="340">
        <v>401.38</v>
      </c>
      <c r="AY1145" s="340" t="s">
        <v>323</v>
      </c>
      <c r="BN1145" s="340">
        <v>109.04</v>
      </c>
      <c r="BO1145" s="340" t="s">
        <v>297</v>
      </c>
      <c r="BP1145" s="1385"/>
      <c r="BV1145" s="236">
        <v>168.13</v>
      </c>
      <c r="BW1145" s="236" t="s">
        <v>302</v>
      </c>
      <c r="CB1145" s="340">
        <v>401.3</v>
      </c>
      <c r="CC1145" s="340" t="s">
        <v>323</v>
      </c>
      <c r="CL1145" s="236">
        <v>51.02</v>
      </c>
      <c r="CM1145" s="236" t="s">
        <v>316</v>
      </c>
      <c r="CR1145" s="340">
        <v>110.03</v>
      </c>
      <c r="CS1145" s="340" t="s">
        <v>331</v>
      </c>
      <c r="CT1145" s="1384"/>
      <c r="DF1145" s="340">
        <v>601.02</v>
      </c>
      <c r="DG1145" s="340" t="s">
        <v>323</v>
      </c>
      <c r="DV1145" s="340">
        <v>113.04</v>
      </c>
      <c r="DW1145" s="340" t="s">
        <v>316</v>
      </c>
      <c r="DX1145" s="1671"/>
    </row>
    <row r="1146" spans="12:128">
      <c r="L1146" s="2481">
        <v>602.03</v>
      </c>
      <c r="M1146" s="340" t="s">
        <v>323</v>
      </c>
      <c r="N1146" s="1390"/>
      <c r="O1146" s="2479"/>
      <c r="P1146" s="2282"/>
      <c r="AG1146" s="2297">
        <v>114.09</v>
      </c>
      <c r="AH1146" s="2297" t="s">
        <v>316</v>
      </c>
      <c r="AI1146" s="1390"/>
      <c r="AJ1146" s="2282"/>
      <c r="AK1146" s="2282"/>
      <c r="AL1146" s="1037"/>
      <c r="AX1146" s="340">
        <v>402.05</v>
      </c>
      <c r="AY1146" s="340" t="s">
        <v>323</v>
      </c>
      <c r="BN1146" s="340">
        <v>109.05</v>
      </c>
      <c r="BO1146" s="340" t="s">
        <v>297</v>
      </c>
      <c r="BP1146" s="1385"/>
      <c r="BV1146" s="236">
        <v>171.01</v>
      </c>
      <c r="BW1146" s="236" t="s">
        <v>302</v>
      </c>
      <c r="CB1146" s="340">
        <v>401.31</v>
      </c>
      <c r="CC1146" s="340" t="s">
        <v>323</v>
      </c>
      <c r="CL1146" s="236">
        <v>51.02</v>
      </c>
      <c r="CM1146" s="236" t="s">
        <v>331</v>
      </c>
      <c r="CR1146" s="340">
        <v>110.05</v>
      </c>
      <c r="CS1146" s="340" t="s">
        <v>316</v>
      </c>
      <c r="CT1146" s="1384"/>
      <c r="DF1146" s="340">
        <v>602.01</v>
      </c>
      <c r="DG1146" s="340" t="s">
        <v>323</v>
      </c>
      <c r="DV1146" s="340">
        <v>114.07</v>
      </c>
      <c r="DW1146" s="340" t="s">
        <v>316</v>
      </c>
      <c r="DX1146" s="1671"/>
    </row>
    <row r="1147" spans="12:128">
      <c r="L1147" s="2481">
        <v>603</v>
      </c>
      <c r="M1147" s="340" t="s">
        <v>323</v>
      </c>
      <c r="N1147" s="1390"/>
      <c r="O1147" s="2479"/>
      <c r="P1147" s="2282"/>
      <c r="AG1147" s="2297">
        <v>114.1</v>
      </c>
      <c r="AH1147" s="2297" t="s">
        <v>316</v>
      </c>
      <c r="AI1147" s="1390"/>
      <c r="AJ1147" s="2282"/>
      <c r="AK1147" s="2282"/>
      <c r="AL1147" s="1037"/>
      <c r="AX1147" s="340">
        <v>402.06</v>
      </c>
      <c r="AY1147" s="340" t="s">
        <v>323</v>
      </c>
      <c r="BN1147" s="340">
        <v>109.07</v>
      </c>
      <c r="BO1147" s="340" t="s">
        <v>297</v>
      </c>
      <c r="BP1147" s="1385"/>
      <c r="BV1147" s="236">
        <v>171.02</v>
      </c>
      <c r="BW1147" s="236" t="s">
        <v>302</v>
      </c>
      <c r="CB1147" s="340">
        <v>401.32</v>
      </c>
      <c r="CC1147" s="340" t="s">
        <v>323</v>
      </c>
      <c r="CL1147" s="236">
        <v>51.02</v>
      </c>
      <c r="CM1147" s="236" t="s">
        <v>340</v>
      </c>
      <c r="CR1147" s="340">
        <v>110.06</v>
      </c>
      <c r="CS1147" s="340" t="s">
        <v>316</v>
      </c>
      <c r="CT1147" s="1384"/>
      <c r="DF1147" s="340">
        <v>602.02</v>
      </c>
      <c r="DG1147" s="340" t="s">
        <v>323</v>
      </c>
      <c r="DV1147" s="340">
        <v>114.07</v>
      </c>
      <c r="DW1147" s="340" t="s">
        <v>331</v>
      </c>
      <c r="DX1147" s="1671"/>
    </row>
    <row r="1148" spans="12:128">
      <c r="L1148" s="2481">
        <v>701.02</v>
      </c>
      <c r="M1148" s="340" t="s">
        <v>323</v>
      </c>
      <c r="N1148" s="1390"/>
      <c r="O1148" s="2479"/>
      <c r="P1148" s="2282"/>
      <c r="AG1148" s="2297">
        <v>114.1</v>
      </c>
      <c r="AH1148" s="2297" t="s">
        <v>331</v>
      </c>
      <c r="AI1148" s="1390"/>
      <c r="AJ1148" s="2282"/>
      <c r="AK1148" s="2282"/>
      <c r="AL1148" s="1037"/>
      <c r="AX1148" s="340">
        <v>402.09</v>
      </c>
      <c r="AY1148" s="340" t="s">
        <v>323</v>
      </c>
      <c r="BN1148" s="340">
        <v>110</v>
      </c>
      <c r="BO1148" s="340" t="s">
        <v>289</v>
      </c>
      <c r="BP1148" s="1385"/>
      <c r="BV1148" s="236">
        <v>172</v>
      </c>
      <c r="BW1148" s="236" t="s">
        <v>302</v>
      </c>
      <c r="CB1148" s="340">
        <v>401.33</v>
      </c>
      <c r="CC1148" s="340" t="s">
        <v>323</v>
      </c>
      <c r="CL1148" s="236">
        <v>51.03</v>
      </c>
      <c r="CM1148" s="236" t="s">
        <v>331</v>
      </c>
      <c r="CR1148" s="340">
        <v>110.07</v>
      </c>
      <c r="CS1148" s="340" t="s">
        <v>316</v>
      </c>
      <c r="CT1148" s="1384"/>
      <c r="DF1148" s="340">
        <v>602.03</v>
      </c>
      <c r="DG1148" s="340" t="s">
        <v>323</v>
      </c>
      <c r="DV1148" s="340">
        <v>114.08</v>
      </c>
      <c r="DW1148" s="340" t="s">
        <v>316</v>
      </c>
      <c r="DX1148" s="1671"/>
    </row>
    <row r="1149" spans="12:128">
      <c r="L1149" s="2481">
        <v>802.02</v>
      </c>
      <c r="M1149" s="340" t="s">
        <v>323</v>
      </c>
      <c r="N1149" s="1390"/>
      <c r="O1149" s="2479"/>
      <c r="P1149" s="2282"/>
      <c r="AG1149" s="2297">
        <v>114.11</v>
      </c>
      <c r="AH1149" s="2297" t="s">
        <v>316</v>
      </c>
      <c r="AI1149" s="1390"/>
      <c r="AJ1149" s="2282"/>
      <c r="AK1149" s="2282"/>
      <c r="AL1149" s="1037"/>
      <c r="AX1149" s="340">
        <v>402.12</v>
      </c>
      <c r="AY1149" s="340" t="s">
        <v>323</v>
      </c>
      <c r="BN1149" s="340">
        <v>110</v>
      </c>
      <c r="BO1149" s="340" t="s">
        <v>338</v>
      </c>
      <c r="BP1149" s="1385"/>
      <c r="BV1149" s="236">
        <v>173</v>
      </c>
      <c r="BW1149" s="236" t="s">
        <v>302</v>
      </c>
      <c r="CB1149" s="340">
        <v>401.34</v>
      </c>
      <c r="CC1149" s="340" t="s">
        <v>323</v>
      </c>
      <c r="CL1149" s="236">
        <v>51.04</v>
      </c>
      <c r="CM1149" s="236" t="s">
        <v>331</v>
      </c>
      <c r="CR1149" s="340">
        <v>110.08</v>
      </c>
      <c r="CS1149" s="340" t="s">
        <v>316</v>
      </c>
      <c r="CT1149" s="1384"/>
      <c r="DF1149" s="340">
        <v>603</v>
      </c>
      <c r="DG1149" s="340" t="s">
        <v>323</v>
      </c>
      <c r="DV1149" s="340">
        <v>114.09</v>
      </c>
      <c r="DW1149" s="340" t="s">
        <v>316</v>
      </c>
      <c r="DX1149" s="1671"/>
    </row>
    <row r="1150" spans="12:128">
      <c r="L1150" s="2481">
        <v>802.03</v>
      </c>
      <c r="M1150" s="340" t="s">
        <v>323</v>
      </c>
      <c r="N1150" s="1390"/>
      <c r="O1150" s="2479"/>
      <c r="P1150" s="2282"/>
      <c r="AG1150" s="2297">
        <v>114.11</v>
      </c>
      <c r="AH1150" s="2297" t="s">
        <v>331</v>
      </c>
      <c r="AI1150" s="1390"/>
      <c r="AJ1150" s="2282"/>
      <c r="AK1150" s="2282"/>
      <c r="AL1150" s="1037"/>
      <c r="AX1150" s="340">
        <v>403.02</v>
      </c>
      <c r="AY1150" s="340" t="s">
        <v>323</v>
      </c>
      <c r="BN1150" s="340">
        <v>110.03</v>
      </c>
      <c r="BO1150" s="340" t="s">
        <v>297</v>
      </c>
      <c r="BP1150" s="1385"/>
      <c r="BV1150" s="236">
        <v>174</v>
      </c>
      <c r="BW1150" s="236" t="s">
        <v>302</v>
      </c>
      <c r="CB1150" s="340">
        <v>401.35</v>
      </c>
      <c r="CC1150" s="340" t="s">
        <v>323</v>
      </c>
      <c r="CL1150" s="236">
        <v>52.01</v>
      </c>
      <c r="CM1150" s="236" t="s">
        <v>331</v>
      </c>
      <c r="CR1150" s="340">
        <v>110.08</v>
      </c>
      <c r="CS1150" s="340" t="s">
        <v>331</v>
      </c>
      <c r="CT1150" s="1384"/>
      <c r="DF1150" s="340">
        <v>701.02</v>
      </c>
      <c r="DG1150" s="340" t="s">
        <v>323</v>
      </c>
      <c r="DV1150" s="340">
        <v>114.1</v>
      </c>
      <c r="DW1150" s="340" t="s">
        <v>316</v>
      </c>
      <c r="DX1150" s="1671"/>
    </row>
    <row r="1151" spans="12:128">
      <c r="L1151" s="2481">
        <v>2</v>
      </c>
      <c r="M1151" s="340" t="s">
        <v>324</v>
      </c>
      <c r="N1151" s="1390"/>
      <c r="O1151" s="2479"/>
      <c r="P1151" s="2282"/>
      <c r="AG1151" s="2297">
        <v>114.12</v>
      </c>
      <c r="AH1151" s="2297" t="s">
        <v>316</v>
      </c>
      <c r="AI1151" s="1390"/>
      <c r="AJ1151" s="2282"/>
      <c r="AK1151" s="2282"/>
      <c r="AL1151" s="1037"/>
      <c r="AX1151" s="340">
        <v>403.1</v>
      </c>
      <c r="AY1151" s="340" t="s">
        <v>323</v>
      </c>
      <c r="BN1151" s="340">
        <v>110.03</v>
      </c>
      <c r="BO1151" s="340" t="s">
        <v>331</v>
      </c>
      <c r="BP1151" s="1385"/>
      <c r="BV1151" s="236">
        <v>9900</v>
      </c>
      <c r="BW1151" s="236" t="s">
        <v>302</v>
      </c>
      <c r="CB1151" s="340">
        <v>401.36</v>
      </c>
      <c r="CC1151" s="340" t="s">
        <v>323</v>
      </c>
      <c r="CL1151" s="236">
        <v>52.02</v>
      </c>
      <c r="CM1151" s="236" t="s">
        <v>331</v>
      </c>
      <c r="CR1151" s="340">
        <v>110.09</v>
      </c>
      <c r="CS1151" s="340" t="s">
        <v>331</v>
      </c>
      <c r="CT1151" s="1384"/>
      <c r="DF1151" s="340">
        <v>802.02</v>
      </c>
      <c r="DG1151" s="340" t="s">
        <v>323</v>
      </c>
      <c r="DV1151" s="340">
        <v>114.1</v>
      </c>
      <c r="DW1151" s="340" t="s">
        <v>331</v>
      </c>
      <c r="DX1151" s="1671"/>
    </row>
    <row r="1152" spans="12:128">
      <c r="L1152" s="2481">
        <v>3.01</v>
      </c>
      <c r="M1152" s="340" t="s">
        <v>324</v>
      </c>
      <c r="N1152" s="1390"/>
      <c r="O1152" s="2479"/>
      <c r="P1152" s="2282"/>
      <c r="AG1152" s="2297">
        <v>114.13</v>
      </c>
      <c r="AH1152" s="2297" t="s">
        <v>316</v>
      </c>
      <c r="AI1152" s="1390"/>
      <c r="AJ1152" s="2282"/>
      <c r="AK1152" s="2282"/>
      <c r="AL1152" s="1037"/>
      <c r="AX1152" s="340">
        <v>501.03</v>
      </c>
      <c r="AY1152" s="340" t="s">
        <v>323</v>
      </c>
      <c r="BN1152" s="340">
        <v>110.05</v>
      </c>
      <c r="BO1152" s="340" t="s">
        <v>316</v>
      </c>
      <c r="BP1152" s="1385"/>
      <c r="BV1152" s="236">
        <v>1</v>
      </c>
      <c r="BW1152" s="236" t="s">
        <v>304</v>
      </c>
      <c r="CB1152" s="340">
        <v>401.37</v>
      </c>
      <c r="CC1152" s="340" t="s">
        <v>323</v>
      </c>
      <c r="CL1152" s="236">
        <v>52.02</v>
      </c>
      <c r="CM1152" s="236" t="s">
        <v>340</v>
      </c>
      <c r="CR1152" s="340">
        <v>110.1</v>
      </c>
      <c r="CS1152" s="340" t="s">
        <v>316</v>
      </c>
      <c r="CT1152" s="1384"/>
      <c r="DF1152" s="340">
        <v>802.03</v>
      </c>
      <c r="DG1152" s="340" t="s">
        <v>323</v>
      </c>
      <c r="DV1152" s="340">
        <v>114.11</v>
      </c>
      <c r="DW1152" s="340" t="s">
        <v>316</v>
      </c>
      <c r="DX1152" s="1671"/>
    </row>
    <row r="1153" spans="12:128">
      <c r="L1153" s="2481">
        <v>3.02</v>
      </c>
      <c r="M1153" s="340" t="s">
        <v>324</v>
      </c>
      <c r="N1153" s="1390"/>
      <c r="O1153" s="2479"/>
      <c r="P1153" s="2282"/>
      <c r="AG1153" s="2297">
        <v>114.15</v>
      </c>
      <c r="AH1153" s="2297" t="s">
        <v>316</v>
      </c>
      <c r="AI1153" s="1390"/>
      <c r="AJ1153" s="2282"/>
      <c r="AK1153" s="2282"/>
      <c r="AL1153" s="1037"/>
      <c r="AX1153" s="340">
        <v>501.04</v>
      </c>
      <c r="AY1153" s="340" t="s">
        <v>323</v>
      </c>
      <c r="BN1153" s="340">
        <v>110.06</v>
      </c>
      <c r="BO1153" s="340" t="s">
        <v>316</v>
      </c>
      <c r="BP1153" s="1385"/>
      <c r="BV1153" s="236">
        <v>3</v>
      </c>
      <c r="BW1153" s="236" t="s">
        <v>304</v>
      </c>
      <c r="CB1153" s="340">
        <v>401.38</v>
      </c>
      <c r="CC1153" s="340" t="s">
        <v>323</v>
      </c>
      <c r="CL1153" s="236">
        <v>52.03</v>
      </c>
      <c r="CM1153" s="236" t="s">
        <v>340</v>
      </c>
      <c r="CR1153" s="340">
        <v>110.13</v>
      </c>
      <c r="CS1153" s="340" t="s">
        <v>316</v>
      </c>
      <c r="CT1153" s="1384"/>
      <c r="DF1153" s="340">
        <v>802.04</v>
      </c>
      <c r="DG1153" s="340" t="s">
        <v>323</v>
      </c>
      <c r="DV1153" s="340">
        <v>114.11</v>
      </c>
      <c r="DW1153" s="340" t="s">
        <v>331</v>
      </c>
      <c r="DX1153" s="1671"/>
    </row>
    <row r="1154" spans="12:128">
      <c r="L1154" s="2481">
        <v>3.03</v>
      </c>
      <c r="M1154" s="340" t="s">
        <v>324</v>
      </c>
      <c r="N1154" s="1390"/>
      <c r="O1154" s="2479"/>
      <c r="P1154" s="2282"/>
      <c r="AG1154" s="2297">
        <v>114.18</v>
      </c>
      <c r="AH1154" s="2297" t="s">
        <v>316</v>
      </c>
      <c r="AI1154" s="1390"/>
      <c r="AJ1154" s="2282"/>
      <c r="AK1154" s="2282"/>
      <c r="AL1154" s="1037"/>
      <c r="AX1154" s="340">
        <v>501.06</v>
      </c>
      <c r="AY1154" s="340" t="s">
        <v>323</v>
      </c>
      <c r="BN1154" s="340">
        <v>110.07</v>
      </c>
      <c r="BO1154" s="340" t="s">
        <v>316</v>
      </c>
      <c r="BP1154" s="1385"/>
      <c r="BV1154" s="236">
        <v>4</v>
      </c>
      <c r="BW1154" s="236" t="s">
        <v>304</v>
      </c>
      <c r="CB1154" s="340">
        <v>402.06</v>
      </c>
      <c r="CC1154" s="340" t="s">
        <v>323</v>
      </c>
      <c r="CL1154" s="236">
        <v>52.04</v>
      </c>
      <c r="CM1154" s="236" t="s">
        <v>340</v>
      </c>
      <c r="CR1154" s="340">
        <v>110.13</v>
      </c>
      <c r="CS1154" s="340" t="s">
        <v>331</v>
      </c>
      <c r="CT1154" s="1384"/>
      <c r="DF1154" s="340">
        <v>2</v>
      </c>
      <c r="DG1154" s="340" t="s">
        <v>324</v>
      </c>
      <c r="DV1154" s="340">
        <v>114.12</v>
      </c>
      <c r="DW1154" s="340" t="s">
        <v>316</v>
      </c>
      <c r="DX1154" s="1671"/>
    </row>
    <row r="1155" spans="12:128">
      <c r="L1155" s="2481">
        <v>8</v>
      </c>
      <c r="M1155" s="340" t="s">
        <v>324</v>
      </c>
      <c r="N1155" s="1390"/>
      <c r="O1155" s="2479"/>
      <c r="P1155" s="2282"/>
      <c r="AG1155" s="2297">
        <v>115</v>
      </c>
      <c r="AH1155" s="2297" t="s">
        <v>331</v>
      </c>
      <c r="AI1155" s="1390"/>
      <c r="AJ1155" s="2282"/>
      <c r="AK1155" s="2282"/>
      <c r="AL1155" s="1037"/>
      <c r="AX1155" s="340">
        <v>502.04</v>
      </c>
      <c r="AY1155" s="340" t="s">
        <v>323</v>
      </c>
      <c r="BN1155" s="340">
        <v>110.08</v>
      </c>
      <c r="BO1155" s="340" t="s">
        <v>316</v>
      </c>
      <c r="BP1155" s="1385"/>
      <c r="BV1155" s="236">
        <v>5</v>
      </c>
      <c r="BW1155" s="236" t="s">
        <v>304</v>
      </c>
      <c r="CB1155" s="340">
        <v>402.09</v>
      </c>
      <c r="CC1155" s="340" t="s">
        <v>323</v>
      </c>
      <c r="CL1155" s="236">
        <v>53</v>
      </c>
      <c r="CM1155" s="236" t="s">
        <v>340</v>
      </c>
      <c r="CR1155" s="340">
        <v>110.14</v>
      </c>
      <c r="CS1155" s="340" t="s">
        <v>331</v>
      </c>
      <c r="CT1155" s="1384"/>
      <c r="DF1155" s="340">
        <v>3.01</v>
      </c>
      <c r="DG1155" s="340" t="s">
        <v>324</v>
      </c>
      <c r="DV1155" s="340">
        <v>114.12</v>
      </c>
      <c r="DW1155" s="340" t="s">
        <v>331</v>
      </c>
      <c r="DX1155" s="1671"/>
    </row>
    <row r="1156" spans="12:128">
      <c r="L1156" s="2481">
        <v>9.0399999999999991</v>
      </c>
      <c r="M1156" s="340" t="s">
        <v>324</v>
      </c>
      <c r="N1156" s="1390"/>
      <c r="O1156" s="2479"/>
      <c r="P1156" s="2282"/>
      <c r="AG1156" s="2297">
        <v>115.02</v>
      </c>
      <c r="AH1156" s="2297" t="s">
        <v>344</v>
      </c>
      <c r="AI1156" s="1390"/>
      <c r="AJ1156" s="2282"/>
      <c r="AK1156" s="2282"/>
      <c r="AL1156" s="1037"/>
      <c r="AX1156" s="340">
        <v>502.06</v>
      </c>
      <c r="AY1156" s="340" t="s">
        <v>323</v>
      </c>
      <c r="BN1156" s="340">
        <v>110.08</v>
      </c>
      <c r="BO1156" s="340" t="s">
        <v>331</v>
      </c>
      <c r="BP1156" s="1385"/>
      <c r="BV1156" s="236">
        <v>6</v>
      </c>
      <c r="BW1156" s="236" t="s">
        <v>304</v>
      </c>
      <c r="CB1156" s="340">
        <v>403.02</v>
      </c>
      <c r="CC1156" s="340" t="s">
        <v>323</v>
      </c>
      <c r="CL1156" s="236">
        <v>53.01</v>
      </c>
      <c r="CM1156" s="236" t="s">
        <v>316</v>
      </c>
      <c r="CR1156" s="340">
        <v>110.15</v>
      </c>
      <c r="CS1156" s="340" t="s">
        <v>331</v>
      </c>
      <c r="CT1156" s="1384"/>
      <c r="DF1156" s="340">
        <v>3.02</v>
      </c>
      <c r="DG1156" s="340" t="s">
        <v>324</v>
      </c>
      <c r="DV1156" s="340">
        <v>114.13</v>
      </c>
      <c r="DW1156" s="340" t="s">
        <v>316</v>
      </c>
      <c r="DX1156" s="1671"/>
    </row>
    <row r="1157" spans="12:128">
      <c r="L1157" s="2481">
        <v>9.0500000000000007</v>
      </c>
      <c r="M1157" s="340" t="s">
        <v>324</v>
      </c>
      <c r="N1157" s="1390"/>
      <c r="O1157" s="2479"/>
      <c r="P1157" s="2282"/>
      <c r="AG1157" s="2297">
        <v>115.04</v>
      </c>
      <c r="AH1157" s="2297" t="s">
        <v>316</v>
      </c>
      <c r="AI1157" s="1390"/>
      <c r="AJ1157" s="2282"/>
      <c r="AK1157" s="2282"/>
      <c r="AL1157" s="1037"/>
      <c r="AX1157" s="340">
        <v>502.07</v>
      </c>
      <c r="AY1157" s="340" t="s">
        <v>323</v>
      </c>
      <c r="BN1157" s="340">
        <v>110.09</v>
      </c>
      <c r="BO1157" s="340" t="s">
        <v>331</v>
      </c>
      <c r="BP1157" s="1385"/>
      <c r="BV1157" s="236">
        <v>8.01</v>
      </c>
      <c r="BW1157" s="236" t="s">
        <v>304</v>
      </c>
      <c r="CB1157" s="340">
        <v>403.1</v>
      </c>
      <c r="CC1157" s="340" t="s">
        <v>323</v>
      </c>
      <c r="CL1157" s="236">
        <v>53.02</v>
      </c>
      <c r="CM1157" s="236" t="s">
        <v>316</v>
      </c>
      <c r="CR1157" s="340">
        <v>110.16</v>
      </c>
      <c r="CS1157" s="340" t="s">
        <v>316</v>
      </c>
      <c r="CT1157" s="1384"/>
      <c r="DF1157" s="340">
        <v>3.03</v>
      </c>
      <c r="DG1157" s="340" t="s">
        <v>324</v>
      </c>
      <c r="DV1157" s="340">
        <v>114.14</v>
      </c>
      <c r="DW1157" s="340" t="s">
        <v>316</v>
      </c>
      <c r="DX1157" s="1671"/>
    </row>
    <row r="1158" spans="12:128">
      <c r="L1158" s="2481">
        <v>9.06</v>
      </c>
      <c r="M1158" s="340" t="s">
        <v>324</v>
      </c>
      <c r="N1158" s="1390"/>
      <c r="O1158" s="2479"/>
      <c r="P1158" s="2282"/>
      <c r="AG1158" s="2297">
        <v>115.06</v>
      </c>
      <c r="AH1158" s="2297" t="s">
        <v>316</v>
      </c>
      <c r="AI1158" s="1390"/>
      <c r="AJ1158" s="2282"/>
      <c r="AK1158" s="2282"/>
      <c r="AL1158" s="1037"/>
      <c r="AX1158" s="340">
        <v>502.08</v>
      </c>
      <c r="AY1158" s="340" t="s">
        <v>323</v>
      </c>
      <c r="BN1158" s="340">
        <v>110.1</v>
      </c>
      <c r="BO1158" s="340" t="s">
        <v>316</v>
      </c>
      <c r="BP1158" s="1385"/>
      <c r="BV1158" s="236">
        <v>8.02</v>
      </c>
      <c r="BW1158" s="236" t="s">
        <v>304</v>
      </c>
      <c r="CB1158" s="340">
        <v>501.03</v>
      </c>
      <c r="CC1158" s="340" t="s">
        <v>323</v>
      </c>
      <c r="CL1158" s="236">
        <v>53.03</v>
      </c>
      <c r="CM1158" s="236" t="s">
        <v>331</v>
      </c>
      <c r="CR1158" s="340">
        <v>110.17</v>
      </c>
      <c r="CS1158" s="340" t="s">
        <v>316</v>
      </c>
      <c r="CT1158" s="1384"/>
      <c r="DF1158" s="340">
        <v>7</v>
      </c>
      <c r="DG1158" s="340" t="s">
        <v>324</v>
      </c>
      <c r="DV1158" s="340">
        <v>114.18</v>
      </c>
      <c r="DW1158" s="340" t="s">
        <v>316</v>
      </c>
      <c r="DX1158" s="1671"/>
    </row>
    <row r="1159" spans="12:128">
      <c r="L1159" s="2481">
        <v>9.07</v>
      </c>
      <c r="M1159" s="340" t="s">
        <v>324</v>
      </c>
      <c r="N1159" s="1390"/>
      <c r="O1159" s="2479"/>
      <c r="P1159" s="2282"/>
      <c r="AG1159" s="2297">
        <v>115.09</v>
      </c>
      <c r="AH1159" s="2297" t="s">
        <v>316</v>
      </c>
      <c r="AI1159" s="1390"/>
      <c r="AJ1159" s="2282"/>
      <c r="AK1159" s="2282"/>
      <c r="AL1159" s="1037"/>
      <c r="AX1159" s="340">
        <v>502.1</v>
      </c>
      <c r="AY1159" s="340" t="s">
        <v>323</v>
      </c>
      <c r="BN1159" s="340">
        <v>110.13</v>
      </c>
      <c r="BO1159" s="340" t="s">
        <v>316</v>
      </c>
      <c r="BP1159" s="1385"/>
      <c r="BV1159" s="236">
        <v>9</v>
      </c>
      <c r="BW1159" s="236" t="s">
        <v>304</v>
      </c>
      <c r="CB1159" s="340">
        <v>501.04</v>
      </c>
      <c r="CC1159" s="340" t="s">
        <v>323</v>
      </c>
      <c r="CL1159" s="236">
        <v>53.04</v>
      </c>
      <c r="CM1159" s="236" t="s">
        <v>331</v>
      </c>
      <c r="CR1159" s="340">
        <v>110.18</v>
      </c>
      <c r="CS1159" s="340" t="s">
        <v>316</v>
      </c>
      <c r="CT1159" s="1384"/>
      <c r="DF1159" s="340">
        <v>8</v>
      </c>
      <c r="DG1159" s="340" t="s">
        <v>324</v>
      </c>
      <c r="DV1159" s="340">
        <v>115</v>
      </c>
      <c r="DW1159" s="340" t="s">
        <v>331</v>
      </c>
      <c r="DX1159" s="1671"/>
    </row>
    <row r="1160" spans="12:128">
      <c r="L1160" s="2481">
        <v>16.010000000000002</v>
      </c>
      <c r="M1160" s="340" t="s">
        <v>324</v>
      </c>
      <c r="N1160" s="1390"/>
      <c r="O1160" s="2479"/>
      <c r="P1160" s="2282"/>
      <c r="AG1160" s="2297">
        <v>115.1</v>
      </c>
      <c r="AH1160" s="2297" t="s">
        <v>316</v>
      </c>
      <c r="AI1160" s="1390"/>
      <c r="AJ1160" s="2282"/>
      <c r="AK1160" s="2282"/>
      <c r="AL1160" s="1037"/>
      <c r="AX1160" s="340">
        <v>502.11</v>
      </c>
      <c r="AY1160" s="340" t="s">
        <v>323</v>
      </c>
      <c r="BN1160" s="340">
        <v>110.13</v>
      </c>
      <c r="BO1160" s="340" t="s">
        <v>331</v>
      </c>
      <c r="BP1160" s="1385"/>
      <c r="BV1160" s="236">
        <v>10.01</v>
      </c>
      <c r="BW1160" s="236" t="s">
        <v>304</v>
      </c>
      <c r="CB1160" s="340">
        <v>501.05</v>
      </c>
      <c r="CC1160" s="340" t="s">
        <v>323</v>
      </c>
      <c r="CL1160" s="236">
        <v>53.05</v>
      </c>
      <c r="CM1160" s="236" t="s">
        <v>331</v>
      </c>
      <c r="CR1160" s="340">
        <v>110.19</v>
      </c>
      <c r="CS1160" s="340" t="s">
        <v>316</v>
      </c>
      <c r="CT1160" s="1384"/>
      <c r="DF1160" s="340">
        <v>9.0399999999999991</v>
      </c>
      <c r="DG1160" s="340" t="s">
        <v>324</v>
      </c>
      <c r="DV1160" s="340">
        <v>115.04</v>
      </c>
      <c r="DW1160" s="340" t="s">
        <v>316</v>
      </c>
      <c r="DX1160" s="1671"/>
    </row>
    <row r="1161" spans="12:128">
      <c r="L1161" s="2481">
        <v>16.02</v>
      </c>
      <c r="M1161" s="340" t="s">
        <v>324</v>
      </c>
      <c r="N1161" s="1390"/>
      <c r="O1161" s="2479"/>
      <c r="P1161" s="2282"/>
      <c r="AG1161" s="2297">
        <v>115.12</v>
      </c>
      <c r="AH1161" s="2297" t="s">
        <v>316</v>
      </c>
      <c r="AI1161" s="1390"/>
      <c r="AJ1161" s="2282"/>
      <c r="AK1161" s="2282"/>
      <c r="AL1161" s="1037"/>
      <c r="AX1161" s="340">
        <v>502.12</v>
      </c>
      <c r="AY1161" s="340" t="s">
        <v>323</v>
      </c>
      <c r="BN1161" s="340">
        <v>110.14</v>
      </c>
      <c r="BO1161" s="340" t="s">
        <v>331</v>
      </c>
      <c r="BP1161" s="1385"/>
      <c r="BV1161" s="236">
        <v>10.02</v>
      </c>
      <c r="BW1161" s="236" t="s">
        <v>304</v>
      </c>
      <c r="CB1161" s="340">
        <v>501.06</v>
      </c>
      <c r="CC1161" s="340" t="s">
        <v>323</v>
      </c>
      <c r="CL1161" s="236">
        <v>53.06</v>
      </c>
      <c r="CM1161" s="236" t="s">
        <v>331</v>
      </c>
      <c r="CR1161" s="340">
        <v>111</v>
      </c>
      <c r="CS1161" s="340" t="s">
        <v>338</v>
      </c>
      <c r="CT1161" s="1384"/>
      <c r="DF1161" s="340">
        <v>9.06</v>
      </c>
      <c r="DG1161" s="340" t="s">
        <v>324</v>
      </c>
      <c r="DV1161" s="340">
        <v>115.06</v>
      </c>
      <c r="DW1161" s="340" t="s">
        <v>316</v>
      </c>
      <c r="DX1161" s="1671"/>
    </row>
    <row r="1162" spans="12:128">
      <c r="L1162" s="2481">
        <v>17.010000000000002</v>
      </c>
      <c r="M1162" s="340" t="s">
        <v>324</v>
      </c>
      <c r="N1162" s="1390"/>
      <c r="O1162" s="2479"/>
      <c r="P1162" s="2282"/>
      <c r="AG1162" s="2297">
        <v>115.14</v>
      </c>
      <c r="AH1162" s="2297" t="s">
        <v>316</v>
      </c>
      <c r="AI1162" s="1390"/>
      <c r="AJ1162" s="2282"/>
      <c r="AK1162" s="2282"/>
      <c r="AL1162" s="1037"/>
      <c r="AX1162" s="340">
        <v>502.13</v>
      </c>
      <c r="AY1162" s="340" t="s">
        <v>323</v>
      </c>
      <c r="BN1162" s="340">
        <v>110.15</v>
      </c>
      <c r="BO1162" s="340" t="s">
        <v>331</v>
      </c>
      <c r="BP1162" s="1385"/>
      <c r="BV1162" s="236">
        <v>11.01</v>
      </c>
      <c r="BW1162" s="236" t="s">
        <v>304</v>
      </c>
      <c r="CB1162" s="340">
        <v>502.04</v>
      </c>
      <c r="CC1162" s="340" t="s">
        <v>323</v>
      </c>
      <c r="CL1162" s="236">
        <v>54.01</v>
      </c>
      <c r="CM1162" s="236" t="s">
        <v>316</v>
      </c>
      <c r="CR1162" s="340">
        <v>111.03</v>
      </c>
      <c r="CS1162" s="340" t="s">
        <v>316</v>
      </c>
      <c r="CT1162" s="1384"/>
      <c r="DF1162" s="340">
        <v>9.07</v>
      </c>
      <c r="DG1162" s="340" t="s">
        <v>324</v>
      </c>
      <c r="DV1162" s="340">
        <v>115.09</v>
      </c>
      <c r="DW1162" s="340" t="s">
        <v>316</v>
      </c>
      <c r="DX1162" s="1671"/>
    </row>
    <row r="1163" spans="12:128">
      <c r="L1163" s="2481">
        <v>17.02</v>
      </c>
      <c r="M1163" s="340" t="s">
        <v>324</v>
      </c>
      <c r="N1163" s="1390"/>
      <c r="O1163" s="2479"/>
      <c r="P1163" s="2282"/>
      <c r="AG1163" s="2297">
        <v>115.15</v>
      </c>
      <c r="AH1163" s="2297" t="s">
        <v>316</v>
      </c>
      <c r="AI1163" s="1390"/>
      <c r="AJ1163" s="2282"/>
      <c r="AK1163" s="2282"/>
      <c r="AL1163" s="1037"/>
      <c r="AX1163" s="340">
        <v>503.05</v>
      </c>
      <c r="AY1163" s="340" t="s">
        <v>323</v>
      </c>
      <c r="BN1163" s="340">
        <v>110.16</v>
      </c>
      <c r="BO1163" s="340" t="s">
        <v>316</v>
      </c>
      <c r="BP1163" s="1385"/>
      <c r="BV1163" s="236">
        <v>11.03</v>
      </c>
      <c r="BW1163" s="236" t="s">
        <v>304</v>
      </c>
      <c r="CB1163" s="340">
        <v>502.06</v>
      </c>
      <c r="CC1163" s="340" t="s">
        <v>323</v>
      </c>
      <c r="CL1163" s="236">
        <v>54.03</v>
      </c>
      <c r="CM1163" s="236" t="s">
        <v>331</v>
      </c>
      <c r="CR1163" s="340">
        <v>111.05</v>
      </c>
      <c r="CS1163" s="340" t="s">
        <v>331</v>
      </c>
      <c r="CT1163" s="1384"/>
      <c r="DF1163" s="340">
        <v>16.02</v>
      </c>
      <c r="DG1163" s="340" t="s">
        <v>324</v>
      </c>
      <c r="DV1163" s="340">
        <v>115.1</v>
      </c>
      <c r="DW1163" s="340" t="s">
        <v>316</v>
      </c>
      <c r="DX1163" s="1671"/>
    </row>
    <row r="1164" spans="12:128">
      <c r="L1164" s="2481">
        <v>22.05</v>
      </c>
      <c r="M1164" s="340" t="s">
        <v>324</v>
      </c>
      <c r="N1164" s="1390"/>
      <c r="O1164" s="2479"/>
      <c r="P1164" s="2282"/>
      <c r="AG1164" s="2297">
        <v>115.16</v>
      </c>
      <c r="AH1164" s="2297" t="s">
        <v>316</v>
      </c>
      <c r="AI1164" s="1390"/>
      <c r="AJ1164" s="2282"/>
      <c r="AK1164" s="2282"/>
      <c r="AL1164" s="1037"/>
      <c r="AX1164" s="340">
        <v>503.06</v>
      </c>
      <c r="AY1164" s="340" t="s">
        <v>323</v>
      </c>
      <c r="BN1164" s="340">
        <v>110.17</v>
      </c>
      <c r="BO1164" s="340" t="s">
        <v>316</v>
      </c>
      <c r="BP1164" s="1385"/>
      <c r="BV1164" s="236">
        <v>11.04</v>
      </c>
      <c r="BW1164" s="236" t="s">
        <v>304</v>
      </c>
      <c r="CB1164" s="340">
        <v>502.07</v>
      </c>
      <c r="CC1164" s="340" t="s">
        <v>323</v>
      </c>
      <c r="CL1164" s="236">
        <v>54.05</v>
      </c>
      <c r="CM1164" s="236" t="s">
        <v>331</v>
      </c>
      <c r="CR1164" s="340">
        <v>111.06</v>
      </c>
      <c r="CS1164" s="340" t="s">
        <v>331</v>
      </c>
      <c r="CT1164" s="1384"/>
      <c r="DF1164" s="340">
        <v>17.010000000000002</v>
      </c>
      <c r="DG1164" s="340" t="s">
        <v>324</v>
      </c>
      <c r="DV1164" s="340">
        <v>115.12</v>
      </c>
      <c r="DW1164" s="340" t="s">
        <v>316</v>
      </c>
      <c r="DX1164" s="1671"/>
    </row>
    <row r="1165" spans="12:128">
      <c r="L1165" s="2481">
        <v>22.06</v>
      </c>
      <c r="M1165" s="340" t="s">
        <v>324</v>
      </c>
      <c r="N1165" s="1390"/>
      <c r="O1165" s="2479"/>
      <c r="P1165" s="2282"/>
      <c r="AG1165" s="2297">
        <v>115.18</v>
      </c>
      <c r="AH1165" s="2297" t="s">
        <v>316</v>
      </c>
      <c r="AI1165" s="1390"/>
      <c r="AJ1165" s="2282"/>
      <c r="AK1165" s="2282"/>
      <c r="AL1165" s="1037"/>
      <c r="AX1165" s="340">
        <v>503.11</v>
      </c>
      <c r="AY1165" s="340" t="s">
        <v>323</v>
      </c>
      <c r="BN1165" s="340">
        <v>110.18</v>
      </c>
      <c r="BO1165" s="340" t="s">
        <v>316</v>
      </c>
      <c r="BP1165" s="1385"/>
      <c r="BV1165" s="236">
        <v>12.01</v>
      </c>
      <c r="BW1165" s="236" t="s">
        <v>304</v>
      </c>
      <c r="CB1165" s="340">
        <v>502.08</v>
      </c>
      <c r="CC1165" s="340" t="s">
        <v>323</v>
      </c>
      <c r="CL1165" s="236">
        <v>54.06</v>
      </c>
      <c r="CM1165" s="236" t="s">
        <v>331</v>
      </c>
      <c r="CR1165" s="340">
        <v>111.07</v>
      </c>
      <c r="CS1165" s="340" t="s">
        <v>297</v>
      </c>
      <c r="CT1165" s="1384"/>
      <c r="DF1165" s="340">
        <v>17.02</v>
      </c>
      <c r="DG1165" s="340" t="s">
        <v>324</v>
      </c>
      <c r="DV1165" s="340">
        <v>115.14</v>
      </c>
      <c r="DW1165" s="340" t="s">
        <v>316</v>
      </c>
      <c r="DX1165" s="1671"/>
    </row>
    <row r="1166" spans="12:128">
      <c r="L1166" s="2481">
        <v>22.08</v>
      </c>
      <c r="M1166" s="340" t="s">
        <v>324</v>
      </c>
      <c r="N1166" s="1390"/>
      <c r="O1166" s="2479"/>
      <c r="P1166" s="2282"/>
      <c r="AG1166" s="2297">
        <v>115.19</v>
      </c>
      <c r="AH1166" s="2297" t="s">
        <v>316</v>
      </c>
      <c r="AI1166" s="1390"/>
      <c r="AJ1166" s="2282"/>
      <c r="AK1166" s="2282"/>
      <c r="AL1166" s="1037"/>
      <c r="AX1166" s="340">
        <v>503.12</v>
      </c>
      <c r="AY1166" s="340" t="s">
        <v>323</v>
      </c>
      <c r="BN1166" s="340">
        <v>110.19</v>
      </c>
      <c r="BO1166" s="340" t="s">
        <v>316</v>
      </c>
      <c r="BP1166" s="1385"/>
      <c r="BV1166" s="236">
        <v>12.02</v>
      </c>
      <c r="BW1166" s="236" t="s">
        <v>304</v>
      </c>
      <c r="CB1166" s="340">
        <v>502.1</v>
      </c>
      <c r="CC1166" s="340" t="s">
        <v>323</v>
      </c>
      <c r="CL1166" s="236">
        <v>54.07</v>
      </c>
      <c r="CM1166" s="236" t="s">
        <v>331</v>
      </c>
      <c r="CR1166" s="340">
        <v>111.07</v>
      </c>
      <c r="CS1166" s="340" t="s">
        <v>316</v>
      </c>
      <c r="CT1166" s="1384"/>
      <c r="DF1166" s="340">
        <v>18.03</v>
      </c>
      <c r="DG1166" s="340" t="s">
        <v>324</v>
      </c>
      <c r="DV1166" s="340">
        <v>115.15</v>
      </c>
      <c r="DW1166" s="340" t="s">
        <v>316</v>
      </c>
      <c r="DX1166" s="1671"/>
    </row>
    <row r="1167" spans="12:128">
      <c r="L1167" s="2481">
        <v>23.02</v>
      </c>
      <c r="M1167" s="340" t="s">
        <v>324</v>
      </c>
      <c r="N1167" s="1390"/>
      <c r="O1167" s="2479"/>
      <c r="P1167" s="2282"/>
      <c r="AG1167" s="2297">
        <v>115.2</v>
      </c>
      <c r="AH1167" s="2297" t="s">
        <v>316</v>
      </c>
      <c r="AI1167" s="1390"/>
      <c r="AJ1167" s="2282"/>
      <c r="AK1167" s="2282"/>
      <c r="AL1167" s="1037"/>
      <c r="AX1167" s="340">
        <v>503.15</v>
      </c>
      <c r="AY1167" s="340" t="s">
        <v>323</v>
      </c>
      <c r="BN1167" s="340">
        <v>111</v>
      </c>
      <c r="BO1167" s="340" t="s">
        <v>338</v>
      </c>
      <c r="BP1167" s="1385"/>
      <c r="BV1167" s="236">
        <v>13</v>
      </c>
      <c r="BW1167" s="236" t="s">
        <v>304</v>
      </c>
      <c r="CB1167" s="340">
        <v>502.11</v>
      </c>
      <c r="CC1167" s="340" t="s">
        <v>323</v>
      </c>
      <c r="CL1167" s="236">
        <v>54.09</v>
      </c>
      <c r="CM1167" s="236" t="s">
        <v>331</v>
      </c>
      <c r="CR1167" s="340">
        <v>111.08</v>
      </c>
      <c r="CS1167" s="340" t="s">
        <v>316</v>
      </c>
      <c r="CT1167" s="1384"/>
      <c r="DF1167" s="340">
        <v>22.05</v>
      </c>
      <c r="DG1167" s="340" t="s">
        <v>324</v>
      </c>
      <c r="DV1167" s="340">
        <v>115.16</v>
      </c>
      <c r="DW1167" s="340" t="s">
        <v>316</v>
      </c>
      <c r="DX1167" s="1671"/>
    </row>
    <row r="1168" spans="12:128">
      <c r="L1168" s="2481">
        <v>23.03</v>
      </c>
      <c r="M1168" s="340" t="s">
        <v>324</v>
      </c>
      <c r="N1168" s="1390"/>
      <c r="O1168" s="2479"/>
      <c r="P1168" s="2282"/>
      <c r="AG1168" s="2297">
        <v>115.21</v>
      </c>
      <c r="AH1168" s="2297" t="s">
        <v>316</v>
      </c>
      <c r="AI1168" s="1390"/>
      <c r="AJ1168" s="2282"/>
      <c r="AK1168" s="2282"/>
      <c r="AL1168" s="1037"/>
      <c r="AX1168" s="340">
        <v>503.16</v>
      </c>
      <c r="AY1168" s="340" t="s">
        <v>323</v>
      </c>
      <c r="BN1168" s="340">
        <v>111.03</v>
      </c>
      <c r="BO1168" s="340" t="s">
        <v>316</v>
      </c>
      <c r="BP1168" s="1385"/>
      <c r="BV1168" s="236">
        <v>14.01</v>
      </c>
      <c r="BW1168" s="236" t="s">
        <v>304</v>
      </c>
      <c r="CB1168" s="340">
        <v>502.12</v>
      </c>
      <c r="CC1168" s="340" t="s">
        <v>323</v>
      </c>
      <c r="CL1168" s="236">
        <v>54.1</v>
      </c>
      <c r="CM1168" s="236" t="s">
        <v>331</v>
      </c>
      <c r="CR1168" s="340">
        <v>111.09</v>
      </c>
      <c r="CS1168" s="340" t="s">
        <v>297</v>
      </c>
      <c r="CT1168" s="1384"/>
      <c r="DF1168" s="340">
        <v>22.06</v>
      </c>
      <c r="DG1168" s="340" t="s">
        <v>324</v>
      </c>
      <c r="DV1168" s="340">
        <v>115.18</v>
      </c>
      <c r="DW1168" s="340" t="s">
        <v>316</v>
      </c>
      <c r="DX1168" s="1671"/>
    </row>
    <row r="1169" spans="12:128">
      <c r="L1169" s="2481">
        <v>24.03</v>
      </c>
      <c r="M1169" s="340" t="s">
        <v>324</v>
      </c>
      <c r="N1169" s="1390"/>
      <c r="O1169" s="2479"/>
      <c r="P1169" s="2282"/>
      <c r="AG1169" s="2297">
        <v>115.22</v>
      </c>
      <c r="AH1169" s="2297" t="s">
        <v>316</v>
      </c>
      <c r="AI1169" s="1390"/>
      <c r="AJ1169" s="2282"/>
      <c r="AK1169" s="2282"/>
      <c r="AL1169" s="1037"/>
      <c r="AX1169" s="340">
        <v>503.17</v>
      </c>
      <c r="AY1169" s="340" t="s">
        <v>323</v>
      </c>
      <c r="BN1169" s="340">
        <v>111.05</v>
      </c>
      <c r="BO1169" s="340" t="s">
        <v>331</v>
      </c>
      <c r="BP1169" s="1385"/>
      <c r="BV1169" s="236">
        <v>14.02</v>
      </c>
      <c r="BW1169" s="236" t="s">
        <v>304</v>
      </c>
      <c r="CB1169" s="340">
        <v>502.13</v>
      </c>
      <c r="CC1169" s="340" t="s">
        <v>323</v>
      </c>
      <c r="CL1169" s="236">
        <v>54.11</v>
      </c>
      <c r="CM1169" s="236" t="s">
        <v>340</v>
      </c>
      <c r="CR1169" s="340">
        <v>111.09</v>
      </c>
      <c r="CS1169" s="340" t="s">
        <v>316</v>
      </c>
      <c r="CT1169" s="1384"/>
      <c r="DF1169" s="340">
        <v>22.07</v>
      </c>
      <c r="DG1169" s="340" t="s">
        <v>324</v>
      </c>
      <c r="DV1169" s="340">
        <v>115.19</v>
      </c>
      <c r="DW1169" s="340" t="s">
        <v>316</v>
      </c>
      <c r="DX1169" s="1671"/>
    </row>
    <row r="1170" spans="12:128">
      <c r="L1170" s="2481">
        <v>24.1</v>
      </c>
      <c r="M1170" s="340" t="s">
        <v>324</v>
      </c>
      <c r="N1170" s="1390"/>
      <c r="O1170" s="2479"/>
      <c r="P1170" s="2282"/>
      <c r="AG1170" s="2297">
        <v>115.23</v>
      </c>
      <c r="AH1170" s="2297" t="s">
        <v>316</v>
      </c>
      <c r="AI1170" s="1390"/>
      <c r="AJ1170" s="2282"/>
      <c r="AK1170" s="2282"/>
      <c r="AL1170" s="1037"/>
      <c r="AX1170" s="340">
        <v>503.18</v>
      </c>
      <c r="AY1170" s="340" t="s">
        <v>323</v>
      </c>
      <c r="BN1170" s="340">
        <v>111.06</v>
      </c>
      <c r="BO1170" s="340" t="s">
        <v>316</v>
      </c>
      <c r="BP1170" s="1385"/>
      <c r="BV1170" s="236">
        <v>15</v>
      </c>
      <c r="BW1170" s="236" t="s">
        <v>304</v>
      </c>
      <c r="CB1170" s="340">
        <v>503.05</v>
      </c>
      <c r="CC1170" s="340" t="s">
        <v>323</v>
      </c>
      <c r="CL1170" s="236">
        <v>54.12</v>
      </c>
      <c r="CM1170" s="236" t="s">
        <v>340</v>
      </c>
      <c r="CR1170" s="340">
        <v>111.11</v>
      </c>
      <c r="CS1170" s="340" t="s">
        <v>297</v>
      </c>
      <c r="CT1170" s="1384"/>
      <c r="DF1170" s="340">
        <v>22.08</v>
      </c>
      <c r="DG1170" s="340" t="s">
        <v>324</v>
      </c>
      <c r="DV1170" s="340">
        <v>115.2</v>
      </c>
      <c r="DW1170" s="340" t="s">
        <v>316</v>
      </c>
      <c r="DX1170" s="1671"/>
    </row>
    <row r="1171" spans="12:128">
      <c r="L1171" s="2481">
        <v>24.11</v>
      </c>
      <c r="M1171" s="340" t="s">
        <v>324</v>
      </c>
      <c r="N1171" s="1390"/>
      <c r="O1171" s="2479"/>
      <c r="P1171" s="2282"/>
      <c r="AG1171" s="2297">
        <v>115.24</v>
      </c>
      <c r="AH1171" s="2297" t="s">
        <v>316</v>
      </c>
      <c r="AI1171" s="1390"/>
      <c r="AJ1171" s="2282"/>
      <c r="AK1171" s="2282"/>
      <c r="AL1171" s="1037"/>
      <c r="AX1171" s="340">
        <v>503.19</v>
      </c>
      <c r="AY1171" s="340" t="s">
        <v>323</v>
      </c>
      <c r="BN1171" s="340">
        <v>111.06</v>
      </c>
      <c r="BO1171" s="340" t="s">
        <v>331</v>
      </c>
      <c r="BP1171" s="1385"/>
      <c r="BV1171" s="236">
        <v>16</v>
      </c>
      <c r="BW1171" s="236" t="s">
        <v>304</v>
      </c>
      <c r="CB1171" s="340">
        <v>503.06</v>
      </c>
      <c r="CC1171" s="340" t="s">
        <v>323</v>
      </c>
      <c r="CL1171" s="236">
        <v>54.13</v>
      </c>
      <c r="CM1171" s="236" t="s">
        <v>340</v>
      </c>
      <c r="CR1171" s="340">
        <v>111.12</v>
      </c>
      <c r="CS1171" s="340" t="s">
        <v>297</v>
      </c>
      <c r="CT1171" s="1384"/>
      <c r="DF1171" s="340">
        <v>23.02</v>
      </c>
      <c r="DG1171" s="340" t="s">
        <v>324</v>
      </c>
      <c r="DV1171" s="340">
        <v>115.21</v>
      </c>
      <c r="DW1171" s="340" t="s">
        <v>316</v>
      </c>
      <c r="DX1171" s="1671"/>
    </row>
    <row r="1172" spans="12:128">
      <c r="L1172" s="2481">
        <v>24.13</v>
      </c>
      <c r="M1172" s="340" t="s">
        <v>324</v>
      </c>
      <c r="N1172" s="1390"/>
      <c r="O1172" s="2479"/>
      <c r="P1172" s="2282"/>
      <c r="AG1172" s="2297">
        <v>115.25</v>
      </c>
      <c r="AH1172" s="2297" t="s">
        <v>316</v>
      </c>
      <c r="AI1172" s="1390"/>
      <c r="AJ1172" s="2282"/>
      <c r="AK1172" s="2282"/>
      <c r="AL1172" s="1037"/>
      <c r="AX1172" s="340">
        <v>503.2</v>
      </c>
      <c r="AY1172" s="340" t="s">
        <v>323</v>
      </c>
      <c r="BN1172" s="340">
        <v>111.07</v>
      </c>
      <c r="BO1172" s="340" t="s">
        <v>297</v>
      </c>
      <c r="BP1172" s="1385"/>
      <c r="BV1172" s="236">
        <v>17</v>
      </c>
      <c r="BW1172" s="236" t="s">
        <v>304</v>
      </c>
      <c r="CB1172" s="340">
        <v>503.11</v>
      </c>
      <c r="CC1172" s="340" t="s">
        <v>323</v>
      </c>
      <c r="CL1172" s="236">
        <v>55</v>
      </c>
      <c r="CM1172" s="236" t="s">
        <v>316</v>
      </c>
      <c r="CR1172" s="340">
        <v>111.13</v>
      </c>
      <c r="CS1172" s="340" t="s">
        <v>297</v>
      </c>
      <c r="CT1172" s="1384"/>
      <c r="DF1172" s="340">
        <v>23.03</v>
      </c>
      <c r="DG1172" s="340" t="s">
        <v>324</v>
      </c>
      <c r="DV1172" s="340">
        <v>115.22</v>
      </c>
      <c r="DW1172" s="340" t="s">
        <v>316</v>
      </c>
      <c r="DX1172" s="1671"/>
    </row>
    <row r="1173" spans="12:128">
      <c r="L1173" s="2481">
        <v>24.14</v>
      </c>
      <c r="M1173" s="340" t="s">
        <v>324</v>
      </c>
      <c r="N1173" s="1390"/>
      <c r="O1173" s="2479"/>
      <c r="P1173" s="2282"/>
      <c r="AG1173" s="2297">
        <v>115.26</v>
      </c>
      <c r="AH1173" s="2297" t="s">
        <v>316</v>
      </c>
      <c r="AI1173" s="1390"/>
      <c r="AJ1173" s="2282"/>
      <c r="AK1173" s="2282"/>
      <c r="AL1173" s="1037"/>
      <c r="AX1173" s="340">
        <v>503.21</v>
      </c>
      <c r="AY1173" s="340" t="s">
        <v>323</v>
      </c>
      <c r="BN1173" s="340">
        <v>111.07</v>
      </c>
      <c r="BO1173" s="340" t="s">
        <v>316</v>
      </c>
      <c r="BP1173" s="1385"/>
      <c r="BV1173" s="236">
        <v>18</v>
      </c>
      <c r="BW1173" s="236" t="s">
        <v>304</v>
      </c>
      <c r="CB1173" s="340">
        <v>503.12</v>
      </c>
      <c r="CC1173" s="340" t="s">
        <v>323</v>
      </c>
      <c r="CL1173" s="236">
        <v>55.01</v>
      </c>
      <c r="CM1173" s="236" t="s">
        <v>340</v>
      </c>
      <c r="CR1173" s="340">
        <v>112</v>
      </c>
      <c r="CS1173" s="340" t="s">
        <v>338</v>
      </c>
      <c r="CT1173" s="1384"/>
      <c r="DF1173" s="340">
        <v>24.03</v>
      </c>
      <c r="DG1173" s="340" t="s">
        <v>324</v>
      </c>
      <c r="DV1173" s="340">
        <v>115.23</v>
      </c>
      <c r="DW1173" s="340" t="s">
        <v>316</v>
      </c>
      <c r="DX1173" s="1671"/>
    </row>
    <row r="1174" spans="12:128">
      <c r="L1174" s="2481">
        <v>24.15</v>
      </c>
      <c r="M1174" s="340" t="s">
        <v>324</v>
      </c>
      <c r="N1174" s="1390"/>
      <c r="O1174" s="2479"/>
      <c r="P1174" s="2282"/>
      <c r="AG1174" s="2297">
        <v>115.27</v>
      </c>
      <c r="AH1174" s="2297" t="s">
        <v>316</v>
      </c>
      <c r="AI1174" s="1390"/>
      <c r="AJ1174" s="2282"/>
      <c r="AK1174" s="2282"/>
      <c r="AL1174" s="1037"/>
      <c r="AX1174" s="340">
        <v>503.22</v>
      </c>
      <c r="AY1174" s="340" t="s">
        <v>323</v>
      </c>
      <c r="BN1174" s="340">
        <v>111.08</v>
      </c>
      <c r="BO1174" s="340" t="s">
        <v>316</v>
      </c>
      <c r="BP1174" s="1385"/>
      <c r="BV1174" s="236">
        <v>19</v>
      </c>
      <c r="BW1174" s="236" t="s">
        <v>304</v>
      </c>
      <c r="CB1174" s="340">
        <v>503.15</v>
      </c>
      <c r="CC1174" s="340" t="s">
        <v>323</v>
      </c>
      <c r="CL1174" s="236">
        <v>55.02</v>
      </c>
      <c r="CM1174" s="236" t="s">
        <v>340</v>
      </c>
      <c r="CR1174" s="340">
        <v>112.03</v>
      </c>
      <c r="CS1174" s="340" t="s">
        <v>316</v>
      </c>
      <c r="CT1174" s="1384"/>
      <c r="DF1174" s="340">
        <v>24.1</v>
      </c>
      <c r="DG1174" s="340" t="s">
        <v>324</v>
      </c>
      <c r="DV1174" s="340">
        <v>115.24</v>
      </c>
      <c r="DW1174" s="340" t="s">
        <v>316</v>
      </c>
      <c r="DX1174" s="1671"/>
    </row>
    <row r="1175" spans="12:128">
      <c r="L1175" s="2481">
        <v>24.16</v>
      </c>
      <c r="M1175" s="340" t="s">
        <v>324</v>
      </c>
      <c r="N1175" s="1390"/>
      <c r="O1175" s="2479"/>
      <c r="P1175" s="2282"/>
      <c r="AG1175" s="2297">
        <v>115.28</v>
      </c>
      <c r="AH1175" s="2297" t="s">
        <v>316</v>
      </c>
      <c r="AI1175" s="1390"/>
      <c r="AJ1175" s="2282"/>
      <c r="AK1175" s="2282"/>
      <c r="AL1175" s="1037"/>
      <c r="AX1175" s="340">
        <v>503.23</v>
      </c>
      <c r="AY1175" s="340" t="s">
        <v>323</v>
      </c>
      <c r="BN1175" s="340">
        <v>111.09</v>
      </c>
      <c r="BO1175" s="340" t="s">
        <v>297</v>
      </c>
      <c r="BP1175" s="1385"/>
      <c r="BV1175" s="236">
        <v>20</v>
      </c>
      <c r="BW1175" s="236" t="s">
        <v>304</v>
      </c>
      <c r="CB1175" s="340">
        <v>503.16</v>
      </c>
      <c r="CC1175" s="340" t="s">
        <v>323</v>
      </c>
      <c r="CL1175" s="236">
        <v>55.03</v>
      </c>
      <c r="CM1175" s="236" t="s">
        <v>331</v>
      </c>
      <c r="CR1175" s="340">
        <v>112.04</v>
      </c>
      <c r="CS1175" s="340" t="s">
        <v>316</v>
      </c>
      <c r="CT1175" s="1384"/>
      <c r="DF1175" s="340">
        <v>24.11</v>
      </c>
      <c r="DG1175" s="340" t="s">
        <v>324</v>
      </c>
      <c r="DV1175" s="340">
        <v>115.25</v>
      </c>
      <c r="DW1175" s="340" t="s">
        <v>316</v>
      </c>
      <c r="DX1175" s="1671"/>
    </row>
    <row r="1176" spans="12:128">
      <c r="L1176" s="2481">
        <v>24.18</v>
      </c>
      <c r="M1176" s="340" t="s">
        <v>324</v>
      </c>
      <c r="N1176" s="1390"/>
      <c r="O1176" s="2479"/>
      <c r="P1176" s="2282"/>
      <c r="AG1176" s="2297">
        <v>116.01</v>
      </c>
      <c r="AH1176" s="2297" t="s">
        <v>331</v>
      </c>
      <c r="AI1176" s="1390"/>
      <c r="AJ1176" s="2282"/>
      <c r="AK1176" s="2282"/>
      <c r="AL1176" s="1037"/>
      <c r="AX1176" s="340">
        <v>503.24</v>
      </c>
      <c r="AY1176" s="340" t="s">
        <v>323</v>
      </c>
      <c r="BN1176" s="340">
        <v>111.09</v>
      </c>
      <c r="BO1176" s="340" t="s">
        <v>316</v>
      </c>
      <c r="BP1176" s="1385"/>
      <c r="BV1176" s="236">
        <v>21</v>
      </c>
      <c r="BW1176" s="236" t="s">
        <v>304</v>
      </c>
      <c r="CB1176" s="340">
        <v>503.17</v>
      </c>
      <c r="CC1176" s="340" t="s">
        <v>323</v>
      </c>
      <c r="CL1176" s="236">
        <v>55.04</v>
      </c>
      <c r="CM1176" s="236" t="s">
        <v>331</v>
      </c>
      <c r="CR1176" s="340">
        <v>112.04</v>
      </c>
      <c r="CS1176" s="340" t="s">
        <v>331</v>
      </c>
      <c r="CT1176" s="1384"/>
      <c r="DF1176" s="340">
        <v>24.13</v>
      </c>
      <c r="DG1176" s="340" t="s">
        <v>324</v>
      </c>
      <c r="DV1176" s="340">
        <v>115.26</v>
      </c>
      <c r="DW1176" s="340" t="s">
        <v>316</v>
      </c>
      <c r="DX1176" s="1671"/>
    </row>
    <row r="1177" spans="12:128">
      <c r="L1177" s="2481">
        <v>24.19</v>
      </c>
      <c r="M1177" s="340" t="s">
        <v>324</v>
      </c>
      <c r="N1177" s="1390"/>
      <c r="O1177" s="2479"/>
      <c r="P1177" s="2282"/>
      <c r="AG1177" s="2297">
        <v>116.02</v>
      </c>
      <c r="AH1177" s="2297" t="s">
        <v>331</v>
      </c>
      <c r="AI1177" s="1390"/>
      <c r="AJ1177" s="2282"/>
      <c r="AK1177" s="2282"/>
      <c r="AL1177" s="1037"/>
      <c r="AX1177" s="340">
        <v>503.25</v>
      </c>
      <c r="AY1177" s="340" t="s">
        <v>323</v>
      </c>
      <c r="BN1177" s="340">
        <v>111.11</v>
      </c>
      <c r="BO1177" s="340" t="s">
        <v>297</v>
      </c>
      <c r="BP1177" s="1385"/>
      <c r="BV1177" s="236">
        <v>22</v>
      </c>
      <c r="BW1177" s="236" t="s">
        <v>304</v>
      </c>
      <c r="CB1177" s="340">
        <v>503.18</v>
      </c>
      <c r="CC1177" s="340" t="s">
        <v>323</v>
      </c>
      <c r="CL1177" s="236">
        <v>55.05</v>
      </c>
      <c r="CM1177" s="236" t="s">
        <v>331</v>
      </c>
      <c r="CR1177" s="340">
        <v>112.05</v>
      </c>
      <c r="CS1177" s="340" t="s">
        <v>316</v>
      </c>
      <c r="CT1177" s="1384"/>
      <c r="DF1177" s="340">
        <v>24.14</v>
      </c>
      <c r="DG1177" s="340" t="s">
        <v>324</v>
      </c>
      <c r="DV1177" s="340">
        <v>115.27</v>
      </c>
      <c r="DW1177" s="340" t="s">
        <v>316</v>
      </c>
      <c r="DX1177" s="1671"/>
    </row>
    <row r="1178" spans="12:128">
      <c r="L1178" s="2481">
        <v>24.2</v>
      </c>
      <c r="M1178" s="340" t="s">
        <v>324</v>
      </c>
      <c r="N1178" s="1390"/>
      <c r="O1178" s="2479"/>
      <c r="P1178" s="2282"/>
      <c r="AG1178" s="2297">
        <v>116.03</v>
      </c>
      <c r="AH1178" s="2297" t="s">
        <v>316</v>
      </c>
      <c r="AI1178" s="1390"/>
      <c r="AJ1178" s="2282"/>
      <c r="AK1178" s="2282"/>
      <c r="AL1178" s="1037"/>
      <c r="AX1178" s="340">
        <v>504.02</v>
      </c>
      <c r="AY1178" s="340" t="s">
        <v>323</v>
      </c>
      <c r="BN1178" s="340">
        <v>111.12</v>
      </c>
      <c r="BO1178" s="340" t="s">
        <v>297</v>
      </c>
      <c r="BP1178" s="1385"/>
      <c r="BV1178" s="236">
        <v>23</v>
      </c>
      <c r="BW1178" s="236" t="s">
        <v>304</v>
      </c>
      <c r="CB1178" s="340">
        <v>503.19</v>
      </c>
      <c r="CC1178" s="340" t="s">
        <v>323</v>
      </c>
      <c r="CL1178" s="236">
        <v>55.06</v>
      </c>
      <c r="CM1178" s="236" t="s">
        <v>331</v>
      </c>
      <c r="CR1178" s="340">
        <v>112.06</v>
      </c>
      <c r="CS1178" s="340" t="s">
        <v>297</v>
      </c>
      <c r="CT1178" s="1384"/>
      <c r="DF1178" s="340">
        <v>24.15</v>
      </c>
      <c r="DG1178" s="340" t="s">
        <v>324</v>
      </c>
      <c r="DV1178" s="340">
        <v>115.28</v>
      </c>
      <c r="DW1178" s="340" t="s">
        <v>316</v>
      </c>
      <c r="DX1178" s="1671"/>
    </row>
    <row r="1179" spans="12:128">
      <c r="L1179" s="2481">
        <v>24.21</v>
      </c>
      <c r="M1179" s="340" t="s">
        <v>324</v>
      </c>
      <c r="N1179" s="1390"/>
      <c r="O1179" s="2479"/>
      <c r="P1179" s="2282"/>
      <c r="AG1179" s="2297">
        <v>116.03</v>
      </c>
      <c r="AH1179" s="2297" t="s">
        <v>344</v>
      </c>
      <c r="AI1179" s="1390"/>
      <c r="AJ1179" s="2282"/>
      <c r="AK1179" s="2282"/>
      <c r="AL1179" s="1037"/>
      <c r="AX1179" s="340">
        <v>505.01</v>
      </c>
      <c r="AY1179" s="340" t="s">
        <v>323</v>
      </c>
      <c r="BN1179" s="340">
        <v>111.13</v>
      </c>
      <c r="BO1179" s="340" t="s">
        <v>297</v>
      </c>
      <c r="BP1179" s="1385"/>
      <c r="BV1179" s="236">
        <v>24</v>
      </c>
      <c r="BW1179" s="236" t="s">
        <v>304</v>
      </c>
      <c r="CB1179" s="340">
        <v>503.2</v>
      </c>
      <c r="CC1179" s="340" t="s">
        <v>323</v>
      </c>
      <c r="CL1179" s="236">
        <v>56</v>
      </c>
      <c r="CM1179" s="236" t="s">
        <v>331</v>
      </c>
      <c r="CR1179" s="340">
        <v>112.06</v>
      </c>
      <c r="CS1179" s="340" t="s">
        <v>331</v>
      </c>
      <c r="CT1179" s="1384"/>
      <c r="DF1179" s="340">
        <v>24.16</v>
      </c>
      <c r="DG1179" s="340" t="s">
        <v>324</v>
      </c>
      <c r="DV1179" s="340">
        <v>116.01</v>
      </c>
      <c r="DW1179" s="340" t="s">
        <v>331</v>
      </c>
      <c r="DX1179" s="1671"/>
    </row>
    <row r="1180" spans="12:128">
      <c r="L1180" s="2481">
        <v>24.22</v>
      </c>
      <c r="M1180" s="340" t="s">
        <v>324</v>
      </c>
      <c r="N1180" s="1390"/>
      <c r="O1180" s="2479"/>
      <c r="P1180" s="2282"/>
      <c r="AG1180" s="2297">
        <v>116.05</v>
      </c>
      <c r="AH1180" s="2297" t="s">
        <v>344</v>
      </c>
      <c r="AI1180" s="1390"/>
      <c r="AJ1180" s="2282"/>
      <c r="AK1180" s="2282"/>
      <c r="AL1180" s="1037"/>
      <c r="AX1180" s="340">
        <v>505.02</v>
      </c>
      <c r="AY1180" s="340" t="s">
        <v>323</v>
      </c>
      <c r="BN1180" s="340">
        <v>112</v>
      </c>
      <c r="BO1180" s="340" t="s">
        <v>338</v>
      </c>
      <c r="BP1180" s="1385"/>
      <c r="BV1180" s="236">
        <v>25</v>
      </c>
      <c r="BW1180" s="236" t="s">
        <v>304</v>
      </c>
      <c r="CB1180" s="340">
        <v>503.21</v>
      </c>
      <c r="CC1180" s="340" t="s">
        <v>323</v>
      </c>
      <c r="CL1180" s="236">
        <v>56.01</v>
      </c>
      <c r="CM1180" s="236" t="s">
        <v>340</v>
      </c>
      <c r="CR1180" s="340">
        <v>112.07</v>
      </c>
      <c r="CS1180" s="340" t="s">
        <v>297</v>
      </c>
      <c r="CT1180" s="1384"/>
      <c r="DF1180" s="340">
        <v>24.18</v>
      </c>
      <c r="DG1180" s="340" t="s">
        <v>324</v>
      </c>
      <c r="DV1180" s="340">
        <v>116.02</v>
      </c>
      <c r="DW1180" s="340" t="s">
        <v>331</v>
      </c>
      <c r="DX1180" s="1671"/>
    </row>
    <row r="1181" spans="12:128">
      <c r="L1181" s="2481">
        <v>24.23</v>
      </c>
      <c r="M1181" s="340" t="s">
        <v>324</v>
      </c>
      <c r="N1181" s="1390"/>
      <c r="O1181" s="2479"/>
      <c r="P1181" s="2282"/>
      <c r="AG1181" s="2297">
        <v>116.06</v>
      </c>
      <c r="AH1181" s="2297" t="s">
        <v>344</v>
      </c>
      <c r="AI1181" s="1390"/>
      <c r="AJ1181" s="2282"/>
      <c r="AK1181" s="2282"/>
      <c r="AL1181" s="1037"/>
      <c r="AX1181" s="340">
        <v>506.01</v>
      </c>
      <c r="AY1181" s="340" t="s">
        <v>323</v>
      </c>
      <c r="BN1181" s="340">
        <v>112.03</v>
      </c>
      <c r="BO1181" s="340" t="s">
        <v>316</v>
      </c>
      <c r="BP1181" s="1385"/>
      <c r="BV1181" s="236">
        <v>26.01</v>
      </c>
      <c r="BW1181" s="236" t="s">
        <v>304</v>
      </c>
      <c r="CB1181" s="340">
        <v>503.22</v>
      </c>
      <c r="CC1181" s="340" t="s">
        <v>323</v>
      </c>
      <c r="CL1181" s="236">
        <v>56.02</v>
      </c>
      <c r="CM1181" s="236" t="s">
        <v>340</v>
      </c>
      <c r="CR1181" s="340">
        <v>112.08</v>
      </c>
      <c r="CS1181" s="340" t="s">
        <v>297</v>
      </c>
      <c r="CT1181" s="1384"/>
      <c r="DF1181" s="340">
        <v>24.19</v>
      </c>
      <c r="DG1181" s="340" t="s">
        <v>324</v>
      </c>
      <c r="DV1181" s="340">
        <v>116.05</v>
      </c>
      <c r="DW1181" s="340" t="s">
        <v>344</v>
      </c>
      <c r="DX1181" s="1671"/>
    </row>
    <row r="1182" spans="12:128">
      <c r="L1182" s="2481">
        <v>25.05</v>
      </c>
      <c r="M1182" s="340" t="s">
        <v>324</v>
      </c>
      <c r="N1182" s="1390"/>
      <c r="O1182" s="2479"/>
      <c r="P1182" s="2282"/>
      <c r="AG1182" s="2297">
        <v>116.11</v>
      </c>
      <c r="AH1182" s="2297" t="s">
        <v>316</v>
      </c>
      <c r="AI1182" s="1390"/>
      <c r="AJ1182" s="2282"/>
      <c r="AK1182" s="2282"/>
      <c r="AL1182" s="1037"/>
      <c r="AX1182" s="340">
        <v>506.04</v>
      </c>
      <c r="AY1182" s="340" t="s">
        <v>323</v>
      </c>
      <c r="BN1182" s="340">
        <v>112.04</v>
      </c>
      <c r="BO1182" s="340" t="s">
        <v>316</v>
      </c>
      <c r="BP1182" s="1385"/>
      <c r="BV1182" s="236">
        <v>26.02</v>
      </c>
      <c r="BW1182" s="236" t="s">
        <v>304</v>
      </c>
      <c r="CB1182" s="340">
        <v>503.23</v>
      </c>
      <c r="CC1182" s="340" t="s">
        <v>323</v>
      </c>
      <c r="CL1182" s="236">
        <v>57</v>
      </c>
      <c r="CM1182" s="236" t="s">
        <v>316</v>
      </c>
      <c r="CR1182" s="340">
        <v>112.09</v>
      </c>
      <c r="CS1182" s="340" t="s">
        <v>297</v>
      </c>
      <c r="CT1182" s="1384"/>
      <c r="DF1182" s="340">
        <v>24.2</v>
      </c>
      <c r="DG1182" s="340" t="s">
        <v>324</v>
      </c>
      <c r="DV1182" s="340">
        <v>116.06</v>
      </c>
      <c r="DW1182" s="340" t="s">
        <v>344</v>
      </c>
      <c r="DX1182" s="1671"/>
    </row>
    <row r="1183" spans="12:128">
      <c r="L1183" s="2481">
        <v>25.07</v>
      </c>
      <c r="M1183" s="340" t="s">
        <v>324</v>
      </c>
      <c r="N1183" s="1390"/>
      <c r="O1183" s="2479"/>
      <c r="P1183" s="2282"/>
      <c r="AG1183" s="2297">
        <v>116.15</v>
      </c>
      <c r="AH1183" s="2297" t="s">
        <v>316</v>
      </c>
      <c r="AI1183" s="1390"/>
      <c r="AJ1183" s="2282"/>
      <c r="AK1183" s="2282"/>
      <c r="AL1183" s="1037"/>
      <c r="AX1183" s="340">
        <v>601.02</v>
      </c>
      <c r="AY1183" s="340" t="s">
        <v>323</v>
      </c>
      <c r="BN1183" s="340">
        <v>112.04</v>
      </c>
      <c r="BO1183" s="340" t="s">
        <v>331</v>
      </c>
      <c r="BP1183" s="1385"/>
      <c r="BV1183" s="236">
        <v>26.04</v>
      </c>
      <c r="BW1183" s="236" t="s">
        <v>304</v>
      </c>
      <c r="CB1183" s="340">
        <v>503.24</v>
      </c>
      <c r="CC1183" s="340" t="s">
        <v>323</v>
      </c>
      <c r="CL1183" s="236">
        <v>57.01</v>
      </c>
      <c r="CM1183" s="236" t="s">
        <v>331</v>
      </c>
      <c r="CR1183" s="340">
        <v>112.1</v>
      </c>
      <c r="CS1183" s="340" t="s">
        <v>297</v>
      </c>
      <c r="CT1183" s="1384"/>
      <c r="DF1183" s="340">
        <v>24.21</v>
      </c>
      <c r="DG1183" s="340" t="s">
        <v>324</v>
      </c>
      <c r="DV1183" s="340">
        <v>116.11</v>
      </c>
      <c r="DW1183" s="340" t="s">
        <v>316</v>
      </c>
      <c r="DX1183" s="1671"/>
    </row>
    <row r="1184" spans="12:128">
      <c r="L1184" s="2481">
        <v>25.11</v>
      </c>
      <c r="M1184" s="340" t="s">
        <v>324</v>
      </c>
      <c r="N1184" s="1390"/>
      <c r="O1184" s="2479"/>
      <c r="P1184" s="2282"/>
      <c r="AG1184" s="2297">
        <v>116.16</v>
      </c>
      <c r="AH1184" s="2297" t="s">
        <v>316</v>
      </c>
      <c r="AI1184" s="1390"/>
      <c r="AJ1184" s="2282"/>
      <c r="AK1184" s="2282"/>
      <c r="AL1184" s="1037"/>
      <c r="AX1184" s="340">
        <v>602.01</v>
      </c>
      <c r="AY1184" s="340" t="s">
        <v>323</v>
      </c>
      <c r="BN1184" s="340">
        <v>112.05</v>
      </c>
      <c r="BO1184" s="340" t="s">
        <v>316</v>
      </c>
      <c r="BP1184" s="1385"/>
      <c r="BV1184" s="236">
        <v>26.05</v>
      </c>
      <c r="BW1184" s="236" t="s">
        <v>304</v>
      </c>
      <c r="CB1184" s="340">
        <v>503.25</v>
      </c>
      <c r="CC1184" s="340" t="s">
        <v>323</v>
      </c>
      <c r="CL1184" s="236">
        <v>57.02</v>
      </c>
      <c r="CM1184" s="236" t="s">
        <v>340</v>
      </c>
      <c r="CR1184" s="340">
        <v>112.12</v>
      </c>
      <c r="CS1184" s="340" t="s">
        <v>297</v>
      </c>
      <c r="CT1184" s="1384"/>
      <c r="DF1184" s="340">
        <v>24.22</v>
      </c>
      <c r="DG1184" s="340" t="s">
        <v>324</v>
      </c>
      <c r="DV1184" s="340">
        <v>116.15</v>
      </c>
      <c r="DW1184" s="340" t="s">
        <v>316</v>
      </c>
      <c r="DX1184" s="1671"/>
    </row>
    <row r="1185" spans="12:128">
      <c r="L1185" s="2481">
        <v>25.12</v>
      </c>
      <c r="M1185" s="340" t="s">
        <v>324</v>
      </c>
      <c r="N1185" s="1390"/>
      <c r="O1185" s="2479"/>
      <c r="P1185" s="2282"/>
      <c r="AG1185" s="2297">
        <v>117.01</v>
      </c>
      <c r="AH1185" s="2297" t="s">
        <v>331</v>
      </c>
      <c r="AI1185" s="1390"/>
      <c r="AJ1185" s="2282"/>
      <c r="AK1185" s="2282"/>
      <c r="AL1185" s="1037"/>
      <c r="AX1185" s="340">
        <v>602.02</v>
      </c>
      <c r="AY1185" s="340" t="s">
        <v>323</v>
      </c>
      <c r="BN1185" s="340">
        <v>112.06</v>
      </c>
      <c r="BO1185" s="340" t="s">
        <v>297</v>
      </c>
      <c r="BP1185" s="1385"/>
      <c r="BV1185" s="236">
        <v>26.06</v>
      </c>
      <c r="BW1185" s="236" t="s">
        <v>304</v>
      </c>
      <c r="CB1185" s="340">
        <v>504.02</v>
      </c>
      <c r="CC1185" s="340" t="s">
        <v>323</v>
      </c>
      <c r="CL1185" s="236">
        <v>57.03</v>
      </c>
      <c r="CM1185" s="236" t="s">
        <v>340</v>
      </c>
      <c r="CR1185" s="340">
        <v>112.13</v>
      </c>
      <c r="CS1185" s="340" t="s">
        <v>297</v>
      </c>
      <c r="CT1185" s="1384"/>
      <c r="DF1185" s="340">
        <v>24.23</v>
      </c>
      <c r="DG1185" s="340" t="s">
        <v>324</v>
      </c>
      <c r="DV1185" s="340">
        <v>116.16</v>
      </c>
      <c r="DW1185" s="340" t="s">
        <v>316</v>
      </c>
      <c r="DX1185" s="1671"/>
    </row>
    <row r="1186" spans="12:128">
      <c r="L1186" s="2481">
        <v>25.13</v>
      </c>
      <c r="M1186" s="340" t="s">
        <v>324</v>
      </c>
      <c r="N1186" s="1390"/>
      <c r="O1186" s="2479"/>
      <c r="P1186" s="2282"/>
      <c r="AG1186" s="2297">
        <v>117.02</v>
      </c>
      <c r="AH1186" s="2297" t="s">
        <v>331</v>
      </c>
      <c r="AI1186" s="1390"/>
      <c r="AJ1186" s="2282"/>
      <c r="AK1186" s="2282"/>
      <c r="AL1186" s="1037"/>
      <c r="AX1186" s="340">
        <v>603</v>
      </c>
      <c r="AY1186" s="340" t="s">
        <v>323</v>
      </c>
      <c r="BN1186" s="340">
        <v>112.06</v>
      </c>
      <c r="BO1186" s="340" t="s">
        <v>331</v>
      </c>
      <c r="BP1186" s="1385"/>
      <c r="BV1186" s="236">
        <v>26.07</v>
      </c>
      <c r="BW1186" s="236" t="s">
        <v>304</v>
      </c>
      <c r="CB1186" s="340">
        <v>505.02</v>
      </c>
      <c r="CC1186" s="340" t="s">
        <v>323</v>
      </c>
      <c r="CL1186" s="236">
        <v>57.04</v>
      </c>
      <c r="CM1186" s="236" t="s">
        <v>340</v>
      </c>
      <c r="CR1186" s="340">
        <v>113</v>
      </c>
      <c r="CS1186" s="340" t="s">
        <v>338</v>
      </c>
      <c r="CT1186" s="1384"/>
      <c r="DF1186" s="340">
        <v>25.07</v>
      </c>
      <c r="DG1186" s="340" t="s">
        <v>324</v>
      </c>
      <c r="DV1186" s="340">
        <v>116.17</v>
      </c>
      <c r="DW1186" s="340" t="s">
        <v>316</v>
      </c>
      <c r="DX1186" s="1671"/>
    </row>
    <row r="1187" spans="12:128">
      <c r="L1187" s="2481">
        <v>25.14</v>
      </c>
      <c r="M1187" s="340" t="s">
        <v>324</v>
      </c>
      <c r="N1187" s="1390"/>
      <c r="O1187" s="2479"/>
      <c r="P1187" s="2282"/>
      <c r="AG1187" s="2297">
        <v>117.08</v>
      </c>
      <c r="AH1187" s="2297" t="s">
        <v>316</v>
      </c>
      <c r="AI1187" s="1390"/>
      <c r="AJ1187" s="2282"/>
      <c r="AK1187" s="2282"/>
      <c r="AL1187" s="1037"/>
      <c r="AX1187" s="340">
        <v>701.01</v>
      </c>
      <c r="AY1187" s="340" t="s">
        <v>323</v>
      </c>
      <c r="BN1187" s="340">
        <v>112.07</v>
      </c>
      <c r="BO1187" s="340" t="s">
        <v>297</v>
      </c>
      <c r="BP1187" s="1385"/>
      <c r="BV1187" s="236">
        <v>27.01</v>
      </c>
      <c r="BW1187" s="236" t="s">
        <v>304</v>
      </c>
      <c r="CB1187" s="340">
        <v>506.01</v>
      </c>
      <c r="CC1187" s="340" t="s">
        <v>323</v>
      </c>
      <c r="CL1187" s="236">
        <v>57.05</v>
      </c>
      <c r="CM1187" s="236" t="s">
        <v>331</v>
      </c>
      <c r="CR1187" s="340">
        <v>113.01</v>
      </c>
      <c r="CS1187" s="340" t="s">
        <v>316</v>
      </c>
      <c r="CT1187" s="1384"/>
      <c r="DF1187" s="340">
        <v>25.11</v>
      </c>
      <c r="DG1187" s="340" t="s">
        <v>324</v>
      </c>
      <c r="DV1187" s="340">
        <v>117.01</v>
      </c>
      <c r="DW1187" s="340" t="s">
        <v>331</v>
      </c>
      <c r="DX1187" s="1671"/>
    </row>
    <row r="1188" spans="12:128">
      <c r="L1188" s="2481">
        <v>25.15</v>
      </c>
      <c r="M1188" s="340" t="s">
        <v>324</v>
      </c>
      <c r="N1188" s="1390"/>
      <c r="O1188" s="2479"/>
      <c r="P1188" s="2282"/>
      <c r="AG1188" s="2297">
        <v>117.12</v>
      </c>
      <c r="AH1188" s="2297" t="s">
        <v>316</v>
      </c>
      <c r="AI1188" s="1390"/>
      <c r="AJ1188" s="2282"/>
      <c r="AK1188" s="2282"/>
      <c r="AL1188" s="1037"/>
      <c r="AX1188" s="340">
        <v>701.02</v>
      </c>
      <c r="AY1188" s="340" t="s">
        <v>323</v>
      </c>
      <c r="BN1188" s="340">
        <v>112.09</v>
      </c>
      <c r="BO1188" s="340" t="s">
        <v>297</v>
      </c>
      <c r="BP1188" s="1385"/>
      <c r="BV1188" s="236">
        <v>27.03</v>
      </c>
      <c r="BW1188" s="236" t="s">
        <v>304</v>
      </c>
      <c r="CB1188" s="340">
        <v>506.04</v>
      </c>
      <c r="CC1188" s="340" t="s">
        <v>323</v>
      </c>
      <c r="CL1188" s="236">
        <v>57.06</v>
      </c>
      <c r="CM1188" s="236" t="s">
        <v>331</v>
      </c>
      <c r="CR1188" s="340">
        <v>113.03</v>
      </c>
      <c r="CS1188" s="340" t="s">
        <v>316</v>
      </c>
      <c r="CT1188" s="1384"/>
      <c r="DF1188" s="340">
        <v>25.12</v>
      </c>
      <c r="DG1188" s="340" t="s">
        <v>324</v>
      </c>
      <c r="DV1188" s="340">
        <v>117.08</v>
      </c>
      <c r="DW1188" s="340" t="s">
        <v>316</v>
      </c>
      <c r="DX1188" s="1671"/>
    </row>
    <row r="1189" spans="12:128">
      <c r="L1189" s="2481">
        <v>25.16</v>
      </c>
      <c r="M1189" s="340" t="s">
        <v>324</v>
      </c>
      <c r="N1189" s="1390"/>
      <c r="O1189" s="2479"/>
      <c r="P1189" s="2282"/>
      <c r="AG1189" s="2297">
        <v>117.13</v>
      </c>
      <c r="AH1189" s="2297" t="s">
        <v>316</v>
      </c>
      <c r="AI1189" s="1390"/>
      <c r="AJ1189" s="2282"/>
      <c r="AK1189" s="2282"/>
      <c r="AL1189" s="1037"/>
      <c r="AX1189" s="340">
        <v>802.02</v>
      </c>
      <c r="AY1189" s="340" t="s">
        <v>323</v>
      </c>
      <c r="BN1189" s="340">
        <v>112.1</v>
      </c>
      <c r="BO1189" s="340" t="s">
        <v>297</v>
      </c>
      <c r="BP1189" s="1385"/>
      <c r="BV1189" s="236">
        <v>27.04</v>
      </c>
      <c r="BW1189" s="236" t="s">
        <v>304</v>
      </c>
      <c r="CB1189" s="340">
        <v>601.02</v>
      </c>
      <c r="CC1189" s="340" t="s">
        <v>323</v>
      </c>
      <c r="CL1189" s="236">
        <v>57.07</v>
      </c>
      <c r="CM1189" s="236" t="s">
        <v>331</v>
      </c>
      <c r="CR1189" s="340">
        <v>113.04</v>
      </c>
      <c r="CS1189" s="340" t="s">
        <v>297</v>
      </c>
      <c r="CT1189" s="1384"/>
      <c r="DF1189" s="340">
        <v>25.13</v>
      </c>
      <c r="DG1189" s="340" t="s">
        <v>324</v>
      </c>
      <c r="DV1189" s="340">
        <v>117.12</v>
      </c>
      <c r="DW1189" s="340" t="s">
        <v>316</v>
      </c>
      <c r="DX1189" s="1671"/>
    </row>
    <row r="1190" spans="12:128">
      <c r="L1190" s="2481">
        <v>25.17</v>
      </c>
      <c r="M1190" s="340" t="s">
        <v>324</v>
      </c>
      <c r="N1190" s="1390"/>
      <c r="O1190" s="2479"/>
      <c r="P1190" s="2282"/>
      <c r="AG1190" s="2297">
        <v>117.14</v>
      </c>
      <c r="AH1190" s="2297" t="s">
        <v>316</v>
      </c>
      <c r="AI1190" s="1390"/>
      <c r="AJ1190" s="2282"/>
      <c r="AK1190" s="2282"/>
      <c r="AL1190" s="1037"/>
      <c r="AX1190" s="340">
        <v>802.03</v>
      </c>
      <c r="AY1190" s="340" t="s">
        <v>323</v>
      </c>
      <c r="BN1190" s="340">
        <v>112.12</v>
      </c>
      <c r="BO1190" s="340" t="s">
        <v>297</v>
      </c>
      <c r="BP1190" s="1385"/>
      <c r="BV1190" s="236">
        <v>28.01</v>
      </c>
      <c r="BW1190" s="236" t="s">
        <v>304</v>
      </c>
      <c r="CB1190" s="340">
        <v>602.01</v>
      </c>
      <c r="CC1190" s="340" t="s">
        <v>323</v>
      </c>
      <c r="CL1190" s="236">
        <v>57.08</v>
      </c>
      <c r="CM1190" s="236" t="s">
        <v>331</v>
      </c>
      <c r="CR1190" s="340">
        <v>113.04</v>
      </c>
      <c r="CS1190" s="340" t="s">
        <v>316</v>
      </c>
      <c r="CT1190" s="1384"/>
      <c r="DF1190" s="340">
        <v>25.14</v>
      </c>
      <c r="DG1190" s="340" t="s">
        <v>324</v>
      </c>
      <c r="DV1190" s="340">
        <v>117.13</v>
      </c>
      <c r="DW1190" s="340" t="s">
        <v>316</v>
      </c>
      <c r="DX1190" s="1671"/>
    </row>
    <row r="1191" spans="12:128">
      <c r="L1191" s="2481">
        <v>26.05</v>
      </c>
      <c r="M1191" s="340" t="s">
        <v>324</v>
      </c>
      <c r="N1191" s="1390"/>
      <c r="O1191" s="2479"/>
      <c r="P1191" s="2282"/>
      <c r="AG1191" s="2297">
        <v>117.16</v>
      </c>
      <c r="AH1191" s="2297" t="s">
        <v>316</v>
      </c>
      <c r="AI1191" s="1390"/>
      <c r="AJ1191" s="2282"/>
      <c r="AK1191" s="2282"/>
      <c r="AL1191" s="1037"/>
      <c r="AX1191" s="340">
        <v>2</v>
      </c>
      <c r="AY1191" s="340" t="s">
        <v>324</v>
      </c>
      <c r="BN1191" s="340">
        <v>112.13</v>
      </c>
      <c r="BO1191" s="340" t="s">
        <v>297</v>
      </c>
      <c r="BP1191" s="1385"/>
      <c r="BV1191" s="236">
        <v>28.02</v>
      </c>
      <c r="BW1191" s="236" t="s">
        <v>304</v>
      </c>
      <c r="CB1191" s="340">
        <v>602.02</v>
      </c>
      <c r="CC1191" s="340" t="s">
        <v>323</v>
      </c>
      <c r="CL1191" s="236">
        <v>58</v>
      </c>
      <c r="CM1191" s="236" t="s">
        <v>316</v>
      </c>
      <c r="CR1191" s="340">
        <v>114.07</v>
      </c>
      <c r="CS1191" s="340" t="s">
        <v>316</v>
      </c>
      <c r="CT1191" s="1384"/>
      <c r="DF1191" s="340">
        <v>25.15</v>
      </c>
      <c r="DG1191" s="340" t="s">
        <v>324</v>
      </c>
      <c r="DV1191" s="340">
        <v>117.14</v>
      </c>
      <c r="DW1191" s="340" t="s">
        <v>316</v>
      </c>
      <c r="DX1191" s="1671"/>
    </row>
    <row r="1192" spans="12:128">
      <c r="L1192" s="2481">
        <v>26.06</v>
      </c>
      <c r="M1192" s="340" t="s">
        <v>324</v>
      </c>
      <c r="N1192" s="1390"/>
      <c r="O1192" s="2479"/>
      <c r="P1192" s="2282"/>
      <c r="AG1192" s="2297">
        <v>117.21</v>
      </c>
      <c r="AH1192" s="2297" t="s">
        <v>344</v>
      </c>
      <c r="AI1192" s="1390"/>
      <c r="AJ1192" s="2282"/>
      <c r="AK1192" s="2282"/>
      <c r="AL1192" s="1037"/>
      <c r="AX1192" s="340">
        <v>3.01</v>
      </c>
      <c r="AY1192" s="340" t="s">
        <v>324</v>
      </c>
      <c r="BN1192" s="340">
        <v>112.14</v>
      </c>
      <c r="BO1192" s="340" t="s">
        <v>297</v>
      </c>
      <c r="BP1192" s="1385"/>
      <c r="BV1192" s="236">
        <v>28.03</v>
      </c>
      <c r="BW1192" s="236" t="s">
        <v>304</v>
      </c>
      <c r="CB1192" s="340">
        <v>602.03</v>
      </c>
      <c r="CC1192" s="340" t="s">
        <v>323</v>
      </c>
      <c r="CL1192" s="236">
        <v>58.03</v>
      </c>
      <c r="CM1192" s="236" t="s">
        <v>331</v>
      </c>
      <c r="CR1192" s="340">
        <v>114.08</v>
      </c>
      <c r="CS1192" s="340" t="s">
        <v>316</v>
      </c>
      <c r="CT1192" s="1384"/>
      <c r="DF1192" s="340">
        <v>25.16</v>
      </c>
      <c r="DG1192" s="340" t="s">
        <v>324</v>
      </c>
      <c r="DV1192" s="340">
        <v>117.16</v>
      </c>
      <c r="DW1192" s="340" t="s">
        <v>316</v>
      </c>
      <c r="DX1192" s="1671"/>
    </row>
    <row r="1193" spans="12:128">
      <c r="L1193" s="2481">
        <v>9701.01</v>
      </c>
      <c r="M1193" s="340" t="s">
        <v>325</v>
      </c>
      <c r="N1193" s="1390"/>
      <c r="O1193" s="2479"/>
      <c r="P1193" s="2282"/>
      <c r="AG1193" s="2297">
        <v>118</v>
      </c>
      <c r="AH1193" s="2297" t="s">
        <v>331</v>
      </c>
      <c r="AI1193" s="1390"/>
      <c r="AJ1193" s="2282"/>
      <c r="AK1193" s="2282"/>
      <c r="AL1193" s="1037"/>
      <c r="AX1193" s="340">
        <v>3.02</v>
      </c>
      <c r="AY1193" s="340" t="s">
        <v>324</v>
      </c>
      <c r="BN1193" s="340">
        <v>113</v>
      </c>
      <c r="BO1193" s="340" t="s">
        <v>338</v>
      </c>
      <c r="BP1193" s="1385"/>
      <c r="BV1193" s="236">
        <v>28.04</v>
      </c>
      <c r="BW1193" s="236" t="s">
        <v>304</v>
      </c>
      <c r="CB1193" s="340">
        <v>603</v>
      </c>
      <c r="CC1193" s="340" t="s">
        <v>323</v>
      </c>
      <c r="CL1193" s="236">
        <v>58.04</v>
      </c>
      <c r="CM1193" s="236" t="s">
        <v>331</v>
      </c>
      <c r="CR1193" s="340">
        <v>114.09</v>
      </c>
      <c r="CS1193" s="340" t="s">
        <v>316</v>
      </c>
      <c r="CT1193" s="1384"/>
      <c r="DF1193" s="340">
        <v>25.17</v>
      </c>
      <c r="DG1193" s="340" t="s">
        <v>324</v>
      </c>
      <c r="DV1193" s="340">
        <v>118</v>
      </c>
      <c r="DW1193" s="340" t="s">
        <v>331</v>
      </c>
      <c r="DX1193" s="1671"/>
    </row>
    <row r="1194" spans="12:128">
      <c r="L1194" s="2481">
        <v>9701.0300000000007</v>
      </c>
      <c r="M1194" s="340" t="s">
        <v>325</v>
      </c>
      <c r="N1194" s="1390"/>
      <c r="O1194" s="2479"/>
      <c r="P1194" s="2282"/>
      <c r="AG1194" s="2297">
        <v>118.21</v>
      </c>
      <c r="AH1194" s="2297" t="s">
        <v>344</v>
      </c>
      <c r="AI1194" s="1390"/>
      <c r="AJ1194" s="2282"/>
      <c r="AK1194" s="2282"/>
      <c r="AL1194" s="1037"/>
      <c r="AX1194" s="340">
        <v>3.03</v>
      </c>
      <c r="AY1194" s="340" t="s">
        <v>324</v>
      </c>
      <c r="BN1194" s="340">
        <v>113.01</v>
      </c>
      <c r="BO1194" s="340" t="s">
        <v>316</v>
      </c>
      <c r="BP1194" s="1385"/>
      <c r="BV1194" s="236">
        <v>29</v>
      </c>
      <c r="BW1194" s="236" t="s">
        <v>304</v>
      </c>
      <c r="CB1194" s="340">
        <v>701.02</v>
      </c>
      <c r="CC1194" s="340" t="s">
        <v>323</v>
      </c>
      <c r="CL1194" s="236">
        <v>58.05</v>
      </c>
      <c r="CM1194" s="236" t="s">
        <v>331</v>
      </c>
      <c r="CR1194" s="340">
        <v>114.1</v>
      </c>
      <c r="CS1194" s="340" t="s">
        <v>316</v>
      </c>
      <c r="CT1194" s="1384"/>
      <c r="DF1194" s="340">
        <v>26.05</v>
      </c>
      <c r="DG1194" s="340" t="s">
        <v>324</v>
      </c>
      <c r="DV1194" s="340">
        <v>118.21</v>
      </c>
      <c r="DW1194" s="340" t="s">
        <v>344</v>
      </c>
      <c r="DX1194" s="1671"/>
    </row>
    <row r="1195" spans="12:128">
      <c r="L1195" s="2481">
        <v>9702</v>
      </c>
      <c r="M1195" s="340" t="s">
        <v>325</v>
      </c>
      <c r="N1195" s="1390"/>
      <c r="O1195" s="2479"/>
      <c r="P1195" s="2282"/>
      <c r="AG1195" s="2297">
        <v>118.22</v>
      </c>
      <c r="AH1195" s="2297" t="s">
        <v>344</v>
      </c>
      <c r="AI1195" s="1390"/>
      <c r="AJ1195" s="2282"/>
      <c r="AK1195" s="2282"/>
      <c r="AL1195" s="1037"/>
      <c r="AX1195" s="340">
        <v>7</v>
      </c>
      <c r="AY1195" s="340" t="s">
        <v>324</v>
      </c>
      <c r="BN1195" s="340">
        <v>113.03</v>
      </c>
      <c r="BO1195" s="340" t="s">
        <v>316</v>
      </c>
      <c r="BP1195" s="1385"/>
      <c r="BV1195" s="236">
        <v>30.01</v>
      </c>
      <c r="BW1195" s="236" t="s">
        <v>304</v>
      </c>
      <c r="CB1195" s="340">
        <v>702.01</v>
      </c>
      <c r="CC1195" s="340" t="s">
        <v>323</v>
      </c>
      <c r="CL1195" s="236">
        <v>58.06</v>
      </c>
      <c r="CM1195" s="236" t="s">
        <v>331</v>
      </c>
      <c r="CR1195" s="340">
        <v>114.1</v>
      </c>
      <c r="CS1195" s="340" t="s">
        <v>331</v>
      </c>
      <c r="CT1195" s="1384"/>
      <c r="DF1195" s="340">
        <v>26.06</v>
      </c>
      <c r="DG1195" s="340" t="s">
        <v>324</v>
      </c>
      <c r="DV1195" s="340">
        <v>118.22</v>
      </c>
      <c r="DW1195" s="340" t="s">
        <v>344</v>
      </c>
      <c r="DX1195" s="1671"/>
    </row>
    <row r="1196" spans="12:128">
      <c r="L1196" s="2481">
        <v>9703.01</v>
      </c>
      <c r="M1196" s="340" t="s">
        <v>325</v>
      </c>
      <c r="N1196" s="1390"/>
      <c r="O1196" s="2479"/>
      <c r="P1196" s="2282"/>
      <c r="AG1196" s="2297">
        <v>118.32</v>
      </c>
      <c r="AH1196" s="2297" t="s">
        <v>344</v>
      </c>
      <c r="AI1196" s="1390"/>
      <c r="AJ1196" s="2282"/>
      <c r="AK1196" s="2282"/>
      <c r="AL1196" s="1037"/>
      <c r="AX1196" s="340">
        <v>8</v>
      </c>
      <c r="AY1196" s="340" t="s">
        <v>324</v>
      </c>
      <c r="BN1196" s="340">
        <v>113.04</v>
      </c>
      <c r="BO1196" s="340" t="s">
        <v>297</v>
      </c>
      <c r="BP1196" s="1385"/>
      <c r="BV1196" s="236">
        <v>30.02</v>
      </c>
      <c r="BW1196" s="236" t="s">
        <v>304</v>
      </c>
      <c r="CB1196" s="340">
        <v>801</v>
      </c>
      <c r="CC1196" s="340" t="s">
        <v>323</v>
      </c>
      <c r="CL1196" s="236">
        <v>58.07</v>
      </c>
      <c r="CM1196" s="236" t="s">
        <v>340</v>
      </c>
      <c r="CR1196" s="340">
        <v>114.11</v>
      </c>
      <c r="CS1196" s="340" t="s">
        <v>316</v>
      </c>
      <c r="CT1196" s="1384"/>
      <c r="DF1196" s="340">
        <v>9701.01</v>
      </c>
      <c r="DG1196" s="340" t="s">
        <v>325</v>
      </c>
      <c r="DV1196" s="340">
        <v>118.32</v>
      </c>
      <c r="DW1196" s="340" t="s">
        <v>344</v>
      </c>
      <c r="DX1196" s="1671"/>
    </row>
    <row r="1197" spans="12:128">
      <c r="L1197" s="2481">
        <v>9703.0300000000007</v>
      </c>
      <c r="M1197" s="340" t="s">
        <v>325</v>
      </c>
      <c r="N1197" s="1390"/>
      <c r="O1197" s="2479"/>
      <c r="P1197" s="2282"/>
      <c r="AG1197" s="2297">
        <v>118.34</v>
      </c>
      <c r="AH1197" s="2297" t="s">
        <v>344</v>
      </c>
      <c r="AI1197" s="1390"/>
      <c r="AJ1197" s="2282"/>
      <c r="AK1197" s="2282"/>
      <c r="AL1197" s="1037"/>
      <c r="AX1197" s="340">
        <v>9.0299999999999994</v>
      </c>
      <c r="AY1197" s="340" t="s">
        <v>324</v>
      </c>
      <c r="BN1197" s="340">
        <v>113.04</v>
      </c>
      <c r="BO1197" s="340" t="s">
        <v>316</v>
      </c>
      <c r="BP1197" s="1385"/>
      <c r="BV1197" s="236">
        <v>31</v>
      </c>
      <c r="BW1197" s="236" t="s">
        <v>304</v>
      </c>
      <c r="CB1197" s="340">
        <v>802.02</v>
      </c>
      <c r="CC1197" s="340" t="s">
        <v>323</v>
      </c>
      <c r="CL1197" s="236">
        <v>58.1</v>
      </c>
      <c r="CM1197" s="236" t="s">
        <v>340</v>
      </c>
      <c r="CR1197" s="340">
        <v>114.11</v>
      </c>
      <c r="CS1197" s="340" t="s">
        <v>331</v>
      </c>
      <c r="CT1197" s="1384"/>
      <c r="DF1197" s="340">
        <v>9701.0300000000007</v>
      </c>
      <c r="DG1197" s="340" t="s">
        <v>325</v>
      </c>
      <c r="DV1197" s="340">
        <v>118.34</v>
      </c>
      <c r="DW1197" s="340" t="s">
        <v>344</v>
      </c>
      <c r="DX1197" s="1671"/>
    </row>
    <row r="1198" spans="12:128">
      <c r="L1198" s="2481">
        <v>9704</v>
      </c>
      <c r="M1198" s="340" t="s">
        <v>325</v>
      </c>
      <c r="N1198" s="1390"/>
      <c r="O1198" s="2479"/>
      <c r="P1198" s="2282"/>
      <c r="AG1198" s="2297">
        <v>118.35</v>
      </c>
      <c r="AH1198" s="2297" t="s">
        <v>344</v>
      </c>
      <c r="AI1198" s="1390"/>
      <c r="AJ1198" s="2282"/>
      <c r="AK1198" s="2282"/>
      <c r="AL1198" s="1037"/>
      <c r="AX1198" s="340">
        <v>9.0399999999999991</v>
      </c>
      <c r="AY1198" s="340" t="s">
        <v>324</v>
      </c>
      <c r="BN1198" s="340">
        <v>114.07</v>
      </c>
      <c r="BO1198" s="340" t="s">
        <v>316</v>
      </c>
      <c r="BP1198" s="1385"/>
      <c r="BV1198" s="236">
        <v>32.01</v>
      </c>
      <c r="BW1198" s="236" t="s">
        <v>304</v>
      </c>
      <c r="CB1198" s="340">
        <v>802.03</v>
      </c>
      <c r="CC1198" s="340" t="s">
        <v>323</v>
      </c>
      <c r="CL1198" s="236">
        <v>58.11</v>
      </c>
      <c r="CM1198" s="236" t="s">
        <v>340</v>
      </c>
      <c r="CR1198" s="340">
        <v>114.12</v>
      </c>
      <c r="CS1198" s="340" t="s">
        <v>316</v>
      </c>
      <c r="CT1198" s="1384"/>
      <c r="DF1198" s="340">
        <v>9702</v>
      </c>
      <c r="DG1198" s="340" t="s">
        <v>325</v>
      </c>
      <c r="DV1198" s="340">
        <v>118.35</v>
      </c>
      <c r="DW1198" s="340" t="s">
        <v>344</v>
      </c>
      <c r="DX1198" s="1671"/>
    </row>
    <row r="1199" spans="12:128">
      <c r="L1199" s="2481">
        <v>9705.01</v>
      </c>
      <c r="M1199" s="340" t="s">
        <v>325</v>
      </c>
      <c r="N1199" s="1390"/>
      <c r="O1199" s="2479"/>
      <c r="P1199" s="2282"/>
      <c r="AG1199" s="2297">
        <v>118.36</v>
      </c>
      <c r="AH1199" s="2297" t="s">
        <v>344</v>
      </c>
      <c r="AI1199" s="1390"/>
      <c r="AJ1199" s="2282"/>
      <c r="AK1199" s="2282"/>
      <c r="AL1199" s="1037"/>
      <c r="AX1199" s="340">
        <v>9.0500000000000007</v>
      </c>
      <c r="AY1199" s="340" t="s">
        <v>324</v>
      </c>
      <c r="BN1199" s="340">
        <v>114.08</v>
      </c>
      <c r="BO1199" s="340" t="s">
        <v>316</v>
      </c>
      <c r="BP1199" s="1385"/>
      <c r="BV1199" s="236">
        <v>32.03</v>
      </c>
      <c r="BW1199" s="236" t="s">
        <v>304</v>
      </c>
      <c r="CB1199" s="340">
        <v>802.04</v>
      </c>
      <c r="CC1199" s="340" t="s">
        <v>323</v>
      </c>
      <c r="CL1199" s="236">
        <v>58.12</v>
      </c>
      <c r="CM1199" s="236" t="s">
        <v>340</v>
      </c>
      <c r="CR1199" s="340">
        <v>114.12</v>
      </c>
      <c r="CS1199" s="340" t="s">
        <v>331</v>
      </c>
      <c r="CT1199" s="1384"/>
      <c r="DF1199" s="340">
        <v>9703.01</v>
      </c>
      <c r="DG1199" s="340" t="s">
        <v>325</v>
      </c>
      <c r="DV1199" s="340">
        <v>118.36</v>
      </c>
      <c r="DW1199" s="340" t="s">
        <v>344</v>
      </c>
      <c r="DX1199" s="1671"/>
    </row>
    <row r="1200" spans="12:128">
      <c r="L1200" s="2481">
        <v>9705.02</v>
      </c>
      <c r="M1200" s="340" t="s">
        <v>325</v>
      </c>
      <c r="N1200" s="1390"/>
      <c r="O1200" s="2479"/>
      <c r="P1200" s="2282"/>
      <c r="AG1200" s="2297">
        <v>118.37</v>
      </c>
      <c r="AH1200" s="2297" t="s">
        <v>344</v>
      </c>
      <c r="AI1200" s="1390"/>
      <c r="AJ1200" s="2282"/>
      <c r="AK1200" s="2282"/>
      <c r="AL1200" s="1037"/>
      <c r="AX1200" s="340">
        <v>9.06</v>
      </c>
      <c r="AY1200" s="340" t="s">
        <v>324</v>
      </c>
      <c r="BN1200" s="340">
        <v>114.09</v>
      </c>
      <c r="BO1200" s="340" t="s">
        <v>316</v>
      </c>
      <c r="BP1200" s="1385"/>
      <c r="BV1200" s="236">
        <v>32.04</v>
      </c>
      <c r="BW1200" s="236" t="s">
        <v>304</v>
      </c>
      <c r="CB1200" s="340">
        <v>901</v>
      </c>
      <c r="CC1200" s="340" t="s">
        <v>323</v>
      </c>
      <c r="CL1200" s="236">
        <v>58.13</v>
      </c>
      <c r="CM1200" s="236" t="s">
        <v>340</v>
      </c>
      <c r="CR1200" s="340">
        <v>114.13</v>
      </c>
      <c r="CS1200" s="340" t="s">
        <v>316</v>
      </c>
      <c r="CT1200" s="1384"/>
      <c r="DF1200" s="340">
        <v>9704</v>
      </c>
      <c r="DG1200" s="340" t="s">
        <v>325</v>
      </c>
      <c r="DV1200" s="340">
        <v>118.37</v>
      </c>
      <c r="DW1200" s="340" t="s">
        <v>344</v>
      </c>
      <c r="DX1200" s="1671"/>
    </row>
    <row r="1201" spans="12:128">
      <c r="L1201" s="2481">
        <v>9502.01</v>
      </c>
      <c r="M1201" s="340" t="s">
        <v>326</v>
      </c>
      <c r="N1201" s="1390"/>
      <c r="O1201" s="2479"/>
      <c r="P1201" s="2282"/>
      <c r="AG1201" s="2297">
        <v>118.38</v>
      </c>
      <c r="AH1201" s="2297" t="s">
        <v>344</v>
      </c>
      <c r="AI1201" s="1390"/>
      <c r="AJ1201" s="2282"/>
      <c r="AK1201" s="2282"/>
      <c r="AL1201" s="1037"/>
      <c r="AX1201" s="340">
        <v>9.07</v>
      </c>
      <c r="AY1201" s="340" t="s">
        <v>324</v>
      </c>
      <c r="BN1201" s="340">
        <v>114.09</v>
      </c>
      <c r="BO1201" s="340" t="s">
        <v>331</v>
      </c>
      <c r="BP1201" s="1385"/>
      <c r="BV1201" s="236">
        <v>33.01</v>
      </c>
      <c r="BW1201" s="236" t="s">
        <v>304</v>
      </c>
      <c r="CB1201" s="340">
        <v>2</v>
      </c>
      <c r="CC1201" s="340" t="s">
        <v>324</v>
      </c>
      <c r="CL1201" s="236">
        <v>58.14</v>
      </c>
      <c r="CM1201" s="236" t="s">
        <v>340</v>
      </c>
      <c r="CR1201" s="340">
        <v>114.14</v>
      </c>
      <c r="CS1201" s="340" t="s">
        <v>316</v>
      </c>
      <c r="CT1201" s="1384"/>
      <c r="DF1201" s="340">
        <v>9705.01</v>
      </c>
      <c r="DG1201" s="340" t="s">
        <v>325</v>
      </c>
      <c r="DV1201" s="340">
        <v>118.38</v>
      </c>
      <c r="DW1201" s="340" t="s">
        <v>344</v>
      </c>
      <c r="DX1201" s="1671"/>
    </row>
    <row r="1202" spans="12:128">
      <c r="L1202" s="2481">
        <v>1102</v>
      </c>
      <c r="M1202" s="340" t="s">
        <v>327</v>
      </c>
      <c r="N1202" s="1390"/>
      <c r="O1202" s="2479"/>
      <c r="P1202" s="2282"/>
      <c r="AG1202" s="2297">
        <v>119</v>
      </c>
      <c r="AH1202" s="2297" t="s">
        <v>331</v>
      </c>
      <c r="AI1202" s="1390"/>
      <c r="AJ1202" s="2282"/>
      <c r="AK1202" s="2282"/>
      <c r="AL1202" s="1037"/>
      <c r="AX1202" s="340">
        <v>15</v>
      </c>
      <c r="AY1202" s="340" t="s">
        <v>324</v>
      </c>
      <c r="BN1202" s="340">
        <v>114.1</v>
      </c>
      <c r="BO1202" s="340" t="s">
        <v>316</v>
      </c>
      <c r="BP1202" s="1385"/>
      <c r="BV1202" s="236">
        <v>33.049999999999997</v>
      </c>
      <c r="BW1202" s="236" t="s">
        <v>304</v>
      </c>
      <c r="CB1202" s="340">
        <v>3.01</v>
      </c>
      <c r="CC1202" s="340" t="s">
        <v>324</v>
      </c>
      <c r="CL1202" s="236">
        <v>58.15</v>
      </c>
      <c r="CM1202" s="236" t="s">
        <v>340</v>
      </c>
      <c r="CR1202" s="340">
        <v>114.15</v>
      </c>
      <c r="CS1202" s="340" t="s">
        <v>316</v>
      </c>
      <c r="CT1202" s="1384"/>
      <c r="DF1202" s="340">
        <v>9705.02</v>
      </c>
      <c r="DG1202" s="340" t="s">
        <v>325</v>
      </c>
      <c r="DV1202" s="340">
        <v>119</v>
      </c>
      <c r="DW1202" s="340" t="s">
        <v>331</v>
      </c>
      <c r="DX1202" s="1671"/>
    </row>
    <row r="1203" spans="12:128">
      <c r="L1203" s="2481">
        <v>1103.01</v>
      </c>
      <c r="M1203" s="340" t="s">
        <v>327</v>
      </c>
      <c r="N1203" s="1390"/>
      <c r="O1203" s="2479"/>
      <c r="P1203" s="2282"/>
      <c r="AG1203" s="2297">
        <v>119.01</v>
      </c>
      <c r="AH1203" s="2297" t="s">
        <v>302</v>
      </c>
      <c r="AI1203" s="1390"/>
      <c r="AJ1203" s="2282"/>
      <c r="AK1203" s="2282"/>
      <c r="AL1203" s="1037"/>
      <c r="AX1203" s="340">
        <v>16.010000000000002</v>
      </c>
      <c r="AY1203" s="340" t="s">
        <v>324</v>
      </c>
      <c r="BN1203" s="340">
        <v>114.1</v>
      </c>
      <c r="BO1203" s="340" t="s">
        <v>331</v>
      </c>
      <c r="BP1203" s="1385"/>
      <c r="BV1203" s="236">
        <v>33.07</v>
      </c>
      <c r="BW1203" s="236" t="s">
        <v>304</v>
      </c>
      <c r="CB1203" s="340">
        <v>3.02</v>
      </c>
      <c r="CC1203" s="340" t="s">
        <v>324</v>
      </c>
      <c r="CL1203" s="236">
        <v>58.18</v>
      </c>
      <c r="CM1203" s="236" t="s">
        <v>340</v>
      </c>
      <c r="CR1203" s="340">
        <v>114.17</v>
      </c>
      <c r="CS1203" s="340" t="s">
        <v>316</v>
      </c>
      <c r="CT1203" s="1384"/>
      <c r="DF1203" s="340">
        <v>9707</v>
      </c>
      <c r="DG1203" s="340" t="s">
        <v>325</v>
      </c>
      <c r="DV1203" s="340">
        <v>119.01</v>
      </c>
      <c r="DW1203" s="340" t="s">
        <v>302</v>
      </c>
      <c r="DX1203" s="1671"/>
    </row>
    <row r="1204" spans="12:128">
      <c r="L1204" s="2481">
        <v>1104</v>
      </c>
      <c r="M1204" s="340" t="s">
        <v>327</v>
      </c>
      <c r="N1204" s="1390"/>
      <c r="O1204" s="2479"/>
      <c r="P1204" s="2282"/>
      <c r="AG1204" s="2297">
        <v>119.01</v>
      </c>
      <c r="AH1204" s="2297" t="s">
        <v>344</v>
      </c>
      <c r="AI1204" s="1390"/>
      <c r="AJ1204" s="2282"/>
      <c r="AK1204" s="2282"/>
      <c r="AL1204" s="1037"/>
      <c r="AX1204" s="340">
        <v>16.02</v>
      </c>
      <c r="AY1204" s="340" t="s">
        <v>324</v>
      </c>
      <c r="BN1204" s="340">
        <v>114.11</v>
      </c>
      <c r="BO1204" s="340" t="s">
        <v>316</v>
      </c>
      <c r="BP1204" s="1385"/>
      <c r="BV1204" s="236">
        <v>33.08</v>
      </c>
      <c r="BW1204" s="236" t="s">
        <v>304</v>
      </c>
      <c r="CB1204" s="340">
        <v>3.03</v>
      </c>
      <c r="CC1204" s="340" t="s">
        <v>324</v>
      </c>
      <c r="CL1204" s="236">
        <v>58.19</v>
      </c>
      <c r="CM1204" s="236" t="s">
        <v>340</v>
      </c>
      <c r="CR1204" s="340">
        <v>114.18</v>
      </c>
      <c r="CS1204" s="340" t="s">
        <v>316</v>
      </c>
      <c r="CT1204" s="1384"/>
      <c r="DF1204" s="340">
        <v>9501</v>
      </c>
      <c r="DG1204" s="340" t="s">
        <v>326</v>
      </c>
      <c r="DV1204" s="340">
        <v>119.01</v>
      </c>
      <c r="DW1204" s="340" t="s">
        <v>344</v>
      </c>
      <c r="DX1204" s="1671"/>
    </row>
    <row r="1205" spans="12:128">
      <c r="L1205" s="2481">
        <v>1.01</v>
      </c>
      <c r="M1205" s="340" t="s">
        <v>328</v>
      </c>
      <c r="N1205" s="1390"/>
      <c r="O1205" s="2479"/>
      <c r="P1205" s="2282"/>
      <c r="AG1205" s="2297">
        <v>119.02</v>
      </c>
      <c r="AH1205" s="2297" t="s">
        <v>344</v>
      </c>
      <c r="AI1205" s="1390"/>
      <c r="AJ1205" s="2282"/>
      <c r="AK1205" s="2282"/>
      <c r="AL1205" s="1037"/>
      <c r="AX1205" s="340">
        <v>17.010000000000002</v>
      </c>
      <c r="AY1205" s="340" t="s">
        <v>324</v>
      </c>
      <c r="BN1205" s="340">
        <v>114.11</v>
      </c>
      <c r="BO1205" s="340" t="s">
        <v>331</v>
      </c>
      <c r="BP1205" s="1385"/>
      <c r="BV1205" s="236">
        <v>33.1</v>
      </c>
      <c r="BW1205" s="236" t="s">
        <v>304</v>
      </c>
      <c r="CB1205" s="340">
        <v>7</v>
      </c>
      <c r="CC1205" s="340" t="s">
        <v>324</v>
      </c>
      <c r="CL1205" s="236">
        <v>58.2</v>
      </c>
      <c r="CM1205" s="236" t="s">
        <v>340</v>
      </c>
      <c r="CR1205" s="340">
        <v>115</v>
      </c>
      <c r="CS1205" s="340" t="s">
        <v>331</v>
      </c>
      <c r="CT1205" s="1384"/>
      <c r="DF1205" s="340">
        <v>1102</v>
      </c>
      <c r="DG1205" s="340" t="s">
        <v>327</v>
      </c>
      <c r="DV1205" s="340">
        <v>119.02</v>
      </c>
      <c r="DW1205" s="340" t="s">
        <v>344</v>
      </c>
      <c r="DX1205" s="1671"/>
    </row>
    <row r="1206" spans="12:128">
      <c r="L1206" s="2481">
        <v>3.09</v>
      </c>
      <c r="M1206" s="340" t="s">
        <v>328</v>
      </c>
      <c r="N1206" s="1390"/>
      <c r="O1206" s="2479"/>
      <c r="P1206" s="2282"/>
      <c r="AG1206" s="2297">
        <v>119.04</v>
      </c>
      <c r="AH1206" s="2297" t="s">
        <v>302</v>
      </c>
      <c r="AI1206" s="1390"/>
      <c r="AJ1206" s="2282"/>
      <c r="AK1206" s="2282"/>
      <c r="AL1206" s="1037"/>
      <c r="AX1206" s="340">
        <v>17.02</v>
      </c>
      <c r="AY1206" s="340" t="s">
        <v>324</v>
      </c>
      <c r="BN1206" s="340">
        <v>114.12</v>
      </c>
      <c r="BO1206" s="340" t="s">
        <v>316</v>
      </c>
      <c r="BP1206" s="1385"/>
      <c r="BV1206" s="236">
        <v>33.11</v>
      </c>
      <c r="BW1206" s="236" t="s">
        <v>304</v>
      </c>
      <c r="CB1206" s="340">
        <v>8</v>
      </c>
      <c r="CC1206" s="340" t="s">
        <v>324</v>
      </c>
      <c r="CL1206" s="236">
        <v>58.21</v>
      </c>
      <c r="CM1206" s="236" t="s">
        <v>340</v>
      </c>
      <c r="CR1206" s="340">
        <v>115.02</v>
      </c>
      <c r="CS1206" s="340" t="s">
        <v>344</v>
      </c>
      <c r="CT1206" s="1384"/>
      <c r="DF1206" s="340">
        <v>1103.01</v>
      </c>
      <c r="DG1206" s="340" t="s">
        <v>327</v>
      </c>
      <c r="DV1206" s="340">
        <v>119.03</v>
      </c>
      <c r="DW1206" s="340" t="s">
        <v>302</v>
      </c>
      <c r="DX1206" s="1671"/>
    </row>
    <row r="1207" spans="12:128">
      <c r="L1207" s="2481">
        <v>3.12</v>
      </c>
      <c r="M1207" s="340" t="s">
        <v>328</v>
      </c>
      <c r="N1207" s="1390"/>
      <c r="O1207" s="2479"/>
      <c r="P1207" s="2282"/>
      <c r="AG1207" s="2297">
        <v>119.07</v>
      </c>
      <c r="AH1207" s="2297" t="s">
        <v>316</v>
      </c>
      <c r="AI1207" s="1390"/>
      <c r="AJ1207" s="2282"/>
      <c r="AK1207" s="2282"/>
      <c r="AL1207" s="1037"/>
      <c r="AX1207" s="340">
        <v>22.06</v>
      </c>
      <c r="AY1207" s="340" t="s">
        <v>324</v>
      </c>
      <c r="BN1207" s="340">
        <v>114.12</v>
      </c>
      <c r="BO1207" s="340" t="s">
        <v>331</v>
      </c>
      <c r="BP1207" s="1385"/>
      <c r="BV1207" s="236">
        <v>33.119999999999997</v>
      </c>
      <c r="BW1207" s="236" t="s">
        <v>304</v>
      </c>
      <c r="CB1207" s="340">
        <v>9.0399999999999991</v>
      </c>
      <c r="CC1207" s="340" t="s">
        <v>324</v>
      </c>
      <c r="CL1207" s="236">
        <v>59</v>
      </c>
      <c r="CM1207" s="236" t="s">
        <v>316</v>
      </c>
      <c r="CR1207" s="340">
        <v>115.04</v>
      </c>
      <c r="CS1207" s="340" t="s">
        <v>316</v>
      </c>
      <c r="CT1207" s="1384"/>
      <c r="DF1207" s="340">
        <v>1104</v>
      </c>
      <c r="DG1207" s="340" t="s">
        <v>327</v>
      </c>
      <c r="DV1207" s="340">
        <v>119.04</v>
      </c>
      <c r="DW1207" s="340" t="s">
        <v>302</v>
      </c>
      <c r="DX1207" s="1671"/>
    </row>
    <row r="1208" spans="12:128">
      <c r="L1208" s="2481">
        <v>4.03</v>
      </c>
      <c r="M1208" s="340" t="s">
        <v>328</v>
      </c>
      <c r="N1208" s="1390"/>
      <c r="O1208" s="2479"/>
      <c r="P1208" s="2282"/>
      <c r="AG1208" s="2297">
        <v>119.08</v>
      </c>
      <c r="AH1208" s="2297" t="s">
        <v>344</v>
      </c>
      <c r="AI1208" s="1390"/>
      <c r="AJ1208" s="2282"/>
      <c r="AK1208" s="2282"/>
      <c r="AL1208" s="1037"/>
      <c r="AX1208" s="340">
        <v>22.07</v>
      </c>
      <c r="AY1208" s="340" t="s">
        <v>324</v>
      </c>
      <c r="BN1208" s="340">
        <v>114.13</v>
      </c>
      <c r="BO1208" s="340" t="s">
        <v>316</v>
      </c>
      <c r="BP1208" s="1385"/>
      <c r="BV1208" s="236">
        <v>33.130000000000003</v>
      </c>
      <c r="BW1208" s="236" t="s">
        <v>304</v>
      </c>
      <c r="CB1208" s="340">
        <v>9.06</v>
      </c>
      <c r="CC1208" s="340" t="s">
        <v>324</v>
      </c>
      <c r="CL1208" s="236">
        <v>59.01</v>
      </c>
      <c r="CM1208" s="236" t="s">
        <v>331</v>
      </c>
      <c r="CR1208" s="340">
        <v>115.06</v>
      </c>
      <c r="CS1208" s="340" t="s">
        <v>316</v>
      </c>
      <c r="CT1208" s="1384"/>
      <c r="DF1208" s="340">
        <v>1.01</v>
      </c>
      <c r="DG1208" s="340" t="s">
        <v>328</v>
      </c>
      <c r="DV1208" s="340">
        <v>119.07</v>
      </c>
      <c r="DW1208" s="340" t="s">
        <v>316</v>
      </c>
      <c r="DX1208" s="1671"/>
    </row>
    <row r="1209" spans="12:128">
      <c r="L1209" s="2481">
        <v>4.0599999999999996</v>
      </c>
      <c r="M1209" s="340" t="s">
        <v>328</v>
      </c>
      <c r="N1209" s="1390"/>
      <c r="O1209" s="2479"/>
      <c r="P1209" s="2282"/>
      <c r="AG1209" s="2297">
        <v>119.09</v>
      </c>
      <c r="AH1209" s="2297" t="s">
        <v>344</v>
      </c>
      <c r="AI1209" s="1390"/>
      <c r="AJ1209" s="2282"/>
      <c r="AK1209" s="2282"/>
      <c r="AL1209" s="1037"/>
      <c r="AX1209" s="340">
        <v>22.08</v>
      </c>
      <c r="AY1209" s="340" t="s">
        <v>324</v>
      </c>
      <c r="BN1209" s="340">
        <v>114.14</v>
      </c>
      <c r="BO1209" s="340" t="s">
        <v>316</v>
      </c>
      <c r="BP1209" s="1385"/>
      <c r="BV1209" s="236">
        <v>34</v>
      </c>
      <c r="BW1209" s="236" t="s">
        <v>304</v>
      </c>
      <c r="CB1209" s="340">
        <v>9.07</v>
      </c>
      <c r="CC1209" s="340" t="s">
        <v>324</v>
      </c>
      <c r="CL1209" s="236">
        <v>59.02</v>
      </c>
      <c r="CM1209" s="236" t="s">
        <v>331</v>
      </c>
      <c r="CR1209" s="340">
        <v>115.09</v>
      </c>
      <c r="CS1209" s="340" t="s">
        <v>316</v>
      </c>
      <c r="CT1209" s="1384"/>
      <c r="DF1209" s="340">
        <v>3.11</v>
      </c>
      <c r="DG1209" s="340" t="s">
        <v>328</v>
      </c>
      <c r="DV1209" s="340">
        <v>119.08</v>
      </c>
      <c r="DW1209" s="340" t="s">
        <v>344</v>
      </c>
      <c r="DX1209" s="1671"/>
    </row>
    <row r="1210" spans="12:128">
      <c r="L1210" s="2481">
        <v>4.07</v>
      </c>
      <c r="M1210" s="340" t="s">
        <v>328</v>
      </c>
      <c r="N1210" s="1390"/>
      <c r="O1210" s="2479"/>
      <c r="P1210" s="2282"/>
      <c r="AG1210" s="2297">
        <v>119.11</v>
      </c>
      <c r="AH1210" s="2297" t="s">
        <v>344</v>
      </c>
      <c r="AI1210" s="1390"/>
      <c r="AJ1210" s="2282"/>
      <c r="AK1210" s="2282"/>
      <c r="AL1210" s="1037"/>
      <c r="AX1210" s="340">
        <v>23.02</v>
      </c>
      <c r="AY1210" s="340" t="s">
        <v>324</v>
      </c>
      <c r="BN1210" s="340">
        <v>114.15</v>
      </c>
      <c r="BO1210" s="340" t="s">
        <v>316</v>
      </c>
      <c r="BP1210" s="1385"/>
      <c r="BV1210" s="236">
        <v>35.049999999999997</v>
      </c>
      <c r="BW1210" s="236" t="s">
        <v>304</v>
      </c>
      <c r="CB1210" s="340">
        <v>15</v>
      </c>
      <c r="CC1210" s="340" t="s">
        <v>324</v>
      </c>
      <c r="CL1210" s="236">
        <v>59.03</v>
      </c>
      <c r="CM1210" s="236" t="s">
        <v>331</v>
      </c>
      <c r="CR1210" s="340">
        <v>115.1</v>
      </c>
      <c r="CS1210" s="340" t="s">
        <v>316</v>
      </c>
      <c r="CT1210" s="1384"/>
      <c r="DF1210" s="340">
        <v>3.12</v>
      </c>
      <c r="DG1210" s="340" t="s">
        <v>328</v>
      </c>
      <c r="DV1210" s="340">
        <v>119.09</v>
      </c>
      <c r="DW1210" s="340" t="s">
        <v>344</v>
      </c>
      <c r="DX1210" s="1671"/>
    </row>
    <row r="1211" spans="12:128">
      <c r="L1211" s="2481">
        <v>4.09</v>
      </c>
      <c r="M1211" s="340" t="s">
        <v>328</v>
      </c>
      <c r="N1211" s="1390"/>
      <c r="O1211" s="2479"/>
      <c r="P1211" s="2282"/>
      <c r="AG1211" s="2297">
        <v>119.12</v>
      </c>
      <c r="AH1211" s="2297" t="s">
        <v>344</v>
      </c>
      <c r="AI1211" s="1390"/>
      <c r="AJ1211" s="2282"/>
      <c r="AK1211" s="2282"/>
      <c r="AL1211" s="1037"/>
      <c r="AX1211" s="340">
        <v>23.03</v>
      </c>
      <c r="AY1211" s="340" t="s">
        <v>324</v>
      </c>
      <c r="BN1211" s="340">
        <v>114.17</v>
      </c>
      <c r="BO1211" s="340" t="s">
        <v>316</v>
      </c>
      <c r="BP1211" s="1385"/>
      <c r="BV1211" s="236">
        <v>35.06</v>
      </c>
      <c r="BW1211" s="236" t="s">
        <v>304</v>
      </c>
      <c r="CB1211" s="340">
        <v>16.010000000000002</v>
      </c>
      <c r="CC1211" s="340" t="s">
        <v>324</v>
      </c>
      <c r="CL1211" s="236">
        <v>59.04</v>
      </c>
      <c r="CM1211" s="236" t="s">
        <v>331</v>
      </c>
      <c r="CR1211" s="340">
        <v>115.12</v>
      </c>
      <c r="CS1211" s="340" t="s">
        <v>316</v>
      </c>
      <c r="CT1211" s="1384"/>
      <c r="DF1211" s="340">
        <v>4.03</v>
      </c>
      <c r="DG1211" s="340" t="s">
        <v>328</v>
      </c>
      <c r="DV1211" s="340">
        <v>119.11</v>
      </c>
      <c r="DW1211" s="340" t="s">
        <v>344</v>
      </c>
      <c r="DX1211" s="1671"/>
    </row>
    <row r="1212" spans="12:128">
      <c r="L1212" s="2481">
        <v>5.04</v>
      </c>
      <c r="M1212" s="340" t="s">
        <v>328</v>
      </c>
      <c r="N1212" s="1390"/>
      <c r="O1212" s="2479"/>
      <c r="P1212" s="2282"/>
      <c r="AG1212" s="2297">
        <v>120</v>
      </c>
      <c r="AH1212" s="2297" t="s">
        <v>302</v>
      </c>
      <c r="AI1212" s="1390"/>
      <c r="AJ1212" s="2282"/>
      <c r="AK1212" s="2282"/>
      <c r="AL1212" s="1037"/>
      <c r="AX1212" s="340">
        <v>24.03</v>
      </c>
      <c r="AY1212" s="340" t="s">
        <v>324</v>
      </c>
      <c r="BN1212" s="340">
        <v>114.18</v>
      </c>
      <c r="BO1212" s="340" t="s">
        <v>316</v>
      </c>
      <c r="BP1212" s="1385"/>
      <c r="BV1212" s="236">
        <v>35.07</v>
      </c>
      <c r="BW1212" s="236" t="s">
        <v>304</v>
      </c>
      <c r="CB1212" s="340">
        <v>16.02</v>
      </c>
      <c r="CC1212" s="340" t="s">
        <v>324</v>
      </c>
      <c r="CL1212" s="236">
        <v>59.16</v>
      </c>
      <c r="CM1212" s="236" t="s">
        <v>340</v>
      </c>
      <c r="CR1212" s="340">
        <v>115.14</v>
      </c>
      <c r="CS1212" s="340" t="s">
        <v>316</v>
      </c>
      <c r="CT1212" s="1384"/>
      <c r="DF1212" s="340">
        <v>4.0599999999999996</v>
      </c>
      <c r="DG1212" s="340" t="s">
        <v>328</v>
      </c>
      <c r="DV1212" s="340">
        <v>119.12</v>
      </c>
      <c r="DW1212" s="340" t="s">
        <v>344</v>
      </c>
      <c r="DX1212" s="1671"/>
    </row>
    <row r="1213" spans="12:128">
      <c r="L1213" s="2481">
        <v>8.0399999999999991</v>
      </c>
      <c r="M1213" s="340" t="s">
        <v>328</v>
      </c>
      <c r="N1213" s="1390"/>
      <c r="O1213" s="2479"/>
      <c r="P1213" s="2282"/>
      <c r="AG1213" s="2297">
        <v>120.01</v>
      </c>
      <c r="AH1213" s="2297" t="s">
        <v>344</v>
      </c>
      <c r="AI1213" s="1390"/>
      <c r="AJ1213" s="2282"/>
      <c r="AK1213" s="2282"/>
      <c r="AL1213" s="1037"/>
      <c r="AX1213" s="340">
        <v>24.1</v>
      </c>
      <c r="AY1213" s="340" t="s">
        <v>324</v>
      </c>
      <c r="BN1213" s="340">
        <v>115</v>
      </c>
      <c r="BO1213" s="340" t="s">
        <v>331</v>
      </c>
      <c r="BP1213" s="1385"/>
      <c r="BV1213" s="236">
        <v>35.090000000000003</v>
      </c>
      <c r="BW1213" s="236" t="s">
        <v>304</v>
      </c>
      <c r="CB1213" s="340">
        <v>17.010000000000002</v>
      </c>
      <c r="CC1213" s="340" t="s">
        <v>324</v>
      </c>
      <c r="CL1213" s="236">
        <v>59.17</v>
      </c>
      <c r="CM1213" s="236" t="s">
        <v>340</v>
      </c>
      <c r="CR1213" s="340">
        <v>115.15</v>
      </c>
      <c r="CS1213" s="340" t="s">
        <v>316</v>
      </c>
      <c r="CT1213" s="1384"/>
      <c r="DF1213" s="340">
        <v>4.09</v>
      </c>
      <c r="DG1213" s="340" t="s">
        <v>328</v>
      </c>
      <c r="DV1213" s="340">
        <v>119.13</v>
      </c>
      <c r="DW1213" s="340" t="s">
        <v>344</v>
      </c>
      <c r="DX1213" s="1671"/>
    </row>
    <row r="1214" spans="12:128">
      <c r="L1214" s="2481">
        <v>8.0500000000000007</v>
      </c>
      <c r="M1214" s="340" t="s">
        <v>328</v>
      </c>
      <c r="N1214" s="1390"/>
      <c r="O1214" s="2479"/>
      <c r="P1214" s="2282"/>
      <c r="AG1214" s="2297">
        <v>120.02</v>
      </c>
      <c r="AH1214" s="2297" t="s">
        <v>331</v>
      </c>
      <c r="AI1214" s="1390"/>
      <c r="AJ1214" s="2282"/>
      <c r="AK1214" s="2282"/>
      <c r="AL1214" s="1037"/>
      <c r="AX1214" s="340">
        <v>24.13</v>
      </c>
      <c r="AY1214" s="340" t="s">
        <v>324</v>
      </c>
      <c r="BN1214" s="340">
        <v>115.02</v>
      </c>
      <c r="BO1214" s="340" t="s">
        <v>344</v>
      </c>
      <c r="BP1214" s="1385"/>
      <c r="BV1214" s="236">
        <v>35.1</v>
      </c>
      <c r="BW1214" s="236" t="s">
        <v>304</v>
      </c>
      <c r="CB1214" s="340">
        <v>17.02</v>
      </c>
      <c r="CC1214" s="340" t="s">
        <v>324</v>
      </c>
      <c r="CL1214" s="236">
        <v>59.18</v>
      </c>
      <c r="CM1214" s="236" t="s">
        <v>340</v>
      </c>
      <c r="CR1214" s="340">
        <v>115.16</v>
      </c>
      <c r="CS1214" s="340" t="s">
        <v>316</v>
      </c>
      <c r="CT1214" s="1384"/>
      <c r="DF1214" s="340">
        <v>4.0999999999999996</v>
      </c>
      <c r="DG1214" s="340" t="s">
        <v>328</v>
      </c>
      <c r="DV1214" s="340">
        <v>120.01</v>
      </c>
      <c r="DW1214" s="340" t="s">
        <v>344</v>
      </c>
      <c r="DX1214" s="1671"/>
    </row>
    <row r="1215" spans="12:128">
      <c r="L1215" s="2481">
        <v>8.08</v>
      </c>
      <c r="M1215" s="340" t="s">
        <v>328</v>
      </c>
      <c r="N1215" s="1390"/>
      <c r="O1215" s="2479"/>
      <c r="P1215" s="2282"/>
      <c r="AG1215" s="2297">
        <v>120.03</v>
      </c>
      <c r="AH1215" s="2297" t="s">
        <v>344</v>
      </c>
      <c r="AI1215" s="1390"/>
      <c r="AJ1215" s="2282"/>
      <c r="AK1215" s="2282"/>
      <c r="AL1215" s="1037"/>
      <c r="AX1215" s="340">
        <v>24.14</v>
      </c>
      <c r="AY1215" s="340" t="s">
        <v>324</v>
      </c>
      <c r="BN1215" s="340">
        <v>115.04</v>
      </c>
      <c r="BO1215" s="340" t="s">
        <v>316</v>
      </c>
      <c r="BP1215" s="1385"/>
      <c r="BV1215" s="236">
        <v>35.11</v>
      </c>
      <c r="BW1215" s="236" t="s">
        <v>304</v>
      </c>
      <c r="CB1215" s="340">
        <v>18.03</v>
      </c>
      <c r="CC1215" s="340" t="s">
        <v>324</v>
      </c>
      <c r="CL1215" s="236">
        <v>59.21</v>
      </c>
      <c r="CM1215" s="236" t="s">
        <v>340</v>
      </c>
      <c r="CR1215" s="340">
        <v>115.18</v>
      </c>
      <c r="CS1215" s="340" t="s">
        <v>316</v>
      </c>
      <c r="CT1215" s="1384"/>
      <c r="DF1215" s="340">
        <v>5.03</v>
      </c>
      <c r="DG1215" s="340" t="s">
        <v>328</v>
      </c>
      <c r="DV1215" s="340">
        <v>120.02</v>
      </c>
      <c r="DW1215" s="340" t="s">
        <v>344</v>
      </c>
      <c r="DX1215" s="1671"/>
    </row>
    <row r="1216" spans="12:128">
      <c r="L1216" s="2481">
        <v>8.09</v>
      </c>
      <c r="M1216" s="340" t="s">
        <v>328</v>
      </c>
      <c r="N1216" s="1390"/>
      <c r="O1216" s="2479"/>
      <c r="P1216" s="2282"/>
      <c r="AG1216" s="2297">
        <v>121.01</v>
      </c>
      <c r="AH1216" s="2297" t="s">
        <v>331</v>
      </c>
      <c r="AI1216" s="1390"/>
      <c r="AJ1216" s="2282"/>
      <c r="AK1216" s="2282"/>
      <c r="AL1216" s="1037"/>
      <c r="AX1216" s="340">
        <v>24.15</v>
      </c>
      <c r="AY1216" s="340" t="s">
        <v>324</v>
      </c>
      <c r="BN1216" s="340">
        <v>115.06</v>
      </c>
      <c r="BO1216" s="340" t="s">
        <v>316</v>
      </c>
      <c r="BP1216" s="1385"/>
      <c r="BV1216" s="236">
        <v>35.119999999999997</v>
      </c>
      <c r="BW1216" s="236" t="s">
        <v>304</v>
      </c>
      <c r="CB1216" s="340">
        <v>22.06</v>
      </c>
      <c r="CC1216" s="340" t="s">
        <v>324</v>
      </c>
      <c r="CL1216" s="236">
        <v>59.22</v>
      </c>
      <c r="CM1216" s="236" t="s">
        <v>340</v>
      </c>
      <c r="CR1216" s="340">
        <v>115.19</v>
      </c>
      <c r="CS1216" s="340" t="s">
        <v>316</v>
      </c>
      <c r="CT1216" s="1384"/>
      <c r="DF1216" s="340">
        <v>8.0399999999999991</v>
      </c>
      <c r="DG1216" s="340" t="s">
        <v>328</v>
      </c>
      <c r="DV1216" s="340">
        <v>120.03</v>
      </c>
      <c r="DW1216" s="340" t="s">
        <v>344</v>
      </c>
      <c r="DX1216" s="1671"/>
    </row>
    <row r="1217" spans="12:128">
      <c r="L1217" s="2481">
        <v>8.1</v>
      </c>
      <c r="M1217" s="340" t="s">
        <v>328</v>
      </c>
      <c r="N1217" s="1390"/>
      <c r="O1217" s="2479"/>
      <c r="P1217" s="2282"/>
      <c r="AG1217" s="2297">
        <v>121.02</v>
      </c>
      <c r="AH1217" s="2297" t="s">
        <v>331</v>
      </c>
      <c r="AI1217" s="1390"/>
      <c r="AJ1217" s="2282"/>
      <c r="AK1217" s="2282"/>
      <c r="AL1217" s="1037"/>
      <c r="AX1217" s="340">
        <v>24.16</v>
      </c>
      <c r="AY1217" s="340" t="s">
        <v>324</v>
      </c>
      <c r="BN1217" s="340">
        <v>115.09</v>
      </c>
      <c r="BO1217" s="340" t="s">
        <v>316</v>
      </c>
      <c r="BP1217" s="1385"/>
      <c r="BV1217" s="236">
        <v>36.03</v>
      </c>
      <c r="BW1217" s="236" t="s">
        <v>304</v>
      </c>
      <c r="CB1217" s="340">
        <v>22.07</v>
      </c>
      <c r="CC1217" s="340" t="s">
        <v>324</v>
      </c>
      <c r="CL1217" s="236">
        <v>59.23</v>
      </c>
      <c r="CM1217" s="236" t="s">
        <v>340</v>
      </c>
      <c r="CR1217" s="340">
        <v>115.2</v>
      </c>
      <c r="CS1217" s="340" t="s">
        <v>316</v>
      </c>
      <c r="CT1217" s="1384"/>
      <c r="DF1217" s="340">
        <v>8.08</v>
      </c>
      <c r="DG1217" s="340" t="s">
        <v>328</v>
      </c>
      <c r="DV1217" s="340">
        <v>120.04</v>
      </c>
      <c r="DW1217" s="340" t="s">
        <v>344</v>
      </c>
      <c r="DX1217" s="1671"/>
    </row>
    <row r="1218" spans="12:128">
      <c r="L1218" s="2481">
        <v>8.1300000000000008</v>
      </c>
      <c r="M1218" s="340" t="s">
        <v>328</v>
      </c>
      <c r="N1218" s="1390"/>
      <c r="O1218" s="2479"/>
      <c r="P1218" s="2282"/>
      <c r="AG1218" s="2297">
        <v>121.03</v>
      </c>
      <c r="AH1218" s="2297" t="s">
        <v>316</v>
      </c>
      <c r="AI1218" s="1390"/>
      <c r="AJ1218" s="2282"/>
      <c r="AK1218" s="2282"/>
      <c r="AL1218" s="1037"/>
      <c r="AX1218" s="340">
        <v>24.18</v>
      </c>
      <c r="AY1218" s="340" t="s">
        <v>324</v>
      </c>
      <c r="BN1218" s="340">
        <v>115.1</v>
      </c>
      <c r="BO1218" s="340" t="s">
        <v>316</v>
      </c>
      <c r="BP1218" s="1385"/>
      <c r="BV1218" s="236">
        <v>36.07</v>
      </c>
      <c r="BW1218" s="236" t="s">
        <v>304</v>
      </c>
      <c r="CB1218" s="340">
        <v>22.08</v>
      </c>
      <c r="CC1218" s="340" t="s">
        <v>324</v>
      </c>
      <c r="CL1218" s="236">
        <v>59.26</v>
      </c>
      <c r="CM1218" s="236" t="s">
        <v>340</v>
      </c>
      <c r="CR1218" s="340">
        <v>115.21</v>
      </c>
      <c r="CS1218" s="340" t="s">
        <v>316</v>
      </c>
      <c r="CT1218" s="1384"/>
      <c r="DF1218" s="340">
        <v>8.09</v>
      </c>
      <c r="DG1218" s="340" t="s">
        <v>328</v>
      </c>
      <c r="DV1218" s="340">
        <v>121.01</v>
      </c>
      <c r="DW1218" s="340" t="s">
        <v>331</v>
      </c>
      <c r="DX1218" s="1671"/>
    </row>
    <row r="1219" spans="12:128">
      <c r="L1219" s="2481">
        <v>8.14</v>
      </c>
      <c r="M1219" s="340" t="s">
        <v>328</v>
      </c>
      <c r="N1219" s="1390"/>
      <c r="O1219" s="2479"/>
      <c r="P1219" s="2282"/>
      <c r="AG1219" s="2297">
        <v>121.08</v>
      </c>
      <c r="AH1219" s="2297" t="s">
        <v>316</v>
      </c>
      <c r="AI1219" s="1390"/>
      <c r="AJ1219" s="2282"/>
      <c r="AK1219" s="2282"/>
      <c r="AL1219" s="1037"/>
      <c r="AX1219" s="340">
        <v>24.19</v>
      </c>
      <c r="AY1219" s="340" t="s">
        <v>324</v>
      </c>
      <c r="BN1219" s="340">
        <v>115.12</v>
      </c>
      <c r="BO1219" s="340" t="s">
        <v>316</v>
      </c>
      <c r="BP1219" s="1385"/>
      <c r="BV1219" s="236">
        <v>36.08</v>
      </c>
      <c r="BW1219" s="236" t="s">
        <v>304</v>
      </c>
      <c r="CB1219" s="340">
        <v>23.02</v>
      </c>
      <c r="CC1219" s="340" t="s">
        <v>324</v>
      </c>
      <c r="CL1219" s="236">
        <v>59.3</v>
      </c>
      <c r="CM1219" s="236" t="s">
        <v>340</v>
      </c>
      <c r="CR1219" s="340">
        <v>115.22</v>
      </c>
      <c r="CS1219" s="340" t="s">
        <v>316</v>
      </c>
      <c r="CT1219" s="1384"/>
      <c r="DF1219" s="340">
        <v>8.1</v>
      </c>
      <c r="DG1219" s="340" t="s">
        <v>328</v>
      </c>
      <c r="DV1219" s="340">
        <v>121.02</v>
      </c>
      <c r="DW1219" s="340" t="s">
        <v>331</v>
      </c>
      <c r="DX1219" s="1671"/>
    </row>
    <row r="1220" spans="12:128">
      <c r="L1220" s="2481">
        <v>9.02</v>
      </c>
      <c r="M1220" s="340" t="s">
        <v>328</v>
      </c>
      <c r="N1220" s="1390"/>
      <c r="O1220" s="2479"/>
      <c r="P1220" s="2282"/>
      <c r="AG1220" s="2297">
        <v>121.13</v>
      </c>
      <c r="AH1220" s="2297" t="s">
        <v>344</v>
      </c>
      <c r="AI1220" s="1390"/>
      <c r="AJ1220" s="2282"/>
      <c r="AK1220" s="2282"/>
      <c r="AL1220" s="1037"/>
      <c r="AX1220" s="340">
        <v>24.2</v>
      </c>
      <c r="AY1220" s="340" t="s">
        <v>324</v>
      </c>
      <c r="BN1220" s="340">
        <v>115.14</v>
      </c>
      <c r="BO1220" s="340" t="s">
        <v>316</v>
      </c>
      <c r="BP1220" s="1385"/>
      <c r="BV1220" s="236">
        <v>36.090000000000003</v>
      </c>
      <c r="BW1220" s="236" t="s">
        <v>304</v>
      </c>
      <c r="CB1220" s="340">
        <v>23.03</v>
      </c>
      <c r="CC1220" s="340" t="s">
        <v>324</v>
      </c>
      <c r="CL1220" s="236">
        <v>59.31</v>
      </c>
      <c r="CM1220" s="236" t="s">
        <v>340</v>
      </c>
      <c r="CR1220" s="340">
        <v>115.23</v>
      </c>
      <c r="CS1220" s="340" t="s">
        <v>316</v>
      </c>
      <c r="CT1220" s="1384"/>
      <c r="DF1220" s="340">
        <v>8.1199999999999992</v>
      </c>
      <c r="DG1220" s="340" t="s">
        <v>328</v>
      </c>
      <c r="DV1220" s="340">
        <v>121.05</v>
      </c>
      <c r="DW1220" s="340" t="s">
        <v>331</v>
      </c>
      <c r="DX1220" s="1671"/>
    </row>
    <row r="1221" spans="12:128">
      <c r="L1221" s="2481">
        <v>10.01</v>
      </c>
      <c r="M1221" s="340" t="s">
        <v>328</v>
      </c>
      <c r="N1221" s="1390"/>
      <c r="O1221" s="2479"/>
      <c r="P1221" s="2282"/>
      <c r="AG1221" s="2297">
        <v>121.25</v>
      </c>
      <c r="AH1221" s="2297" t="s">
        <v>344</v>
      </c>
      <c r="AI1221" s="1390"/>
      <c r="AJ1221" s="2282"/>
      <c r="AK1221" s="2282"/>
      <c r="AL1221" s="1037"/>
      <c r="AX1221" s="340">
        <v>24.21</v>
      </c>
      <c r="AY1221" s="340" t="s">
        <v>324</v>
      </c>
      <c r="BN1221" s="340">
        <v>115.15</v>
      </c>
      <c r="BO1221" s="340" t="s">
        <v>316</v>
      </c>
      <c r="BP1221" s="1385"/>
      <c r="BV1221" s="236">
        <v>36.1</v>
      </c>
      <c r="BW1221" s="236" t="s">
        <v>304</v>
      </c>
      <c r="CB1221" s="340">
        <v>24.03</v>
      </c>
      <c r="CC1221" s="340" t="s">
        <v>324</v>
      </c>
      <c r="CL1221" s="236">
        <v>59.33</v>
      </c>
      <c r="CM1221" s="236" t="s">
        <v>340</v>
      </c>
      <c r="CR1221" s="340">
        <v>115.24</v>
      </c>
      <c r="CS1221" s="340" t="s">
        <v>316</v>
      </c>
      <c r="CT1221" s="1384"/>
      <c r="DF1221" s="340">
        <v>8.1300000000000008</v>
      </c>
      <c r="DG1221" s="340" t="s">
        <v>328</v>
      </c>
      <c r="DV1221" s="340">
        <v>121.06</v>
      </c>
      <c r="DW1221" s="340" t="s">
        <v>316</v>
      </c>
      <c r="DX1221" s="1671"/>
    </row>
    <row r="1222" spans="12:128">
      <c r="L1222" s="2481">
        <v>11.04</v>
      </c>
      <c r="M1222" s="340" t="s">
        <v>328</v>
      </c>
      <c r="N1222" s="1390"/>
      <c r="O1222" s="2479"/>
      <c r="P1222" s="2282"/>
      <c r="AG1222" s="2297">
        <v>121.26</v>
      </c>
      <c r="AH1222" s="2297" t="s">
        <v>344</v>
      </c>
      <c r="AI1222" s="1390"/>
      <c r="AJ1222" s="2282"/>
      <c r="AK1222" s="2282"/>
      <c r="AL1222" s="1037"/>
      <c r="AX1222" s="340">
        <v>24.22</v>
      </c>
      <c r="AY1222" s="340" t="s">
        <v>324</v>
      </c>
      <c r="BN1222" s="340">
        <v>115.16</v>
      </c>
      <c r="BO1222" s="340" t="s">
        <v>316</v>
      </c>
      <c r="BP1222" s="1385"/>
      <c r="BV1222" s="236">
        <v>36.11</v>
      </c>
      <c r="BW1222" s="236" t="s">
        <v>304</v>
      </c>
      <c r="CB1222" s="340">
        <v>24.1</v>
      </c>
      <c r="CC1222" s="340" t="s">
        <v>324</v>
      </c>
      <c r="CL1222" s="236">
        <v>59.34</v>
      </c>
      <c r="CM1222" s="236" t="s">
        <v>340</v>
      </c>
      <c r="CR1222" s="340">
        <v>115.25</v>
      </c>
      <c r="CS1222" s="340" t="s">
        <v>316</v>
      </c>
      <c r="CT1222" s="1384"/>
      <c r="DF1222" s="340">
        <v>8.14</v>
      </c>
      <c r="DG1222" s="340" t="s">
        <v>328</v>
      </c>
      <c r="DV1222" s="340">
        <v>121.08</v>
      </c>
      <c r="DW1222" s="340" t="s">
        <v>316</v>
      </c>
      <c r="DX1222" s="1671"/>
    </row>
    <row r="1223" spans="12:128">
      <c r="L1223" s="2481">
        <v>11.05</v>
      </c>
      <c r="M1223" s="340" t="s">
        <v>328</v>
      </c>
      <c r="N1223" s="1390"/>
      <c r="O1223" s="2479"/>
      <c r="P1223" s="2282"/>
      <c r="AG1223" s="2297">
        <v>121.27</v>
      </c>
      <c r="AH1223" s="2297" t="s">
        <v>344</v>
      </c>
      <c r="AI1223" s="1390"/>
      <c r="AJ1223" s="2282"/>
      <c r="AK1223" s="2282"/>
      <c r="AL1223" s="1037"/>
      <c r="AX1223" s="340">
        <v>24.23</v>
      </c>
      <c r="AY1223" s="340" t="s">
        <v>324</v>
      </c>
      <c r="BN1223" s="340">
        <v>115.18</v>
      </c>
      <c r="BO1223" s="340" t="s">
        <v>316</v>
      </c>
      <c r="BP1223" s="1385"/>
      <c r="BV1223" s="236">
        <v>36.119999999999997</v>
      </c>
      <c r="BW1223" s="236" t="s">
        <v>304</v>
      </c>
      <c r="CB1223" s="340">
        <v>24.11</v>
      </c>
      <c r="CC1223" s="340" t="s">
        <v>324</v>
      </c>
      <c r="CL1223" s="236">
        <v>59.36</v>
      </c>
      <c r="CM1223" s="236" t="s">
        <v>340</v>
      </c>
      <c r="CR1223" s="340">
        <v>115.26</v>
      </c>
      <c r="CS1223" s="340" t="s">
        <v>316</v>
      </c>
      <c r="CT1223" s="1384"/>
      <c r="DF1223" s="340">
        <v>9.02</v>
      </c>
      <c r="DG1223" s="340" t="s">
        <v>328</v>
      </c>
      <c r="DV1223" s="340">
        <v>121.13</v>
      </c>
      <c r="DW1223" s="340" t="s">
        <v>344</v>
      </c>
      <c r="DX1223" s="1671"/>
    </row>
    <row r="1224" spans="12:128">
      <c r="L1224" s="2481">
        <v>11.07</v>
      </c>
      <c r="M1224" s="340" t="s">
        <v>328</v>
      </c>
      <c r="N1224" s="1390"/>
      <c r="O1224" s="2479"/>
      <c r="P1224" s="2282"/>
      <c r="AG1224" s="2297">
        <v>121.3</v>
      </c>
      <c r="AH1224" s="2297" t="s">
        <v>344</v>
      </c>
      <c r="AI1224" s="1390"/>
      <c r="AJ1224" s="2282"/>
      <c r="AK1224" s="2282"/>
      <c r="AL1224" s="1037"/>
      <c r="AX1224" s="340">
        <v>25.05</v>
      </c>
      <c r="AY1224" s="340" t="s">
        <v>324</v>
      </c>
      <c r="BN1224" s="340">
        <v>115.19</v>
      </c>
      <c r="BO1224" s="340" t="s">
        <v>316</v>
      </c>
      <c r="BP1224" s="1385"/>
      <c r="BV1224" s="236">
        <v>36.130000000000003</v>
      </c>
      <c r="BW1224" s="236" t="s">
        <v>304</v>
      </c>
      <c r="CB1224" s="340">
        <v>24.13</v>
      </c>
      <c r="CC1224" s="340" t="s">
        <v>324</v>
      </c>
      <c r="CL1224" s="236">
        <v>59.37</v>
      </c>
      <c r="CM1224" s="236" t="s">
        <v>340</v>
      </c>
      <c r="CR1224" s="340">
        <v>115.27</v>
      </c>
      <c r="CS1224" s="340" t="s">
        <v>316</v>
      </c>
      <c r="CT1224" s="1384"/>
      <c r="DF1224" s="340">
        <v>11.04</v>
      </c>
      <c r="DG1224" s="340" t="s">
        <v>328</v>
      </c>
      <c r="DV1224" s="340">
        <v>121.25</v>
      </c>
      <c r="DW1224" s="340" t="s">
        <v>344</v>
      </c>
      <c r="DX1224" s="1671"/>
    </row>
    <row r="1225" spans="12:128">
      <c r="L1225" s="2481">
        <v>12.02</v>
      </c>
      <c r="M1225" s="340" t="s">
        <v>328</v>
      </c>
      <c r="N1225" s="1390"/>
      <c r="O1225" s="2479"/>
      <c r="P1225" s="2282"/>
      <c r="AG1225" s="2297">
        <v>121.32</v>
      </c>
      <c r="AH1225" s="2297" t="s">
        <v>344</v>
      </c>
      <c r="AI1225" s="1390"/>
      <c r="AJ1225" s="2282"/>
      <c r="AK1225" s="2282"/>
      <c r="AL1225" s="1037"/>
      <c r="AX1225" s="340">
        <v>25.07</v>
      </c>
      <c r="AY1225" s="340" t="s">
        <v>324</v>
      </c>
      <c r="BN1225" s="340">
        <v>115.2</v>
      </c>
      <c r="BO1225" s="340" t="s">
        <v>316</v>
      </c>
      <c r="BP1225" s="1385"/>
      <c r="BV1225" s="236">
        <v>36.14</v>
      </c>
      <c r="BW1225" s="236" t="s">
        <v>304</v>
      </c>
      <c r="CB1225" s="340">
        <v>24.14</v>
      </c>
      <c r="CC1225" s="340" t="s">
        <v>324</v>
      </c>
      <c r="CL1225" s="236">
        <v>59.38</v>
      </c>
      <c r="CM1225" s="236" t="s">
        <v>340</v>
      </c>
      <c r="CR1225" s="340">
        <v>115.28</v>
      </c>
      <c r="CS1225" s="340" t="s">
        <v>316</v>
      </c>
      <c r="CT1225" s="1384"/>
      <c r="DF1225" s="340">
        <v>11.07</v>
      </c>
      <c r="DG1225" s="340" t="s">
        <v>328</v>
      </c>
      <c r="DV1225" s="340">
        <v>121.26</v>
      </c>
      <c r="DW1225" s="340" t="s">
        <v>344</v>
      </c>
      <c r="DX1225" s="1671"/>
    </row>
    <row r="1226" spans="12:128">
      <c r="L1226" s="2481">
        <v>12.03</v>
      </c>
      <c r="M1226" s="340" t="s">
        <v>328</v>
      </c>
      <c r="N1226" s="1390"/>
      <c r="O1226" s="2479"/>
      <c r="P1226" s="2282"/>
      <c r="AG1226" s="2297">
        <v>122</v>
      </c>
      <c r="AH1226" s="2297" t="s">
        <v>331</v>
      </c>
      <c r="AI1226" s="1390"/>
      <c r="AJ1226" s="2282"/>
      <c r="AK1226" s="2282"/>
      <c r="AL1226" s="1037"/>
      <c r="AX1226" s="340">
        <v>25.09</v>
      </c>
      <c r="AY1226" s="340" t="s">
        <v>324</v>
      </c>
      <c r="BN1226" s="340">
        <v>115.21</v>
      </c>
      <c r="BO1226" s="340" t="s">
        <v>316</v>
      </c>
      <c r="BP1226" s="1385"/>
      <c r="BV1226" s="236">
        <v>37</v>
      </c>
      <c r="BW1226" s="236" t="s">
        <v>304</v>
      </c>
      <c r="CB1226" s="340">
        <v>24.15</v>
      </c>
      <c r="CC1226" s="340" t="s">
        <v>324</v>
      </c>
      <c r="CL1226" s="236">
        <v>59.39</v>
      </c>
      <c r="CM1226" s="236" t="s">
        <v>340</v>
      </c>
      <c r="CR1226" s="340">
        <v>116.01</v>
      </c>
      <c r="CS1226" s="340" t="s">
        <v>331</v>
      </c>
      <c r="CT1226" s="1384"/>
      <c r="DF1226" s="340">
        <v>12.02</v>
      </c>
      <c r="DG1226" s="340" t="s">
        <v>328</v>
      </c>
      <c r="DV1226" s="340">
        <v>121.27</v>
      </c>
      <c r="DW1226" s="340" t="s">
        <v>344</v>
      </c>
      <c r="DX1226" s="1671"/>
    </row>
    <row r="1227" spans="12:128">
      <c r="L1227" s="2481">
        <v>12.04</v>
      </c>
      <c r="M1227" s="340" t="s">
        <v>328</v>
      </c>
      <c r="N1227" s="1390"/>
      <c r="O1227" s="2479"/>
      <c r="P1227" s="2282"/>
      <c r="AG1227" s="2297">
        <v>122.03</v>
      </c>
      <c r="AH1227" s="2297" t="s">
        <v>344</v>
      </c>
      <c r="AI1227" s="1390"/>
      <c r="AJ1227" s="2282"/>
      <c r="AK1227" s="2282"/>
      <c r="AL1227" s="1037"/>
      <c r="AX1227" s="340">
        <v>25.11</v>
      </c>
      <c r="AY1227" s="340" t="s">
        <v>324</v>
      </c>
      <c r="BN1227" s="340">
        <v>115.22</v>
      </c>
      <c r="BO1227" s="340" t="s">
        <v>316</v>
      </c>
      <c r="BP1227" s="1385"/>
      <c r="BV1227" s="236">
        <v>38</v>
      </c>
      <c r="BW1227" s="236" t="s">
        <v>304</v>
      </c>
      <c r="CB1227" s="340">
        <v>24.16</v>
      </c>
      <c r="CC1227" s="340" t="s">
        <v>324</v>
      </c>
      <c r="CL1227" s="236">
        <v>59.4</v>
      </c>
      <c r="CM1227" s="236" t="s">
        <v>340</v>
      </c>
      <c r="CR1227" s="340">
        <v>116.02</v>
      </c>
      <c r="CS1227" s="340" t="s">
        <v>331</v>
      </c>
      <c r="CT1227" s="1384"/>
      <c r="DF1227" s="340">
        <v>12.03</v>
      </c>
      <c r="DG1227" s="340" t="s">
        <v>328</v>
      </c>
      <c r="DV1227" s="340">
        <v>121.32</v>
      </c>
      <c r="DW1227" s="340" t="s">
        <v>344</v>
      </c>
      <c r="DX1227" s="1671"/>
    </row>
    <row r="1228" spans="12:128">
      <c r="L1228" s="2481">
        <v>14.02</v>
      </c>
      <c r="M1228" s="340" t="s">
        <v>328</v>
      </c>
      <c r="N1228" s="1390"/>
      <c r="O1228" s="2479"/>
      <c r="P1228" s="2282"/>
      <c r="AG1228" s="2297">
        <v>122.06</v>
      </c>
      <c r="AH1228" s="2297" t="s">
        <v>316</v>
      </c>
      <c r="AI1228" s="1390"/>
      <c r="AJ1228" s="2282"/>
      <c r="AK1228" s="2282"/>
      <c r="AL1228" s="1037"/>
      <c r="AX1228" s="340">
        <v>25.12</v>
      </c>
      <c r="AY1228" s="340" t="s">
        <v>324</v>
      </c>
      <c r="BN1228" s="340">
        <v>115.23</v>
      </c>
      <c r="BO1228" s="340" t="s">
        <v>316</v>
      </c>
      <c r="BP1228" s="1385"/>
      <c r="BV1228" s="236">
        <v>39</v>
      </c>
      <c r="BW1228" s="236" t="s">
        <v>304</v>
      </c>
      <c r="CB1228" s="340">
        <v>24.18</v>
      </c>
      <c r="CC1228" s="340" t="s">
        <v>324</v>
      </c>
      <c r="CL1228" s="236">
        <v>59.42</v>
      </c>
      <c r="CM1228" s="236" t="s">
        <v>340</v>
      </c>
      <c r="CR1228" s="340">
        <v>116.03</v>
      </c>
      <c r="CS1228" s="340" t="s">
        <v>316</v>
      </c>
      <c r="CT1228" s="1384"/>
      <c r="DF1228" s="340">
        <v>12.04</v>
      </c>
      <c r="DG1228" s="340" t="s">
        <v>328</v>
      </c>
      <c r="DV1228" s="340">
        <v>121.33</v>
      </c>
      <c r="DW1228" s="340" t="s">
        <v>344</v>
      </c>
      <c r="DX1228" s="1671"/>
    </row>
    <row r="1229" spans="12:128">
      <c r="L1229" s="2481">
        <v>16.02</v>
      </c>
      <c r="M1229" s="340" t="s">
        <v>328</v>
      </c>
      <c r="N1229" s="1390"/>
      <c r="O1229" s="2479"/>
      <c r="P1229" s="2282"/>
      <c r="AG1229" s="2297">
        <v>122.07</v>
      </c>
      <c r="AH1229" s="2297" t="s">
        <v>316</v>
      </c>
      <c r="AI1229" s="1390"/>
      <c r="AJ1229" s="2282"/>
      <c r="AK1229" s="2282"/>
      <c r="AL1229" s="1037"/>
      <c r="AX1229" s="340">
        <v>25.13</v>
      </c>
      <c r="AY1229" s="340" t="s">
        <v>324</v>
      </c>
      <c r="BN1229" s="340">
        <v>115.24</v>
      </c>
      <c r="BO1229" s="340" t="s">
        <v>316</v>
      </c>
      <c r="BP1229" s="1385"/>
      <c r="BV1229" s="236">
        <v>40</v>
      </c>
      <c r="BW1229" s="236" t="s">
        <v>304</v>
      </c>
      <c r="CB1229" s="340">
        <v>24.19</v>
      </c>
      <c r="CC1229" s="340" t="s">
        <v>324</v>
      </c>
      <c r="CL1229" s="236">
        <v>59.43</v>
      </c>
      <c r="CM1229" s="236" t="s">
        <v>340</v>
      </c>
      <c r="CR1229" s="340">
        <v>116.05</v>
      </c>
      <c r="CS1229" s="340" t="s">
        <v>344</v>
      </c>
      <c r="CT1229" s="1384"/>
      <c r="DF1229" s="340">
        <v>13</v>
      </c>
      <c r="DG1229" s="340" t="s">
        <v>328</v>
      </c>
      <c r="DV1229" s="340">
        <v>122</v>
      </c>
      <c r="DW1229" s="340" t="s">
        <v>331</v>
      </c>
      <c r="DX1229" s="1671"/>
    </row>
    <row r="1230" spans="12:128">
      <c r="L1230" s="2481">
        <v>16.03</v>
      </c>
      <c r="M1230" s="340" t="s">
        <v>328</v>
      </c>
      <c r="N1230" s="1390"/>
      <c r="O1230" s="2479"/>
      <c r="P1230" s="2282"/>
      <c r="AG1230" s="2297">
        <v>122.07</v>
      </c>
      <c r="AH1230" s="2297" t="s">
        <v>344</v>
      </c>
      <c r="AI1230" s="1390"/>
      <c r="AJ1230" s="2282"/>
      <c r="AK1230" s="2282"/>
      <c r="AL1230" s="1037"/>
      <c r="AX1230" s="340">
        <v>25.14</v>
      </c>
      <c r="AY1230" s="340" t="s">
        <v>324</v>
      </c>
      <c r="BN1230" s="340">
        <v>115.25</v>
      </c>
      <c r="BO1230" s="340" t="s">
        <v>316</v>
      </c>
      <c r="BP1230" s="1385"/>
      <c r="BV1230" s="236">
        <v>9900</v>
      </c>
      <c r="BW1230" s="236" t="s">
        <v>304</v>
      </c>
      <c r="CB1230" s="340">
        <v>24.2</v>
      </c>
      <c r="CC1230" s="340" t="s">
        <v>324</v>
      </c>
      <c r="CL1230" s="236">
        <v>59.44</v>
      </c>
      <c r="CM1230" s="236" t="s">
        <v>340</v>
      </c>
      <c r="CR1230" s="340">
        <v>116.12</v>
      </c>
      <c r="CS1230" s="340" t="s">
        <v>316</v>
      </c>
      <c r="CT1230" s="1384"/>
      <c r="DF1230" s="340">
        <v>14.04</v>
      </c>
      <c r="DG1230" s="340" t="s">
        <v>328</v>
      </c>
      <c r="DV1230" s="340">
        <v>122.07</v>
      </c>
      <c r="DW1230" s="340" t="s">
        <v>316</v>
      </c>
      <c r="DX1230" s="1671"/>
    </row>
    <row r="1231" spans="12:128">
      <c r="L1231" s="2481">
        <v>17.010000000000002</v>
      </c>
      <c r="M1231" s="340" t="s">
        <v>328</v>
      </c>
      <c r="N1231" s="1390"/>
      <c r="O1231" s="2479"/>
      <c r="P1231" s="2282"/>
      <c r="AG1231" s="2297">
        <v>122.08</v>
      </c>
      <c r="AH1231" s="2297" t="s">
        <v>316</v>
      </c>
      <c r="AI1231" s="1390"/>
      <c r="AJ1231" s="2282"/>
      <c r="AK1231" s="2282"/>
      <c r="AL1231" s="1037"/>
      <c r="AX1231" s="340">
        <v>25.15</v>
      </c>
      <c r="AY1231" s="340" t="s">
        <v>324</v>
      </c>
      <c r="BN1231" s="340">
        <v>115.26</v>
      </c>
      <c r="BO1231" s="340" t="s">
        <v>316</v>
      </c>
      <c r="BP1231" s="1385"/>
      <c r="BV1231" s="236">
        <v>601.03</v>
      </c>
      <c r="BW1231" s="236" t="s">
        <v>305</v>
      </c>
      <c r="CB1231" s="340">
        <v>24.21</v>
      </c>
      <c r="CC1231" s="340" t="s">
        <v>324</v>
      </c>
      <c r="CL1231" s="236">
        <v>59.45</v>
      </c>
      <c r="CM1231" s="236" t="s">
        <v>340</v>
      </c>
      <c r="CR1231" s="340">
        <v>116.15</v>
      </c>
      <c r="CS1231" s="340" t="s">
        <v>316</v>
      </c>
      <c r="CT1231" s="1384"/>
      <c r="DF1231" s="340">
        <v>16.03</v>
      </c>
      <c r="DG1231" s="340" t="s">
        <v>328</v>
      </c>
      <c r="DV1231" s="340">
        <v>122.07</v>
      </c>
      <c r="DW1231" s="340" t="s">
        <v>344</v>
      </c>
      <c r="DX1231" s="1671"/>
    </row>
    <row r="1232" spans="12:128">
      <c r="L1232" s="2481">
        <v>17.05</v>
      </c>
      <c r="M1232" s="340" t="s">
        <v>328</v>
      </c>
      <c r="N1232" s="1390"/>
      <c r="O1232" s="2479"/>
      <c r="P1232" s="2282"/>
      <c r="AG1232" s="2297">
        <v>122.09</v>
      </c>
      <c r="AH1232" s="2297" t="s">
        <v>316</v>
      </c>
      <c r="AI1232" s="1390"/>
      <c r="AJ1232" s="2282"/>
      <c r="AK1232" s="2282"/>
      <c r="AL1232" s="1037"/>
      <c r="AX1232" s="340">
        <v>25.16</v>
      </c>
      <c r="AY1232" s="340" t="s">
        <v>324</v>
      </c>
      <c r="BN1232" s="340">
        <v>115.27</v>
      </c>
      <c r="BO1232" s="340" t="s">
        <v>316</v>
      </c>
      <c r="BP1232" s="1385"/>
      <c r="BV1232" s="236">
        <v>601.04</v>
      </c>
      <c r="BW1232" s="236" t="s">
        <v>305</v>
      </c>
      <c r="CB1232" s="340">
        <v>24.22</v>
      </c>
      <c r="CC1232" s="340" t="s">
        <v>324</v>
      </c>
      <c r="CL1232" s="236">
        <v>59.46</v>
      </c>
      <c r="CM1232" s="236" t="s">
        <v>340</v>
      </c>
      <c r="CR1232" s="340">
        <v>116.17</v>
      </c>
      <c r="CS1232" s="340" t="s">
        <v>316</v>
      </c>
      <c r="CT1232" s="1384"/>
      <c r="DF1232" s="340">
        <v>17.010000000000002</v>
      </c>
      <c r="DG1232" s="340" t="s">
        <v>328</v>
      </c>
      <c r="DV1232" s="340">
        <v>122.08</v>
      </c>
      <c r="DW1232" s="340" t="s">
        <v>316</v>
      </c>
      <c r="DX1232" s="1671"/>
    </row>
    <row r="1233" spans="12:128">
      <c r="L1233" s="2481">
        <v>18.010000000000002</v>
      </c>
      <c r="M1233" s="340" t="s">
        <v>328</v>
      </c>
      <c r="N1233" s="1390"/>
      <c r="O1233" s="2479"/>
      <c r="P1233" s="2282"/>
      <c r="AG1233" s="2297">
        <v>122.09</v>
      </c>
      <c r="AH1233" s="2297" t="s">
        <v>344</v>
      </c>
      <c r="AI1233" s="1390"/>
      <c r="AJ1233" s="2282"/>
      <c r="AK1233" s="2282"/>
      <c r="AL1233" s="1037"/>
      <c r="AX1233" s="340">
        <v>25.17</v>
      </c>
      <c r="AY1233" s="340" t="s">
        <v>324</v>
      </c>
      <c r="BN1233" s="340">
        <v>115.28</v>
      </c>
      <c r="BO1233" s="340" t="s">
        <v>316</v>
      </c>
      <c r="BP1233" s="1385"/>
      <c r="BV1233" s="236">
        <v>601.04999999999995</v>
      </c>
      <c r="BW1233" s="236" t="s">
        <v>305</v>
      </c>
      <c r="CB1233" s="340">
        <v>24.23</v>
      </c>
      <c r="CC1233" s="340" t="s">
        <v>324</v>
      </c>
      <c r="CL1233" s="236">
        <v>59.47</v>
      </c>
      <c r="CM1233" s="236" t="s">
        <v>340</v>
      </c>
      <c r="CR1233" s="340">
        <v>117</v>
      </c>
      <c r="CS1233" s="340" t="s">
        <v>302</v>
      </c>
      <c r="CT1233" s="1384"/>
      <c r="DF1233" s="340">
        <v>17.05</v>
      </c>
      <c r="DG1233" s="340" t="s">
        <v>328</v>
      </c>
      <c r="DV1233" s="340">
        <v>122.08</v>
      </c>
      <c r="DW1233" s="340" t="s">
        <v>344</v>
      </c>
      <c r="DX1233" s="1671"/>
    </row>
    <row r="1234" spans="12:128">
      <c r="L1234" s="2481">
        <v>18.02</v>
      </c>
      <c r="M1234" s="340" t="s">
        <v>328</v>
      </c>
      <c r="N1234" s="1390"/>
      <c r="O1234" s="2479"/>
      <c r="P1234" s="2282"/>
      <c r="AG1234" s="2297">
        <v>122.1</v>
      </c>
      <c r="AH1234" s="2297" t="s">
        <v>316</v>
      </c>
      <c r="AI1234" s="1390"/>
      <c r="AJ1234" s="2282"/>
      <c r="AK1234" s="2282"/>
      <c r="AL1234" s="1037"/>
      <c r="AX1234" s="340">
        <v>26.05</v>
      </c>
      <c r="AY1234" s="340" t="s">
        <v>324</v>
      </c>
      <c r="BN1234" s="340">
        <v>116.02</v>
      </c>
      <c r="BO1234" s="340" t="s">
        <v>331</v>
      </c>
      <c r="BP1234" s="1385"/>
      <c r="BV1234" s="236">
        <v>601.05999999999995</v>
      </c>
      <c r="BW1234" s="236" t="s">
        <v>305</v>
      </c>
      <c r="CB1234" s="340">
        <v>25.07</v>
      </c>
      <c r="CC1234" s="340" t="s">
        <v>324</v>
      </c>
      <c r="CL1234" s="236">
        <v>59.49</v>
      </c>
      <c r="CM1234" s="236" t="s">
        <v>340</v>
      </c>
      <c r="CR1234" s="340">
        <v>117.01</v>
      </c>
      <c r="CS1234" s="340" t="s">
        <v>331</v>
      </c>
      <c r="CT1234" s="1384"/>
      <c r="DF1234" s="340">
        <v>18.010000000000002</v>
      </c>
      <c r="DG1234" s="340" t="s">
        <v>328</v>
      </c>
      <c r="DV1234" s="340">
        <v>122.09</v>
      </c>
      <c r="DW1234" s="340" t="s">
        <v>316</v>
      </c>
      <c r="DX1234" s="1671"/>
    </row>
    <row r="1235" spans="12:128">
      <c r="L1235" s="2481">
        <v>19.04</v>
      </c>
      <c r="M1235" s="340" t="s">
        <v>328</v>
      </c>
      <c r="N1235" s="1390"/>
      <c r="O1235" s="2479"/>
      <c r="P1235" s="2282"/>
      <c r="AG1235" s="2297">
        <v>122.12</v>
      </c>
      <c r="AH1235" s="2297" t="s">
        <v>316</v>
      </c>
      <c r="AI1235" s="1390"/>
      <c r="AJ1235" s="2282"/>
      <c r="AK1235" s="2282"/>
      <c r="AL1235" s="1037"/>
      <c r="AX1235" s="340">
        <v>26.06</v>
      </c>
      <c r="AY1235" s="340" t="s">
        <v>324</v>
      </c>
      <c r="BN1235" s="340">
        <v>116.03</v>
      </c>
      <c r="BO1235" s="340" t="s">
        <v>316</v>
      </c>
      <c r="BP1235" s="1385"/>
      <c r="BV1235" s="236">
        <v>601.07000000000005</v>
      </c>
      <c r="BW1235" s="236" t="s">
        <v>305</v>
      </c>
      <c r="CB1235" s="340">
        <v>25.11</v>
      </c>
      <c r="CC1235" s="340" t="s">
        <v>324</v>
      </c>
      <c r="CL1235" s="236">
        <v>59.5</v>
      </c>
      <c r="CM1235" s="236" t="s">
        <v>340</v>
      </c>
      <c r="CR1235" s="340">
        <v>117.08</v>
      </c>
      <c r="CS1235" s="340" t="s">
        <v>316</v>
      </c>
      <c r="CT1235" s="1384"/>
      <c r="DF1235" s="340">
        <v>18.02</v>
      </c>
      <c r="DG1235" s="340" t="s">
        <v>328</v>
      </c>
      <c r="DV1235" s="340">
        <v>122.09</v>
      </c>
      <c r="DW1235" s="340" t="s">
        <v>344</v>
      </c>
      <c r="DX1235" s="1671"/>
    </row>
    <row r="1236" spans="12:128">
      <c r="L1236" s="2481">
        <v>19.07</v>
      </c>
      <c r="M1236" s="340" t="s">
        <v>328</v>
      </c>
      <c r="N1236" s="1390"/>
      <c r="O1236" s="2479"/>
      <c r="P1236" s="2282"/>
      <c r="AG1236" s="2297">
        <v>122.13</v>
      </c>
      <c r="AH1236" s="2297" t="s">
        <v>316</v>
      </c>
      <c r="AI1236" s="1390"/>
      <c r="AJ1236" s="2282"/>
      <c r="AK1236" s="2282"/>
      <c r="AL1236" s="1037"/>
      <c r="AX1236" s="340">
        <v>9701.01</v>
      </c>
      <c r="AY1236" s="340" t="s">
        <v>325</v>
      </c>
      <c r="BN1236" s="340">
        <v>116.05</v>
      </c>
      <c r="BO1236" s="340" t="s">
        <v>344</v>
      </c>
      <c r="BP1236" s="1385"/>
      <c r="BV1236" s="236">
        <v>602.05999999999995</v>
      </c>
      <c r="BW1236" s="236" t="s">
        <v>305</v>
      </c>
      <c r="CB1236" s="340">
        <v>25.12</v>
      </c>
      <c r="CC1236" s="340" t="s">
        <v>324</v>
      </c>
      <c r="CL1236" s="236">
        <v>59.51</v>
      </c>
      <c r="CM1236" s="236" t="s">
        <v>340</v>
      </c>
      <c r="CR1236" s="340">
        <v>117.12</v>
      </c>
      <c r="CS1236" s="340" t="s">
        <v>316</v>
      </c>
      <c r="CT1236" s="1384"/>
      <c r="DF1236" s="340">
        <v>19.04</v>
      </c>
      <c r="DG1236" s="340" t="s">
        <v>328</v>
      </c>
      <c r="DV1236" s="340">
        <v>122.1</v>
      </c>
      <c r="DW1236" s="340" t="s">
        <v>316</v>
      </c>
      <c r="DX1236" s="1671"/>
    </row>
    <row r="1237" spans="12:128">
      <c r="L1237" s="2481">
        <v>19.09</v>
      </c>
      <c r="M1237" s="340" t="s">
        <v>328</v>
      </c>
      <c r="N1237" s="1390"/>
      <c r="O1237" s="2479"/>
      <c r="P1237" s="2282"/>
      <c r="AG1237" s="2297">
        <v>123.01</v>
      </c>
      <c r="AH1237" s="2297" t="s">
        <v>331</v>
      </c>
      <c r="AI1237" s="1390"/>
      <c r="AJ1237" s="2282"/>
      <c r="AK1237" s="2282"/>
      <c r="AL1237" s="1037"/>
      <c r="AX1237" s="340">
        <v>9701.0300000000007</v>
      </c>
      <c r="AY1237" s="340" t="s">
        <v>325</v>
      </c>
      <c r="BN1237" s="340">
        <v>116.06</v>
      </c>
      <c r="BO1237" s="340" t="s">
        <v>344</v>
      </c>
      <c r="BP1237" s="1385"/>
      <c r="BV1237" s="236">
        <v>602.07000000000005</v>
      </c>
      <c r="BW1237" s="236" t="s">
        <v>305</v>
      </c>
      <c r="CB1237" s="340">
        <v>25.13</v>
      </c>
      <c r="CC1237" s="340" t="s">
        <v>324</v>
      </c>
      <c r="CL1237" s="236">
        <v>59.52</v>
      </c>
      <c r="CM1237" s="236" t="s">
        <v>340</v>
      </c>
      <c r="CR1237" s="340">
        <v>117.13</v>
      </c>
      <c r="CS1237" s="340" t="s">
        <v>316</v>
      </c>
      <c r="CT1237" s="1384"/>
      <c r="DF1237" s="340">
        <v>19.07</v>
      </c>
      <c r="DG1237" s="340" t="s">
        <v>328</v>
      </c>
      <c r="DV1237" s="340">
        <v>122.12</v>
      </c>
      <c r="DW1237" s="340" t="s">
        <v>316</v>
      </c>
      <c r="DX1237" s="1671"/>
    </row>
    <row r="1238" spans="12:128">
      <c r="L1238" s="2481">
        <v>19.100000000000001</v>
      </c>
      <c r="M1238" s="340" t="s">
        <v>328</v>
      </c>
      <c r="N1238" s="1390"/>
      <c r="O1238" s="2479"/>
      <c r="P1238" s="2282"/>
      <c r="AG1238" s="2297">
        <v>123.02</v>
      </c>
      <c r="AH1238" s="2297" t="s">
        <v>331</v>
      </c>
      <c r="AI1238" s="1390"/>
      <c r="AJ1238" s="2282"/>
      <c r="AK1238" s="2282"/>
      <c r="AL1238" s="1037"/>
      <c r="AX1238" s="340">
        <v>9702</v>
      </c>
      <c r="AY1238" s="340" t="s">
        <v>325</v>
      </c>
      <c r="BN1238" s="340">
        <v>116.11</v>
      </c>
      <c r="BO1238" s="340" t="s">
        <v>316</v>
      </c>
      <c r="BP1238" s="1385"/>
      <c r="BV1238" s="236">
        <v>602.08000000000004</v>
      </c>
      <c r="BW1238" s="236" t="s">
        <v>305</v>
      </c>
      <c r="CB1238" s="340">
        <v>25.14</v>
      </c>
      <c r="CC1238" s="340" t="s">
        <v>324</v>
      </c>
      <c r="CL1238" s="236">
        <v>59.53</v>
      </c>
      <c r="CM1238" s="236" t="s">
        <v>340</v>
      </c>
      <c r="CR1238" s="340">
        <v>117.14</v>
      </c>
      <c r="CS1238" s="340" t="s">
        <v>316</v>
      </c>
      <c r="CT1238" s="1384"/>
      <c r="DF1238" s="340">
        <v>19.09</v>
      </c>
      <c r="DG1238" s="340" t="s">
        <v>328</v>
      </c>
      <c r="DV1238" s="340">
        <v>122.13</v>
      </c>
      <c r="DW1238" s="340" t="s">
        <v>316</v>
      </c>
      <c r="DX1238" s="1671"/>
    </row>
    <row r="1239" spans="12:128">
      <c r="L1239" s="2481">
        <v>19.11</v>
      </c>
      <c r="M1239" s="340" t="s">
        <v>328</v>
      </c>
      <c r="N1239" s="1390"/>
      <c r="O1239" s="2479"/>
      <c r="P1239" s="2282"/>
      <c r="AG1239" s="2297">
        <v>123.03</v>
      </c>
      <c r="AH1239" s="2297" t="s">
        <v>316</v>
      </c>
      <c r="AI1239" s="1390"/>
      <c r="AJ1239" s="2282"/>
      <c r="AK1239" s="2282"/>
      <c r="AL1239" s="1037"/>
      <c r="AX1239" s="340">
        <v>9703.01</v>
      </c>
      <c r="AY1239" s="340" t="s">
        <v>325</v>
      </c>
      <c r="BN1239" s="340">
        <v>116.12</v>
      </c>
      <c r="BO1239" s="340" t="s">
        <v>316</v>
      </c>
      <c r="BP1239" s="1385"/>
      <c r="BV1239" s="236">
        <v>602.1</v>
      </c>
      <c r="BW1239" s="236" t="s">
        <v>305</v>
      </c>
      <c r="CB1239" s="340">
        <v>25.15</v>
      </c>
      <c r="CC1239" s="340" t="s">
        <v>324</v>
      </c>
      <c r="CL1239" s="236">
        <v>59.54</v>
      </c>
      <c r="CM1239" s="236" t="s">
        <v>340</v>
      </c>
      <c r="CR1239" s="340">
        <v>117.16</v>
      </c>
      <c r="CS1239" s="340" t="s">
        <v>316</v>
      </c>
      <c r="CT1239" s="1384"/>
      <c r="DF1239" s="340">
        <v>19.100000000000001</v>
      </c>
      <c r="DG1239" s="340" t="s">
        <v>328</v>
      </c>
      <c r="DV1239" s="340">
        <v>123</v>
      </c>
      <c r="DW1239" s="340" t="s">
        <v>302</v>
      </c>
      <c r="DX1239" s="1671"/>
    </row>
    <row r="1240" spans="12:128">
      <c r="L1240" s="2481">
        <v>19.13</v>
      </c>
      <c r="M1240" s="340" t="s">
        <v>328</v>
      </c>
      <c r="N1240" s="1390"/>
      <c r="O1240" s="2479"/>
      <c r="P1240" s="2282"/>
      <c r="AG1240" s="2297">
        <v>123.03</v>
      </c>
      <c r="AH1240" s="2297" t="s">
        <v>344</v>
      </c>
      <c r="AI1240" s="1390"/>
      <c r="AJ1240" s="2282"/>
      <c r="AK1240" s="2282"/>
      <c r="AL1240" s="1037"/>
      <c r="AX1240" s="340">
        <v>9703.0300000000007</v>
      </c>
      <c r="AY1240" s="340" t="s">
        <v>325</v>
      </c>
      <c r="BN1240" s="340">
        <v>116.15</v>
      </c>
      <c r="BO1240" s="340" t="s">
        <v>316</v>
      </c>
      <c r="BP1240" s="1385"/>
      <c r="BV1240" s="236">
        <v>602.11</v>
      </c>
      <c r="BW1240" s="236" t="s">
        <v>305</v>
      </c>
      <c r="CB1240" s="340">
        <v>25.16</v>
      </c>
      <c r="CC1240" s="340" t="s">
        <v>324</v>
      </c>
      <c r="CL1240" s="236">
        <v>59.55</v>
      </c>
      <c r="CM1240" s="236" t="s">
        <v>340</v>
      </c>
      <c r="CR1240" s="340">
        <v>117.31</v>
      </c>
      <c r="CS1240" s="340" t="s">
        <v>344</v>
      </c>
      <c r="CT1240" s="1384"/>
      <c r="DF1240" s="340">
        <v>19.11</v>
      </c>
      <c r="DG1240" s="340" t="s">
        <v>328</v>
      </c>
      <c r="DV1240" s="340">
        <v>123.01</v>
      </c>
      <c r="DW1240" s="340" t="s">
        <v>316</v>
      </c>
      <c r="DX1240" s="1671"/>
    </row>
    <row r="1241" spans="12:128">
      <c r="L1241" s="2481">
        <v>19.14</v>
      </c>
      <c r="M1241" s="340" t="s">
        <v>328</v>
      </c>
      <c r="N1241" s="1390"/>
      <c r="O1241" s="2479"/>
      <c r="P1241" s="2282"/>
      <c r="AG1241" s="2297">
        <v>123.04</v>
      </c>
      <c r="AH1241" s="2297" t="s">
        <v>316</v>
      </c>
      <c r="AI1241" s="1390"/>
      <c r="AJ1241" s="2282"/>
      <c r="AK1241" s="2282"/>
      <c r="AL1241" s="1037"/>
      <c r="AX1241" s="340">
        <v>9704</v>
      </c>
      <c r="AY1241" s="340" t="s">
        <v>325</v>
      </c>
      <c r="BN1241" s="340">
        <v>116.16</v>
      </c>
      <c r="BO1241" s="340" t="s">
        <v>316</v>
      </c>
      <c r="BP1241" s="1385"/>
      <c r="BV1241" s="236">
        <v>602.12</v>
      </c>
      <c r="BW1241" s="236" t="s">
        <v>305</v>
      </c>
      <c r="CB1241" s="340">
        <v>25.17</v>
      </c>
      <c r="CC1241" s="340" t="s">
        <v>324</v>
      </c>
      <c r="CL1241" s="236">
        <v>59.57</v>
      </c>
      <c r="CM1241" s="236" t="s">
        <v>340</v>
      </c>
      <c r="CR1241" s="340">
        <v>118</v>
      </c>
      <c r="CS1241" s="340" t="s">
        <v>331</v>
      </c>
      <c r="CT1241" s="1384"/>
      <c r="DF1241" s="340">
        <v>19.13</v>
      </c>
      <c r="DG1241" s="340" t="s">
        <v>328</v>
      </c>
      <c r="DV1241" s="340">
        <v>123.01</v>
      </c>
      <c r="DW1241" s="340" t="s">
        <v>331</v>
      </c>
      <c r="DX1241" s="1671"/>
    </row>
    <row r="1242" spans="12:128">
      <c r="L1242" s="2481">
        <v>19.149999999999999</v>
      </c>
      <c r="M1242" s="340" t="s">
        <v>328</v>
      </c>
      <c r="N1242" s="1390"/>
      <c r="O1242" s="2479"/>
      <c r="P1242" s="2282"/>
      <c r="AG1242" s="2297">
        <v>123.04</v>
      </c>
      <c r="AH1242" s="2297" t="s">
        <v>344</v>
      </c>
      <c r="AI1242" s="1390"/>
      <c r="AJ1242" s="2282"/>
      <c r="AK1242" s="2282"/>
      <c r="AL1242" s="1037"/>
      <c r="AX1242" s="340">
        <v>9705.01</v>
      </c>
      <c r="AY1242" s="340" t="s">
        <v>325</v>
      </c>
      <c r="BN1242" s="340">
        <v>116.17</v>
      </c>
      <c r="BO1242" s="340" t="s">
        <v>316</v>
      </c>
      <c r="BP1242" s="1385"/>
      <c r="BV1242" s="236">
        <v>602.13</v>
      </c>
      <c r="BW1242" s="236" t="s">
        <v>305</v>
      </c>
      <c r="CB1242" s="340">
        <v>26.05</v>
      </c>
      <c r="CC1242" s="340" t="s">
        <v>324</v>
      </c>
      <c r="CL1242" s="236">
        <v>59.58</v>
      </c>
      <c r="CM1242" s="236" t="s">
        <v>340</v>
      </c>
      <c r="CR1242" s="340">
        <v>118.21</v>
      </c>
      <c r="CS1242" s="340" t="s">
        <v>344</v>
      </c>
      <c r="CT1242" s="1384"/>
      <c r="DF1242" s="340">
        <v>19.14</v>
      </c>
      <c r="DG1242" s="340" t="s">
        <v>328</v>
      </c>
      <c r="DV1242" s="340">
        <v>123.02</v>
      </c>
      <c r="DW1242" s="340" t="s">
        <v>331</v>
      </c>
      <c r="DX1242" s="1671"/>
    </row>
    <row r="1243" spans="12:128">
      <c r="L1243" s="2481">
        <v>19.16</v>
      </c>
      <c r="M1243" s="340" t="s">
        <v>328</v>
      </c>
      <c r="N1243" s="1390"/>
      <c r="O1243" s="2479"/>
      <c r="P1243" s="2282"/>
      <c r="AG1243" s="2297">
        <v>123.07</v>
      </c>
      <c r="AH1243" s="2297" t="s">
        <v>344</v>
      </c>
      <c r="AI1243" s="1390"/>
      <c r="AJ1243" s="2282"/>
      <c r="AK1243" s="2282"/>
      <c r="AL1243" s="1037"/>
      <c r="AX1243" s="340">
        <v>9705.02</v>
      </c>
      <c r="AY1243" s="340" t="s">
        <v>325</v>
      </c>
      <c r="BN1243" s="340">
        <v>117</v>
      </c>
      <c r="BO1243" s="340" t="s">
        <v>302</v>
      </c>
      <c r="BP1243" s="1385"/>
      <c r="BV1243" s="236">
        <v>602.14</v>
      </c>
      <c r="BW1243" s="236" t="s">
        <v>305</v>
      </c>
      <c r="CB1243" s="340">
        <v>26.06</v>
      </c>
      <c r="CC1243" s="340" t="s">
        <v>324</v>
      </c>
      <c r="CL1243" s="236">
        <v>59.59</v>
      </c>
      <c r="CM1243" s="236" t="s">
        <v>340</v>
      </c>
      <c r="CR1243" s="340">
        <v>118.22</v>
      </c>
      <c r="CS1243" s="340" t="s">
        <v>344</v>
      </c>
      <c r="CT1243" s="1384"/>
      <c r="DF1243" s="340">
        <v>19.149999999999999</v>
      </c>
      <c r="DG1243" s="340" t="s">
        <v>328</v>
      </c>
      <c r="DV1243" s="340">
        <v>123.03</v>
      </c>
      <c r="DW1243" s="340" t="s">
        <v>316</v>
      </c>
      <c r="DX1243" s="1671"/>
    </row>
    <row r="1244" spans="12:128">
      <c r="L1244" s="2481">
        <v>20.03</v>
      </c>
      <c r="M1244" s="340" t="s">
        <v>328</v>
      </c>
      <c r="N1244" s="1390"/>
      <c r="O1244" s="2479"/>
      <c r="P1244" s="2282"/>
      <c r="AG1244" s="2297">
        <v>124</v>
      </c>
      <c r="AH1244" s="2297" t="s">
        <v>302</v>
      </c>
      <c r="AI1244" s="1390"/>
      <c r="AJ1244" s="2282"/>
      <c r="AK1244" s="2282"/>
      <c r="AL1244" s="1037"/>
      <c r="AX1244" s="340">
        <v>9501</v>
      </c>
      <c r="AY1244" s="340" t="s">
        <v>326</v>
      </c>
      <c r="BN1244" s="340">
        <v>117.08</v>
      </c>
      <c r="BO1244" s="340" t="s">
        <v>316</v>
      </c>
      <c r="BP1244" s="1385"/>
      <c r="BV1244" s="236">
        <v>602.15</v>
      </c>
      <c r="BW1244" s="236" t="s">
        <v>305</v>
      </c>
      <c r="CB1244" s="340">
        <v>9701.01</v>
      </c>
      <c r="CC1244" s="340" t="s">
        <v>325</v>
      </c>
      <c r="CL1244" s="236">
        <v>59.6</v>
      </c>
      <c r="CM1244" s="236" t="s">
        <v>340</v>
      </c>
      <c r="CR1244" s="340">
        <v>118.32</v>
      </c>
      <c r="CS1244" s="340" t="s">
        <v>344</v>
      </c>
      <c r="CT1244" s="1384"/>
      <c r="DF1244" s="340">
        <v>19.16</v>
      </c>
      <c r="DG1244" s="340" t="s">
        <v>328</v>
      </c>
      <c r="DV1244" s="340">
        <v>123.03</v>
      </c>
      <c r="DW1244" s="340" t="s">
        <v>344</v>
      </c>
      <c r="DX1244" s="1671"/>
    </row>
    <row r="1245" spans="12:128">
      <c r="L1245" s="2481">
        <v>20.05</v>
      </c>
      <c r="M1245" s="340" t="s">
        <v>328</v>
      </c>
      <c r="N1245" s="1390"/>
      <c r="O1245" s="2479"/>
      <c r="P1245" s="2282"/>
      <c r="AG1245" s="2297">
        <v>124.01</v>
      </c>
      <c r="AH1245" s="2297" t="s">
        <v>316</v>
      </c>
      <c r="AI1245" s="1390"/>
      <c r="AJ1245" s="2282"/>
      <c r="AK1245" s="2282"/>
      <c r="AL1245" s="1037"/>
      <c r="AX1245" s="340">
        <v>9502.01</v>
      </c>
      <c r="AY1245" s="340" t="s">
        <v>326</v>
      </c>
      <c r="BN1245" s="340">
        <v>117.12</v>
      </c>
      <c r="BO1245" s="340" t="s">
        <v>316</v>
      </c>
      <c r="BP1245" s="1385"/>
      <c r="BV1245" s="236">
        <v>602.16</v>
      </c>
      <c r="BW1245" s="236" t="s">
        <v>305</v>
      </c>
      <c r="CB1245" s="340">
        <v>9701.0300000000007</v>
      </c>
      <c r="CC1245" s="340" t="s">
        <v>325</v>
      </c>
      <c r="CL1245" s="236">
        <v>59.61</v>
      </c>
      <c r="CM1245" s="236" t="s">
        <v>340</v>
      </c>
      <c r="CR1245" s="340">
        <v>118.34</v>
      </c>
      <c r="CS1245" s="340" t="s">
        <v>344</v>
      </c>
      <c r="CT1245" s="1384"/>
      <c r="DF1245" s="340">
        <v>20.03</v>
      </c>
      <c r="DG1245" s="340" t="s">
        <v>328</v>
      </c>
      <c r="DV1245" s="340">
        <v>123.04</v>
      </c>
      <c r="DW1245" s="340" t="s">
        <v>316</v>
      </c>
      <c r="DX1245" s="1671"/>
    </row>
    <row r="1246" spans="12:128">
      <c r="L1246" s="2481">
        <v>20.079999999999998</v>
      </c>
      <c r="M1246" s="340" t="s">
        <v>328</v>
      </c>
      <c r="N1246" s="1390"/>
      <c r="O1246" s="2479"/>
      <c r="P1246" s="2282"/>
      <c r="AG1246" s="2297">
        <v>124.02</v>
      </c>
      <c r="AH1246" s="2297" t="s">
        <v>331</v>
      </c>
      <c r="AI1246" s="1390"/>
      <c r="AJ1246" s="2282"/>
      <c r="AK1246" s="2282"/>
      <c r="AL1246" s="1037"/>
      <c r="AX1246" s="340">
        <v>9502.02</v>
      </c>
      <c r="AY1246" s="340" t="s">
        <v>326</v>
      </c>
      <c r="BN1246" s="340">
        <v>117.13</v>
      </c>
      <c r="BO1246" s="340" t="s">
        <v>316</v>
      </c>
      <c r="BP1246" s="1385"/>
      <c r="BV1246" s="236">
        <v>602.16999999999996</v>
      </c>
      <c r="BW1246" s="236" t="s">
        <v>305</v>
      </c>
      <c r="CB1246" s="340">
        <v>9702</v>
      </c>
      <c r="CC1246" s="340" t="s">
        <v>325</v>
      </c>
      <c r="CL1246" s="236">
        <v>60</v>
      </c>
      <c r="CM1246" s="236" t="s">
        <v>316</v>
      </c>
      <c r="CR1246" s="340">
        <v>118.35</v>
      </c>
      <c r="CS1246" s="340" t="s">
        <v>344</v>
      </c>
      <c r="CT1246" s="1384"/>
      <c r="DF1246" s="340">
        <v>20.05</v>
      </c>
      <c r="DG1246" s="340" t="s">
        <v>328</v>
      </c>
      <c r="DV1246" s="340">
        <v>123.04</v>
      </c>
      <c r="DW1246" s="340" t="s">
        <v>344</v>
      </c>
      <c r="DX1246" s="1671"/>
    </row>
    <row r="1247" spans="12:128">
      <c r="L1247" s="2481">
        <v>20.100000000000001</v>
      </c>
      <c r="M1247" s="340" t="s">
        <v>328</v>
      </c>
      <c r="N1247" s="1390"/>
      <c r="O1247" s="2479"/>
      <c r="P1247" s="2282"/>
      <c r="AG1247" s="2297">
        <v>124.03</v>
      </c>
      <c r="AH1247" s="2297" t="s">
        <v>316</v>
      </c>
      <c r="AI1247" s="1390"/>
      <c r="AJ1247" s="2282"/>
      <c r="AK1247" s="2282"/>
      <c r="AL1247" s="1037"/>
      <c r="AX1247" s="340">
        <v>1101</v>
      </c>
      <c r="AY1247" s="340" t="s">
        <v>327</v>
      </c>
      <c r="BN1247" s="340">
        <v>117.14</v>
      </c>
      <c r="BO1247" s="340" t="s">
        <v>316</v>
      </c>
      <c r="BP1247" s="1385"/>
      <c r="BV1247" s="236">
        <v>602.17999999999995</v>
      </c>
      <c r="BW1247" s="236" t="s">
        <v>305</v>
      </c>
      <c r="CB1247" s="340">
        <v>9703.01</v>
      </c>
      <c r="CC1247" s="340" t="s">
        <v>325</v>
      </c>
      <c r="CL1247" s="236">
        <v>60.02</v>
      </c>
      <c r="CM1247" s="236" t="s">
        <v>331</v>
      </c>
      <c r="CR1247" s="340">
        <v>118.36</v>
      </c>
      <c r="CS1247" s="340" t="s">
        <v>344</v>
      </c>
      <c r="CT1247" s="1384"/>
      <c r="DF1247" s="340">
        <v>20.079999999999998</v>
      </c>
      <c r="DG1247" s="340" t="s">
        <v>328</v>
      </c>
      <c r="DV1247" s="340">
        <v>123.07</v>
      </c>
      <c r="DW1247" s="340" t="s">
        <v>344</v>
      </c>
      <c r="DX1247" s="1671"/>
    </row>
    <row r="1248" spans="12:128">
      <c r="L1248" s="2481">
        <v>20.12</v>
      </c>
      <c r="M1248" s="340" t="s">
        <v>328</v>
      </c>
      <c r="N1248" s="1390"/>
      <c r="O1248" s="2479"/>
      <c r="P1248" s="2282"/>
      <c r="AG1248" s="2297">
        <v>124.03</v>
      </c>
      <c r="AH1248" s="2297" t="s">
        <v>331</v>
      </c>
      <c r="AI1248" s="1390"/>
      <c r="AJ1248" s="2282"/>
      <c r="AK1248" s="2282"/>
      <c r="AL1248" s="1037"/>
      <c r="AX1248" s="340">
        <v>1104</v>
      </c>
      <c r="AY1248" s="340" t="s">
        <v>327</v>
      </c>
      <c r="BN1248" s="340">
        <v>117.16</v>
      </c>
      <c r="BO1248" s="340" t="s">
        <v>316</v>
      </c>
      <c r="BP1248" s="1385"/>
      <c r="BV1248" s="236">
        <v>602.19000000000005</v>
      </c>
      <c r="BW1248" s="236" t="s">
        <v>305</v>
      </c>
      <c r="CB1248" s="340">
        <v>9704</v>
      </c>
      <c r="CC1248" s="340" t="s">
        <v>325</v>
      </c>
      <c r="CL1248" s="236">
        <v>60.03</v>
      </c>
      <c r="CM1248" s="236" t="s">
        <v>331</v>
      </c>
      <c r="CR1248" s="340">
        <v>118.37</v>
      </c>
      <c r="CS1248" s="340" t="s">
        <v>344</v>
      </c>
      <c r="CT1248" s="1384"/>
      <c r="DF1248" s="340">
        <v>20.100000000000001</v>
      </c>
      <c r="DG1248" s="340" t="s">
        <v>328</v>
      </c>
      <c r="DV1248" s="340">
        <v>124</v>
      </c>
      <c r="DW1248" s="340" t="s">
        <v>302</v>
      </c>
      <c r="DX1248" s="1671"/>
    </row>
    <row r="1249" spans="12:128">
      <c r="L1249" s="2481">
        <v>20.14</v>
      </c>
      <c r="M1249" s="340" t="s">
        <v>328</v>
      </c>
      <c r="N1249" s="1390"/>
      <c r="O1249" s="2479"/>
      <c r="P1249" s="2282"/>
      <c r="AG1249" s="2297">
        <v>124.04</v>
      </c>
      <c r="AH1249" s="2297" t="s">
        <v>338</v>
      </c>
      <c r="AI1249" s="1390"/>
      <c r="AJ1249" s="2282"/>
      <c r="AK1249" s="2282"/>
      <c r="AL1249" s="1037"/>
      <c r="AX1249" s="340">
        <v>1.01</v>
      </c>
      <c r="AY1249" s="340" t="s">
        <v>328</v>
      </c>
      <c r="BN1249" s="340">
        <v>117.21</v>
      </c>
      <c r="BO1249" s="340" t="s">
        <v>344</v>
      </c>
      <c r="BP1249" s="1385"/>
      <c r="BV1249" s="236">
        <v>602.20000000000005</v>
      </c>
      <c r="BW1249" s="236" t="s">
        <v>305</v>
      </c>
      <c r="CB1249" s="340">
        <v>9705.01</v>
      </c>
      <c r="CC1249" s="340" t="s">
        <v>325</v>
      </c>
      <c r="CL1249" s="236">
        <v>60.04</v>
      </c>
      <c r="CM1249" s="236" t="s">
        <v>331</v>
      </c>
      <c r="CR1249" s="340">
        <v>118.38</v>
      </c>
      <c r="CS1249" s="340" t="s">
        <v>344</v>
      </c>
      <c r="CT1249" s="1384"/>
      <c r="DF1249" s="340">
        <v>20.12</v>
      </c>
      <c r="DG1249" s="340" t="s">
        <v>328</v>
      </c>
      <c r="DV1249" s="340">
        <v>124.01</v>
      </c>
      <c r="DW1249" s="340" t="s">
        <v>331</v>
      </c>
      <c r="DX1249" s="1671"/>
    </row>
    <row r="1250" spans="12:128">
      <c r="L1250" s="2481">
        <v>20.16</v>
      </c>
      <c r="M1250" s="340" t="s">
        <v>328</v>
      </c>
      <c r="N1250" s="1390"/>
      <c r="O1250" s="2479"/>
      <c r="P1250" s="2282"/>
      <c r="AG1250" s="2297">
        <v>124.05</v>
      </c>
      <c r="AH1250" s="2297" t="s">
        <v>344</v>
      </c>
      <c r="AI1250" s="1390"/>
      <c r="AJ1250" s="2282"/>
      <c r="AK1250" s="2282"/>
      <c r="AL1250" s="1037"/>
      <c r="AX1250" s="340">
        <v>4.03</v>
      </c>
      <c r="AY1250" s="340" t="s">
        <v>328</v>
      </c>
      <c r="BN1250" s="340">
        <v>118</v>
      </c>
      <c r="BO1250" s="340" t="s">
        <v>331</v>
      </c>
      <c r="BP1250" s="1385"/>
      <c r="BV1250" s="236">
        <v>603.01</v>
      </c>
      <c r="BW1250" s="236" t="s">
        <v>305</v>
      </c>
      <c r="CB1250" s="340">
        <v>9705.02</v>
      </c>
      <c r="CC1250" s="340" t="s">
        <v>325</v>
      </c>
      <c r="CL1250" s="236">
        <v>60.05</v>
      </c>
      <c r="CM1250" s="236" t="s">
        <v>340</v>
      </c>
      <c r="CR1250" s="340">
        <v>119</v>
      </c>
      <c r="CS1250" s="340" t="s">
        <v>331</v>
      </c>
      <c r="CT1250" s="1384"/>
      <c r="DF1250" s="340">
        <v>20.14</v>
      </c>
      <c r="DG1250" s="340" t="s">
        <v>328</v>
      </c>
      <c r="DV1250" s="340">
        <v>124.02</v>
      </c>
      <c r="DW1250" s="340" t="s">
        <v>316</v>
      </c>
      <c r="DX1250" s="1671"/>
    </row>
    <row r="1251" spans="12:128">
      <c r="L1251" s="2481">
        <v>20.170000000000002</v>
      </c>
      <c r="M1251" s="340" t="s">
        <v>328</v>
      </c>
      <c r="N1251" s="1390"/>
      <c r="O1251" s="2479"/>
      <c r="P1251" s="2282"/>
      <c r="AG1251" s="2297">
        <v>124.08</v>
      </c>
      <c r="AH1251" s="2297" t="s">
        <v>344</v>
      </c>
      <c r="AI1251" s="1390"/>
      <c r="AJ1251" s="2282"/>
      <c r="AK1251" s="2282"/>
      <c r="AL1251" s="1037"/>
      <c r="AX1251" s="340">
        <v>4.05</v>
      </c>
      <c r="AY1251" s="340" t="s">
        <v>328</v>
      </c>
      <c r="BN1251" s="340">
        <v>118.21</v>
      </c>
      <c r="BO1251" s="340" t="s">
        <v>344</v>
      </c>
      <c r="BP1251" s="1385"/>
      <c r="BV1251" s="236">
        <v>603.02</v>
      </c>
      <c r="BW1251" s="236" t="s">
        <v>305</v>
      </c>
      <c r="CB1251" s="340">
        <v>9501</v>
      </c>
      <c r="CC1251" s="340" t="s">
        <v>326</v>
      </c>
      <c r="CL1251" s="236">
        <v>60.06</v>
      </c>
      <c r="CM1251" s="236" t="s">
        <v>340</v>
      </c>
      <c r="CR1251" s="340">
        <v>119.01</v>
      </c>
      <c r="CS1251" s="340" t="s">
        <v>302</v>
      </c>
      <c r="CT1251" s="1384"/>
      <c r="DF1251" s="340">
        <v>20.16</v>
      </c>
      <c r="DG1251" s="340" t="s">
        <v>328</v>
      </c>
      <c r="DV1251" s="340">
        <v>124.02</v>
      </c>
      <c r="DW1251" s="340" t="s">
        <v>331</v>
      </c>
      <c r="DX1251" s="1671"/>
    </row>
    <row r="1252" spans="12:128">
      <c r="L1252" s="2481">
        <v>20.18</v>
      </c>
      <c r="M1252" s="340" t="s">
        <v>328</v>
      </c>
      <c r="N1252" s="1390"/>
      <c r="O1252" s="2479"/>
      <c r="P1252" s="2282"/>
      <c r="AG1252" s="2297">
        <v>124.09</v>
      </c>
      <c r="AH1252" s="2297" t="s">
        <v>344</v>
      </c>
      <c r="AI1252" s="1390"/>
      <c r="AJ1252" s="2282"/>
      <c r="AK1252" s="2282"/>
      <c r="AL1252" s="1037"/>
      <c r="AX1252" s="340">
        <v>4.0599999999999996</v>
      </c>
      <c r="AY1252" s="340" t="s">
        <v>328</v>
      </c>
      <c r="BN1252" s="340">
        <v>118.22</v>
      </c>
      <c r="BO1252" s="340" t="s">
        <v>344</v>
      </c>
      <c r="BP1252" s="1385"/>
      <c r="BV1252" s="236">
        <v>603.03</v>
      </c>
      <c r="BW1252" s="236" t="s">
        <v>305</v>
      </c>
      <c r="CB1252" s="340">
        <v>9502.01</v>
      </c>
      <c r="CC1252" s="340" t="s">
        <v>326</v>
      </c>
      <c r="CL1252" s="236">
        <v>60.07</v>
      </c>
      <c r="CM1252" s="236" t="s">
        <v>340</v>
      </c>
      <c r="CR1252" s="340">
        <v>119.01</v>
      </c>
      <c r="CS1252" s="340" t="s">
        <v>344</v>
      </c>
      <c r="CT1252" s="1384"/>
      <c r="DF1252" s="340">
        <v>20.170000000000002</v>
      </c>
      <c r="DG1252" s="340" t="s">
        <v>328</v>
      </c>
      <c r="DV1252" s="340">
        <v>124.03</v>
      </c>
      <c r="DW1252" s="340" t="s">
        <v>316</v>
      </c>
      <c r="DX1252" s="1671"/>
    </row>
    <row r="1253" spans="12:128">
      <c r="L1253" s="2481">
        <v>20.190000000000001</v>
      </c>
      <c r="M1253" s="340" t="s">
        <v>328</v>
      </c>
      <c r="N1253" s="1390"/>
      <c r="O1253" s="2479"/>
      <c r="P1253" s="2282"/>
      <c r="AG1253" s="2297">
        <v>124.1</v>
      </c>
      <c r="AH1253" s="2297" t="s">
        <v>344</v>
      </c>
      <c r="AI1253" s="1390"/>
      <c r="AJ1253" s="2282"/>
      <c r="AK1253" s="2282"/>
      <c r="AL1253" s="1037"/>
      <c r="AX1253" s="340">
        <v>4.07</v>
      </c>
      <c r="AY1253" s="340" t="s">
        <v>328</v>
      </c>
      <c r="BN1253" s="340">
        <v>118.32</v>
      </c>
      <c r="BO1253" s="340" t="s">
        <v>344</v>
      </c>
      <c r="BP1253" s="1385"/>
      <c r="BV1253" s="236">
        <v>603.04</v>
      </c>
      <c r="BW1253" s="236" t="s">
        <v>305</v>
      </c>
      <c r="CB1253" s="340">
        <v>1101</v>
      </c>
      <c r="CC1253" s="340" t="s">
        <v>327</v>
      </c>
      <c r="CL1253" s="236">
        <v>60.08</v>
      </c>
      <c r="CM1253" s="236" t="s">
        <v>340</v>
      </c>
      <c r="CR1253" s="340">
        <v>119.02</v>
      </c>
      <c r="CS1253" s="340" t="s">
        <v>344</v>
      </c>
      <c r="CT1253" s="1384"/>
      <c r="DF1253" s="340">
        <v>20.18</v>
      </c>
      <c r="DG1253" s="340" t="s">
        <v>328</v>
      </c>
      <c r="DV1253" s="340">
        <v>124.03</v>
      </c>
      <c r="DW1253" s="340" t="s">
        <v>331</v>
      </c>
      <c r="DX1253" s="1671"/>
    </row>
    <row r="1254" spans="12:128">
      <c r="L1254" s="2481">
        <v>20.2</v>
      </c>
      <c r="M1254" s="340" t="s">
        <v>328</v>
      </c>
      <c r="N1254" s="1390"/>
      <c r="O1254" s="2479"/>
      <c r="P1254" s="2282"/>
      <c r="AG1254" s="2297">
        <v>124.11</v>
      </c>
      <c r="AH1254" s="2297" t="s">
        <v>344</v>
      </c>
      <c r="AI1254" s="1390"/>
      <c r="AJ1254" s="2282"/>
      <c r="AK1254" s="2282"/>
      <c r="AL1254" s="1037"/>
      <c r="AX1254" s="340">
        <v>5.03</v>
      </c>
      <c r="AY1254" s="340" t="s">
        <v>328</v>
      </c>
      <c r="BN1254" s="340">
        <v>118.34</v>
      </c>
      <c r="BO1254" s="340" t="s">
        <v>344</v>
      </c>
      <c r="BP1254" s="1385"/>
      <c r="BV1254" s="236">
        <v>9900</v>
      </c>
      <c r="BW1254" s="236" t="s">
        <v>305</v>
      </c>
      <c r="CB1254" s="340">
        <v>1102</v>
      </c>
      <c r="CC1254" s="340" t="s">
        <v>327</v>
      </c>
      <c r="CL1254" s="236">
        <v>60.09</v>
      </c>
      <c r="CM1254" s="236" t="s">
        <v>340</v>
      </c>
      <c r="CR1254" s="340">
        <v>119.03</v>
      </c>
      <c r="CS1254" s="340" t="s">
        <v>302</v>
      </c>
      <c r="CT1254" s="1384"/>
      <c r="DF1254" s="340">
        <v>20.190000000000001</v>
      </c>
      <c r="DG1254" s="340" t="s">
        <v>328</v>
      </c>
      <c r="DV1254" s="340">
        <v>124.05</v>
      </c>
      <c r="DW1254" s="340" t="s">
        <v>344</v>
      </c>
      <c r="DX1254" s="1671"/>
    </row>
    <row r="1255" spans="12:128">
      <c r="L1255" s="2481">
        <v>20.21</v>
      </c>
      <c r="M1255" s="340" t="s">
        <v>328</v>
      </c>
      <c r="N1255" s="1390"/>
      <c r="O1255" s="2479"/>
      <c r="P1255" s="2282"/>
      <c r="AG1255" s="2297">
        <v>124.12</v>
      </c>
      <c r="AH1255" s="2297" t="s">
        <v>344</v>
      </c>
      <c r="AI1255" s="1390"/>
      <c r="AJ1255" s="2282"/>
      <c r="AK1255" s="2282"/>
      <c r="AL1255" s="1037"/>
      <c r="AX1255" s="340">
        <v>8.0399999999999991</v>
      </c>
      <c r="AY1255" s="340" t="s">
        <v>328</v>
      </c>
      <c r="BN1255" s="340">
        <v>118.35</v>
      </c>
      <c r="BO1255" s="340" t="s">
        <v>344</v>
      </c>
      <c r="BP1255" s="1385"/>
      <c r="BV1255" s="236">
        <v>201.01</v>
      </c>
      <c r="BW1255" s="236" t="s">
        <v>307</v>
      </c>
      <c r="CB1255" s="340">
        <v>1103.01</v>
      </c>
      <c r="CC1255" s="340" t="s">
        <v>327</v>
      </c>
      <c r="CL1255" s="236">
        <v>60.1</v>
      </c>
      <c r="CM1255" s="236" t="s">
        <v>340</v>
      </c>
      <c r="CR1255" s="340">
        <v>119.04</v>
      </c>
      <c r="CS1255" s="340" t="s">
        <v>302</v>
      </c>
      <c r="CT1255" s="1384"/>
      <c r="DF1255" s="340">
        <v>20.2</v>
      </c>
      <c r="DG1255" s="340" t="s">
        <v>328</v>
      </c>
      <c r="DV1255" s="340">
        <v>124.07</v>
      </c>
      <c r="DW1255" s="340" t="s">
        <v>344</v>
      </c>
      <c r="DX1255" s="1671"/>
    </row>
    <row r="1256" spans="12:128">
      <c r="L1256" s="2481">
        <v>20.22</v>
      </c>
      <c r="M1256" s="340" t="s">
        <v>328</v>
      </c>
      <c r="N1256" s="1390"/>
      <c r="O1256" s="2479"/>
      <c r="P1256" s="2282"/>
      <c r="AG1256" s="2297">
        <v>124.13</v>
      </c>
      <c r="AH1256" s="2297" t="s">
        <v>344</v>
      </c>
      <c r="AI1256" s="1390"/>
      <c r="AJ1256" s="2282"/>
      <c r="AK1256" s="2282"/>
      <c r="AL1256" s="1037"/>
      <c r="AX1256" s="340">
        <v>8.0500000000000007</v>
      </c>
      <c r="AY1256" s="340" t="s">
        <v>328</v>
      </c>
      <c r="BN1256" s="340">
        <v>118.36</v>
      </c>
      <c r="BO1256" s="340" t="s">
        <v>344</v>
      </c>
      <c r="BP1256" s="1385"/>
      <c r="BV1256" s="236">
        <v>201.03</v>
      </c>
      <c r="BW1256" s="236" t="s">
        <v>307</v>
      </c>
      <c r="CB1256" s="340">
        <v>1104</v>
      </c>
      <c r="CC1256" s="340" t="s">
        <v>327</v>
      </c>
      <c r="CL1256" s="236">
        <v>60.11</v>
      </c>
      <c r="CM1256" s="236" t="s">
        <v>340</v>
      </c>
      <c r="CR1256" s="340">
        <v>119.07</v>
      </c>
      <c r="CS1256" s="340" t="s">
        <v>316</v>
      </c>
      <c r="CT1256" s="1384"/>
      <c r="DF1256" s="340">
        <v>20.21</v>
      </c>
      <c r="DG1256" s="340" t="s">
        <v>328</v>
      </c>
      <c r="DV1256" s="340">
        <v>124.08</v>
      </c>
      <c r="DW1256" s="340" t="s">
        <v>344</v>
      </c>
      <c r="DX1256" s="1671"/>
    </row>
    <row r="1257" spans="12:128">
      <c r="L1257" s="2481">
        <v>20.23</v>
      </c>
      <c r="M1257" s="340" t="s">
        <v>328</v>
      </c>
      <c r="N1257" s="1390"/>
      <c r="O1257" s="2479"/>
      <c r="P1257" s="2282"/>
      <c r="AG1257" s="2297">
        <v>124.14</v>
      </c>
      <c r="AH1257" s="2297" t="s">
        <v>344</v>
      </c>
      <c r="AI1257" s="1390"/>
      <c r="AJ1257" s="2282"/>
      <c r="AK1257" s="2282"/>
      <c r="AL1257" s="1037"/>
      <c r="AX1257" s="340">
        <v>8.08</v>
      </c>
      <c r="AY1257" s="340" t="s">
        <v>328</v>
      </c>
      <c r="BN1257" s="340">
        <v>118.37</v>
      </c>
      <c r="BO1257" s="340" t="s">
        <v>344</v>
      </c>
      <c r="BP1257" s="1385"/>
      <c r="BV1257" s="236">
        <v>201.04</v>
      </c>
      <c r="BW1257" s="236" t="s">
        <v>307</v>
      </c>
      <c r="CB1257" s="340">
        <v>1.01</v>
      </c>
      <c r="CC1257" s="340" t="s">
        <v>328</v>
      </c>
      <c r="CL1257" s="236">
        <v>60.12</v>
      </c>
      <c r="CM1257" s="236" t="s">
        <v>340</v>
      </c>
      <c r="CR1257" s="340">
        <v>119.08</v>
      </c>
      <c r="CS1257" s="340" t="s">
        <v>344</v>
      </c>
      <c r="CT1257" s="1384"/>
      <c r="DF1257" s="340">
        <v>20.22</v>
      </c>
      <c r="DG1257" s="340" t="s">
        <v>328</v>
      </c>
      <c r="DV1257" s="340">
        <v>124.09</v>
      </c>
      <c r="DW1257" s="340" t="s">
        <v>344</v>
      </c>
      <c r="DX1257" s="1671"/>
    </row>
    <row r="1258" spans="12:128">
      <c r="L1258" s="2481">
        <v>20.239999999999998</v>
      </c>
      <c r="M1258" s="340" t="s">
        <v>328</v>
      </c>
      <c r="N1258" s="1390"/>
      <c r="O1258" s="2479"/>
      <c r="P1258" s="2282"/>
      <c r="AG1258" s="2297">
        <v>124.15</v>
      </c>
      <c r="AH1258" s="2297" t="s">
        <v>344</v>
      </c>
      <c r="AI1258" s="1390"/>
      <c r="AJ1258" s="2282"/>
      <c r="AK1258" s="2282"/>
      <c r="AL1258" s="1037"/>
      <c r="AX1258" s="340">
        <v>8.09</v>
      </c>
      <c r="AY1258" s="340" t="s">
        <v>328</v>
      </c>
      <c r="BN1258" s="340">
        <v>118.38</v>
      </c>
      <c r="BO1258" s="340" t="s">
        <v>344</v>
      </c>
      <c r="BP1258" s="1385"/>
      <c r="BV1258" s="236">
        <v>203</v>
      </c>
      <c r="BW1258" s="236" t="s">
        <v>307</v>
      </c>
      <c r="CB1258" s="340">
        <v>4.03</v>
      </c>
      <c r="CC1258" s="340" t="s">
        <v>328</v>
      </c>
      <c r="CL1258" s="236">
        <v>61</v>
      </c>
      <c r="CM1258" s="236" t="s">
        <v>340</v>
      </c>
      <c r="CR1258" s="340">
        <v>119.09</v>
      </c>
      <c r="CS1258" s="340" t="s">
        <v>344</v>
      </c>
      <c r="CT1258" s="1384"/>
      <c r="DF1258" s="340">
        <v>20.23</v>
      </c>
      <c r="DG1258" s="340" t="s">
        <v>328</v>
      </c>
      <c r="DV1258" s="340">
        <v>124.1</v>
      </c>
      <c r="DW1258" s="340" t="s">
        <v>344</v>
      </c>
      <c r="DX1258" s="1671"/>
    </row>
    <row r="1259" spans="12:128">
      <c r="L1259" s="2481">
        <v>20.25</v>
      </c>
      <c r="M1259" s="340" t="s">
        <v>328</v>
      </c>
      <c r="N1259" s="1390"/>
      <c r="O1259" s="2479"/>
      <c r="P1259" s="2282"/>
      <c r="AG1259" s="2297">
        <v>125.02</v>
      </c>
      <c r="AH1259" s="2297" t="s">
        <v>331</v>
      </c>
      <c r="AI1259" s="1390"/>
      <c r="AJ1259" s="2282"/>
      <c r="AK1259" s="2282"/>
      <c r="AL1259" s="1037"/>
      <c r="AX1259" s="340">
        <v>8.1</v>
      </c>
      <c r="AY1259" s="340" t="s">
        <v>328</v>
      </c>
      <c r="BN1259" s="340">
        <v>119</v>
      </c>
      <c r="BO1259" s="340" t="s">
        <v>331</v>
      </c>
      <c r="BP1259" s="1385"/>
      <c r="BV1259" s="236">
        <v>204</v>
      </c>
      <c r="BW1259" s="236" t="s">
        <v>307</v>
      </c>
      <c r="CB1259" s="340">
        <v>4.05</v>
      </c>
      <c r="CC1259" s="340" t="s">
        <v>328</v>
      </c>
      <c r="CL1259" s="236">
        <v>61.01</v>
      </c>
      <c r="CM1259" s="236" t="s">
        <v>316</v>
      </c>
      <c r="CR1259" s="340">
        <v>119.11</v>
      </c>
      <c r="CS1259" s="340" t="s">
        <v>344</v>
      </c>
      <c r="CT1259" s="1384"/>
      <c r="DF1259" s="340">
        <v>20.239999999999998</v>
      </c>
      <c r="DG1259" s="340" t="s">
        <v>328</v>
      </c>
      <c r="DV1259" s="340">
        <v>124.11</v>
      </c>
      <c r="DW1259" s="340" t="s">
        <v>344</v>
      </c>
      <c r="DX1259" s="1671"/>
    </row>
    <row r="1260" spans="12:128">
      <c r="L1260" s="2481">
        <v>1.02</v>
      </c>
      <c r="M1260" s="340" t="s">
        <v>329</v>
      </c>
      <c r="N1260" s="1390"/>
      <c r="O1260" s="2479"/>
      <c r="P1260" s="2282"/>
      <c r="AG1260" s="2297">
        <v>125.02</v>
      </c>
      <c r="AH1260" s="2297" t="s">
        <v>344</v>
      </c>
      <c r="AI1260" s="1390"/>
      <c r="AJ1260" s="2282"/>
      <c r="AK1260" s="2282"/>
      <c r="AL1260" s="1037"/>
      <c r="AX1260" s="340">
        <v>8.1199999999999992</v>
      </c>
      <c r="AY1260" s="340" t="s">
        <v>328</v>
      </c>
      <c r="BN1260" s="340">
        <v>119.01</v>
      </c>
      <c r="BO1260" s="340" t="s">
        <v>302</v>
      </c>
      <c r="BP1260" s="1385"/>
      <c r="BV1260" s="236">
        <v>205</v>
      </c>
      <c r="BW1260" s="236" t="s">
        <v>307</v>
      </c>
      <c r="CB1260" s="340">
        <v>4.0599999999999996</v>
      </c>
      <c r="CC1260" s="340" t="s">
        <v>328</v>
      </c>
      <c r="CL1260" s="236">
        <v>61.03</v>
      </c>
      <c r="CM1260" s="236" t="s">
        <v>316</v>
      </c>
      <c r="CR1260" s="340">
        <v>119.12</v>
      </c>
      <c r="CS1260" s="340" t="s">
        <v>344</v>
      </c>
      <c r="CT1260" s="1384"/>
      <c r="DF1260" s="340">
        <v>20.25</v>
      </c>
      <c r="DG1260" s="340" t="s">
        <v>328</v>
      </c>
      <c r="DV1260" s="340">
        <v>124.12</v>
      </c>
      <c r="DW1260" s="340" t="s">
        <v>344</v>
      </c>
      <c r="DX1260" s="1671"/>
    </row>
    <row r="1261" spans="12:128">
      <c r="L1261" s="2481">
        <v>2.02</v>
      </c>
      <c r="M1261" s="340" t="s">
        <v>329</v>
      </c>
      <c r="N1261" s="1390"/>
      <c r="O1261" s="2479"/>
      <c r="P1261" s="2282"/>
      <c r="AG1261" s="2297">
        <v>125.03</v>
      </c>
      <c r="AH1261" s="2297" t="s">
        <v>316</v>
      </c>
      <c r="AI1261" s="1390"/>
      <c r="AJ1261" s="2282"/>
      <c r="AK1261" s="2282"/>
      <c r="AL1261" s="1037"/>
      <c r="AX1261" s="340">
        <v>8.1300000000000008</v>
      </c>
      <c r="AY1261" s="340" t="s">
        <v>328</v>
      </c>
      <c r="BN1261" s="340">
        <v>119.01</v>
      </c>
      <c r="BO1261" s="340" t="s">
        <v>344</v>
      </c>
      <c r="BP1261" s="1385"/>
      <c r="BV1261" s="236">
        <v>206</v>
      </c>
      <c r="BW1261" s="236" t="s">
        <v>307</v>
      </c>
      <c r="CB1261" s="340">
        <v>4.09</v>
      </c>
      <c r="CC1261" s="340" t="s">
        <v>328</v>
      </c>
      <c r="CL1261" s="236">
        <v>61.03</v>
      </c>
      <c r="CM1261" s="236" t="s">
        <v>331</v>
      </c>
      <c r="CR1261" s="340">
        <v>120.01</v>
      </c>
      <c r="CS1261" s="340" t="s">
        <v>344</v>
      </c>
      <c r="CT1261" s="1384"/>
      <c r="DF1261" s="340">
        <v>1.02</v>
      </c>
      <c r="DG1261" s="340" t="s">
        <v>329</v>
      </c>
      <c r="DV1261" s="340">
        <v>124.13</v>
      </c>
      <c r="DW1261" s="340" t="s">
        <v>344</v>
      </c>
      <c r="DX1261" s="1671"/>
    </row>
    <row r="1262" spans="12:128">
      <c r="L1262" s="2481">
        <v>2.0299999999999998</v>
      </c>
      <c r="M1262" s="340" t="s">
        <v>329</v>
      </c>
      <c r="N1262" s="1390"/>
      <c r="O1262" s="2479"/>
      <c r="P1262" s="2282"/>
      <c r="AG1262" s="2297">
        <v>125.04</v>
      </c>
      <c r="AH1262" s="2297" t="s">
        <v>316</v>
      </c>
      <c r="AI1262" s="1390"/>
      <c r="AJ1262" s="2282"/>
      <c r="AK1262" s="2282"/>
      <c r="AL1262" s="1037"/>
      <c r="AX1262" s="340">
        <v>8.14</v>
      </c>
      <c r="AY1262" s="340" t="s">
        <v>328</v>
      </c>
      <c r="BN1262" s="340">
        <v>119.02</v>
      </c>
      <c r="BO1262" s="340" t="s">
        <v>344</v>
      </c>
      <c r="BP1262" s="1385"/>
      <c r="BV1262" s="236">
        <v>207.01</v>
      </c>
      <c r="BW1262" s="236" t="s">
        <v>307</v>
      </c>
      <c r="CB1262" s="340">
        <v>5.03</v>
      </c>
      <c r="CC1262" s="340" t="s">
        <v>328</v>
      </c>
      <c r="CL1262" s="236">
        <v>61.04</v>
      </c>
      <c r="CM1262" s="236" t="s">
        <v>331</v>
      </c>
      <c r="CR1262" s="340">
        <v>120.02</v>
      </c>
      <c r="CS1262" s="340" t="s">
        <v>344</v>
      </c>
      <c r="CT1262" s="1384"/>
      <c r="DF1262" s="340">
        <v>2.02</v>
      </c>
      <c r="DG1262" s="340" t="s">
        <v>329</v>
      </c>
      <c r="DV1262" s="340">
        <v>124.14</v>
      </c>
      <c r="DW1262" s="340" t="s">
        <v>344</v>
      </c>
      <c r="DX1262" s="1671"/>
    </row>
    <row r="1263" spans="12:128">
      <c r="L1263" s="2481">
        <v>4.01</v>
      </c>
      <c r="M1263" s="340" t="s">
        <v>329</v>
      </c>
      <c r="N1263" s="1390"/>
      <c r="O1263" s="2479"/>
      <c r="P1263" s="2282"/>
      <c r="AG1263" s="2297">
        <v>125.06</v>
      </c>
      <c r="AH1263" s="2297" t="s">
        <v>344</v>
      </c>
      <c r="AI1263" s="1390"/>
      <c r="AJ1263" s="2282"/>
      <c r="AK1263" s="2282"/>
      <c r="AL1263" s="1037"/>
      <c r="AX1263" s="340">
        <v>9.02</v>
      </c>
      <c r="AY1263" s="340" t="s">
        <v>328</v>
      </c>
      <c r="BN1263" s="340">
        <v>119.03</v>
      </c>
      <c r="BO1263" s="340" t="s">
        <v>302</v>
      </c>
      <c r="BP1263" s="1385"/>
      <c r="BV1263" s="236">
        <v>207.02</v>
      </c>
      <c r="BW1263" s="236" t="s">
        <v>307</v>
      </c>
      <c r="CB1263" s="340">
        <v>8.0399999999999991</v>
      </c>
      <c r="CC1263" s="340" t="s">
        <v>328</v>
      </c>
      <c r="CL1263" s="236">
        <v>61.05</v>
      </c>
      <c r="CM1263" s="236" t="s">
        <v>331</v>
      </c>
      <c r="CR1263" s="340">
        <v>120.03</v>
      </c>
      <c r="CS1263" s="340" t="s">
        <v>344</v>
      </c>
      <c r="CT1263" s="1384"/>
      <c r="DF1263" s="340">
        <v>2.0299999999999998</v>
      </c>
      <c r="DG1263" s="340" t="s">
        <v>329</v>
      </c>
      <c r="DV1263" s="340">
        <v>124.15</v>
      </c>
      <c r="DW1263" s="340" t="s">
        <v>344</v>
      </c>
      <c r="DX1263" s="1671"/>
    </row>
    <row r="1264" spans="12:128">
      <c r="L1264" s="2481">
        <v>6.07</v>
      </c>
      <c r="M1264" s="340" t="s">
        <v>329</v>
      </c>
      <c r="N1264" s="1390"/>
      <c r="O1264" s="2479"/>
      <c r="P1264" s="2282"/>
      <c r="AG1264" s="2297">
        <v>125.08</v>
      </c>
      <c r="AH1264" s="2297" t="s">
        <v>344</v>
      </c>
      <c r="AI1264" s="1390"/>
      <c r="AJ1264" s="2282"/>
      <c r="AK1264" s="2282"/>
      <c r="AL1264" s="1037"/>
      <c r="AX1264" s="340">
        <v>10.01</v>
      </c>
      <c r="AY1264" s="340" t="s">
        <v>328</v>
      </c>
      <c r="BN1264" s="340">
        <v>119.04</v>
      </c>
      <c r="BO1264" s="340" t="s">
        <v>302</v>
      </c>
      <c r="BP1264" s="1385"/>
      <c r="BV1264" s="236">
        <v>208</v>
      </c>
      <c r="BW1264" s="236" t="s">
        <v>307</v>
      </c>
      <c r="CB1264" s="340">
        <v>8.0500000000000007</v>
      </c>
      <c r="CC1264" s="340" t="s">
        <v>328</v>
      </c>
      <c r="CL1264" s="236">
        <v>61.06</v>
      </c>
      <c r="CM1264" s="236" t="s">
        <v>331</v>
      </c>
      <c r="CR1264" s="340">
        <v>120.04</v>
      </c>
      <c r="CS1264" s="340" t="s">
        <v>344</v>
      </c>
      <c r="CT1264" s="1384"/>
      <c r="DF1264" s="340">
        <v>4.01</v>
      </c>
      <c r="DG1264" s="340" t="s">
        <v>329</v>
      </c>
      <c r="DV1264" s="340">
        <v>125.02</v>
      </c>
      <c r="DW1264" s="340" t="s">
        <v>331</v>
      </c>
      <c r="DX1264" s="1671"/>
    </row>
    <row r="1265" spans="12:128">
      <c r="L1265" s="2481">
        <v>7.06</v>
      </c>
      <c r="M1265" s="340" t="s">
        <v>329</v>
      </c>
      <c r="N1265" s="1390"/>
      <c r="O1265" s="2479"/>
      <c r="P1265" s="2282"/>
      <c r="AG1265" s="2297">
        <v>125.09</v>
      </c>
      <c r="AH1265" s="2297" t="s">
        <v>344</v>
      </c>
      <c r="AI1265" s="1390"/>
      <c r="AJ1265" s="2282"/>
      <c r="AK1265" s="2282"/>
      <c r="AL1265" s="1037"/>
      <c r="AX1265" s="340">
        <v>11.04</v>
      </c>
      <c r="AY1265" s="340" t="s">
        <v>328</v>
      </c>
      <c r="BN1265" s="340">
        <v>119.07</v>
      </c>
      <c r="BO1265" s="340" t="s">
        <v>316</v>
      </c>
      <c r="BP1265" s="1385"/>
      <c r="BV1265" s="236">
        <v>9501</v>
      </c>
      <c r="BW1265" s="236" t="s">
        <v>308</v>
      </c>
      <c r="CB1265" s="340">
        <v>8.08</v>
      </c>
      <c r="CC1265" s="340" t="s">
        <v>328</v>
      </c>
      <c r="CL1265" s="236">
        <v>62</v>
      </c>
      <c r="CM1265" s="236" t="s">
        <v>316</v>
      </c>
      <c r="CR1265" s="340">
        <v>121.01</v>
      </c>
      <c r="CS1265" s="340" t="s">
        <v>331</v>
      </c>
      <c r="CT1265" s="1384"/>
      <c r="DF1265" s="340">
        <v>6.07</v>
      </c>
      <c r="DG1265" s="340" t="s">
        <v>329</v>
      </c>
      <c r="DV1265" s="340">
        <v>125.02</v>
      </c>
      <c r="DW1265" s="340" t="s">
        <v>344</v>
      </c>
      <c r="DX1265" s="1671"/>
    </row>
    <row r="1266" spans="12:128">
      <c r="L1266" s="2481">
        <v>7.07</v>
      </c>
      <c r="M1266" s="340" t="s">
        <v>329</v>
      </c>
      <c r="N1266" s="1390"/>
      <c r="O1266" s="2479"/>
      <c r="P1266" s="2282"/>
      <c r="AG1266" s="2297">
        <v>125.11</v>
      </c>
      <c r="AH1266" s="2297" t="s">
        <v>344</v>
      </c>
      <c r="AI1266" s="1390"/>
      <c r="AJ1266" s="2282"/>
      <c r="AK1266" s="2282"/>
      <c r="AL1266" s="1037"/>
      <c r="AX1266" s="340">
        <v>11.05</v>
      </c>
      <c r="AY1266" s="340" t="s">
        <v>328</v>
      </c>
      <c r="BN1266" s="340">
        <v>119.08</v>
      </c>
      <c r="BO1266" s="340" t="s">
        <v>344</v>
      </c>
      <c r="BP1266" s="1385"/>
      <c r="BV1266" s="236">
        <v>9502.01</v>
      </c>
      <c r="BW1266" s="236" t="s">
        <v>308</v>
      </c>
      <c r="CB1266" s="340">
        <v>8.09</v>
      </c>
      <c r="CC1266" s="340" t="s">
        <v>328</v>
      </c>
      <c r="CL1266" s="236">
        <v>62.01</v>
      </c>
      <c r="CM1266" s="236" t="s">
        <v>331</v>
      </c>
      <c r="CR1266" s="340">
        <v>121.02</v>
      </c>
      <c r="CS1266" s="340" t="s">
        <v>331</v>
      </c>
      <c r="CT1266" s="1384"/>
      <c r="DF1266" s="340">
        <v>7.04</v>
      </c>
      <c r="DG1266" s="340" t="s">
        <v>329</v>
      </c>
      <c r="DV1266" s="340">
        <v>125.03</v>
      </c>
      <c r="DW1266" s="340" t="s">
        <v>316</v>
      </c>
      <c r="DX1266" s="1671"/>
    </row>
    <row r="1267" spans="12:128">
      <c r="L1267" s="2481">
        <v>8.0299999999999994</v>
      </c>
      <c r="M1267" s="340" t="s">
        <v>329</v>
      </c>
      <c r="N1267" s="1390"/>
      <c r="O1267" s="2479"/>
      <c r="P1267" s="2282"/>
      <c r="AG1267" s="2297">
        <v>125.12</v>
      </c>
      <c r="AH1267" s="2297" t="s">
        <v>344</v>
      </c>
      <c r="AI1267" s="1390"/>
      <c r="AJ1267" s="2282"/>
      <c r="AK1267" s="2282"/>
      <c r="AL1267" s="1037"/>
      <c r="AX1267" s="340">
        <v>11.07</v>
      </c>
      <c r="AY1267" s="340" t="s">
        <v>328</v>
      </c>
      <c r="BN1267" s="340">
        <v>119.09</v>
      </c>
      <c r="BO1267" s="340" t="s">
        <v>344</v>
      </c>
      <c r="BP1267" s="1385"/>
      <c r="BV1267" s="236">
        <v>9502.02</v>
      </c>
      <c r="BW1267" s="236" t="s">
        <v>308</v>
      </c>
      <c r="CB1267" s="340">
        <v>8.1</v>
      </c>
      <c r="CC1267" s="340" t="s">
        <v>328</v>
      </c>
      <c r="CL1267" s="236">
        <v>62.01</v>
      </c>
      <c r="CM1267" s="236" t="s">
        <v>340</v>
      </c>
      <c r="CR1267" s="340">
        <v>121.03</v>
      </c>
      <c r="CS1267" s="340" t="s">
        <v>331</v>
      </c>
      <c r="CT1267" s="1384"/>
      <c r="DF1267" s="340">
        <v>7.06</v>
      </c>
      <c r="DG1267" s="340" t="s">
        <v>329</v>
      </c>
      <c r="DV1267" s="340">
        <v>125.06</v>
      </c>
      <c r="DW1267" s="340" t="s">
        <v>344</v>
      </c>
      <c r="DX1267" s="1671"/>
    </row>
    <row r="1268" spans="12:128">
      <c r="L1268" s="2481">
        <v>8.07</v>
      </c>
      <c r="M1268" s="340" t="s">
        <v>329</v>
      </c>
      <c r="N1268" s="1390"/>
      <c r="O1268" s="2479"/>
      <c r="P1268" s="2282"/>
      <c r="AG1268" s="2297">
        <v>125.13</v>
      </c>
      <c r="AH1268" s="2297" t="s">
        <v>344</v>
      </c>
      <c r="AI1268" s="1390"/>
      <c r="AJ1268" s="2282"/>
      <c r="AK1268" s="2282"/>
      <c r="AL1268" s="1037"/>
      <c r="AX1268" s="340">
        <v>11.08</v>
      </c>
      <c r="AY1268" s="340" t="s">
        <v>328</v>
      </c>
      <c r="BN1268" s="340">
        <v>119.1</v>
      </c>
      <c r="BO1268" s="340" t="s">
        <v>344</v>
      </c>
      <c r="BP1268" s="1385"/>
      <c r="BV1268" s="236">
        <v>9502.0300000000007</v>
      </c>
      <c r="BW1268" s="236" t="s">
        <v>308</v>
      </c>
      <c r="CB1268" s="340">
        <v>8.1199999999999992</v>
      </c>
      <c r="CC1268" s="340" t="s">
        <v>328</v>
      </c>
      <c r="CL1268" s="236">
        <v>62.02</v>
      </c>
      <c r="CM1268" s="236" t="s">
        <v>340</v>
      </c>
      <c r="CR1268" s="340">
        <v>121.05</v>
      </c>
      <c r="CS1268" s="340" t="s">
        <v>331</v>
      </c>
      <c r="CT1268" s="1384"/>
      <c r="DF1268" s="340">
        <v>7.07</v>
      </c>
      <c r="DG1268" s="340" t="s">
        <v>329</v>
      </c>
      <c r="DV1268" s="340">
        <v>125.08</v>
      </c>
      <c r="DW1268" s="340" t="s">
        <v>344</v>
      </c>
      <c r="DX1268" s="1671"/>
    </row>
    <row r="1269" spans="12:128">
      <c r="L1269" s="2481">
        <v>8.09</v>
      </c>
      <c r="M1269" s="340" t="s">
        <v>329</v>
      </c>
      <c r="N1269" s="1390"/>
      <c r="O1269" s="2479"/>
      <c r="P1269" s="2282"/>
      <c r="AG1269" s="2297">
        <v>125.14</v>
      </c>
      <c r="AH1269" s="2297" t="s">
        <v>344</v>
      </c>
      <c r="AI1269" s="1390"/>
      <c r="AJ1269" s="2282"/>
      <c r="AK1269" s="2282"/>
      <c r="AL1269" s="1037"/>
      <c r="AX1269" s="340">
        <v>12.02</v>
      </c>
      <c r="AY1269" s="340" t="s">
        <v>328</v>
      </c>
      <c r="BN1269" s="340">
        <v>119.11</v>
      </c>
      <c r="BO1269" s="340" t="s">
        <v>344</v>
      </c>
      <c r="BP1269" s="1385"/>
      <c r="BV1269" s="236">
        <v>9502.0400000000009</v>
      </c>
      <c r="BW1269" s="236" t="s">
        <v>308</v>
      </c>
      <c r="CB1269" s="340">
        <v>8.1300000000000008</v>
      </c>
      <c r="CC1269" s="340" t="s">
        <v>328</v>
      </c>
      <c r="CL1269" s="236">
        <v>62.03</v>
      </c>
      <c r="CM1269" s="236" t="s">
        <v>331</v>
      </c>
      <c r="CR1269" s="340">
        <v>121.06</v>
      </c>
      <c r="CS1269" s="340" t="s">
        <v>316</v>
      </c>
      <c r="CT1269" s="1384"/>
      <c r="DF1269" s="340">
        <v>8.06</v>
      </c>
      <c r="DG1269" s="340" t="s">
        <v>329</v>
      </c>
      <c r="DV1269" s="340">
        <v>125.09</v>
      </c>
      <c r="DW1269" s="340" t="s">
        <v>344</v>
      </c>
      <c r="DX1269" s="1671"/>
    </row>
    <row r="1270" spans="12:128">
      <c r="L1270" s="2481">
        <v>8.1</v>
      </c>
      <c r="M1270" s="340" t="s">
        <v>329</v>
      </c>
      <c r="N1270" s="1390"/>
      <c r="O1270" s="2479"/>
      <c r="P1270" s="2282"/>
      <c r="AG1270" s="2297">
        <v>125.15</v>
      </c>
      <c r="AH1270" s="2297" t="s">
        <v>344</v>
      </c>
      <c r="AI1270" s="1390"/>
      <c r="AJ1270" s="2282"/>
      <c r="AK1270" s="2282"/>
      <c r="AL1270" s="1037"/>
      <c r="AX1270" s="340">
        <v>12.03</v>
      </c>
      <c r="AY1270" s="340" t="s">
        <v>328</v>
      </c>
      <c r="BN1270" s="340">
        <v>119.12</v>
      </c>
      <c r="BO1270" s="340" t="s">
        <v>344</v>
      </c>
      <c r="BP1270" s="1385"/>
      <c r="BV1270" s="236">
        <v>401.01</v>
      </c>
      <c r="BW1270" s="236" t="s">
        <v>314</v>
      </c>
      <c r="CB1270" s="340">
        <v>8.14</v>
      </c>
      <c r="CC1270" s="340" t="s">
        <v>328</v>
      </c>
      <c r="CL1270" s="236">
        <v>62.03</v>
      </c>
      <c r="CM1270" s="236" t="s">
        <v>340</v>
      </c>
      <c r="CR1270" s="340">
        <v>121.08</v>
      </c>
      <c r="CS1270" s="340" t="s">
        <v>316</v>
      </c>
      <c r="CT1270" s="1384"/>
      <c r="DF1270" s="340">
        <v>8.07</v>
      </c>
      <c r="DG1270" s="340" t="s">
        <v>329</v>
      </c>
      <c r="DV1270" s="340">
        <v>125.11</v>
      </c>
      <c r="DW1270" s="340" t="s">
        <v>344</v>
      </c>
      <c r="DX1270" s="1671"/>
    </row>
    <row r="1271" spans="12:128">
      <c r="L1271" s="2481">
        <v>8.11</v>
      </c>
      <c r="M1271" s="340" t="s">
        <v>329</v>
      </c>
      <c r="N1271" s="1390"/>
      <c r="O1271" s="2479"/>
      <c r="P1271" s="2282"/>
      <c r="AG1271" s="2297">
        <v>126</v>
      </c>
      <c r="AH1271" s="2297" t="s">
        <v>338</v>
      </c>
      <c r="AI1271" s="1390"/>
      <c r="AJ1271" s="2282"/>
      <c r="AK1271" s="2282"/>
      <c r="AL1271" s="1037"/>
      <c r="AX1271" s="340">
        <v>12.04</v>
      </c>
      <c r="AY1271" s="340" t="s">
        <v>328</v>
      </c>
      <c r="BN1271" s="340">
        <v>119.13</v>
      </c>
      <c r="BO1271" s="340" t="s">
        <v>344</v>
      </c>
      <c r="BP1271" s="1385"/>
      <c r="BV1271" s="236">
        <v>401.02</v>
      </c>
      <c r="BW1271" s="236" t="s">
        <v>314</v>
      </c>
      <c r="CB1271" s="340">
        <v>9.02</v>
      </c>
      <c r="CC1271" s="340" t="s">
        <v>328</v>
      </c>
      <c r="CL1271" s="236">
        <v>62.05</v>
      </c>
      <c r="CM1271" s="236" t="s">
        <v>331</v>
      </c>
      <c r="CR1271" s="340">
        <v>121.13</v>
      </c>
      <c r="CS1271" s="340" t="s">
        <v>344</v>
      </c>
      <c r="CT1271" s="1384"/>
      <c r="DF1271" s="340">
        <v>8.09</v>
      </c>
      <c r="DG1271" s="340" t="s">
        <v>329</v>
      </c>
      <c r="DV1271" s="340">
        <v>125.12</v>
      </c>
      <c r="DW1271" s="340" t="s">
        <v>344</v>
      </c>
      <c r="DX1271" s="1671"/>
    </row>
    <row r="1272" spans="12:128">
      <c r="L1272" s="2481">
        <v>9.01</v>
      </c>
      <c r="M1272" s="340" t="s">
        <v>329</v>
      </c>
      <c r="N1272" s="1390"/>
      <c r="O1272" s="2479"/>
      <c r="P1272" s="2282"/>
      <c r="AG1272" s="2297">
        <v>126.02</v>
      </c>
      <c r="AH1272" s="2297" t="s">
        <v>331</v>
      </c>
      <c r="AI1272" s="1390"/>
      <c r="AJ1272" s="2282"/>
      <c r="AK1272" s="2282"/>
      <c r="AL1272" s="1037"/>
      <c r="AX1272" s="340">
        <v>14.02</v>
      </c>
      <c r="AY1272" s="340" t="s">
        <v>328</v>
      </c>
      <c r="BN1272" s="340">
        <v>120.01</v>
      </c>
      <c r="BO1272" s="340" t="s">
        <v>344</v>
      </c>
      <c r="BP1272" s="1385"/>
      <c r="BV1272" s="236">
        <v>402.01</v>
      </c>
      <c r="BW1272" s="236" t="s">
        <v>314</v>
      </c>
      <c r="CB1272" s="340">
        <v>10.01</v>
      </c>
      <c r="CC1272" s="340" t="s">
        <v>328</v>
      </c>
      <c r="CL1272" s="236">
        <v>62.06</v>
      </c>
      <c r="CM1272" s="236" t="s">
        <v>331</v>
      </c>
      <c r="CR1272" s="340">
        <v>121.25</v>
      </c>
      <c r="CS1272" s="340" t="s">
        <v>344</v>
      </c>
      <c r="CT1272" s="1384"/>
      <c r="DF1272" s="340">
        <v>8.1</v>
      </c>
      <c r="DG1272" s="340" t="s">
        <v>329</v>
      </c>
      <c r="DV1272" s="340">
        <v>125.13</v>
      </c>
      <c r="DW1272" s="340" t="s">
        <v>344</v>
      </c>
      <c r="DX1272" s="1671"/>
    </row>
    <row r="1273" spans="12:128">
      <c r="L1273" s="2481">
        <v>9.0299999999999994</v>
      </c>
      <c r="M1273" s="340" t="s">
        <v>329</v>
      </c>
      <c r="N1273" s="1390"/>
      <c r="O1273" s="2479"/>
      <c r="P1273" s="2282"/>
      <c r="AG1273" s="2297">
        <v>127.01</v>
      </c>
      <c r="AH1273" s="2297" t="s">
        <v>316</v>
      </c>
      <c r="AI1273" s="1390"/>
      <c r="AJ1273" s="2282"/>
      <c r="AK1273" s="2282"/>
      <c r="AL1273" s="1037"/>
      <c r="AX1273" s="340">
        <v>14.04</v>
      </c>
      <c r="AY1273" s="340" t="s">
        <v>328</v>
      </c>
      <c r="BN1273" s="340">
        <v>120.03</v>
      </c>
      <c r="BO1273" s="340" t="s">
        <v>344</v>
      </c>
      <c r="BP1273" s="1385"/>
      <c r="BV1273" s="236">
        <v>402.02</v>
      </c>
      <c r="BW1273" s="236" t="s">
        <v>314</v>
      </c>
      <c r="CB1273" s="340">
        <v>11.05</v>
      </c>
      <c r="CC1273" s="340" t="s">
        <v>328</v>
      </c>
      <c r="CL1273" s="236">
        <v>63</v>
      </c>
      <c r="CM1273" s="236" t="s">
        <v>316</v>
      </c>
      <c r="CR1273" s="340">
        <v>121.26</v>
      </c>
      <c r="CS1273" s="340" t="s">
        <v>344</v>
      </c>
      <c r="CT1273" s="1384"/>
      <c r="DF1273" s="340">
        <v>8.11</v>
      </c>
      <c r="DG1273" s="340" t="s">
        <v>329</v>
      </c>
      <c r="DV1273" s="340">
        <v>125.14</v>
      </c>
      <c r="DW1273" s="340" t="s">
        <v>344</v>
      </c>
      <c r="DX1273" s="1671"/>
    </row>
    <row r="1274" spans="12:128">
      <c r="L1274" s="2481">
        <v>9.0399999999999991</v>
      </c>
      <c r="M1274" s="340" t="s">
        <v>329</v>
      </c>
      <c r="N1274" s="1390"/>
      <c r="O1274" s="2479"/>
      <c r="P1274" s="2282"/>
      <c r="AG1274" s="2297">
        <v>127.01</v>
      </c>
      <c r="AH1274" s="2297" t="s">
        <v>331</v>
      </c>
      <c r="AI1274" s="1390"/>
      <c r="AJ1274" s="2282"/>
      <c r="AK1274" s="2282"/>
      <c r="AL1274" s="1037"/>
      <c r="AX1274" s="340">
        <v>16.03</v>
      </c>
      <c r="AY1274" s="340" t="s">
        <v>328</v>
      </c>
      <c r="BN1274" s="340">
        <v>120.04</v>
      </c>
      <c r="BO1274" s="340" t="s">
        <v>344</v>
      </c>
      <c r="BP1274" s="1385"/>
      <c r="BV1274" s="236">
        <v>403.01</v>
      </c>
      <c r="BW1274" s="236" t="s">
        <v>314</v>
      </c>
      <c r="CB1274" s="340">
        <v>11.07</v>
      </c>
      <c r="CC1274" s="340" t="s">
        <v>328</v>
      </c>
      <c r="CL1274" s="236">
        <v>63.01</v>
      </c>
      <c r="CM1274" s="236" t="s">
        <v>340</v>
      </c>
      <c r="CR1274" s="340">
        <v>121.27</v>
      </c>
      <c r="CS1274" s="340" t="s">
        <v>344</v>
      </c>
      <c r="CT1274" s="1384"/>
      <c r="DF1274" s="340">
        <v>9.01</v>
      </c>
      <c r="DG1274" s="340" t="s">
        <v>329</v>
      </c>
      <c r="DV1274" s="340">
        <v>125.15</v>
      </c>
      <c r="DW1274" s="340" t="s">
        <v>344</v>
      </c>
      <c r="DX1274" s="1671"/>
    </row>
    <row r="1275" spans="12:128">
      <c r="L1275" s="2481">
        <v>10.050000000000001</v>
      </c>
      <c r="M1275" s="340" t="s">
        <v>329</v>
      </c>
      <c r="N1275" s="1390"/>
      <c r="O1275" s="2479"/>
      <c r="P1275" s="2282"/>
      <c r="AG1275" s="2297">
        <v>127.01</v>
      </c>
      <c r="AH1275" s="2297" t="s">
        <v>338</v>
      </c>
      <c r="AI1275" s="1390"/>
      <c r="AJ1275" s="2282"/>
      <c r="AK1275" s="2282"/>
      <c r="AL1275" s="1037"/>
      <c r="AX1275" s="340">
        <v>17.010000000000002</v>
      </c>
      <c r="AY1275" s="340" t="s">
        <v>328</v>
      </c>
      <c r="BN1275" s="340">
        <v>121.01</v>
      </c>
      <c r="BO1275" s="340" t="s">
        <v>331</v>
      </c>
      <c r="BP1275" s="1385"/>
      <c r="BV1275" s="236">
        <v>403.02</v>
      </c>
      <c r="BW1275" s="236" t="s">
        <v>314</v>
      </c>
      <c r="CB1275" s="340">
        <v>11.08</v>
      </c>
      <c r="CC1275" s="340" t="s">
        <v>328</v>
      </c>
      <c r="CL1275" s="236">
        <v>63.02</v>
      </c>
      <c r="CM1275" s="236" t="s">
        <v>331</v>
      </c>
      <c r="CR1275" s="340">
        <v>121.3</v>
      </c>
      <c r="CS1275" s="340" t="s">
        <v>344</v>
      </c>
      <c r="CT1275" s="1384"/>
      <c r="DF1275" s="340">
        <v>9.0299999999999994</v>
      </c>
      <c r="DG1275" s="340" t="s">
        <v>329</v>
      </c>
      <c r="DV1275" s="340">
        <v>126</v>
      </c>
      <c r="DW1275" s="340" t="s">
        <v>338</v>
      </c>
      <c r="DX1275" s="1671"/>
    </row>
    <row r="1276" spans="12:128">
      <c r="L1276" s="2481">
        <v>10.07</v>
      </c>
      <c r="M1276" s="340" t="s">
        <v>329</v>
      </c>
      <c r="N1276" s="1390"/>
      <c r="O1276" s="2479"/>
      <c r="P1276" s="2282"/>
      <c r="AG1276" s="2297">
        <v>127.02</v>
      </c>
      <c r="AH1276" s="2297" t="s">
        <v>331</v>
      </c>
      <c r="AI1276" s="1390"/>
      <c r="AJ1276" s="2282"/>
      <c r="AK1276" s="2282"/>
      <c r="AL1276" s="1037"/>
      <c r="AX1276" s="340">
        <v>17.05</v>
      </c>
      <c r="AY1276" s="340" t="s">
        <v>328</v>
      </c>
      <c r="BN1276" s="340">
        <v>121.02</v>
      </c>
      <c r="BO1276" s="340" t="s">
        <v>331</v>
      </c>
      <c r="BP1276" s="1385"/>
      <c r="BV1276" s="236">
        <v>403.03</v>
      </c>
      <c r="BW1276" s="236" t="s">
        <v>314</v>
      </c>
      <c r="CB1276" s="340">
        <v>12.02</v>
      </c>
      <c r="CC1276" s="340" t="s">
        <v>328</v>
      </c>
      <c r="CL1276" s="236">
        <v>63.02</v>
      </c>
      <c r="CM1276" s="236" t="s">
        <v>340</v>
      </c>
      <c r="CR1276" s="340">
        <v>121.32</v>
      </c>
      <c r="CS1276" s="340" t="s">
        <v>344</v>
      </c>
      <c r="CT1276" s="1384"/>
      <c r="DF1276" s="340">
        <v>9.0399999999999991</v>
      </c>
      <c r="DG1276" s="340" t="s">
        <v>329</v>
      </c>
      <c r="DV1276" s="340">
        <v>126.01</v>
      </c>
      <c r="DW1276" s="340" t="s">
        <v>331</v>
      </c>
      <c r="DX1276" s="1671"/>
    </row>
    <row r="1277" spans="12:128">
      <c r="L1277" s="2481">
        <v>10.08</v>
      </c>
      <c r="M1277" s="340" t="s">
        <v>329</v>
      </c>
      <c r="N1277" s="1390"/>
      <c r="O1277" s="2479"/>
      <c r="P1277" s="2282"/>
      <c r="AG1277" s="2297">
        <v>128</v>
      </c>
      <c r="AH1277" s="2297" t="s">
        <v>302</v>
      </c>
      <c r="AI1277" s="1390"/>
      <c r="AJ1277" s="2282"/>
      <c r="AK1277" s="2282"/>
      <c r="AL1277" s="1037"/>
      <c r="AX1277" s="340">
        <v>18.010000000000002</v>
      </c>
      <c r="AY1277" s="340" t="s">
        <v>328</v>
      </c>
      <c r="BN1277" s="340">
        <v>121.04</v>
      </c>
      <c r="BO1277" s="340" t="s">
        <v>331</v>
      </c>
      <c r="BP1277" s="1385"/>
      <c r="BV1277" s="236">
        <v>404</v>
      </c>
      <c r="BW1277" s="236" t="s">
        <v>314</v>
      </c>
      <c r="CB1277" s="340">
        <v>12.03</v>
      </c>
      <c r="CC1277" s="340" t="s">
        <v>328</v>
      </c>
      <c r="CL1277" s="236">
        <v>63.03</v>
      </c>
      <c r="CM1277" s="236" t="s">
        <v>331</v>
      </c>
      <c r="CR1277" s="340">
        <v>121.33</v>
      </c>
      <c r="CS1277" s="340" t="s">
        <v>344</v>
      </c>
      <c r="CT1277" s="1384"/>
      <c r="DF1277" s="340">
        <v>10.050000000000001</v>
      </c>
      <c r="DG1277" s="340" t="s">
        <v>329</v>
      </c>
      <c r="DV1277" s="340">
        <v>127.01</v>
      </c>
      <c r="DW1277" s="340" t="s">
        <v>316</v>
      </c>
      <c r="DX1277" s="1671"/>
    </row>
    <row r="1278" spans="12:128">
      <c r="L1278" s="2481">
        <v>10.09</v>
      </c>
      <c r="M1278" s="340" t="s">
        <v>329</v>
      </c>
      <c r="N1278" s="1390"/>
      <c r="O1278" s="2479"/>
      <c r="P1278" s="2282"/>
      <c r="AG1278" s="2297">
        <v>128</v>
      </c>
      <c r="AH1278" s="2297" t="s">
        <v>338</v>
      </c>
      <c r="AI1278" s="1390"/>
      <c r="AJ1278" s="2282"/>
      <c r="AK1278" s="2282"/>
      <c r="AL1278" s="1037"/>
      <c r="AX1278" s="340">
        <v>18.02</v>
      </c>
      <c r="AY1278" s="340" t="s">
        <v>328</v>
      </c>
      <c r="BN1278" s="340">
        <v>121.05</v>
      </c>
      <c r="BO1278" s="340" t="s">
        <v>331</v>
      </c>
      <c r="BP1278" s="1385"/>
      <c r="BV1278" s="236">
        <v>405.01</v>
      </c>
      <c r="BW1278" s="236" t="s">
        <v>314</v>
      </c>
      <c r="CB1278" s="340">
        <v>12.04</v>
      </c>
      <c r="CC1278" s="340" t="s">
        <v>328</v>
      </c>
      <c r="CL1278" s="236">
        <v>63.04</v>
      </c>
      <c r="CM1278" s="236" t="s">
        <v>331</v>
      </c>
      <c r="CR1278" s="340">
        <v>122</v>
      </c>
      <c r="CS1278" s="340" t="s">
        <v>331</v>
      </c>
      <c r="CT1278" s="1384"/>
      <c r="DF1278" s="340">
        <v>10.07</v>
      </c>
      <c r="DG1278" s="340" t="s">
        <v>329</v>
      </c>
      <c r="DV1278" s="340">
        <v>127.01</v>
      </c>
      <c r="DW1278" s="340" t="s">
        <v>331</v>
      </c>
      <c r="DX1278" s="1671"/>
    </row>
    <row r="1279" spans="12:128">
      <c r="L1279" s="2481">
        <v>10.11</v>
      </c>
      <c r="M1279" s="340" t="s">
        <v>329</v>
      </c>
      <c r="N1279" s="1390"/>
      <c r="O1279" s="2479"/>
      <c r="P1279" s="2282"/>
      <c r="AG1279" s="2297">
        <v>128.01</v>
      </c>
      <c r="AH1279" s="2297" t="s">
        <v>331</v>
      </c>
      <c r="AI1279" s="1390"/>
      <c r="AJ1279" s="2282"/>
      <c r="AK1279" s="2282"/>
      <c r="AL1279" s="1037"/>
      <c r="AX1279" s="340">
        <v>19.04</v>
      </c>
      <c r="AY1279" s="340" t="s">
        <v>328</v>
      </c>
      <c r="BN1279" s="340">
        <v>121.06</v>
      </c>
      <c r="BO1279" s="340" t="s">
        <v>316</v>
      </c>
      <c r="BP1279" s="1385"/>
      <c r="BV1279" s="236">
        <v>405.02</v>
      </c>
      <c r="BW1279" s="236" t="s">
        <v>314</v>
      </c>
      <c r="CB1279" s="340">
        <v>14.02</v>
      </c>
      <c r="CC1279" s="340" t="s">
        <v>328</v>
      </c>
      <c r="CL1279" s="236">
        <v>64</v>
      </c>
      <c r="CM1279" s="236" t="s">
        <v>316</v>
      </c>
      <c r="CR1279" s="340">
        <v>122.07</v>
      </c>
      <c r="CS1279" s="340" t="s">
        <v>316</v>
      </c>
      <c r="CT1279" s="1384"/>
      <c r="DF1279" s="340">
        <v>10.08</v>
      </c>
      <c r="DG1279" s="340" t="s">
        <v>329</v>
      </c>
      <c r="DV1279" s="340">
        <v>127.01</v>
      </c>
      <c r="DW1279" s="340" t="s">
        <v>338</v>
      </c>
      <c r="DX1279" s="1671"/>
    </row>
    <row r="1280" spans="12:128">
      <c r="L1280" s="2481">
        <v>10.119999999999999</v>
      </c>
      <c r="M1280" s="340" t="s">
        <v>329</v>
      </c>
      <c r="N1280" s="1390"/>
      <c r="O1280" s="2479"/>
      <c r="P1280" s="2282"/>
      <c r="AG1280" s="2297">
        <v>128.02000000000001</v>
      </c>
      <c r="AH1280" s="2297" t="s">
        <v>331</v>
      </c>
      <c r="AI1280" s="1390"/>
      <c r="AJ1280" s="2282"/>
      <c r="AK1280" s="2282"/>
      <c r="AL1280" s="1037"/>
      <c r="AX1280" s="340">
        <v>19.07</v>
      </c>
      <c r="AY1280" s="340" t="s">
        <v>328</v>
      </c>
      <c r="BN1280" s="340">
        <v>121.08</v>
      </c>
      <c r="BO1280" s="340" t="s">
        <v>316</v>
      </c>
      <c r="BP1280" s="1385"/>
      <c r="BV1280" s="236">
        <v>406.01</v>
      </c>
      <c r="BW1280" s="236" t="s">
        <v>314</v>
      </c>
      <c r="CB1280" s="340">
        <v>14.04</v>
      </c>
      <c r="CC1280" s="340" t="s">
        <v>328</v>
      </c>
      <c r="CL1280" s="236">
        <v>64.010000000000005</v>
      </c>
      <c r="CM1280" s="236" t="s">
        <v>331</v>
      </c>
      <c r="CR1280" s="340">
        <v>122.08</v>
      </c>
      <c r="CS1280" s="340" t="s">
        <v>316</v>
      </c>
      <c r="CT1280" s="1384"/>
      <c r="DF1280" s="340">
        <v>10.09</v>
      </c>
      <c r="DG1280" s="340" t="s">
        <v>329</v>
      </c>
      <c r="DV1280" s="340">
        <v>127.01</v>
      </c>
      <c r="DW1280" s="340" t="s">
        <v>344</v>
      </c>
      <c r="DX1280" s="1671"/>
    </row>
    <row r="1281" spans="12:128">
      <c r="L1281" s="2481">
        <v>10.130000000000001</v>
      </c>
      <c r="M1281" s="340" t="s">
        <v>329</v>
      </c>
      <c r="N1281" s="1390"/>
      <c r="O1281" s="2479"/>
      <c r="P1281" s="2282"/>
      <c r="AG1281" s="2297">
        <v>128.02000000000001</v>
      </c>
      <c r="AH1281" s="2297" t="s">
        <v>344</v>
      </c>
      <c r="AI1281" s="1390"/>
      <c r="AJ1281" s="2282"/>
      <c r="AK1281" s="2282"/>
      <c r="AL1281" s="1037"/>
      <c r="AX1281" s="340">
        <v>19.079999999999998</v>
      </c>
      <c r="AY1281" s="340" t="s">
        <v>328</v>
      </c>
      <c r="BN1281" s="340">
        <v>121.13</v>
      </c>
      <c r="BO1281" s="340" t="s">
        <v>344</v>
      </c>
      <c r="BP1281" s="1385"/>
      <c r="BV1281" s="236">
        <v>406.02</v>
      </c>
      <c r="BW1281" s="236" t="s">
        <v>314</v>
      </c>
      <c r="CB1281" s="340">
        <v>16.03</v>
      </c>
      <c r="CC1281" s="340" t="s">
        <v>328</v>
      </c>
      <c r="CL1281" s="236">
        <v>64.010000000000005</v>
      </c>
      <c r="CM1281" s="236" t="s">
        <v>340</v>
      </c>
      <c r="CR1281" s="340">
        <v>122.08</v>
      </c>
      <c r="CS1281" s="340" t="s">
        <v>344</v>
      </c>
      <c r="CT1281" s="1384"/>
      <c r="DF1281" s="340">
        <v>10.11</v>
      </c>
      <c r="DG1281" s="340" t="s">
        <v>329</v>
      </c>
      <c r="DV1281" s="340">
        <v>127.02</v>
      </c>
      <c r="DW1281" s="340" t="s">
        <v>331</v>
      </c>
      <c r="DX1281" s="1671"/>
    </row>
    <row r="1282" spans="12:128">
      <c r="L1282" s="2481">
        <v>11.02</v>
      </c>
      <c r="M1282" s="340" t="s">
        <v>329</v>
      </c>
      <c r="N1282" s="1390"/>
      <c r="O1282" s="2479"/>
      <c r="P1282" s="2282"/>
      <c r="AG1282" s="2297">
        <v>128.03</v>
      </c>
      <c r="AH1282" s="2297" t="s">
        <v>344</v>
      </c>
      <c r="AI1282" s="1390"/>
      <c r="AJ1282" s="2282"/>
      <c r="AK1282" s="2282"/>
      <c r="AL1282" s="1037"/>
      <c r="AX1282" s="340">
        <v>19.09</v>
      </c>
      <c r="AY1282" s="340" t="s">
        <v>328</v>
      </c>
      <c r="BN1282" s="340">
        <v>121.26</v>
      </c>
      <c r="BO1282" s="340" t="s">
        <v>344</v>
      </c>
      <c r="BP1282" s="1385"/>
      <c r="BV1282" s="236">
        <v>407.01</v>
      </c>
      <c r="BW1282" s="236" t="s">
        <v>314</v>
      </c>
      <c r="CB1282" s="340">
        <v>17.010000000000002</v>
      </c>
      <c r="CC1282" s="340" t="s">
        <v>328</v>
      </c>
      <c r="CL1282" s="236">
        <v>64.02</v>
      </c>
      <c r="CM1282" s="236" t="s">
        <v>331</v>
      </c>
      <c r="CR1282" s="340">
        <v>122.09</v>
      </c>
      <c r="CS1282" s="340" t="s">
        <v>316</v>
      </c>
      <c r="CT1282" s="1384"/>
      <c r="DF1282" s="340">
        <v>10.119999999999999</v>
      </c>
      <c r="DG1282" s="340" t="s">
        <v>329</v>
      </c>
      <c r="DV1282" s="340">
        <v>127.03</v>
      </c>
      <c r="DW1282" s="340" t="s">
        <v>302</v>
      </c>
      <c r="DX1282" s="1671"/>
    </row>
    <row r="1283" spans="12:128">
      <c r="L1283" s="2481">
        <v>11.03</v>
      </c>
      <c r="M1283" s="340" t="s">
        <v>329</v>
      </c>
      <c r="N1283" s="1390"/>
      <c r="O1283" s="2479"/>
      <c r="P1283" s="2282"/>
      <c r="AG1283" s="2297">
        <v>128.04</v>
      </c>
      <c r="AH1283" s="2297" t="s">
        <v>344</v>
      </c>
      <c r="AI1283" s="1390"/>
      <c r="AJ1283" s="2282"/>
      <c r="AK1283" s="2282"/>
      <c r="AL1283" s="1037"/>
      <c r="AX1283" s="340">
        <v>19.100000000000001</v>
      </c>
      <c r="AY1283" s="340" t="s">
        <v>328</v>
      </c>
      <c r="BN1283" s="340">
        <v>121.27</v>
      </c>
      <c r="BO1283" s="340" t="s">
        <v>344</v>
      </c>
      <c r="BP1283" s="1385"/>
      <c r="BV1283" s="236">
        <v>407.02</v>
      </c>
      <c r="BW1283" s="236" t="s">
        <v>314</v>
      </c>
      <c r="CB1283" s="340">
        <v>17.05</v>
      </c>
      <c r="CC1283" s="340" t="s">
        <v>328</v>
      </c>
      <c r="CL1283" s="236">
        <v>64.02</v>
      </c>
      <c r="CM1283" s="236" t="s">
        <v>340</v>
      </c>
      <c r="CR1283" s="340">
        <v>122.09</v>
      </c>
      <c r="CS1283" s="340" t="s">
        <v>344</v>
      </c>
      <c r="CT1283" s="1384"/>
      <c r="DF1283" s="340">
        <v>10.130000000000001</v>
      </c>
      <c r="DG1283" s="340" t="s">
        <v>329</v>
      </c>
      <c r="DV1283" s="340">
        <v>128</v>
      </c>
      <c r="DW1283" s="340" t="s">
        <v>338</v>
      </c>
      <c r="DX1283" s="1671"/>
    </row>
    <row r="1284" spans="12:128">
      <c r="L1284" s="2481">
        <v>11.05</v>
      </c>
      <c r="M1284" s="340" t="s">
        <v>329</v>
      </c>
      <c r="N1284" s="1390"/>
      <c r="O1284" s="2479"/>
      <c r="P1284" s="2282"/>
      <c r="AG1284" s="2297">
        <v>129</v>
      </c>
      <c r="AH1284" s="2297" t="s">
        <v>338</v>
      </c>
      <c r="AI1284" s="1390"/>
      <c r="AJ1284" s="2282"/>
      <c r="AK1284" s="2282"/>
      <c r="AL1284" s="1037"/>
      <c r="AX1284" s="340">
        <v>19.11</v>
      </c>
      <c r="AY1284" s="340" t="s">
        <v>328</v>
      </c>
      <c r="BN1284" s="340">
        <v>121.3</v>
      </c>
      <c r="BO1284" s="340" t="s">
        <v>344</v>
      </c>
      <c r="BP1284" s="1385"/>
      <c r="BV1284" s="236">
        <v>408.01</v>
      </c>
      <c r="BW1284" s="236" t="s">
        <v>314</v>
      </c>
      <c r="CB1284" s="340">
        <v>18.010000000000002</v>
      </c>
      <c r="CC1284" s="340" t="s">
        <v>328</v>
      </c>
      <c r="CL1284" s="236">
        <v>64.03</v>
      </c>
      <c r="CM1284" s="236" t="s">
        <v>331</v>
      </c>
      <c r="CR1284" s="340">
        <v>122.1</v>
      </c>
      <c r="CS1284" s="340" t="s">
        <v>316</v>
      </c>
      <c r="CT1284" s="1384"/>
      <c r="DF1284" s="340">
        <v>11.03</v>
      </c>
      <c r="DG1284" s="340" t="s">
        <v>329</v>
      </c>
      <c r="DV1284" s="340">
        <v>128.01</v>
      </c>
      <c r="DW1284" s="340" t="s">
        <v>331</v>
      </c>
      <c r="DX1284" s="1671"/>
    </row>
    <row r="1285" spans="12:128">
      <c r="L1285" s="2481">
        <v>12.05</v>
      </c>
      <c r="M1285" s="340" t="s">
        <v>329</v>
      </c>
      <c r="N1285" s="1390"/>
      <c r="O1285" s="2479"/>
      <c r="P1285" s="2282"/>
      <c r="AG1285" s="2297">
        <v>130</v>
      </c>
      <c r="AH1285" s="2297" t="s">
        <v>302</v>
      </c>
      <c r="AI1285" s="1390"/>
      <c r="AJ1285" s="2282"/>
      <c r="AK1285" s="2282"/>
      <c r="AL1285" s="1037"/>
      <c r="AX1285" s="340">
        <v>19.13</v>
      </c>
      <c r="AY1285" s="340" t="s">
        <v>328</v>
      </c>
      <c r="BN1285" s="340">
        <v>121.31</v>
      </c>
      <c r="BO1285" s="340" t="s">
        <v>344</v>
      </c>
      <c r="BP1285" s="1385"/>
      <c r="BV1285" s="236">
        <v>408.02</v>
      </c>
      <c r="BW1285" s="236" t="s">
        <v>314</v>
      </c>
      <c r="CB1285" s="340">
        <v>18.02</v>
      </c>
      <c r="CC1285" s="340" t="s">
        <v>328</v>
      </c>
      <c r="CL1285" s="236">
        <v>65.010000000000005</v>
      </c>
      <c r="CM1285" s="236" t="s">
        <v>316</v>
      </c>
      <c r="CR1285" s="340">
        <v>122.13</v>
      </c>
      <c r="CS1285" s="340" t="s">
        <v>316</v>
      </c>
      <c r="CT1285" s="1384"/>
      <c r="DF1285" s="340">
        <v>12.05</v>
      </c>
      <c r="DG1285" s="340" t="s">
        <v>329</v>
      </c>
      <c r="DV1285" s="340">
        <v>128.02000000000001</v>
      </c>
      <c r="DW1285" s="340" t="s">
        <v>331</v>
      </c>
      <c r="DX1285" s="1671"/>
    </row>
    <row r="1286" spans="12:128">
      <c r="L1286" s="2481">
        <v>12.08</v>
      </c>
      <c r="M1286" s="340" t="s">
        <v>329</v>
      </c>
      <c r="N1286" s="1390"/>
      <c r="O1286" s="2479"/>
      <c r="P1286" s="2282"/>
      <c r="AG1286" s="2297">
        <v>130</v>
      </c>
      <c r="AH1286" s="2297" t="s">
        <v>331</v>
      </c>
      <c r="AI1286" s="1390"/>
      <c r="AJ1286" s="2282"/>
      <c r="AK1286" s="2282"/>
      <c r="AL1286" s="1037"/>
      <c r="AX1286" s="340">
        <v>19.14</v>
      </c>
      <c r="AY1286" s="340" t="s">
        <v>328</v>
      </c>
      <c r="BN1286" s="340">
        <v>121.32</v>
      </c>
      <c r="BO1286" s="340" t="s">
        <v>344</v>
      </c>
      <c r="BP1286" s="1385"/>
      <c r="BV1286" s="236">
        <v>409.01</v>
      </c>
      <c r="BW1286" s="236" t="s">
        <v>314</v>
      </c>
      <c r="CB1286" s="340">
        <v>19.04</v>
      </c>
      <c r="CC1286" s="340" t="s">
        <v>328</v>
      </c>
      <c r="CL1286" s="236">
        <v>65.010000000000005</v>
      </c>
      <c r="CM1286" s="236" t="s">
        <v>331</v>
      </c>
      <c r="CR1286" s="340">
        <v>123</v>
      </c>
      <c r="CS1286" s="340" t="s">
        <v>302</v>
      </c>
      <c r="CT1286" s="1384"/>
      <c r="DF1286" s="340">
        <v>12.08</v>
      </c>
      <c r="DG1286" s="340" t="s">
        <v>329</v>
      </c>
      <c r="DV1286" s="340">
        <v>128.02000000000001</v>
      </c>
      <c r="DW1286" s="340" t="s">
        <v>344</v>
      </c>
      <c r="DX1286" s="1671"/>
    </row>
    <row r="1287" spans="12:128">
      <c r="L1287" s="2481">
        <v>12.09</v>
      </c>
      <c r="M1287" s="340" t="s">
        <v>329</v>
      </c>
      <c r="N1287" s="1390"/>
      <c r="O1287" s="2479"/>
      <c r="P1287" s="2282"/>
      <c r="AG1287" s="2297">
        <v>130.01</v>
      </c>
      <c r="AH1287" s="2297" t="s">
        <v>344</v>
      </c>
      <c r="AI1287" s="1390"/>
      <c r="AJ1287" s="2282"/>
      <c r="AK1287" s="2282"/>
      <c r="AL1287" s="1037"/>
      <c r="AX1287" s="340">
        <v>19.149999999999999</v>
      </c>
      <c r="AY1287" s="340" t="s">
        <v>328</v>
      </c>
      <c r="BN1287" s="340">
        <v>121.33</v>
      </c>
      <c r="BO1287" s="340" t="s">
        <v>344</v>
      </c>
      <c r="BP1287" s="1385"/>
      <c r="BV1287" s="236">
        <v>409.06</v>
      </c>
      <c r="BW1287" s="236" t="s">
        <v>314</v>
      </c>
      <c r="CB1287" s="340">
        <v>19.07</v>
      </c>
      <c r="CC1287" s="340" t="s">
        <v>328</v>
      </c>
      <c r="CL1287" s="236">
        <v>65.010000000000005</v>
      </c>
      <c r="CM1287" s="236" t="s">
        <v>340</v>
      </c>
      <c r="CR1287" s="340">
        <v>123.01</v>
      </c>
      <c r="CS1287" s="340" t="s">
        <v>316</v>
      </c>
      <c r="CT1287" s="1384"/>
      <c r="DF1287" s="340">
        <v>12.09</v>
      </c>
      <c r="DG1287" s="340" t="s">
        <v>329</v>
      </c>
      <c r="DV1287" s="340">
        <v>128.03</v>
      </c>
      <c r="DW1287" s="340" t="s">
        <v>344</v>
      </c>
      <c r="DX1287" s="1671"/>
    </row>
    <row r="1288" spans="12:128">
      <c r="L1288" s="2481">
        <v>12.1</v>
      </c>
      <c r="M1288" s="340" t="s">
        <v>329</v>
      </c>
      <c r="N1288" s="1390"/>
      <c r="O1288" s="2479"/>
      <c r="P1288" s="2282"/>
      <c r="AG1288" s="2297">
        <v>130.02000000000001</v>
      </c>
      <c r="AH1288" s="2297" t="s">
        <v>316</v>
      </c>
      <c r="AI1288" s="1390"/>
      <c r="AJ1288" s="2282"/>
      <c r="AK1288" s="2282"/>
      <c r="AL1288" s="1037"/>
      <c r="AX1288" s="340">
        <v>19.16</v>
      </c>
      <c r="AY1288" s="340" t="s">
        <v>328</v>
      </c>
      <c r="BN1288" s="340">
        <v>122</v>
      </c>
      <c r="BO1288" s="340" t="s">
        <v>331</v>
      </c>
      <c r="BP1288" s="1385"/>
      <c r="BV1288" s="236">
        <v>409.07</v>
      </c>
      <c r="BW1288" s="236" t="s">
        <v>314</v>
      </c>
      <c r="CB1288" s="340">
        <v>19.079999999999998</v>
      </c>
      <c r="CC1288" s="340" t="s">
        <v>328</v>
      </c>
      <c r="CL1288" s="236">
        <v>65.02</v>
      </c>
      <c r="CM1288" s="236" t="s">
        <v>340</v>
      </c>
      <c r="CR1288" s="340">
        <v>123.01</v>
      </c>
      <c r="CS1288" s="340" t="s">
        <v>331</v>
      </c>
      <c r="CT1288" s="1384"/>
      <c r="DF1288" s="340">
        <v>12.1</v>
      </c>
      <c r="DG1288" s="340" t="s">
        <v>329</v>
      </c>
      <c r="DV1288" s="340">
        <v>128.04</v>
      </c>
      <c r="DW1288" s="340" t="s">
        <v>344</v>
      </c>
      <c r="DX1288" s="1671"/>
    </row>
    <row r="1289" spans="12:128">
      <c r="L1289" s="2481">
        <v>13.01</v>
      </c>
      <c r="M1289" s="340" t="s">
        <v>329</v>
      </c>
      <c r="N1289" s="1390"/>
      <c r="O1289" s="2479"/>
      <c r="P1289" s="2282"/>
      <c r="AG1289" s="2297">
        <v>130.04</v>
      </c>
      <c r="AH1289" s="2297" t="s">
        <v>316</v>
      </c>
      <c r="AI1289" s="1390"/>
      <c r="AJ1289" s="2282"/>
      <c r="AK1289" s="2282"/>
      <c r="AL1289" s="1037"/>
      <c r="AX1289" s="340">
        <v>20.03</v>
      </c>
      <c r="AY1289" s="340" t="s">
        <v>328</v>
      </c>
      <c r="BN1289" s="340">
        <v>122.08</v>
      </c>
      <c r="BO1289" s="340" t="s">
        <v>316</v>
      </c>
      <c r="BP1289" s="1385"/>
      <c r="BV1289" s="236">
        <v>409.08</v>
      </c>
      <c r="BW1289" s="236" t="s">
        <v>314</v>
      </c>
      <c r="CB1289" s="340">
        <v>19.09</v>
      </c>
      <c r="CC1289" s="340" t="s">
        <v>328</v>
      </c>
      <c r="CL1289" s="236">
        <v>65.03</v>
      </c>
      <c r="CM1289" s="236" t="s">
        <v>316</v>
      </c>
      <c r="CR1289" s="340">
        <v>123.02</v>
      </c>
      <c r="CS1289" s="340" t="s">
        <v>331</v>
      </c>
      <c r="CT1289" s="1384"/>
      <c r="DF1289" s="340">
        <v>13.01</v>
      </c>
      <c r="DG1289" s="340" t="s">
        <v>329</v>
      </c>
      <c r="DV1289" s="340">
        <v>129</v>
      </c>
      <c r="DW1289" s="340" t="s">
        <v>331</v>
      </c>
      <c r="DX1289" s="1671"/>
    </row>
    <row r="1290" spans="12:128">
      <c r="L1290" s="2481">
        <v>13.02</v>
      </c>
      <c r="M1290" s="340" t="s">
        <v>329</v>
      </c>
      <c r="N1290" s="1390"/>
      <c r="O1290" s="2479"/>
      <c r="P1290" s="2282"/>
      <c r="AG1290" s="2297">
        <v>131</v>
      </c>
      <c r="AH1290" s="2297" t="s">
        <v>302</v>
      </c>
      <c r="AI1290" s="1390"/>
      <c r="AJ1290" s="2282"/>
      <c r="AK1290" s="2282"/>
      <c r="AL1290" s="1037"/>
      <c r="AX1290" s="340">
        <v>20.05</v>
      </c>
      <c r="AY1290" s="340" t="s">
        <v>328</v>
      </c>
      <c r="BN1290" s="340">
        <v>122.08</v>
      </c>
      <c r="BO1290" s="340" t="s">
        <v>344</v>
      </c>
      <c r="BP1290" s="1385"/>
      <c r="BV1290" s="236">
        <v>409.09</v>
      </c>
      <c r="BW1290" s="236" t="s">
        <v>314</v>
      </c>
      <c r="CB1290" s="340">
        <v>19.100000000000001</v>
      </c>
      <c r="CC1290" s="340" t="s">
        <v>328</v>
      </c>
      <c r="CL1290" s="236">
        <v>65.03</v>
      </c>
      <c r="CM1290" s="236" t="s">
        <v>331</v>
      </c>
      <c r="CR1290" s="340">
        <v>123.03</v>
      </c>
      <c r="CS1290" s="340" t="s">
        <v>316</v>
      </c>
      <c r="CT1290" s="1384"/>
      <c r="DF1290" s="340">
        <v>13.02</v>
      </c>
      <c r="DG1290" s="340" t="s">
        <v>329</v>
      </c>
      <c r="DV1290" s="340">
        <v>129</v>
      </c>
      <c r="DW1290" s="340" t="s">
        <v>338</v>
      </c>
      <c r="DX1290" s="1671"/>
    </row>
    <row r="1291" spans="12:128">
      <c r="L1291" s="2481">
        <v>14.03</v>
      </c>
      <c r="M1291" s="340" t="s">
        <v>329</v>
      </c>
      <c r="N1291" s="1390"/>
      <c r="O1291" s="2479"/>
      <c r="P1291" s="2282"/>
      <c r="AG1291" s="2297">
        <v>131.01</v>
      </c>
      <c r="AH1291" s="2297" t="s">
        <v>344</v>
      </c>
      <c r="AI1291" s="1390"/>
      <c r="AJ1291" s="2282"/>
      <c r="AK1291" s="2282"/>
      <c r="AL1291" s="1037"/>
      <c r="AX1291" s="340">
        <v>20.079999999999998</v>
      </c>
      <c r="AY1291" s="340" t="s">
        <v>328</v>
      </c>
      <c r="BN1291" s="340">
        <v>122.09</v>
      </c>
      <c r="BO1291" s="340" t="s">
        <v>316</v>
      </c>
      <c r="BP1291" s="1385"/>
      <c r="BV1291" s="236">
        <v>409.1</v>
      </c>
      <c r="BW1291" s="236" t="s">
        <v>314</v>
      </c>
      <c r="CB1291" s="340">
        <v>19.11</v>
      </c>
      <c r="CC1291" s="340" t="s">
        <v>328</v>
      </c>
      <c r="CL1291" s="236">
        <v>65.040000000000006</v>
      </c>
      <c r="CM1291" s="236" t="s">
        <v>316</v>
      </c>
      <c r="CR1291" s="340">
        <v>123.04</v>
      </c>
      <c r="CS1291" s="340" t="s">
        <v>316</v>
      </c>
      <c r="CT1291" s="1384"/>
      <c r="DF1291" s="340">
        <v>14.03</v>
      </c>
      <c r="DG1291" s="340" t="s">
        <v>329</v>
      </c>
      <c r="DV1291" s="340">
        <v>129</v>
      </c>
      <c r="DW1291" s="340" t="s">
        <v>344</v>
      </c>
      <c r="DX1291" s="1671"/>
    </row>
    <row r="1292" spans="12:128">
      <c r="L1292" s="2481">
        <v>16</v>
      </c>
      <c r="M1292" s="340" t="s">
        <v>329</v>
      </c>
      <c r="N1292" s="1390"/>
      <c r="O1292" s="2479"/>
      <c r="P1292" s="2282"/>
      <c r="AG1292" s="2297">
        <v>131.03</v>
      </c>
      <c r="AH1292" s="2297" t="s">
        <v>344</v>
      </c>
      <c r="AI1292" s="1390"/>
      <c r="AJ1292" s="2282"/>
      <c r="AK1292" s="2282"/>
      <c r="AL1292" s="1037"/>
      <c r="AX1292" s="340">
        <v>20.100000000000001</v>
      </c>
      <c r="AY1292" s="340" t="s">
        <v>328</v>
      </c>
      <c r="BN1292" s="340">
        <v>122.09</v>
      </c>
      <c r="BO1292" s="340" t="s">
        <v>344</v>
      </c>
      <c r="BP1292" s="1385"/>
      <c r="BV1292" s="236">
        <v>409.11</v>
      </c>
      <c r="BW1292" s="236" t="s">
        <v>314</v>
      </c>
      <c r="CB1292" s="340">
        <v>19.13</v>
      </c>
      <c r="CC1292" s="340" t="s">
        <v>328</v>
      </c>
      <c r="CL1292" s="236">
        <v>65.040000000000006</v>
      </c>
      <c r="CM1292" s="236" t="s">
        <v>331</v>
      </c>
      <c r="CR1292" s="340">
        <v>123.04</v>
      </c>
      <c r="CS1292" s="340" t="s">
        <v>344</v>
      </c>
      <c r="CT1292" s="1384"/>
      <c r="DF1292" s="340">
        <v>19</v>
      </c>
      <c r="DG1292" s="340" t="s">
        <v>329</v>
      </c>
      <c r="DV1292" s="340">
        <v>130</v>
      </c>
      <c r="DW1292" s="340" t="s">
        <v>302</v>
      </c>
      <c r="DX1292" s="1671"/>
    </row>
    <row r="1293" spans="12:128">
      <c r="L1293" s="2481">
        <v>19</v>
      </c>
      <c r="M1293" s="340" t="s">
        <v>329</v>
      </c>
      <c r="N1293" s="1390"/>
      <c r="O1293" s="2479"/>
      <c r="P1293" s="2282"/>
      <c r="AG1293" s="2297">
        <v>132.01</v>
      </c>
      <c r="AH1293" s="2297" t="s">
        <v>331</v>
      </c>
      <c r="AI1293" s="1390"/>
      <c r="AJ1293" s="2282"/>
      <c r="AK1293" s="2282"/>
      <c r="AL1293" s="1037"/>
      <c r="AX1293" s="340">
        <v>20.11</v>
      </c>
      <c r="AY1293" s="340" t="s">
        <v>328</v>
      </c>
      <c r="BN1293" s="340">
        <v>122.1</v>
      </c>
      <c r="BO1293" s="340" t="s">
        <v>316</v>
      </c>
      <c r="BP1293" s="1385"/>
      <c r="BV1293" s="236">
        <v>409.12</v>
      </c>
      <c r="BW1293" s="236" t="s">
        <v>314</v>
      </c>
      <c r="CB1293" s="340">
        <v>19.14</v>
      </c>
      <c r="CC1293" s="340" t="s">
        <v>328</v>
      </c>
      <c r="CL1293" s="236">
        <v>66</v>
      </c>
      <c r="CM1293" s="236" t="s">
        <v>316</v>
      </c>
      <c r="CR1293" s="340">
        <v>123.07</v>
      </c>
      <c r="CS1293" s="340" t="s">
        <v>344</v>
      </c>
      <c r="CT1293" s="1384"/>
      <c r="DF1293" s="340">
        <v>21</v>
      </c>
      <c r="DG1293" s="340" t="s">
        <v>329</v>
      </c>
      <c r="DV1293" s="340">
        <v>130</v>
      </c>
      <c r="DW1293" s="340" t="s">
        <v>331</v>
      </c>
      <c r="DX1293" s="1671"/>
    </row>
    <row r="1294" spans="12:128">
      <c r="L1294" s="2481">
        <v>21</v>
      </c>
      <c r="M1294" s="340" t="s">
        <v>329</v>
      </c>
      <c r="N1294" s="1390"/>
      <c r="O1294" s="2479"/>
      <c r="P1294" s="2282"/>
      <c r="AG1294" s="2297">
        <v>132.02000000000001</v>
      </c>
      <c r="AH1294" s="2297" t="s">
        <v>331</v>
      </c>
      <c r="AI1294" s="1390"/>
      <c r="AJ1294" s="2282"/>
      <c r="AK1294" s="2282"/>
      <c r="AL1294" s="1037"/>
      <c r="AX1294" s="340">
        <v>20.12</v>
      </c>
      <c r="AY1294" s="340" t="s">
        <v>328</v>
      </c>
      <c r="BN1294" s="340">
        <v>122.12</v>
      </c>
      <c r="BO1294" s="340" t="s">
        <v>316</v>
      </c>
      <c r="BP1294" s="1385"/>
      <c r="BV1294" s="236">
        <v>409.13</v>
      </c>
      <c r="BW1294" s="236" t="s">
        <v>314</v>
      </c>
      <c r="CB1294" s="340">
        <v>19.149999999999999</v>
      </c>
      <c r="CC1294" s="340" t="s">
        <v>328</v>
      </c>
      <c r="CL1294" s="236">
        <v>66.02</v>
      </c>
      <c r="CM1294" s="236" t="s">
        <v>340</v>
      </c>
      <c r="CR1294" s="340">
        <v>124</v>
      </c>
      <c r="CS1294" s="340" t="s">
        <v>302</v>
      </c>
      <c r="CT1294" s="1384"/>
      <c r="DF1294" s="340">
        <v>22.01</v>
      </c>
      <c r="DG1294" s="340" t="s">
        <v>329</v>
      </c>
      <c r="DV1294" s="340">
        <v>130.01</v>
      </c>
      <c r="DW1294" s="340" t="s">
        <v>344</v>
      </c>
      <c r="DX1294" s="1671"/>
    </row>
    <row r="1295" spans="12:128">
      <c r="L1295" s="2481">
        <v>22.01</v>
      </c>
      <c r="M1295" s="340" t="s">
        <v>329</v>
      </c>
      <c r="N1295" s="1390"/>
      <c r="O1295" s="2479"/>
      <c r="P1295" s="2282"/>
      <c r="AG1295" s="2297">
        <v>132.03</v>
      </c>
      <c r="AH1295" s="2297" t="s">
        <v>316</v>
      </c>
      <c r="AI1295" s="1390"/>
      <c r="AJ1295" s="2282"/>
      <c r="AK1295" s="2282"/>
      <c r="AL1295" s="1037"/>
      <c r="AX1295" s="340">
        <v>20.14</v>
      </c>
      <c r="AY1295" s="340" t="s">
        <v>328</v>
      </c>
      <c r="BN1295" s="340">
        <v>122.13</v>
      </c>
      <c r="BO1295" s="340" t="s">
        <v>316</v>
      </c>
      <c r="BP1295" s="1385"/>
      <c r="BV1295" s="236">
        <v>410.03</v>
      </c>
      <c r="BW1295" s="236" t="s">
        <v>314</v>
      </c>
      <c r="CB1295" s="340">
        <v>19.16</v>
      </c>
      <c r="CC1295" s="340" t="s">
        <v>328</v>
      </c>
      <c r="CL1295" s="236">
        <v>66.03</v>
      </c>
      <c r="CM1295" s="236" t="s">
        <v>331</v>
      </c>
      <c r="CR1295" s="340">
        <v>124.01</v>
      </c>
      <c r="CS1295" s="340" t="s">
        <v>331</v>
      </c>
      <c r="CT1295" s="1384"/>
      <c r="DF1295" s="340">
        <v>22.02</v>
      </c>
      <c r="DG1295" s="340" t="s">
        <v>329</v>
      </c>
      <c r="DV1295" s="340">
        <v>131</v>
      </c>
      <c r="DW1295" s="340" t="s">
        <v>302</v>
      </c>
      <c r="DX1295" s="1671"/>
    </row>
    <row r="1296" spans="12:128">
      <c r="L1296" s="2481">
        <v>22.03</v>
      </c>
      <c r="M1296" s="340" t="s">
        <v>329</v>
      </c>
      <c r="N1296" s="1390"/>
      <c r="O1296" s="2479"/>
      <c r="P1296" s="2282"/>
      <c r="AG1296" s="2297">
        <v>132.05000000000001</v>
      </c>
      <c r="AH1296" s="2297" t="s">
        <v>316</v>
      </c>
      <c r="AI1296" s="1390"/>
      <c r="AJ1296" s="2282"/>
      <c r="AK1296" s="2282"/>
      <c r="AL1296" s="1037"/>
      <c r="AX1296" s="340">
        <v>20.16</v>
      </c>
      <c r="AY1296" s="340" t="s">
        <v>328</v>
      </c>
      <c r="BN1296" s="340">
        <v>123.01</v>
      </c>
      <c r="BO1296" s="340" t="s">
        <v>316</v>
      </c>
      <c r="BP1296" s="1385"/>
      <c r="BV1296" s="236">
        <v>410.04</v>
      </c>
      <c r="BW1296" s="236" t="s">
        <v>314</v>
      </c>
      <c r="CB1296" s="340">
        <v>20.03</v>
      </c>
      <c r="CC1296" s="340" t="s">
        <v>328</v>
      </c>
      <c r="CL1296" s="236">
        <v>66.040000000000006</v>
      </c>
      <c r="CM1296" s="236" t="s">
        <v>331</v>
      </c>
      <c r="CR1296" s="340">
        <v>124.02</v>
      </c>
      <c r="CS1296" s="340" t="s">
        <v>331</v>
      </c>
      <c r="CT1296" s="1384"/>
      <c r="DF1296" s="340">
        <v>22.03</v>
      </c>
      <c r="DG1296" s="340" t="s">
        <v>329</v>
      </c>
      <c r="DV1296" s="340">
        <v>131.01</v>
      </c>
      <c r="DW1296" s="340" t="s">
        <v>344</v>
      </c>
      <c r="DX1296" s="1671"/>
    </row>
    <row r="1297" spans="12:128">
      <c r="L1297" s="2481">
        <v>23.02</v>
      </c>
      <c r="M1297" s="340" t="s">
        <v>329</v>
      </c>
      <c r="N1297" s="1390"/>
      <c r="O1297" s="2479"/>
      <c r="P1297" s="2282"/>
      <c r="AG1297" s="2297">
        <v>132.06</v>
      </c>
      <c r="AH1297" s="2297" t="s">
        <v>316</v>
      </c>
      <c r="AI1297" s="1390"/>
      <c r="AJ1297" s="2282"/>
      <c r="AK1297" s="2282"/>
      <c r="AL1297" s="1037"/>
      <c r="AX1297" s="340">
        <v>20.170000000000002</v>
      </c>
      <c r="AY1297" s="340" t="s">
        <v>328</v>
      </c>
      <c r="BN1297" s="340">
        <v>123.01</v>
      </c>
      <c r="BO1297" s="340" t="s">
        <v>331</v>
      </c>
      <c r="BP1297" s="1385"/>
      <c r="BV1297" s="236">
        <v>410.05</v>
      </c>
      <c r="BW1297" s="236" t="s">
        <v>314</v>
      </c>
      <c r="CB1297" s="340">
        <v>20.05</v>
      </c>
      <c r="CC1297" s="340" t="s">
        <v>328</v>
      </c>
      <c r="CL1297" s="236">
        <v>66.040000000000006</v>
      </c>
      <c r="CM1297" s="236" t="s">
        <v>340</v>
      </c>
      <c r="CR1297" s="340">
        <v>124.03</v>
      </c>
      <c r="CS1297" s="340" t="s">
        <v>316</v>
      </c>
      <c r="CT1297" s="1384"/>
      <c r="DF1297" s="340">
        <v>23.02</v>
      </c>
      <c r="DG1297" s="340" t="s">
        <v>329</v>
      </c>
      <c r="DV1297" s="340">
        <v>131.03</v>
      </c>
      <c r="DW1297" s="340" t="s">
        <v>344</v>
      </c>
      <c r="DX1297" s="1671"/>
    </row>
    <row r="1298" spans="12:128">
      <c r="L1298" s="2481">
        <v>23.04</v>
      </c>
      <c r="M1298" s="340" t="s">
        <v>329</v>
      </c>
      <c r="N1298" s="1390"/>
      <c r="O1298" s="2479"/>
      <c r="P1298" s="2282"/>
      <c r="AG1298" s="2297">
        <v>132.07</v>
      </c>
      <c r="AH1298" s="2297" t="s">
        <v>316</v>
      </c>
      <c r="AI1298" s="1390"/>
      <c r="AJ1298" s="2282"/>
      <c r="AK1298" s="2282"/>
      <c r="AL1298" s="1037"/>
      <c r="AX1298" s="340">
        <v>20.18</v>
      </c>
      <c r="AY1298" s="340" t="s">
        <v>328</v>
      </c>
      <c r="BN1298" s="340">
        <v>123.02</v>
      </c>
      <c r="BO1298" s="340" t="s">
        <v>331</v>
      </c>
      <c r="BP1298" s="1385"/>
      <c r="BV1298" s="236">
        <v>410.06</v>
      </c>
      <c r="BW1298" s="236" t="s">
        <v>314</v>
      </c>
      <c r="CB1298" s="340">
        <v>20.079999999999998</v>
      </c>
      <c r="CC1298" s="340" t="s">
        <v>328</v>
      </c>
      <c r="CL1298" s="236">
        <v>66.05</v>
      </c>
      <c r="CM1298" s="236" t="s">
        <v>331</v>
      </c>
      <c r="CR1298" s="340">
        <v>124.03</v>
      </c>
      <c r="CS1298" s="340" t="s">
        <v>331</v>
      </c>
      <c r="CT1298" s="1384"/>
      <c r="DF1298" s="340">
        <v>23.04</v>
      </c>
      <c r="DG1298" s="340" t="s">
        <v>329</v>
      </c>
      <c r="DV1298" s="340">
        <v>132</v>
      </c>
      <c r="DW1298" s="340" t="s">
        <v>302</v>
      </c>
      <c r="DX1298" s="1671"/>
    </row>
    <row r="1299" spans="12:128">
      <c r="L1299" s="2481">
        <v>24.01</v>
      </c>
      <c r="M1299" s="340" t="s">
        <v>329</v>
      </c>
      <c r="N1299" s="1390"/>
      <c r="O1299" s="2479"/>
      <c r="P1299" s="2282"/>
      <c r="AG1299" s="2297">
        <v>132.08000000000001</v>
      </c>
      <c r="AH1299" s="2297" t="s">
        <v>316</v>
      </c>
      <c r="AI1299" s="1390"/>
      <c r="AJ1299" s="2282"/>
      <c r="AK1299" s="2282"/>
      <c r="AL1299" s="1037"/>
      <c r="AX1299" s="340">
        <v>20.190000000000001</v>
      </c>
      <c r="AY1299" s="340" t="s">
        <v>328</v>
      </c>
      <c r="BN1299" s="340">
        <v>123.03</v>
      </c>
      <c r="BO1299" s="340" t="s">
        <v>316</v>
      </c>
      <c r="BP1299" s="1385"/>
      <c r="BV1299" s="236">
        <v>411.03</v>
      </c>
      <c r="BW1299" s="236" t="s">
        <v>314</v>
      </c>
      <c r="CB1299" s="340">
        <v>20.100000000000001</v>
      </c>
      <c r="CC1299" s="340" t="s">
        <v>328</v>
      </c>
      <c r="CL1299" s="236">
        <v>66.06</v>
      </c>
      <c r="CM1299" s="236" t="s">
        <v>331</v>
      </c>
      <c r="CR1299" s="340">
        <v>124.05</v>
      </c>
      <c r="CS1299" s="340" t="s">
        <v>344</v>
      </c>
      <c r="CT1299" s="1384"/>
      <c r="DF1299" s="340">
        <v>24.01</v>
      </c>
      <c r="DG1299" s="340" t="s">
        <v>329</v>
      </c>
      <c r="DV1299" s="340">
        <v>132.01</v>
      </c>
      <c r="DW1299" s="340" t="s">
        <v>331</v>
      </c>
      <c r="DX1299" s="1671"/>
    </row>
    <row r="1300" spans="12:128">
      <c r="L1300" s="2481">
        <v>24.02</v>
      </c>
      <c r="M1300" s="340" t="s">
        <v>329</v>
      </c>
      <c r="N1300" s="1390"/>
      <c r="O1300" s="2479"/>
      <c r="P1300" s="2282"/>
      <c r="AG1300" s="2297">
        <v>133</v>
      </c>
      <c r="AH1300" s="2297" t="s">
        <v>338</v>
      </c>
      <c r="AI1300" s="1390"/>
      <c r="AJ1300" s="2282"/>
      <c r="AK1300" s="2282"/>
      <c r="AL1300" s="1037"/>
      <c r="AX1300" s="340">
        <v>20.2</v>
      </c>
      <c r="AY1300" s="340" t="s">
        <v>328</v>
      </c>
      <c r="BN1300" s="340">
        <v>123.03</v>
      </c>
      <c r="BO1300" s="340" t="s">
        <v>344</v>
      </c>
      <c r="BP1300" s="1385"/>
      <c r="BV1300" s="236">
        <v>411.04</v>
      </c>
      <c r="BW1300" s="236" t="s">
        <v>314</v>
      </c>
      <c r="CB1300" s="340">
        <v>20.12</v>
      </c>
      <c r="CC1300" s="340" t="s">
        <v>328</v>
      </c>
      <c r="CL1300" s="236">
        <v>66.06</v>
      </c>
      <c r="CM1300" s="236" t="s">
        <v>340</v>
      </c>
      <c r="CR1300" s="340">
        <v>124.07</v>
      </c>
      <c r="CS1300" s="340" t="s">
        <v>344</v>
      </c>
      <c r="CT1300" s="1384"/>
      <c r="DF1300" s="340">
        <v>24.02</v>
      </c>
      <c r="DG1300" s="340" t="s">
        <v>329</v>
      </c>
      <c r="DV1300" s="340">
        <v>132.03</v>
      </c>
      <c r="DW1300" s="340" t="s">
        <v>316</v>
      </c>
      <c r="DX1300" s="1671"/>
    </row>
    <row r="1301" spans="12:128">
      <c r="L1301" s="2481">
        <v>25.03</v>
      </c>
      <c r="M1301" s="340" t="s">
        <v>329</v>
      </c>
      <c r="N1301" s="1390"/>
      <c r="O1301" s="2479"/>
      <c r="P1301" s="2282"/>
      <c r="AG1301" s="2297">
        <v>133.01</v>
      </c>
      <c r="AH1301" s="2297" t="s">
        <v>302</v>
      </c>
      <c r="AI1301" s="1390"/>
      <c r="AJ1301" s="2282"/>
      <c r="AK1301" s="2282"/>
      <c r="AL1301" s="1037"/>
      <c r="AX1301" s="340">
        <v>20.21</v>
      </c>
      <c r="AY1301" s="340" t="s">
        <v>328</v>
      </c>
      <c r="BN1301" s="340">
        <v>123.04</v>
      </c>
      <c r="BO1301" s="340" t="s">
        <v>316</v>
      </c>
      <c r="BP1301" s="1385"/>
      <c r="BV1301" s="236">
        <v>411.05</v>
      </c>
      <c r="BW1301" s="236" t="s">
        <v>314</v>
      </c>
      <c r="CB1301" s="340">
        <v>20.14</v>
      </c>
      <c r="CC1301" s="340" t="s">
        <v>328</v>
      </c>
      <c r="CL1301" s="236">
        <v>66.069999999999993</v>
      </c>
      <c r="CM1301" s="236" t="s">
        <v>331</v>
      </c>
      <c r="CR1301" s="340">
        <v>124.08</v>
      </c>
      <c r="CS1301" s="340" t="s">
        <v>344</v>
      </c>
      <c r="CT1301" s="1384"/>
      <c r="DF1301" s="340">
        <v>25.03</v>
      </c>
      <c r="DG1301" s="340" t="s">
        <v>329</v>
      </c>
      <c r="DV1301" s="340">
        <v>132.05000000000001</v>
      </c>
      <c r="DW1301" s="340" t="s">
        <v>316</v>
      </c>
      <c r="DX1301" s="1671"/>
    </row>
    <row r="1302" spans="12:128">
      <c r="L1302" s="2481">
        <v>25.04</v>
      </c>
      <c r="M1302" s="340" t="s">
        <v>329</v>
      </c>
      <c r="N1302" s="1390"/>
      <c r="O1302" s="2479"/>
      <c r="P1302" s="2282"/>
      <c r="AG1302" s="2297">
        <v>133.01</v>
      </c>
      <c r="AH1302" s="2297" t="s">
        <v>331</v>
      </c>
      <c r="AI1302" s="1390"/>
      <c r="AJ1302" s="2282"/>
      <c r="AK1302" s="2282"/>
      <c r="AL1302" s="1037"/>
      <c r="AX1302" s="340">
        <v>20.22</v>
      </c>
      <c r="AY1302" s="340" t="s">
        <v>328</v>
      </c>
      <c r="BN1302" s="340">
        <v>123.04</v>
      </c>
      <c r="BO1302" s="340" t="s">
        <v>344</v>
      </c>
      <c r="BP1302" s="1385"/>
      <c r="BV1302" s="236">
        <v>411.06</v>
      </c>
      <c r="BW1302" s="236" t="s">
        <v>314</v>
      </c>
      <c r="CB1302" s="340">
        <v>20.16</v>
      </c>
      <c r="CC1302" s="340" t="s">
        <v>328</v>
      </c>
      <c r="CL1302" s="236">
        <v>66.069999999999993</v>
      </c>
      <c r="CM1302" s="236" t="s">
        <v>340</v>
      </c>
      <c r="CR1302" s="340">
        <v>124.09</v>
      </c>
      <c r="CS1302" s="340" t="s">
        <v>344</v>
      </c>
      <c r="CT1302" s="1384"/>
      <c r="DF1302" s="340">
        <v>25.04</v>
      </c>
      <c r="DG1302" s="340" t="s">
        <v>329</v>
      </c>
      <c r="DV1302" s="340">
        <v>132.06</v>
      </c>
      <c r="DW1302" s="340" t="s">
        <v>316</v>
      </c>
      <c r="DX1302" s="1671"/>
    </row>
    <row r="1303" spans="12:128">
      <c r="L1303" s="2481">
        <v>25.05</v>
      </c>
      <c r="M1303" s="340" t="s">
        <v>329</v>
      </c>
      <c r="N1303" s="1390"/>
      <c r="O1303" s="2479"/>
      <c r="P1303" s="2282"/>
      <c r="AG1303" s="2297">
        <v>133.02000000000001</v>
      </c>
      <c r="AH1303" s="2297" t="s">
        <v>331</v>
      </c>
      <c r="AI1303" s="1390"/>
      <c r="AJ1303" s="2282"/>
      <c r="AK1303" s="2282"/>
      <c r="AL1303" s="1037"/>
      <c r="AX1303" s="340">
        <v>20.23</v>
      </c>
      <c r="AY1303" s="340" t="s">
        <v>328</v>
      </c>
      <c r="BN1303" s="340">
        <v>123.07</v>
      </c>
      <c r="BO1303" s="340" t="s">
        <v>344</v>
      </c>
      <c r="BP1303" s="1385"/>
      <c r="BV1303" s="236">
        <v>412.01</v>
      </c>
      <c r="BW1303" s="236" t="s">
        <v>314</v>
      </c>
      <c r="CB1303" s="340">
        <v>20.170000000000002</v>
      </c>
      <c r="CC1303" s="340" t="s">
        <v>328</v>
      </c>
      <c r="CL1303" s="236">
        <v>66.08</v>
      </c>
      <c r="CM1303" s="236" t="s">
        <v>331</v>
      </c>
      <c r="CR1303" s="340">
        <v>124.1</v>
      </c>
      <c r="CS1303" s="340" t="s">
        <v>344</v>
      </c>
      <c r="CT1303" s="1384"/>
      <c r="DF1303" s="340">
        <v>25.07</v>
      </c>
      <c r="DG1303" s="340" t="s">
        <v>329</v>
      </c>
      <c r="DV1303" s="340">
        <v>132.07</v>
      </c>
      <c r="DW1303" s="340" t="s">
        <v>316</v>
      </c>
      <c r="DX1303" s="1671"/>
    </row>
    <row r="1304" spans="12:128">
      <c r="L1304" s="2481">
        <v>25.07</v>
      </c>
      <c r="M1304" s="340" t="s">
        <v>329</v>
      </c>
      <c r="N1304" s="1390"/>
      <c r="O1304" s="2479"/>
      <c r="P1304" s="2282"/>
      <c r="AG1304" s="2297">
        <v>133.05000000000001</v>
      </c>
      <c r="AH1304" s="2297" t="s">
        <v>316</v>
      </c>
      <c r="AI1304" s="1390"/>
      <c r="AJ1304" s="2282"/>
      <c r="AK1304" s="2282"/>
      <c r="AL1304" s="1037"/>
      <c r="AX1304" s="340">
        <v>20.239999999999998</v>
      </c>
      <c r="AY1304" s="340" t="s">
        <v>328</v>
      </c>
      <c r="BN1304" s="340">
        <v>124.01</v>
      </c>
      <c r="BO1304" s="340" t="s">
        <v>331</v>
      </c>
      <c r="BP1304" s="1385"/>
      <c r="BV1304" s="236">
        <v>412.03</v>
      </c>
      <c r="BW1304" s="236" t="s">
        <v>314</v>
      </c>
      <c r="CB1304" s="340">
        <v>20.18</v>
      </c>
      <c r="CC1304" s="340" t="s">
        <v>328</v>
      </c>
      <c r="CL1304" s="236">
        <v>67</v>
      </c>
      <c r="CM1304" s="236" t="s">
        <v>316</v>
      </c>
      <c r="CR1304" s="340">
        <v>124.11</v>
      </c>
      <c r="CS1304" s="340" t="s">
        <v>344</v>
      </c>
      <c r="CT1304" s="1384"/>
      <c r="DF1304" s="340">
        <v>26.04</v>
      </c>
      <c r="DG1304" s="340" t="s">
        <v>329</v>
      </c>
      <c r="DV1304" s="340">
        <v>132.08000000000001</v>
      </c>
      <c r="DW1304" s="340" t="s">
        <v>316</v>
      </c>
      <c r="DX1304" s="1671"/>
    </row>
    <row r="1305" spans="12:128">
      <c r="L1305" s="2481">
        <v>26.04</v>
      </c>
      <c r="M1305" s="340" t="s">
        <v>329</v>
      </c>
      <c r="N1305" s="1390"/>
      <c r="O1305" s="2479"/>
      <c r="P1305" s="2282"/>
      <c r="AG1305" s="2297">
        <v>133.1</v>
      </c>
      <c r="AH1305" s="2297" t="s">
        <v>316</v>
      </c>
      <c r="AI1305" s="1390"/>
      <c r="AJ1305" s="2282"/>
      <c r="AK1305" s="2282"/>
      <c r="AL1305" s="1037"/>
      <c r="AX1305" s="340">
        <v>20.25</v>
      </c>
      <c r="AY1305" s="340" t="s">
        <v>328</v>
      </c>
      <c r="BN1305" s="340">
        <v>124.02</v>
      </c>
      <c r="BO1305" s="340" t="s">
        <v>331</v>
      </c>
      <c r="BP1305" s="1385"/>
      <c r="BV1305" s="236">
        <v>412.04</v>
      </c>
      <c r="BW1305" s="236" t="s">
        <v>314</v>
      </c>
      <c r="CB1305" s="340">
        <v>20.190000000000001</v>
      </c>
      <c r="CC1305" s="340" t="s">
        <v>328</v>
      </c>
      <c r="CL1305" s="236">
        <v>67</v>
      </c>
      <c r="CM1305" s="236" t="s">
        <v>340</v>
      </c>
      <c r="CR1305" s="340">
        <v>124.12</v>
      </c>
      <c r="CS1305" s="340" t="s">
        <v>344</v>
      </c>
      <c r="CT1305" s="1384"/>
      <c r="DF1305" s="340">
        <v>26.05</v>
      </c>
      <c r="DG1305" s="340" t="s">
        <v>329</v>
      </c>
      <c r="DV1305" s="340">
        <v>133</v>
      </c>
      <c r="DW1305" s="340" t="s">
        <v>338</v>
      </c>
      <c r="DX1305" s="1671"/>
    </row>
    <row r="1306" spans="12:128">
      <c r="L1306" s="2481">
        <v>26.05</v>
      </c>
      <c r="M1306" s="340" t="s">
        <v>329</v>
      </c>
      <c r="N1306" s="1390"/>
      <c r="O1306" s="2479"/>
      <c r="P1306" s="2282"/>
      <c r="AG1306" s="2297">
        <v>133.12</v>
      </c>
      <c r="AH1306" s="2297" t="s">
        <v>316</v>
      </c>
      <c r="AI1306" s="1390"/>
      <c r="AJ1306" s="2282"/>
      <c r="AK1306" s="2282"/>
      <c r="AL1306" s="1037"/>
      <c r="AX1306" s="340">
        <v>1.01</v>
      </c>
      <c r="AY1306" s="340" t="s">
        <v>329</v>
      </c>
      <c r="BN1306" s="340">
        <v>124.03</v>
      </c>
      <c r="BO1306" s="340" t="s">
        <v>316</v>
      </c>
      <c r="BP1306" s="1385"/>
      <c r="BV1306" s="236">
        <v>413.02</v>
      </c>
      <c r="BW1306" s="236" t="s">
        <v>314</v>
      </c>
      <c r="CB1306" s="340">
        <v>20.2</v>
      </c>
      <c r="CC1306" s="340" t="s">
        <v>328</v>
      </c>
      <c r="CL1306" s="236">
        <v>67.05</v>
      </c>
      <c r="CM1306" s="236" t="s">
        <v>331</v>
      </c>
      <c r="CR1306" s="340">
        <v>124.13</v>
      </c>
      <c r="CS1306" s="340" t="s">
        <v>344</v>
      </c>
      <c r="CT1306" s="1384"/>
      <c r="DF1306" s="340">
        <v>26.08</v>
      </c>
      <c r="DG1306" s="340" t="s">
        <v>329</v>
      </c>
      <c r="DV1306" s="340">
        <v>133.01</v>
      </c>
      <c r="DW1306" s="340" t="s">
        <v>302</v>
      </c>
      <c r="DX1306" s="1671"/>
    </row>
    <row r="1307" spans="12:128">
      <c r="L1307" s="2481">
        <v>26.08</v>
      </c>
      <c r="M1307" s="340" t="s">
        <v>329</v>
      </c>
      <c r="N1307" s="1390"/>
      <c r="O1307" s="2479"/>
      <c r="P1307" s="2282"/>
      <c r="AG1307" s="2297">
        <v>133.13</v>
      </c>
      <c r="AH1307" s="2297" t="s">
        <v>316</v>
      </c>
      <c r="AI1307" s="1390"/>
      <c r="AJ1307" s="2282"/>
      <c r="AK1307" s="2282"/>
      <c r="AL1307" s="1037"/>
      <c r="AX1307" s="340">
        <v>2.02</v>
      </c>
      <c r="AY1307" s="340" t="s">
        <v>329</v>
      </c>
      <c r="BN1307" s="340">
        <v>124.03</v>
      </c>
      <c r="BO1307" s="340" t="s">
        <v>331</v>
      </c>
      <c r="BP1307" s="1385"/>
      <c r="BV1307" s="236">
        <v>413.03</v>
      </c>
      <c r="BW1307" s="236" t="s">
        <v>314</v>
      </c>
      <c r="CB1307" s="340">
        <v>20.21</v>
      </c>
      <c r="CC1307" s="340" t="s">
        <v>328</v>
      </c>
      <c r="CL1307" s="236">
        <v>67.06</v>
      </c>
      <c r="CM1307" s="236" t="s">
        <v>331</v>
      </c>
      <c r="CR1307" s="340">
        <v>124.14</v>
      </c>
      <c r="CS1307" s="340" t="s">
        <v>344</v>
      </c>
      <c r="CT1307" s="1384"/>
      <c r="DF1307" s="340">
        <v>27.04</v>
      </c>
      <c r="DG1307" s="340" t="s">
        <v>329</v>
      </c>
      <c r="DV1307" s="340">
        <v>133.01</v>
      </c>
      <c r="DW1307" s="340" t="s">
        <v>331</v>
      </c>
      <c r="DX1307" s="1671"/>
    </row>
    <row r="1308" spans="12:128">
      <c r="L1308" s="2481">
        <v>26.09</v>
      </c>
      <c r="M1308" s="340" t="s">
        <v>329</v>
      </c>
      <c r="N1308" s="1390"/>
      <c r="O1308" s="2479"/>
      <c r="P1308" s="2282"/>
      <c r="AG1308" s="2297">
        <v>133.13999999999999</v>
      </c>
      <c r="AH1308" s="2297" t="s">
        <v>316</v>
      </c>
      <c r="AI1308" s="1390"/>
      <c r="AJ1308" s="2282"/>
      <c r="AK1308" s="2282"/>
      <c r="AL1308" s="1037"/>
      <c r="AX1308" s="340">
        <v>2.0299999999999998</v>
      </c>
      <c r="AY1308" s="340" t="s">
        <v>329</v>
      </c>
      <c r="BN1308" s="340">
        <v>124.05</v>
      </c>
      <c r="BO1308" s="340" t="s">
        <v>344</v>
      </c>
      <c r="BP1308" s="1385"/>
      <c r="BV1308" s="236">
        <v>413.04</v>
      </c>
      <c r="BW1308" s="236" t="s">
        <v>314</v>
      </c>
      <c r="CB1308" s="340">
        <v>20.22</v>
      </c>
      <c r="CC1308" s="340" t="s">
        <v>328</v>
      </c>
      <c r="CL1308" s="236">
        <v>67.069999999999993</v>
      </c>
      <c r="CM1308" s="236" t="s">
        <v>331</v>
      </c>
      <c r="CR1308" s="340">
        <v>124.15</v>
      </c>
      <c r="CS1308" s="340" t="s">
        <v>344</v>
      </c>
      <c r="CT1308" s="1384"/>
      <c r="DF1308" s="340">
        <v>27.06</v>
      </c>
      <c r="DG1308" s="340" t="s">
        <v>329</v>
      </c>
      <c r="DV1308" s="340">
        <v>133.05000000000001</v>
      </c>
      <c r="DW1308" s="340" t="s">
        <v>316</v>
      </c>
      <c r="DX1308" s="1671"/>
    </row>
    <row r="1309" spans="12:128">
      <c r="L1309" s="2481">
        <v>27.04</v>
      </c>
      <c r="M1309" s="340" t="s">
        <v>329</v>
      </c>
      <c r="N1309" s="1390"/>
      <c r="O1309" s="2479"/>
      <c r="P1309" s="2282"/>
      <c r="AG1309" s="2297">
        <v>133.15</v>
      </c>
      <c r="AH1309" s="2297" t="s">
        <v>316</v>
      </c>
      <c r="AI1309" s="1390"/>
      <c r="AJ1309" s="2282"/>
      <c r="AK1309" s="2282"/>
      <c r="AL1309" s="1037"/>
      <c r="AX1309" s="340">
        <v>4.01</v>
      </c>
      <c r="AY1309" s="340" t="s">
        <v>329</v>
      </c>
      <c r="BN1309" s="340">
        <v>124.07</v>
      </c>
      <c r="BO1309" s="340" t="s">
        <v>344</v>
      </c>
      <c r="BP1309" s="1385"/>
      <c r="BV1309" s="236">
        <v>413.05</v>
      </c>
      <c r="BW1309" s="236" t="s">
        <v>314</v>
      </c>
      <c r="CB1309" s="340">
        <v>20.23</v>
      </c>
      <c r="CC1309" s="340" t="s">
        <v>328</v>
      </c>
      <c r="CL1309" s="236">
        <v>67.09</v>
      </c>
      <c r="CM1309" s="236" t="s">
        <v>331</v>
      </c>
      <c r="CR1309" s="340">
        <v>125</v>
      </c>
      <c r="CS1309" s="340" t="s">
        <v>338</v>
      </c>
      <c r="CT1309" s="1384"/>
      <c r="DF1309" s="340">
        <v>1</v>
      </c>
      <c r="DG1309" s="340" t="s">
        <v>330</v>
      </c>
      <c r="DV1309" s="340">
        <v>133.1</v>
      </c>
      <c r="DW1309" s="340" t="s">
        <v>316</v>
      </c>
      <c r="DX1309" s="1671"/>
    </row>
    <row r="1310" spans="12:128">
      <c r="L1310" s="2481">
        <v>27.05</v>
      </c>
      <c r="M1310" s="340" t="s">
        <v>329</v>
      </c>
      <c r="N1310" s="1390"/>
      <c r="O1310" s="2479"/>
      <c r="P1310" s="2282"/>
      <c r="AG1310" s="2297">
        <v>133.19</v>
      </c>
      <c r="AH1310" s="2297" t="s">
        <v>316</v>
      </c>
      <c r="AI1310" s="1390"/>
      <c r="AJ1310" s="2282"/>
      <c r="AK1310" s="2282"/>
      <c r="AL1310" s="1037"/>
      <c r="AX1310" s="340">
        <v>6.05</v>
      </c>
      <c r="AY1310" s="340" t="s">
        <v>329</v>
      </c>
      <c r="BN1310" s="340">
        <v>124.08</v>
      </c>
      <c r="BO1310" s="340" t="s">
        <v>344</v>
      </c>
      <c r="BP1310" s="1385"/>
      <c r="BV1310" s="236">
        <v>414.01</v>
      </c>
      <c r="BW1310" s="236" t="s">
        <v>314</v>
      </c>
      <c r="CB1310" s="340">
        <v>20.239999999999998</v>
      </c>
      <c r="CC1310" s="340" t="s">
        <v>328</v>
      </c>
      <c r="CL1310" s="236">
        <v>67.13</v>
      </c>
      <c r="CM1310" s="236" t="s">
        <v>331</v>
      </c>
      <c r="CR1310" s="340">
        <v>125.01</v>
      </c>
      <c r="CS1310" s="340" t="s">
        <v>331</v>
      </c>
      <c r="CT1310" s="1384"/>
      <c r="DF1310" s="340">
        <v>2</v>
      </c>
      <c r="DG1310" s="340" t="s">
        <v>330</v>
      </c>
      <c r="DV1310" s="340">
        <v>133.12</v>
      </c>
      <c r="DW1310" s="340" t="s">
        <v>316</v>
      </c>
      <c r="DX1310" s="1671"/>
    </row>
    <row r="1311" spans="12:128">
      <c r="L1311" s="2481">
        <v>27.06</v>
      </c>
      <c r="M1311" s="340" t="s">
        <v>329</v>
      </c>
      <c r="N1311" s="1390"/>
      <c r="O1311" s="2479"/>
      <c r="P1311" s="2282"/>
      <c r="AG1311" s="2297">
        <v>133.19999999999999</v>
      </c>
      <c r="AH1311" s="2297" t="s">
        <v>316</v>
      </c>
      <c r="AI1311" s="1390"/>
      <c r="AJ1311" s="2282"/>
      <c r="AK1311" s="2282"/>
      <c r="AL1311" s="1037"/>
      <c r="AX1311" s="340">
        <v>7.04</v>
      </c>
      <c r="AY1311" s="340" t="s">
        <v>329</v>
      </c>
      <c r="BN1311" s="340">
        <v>124.09</v>
      </c>
      <c r="BO1311" s="340" t="s">
        <v>344</v>
      </c>
      <c r="BP1311" s="1385"/>
      <c r="BV1311" s="236">
        <v>414.02</v>
      </c>
      <c r="BW1311" s="236" t="s">
        <v>314</v>
      </c>
      <c r="CB1311" s="340">
        <v>20.25</v>
      </c>
      <c r="CC1311" s="340" t="s">
        <v>328</v>
      </c>
      <c r="CL1311" s="236">
        <v>67.14</v>
      </c>
      <c r="CM1311" s="236" t="s">
        <v>331</v>
      </c>
      <c r="CR1311" s="340">
        <v>125.02</v>
      </c>
      <c r="CS1311" s="340" t="s">
        <v>331</v>
      </c>
      <c r="CT1311" s="1384"/>
      <c r="DF1311" s="340">
        <v>3</v>
      </c>
      <c r="DG1311" s="340" t="s">
        <v>330</v>
      </c>
      <c r="DV1311" s="340">
        <v>133.13</v>
      </c>
      <c r="DW1311" s="340" t="s">
        <v>316</v>
      </c>
      <c r="DX1311" s="1671"/>
    </row>
    <row r="1312" spans="12:128">
      <c r="L1312" s="2481">
        <v>1</v>
      </c>
      <c r="M1312" s="340" t="s">
        <v>330</v>
      </c>
      <c r="N1312" s="1390"/>
      <c r="O1312" s="2479"/>
      <c r="P1312" s="2282"/>
      <c r="AG1312" s="2297">
        <v>133.22</v>
      </c>
      <c r="AH1312" s="2297" t="s">
        <v>316</v>
      </c>
      <c r="AI1312" s="1390"/>
      <c r="AJ1312" s="2282"/>
      <c r="AK1312" s="2282"/>
      <c r="AL1312" s="1037"/>
      <c r="AX1312" s="340">
        <v>7.05</v>
      </c>
      <c r="AY1312" s="340" t="s">
        <v>329</v>
      </c>
      <c r="BN1312" s="340">
        <v>124.1</v>
      </c>
      <c r="BO1312" s="340" t="s">
        <v>344</v>
      </c>
      <c r="BP1312" s="1385"/>
      <c r="BV1312" s="236">
        <v>415.01</v>
      </c>
      <c r="BW1312" s="236" t="s">
        <v>314</v>
      </c>
      <c r="CB1312" s="340">
        <v>1.02</v>
      </c>
      <c r="CC1312" s="340" t="s">
        <v>329</v>
      </c>
      <c r="CL1312" s="236">
        <v>67.150000000000006</v>
      </c>
      <c r="CM1312" s="236" t="s">
        <v>331</v>
      </c>
      <c r="CR1312" s="340">
        <v>125.02</v>
      </c>
      <c r="CS1312" s="340" t="s">
        <v>344</v>
      </c>
      <c r="CT1312" s="1384"/>
      <c r="DF1312" s="340">
        <v>4</v>
      </c>
      <c r="DG1312" s="340" t="s">
        <v>330</v>
      </c>
      <c r="DV1312" s="340">
        <v>133.15</v>
      </c>
      <c r="DW1312" s="340" t="s">
        <v>316</v>
      </c>
      <c r="DX1312" s="1671"/>
    </row>
    <row r="1313" spans="12:128">
      <c r="L1313" s="2481">
        <v>2</v>
      </c>
      <c r="M1313" s="340" t="s">
        <v>330</v>
      </c>
      <c r="N1313" s="1390"/>
      <c r="O1313" s="2479"/>
      <c r="P1313" s="2282"/>
      <c r="AG1313" s="2297">
        <v>133.22999999999999</v>
      </c>
      <c r="AH1313" s="2297" t="s">
        <v>316</v>
      </c>
      <c r="AI1313" s="1390"/>
      <c r="AJ1313" s="2282"/>
      <c r="AK1313" s="2282"/>
      <c r="AL1313" s="1037"/>
      <c r="AX1313" s="340">
        <v>7.06</v>
      </c>
      <c r="AY1313" s="340" t="s">
        <v>329</v>
      </c>
      <c r="BN1313" s="340">
        <v>124.11</v>
      </c>
      <c r="BO1313" s="340" t="s">
        <v>344</v>
      </c>
      <c r="BP1313" s="1385"/>
      <c r="BV1313" s="236">
        <v>415.02</v>
      </c>
      <c r="BW1313" s="236" t="s">
        <v>314</v>
      </c>
      <c r="CB1313" s="340">
        <v>2.02</v>
      </c>
      <c r="CC1313" s="340" t="s">
        <v>329</v>
      </c>
      <c r="CL1313" s="236">
        <v>67.16</v>
      </c>
      <c r="CM1313" s="236" t="s">
        <v>331</v>
      </c>
      <c r="CR1313" s="340">
        <v>125.03</v>
      </c>
      <c r="CS1313" s="340" t="s">
        <v>316</v>
      </c>
      <c r="CT1313" s="1384"/>
      <c r="DF1313" s="340">
        <v>5.0199999999999996</v>
      </c>
      <c r="DG1313" s="340" t="s">
        <v>330</v>
      </c>
      <c r="DV1313" s="340">
        <v>133.16999999999999</v>
      </c>
      <c r="DW1313" s="340" t="s">
        <v>316</v>
      </c>
      <c r="DX1313" s="1671"/>
    </row>
    <row r="1314" spans="12:128">
      <c r="L1314" s="2481">
        <v>3</v>
      </c>
      <c r="M1314" s="340" t="s">
        <v>330</v>
      </c>
      <c r="N1314" s="1390"/>
      <c r="O1314" s="2479"/>
      <c r="P1314" s="2282"/>
      <c r="AG1314" s="2297">
        <v>134.04</v>
      </c>
      <c r="AH1314" s="2297" t="s">
        <v>302</v>
      </c>
      <c r="AI1314" s="1390"/>
      <c r="AJ1314" s="2282"/>
      <c r="AK1314" s="2282"/>
      <c r="AL1314" s="1037"/>
      <c r="AX1314" s="340">
        <v>7.07</v>
      </c>
      <c r="AY1314" s="340" t="s">
        <v>329</v>
      </c>
      <c r="BN1314" s="340">
        <v>124.12</v>
      </c>
      <c r="BO1314" s="340" t="s">
        <v>344</v>
      </c>
      <c r="BP1314" s="1385"/>
      <c r="BV1314" s="236">
        <v>416.01</v>
      </c>
      <c r="BW1314" s="236" t="s">
        <v>314</v>
      </c>
      <c r="CB1314" s="340">
        <v>2.0299999999999998</v>
      </c>
      <c r="CC1314" s="340" t="s">
        <v>329</v>
      </c>
      <c r="CL1314" s="236">
        <v>67.17</v>
      </c>
      <c r="CM1314" s="236" t="s">
        <v>331</v>
      </c>
      <c r="CR1314" s="340">
        <v>125.06</v>
      </c>
      <c r="CS1314" s="340" t="s">
        <v>344</v>
      </c>
      <c r="CT1314" s="1384"/>
      <c r="DF1314" s="340">
        <v>6.03</v>
      </c>
      <c r="DG1314" s="340" t="s">
        <v>330</v>
      </c>
      <c r="DV1314" s="340">
        <v>133.19</v>
      </c>
      <c r="DW1314" s="340" t="s">
        <v>316</v>
      </c>
      <c r="DX1314" s="1671"/>
    </row>
    <row r="1315" spans="12:128">
      <c r="L1315" s="2481">
        <v>5.0199999999999996</v>
      </c>
      <c r="M1315" s="340" t="s">
        <v>330</v>
      </c>
      <c r="N1315" s="1390"/>
      <c r="O1315" s="2479"/>
      <c r="P1315" s="2282"/>
      <c r="AG1315" s="2297">
        <v>134.06</v>
      </c>
      <c r="AH1315" s="2297" t="s">
        <v>338</v>
      </c>
      <c r="AI1315" s="1390"/>
      <c r="AJ1315" s="2282"/>
      <c r="AK1315" s="2282"/>
      <c r="AL1315" s="1037"/>
      <c r="AX1315" s="340">
        <v>8.07</v>
      </c>
      <c r="AY1315" s="340" t="s">
        <v>329</v>
      </c>
      <c r="BN1315" s="340">
        <v>124.13</v>
      </c>
      <c r="BO1315" s="340" t="s">
        <v>344</v>
      </c>
      <c r="BP1315" s="1385"/>
      <c r="BV1315" s="236">
        <v>416.02</v>
      </c>
      <c r="BW1315" s="236" t="s">
        <v>314</v>
      </c>
      <c r="CB1315" s="340">
        <v>3.04</v>
      </c>
      <c r="CC1315" s="340" t="s">
        <v>329</v>
      </c>
      <c r="CL1315" s="236">
        <v>67.180000000000007</v>
      </c>
      <c r="CM1315" s="236" t="s">
        <v>331</v>
      </c>
      <c r="CR1315" s="340">
        <v>125.08</v>
      </c>
      <c r="CS1315" s="340" t="s">
        <v>344</v>
      </c>
      <c r="CT1315" s="1384"/>
      <c r="DF1315" s="340">
        <v>6.04</v>
      </c>
      <c r="DG1315" s="340" t="s">
        <v>330</v>
      </c>
      <c r="DV1315" s="340">
        <v>133.19999999999999</v>
      </c>
      <c r="DW1315" s="340" t="s">
        <v>316</v>
      </c>
      <c r="DX1315" s="1671"/>
    </row>
    <row r="1316" spans="12:128">
      <c r="L1316" s="2481">
        <v>6.03</v>
      </c>
      <c r="M1316" s="340" t="s">
        <v>330</v>
      </c>
      <c r="N1316" s="1390"/>
      <c r="O1316" s="2479"/>
      <c r="P1316" s="2282"/>
      <c r="AG1316" s="2297">
        <v>134.07</v>
      </c>
      <c r="AH1316" s="2297" t="s">
        <v>316</v>
      </c>
      <c r="AI1316" s="1390"/>
      <c r="AJ1316" s="2282"/>
      <c r="AK1316" s="2282"/>
      <c r="AL1316" s="1037"/>
      <c r="AX1316" s="340">
        <v>8.08</v>
      </c>
      <c r="AY1316" s="340" t="s">
        <v>329</v>
      </c>
      <c r="BN1316" s="340">
        <v>124.14</v>
      </c>
      <c r="BO1316" s="340" t="s">
        <v>344</v>
      </c>
      <c r="BP1316" s="1385"/>
      <c r="BV1316" s="236">
        <v>9900</v>
      </c>
      <c r="BW1316" s="236" t="s">
        <v>314</v>
      </c>
      <c r="CB1316" s="340">
        <v>4.01</v>
      </c>
      <c r="CC1316" s="340" t="s">
        <v>329</v>
      </c>
      <c r="CL1316" s="236">
        <v>67.19</v>
      </c>
      <c r="CM1316" s="236" t="s">
        <v>331</v>
      </c>
      <c r="CR1316" s="340">
        <v>125.09</v>
      </c>
      <c r="CS1316" s="340" t="s">
        <v>344</v>
      </c>
      <c r="CT1316" s="1384"/>
      <c r="DF1316" s="340">
        <v>6.06</v>
      </c>
      <c r="DG1316" s="340" t="s">
        <v>330</v>
      </c>
      <c r="DV1316" s="340">
        <v>133.22</v>
      </c>
      <c r="DW1316" s="340" t="s">
        <v>316</v>
      </c>
      <c r="DX1316" s="1671"/>
    </row>
    <row r="1317" spans="12:128">
      <c r="L1317" s="2481">
        <v>6.04</v>
      </c>
      <c r="M1317" s="340" t="s">
        <v>330</v>
      </c>
      <c r="N1317" s="1390"/>
      <c r="O1317" s="2479"/>
      <c r="P1317" s="2282"/>
      <c r="AG1317" s="2297">
        <v>134.09</v>
      </c>
      <c r="AH1317" s="2297" t="s">
        <v>316</v>
      </c>
      <c r="AI1317" s="1390"/>
      <c r="AJ1317" s="2282"/>
      <c r="AK1317" s="2282"/>
      <c r="AL1317" s="1037"/>
      <c r="AX1317" s="340">
        <v>8.09</v>
      </c>
      <c r="AY1317" s="340" t="s">
        <v>329</v>
      </c>
      <c r="BN1317" s="340">
        <v>124.15</v>
      </c>
      <c r="BO1317" s="340" t="s">
        <v>344</v>
      </c>
      <c r="BP1317" s="1385"/>
      <c r="BV1317" s="236">
        <v>9601.01</v>
      </c>
      <c r="BW1317" s="236" t="s">
        <v>315</v>
      </c>
      <c r="CB1317" s="340">
        <v>6.05</v>
      </c>
      <c r="CC1317" s="340" t="s">
        <v>329</v>
      </c>
      <c r="CL1317" s="236">
        <v>67.2</v>
      </c>
      <c r="CM1317" s="236" t="s">
        <v>331</v>
      </c>
      <c r="CR1317" s="340">
        <v>125.11</v>
      </c>
      <c r="CS1317" s="340" t="s">
        <v>344</v>
      </c>
      <c r="CT1317" s="1384"/>
      <c r="DF1317" s="340">
        <v>6.07</v>
      </c>
      <c r="DG1317" s="340" t="s">
        <v>330</v>
      </c>
      <c r="DV1317" s="340">
        <v>133.22999999999999</v>
      </c>
      <c r="DW1317" s="340" t="s">
        <v>316</v>
      </c>
      <c r="DX1317" s="1671"/>
    </row>
    <row r="1318" spans="12:128">
      <c r="L1318" s="2481">
        <v>6.06</v>
      </c>
      <c r="M1318" s="340" t="s">
        <v>330</v>
      </c>
      <c r="N1318" s="1390"/>
      <c r="O1318" s="2479"/>
      <c r="P1318" s="2282"/>
      <c r="AG1318" s="2297">
        <v>134.1</v>
      </c>
      <c r="AH1318" s="2297" t="s">
        <v>316</v>
      </c>
      <c r="AI1318" s="1390"/>
      <c r="AJ1318" s="2282"/>
      <c r="AK1318" s="2282"/>
      <c r="AL1318" s="1037"/>
      <c r="AX1318" s="340">
        <v>8.1</v>
      </c>
      <c r="AY1318" s="340" t="s">
        <v>329</v>
      </c>
      <c r="BN1318" s="340">
        <v>125.01</v>
      </c>
      <c r="BO1318" s="340" t="s">
        <v>331</v>
      </c>
      <c r="BP1318" s="1385"/>
      <c r="BV1318" s="236">
        <v>9601.02</v>
      </c>
      <c r="BW1318" s="236" t="s">
        <v>315</v>
      </c>
      <c r="CB1318" s="340">
        <v>7.04</v>
      </c>
      <c r="CC1318" s="340" t="s">
        <v>329</v>
      </c>
      <c r="CL1318" s="236">
        <v>67.209999999999994</v>
      </c>
      <c r="CM1318" s="236" t="s">
        <v>331</v>
      </c>
      <c r="CR1318" s="340">
        <v>125.12</v>
      </c>
      <c r="CS1318" s="340" t="s">
        <v>344</v>
      </c>
      <c r="CT1318" s="1384"/>
      <c r="DF1318" s="340">
        <v>6.1</v>
      </c>
      <c r="DG1318" s="340" t="s">
        <v>330</v>
      </c>
      <c r="DV1318" s="340">
        <v>134.04</v>
      </c>
      <c r="DW1318" s="340" t="s">
        <v>302</v>
      </c>
      <c r="DX1318" s="1671"/>
    </row>
    <row r="1319" spans="12:128">
      <c r="L1319" s="2481">
        <v>6.07</v>
      </c>
      <c r="M1319" s="340" t="s">
        <v>330</v>
      </c>
      <c r="N1319" s="1390"/>
      <c r="O1319" s="2479"/>
      <c r="P1319" s="2282"/>
      <c r="AG1319" s="2297">
        <v>134.12</v>
      </c>
      <c r="AH1319" s="2297" t="s">
        <v>316</v>
      </c>
      <c r="AI1319" s="1390"/>
      <c r="AJ1319" s="2282"/>
      <c r="AK1319" s="2282"/>
      <c r="AL1319" s="1037"/>
      <c r="AX1319" s="340">
        <v>8.11</v>
      </c>
      <c r="AY1319" s="340" t="s">
        <v>329</v>
      </c>
      <c r="BN1319" s="340">
        <v>125.02</v>
      </c>
      <c r="BO1319" s="340" t="s">
        <v>331</v>
      </c>
      <c r="BP1319" s="1385"/>
      <c r="BV1319" s="236">
        <v>9601.0400000000009</v>
      </c>
      <c r="BW1319" s="236" t="s">
        <v>315</v>
      </c>
      <c r="CB1319" s="340">
        <v>7.05</v>
      </c>
      <c r="CC1319" s="340" t="s">
        <v>329</v>
      </c>
      <c r="CL1319" s="236">
        <v>67.22</v>
      </c>
      <c r="CM1319" s="236" t="s">
        <v>331</v>
      </c>
      <c r="CR1319" s="340">
        <v>125.13</v>
      </c>
      <c r="CS1319" s="340" t="s">
        <v>344</v>
      </c>
      <c r="CT1319" s="1384"/>
      <c r="DF1319" s="340">
        <v>7.01</v>
      </c>
      <c r="DG1319" s="340" t="s">
        <v>330</v>
      </c>
      <c r="DV1319" s="340">
        <v>134.07</v>
      </c>
      <c r="DW1319" s="340" t="s">
        <v>316</v>
      </c>
      <c r="DX1319" s="1671"/>
    </row>
    <row r="1320" spans="12:128">
      <c r="L1320" s="2481">
        <v>6.1</v>
      </c>
      <c r="M1320" s="340" t="s">
        <v>330</v>
      </c>
      <c r="N1320" s="1390"/>
      <c r="O1320" s="2479"/>
      <c r="P1320" s="2282"/>
      <c r="AG1320" s="2297">
        <v>134.13</v>
      </c>
      <c r="AH1320" s="2297" t="s">
        <v>316</v>
      </c>
      <c r="AI1320" s="1390"/>
      <c r="AJ1320" s="2282"/>
      <c r="AK1320" s="2282"/>
      <c r="AL1320" s="1037"/>
      <c r="AX1320" s="340">
        <v>9.01</v>
      </c>
      <c r="AY1320" s="340" t="s">
        <v>329</v>
      </c>
      <c r="BN1320" s="340">
        <v>125.02</v>
      </c>
      <c r="BO1320" s="340" t="s">
        <v>344</v>
      </c>
      <c r="BP1320" s="1385"/>
      <c r="BV1320" s="236">
        <v>9601.0499999999993</v>
      </c>
      <c r="BW1320" s="236" t="s">
        <v>315</v>
      </c>
      <c r="CB1320" s="340">
        <v>7.06</v>
      </c>
      <c r="CC1320" s="340" t="s">
        <v>329</v>
      </c>
      <c r="CL1320" s="236">
        <v>68.010000000000005</v>
      </c>
      <c r="CM1320" s="236" t="s">
        <v>316</v>
      </c>
      <c r="CR1320" s="340">
        <v>125.14</v>
      </c>
      <c r="CS1320" s="340" t="s">
        <v>344</v>
      </c>
      <c r="CT1320" s="1384"/>
      <c r="DF1320" s="340">
        <v>9.01</v>
      </c>
      <c r="DG1320" s="340" t="s">
        <v>330</v>
      </c>
      <c r="DV1320" s="340">
        <v>134.09</v>
      </c>
      <c r="DW1320" s="340" t="s">
        <v>316</v>
      </c>
      <c r="DX1320" s="1671"/>
    </row>
    <row r="1321" spans="12:128">
      <c r="L1321" s="2481">
        <v>9.01</v>
      </c>
      <c r="M1321" s="340" t="s">
        <v>330</v>
      </c>
      <c r="N1321" s="1390"/>
      <c r="O1321" s="2479"/>
      <c r="P1321" s="2282"/>
      <c r="AG1321" s="2297">
        <v>134.13999999999999</v>
      </c>
      <c r="AH1321" s="2297" t="s">
        <v>316</v>
      </c>
      <c r="AI1321" s="1390"/>
      <c r="AJ1321" s="2282"/>
      <c r="AK1321" s="2282"/>
      <c r="AL1321" s="1037"/>
      <c r="AX1321" s="340">
        <v>9.0299999999999994</v>
      </c>
      <c r="AY1321" s="340" t="s">
        <v>329</v>
      </c>
      <c r="BN1321" s="340">
        <v>125.03</v>
      </c>
      <c r="BO1321" s="340" t="s">
        <v>316</v>
      </c>
      <c r="BP1321" s="1385"/>
      <c r="BV1321" s="236">
        <v>9602</v>
      </c>
      <c r="BW1321" s="236" t="s">
        <v>315</v>
      </c>
      <c r="CB1321" s="340">
        <v>8.06</v>
      </c>
      <c r="CC1321" s="340" t="s">
        <v>329</v>
      </c>
      <c r="CL1321" s="236">
        <v>68.010000000000005</v>
      </c>
      <c r="CM1321" s="236" t="s">
        <v>331</v>
      </c>
      <c r="CR1321" s="340">
        <v>125.15</v>
      </c>
      <c r="CS1321" s="340" t="s">
        <v>344</v>
      </c>
      <c r="CT1321" s="1384"/>
      <c r="DF1321" s="340">
        <v>9.02</v>
      </c>
      <c r="DG1321" s="340" t="s">
        <v>330</v>
      </c>
      <c r="DV1321" s="340">
        <v>134.1</v>
      </c>
      <c r="DW1321" s="340" t="s">
        <v>316</v>
      </c>
      <c r="DX1321" s="1671"/>
    </row>
    <row r="1322" spans="12:128">
      <c r="L1322" s="2481">
        <v>11.03</v>
      </c>
      <c r="M1322" s="340" t="s">
        <v>330</v>
      </c>
      <c r="N1322" s="1390"/>
      <c r="O1322" s="2479"/>
      <c r="P1322" s="2282"/>
      <c r="AG1322" s="2297">
        <v>134.15</v>
      </c>
      <c r="AH1322" s="2297" t="s">
        <v>316</v>
      </c>
      <c r="AI1322" s="1390"/>
      <c r="AJ1322" s="2282"/>
      <c r="AK1322" s="2282"/>
      <c r="AL1322" s="1037"/>
      <c r="AX1322" s="340">
        <v>9.0399999999999991</v>
      </c>
      <c r="AY1322" s="340" t="s">
        <v>329</v>
      </c>
      <c r="BN1322" s="340">
        <v>125.06</v>
      </c>
      <c r="BO1322" s="340" t="s">
        <v>344</v>
      </c>
      <c r="BP1322" s="1385"/>
      <c r="BV1322" s="236">
        <v>9603</v>
      </c>
      <c r="BW1322" s="236" t="s">
        <v>315</v>
      </c>
      <c r="CB1322" s="340">
        <v>8.07</v>
      </c>
      <c r="CC1322" s="340" t="s">
        <v>329</v>
      </c>
      <c r="CL1322" s="236">
        <v>68.010000000000005</v>
      </c>
      <c r="CM1322" s="236" t="s">
        <v>340</v>
      </c>
      <c r="CR1322" s="340">
        <v>126</v>
      </c>
      <c r="CS1322" s="340" t="s">
        <v>338</v>
      </c>
      <c r="CT1322" s="1384"/>
      <c r="DF1322" s="340">
        <v>11.03</v>
      </c>
      <c r="DG1322" s="340" t="s">
        <v>330</v>
      </c>
      <c r="DV1322" s="340">
        <v>134.12</v>
      </c>
      <c r="DW1322" s="340" t="s">
        <v>316</v>
      </c>
      <c r="DX1322" s="1671"/>
    </row>
    <row r="1323" spans="12:128">
      <c r="L1323" s="2481">
        <v>11.06</v>
      </c>
      <c r="M1323" s="340" t="s">
        <v>330</v>
      </c>
      <c r="N1323" s="1390"/>
      <c r="O1323" s="2479"/>
      <c r="P1323" s="2282"/>
      <c r="AG1323" s="2297">
        <v>135</v>
      </c>
      <c r="AH1323" s="2297" t="s">
        <v>331</v>
      </c>
      <c r="AI1323" s="1390"/>
      <c r="AJ1323" s="2282"/>
      <c r="AK1323" s="2282"/>
      <c r="AL1323" s="1037"/>
      <c r="AX1323" s="340">
        <v>10.050000000000001</v>
      </c>
      <c r="AY1323" s="340" t="s">
        <v>329</v>
      </c>
      <c r="BN1323" s="340">
        <v>125.08</v>
      </c>
      <c r="BO1323" s="340" t="s">
        <v>344</v>
      </c>
      <c r="BP1323" s="1385"/>
      <c r="BV1323" s="236">
        <v>9604.01</v>
      </c>
      <c r="BW1323" s="236" t="s">
        <v>315</v>
      </c>
      <c r="CB1323" s="340">
        <v>8.08</v>
      </c>
      <c r="CC1323" s="340" t="s">
        <v>329</v>
      </c>
      <c r="CL1323" s="236">
        <v>68.02</v>
      </c>
      <c r="CM1323" s="236" t="s">
        <v>316</v>
      </c>
      <c r="CR1323" s="340">
        <v>126.01</v>
      </c>
      <c r="CS1323" s="340" t="s">
        <v>331</v>
      </c>
      <c r="CT1323" s="1384"/>
      <c r="DF1323" s="340">
        <v>11.08</v>
      </c>
      <c r="DG1323" s="340" t="s">
        <v>330</v>
      </c>
      <c r="DV1323" s="340">
        <v>134.13</v>
      </c>
      <c r="DW1323" s="340" t="s">
        <v>316</v>
      </c>
      <c r="DX1323" s="1671"/>
    </row>
    <row r="1324" spans="12:128">
      <c r="L1324" s="2481">
        <v>11.07</v>
      </c>
      <c r="M1324" s="340" t="s">
        <v>330</v>
      </c>
      <c r="N1324" s="1390"/>
      <c r="O1324" s="2479"/>
      <c r="P1324" s="2282"/>
      <c r="AG1324" s="2297">
        <v>135</v>
      </c>
      <c r="AH1324" s="2297" t="s">
        <v>344</v>
      </c>
      <c r="AI1324" s="1390"/>
      <c r="AJ1324" s="2282"/>
      <c r="AK1324" s="2282"/>
      <c r="AL1324" s="1037"/>
      <c r="AX1324" s="340">
        <v>10.07</v>
      </c>
      <c r="AY1324" s="340" t="s">
        <v>329</v>
      </c>
      <c r="BN1324" s="340">
        <v>125.09</v>
      </c>
      <c r="BO1324" s="340" t="s">
        <v>344</v>
      </c>
      <c r="BP1324" s="1385"/>
      <c r="BV1324" s="236">
        <v>9604.02</v>
      </c>
      <c r="BW1324" s="236" t="s">
        <v>315</v>
      </c>
      <c r="CB1324" s="340">
        <v>8.09</v>
      </c>
      <c r="CC1324" s="340" t="s">
        <v>329</v>
      </c>
      <c r="CL1324" s="236">
        <v>68.02</v>
      </c>
      <c r="CM1324" s="236" t="s">
        <v>331</v>
      </c>
      <c r="CR1324" s="340">
        <v>126.01</v>
      </c>
      <c r="CS1324" s="340" t="s">
        <v>344</v>
      </c>
      <c r="CT1324" s="1384"/>
      <c r="DF1324" s="340">
        <v>13.02</v>
      </c>
      <c r="DG1324" s="340" t="s">
        <v>330</v>
      </c>
      <c r="DV1324" s="340">
        <v>134.13999999999999</v>
      </c>
      <c r="DW1324" s="340" t="s">
        <v>316</v>
      </c>
      <c r="DX1324" s="1671"/>
    </row>
    <row r="1325" spans="12:128">
      <c r="L1325" s="2481">
        <v>11.08</v>
      </c>
      <c r="M1325" s="340" t="s">
        <v>330</v>
      </c>
      <c r="N1325" s="1390"/>
      <c r="O1325" s="2479"/>
      <c r="P1325" s="2282"/>
      <c r="AG1325" s="2297">
        <v>135.02000000000001</v>
      </c>
      <c r="AH1325" s="2297" t="s">
        <v>302</v>
      </c>
      <c r="AI1325" s="1390"/>
      <c r="AJ1325" s="2282"/>
      <c r="AK1325" s="2282"/>
      <c r="AL1325" s="1037"/>
      <c r="AX1325" s="340">
        <v>10.08</v>
      </c>
      <c r="AY1325" s="340" t="s">
        <v>329</v>
      </c>
      <c r="BN1325" s="340">
        <v>125.12</v>
      </c>
      <c r="BO1325" s="340" t="s">
        <v>344</v>
      </c>
      <c r="BP1325" s="1385"/>
      <c r="BV1325" s="236">
        <v>9605.01</v>
      </c>
      <c r="BW1325" s="236" t="s">
        <v>315</v>
      </c>
      <c r="CB1325" s="340">
        <v>8.1</v>
      </c>
      <c r="CC1325" s="340" t="s">
        <v>329</v>
      </c>
      <c r="CL1325" s="236">
        <v>68.02</v>
      </c>
      <c r="CM1325" s="236" t="s">
        <v>340</v>
      </c>
      <c r="CR1325" s="340">
        <v>127.01</v>
      </c>
      <c r="CS1325" s="340" t="s">
        <v>316</v>
      </c>
      <c r="CT1325" s="1384"/>
      <c r="DF1325" s="340">
        <v>14.04</v>
      </c>
      <c r="DG1325" s="340" t="s">
        <v>330</v>
      </c>
      <c r="DV1325" s="340">
        <v>134.15</v>
      </c>
      <c r="DW1325" s="340" t="s">
        <v>316</v>
      </c>
      <c r="DX1325" s="1671"/>
    </row>
    <row r="1326" spans="12:128">
      <c r="L1326" s="2481">
        <v>13.02</v>
      </c>
      <c r="M1326" s="340" t="s">
        <v>330</v>
      </c>
      <c r="N1326" s="1390"/>
      <c r="O1326" s="2479"/>
      <c r="P1326" s="2282"/>
      <c r="AG1326" s="2297">
        <v>135.12</v>
      </c>
      <c r="AH1326" s="2297" t="s">
        <v>338</v>
      </c>
      <c r="AI1326" s="1390"/>
      <c r="AJ1326" s="2282"/>
      <c r="AK1326" s="2282"/>
      <c r="AL1326" s="1037"/>
      <c r="AX1326" s="340">
        <v>10.09</v>
      </c>
      <c r="AY1326" s="340" t="s">
        <v>329</v>
      </c>
      <c r="BN1326" s="340">
        <v>125.13</v>
      </c>
      <c r="BO1326" s="340" t="s">
        <v>344</v>
      </c>
      <c r="BP1326" s="1385"/>
      <c r="BV1326" s="236">
        <v>9605.0300000000007</v>
      </c>
      <c r="BW1326" s="236" t="s">
        <v>315</v>
      </c>
      <c r="CB1326" s="340">
        <v>8.11</v>
      </c>
      <c r="CC1326" s="340" t="s">
        <v>329</v>
      </c>
      <c r="CL1326" s="236">
        <v>69</v>
      </c>
      <c r="CM1326" s="236" t="s">
        <v>316</v>
      </c>
      <c r="CR1326" s="340">
        <v>127.01</v>
      </c>
      <c r="CS1326" s="340" t="s">
        <v>331</v>
      </c>
      <c r="CT1326" s="1384"/>
      <c r="DF1326" s="340">
        <v>14.06</v>
      </c>
      <c r="DG1326" s="340" t="s">
        <v>330</v>
      </c>
      <c r="DV1326" s="340">
        <v>135</v>
      </c>
      <c r="DW1326" s="340" t="s">
        <v>344</v>
      </c>
      <c r="DX1326" s="1671"/>
    </row>
    <row r="1327" spans="12:128">
      <c r="L1327" s="2481">
        <v>14.06</v>
      </c>
      <c r="M1327" s="340" t="s">
        <v>330</v>
      </c>
      <c r="N1327" s="1390"/>
      <c r="O1327" s="2479"/>
      <c r="P1327" s="2282"/>
      <c r="AG1327" s="2297">
        <v>135.22</v>
      </c>
      <c r="AH1327" s="2297" t="s">
        <v>302</v>
      </c>
      <c r="AI1327" s="1390"/>
      <c r="AJ1327" s="2282"/>
      <c r="AK1327" s="2282"/>
      <c r="AL1327" s="1037"/>
      <c r="AX1327" s="340">
        <v>10.11</v>
      </c>
      <c r="AY1327" s="340" t="s">
        <v>329</v>
      </c>
      <c r="BN1327" s="340">
        <v>125.14</v>
      </c>
      <c r="BO1327" s="340" t="s">
        <v>344</v>
      </c>
      <c r="BP1327" s="1385"/>
      <c r="BV1327" s="236">
        <v>9605.0400000000009</v>
      </c>
      <c r="BW1327" s="236" t="s">
        <v>315</v>
      </c>
      <c r="CB1327" s="340">
        <v>9.0299999999999994</v>
      </c>
      <c r="CC1327" s="340" t="s">
        <v>329</v>
      </c>
      <c r="CL1327" s="236">
        <v>69.010000000000005</v>
      </c>
      <c r="CM1327" s="236" t="s">
        <v>331</v>
      </c>
      <c r="CR1327" s="340">
        <v>127.01</v>
      </c>
      <c r="CS1327" s="340" t="s">
        <v>338</v>
      </c>
      <c r="CT1327" s="1384"/>
      <c r="DF1327" s="340">
        <v>14.09</v>
      </c>
      <c r="DG1327" s="340" t="s">
        <v>330</v>
      </c>
      <c r="DV1327" s="340">
        <v>135.01</v>
      </c>
      <c r="DW1327" s="340" t="s">
        <v>316</v>
      </c>
      <c r="DX1327" s="1671"/>
    </row>
    <row r="1328" spans="12:128">
      <c r="L1328" s="2481">
        <v>14.09</v>
      </c>
      <c r="M1328" s="340" t="s">
        <v>330</v>
      </c>
      <c r="N1328" s="1390"/>
      <c r="O1328" s="2479"/>
      <c r="P1328" s="2282"/>
      <c r="AG1328" s="2297">
        <v>135.25</v>
      </c>
      <c r="AH1328" s="2297" t="s">
        <v>302</v>
      </c>
      <c r="AI1328" s="1390"/>
      <c r="AJ1328" s="2282"/>
      <c r="AK1328" s="2282"/>
      <c r="AL1328" s="1037"/>
      <c r="AX1328" s="340">
        <v>10.119999999999999</v>
      </c>
      <c r="AY1328" s="340" t="s">
        <v>329</v>
      </c>
      <c r="BN1328" s="340">
        <v>125.15</v>
      </c>
      <c r="BO1328" s="340" t="s">
        <v>344</v>
      </c>
      <c r="BP1328" s="1385"/>
      <c r="BV1328" s="236">
        <v>9606.01</v>
      </c>
      <c r="BW1328" s="236" t="s">
        <v>315</v>
      </c>
      <c r="CB1328" s="340">
        <v>10.050000000000001</v>
      </c>
      <c r="CC1328" s="340" t="s">
        <v>329</v>
      </c>
      <c r="CL1328" s="236">
        <v>69.02</v>
      </c>
      <c r="CM1328" s="236" t="s">
        <v>331</v>
      </c>
      <c r="CR1328" s="340">
        <v>127.01</v>
      </c>
      <c r="CS1328" s="340" t="s">
        <v>344</v>
      </c>
      <c r="CT1328" s="1384"/>
      <c r="DF1328" s="340">
        <v>15</v>
      </c>
      <c r="DG1328" s="340" t="s">
        <v>330</v>
      </c>
      <c r="DV1328" s="340">
        <v>135.22</v>
      </c>
      <c r="DW1328" s="340" t="s">
        <v>302</v>
      </c>
      <c r="DX1328" s="1671"/>
    </row>
    <row r="1329" spans="12:128">
      <c r="L1329" s="2481">
        <v>14.1</v>
      </c>
      <c r="M1329" s="340" t="s">
        <v>330</v>
      </c>
      <c r="N1329" s="1390"/>
      <c r="O1329" s="2479"/>
      <c r="P1329" s="2282"/>
      <c r="AG1329" s="2297">
        <v>135.26</v>
      </c>
      <c r="AH1329" s="2297" t="s">
        <v>302</v>
      </c>
      <c r="AI1329" s="1390"/>
      <c r="AJ1329" s="2282"/>
      <c r="AK1329" s="2282"/>
      <c r="AL1329" s="1037"/>
      <c r="AX1329" s="340">
        <v>11.03</v>
      </c>
      <c r="AY1329" s="340" t="s">
        <v>329</v>
      </c>
      <c r="BN1329" s="340">
        <v>126</v>
      </c>
      <c r="BO1329" s="340" t="s">
        <v>338</v>
      </c>
      <c r="BP1329" s="1385"/>
      <c r="BV1329" s="236">
        <v>9606.02</v>
      </c>
      <c r="BW1329" s="236" t="s">
        <v>315</v>
      </c>
      <c r="CB1329" s="340">
        <v>10.07</v>
      </c>
      <c r="CC1329" s="340" t="s">
        <v>329</v>
      </c>
      <c r="CL1329" s="236">
        <v>69.06</v>
      </c>
      <c r="CM1329" s="236" t="s">
        <v>340</v>
      </c>
      <c r="CR1329" s="340">
        <v>127.02</v>
      </c>
      <c r="CS1329" s="340" t="s">
        <v>331</v>
      </c>
      <c r="CT1329" s="1384"/>
      <c r="DF1329" s="340">
        <v>16.010000000000002</v>
      </c>
      <c r="DG1329" s="340" t="s">
        <v>330</v>
      </c>
      <c r="DV1329" s="340">
        <v>136.05000000000001</v>
      </c>
      <c r="DW1329" s="340" t="s">
        <v>338</v>
      </c>
      <c r="DX1329" s="1671"/>
    </row>
    <row r="1330" spans="12:128">
      <c r="L1330" s="2481">
        <v>16.010000000000002</v>
      </c>
      <c r="M1330" s="340" t="s">
        <v>330</v>
      </c>
      <c r="N1330" s="1390"/>
      <c r="O1330" s="2479"/>
      <c r="P1330" s="2282"/>
      <c r="AG1330" s="2297">
        <v>136.03</v>
      </c>
      <c r="AH1330" s="2297" t="s">
        <v>338</v>
      </c>
      <c r="AI1330" s="1390"/>
      <c r="AJ1330" s="2282"/>
      <c r="AK1330" s="2282"/>
      <c r="AL1330" s="1037"/>
      <c r="AX1330" s="340">
        <v>11.05</v>
      </c>
      <c r="AY1330" s="340" t="s">
        <v>329</v>
      </c>
      <c r="BN1330" s="340">
        <v>126.01</v>
      </c>
      <c r="BO1330" s="340" t="s">
        <v>331</v>
      </c>
      <c r="BP1330" s="1385"/>
      <c r="BV1330" s="236">
        <v>9607</v>
      </c>
      <c r="BW1330" s="236" t="s">
        <v>315</v>
      </c>
      <c r="CB1330" s="340">
        <v>10.08</v>
      </c>
      <c r="CC1330" s="340" t="s">
        <v>329</v>
      </c>
      <c r="CL1330" s="236">
        <v>69.069999999999993</v>
      </c>
      <c r="CM1330" s="236" t="s">
        <v>340</v>
      </c>
      <c r="CR1330" s="340">
        <v>127.03</v>
      </c>
      <c r="CS1330" s="340" t="s">
        <v>302</v>
      </c>
      <c r="CT1330" s="1384"/>
      <c r="DF1330" s="340">
        <v>16.02</v>
      </c>
      <c r="DG1330" s="340" t="s">
        <v>330</v>
      </c>
      <c r="DV1330" s="340">
        <v>137.02000000000001</v>
      </c>
      <c r="DW1330" s="340" t="s">
        <v>316</v>
      </c>
      <c r="DX1330" s="1671"/>
    </row>
    <row r="1331" spans="12:128">
      <c r="L1331" s="2481">
        <v>16.02</v>
      </c>
      <c r="M1331" s="340" t="s">
        <v>330</v>
      </c>
      <c r="N1331" s="1390"/>
      <c r="O1331" s="2479"/>
      <c r="P1331" s="2282"/>
      <c r="AG1331" s="2297">
        <v>136.05000000000001</v>
      </c>
      <c r="AH1331" s="2297" t="s">
        <v>338</v>
      </c>
      <c r="AI1331" s="1390"/>
      <c r="AJ1331" s="2282"/>
      <c r="AK1331" s="2282"/>
      <c r="AL1331" s="1037"/>
      <c r="AX1331" s="340">
        <v>12.05</v>
      </c>
      <c r="AY1331" s="340" t="s">
        <v>329</v>
      </c>
      <c r="BN1331" s="340">
        <v>126.01</v>
      </c>
      <c r="BO1331" s="340" t="s">
        <v>344</v>
      </c>
      <c r="BP1331" s="1385"/>
      <c r="BV1331" s="236">
        <v>9608</v>
      </c>
      <c r="BW1331" s="236" t="s">
        <v>315</v>
      </c>
      <c r="CB1331" s="340">
        <v>10.09</v>
      </c>
      <c r="CC1331" s="340" t="s">
        <v>329</v>
      </c>
      <c r="CL1331" s="236">
        <v>69.08</v>
      </c>
      <c r="CM1331" s="236" t="s">
        <v>340</v>
      </c>
      <c r="CR1331" s="340">
        <v>128</v>
      </c>
      <c r="CS1331" s="340" t="s">
        <v>338</v>
      </c>
      <c r="CT1331" s="1384"/>
      <c r="DF1331" s="340">
        <v>17.010000000000002</v>
      </c>
      <c r="DG1331" s="340" t="s">
        <v>330</v>
      </c>
      <c r="DV1331" s="340">
        <v>137.03</v>
      </c>
      <c r="DW1331" s="340" t="s">
        <v>316</v>
      </c>
      <c r="DX1331" s="1671"/>
    </row>
    <row r="1332" spans="12:128">
      <c r="L1332" s="2481">
        <v>17.010000000000002</v>
      </c>
      <c r="M1332" s="340" t="s">
        <v>330</v>
      </c>
      <c r="N1332" s="1390"/>
      <c r="O1332" s="2479"/>
      <c r="P1332" s="2282"/>
      <c r="AG1332" s="2297">
        <v>137.02000000000001</v>
      </c>
      <c r="AH1332" s="2297" t="s">
        <v>316</v>
      </c>
      <c r="AI1332" s="1390"/>
      <c r="AJ1332" s="2282"/>
      <c r="AK1332" s="2282"/>
      <c r="AL1332" s="1037"/>
      <c r="AX1332" s="340">
        <v>12.08</v>
      </c>
      <c r="AY1332" s="340" t="s">
        <v>329</v>
      </c>
      <c r="BN1332" s="340">
        <v>126.02</v>
      </c>
      <c r="BO1332" s="340" t="s">
        <v>331</v>
      </c>
      <c r="BP1332" s="1385"/>
      <c r="BV1332" s="236">
        <v>9609</v>
      </c>
      <c r="BW1332" s="236" t="s">
        <v>315</v>
      </c>
      <c r="CB1332" s="340">
        <v>10.11</v>
      </c>
      <c r="CC1332" s="340" t="s">
        <v>329</v>
      </c>
      <c r="CL1332" s="236">
        <v>69.09</v>
      </c>
      <c r="CM1332" s="236" t="s">
        <v>340</v>
      </c>
      <c r="CR1332" s="340">
        <v>128.01</v>
      </c>
      <c r="CS1332" s="340" t="s">
        <v>331</v>
      </c>
      <c r="CT1332" s="1384"/>
      <c r="DF1332" s="340">
        <v>17.02</v>
      </c>
      <c r="DG1332" s="340" t="s">
        <v>330</v>
      </c>
      <c r="DV1332" s="340">
        <v>137.05000000000001</v>
      </c>
      <c r="DW1332" s="340" t="s">
        <v>316</v>
      </c>
      <c r="DX1332" s="1671"/>
    </row>
    <row r="1333" spans="12:128">
      <c r="L1333" s="2481">
        <v>17.02</v>
      </c>
      <c r="M1333" s="340" t="s">
        <v>330</v>
      </c>
      <c r="N1333" s="1390"/>
      <c r="O1333" s="2479"/>
      <c r="P1333" s="2282"/>
      <c r="AG1333" s="2297">
        <v>137.03</v>
      </c>
      <c r="AH1333" s="2297" t="s">
        <v>316</v>
      </c>
      <c r="AI1333" s="1390"/>
      <c r="AJ1333" s="2282"/>
      <c r="AK1333" s="2282"/>
      <c r="AL1333" s="1037"/>
      <c r="AX1333" s="340">
        <v>12.09</v>
      </c>
      <c r="AY1333" s="340" t="s">
        <v>329</v>
      </c>
      <c r="BN1333" s="340">
        <v>127.01</v>
      </c>
      <c r="BO1333" s="340" t="s">
        <v>316</v>
      </c>
      <c r="BP1333" s="1385"/>
      <c r="BV1333" s="236">
        <v>9610</v>
      </c>
      <c r="BW1333" s="236" t="s">
        <v>315</v>
      </c>
      <c r="CB1333" s="340">
        <v>10.119999999999999</v>
      </c>
      <c r="CC1333" s="340" t="s">
        <v>329</v>
      </c>
      <c r="CL1333" s="236">
        <v>69.099999999999994</v>
      </c>
      <c r="CM1333" s="236" t="s">
        <v>340</v>
      </c>
      <c r="CR1333" s="340">
        <v>128.02000000000001</v>
      </c>
      <c r="CS1333" s="340" t="s">
        <v>331</v>
      </c>
      <c r="CT1333" s="1384"/>
      <c r="DF1333" s="340">
        <v>17.03</v>
      </c>
      <c r="DG1333" s="340" t="s">
        <v>330</v>
      </c>
      <c r="DV1333" s="340">
        <v>137.06</v>
      </c>
      <c r="DW1333" s="340" t="s">
        <v>316</v>
      </c>
      <c r="DX1333" s="1671"/>
    </row>
    <row r="1334" spans="12:128">
      <c r="L1334" s="2481">
        <v>17.03</v>
      </c>
      <c r="M1334" s="340" t="s">
        <v>330</v>
      </c>
      <c r="N1334" s="1390"/>
      <c r="O1334" s="2479"/>
      <c r="P1334" s="2282"/>
      <c r="AG1334" s="2297">
        <v>137.05000000000001</v>
      </c>
      <c r="AH1334" s="2297" t="s">
        <v>316</v>
      </c>
      <c r="AI1334" s="1390"/>
      <c r="AJ1334" s="2282"/>
      <c r="AK1334" s="2282"/>
      <c r="AL1334" s="1037"/>
      <c r="AX1334" s="340">
        <v>12.1</v>
      </c>
      <c r="AY1334" s="340" t="s">
        <v>329</v>
      </c>
      <c r="BN1334" s="340">
        <v>127.01</v>
      </c>
      <c r="BO1334" s="340" t="s">
        <v>331</v>
      </c>
      <c r="BP1334" s="1385"/>
      <c r="BV1334" s="236">
        <v>9611</v>
      </c>
      <c r="BW1334" s="236" t="s">
        <v>315</v>
      </c>
      <c r="CB1334" s="340">
        <v>11.03</v>
      </c>
      <c r="CC1334" s="340" t="s">
        <v>329</v>
      </c>
      <c r="CL1334" s="236">
        <v>69.11</v>
      </c>
      <c r="CM1334" s="236" t="s">
        <v>340</v>
      </c>
      <c r="CR1334" s="340">
        <v>128.02000000000001</v>
      </c>
      <c r="CS1334" s="340" t="s">
        <v>344</v>
      </c>
      <c r="CT1334" s="1384"/>
      <c r="DF1334" s="340">
        <v>1.07</v>
      </c>
      <c r="DG1334" s="340" t="s">
        <v>331</v>
      </c>
      <c r="DV1334" s="340">
        <v>137.22999999999999</v>
      </c>
      <c r="DW1334" s="340" t="s">
        <v>302</v>
      </c>
      <c r="DX1334" s="1671"/>
    </row>
    <row r="1335" spans="12:128">
      <c r="L1335" s="2481">
        <v>1.0900000000000001</v>
      </c>
      <c r="M1335" s="340" t="s">
        <v>331</v>
      </c>
      <c r="N1335" s="1390"/>
      <c r="O1335" s="2479"/>
      <c r="P1335" s="2282"/>
      <c r="AG1335" s="2297">
        <v>137.22999999999999</v>
      </c>
      <c r="AH1335" s="2297" t="s">
        <v>302</v>
      </c>
      <c r="AI1335" s="1390"/>
      <c r="AJ1335" s="2282"/>
      <c r="AK1335" s="2282"/>
      <c r="AL1335" s="1037"/>
      <c r="AX1335" s="340">
        <v>13.01</v>
      </c>
      <c r="AY1335" s="340" t="s">
        <v>329</v>
      </c>
      <c r="BN1335" s="340">
        <v>127.01</v>
      </c>
      <c r="BO1335" s="340" t="s">
        <v>338</v>
      </c>
      <c r="BP1335" s="1385"/>
      <c r="BV1335" s="236">
        <v>9612.01</v>
      </c>
      <c r="BW1335" s="236" t="s">
        <v>315</v>
      </c>
      <c r="CB1335" s="340">
        <v>11.05</v>
      </c>
      <c r="CC1335" s="340" t="s">
        <v>329</v>
      </c>
      <c r="CL1335" s="236">
        <v>69.12</v>
      </c>
      <c r="CM1335" s="236" t="s">
        <v>340</v>
      </c>
      <c r="CR1335" s="340">
        <v>128.03</v>
      </c>
      <c r="CS1335" s="340" t="s">
        <v>344</v>
      </c>
      <c r="CT1335" s="1384"/>
      <c r="DF1335" s="340">
        <v>1.0900000000000001</v>
      </c>
      <c r="DG1335" s="340" t="s">
        <v>331</v>
      </c>
      <c r="DV1335" s="340">
        <v>137.28</v>
      </c>
      <c r="DW1335" s="340" t="s">
        <v>302</v>
      </c>
      <c r="DX1335" s="1671"/>
    </row>
    <row r="1336" spans="12:128">
      <c r="L1336" s="2481">
        <v>1.1499999999999999</v>
      </c>
      <c r="M1336" s="340" t="s">
        <v>331</v>
      </c>
      <c r="N1336" s="1390"/>
      <c r="O1336" s="2479"/>
      <c r="P1336" s="2282"/>
      <c r="AG1336" s="2297">
        <v>137.29</v>
      </c>
      <c r="AH1336" s="2297" t="s">
        <v>302</v>
      </c>
      <c r="AI1336" s="1390"/>
      <c r="AJ1336" s="2282"/>
      <c r="AK1336" s="2282"/>
      <c r="AL1336" s="1037"/>
      <c r="AX1336" s="340">
        <v>13.02</v>
      </c>
      <c r="AY1336" s="340" t="s">
        <v>329</v>
      </c>
      <c r="BN1336" s="340">
        <v>127.01</v>
      </c>
      <c r="BO1336" s="340" t="s">
        <v>344</v>
      </c>
      <c r="BP1336" s="1385"/>
      <c r="BV1336" s="236">
        <v>9612.02</v>
      </c>
      <c r="BW1336" s="236" t="s">
        <v>315</v>
      </c>
      <c r="CB1336" s="340">
        <v>11.06</v>
      </c>
      <c r="CC1336" s="340" t="s">
        <v>329</v>
      </c>
      <c r="CL1336" s="236">
        <v>70.010000000000005</v>
      </c>
      <c r="CM1336" s="236" t="s">
        <v>316</v>
      </c>
      <c r="CR1336" s="340">
        <v>128.04</v>
      </c>
      <c r="CS1336" s="340" t="s">
        <v>344</v>
      </c>
      <c r="CT1336" s="1384"/>
      <c r="DF1336" s="340">
        <v>1.1499999999999999</v>
      </c>
      <c r="DG1336" s="340" t="s">
        <v>331</v>
      </c>
      <c r="DV1336" s="340">
        <v>137.29</v>
      </c>
      <c r="DW1336" s="340" t="s">
        <v>302</v>
      </c>
      <c r="DX1336" s="1671"/>
    </row>
    <row r="1337" spans="12:128">
      <c r="L1337" s="2481">
        <v>1.18</v>
      </c>
      <c r="M1337" s="340" t="s">
        <v>331</v>
      </c>
      <c r="N1337" s="1390"/>
      <c r="O1337" s="2479"/>
      <c r="P1337" s="2282"/>
      <c r="AG1337" s="2297">
        <v>137.30000000000001</v>
      </c>
      <c r="AH1337" s="2297" t="s">
        <v>302</v>
      </c>
      <c r="AI1337" s="1390"/>
      <c r="AJ1337" s="2282"/>
      <c r="AK1337" s="2282"/>
      <c r="AL1337" s="1037"/>
      <c r="AX1337" s="340">
        <v>14.03</v>
      </c>
      <c r="AY1337" s="340" t="s">
        <v>329</v>
      </c>
      <c r="BN1337" s="340">
        <v>127.02</v>
      </c>
      <c r="BO1337" s="340" t="s">
        <v>331</v>
      </c>
      <c r="BP1337" s="1385"/>
      <c r="BV1337" s="236">
        <v>9613.01</v>
      </c>
      <c r="BW1337" s="236" t="s">
        <v>315</v>
      </c>
      <c r="CB1337" s="340">
        <v>12.05</v>
      </c>
      <c r="CC1337" s="340" t="s">
        <v>329</v>
      </c>
      <c r="CL1337" s="236">
        <v>70.02</v>
      </c>
      <c r="CM1337" s="236" t="s">
        <v>316</v>
      </c>
      <c r="CR1337" s="340">
        <v>129</v>
      </c>
      <c r="CS1337" s="340" t="s">
        <v>331</v>
      </c>
      <c r="CT1337" s="1384"/>
      <c r="DF1337" s="340">
        <v>1.18</v>
      </c>
      <c r="DG1337" s="340" t="s">
        <v>331</v>
      </c>
      <c r="DV1337" s="340">
        <v>137.30000000000001</v>
      </c>
      <c r="DW1337" s="340" t="s">
        <v>302</v>
      </c>
      <c r="DX1337" s="1671"/>
    </row>
    <row r="1338" spans="12:128">
      <c r="L1338" s="2481">
        <v>1.2</v>
      </c>
      <c r="M1338" s="340" t="s">
        <v>331</v>
      </c>
      <c r="N1338" s="1390"/>
      <c r="O1338" s="2479"/>
      <c r="P1338" s="2282"/>
      <c r="AG1338" s="2297">
        <v>137.31</v>
      </c>
      <c r="AH1338" s="2297" t="s">
        <v>302</v>
      </c>
      <c r="AI1338" s="1390"/>
      <c r="AJ1338" s="2282"/>
      <c r="AK1338" s="2282"/>
      <c r="AL1338" s="1037"/>
      <c r="AX1338" s="340">
        <v>19</v>
      </c>
      <c r="AY1338" s="340" t="s">
        <v>329</v>
      </c>
      <c r="BN1338" s="340">
        <v>127.03</v>
      </c>
      <c r="BO1338" s="340" t="s">
        <v>302</v>
      </c>
      <c r="BP1338" s="1385"/>
      <c r="BV1338" s="236">
        <v>9613.0300000000007</v>
      </c>
      <c r="BW1338" s="236" t="s">
        <v>315</v>
      </c>
      <c r="CB1338" s="340">
        <v>12.08</v>
      </c>
      <c r="CC1338" s="340" t="s">
        <v>329</v>
      </c>
      <c r="CL1338" s="236">
        <v>70.03</v>
      </c>
      <c r="CM1338" s="236" t="s">
        <v>331</v>
      </c>
      <c r="CR1338" s="340">
        <v>129</v>
      </c>
      <c r="CS1338" s="340" t="s">
        <v>338</v>
      </c>
      <c r="CT1338" s="1384"/>
      <c r="DF1338" s="340">
        <v>1.2</v>
      </c>
      <c r="DG1338" s="340" t="s">
        <v>331</v>
      </c>
      <c r="DV1338" s="340">
        <v>137.31</v>
      </c>
      <c r="DW1338" s="340" t="s">
        <v>302</v>
      </c>
      <c r="DX1338" s="1671"/>
    </row>
    <row r="1339" spans="12:128">
      <c r="L1339" s="2481">
        <v>1.21</v>
      </c>
      <c r="M1339" s="340" t="s">
        <v>331</v>
      </c>
      <c r="N1339" s="1390"/>
      <c r="O1339" s="2479"/>
      <c r="P1339" s="2282"/>
      <c r="AG1339" s="2297">
        <v>137.33000000000001</v>
      </c>
      <c r="AH1339" s="2297" t="s">
        <v>302</v>
      </c>
      <c r="AI1339" s="1390"/>
      <c r="AJ1339" s="2282"/>
      <c r="AK1339" s="2282"/>
      <c r="AL1339" s="1037"/>
      <c r="AX1339" s="340">
        <v>20.010000000000002</v>
      </c>
      <c r="AY1339" s="340" t="s">
        <v>329</v>
      </c>
      <c r="BN1339" s="340">
        <v>128</v>
      </c>
      <c r="BO1339" s="340" t="s">
        <v>338</v>
      </c>
      <c r="BP1339" s="1385"/>
      <c r="BV1339" s="236">
        <v>9613.0400000000009</v>
      </c>
      <c r="BW1339" s="236" t="s">
        <v>315</v>
      </c>
      <c r="CB1339" s="340">
        <v>12.09</v>
      </c>
      <c r="CC1339" s="340" t="s">
        <v>329</v>
      </c>
      <c r="CL1339" s="236">
        <v>70.040000000000006</v>
      </c>
      <c r="CM1339" s="236" t="s">
        <v>331</v>
      </c>
      <c r="CR1339" s="340">
        <v>130</v>
      </c>
      <c r="CS1339" s="340" t="s">
        <v>302</v>
      </c>
      <c r="CT1339" s="1384"/>
      <c r="DF1339" s="340">
        <v>1.21</v>
      </c>
      <c r="DG1339" s="340" t="s">
        <v>331</v>
      </c>
      <c r="DV1339" s="340">
        <v>137.32</v>
      </c>
      <c r="DW1339" s="340" t="s">
        <v>302</v>
      </c>
      <c r="DX1339" s="1671"/>
    </row>
    <row r="1340" spans="12:128">
      <c r="L1340" s="2481">
        <v>1.22</v>
      </c>
      <c r="M1340" s="340" t="s">
        <v>331</v>
      </c>
      <c r="N1340" s="1390"/>
      <c r="O1340" s="2479"/>
      <c r="P1340" s="2282"/>
      <c r="AG1340" s="2297">
        <v>138</v>
      </c>
      <c r="AH1340" s="2297" t="s">
        <v>302</v>
      </c>
      <c r="AI1340" s="1390"/>
      <c r="AJ1340" s="2282"/>
      <c r="AK1340" s="2282"/>
      <c r="AL1340" s="1037"/>
      <c r="AX1340" s="340">
        <v>21</v>
      </c>
      <c r="AY1340" s="340" t="s">
        <v>329</v>
      </c>
      <c r="BN1340" s="340">
        <v>128.01</v>
      </c>
      <c r="BO1340" s="340" t="s">
        <v>331</v>
      </c>
      <c r="BP1340" s="1385"/>
      <c r="BV1340" s="236">
        <v>9614.01</v>
      </c>
      <c r="BW1340" s="236" t="s">
        <v>315</v>
      </c>
      <c r="CB1340" s="340">
        <v>12.1</v>
      </c>
      <c r="CC1340" s="340" t="s">
        <v>329</v>
      </c>
      <c r="CL1340" s="236">
        <v>70.05</v>
      </c>
      <c r="CM1340" s="236" t="s">
        <v>331</v>
      </c>
      <c r="CR1340" s="340">
        <v>130</v>
      </c>
      <c r="CS1340" s="340" t="s">
        <v>331</v>
      </c>
      <c r="CT1340" s="1384"/>
      <c r="DF1340" s="340">
        <v>1.22</v>
      </c>
      <c r="DG1340" s="340" t="s">
        <v>331</v>
      </c>
      <c r="DV1340" s="340">
        <v>137.33000000000001</v>
      </c>
      <c r="DW1340" s="340" t="s">
        <v>302</v>
      </c>
      <c r="DX1340" s="1671"/>
    </row>
    <row r="1341" spans="12:128">
      <c r="L1341" s="2481">
        <v>1.23</v>
      </c>
      <c r="M1341" s="340" t="s">
        <v>331</v>
      </c>
      <c r="N1341" s="1390"/>
      <c r="O1341" s="2479"/>
      <c r="P1341" s="2282"/>
      <c r="AG1341" s="2297">
        <v>138.01</v>
      </c>
      <c r="AH1341" s="2297" t="s">
        <v>338</v>
      </c>
      <c r="AI1341" s="1390"/>
      <c r="AJ1341" s="2282"/>
      <c r="AK1341" s="2282"/>
      <c r="AL1341" s="1037"/>
      <c r="AX1341" s="340">
        <v>22.01</v>
      </c>
      <c r="AY1341" s="340" t="s">
        <v>329</v>
      </c>
      <c r="BN1341" s="340">
        <v>128.02000000000001</v>
      </c>
      <c r="BO1341" s="340" t="s">
        <v>331</v>
      </c>
      <c r="BP1341" s="1385"/>
      <c r="BV1341" s="236">
        <v>9614.02</v>
      </c>
      <c r="BW1341" s="236" t="s">
        <v>315</v>
      </c>
      <c r="CB1341" s="340">
        <v>13.01</v>
      </c>
      <c r="CC1341" s="340" t="s">
        <v>329</v>
      </c>
      <c r="CL1341" s="236">
        <v>70.05</v>
      </c>
      <c r="CM1341" s="236" t="s">
        <v>340</v>
      </c>
      <c r="CR1341" s="340">
        <v>130.01</v>
      </c>
      <c r="CS1341" s="340" t="s">
        <v>344</v>
      </c>
      <c r="CT1341" s="1384"/>
      <c r="DF1341" s="340">
        <v>1.23</v>
      </c>
      <c r="DG1341" s="340" t="s">
        <v>331</v>
      </c>
      <c r="DV1341" s="340">
        <v>138</v>
      </c>
      <c r="DW1341" s="340" t="s">
        <v>302</v>
      </c>
      <c r="DX1341" s="1671"/>
    </row>
    <row r="1342" spans="12:128">
      <c r="L1342" s="2481">
        <v>1.27</v>
      </c>
      <c r="M1342" s="340" t="s">
        <v>331</v>
      </c>
      <c r="N1342" s="1390"/>
      <c r="O1342" s="2479"/>
      <c r="P1342" s="2282"/>
      <c r="AG1342" s="2297">
        <v>138.02000000000001</v>
      </c>
      <c r="AH1342" s="2297" t="s">
        <v>316</v>
      </c>
      <c r="AI1342" s="1390"/>
      <c r="AJ1342" s="2282"/>
      <c r="AK1342" s="2282"/>
      <c r="AL1342" s="1037"/>
      <c r="AX1342" s="340">
        <v>22.02</v>
      </c>
      <c r="AY1342" s="340" t="s">
        <v>329</v>
      </c>
      <c r="BN1342" s="340">
        <v>128.02000000000001</v>
      </c>
      <c r="BO1342" s="340" t="s">
        <v>344</v>
      </c>
      <c r="BP1342" s="1385"/>
      <c r="BV1342" s="236">
        <v>9615</v>
      </c>
      <c r="BW1342" s="236" t="s">
        <v>315</v>
      </c>
      <c r="CB1342" s="340">
        <v>14.03</v>
      </c>
      <c r="CC1342" s="340" t="s">
        <v>329</v>
      </c>
      <c r="CL1342" s="236">
        <v>70.06</v>
      </c>
      <c r="CM1342" s="236" t="s">
        <v>331</v>
      </c>
      <c r="CR1342" s="340">
        <v>130.02000000000001</v>
      </c>
      <c r="CS1342" s="340" t="s">
        <v>316</v>
      </c>
      <c r="CT1342" s="1384"/>
      <c r="DF1342" s="340">
        <v>1.26</v>
      </c>
      <c r="DG1342" s="340" t="s">
        <v>331</v>
      </c>
      <c r="DV1342" s="340">
        <v>138.01</v>
      </c>
      <c r="DW1342" s="340" t="s">
        <v>338</v>
      </c>
      <c r="DX1342" s="1671"/>
    </row>
    <row r="1343" spans="12:128">
      <c r="L1343" s="2481">
        <v>1.28</v>
      </c>
      <c r="M1343" s="340" t="s">
        <v>331</v>
      </c>
      <c r="N1343" s="1390"/>
      <c r="O1343" s="2479"/>
      <c r="P1343" s="2282"/>
      <c r="AG1343" s="2297">
        <v>138.02000000000001</v>
      </c>
      <c r="AH1343" s="2297" t="s">
        <v>338</v>
      </c>
      <c r="AI1343" s="1390"/>
      <c r="AJ1343" s="2282"/>
      <c r="AK1343" s="2282"/>
      <c r="AL1343" s="1037"/>
      <c r="AX1343" s="340">
        <v>22.03</v>
      </c>
      <c r="AY1343" s="340" t="s">
        <v>329</v>
      </c>
      <c r="BN1343" s="340">
        <v>128.03</v>
      </c>
      <c r="BO1343" s="340" t="s">
        <v>344</v>
      </c>
      <c r="BP1343" s="1385"/>
      <c r="BV1343" s="236">
        <v>9616.01</v>
      </c>
      <c r="BW1343" s="236" t="s">
        <v>315</v>
      </c>
      <c r="CB1343" s="340">
        <v>19</v>
      </c>
      <c r="CC1343" s="340" t="s">
        <v>329</v>
      </c>
      <c r="CL1343" s="236">
        <v>70.06</v>
      </c>
      <c r="CM1343" s="236" t="s">
        <v>340</v>
      </c>
      <c r="CR1343" s="340">
        <v>130.04</v>
      </c>
      <c r="CS1343" s="340" t="s">
        <v>316</v>
      </c>
      <c r="CT1343" s="1384"/>
      <c r="DF1343" s="340">
        <v>1.27</v>
      </c>
      <c r="DG1343" s="340" t="s">
        <v>331</v>
      </c>
      <c r="DV1343" s="340">
        <v>138.02000000000001</v>
      </c>
      <c r="DW1343" s="340" t="s">
        <v>338</v>
      </c>
      <c r="DX1343" s="1671"/>
    </row>
    <row r="1344" spans="12:128">
      <c r="L1344" s="2481">
        <v>1.29</v>
      </c>
      <c r="M1344" s="340" t="s">
        <v>331</v>
      </c>
      <c r="N1344" s="1390"/>
      <c r="O1344" s="2479"/>
      <c r="P1344" s="2282"/>
      <c r="AG1344" s="2297">
        <v>138.06</v>
      </c>
      <c r="AH1344" s="2297" t="s">
        <v>316</v>
      </c>
      <c r="AI1344" s="1390"/>
      <c r="AJ1344" s="2282"/>
      <c r="AK1344" s="2282"/>
      <c r="AL1344" s="1037"/>
      <c r="AX1344" s="340">
        <v>23.02</v>
      </c>
      <c r="AY1344" s="340" t="s">
        <v>329</v>
      </c>
      <c r="BN1344" s="340">
        <v>129</v>
      </c>
      <c r="BO1344" s="340" t="s">
        <v>331</v>
      </c>
      <c r="BP1344" s="1385"/>
      <c r="BV1344" s="236">
        <v>9616.02</v>
      </c>
      <c r="BW1344" s="236" t="s">
        <v>315</v>
      </c>
      <c r="CB1344" s="340">
        <v>21</v>
      </c>
      <c r="CC1344" s="340" t="s">
        <v>329</v>
      </c>
      <c r="CL1344" s="236">
        <v>70.069999999999993</v>
      </c>
      <c r="CM1344" s="236" t="s">
        <v>331</v>
      </c>
      <c r="CR1344" s="340">
        <v>131</v>
      </c>
      <c r="CS1344" s="340" t="s">
        <v>302</v>
      </c>
      <c r="CT1344" s="1384"/>
      <c r="DF1344" s="340">
        <v>1.28</v>
      </c>
      <c r="DG1344" s="340" t="s">
        <v>331</v>
      </c>
      <c r="DV1344" s="340">
        <v>138.03</v>
      </c>
      <c r="DW1344" s="340" t="s">
        <v>338</v>
      </c>
      <c r="DX1344" s="1671"/>
    </row>
    <row r="1345" spans="12:128">
      <c r="L1345" s="2481">
        <v>1.3</v>
      </c>
      <c r="M1345" s="340" t="s">
        <v>331</v>
      </c>
      <c r="N1345" s="1390"/>
      <c r="O1345" s="2479"/>
      <c r="P1345" s="2282"/>
      <c r="AG1345" s="2297">
        <v>138.07</v>
      </c>
      <c r="AH1345" s="2297" t="s">
        <v>316</v>
      </c>
      <c r="AI1345" s="1390"/>
      <c r="AJ1345" s="2282"/>
      <c r="AK1345" s="2282"/>
      <c r="AL1345" s="1037"/>
      <c r="AX1345" s="340">
        <v>23.04</v>
      </c>
      <c r="AY1345" s="340" t="s">
        <v>329</v>
      </c>
      <c r="BN1345" s="340">
        <v>129</v>
      </c>
      <c r="BO1345" s="340" t="s">
        <v>338</v>
      </c>
      <c r="BP1345" s="1385"/>
      <c r="BV1345" s="236">
        <v>9616.0400000000009</v>
      </c>
      <c r="BW1345" s="236" t="s">
        <v>315</v>
      </c>
      <c r="CB1345" s="340">
        <v>22.01</v>
      </c>
      <c r="CC1345" s="340" t="s">
        <v>329</v>
      </c>
      <c r="CL1345" s="236">
        <v>70.069999999999993</v>
      </c>
      <c r="CM1345" s="236" t="s">
        <v>340</v>
      </c>
      <c r="CR1345" s="340">
        <v>131.01</v>
      </c>
      <c r="CS1345" s="340" t="s">
        <v>344</v>
      </c>
      <c r="CT1345" s="1384"/>
      <c r="DF1345" s="340">
        <v>1.29</v>
      </c>
      <c r="DG1345" s="340" t="s">
        <v>331</v>
      </c>
      <c r="DV1345" s="340">
        <v>138.06</v>
      </c>
      <c r="DW1345" s="340" t="s">
        <v>316</v>
      </c>
      <c r="DX1345" s="1671"/>
    </row>
    <row r="1346" spans="12:128">
      <c r="L1346" s="2481">
        <v>1.31</v>
      </c>
      <c r="M1346" s="340" t="s">
        <v>331</v>
      </c>
      <c r="N1346" s="1390"/>
      <c r="O1346" s="2479"/>
      <c r="P1346" s="2282"/>
      <c r="AG1346" s="2297">
        <v>139</v>
      </c>
      <c r="AH1346" s="2297" t="s">
        <v>331</v>
      </c>
      <c r="AI1346" s="1390"/>
      <c r="AJ1346" s="2282"/>
      <c r="AK1346" s="2282"/>
      <c r="AL1346" s="1037"/>
      <c r="AX1346" s="340">
        <v>24.01</v>
      </c>
      <c r="AY1346" s="340" t="s">
        <v>329</v>
      </c>
      <c r="BN1346" s="340">
        <v>130</v>
      </c>
      <c r="BO1346" s="340" t="s">
        <v>302</v>
      </c>
      <c r="BP1346" s="1385"/>
      <c r="BV1346" s="236">
        <v>9616.0499999999993</v>
      </c>
      <c r="BW1346" s="236" t="s">
        <v>315</v>
      </c>
      <c r="CB1346" s="340">
        <v>22.02</v>
      </c>
      <c r="CC1346" s="340" t="s">
        <v>329</v>
      </c>
      <c r="CL1346" s="236">
        <v>70.08</v>
      </c>
      <c r="CM1346" s="236" t="s">
        <v>340</v>
      </c>
      <c r="CR1346" s="340">
        <v>131.03</v>
      </c>
      <c r="CS1346" s="340" t="s">
        <v>344</v>
      </c>
      <c r="CT1346" s="1384"/>
      <c r="DF1346" s="340">
        <v>1.3</v>
      </c>
      <c r="DG1346" s="340" t="s">
        <v>331</v>
      </c>
      <c r="DV1346" s="340">
        <v>138.07</v>
      </c>
      <c r="DW1346" s="340" t="s">
        <v>316</v>
      </c>
      <c r="DX1346" s="1671"/>
    </row>
    <row r="1347" spans="12:128">
      <c r="L1347" s="2481">
        <v>1.32</v>
      </c>
      <c r="M1347" s="340" t="s">
        <v>331</v>
      </c>
      <c r="N1347" s="1390"/>
      <c r="O1347" s="2479"/>
      <c r="P1347" s="2282"/>
      <c r="AG1347" s="2297">
        <v>139</v>
      </c>
      <c r="AH1347" s="2297" t="s">
        <v>338</v>
      </c>
      <c r="AI1347" s="1390"/>
      <c r="AJ1347" s="2282"/>
      <c r="AK1347" s="2282"/>
      <c r="AL1347" s="1037"/>
      <c r="AX1347" s="340">
        <v>24.02</v>
      </c>
      <c r="AY1347" s="340" t="s">
        <v>329</v>
      </c>
      <c r="BN1347" s="340">
        <v>130</v>
      </c>
      <c r="BO1347" s="340" t="s">
        <v>331</v>
      </c>
      <c r="BP1347" s="1385"/>
      <c r="BV1347" s="236">
        <v>9617.01</v>
      </c>
      <c r="BW1347" s="236" t="s">
        <v>315</v>
      </c>
      <c r="CB1347" s="340">
        <v>22.03</v>
      </c>
      <c r="CC1347" s="340" t="s">
        <v>329</v>
      </c>
      <c r="CL1347" s="236">
        <v>70.09</v>
      </c>
      <c r="CM1347" s="236" t="s">
        <v>340</v>
      </c>
      <c r="CR1347" s="340">
        <v>132</v>
      </c>
      <c r="CS1347" s="340" t="s">
        <v>302</v>
      </c>
      <c r="CT1347" s="1384"/>
      <c r="DF1347" s="340">
        <v>1.31</v>
      </c>
      <c r="DG1347" s="340" t="s">
        <v>331</v>
      </c>
      <c r="DV1347" s="340">
        <v>139</v>
      </c>
      <c r="DW1347" s="340" t="s">
        <v>338</v>
      </c>
      <c r="DX1347" s="1671"/>
    </row>
    <row r="1348" spans="12:128">
      <c r="L1348" s="2481">
        <v>1.41</v>
      </c>
      <c r="M1348" s="340" t="s">
        <v>331</v>
      </c>
      <c r="N1348" s="1390"/>
      <c r="O1348" s="2479"/>
      <c r="P1348" s="2282"/>
      <c r="AG1348" s="2297">
        <v>139.01</v>
      </c>
      <c r="AH1348" s="2297" t="s">
        <v>302</v>
      </c>
      <c r="AI1348" s="1390"/>
      <c r="AJ1348" s="2282"/>
      <c r="AK1348" s="2282"/>
      <c r="AL1348" s="1037"/>
      <c r="AX1348" s="340">
        <v>25.03</v>
      </c>
      <c r="AY1348" s="340" t="s">
        <v>329</v>
      </c>
      <c r="BN1348" s="340">
        <v>130.01</v>
      </c>
      <c r="BO1348" s="340" t="s">
        <v>344</v>
      </c>
      <c r="BP1348" s="1385"/>
      <c r="BV1348" s="236">
        <v>9617.02</v>
      </c>
      <c r="BW1348" s="236" t="s">
        <v>315</v>
      </c>
      <c r="CB1348" s="340">
        <v>23.02</v>
      </c>
      <c r="CC1348" s="340" t="s">
        <v>329</v>
      </c>
      <c r="CL1348" s="236">
        <v>70.099999999999994</v>
      </c>
      <c r="CM1348" s="236" t="s">
        <v>340</v>
      </c>
      <c r="CR1348" s="340">
        <v>132.01</v>
      </c>
      <c r="CS1348" s="340" t="s">
        <v>331</v>
      </c>
      <c r="CT1348" s="1384"/>
      <c r="DF1348" s="340">
        <v>1.32</v>
      </c>
      <c r="DG1348" s="340" t="s">
        <v>331</v>
      </c>
      <c r="DV1348" s="340">
        <v>139.02000000000001</v>
      </c>
      <c r="DW1348" s="340" t="s">
        <v>302</v>
      </c>
      <c r="DX1348" s="1671"/>
    </row>
    <row r="1349" spans="12:128">
      <c r="L1349" s="2481">
        <v>1.42</v>
      </c>
      <c r="M1349" s="340" t="s">
        <v>331</v>
      </c>
      <c r="N1349" s="1390"/>
      <c r="O1349" s="2479"/>
      <c r="P1349" s="2282"/>
      <c r="AG1349" s="2297">
        <v>139.02000000000001</v>
      </c>
      <c r="AH1349" s="2297" t="s">
        <v>302</v>
      </c>
      <c r="AI1349" s="1390"/>
      <c r="AJ1349" s="2282"/>
      <c r="AK1349" s="2282"/>
      <c r="AL1349" s="1037"/>
      <c r="AX1349" s="340">
        <v>25.04</v>
      </c>
      <c r="AY1349" s="340" t="s">
        <v>329</v>
      </c>
      <c r="BN1349" s="340">
        <v>130.02000000000001</v>
      </c>
      <c r="BO1349" s="340" t="s">
        <v>316</v>
      </c>
      <c r="BP1349" s="1385"/>
      <c r="BV1349" s="236">
        <v>9800</v>
      </c>
      <c r="BW1349" s="236" t="s">
        <v>315</v>
      </c>
      <c r="CB1349" s="340">
        <v>23.04</v>
      </c>
      <c r="CC1349" s="340" t="s">
        <v>329</v>
      </c>
      <c r="CL1349" s="236">
        <v>70.11</v>
      </c>
      <c r="CM1349" s="236" t="s">
        <v>340</v>
      </c>
      <c r="CR1349" s="340">
        <v>132.02000000000001</v>
      </c>
      <c r="CS1349" s="340" t="s">
        <v>331</v>
      </c>
      <c r="CT1349" s="1384"/>
      <c r="DF1349" s="340">
        <v>1.34</v>
      </c>
      <c r="DG1349" s="340" t="s">
        <v>331</v>
      </c>
      <c r="DV1349" s="340">
        <v>139.02000000000001</v>
      </c>
      <c r="DW1349" s="340" t="s">
        <v>344</v>
      </c>
      <c r="DX1349" s="1671"/>
    </row>
    <row r="1350" spans="12:128">
      <c r="L1350" s="2481">
        <v>1.43</v>
      </c>
      <c r="M1350" s="340" t="s">
        <v>331</v>
      </c>
      <c r="N1350" s="1390"/>
      <c r="O1350" s="2479"/>
      <c r="P1350" s="2282"/>
      <c r="AG1350" s="2297">
        <v>139.02000000000001</v>
      </c>
      <c r="AH1350" s="2297" t="s">
        <v>344</v>
      </c>
      <c r="AI1350" s="1390"/>
      <c r="AJ1350" s="2282"/>
      <c r="AK1350" s="2282"/>
      <c r="AL1350" s="1037"/>
      <c r="AX1350" s="340">
        <v>25.05</v>
      </c>
      <c r="AY1350" s="340" t="s">
        <v>329</v>
      </c>
      <c r="BN1350" s="340">
        <v>130.03</v>
      </c>
      <c r="BO1350" s="340" t="s">
        <v>316</v>
      </c>
      <c r="BP1350" s="1385"/>
      <c r="BV1350" s="236">
        <v>9801</v>
      </c>
      <c r="BW1350" s="236" t="s">
        <v>315</v>
      </c>
      <c r="CB1350" s="340">
        <v>24.01</v>
      </c>
      <c r="CC1350" s="340" t="s">
        <v>329</v>
      </c>
      <c r="CL1350" s="236">
        <v>70.12</v>
      </c>
      <c r="CM1350" s="236" t="s">
        <v>340</v>
      </c>
      <c r="CR1350" s="340">
        <v>132.03</v>
      </c>
      <c r="CS1350" s="340" t="s">
        <v>316</v>
      </c>
      <c r="CT1350" s="1384"/>
      <c r="DF1350" s="340">
        <v>1.4</v>
      </c>
      <c r="DG1350" s="340" t="s">
        <v>331</v>
      </c>
      <c r="DV1350" s="340">
        <v>139.03</v>
      </c>
      <c r="DW1350" s="340" t="s">
        <v>316</v>
      </c>
      <c r="DX1350" s="1671"/>
    </row>
    <row r="1351" spans="12:128">
      <c r="L1351" s="2481">
        <v>1.44</v>
      </c>
      <c r="M1351" s="340" t="s">
        <v>331</v>
      </c>
      <c r="N1351" s="1390"/>
      <c r="O1351" s="2479"/>
      <c r="P1351" s="2282"/>
      <c r="AG1351" s="2297">
        <v>139.03</v>
      </c>
      <c r="AH1351" s="2297" t="s">
        <v>316</v>
      </c>
      <c r="AI1351" s="1390"/>
      <c r="AJ1351" s="2282"/>
      <c r="AK1351" s="2282"/>
      <c r="AL1351" s="1037"/>
      <c r="AX1351" s="340">
        <v>25.07</v>
      </c>
      <c r="AY1351" s="340" t="s">
        <v>329</v>
      </c>
      <c r="BN1351" s="340">
        <v>130.04</v>
      </c>
      <c r="BO1351" s="340" t="s">
        <v>316</v>
      </c>
      <c r="BP1351" s="1385"/>
      <c r="BV1351" s="236">
        <v>9802</v>
      </c>
      <c r="BW1351" s="236" t="s">
        <v>315</v>
      </c>
      <c r="CB1351" s="340">
        <v>24.02</v>
      </c>
      <c r="CC1351" s="340" t="s">
        <v>329</v>
      </c>
      <c r="CL1351" s="236">
        <v>70.13</v>
      </c>
      <c r="CM1351" s="236" t="s">
        <v>340</v>
      </c>
      <c r="CR1351" s="340">
        <v>132.05000000000001</v>
      </c>
      <c r="CS1351" s="340" t="s">
        <v>316</v>
      </c>
      <c r="CT1351" s="1384"/>
      <c r="DF1351" s="340">
        <v>1.41</v>
      </c>
      <c r="DG1351" s="340" t="s">
        <v>331</v>
      </c>
      <c r="DV1351" s="340">
        <v>139.05000000000001</v>
      </c>
      <c r="DW1351" s="340" t="s">
        <v>302</v>
      </c>
      <c r="DX1351" s="1671"/>
    </row>
    <row r="1352" spans="12:128">
      <c r="L1352" s="2481">
        <v>1.45</v>
      </c>
      <c r="M1352" s="340" t="s">
        <v>331</v>
      </c>
      <c r="N1352" s="1390"/>
      <c r="O1352" s="2479"/>
      <c r="P1352" s="2282"/>
      <c r="AG1352" s="2297">
        <v>139.05000000000001</v>
      </c>
      <c r="AH1352" s="2297" t="s">
        <v>302</v>
      </c>
      <c r="AI1352" s="1390"/>
      <c r="AJ1352" s="2282"/>
      <c r="AK1352" s="2282"/>
      <c r="AL1352" s="1037"/>
      <c r="AX1352" s="340">
        <v>26.05</v>
      </c>
      <c r="AY1352" s="340" t="s">
        <v>329</v>
      </c>
      <c r="BN1352" s="340">
        <v>131</v>
      </c>
      <c r="BO1352" s="340" t="s">
        <v>302</v>
      </c>
      <c r="BP1352" s="1385"/>
      <c r="BV1352" s="236">
        <v>1.01</v>
      </c>
      <c r="BW1352" s="236" t="s">
        <v>316</v>
      </c>
      <c r="CB1352" s="340">
        <v>25.03</v>
      </c>
      <c r="CC1352" s="340" t="s">
        <v>329</v>
      </c>
      <c r="CL1352" s="236">
        <v>71</v>
      </c>
      <c r="CM1352" s="236" t="s">
        <v>340</v>
      </c>
      <c r="CR1352" s="340">
        <v>132.06</v>
      </c>
      <c r="CS1352" s="340" t="s">
        <v>316</v>
      </c>
      <c r="CT1352" s="1384"/>
      <c r="DF1352" s="340">
        <v>1.42</v>
      </c>
      <c r="DG1352" s="340" t="s">
        <v>331</v>
      </c>
      <c r="DV1352" s="340">
        <v>139.06</v>
      </c>
      <c r="DW1352" s="340" t="s">
        <v>302</v>
      </c>
      <c r="DX1352" s="1671"/>
    </row>
    <row r="1353" spans="12:128">
      <c r="L1353" s="2481">
        <v>1.46</v>
      </c>
      <c r="M1353" s="340" t="s">
        <v>331</v>
      </c>
      <c r="N1353" s="1390"/>
      <c r="O1353" s="2479"/>
      <c r="P1353" s="2282"/>
      <c r="AG1353" s="2297">
        <v>139.06</v>
      </c>
      <c r="AH1353" s="2297" t="s">
        <v>302</v>
      </c>
      <c r="AI1353" s="1390"/>
      <c r="AJ1353" s="2282"/>
      <c r="AK1353" s="2282"/>
      <c r="AL1353" s="1037"/>
      <c r="AX1353" s="340">
        <v>27.04</v>
      </c>
      <c r="AY1353" s="340" t="s">
        <v>329</v>
      </c>
      <c r="BN1353" s="340">
        <v>131</v>
      </c>
      <c r="BO1353" s="340" t="s">
        <v>331</v>
      </c>
      <c r="BP1353" s="1385"/>
      <c r="BV1353" s="236">
        <v>1.02</v>
      </c>
      <c r="BW1353" s="236" t="s">
        <v>316</v>
      </c>
      <c r="CB1353" s="340">
        <v>25.04</v>
      </c>
      <c r="CC1353" s="340" t="s">
        <v>329</v>
      </c>
      <c r="CL1353" s="236">
        <v>71.010000000000005</v>
      </c>
      <c r="CM1353" s="236" t="s">
        <v>331</v>
      </c>
      <c r="CR1353" s="340">
        <v>132.07</v>
      </c>
      <c r="CS1353" s="340" t="s">
        <v>316</v>
      </c>
      <c r="CT1353" s="1384"/>
      <c r="DF1353" s="340">
        <v>1.43</v>
      </c>
      <c r="DG1353" s="340" t="s">
        <v>331</v>
      </c>
      <c r="DV1353" s="340">
        <v>139.07</v>
      </c>
      <c r="DW1353" s="340" t="s">
        <v>316</v>
      </c>
      <c r="DX1353" s="1671"/>
    </row>
    <row r="1354" spans="12:128">
      <c r="L1354" s="2481">
        <v>2.13</v>
      </c>
      <c r="M1354" s="340" t="s">
        <v>331</v>
      </c>
      <c r="N1354" s="1390"/>
      <c r="O1354" s="2479"/>
      <c r="P1354" s="2282"/>
      <c r="AG1354" s="2297">
        <v>139.12</v>
      </c>
      <c r="AH1354" s="2297" t="s">
        <v>316</v>
      </c>
      <c r="AI1354" s="1390"/>
      <c r="AJ1354" s="2282"/>
      <c r="AK1354" s="2282"/>
      <c r="AL1354" s="1037"/>
      <c r="AX1354" s="340">
        <v>1</v>
      </c>
      <c r="AY1354" s="340" t="s">
        <v>330</v>
      </c>
      <c r="BN1354" s="340">
        <v>131.01</v>
      </c>
      <c r="BO1354" s="340" t="s">
        <v>344</v>
      </c>
      <c r="BP1354" s="1385"/>
      <c r="BV1354" s="236">
        <v>2.0099999999999998</v>
      </c>
      <c r="BW1354" s="236" t="s">
        <v>316</v>
      </c>
      <c r="CB1354" s="340">
        <v>25.05</v>
      </c>
      <c r="CC1354" s="340" t="s">
        <v>329</v>
      </c>
      <c r="CL1354" s="236">
        <v>71.02</v>
      </c>
      <c r="CM1354" s="236" t="s">
        <v>316</v>
      </c>
      <c r="CR1354" s="340">
        <v>132.08000000000001</v>
      </c>
      <c r="CS1354" s="340" t="s">
        <v>316</v>
      </c>
      <c r="CT1354" s="1384"/>
      <c r="DF1354" s="340">
        <v>1.44</v>
      </c>
      <c r="DG1354" s="340" t="s">
        <v>331</v>
      </c>
      <c r="DV1354" s="340">
        <v>139.15</v>
      </c>
      <c r="DW1354" s="340" t="s">
        <v>316</v>
      </c>
      <c r="DX1354" s="1671"/>
    </row>
    <row r="1355" spans="12:128">
      <c r="L1355" s="2481">
        <v>2.2400000000000002</v>
      </c>
      <c r="M1355" s="340" t="s">
        <v>331</v>
      </c>
      <c r="N1355" s="1390"/>
      <c r="O1355" s="2479"/>
      <c r="P1355" s="2282"/>
      <c r="AG1355" s="2297">
        <v>139.13</v>
      </c>
      <c r="AH1355" s="2297" t="s">
        <v>316</v>
      </c>
      <c r="AI1355" s="1390"/>
      <c r="AJ1355" s="2282"/>
      <c r="AK1355" s="2282"/>
      <c r="AL1355" s="1037"/>
      <c r="AX1355" s="340">
        <v>2</v>
      </c>
      <c r="AY1355" s="340" t="s">
        <v>330</v>
      </c>
      <c r="BN1355" s="340">
        <v>131.03</v>
      </c>
      <c r="BO1355" s="340" t="s">
        <v>344</v>
      </c>
      <c r="BP1355" s="1385"/>
      <c r="BV1355" s="236">
        <v>2.02</v>
      </c>
      <c r="BW1355" s="236" t="s">
        <v>316</v>
      </c>
      <c r="CB1355" s="340">
        <v>25.07</v>
      </c>
      <c r="CC1355" s="340" t="s">
        <v>329</v>
      </c>
      <c r="CL1355" s="236">
        <v>71.03</v>
      </c>
      <c r="CM1355" s="236" t="s">
        <v>316</v>
      </c>
      <c r="CR1355" s="340">
        <v>133.01</v>
      </c>
      <c r="CS1355" s="340" t="s">
        <v>302</v>
      </c>
      <c r="CT1355" s="1384"/>
      <c r="DF1355" s="340">
        <v>1.45</v>
      </c>
      <c r="DG1355" s="340" t="s">
        <v>331</v>
      </c>
      <c r="DV1355" s="340">
        <v>139.16</v>
      </c>
      <c r="DW1355" s="340" t="s">
        <v>316</v>
      </c>
      <c r="DX1355" s="1671"/>
    </row>
    <row r="1356" spans="12:128">
      <c r="L1356" s="2481">
        <v>2.25</v>
      </c>
      <c r="M1356" s="340" t="s">
        <v>331</v>
      </c>
      <c r="N1356" s="1390"/>
      <c r="O1356" s="2479"/>
      <c r="P1356" s="2282"/>
      <c r="AG1356" s="2297">
        <v>139.15</v>
      </c>
      <c r="AH1356" s="2297" t="s">
        <v>316</v>
      </c>
      <c r="AI1356" s="1390"/>
      <c r="AJ1356" s="2282"/>
      <c r="AK1356" s="2282"/>
      <c r="AL1356" s="1037"/>
      <c r="AX1356" s="340">
        <v>3</v>
      </c>
      <c r="AY1356" s="340" t="s">
        <v>330</v>
      </c>
      <c r="BN1356" s="340">
        <v>132</v>
      </c>
      <c r="BO1356" s="340" t="s">
        <v>302</v>
      </c>
      <c r="BP1356" s="1385"/>
      <c r="BV1356" s="236">
        <v>3.01</v>
      </c>
      <c r="BW1356" s="236" t="s">
        <v>316</v>
      </c>
      <c r="CB1356" s="340">
        <v>26.05</v>
      </c>
      <c r="CC1356" s="340" t="s">
        <v>329</v>
      </c>
      <c r="CL1356" s="236">
        <v>71.03</v>
      </c>
      <c r="CM1356" s="236" t="s">
        <v>331</v>
      </c>
      <c r="CR1356" s="340">
        <v>133.01</v>
      </c>
      <c r="CS1356" s="340" t="s">
        <v>331</v>
      </c>
      <c r="CT1356" s="1384"/>
      <c r="DF1356" s="340">
        <v>1.46</v>
      </c>
      <c r="DG1356" s="340" t="s">
        <v>331</v>
      </c>
      <c r="DV1356" s="340">
        <v>139.16999999999999</v>
      </c>
      <c r="DW1356" s="340" t="s">
        <v>316</v>
      </c>
      <c r="DX1356" s="1671"/>
    </row>
    <row r="1357" spans="12:128">
      <c r="L1357" s="2481">
        <v>3.02</v>
      </c>
      <c r="M1357" s="340" t="s">
        <v>331</v>
      </c>
      <c r="N1357" s="1390"/>
      <c r="O1357" s="2479"/>
      <c r="P1357" s="2282"/>
      <c r="AG1357" s="2297">
        <v>139.16</v>
      </c>
      <c r="AH1357" s="2297" t="s">
        <v>316</v>
      </c>
      <c r="AI1357" s="1390"/>
      <c r="AJ1357" s="2282"/>
      <c r="AK1357" s="2282"/>
      <c r="AL1357" s="1037"/>
      <c r="AX1357" s="340">
        <v>4</v>
      </c>
      <c r="AY1357" s="340" t="s">
        <v>330</v>
      </c>
      <c r="BN1357" s="340">
        <v>132.01</v>
      </c>
      <c r="BO1357" s="340" t="s">
        <v>331</v>
      </c>
      <c r="BP1357" s="1385"/>
      <c r="BV1357" s="236">
        <v>3.02</v>
      </c>
      <c r="BW1357" s="236" t="s">
        <v>316</v>
      </c>
      <c r="CB1357" s="340">
        <v>26.08</v>
      </c>
      <c r="CC1357" s="340" t="s">
        <v>329</v>
      </c>
      <c r="CL1357" s="236">
        <v>71.040000000000006</v>
      </c>
      <c r="CM1357" s="236" t="s">
        <v>331</v>
      </c>
      <c r="CR1357" s="340">
        <v>133.02000000000001</v>
      </c>
      <c r="CS1357" s="340" t="s">
        <v>331</v>
      </c>
      <c r="CT1357" s="1384"/>
      <c r="DF1357" s="340">
        <v>2.13</v>
      </c>
      <c r="DG1357" s="340" t="s">
        <v>331</v>
      </c>
      <c r="DV1357" s="340">
        <v>139.18</v>
      </c>
      <c r="DW1357" s="340" t="s">
        <v>316</v>
      </c>
      <c r="DX1357" s="1671"/>
    </row>
    <row r="1358" spans="12:128">
      <c r="L1358" s="2481">
        <v>3.08</v>
      </c>
      <c r="M1358" s="340" t="s">
        <v>331</v>
      </c>
      <c r="N1358" s="1390"/>
      <c r="O1358" s="2479"/>
      <c r="P1358" s="2282"/>
      <c r="AG1358" s="2297">
        <v>139.16999999999999</v>
      </c>
      <c r="AH1358" s="2297" t="s">
        <v>316</v>
      </c>
      <c r="AI1358" s="1390"/>
      <c r="AJ1358" s="2282"/>
      <c r="AK1358" s="2282"/>
      <c r="AL1358" s="1037"/>
      <c r="AX1358" s="340">
        <v>5.0199999999999996</v>
      </c>
      <c r="AY1358" s="340" t="s">
        <v>330</v>
      </c>
      <c r="BN1358" s="340">
        <v>132.02000000000001</v>
      </c>
      <c r="BO1358" s="340" t="s">
        <v>331</v>
      </c>
      <c r="BP1358" s="1385"/>
      <c r="BV1358" s="236">
        <v>4.01</v>
      </c>
      <c r="BW1358" s="236" t="s">
        <v>316</v>
      </c>
      <c r="CB1358" s="340">
        <v>26.1</v>
      </c>
      <c r="CC1358" s="340" t="s">
        <v>329</v>
      </c>
      <c r="CL1358" s="236">
        <v>72</v>
      </c>
      <c r="CM1358" s="236" t="s">
        <v>316</v>
      </c>
      <c r="CR1358" s="340">
        <v>133.05000000000001</v>
      </c>
      <c r="CS1358" s="340" t="s">
        <v>316</v>
      </c>
      <c r="CT1358" s="1384"/>
      <c r="DF1358" s="340">
        <v>2.16</v>
      </c>
      <c r="DG1358" s="340" t="s">
        <v>331</v>
      </c>
      <c r="DV1358" s="340">
        <v>139.19</v>
      </c>
      <c r="DW1358" s="340" t="s">
        <v>316</v>
      </c>
      <c r="DX1358" s="1671"/>
    </row>
    <row r="1359" spans="12:128">
      <c r="L1359" s="2481">
        <v>4.0999999999999996</v>
      </c>
      <c r="M1359" s="340" t="s">
        <v>331</v>
      </c>
      <c r="N1359" s="1390"/>
      <c r="O1359" s="2479"/>
      <c r="P1359" s="2282"/>
      <c r="AG1359" s="2297">
        <v>139.18</v>
      </c>
      <c r="AH1359" s="2297" t="s">
        <v>316</v>
      </c>
      <c r="AI1359" s="1390"/>
      <c r="AJ1359" s="2282"/>
      <c r="AK1359" s="2282"/>
      <c r="AL1359" s="1037"/>
      <c r="AX1359" s="340">
        <v>6.03</v>
      </c>
      <c r="AY1359" s="340" t="s">
        <v>330</v>
      </c>
      <c r="BN1359" s="340">
        <v>132.03</v>
      </c>
      <c r="BO1359" s="340" t="s">
        <v>316</v>
      </c>
      <c r="BP1359" s="1385"/>
      <c r="BV1359" s="236">
        <v>4.0199999999999996</v>
      </c>
      <c r="BW1359" s="236" t="s">
        <v>316</v>
      </c>
      <c r="CB1359" s="340">
        <v>27.03</v>
      </c>
      <c r="CC1359" s="340" t="s">
        <v>329</v>
      </c>
      <c r="CL1359" s="236">
        <v>72</v>
      </c>
      <c r="CM1359" s="236" t="s">
        <v>331</v>
      </c>
      <c r="CR1359" s="340">
        <v>133.07</v>
      </c>
      <c r="CS1359" s="340" t="s">
        <v>316</v>
      </c>
      <c r="CT1359" s="1384"/>
      <c r="DF1359" s="340">
        <v>2.2400000000000002</v>
      </c>
      <c r="DG1359" s="340" t="s">
        <v>331</v>
      </c>
      <c r="DV1359" s="340">
        <v>139.22</v>
      </c>
      <c r="DW1359" s="340" t="s">
        <v>316</v>
      </c>
      <c r="DX1359" s="1671"/>
    </row>
    <row r="1360" spans="12:128">
      <c r="L1360" s="2481">
        <v>4.1900000000000004</v>
      </c>
      <c r="M1360" s="340" t="s">
        <v>331</v>
      </c>
      <c r="N1360" s="1390"/>
      <c r="O1360" s="2479"/>
      <c r="P1360" s="2282"/>
      <c r="AG1360" s="2297">
        <v>139.19</v>
      </c>
      <c r="AH1360" s="2297" t="s">
        <v>316</v>
      </c>
      <c r="AI1360" s="1390"/>
      <c r="AJ1360" s="2282"/>
      <c r="AK1360" s="2282"/>
      <c r="AL1360" s="1037"/>
      <c r="AX1360" s="340">
        <v>6.04</v>
      </c>
      <c r="AY1360" s="340" t="s">
        <v>330</v>
      </c>
      <c r="BN1360" s="340">
        <v>132.05000000000001</v>
      </c>
      <c r="BO1360" s="340" t="s">
        <v>316</v>
      </c>
      <c r="BP1360" s="1385"/>
      <c r="BV1360" s="236">
        <v>5</v>
      </c>
      <c r="BW1360" s="236" t="s">
        <v>316</v>
      </c>
      <c r="CB1360" s="340">
        <v>27.04</v>
      </c>
      <c r="CC1360" s="340" t="s">
        <v>329</v>
      </c>
      <c r="CL1360" s="236">
        <v>72.02</v>
      </c>
      <c r="CM1360" s="236" t="s">
        <v>340</v>
      </c>
      <c r="CR1360" s="340">
        <v>133.1</v>
      </c>
      <c r="CS1360" s="340" t="s">
        <v>316</v>
      </c>
      <c r="CT1360" s="1384"/>
      <c r="DF1360" s="340">
        <v>2.25</v>
      </c>
      <c r="DG1360" s="340" t="s">
        <v>331</v>
      </c>
      <c r="DV1360" s="340">
        <v>139.22999999999999</v>
      </c>
      <c r="DW1360" s="340" t="s">
        <v>316</v>
      </c>
      <c r="DX1360" s="1671"/>
    </row>
    <row r="1361" spans="12:128">
      <c r="L1361" s="2481">
        <v>6.01</v>
      </c>
      <c r="M1361" s="340" t="s">
        <v>331</v>
      </c>
      <c r="N1361" s="1390"/>
      <c r="O1361" s="2479"/>
      <c r="P1361" s="2282"/>
      <c r="AG1361" s="2297">
        <v>139.22</v>
      </c>
      <c r="AH1361" s="2297" t="s">
        <v>316</v>
      </c>
      <c r="AI1361" s="1390"/>
      <c r="AJ1361" s="2282"/>
      <c r="AK1361" s="2282"/>
      <c r="AL1361" s="1037"/>
      <c r="AX1361" s="340">
        <v>6.06</v>
      </c>
      <c r="AY1361" s="340" t="s">
        <v>330</v>
      </c>
      <c r="BN1361" s="340">
        <v>132.06</v>
      </c>
      <c r="BO1361" s="340" t="s">
        <v>316</v>
      </c>
      <c r="BP1361" s="1385"/>
      <c r="BV1361" s="236">
        <v>6.01</v>
      </c>
      <c r="BW1361" s="236" t="s">
        <v>316</v>
      </c>
      <c r="CB1361" s="340">
        <v>27.06</v>
      </c>
      <c r="CC1361" s="340" t="s">
        <v>329</v>
      </c>
      <c r="CL1361" s="236">
        <v>72.040000000000006</v>
      </c>
      <c r="CM1361" s="236" t="s">
        <v>340</v>
      </c>
      <c r="CR1361" s="340">
        <v>133.12</v>
      </c>
      <c r="CS1361" s="340" t="s">
        <v>316</v>
      </c>
      <c r="CT1361" s="1384"/>
      <c r="DF1361" s="340">
        <v>3.02</v>
      </c>
      <c r="DG1361" s="340" t="s">
        <v>331</v>
      </c>
      <c r="DV1361" s="340">
        <v>139.24</v>
      </c>
      <c r="DW1361" s="340" t="s">
        <v>316</v>
      </c>
      <c r="DX1361" s="1671"/>
    </row>
    <row r="1362" spans="12:128">
      <c r="L1362" s="2481">
        <v>6.12</v>
      </c>
      <c r="M1362" s="340" t="s">
        <v>331</v>
      </c>
      <c r="N1362" s="1390"/>
      <c r="O1362" s="2479"/>
      <c r="P1362" s="2282"/>
      <c r="AG1362" s="2297">
        <v>139.22999999999999</v>
      </c>
      <c r="AH1362" s="2297" t="s">
        <v>316</v>
      </c>
      <c r="AI1362" s="1390"/>
      <c r="AJ1362" s="2282"/>
      <c r="AK1362" s="2282"/>
      <c r="AL1362" s="1037"/>
      <c r="AX1362" s="340">
        <v>6.07</v>
      </c>
      <c r="AY1362" s="340" t="s">
        <v>330</v>
      </c>
      <c r="BN1362" s="340">
        <v>132.08000000000001</v>
      </c>
      <c r="BO1362" s="340" t="s">
        <v>316</v>
      </c>
      <c r="BP1362" s="1385"/>
      <c r="BV1362" s="236">
        <v>6.02</v>
      </c>
      <c r="BW1362" s="236" t="s">
        <v>316</v>
      </c>
      <c r="CB1362" s="340">
        <v>1</v>
      </c>
      <c r="CC1362" s="340" t="s">
        <v>330</v>
      </c>
      <c r="CL1362" s="236">
        <v>72.05</v>
      </c>
      <c r="CM1362" s="236" t="s">
        <v>340</v>
      </c>
      <c r="CR1362" s="340">
        <v>133.13</v>
      </c>
      <c r="CS1362" s="340" t="s">
        <v>316</v>
      </c>
      <c r="CT1362" s="1384"/>
      <c r="DF1362" s="340">
        <v>4.1500000000000004</v>
      </c>
      <c r="DG1362" s="340" t="s">
        <v>331</v>
      </c>
      <c r="DV1362" s="340">
        <v>139.26</v>
      </c>
      <c r="DW1362" s="340" t="s">
        <v>316</v>
      </c>
      <c r="DX1362" s="1671"/>
    </row>
    <row r="1363" spans="12:128">
      <c r="L1363" s="2481">
        <v>7.15</v>
      </c>
      <c r="M1363" s="340" t="s">
        <v>331</v>
      </c>
      <c r="N1363" s="1390"/>
      <c r="O1363" s="2479"/>
      <c r="P1363" s="2282"/>
      <c r="AG1363" s="2297">
        <v>139.24</v>
      </c>
      <c r="AH1363" s="2297" t="s">
        <v>316</v>
      </c>
      <c r="AI1363" s="1390"/>
      <c r="AJ1363" s="2282"/>
      <c r="AK1363" s="2282"/>
      <c r="AL1363" s="1037"/>
      <c r="AX1363" s="340">
        <v>6.1</v>
      </c>
      <c r="AY1363" s="340" t="s">
        <v>330</v>
      </c>
      <c r="BN1363" s="340">
        <v>133.01</v>
      </c>
      <c r="BO1363" s="340" t="s">
        <v>302</v>
      </c>
      <c r="BP1363" s="1385"/>
      <c r="BV1363" s="236">
        <v>7.01</v>
      </c>
      <c r="BW1363" s="236" t="s">
        <v>316</v>
      </c>
      <c r="CB1363" s="340">
        <v>2</v>
      </c>
      <c r="CC1363" s="340" t="s">
        <v>330</v>
      </c>
      <c r="CL1363" s="236">
        <v>72.06</v>
      </c>
      <c r="CM1363" s="236" t="s">
        <v>340</v>
      </c>
      <c r="CR1363" s="340">
        <v>133.15</v>
      </c>
      <c r="CS1363" s="340" t="s">
        <v>316</v>
      </c>
      <c r="CT1363" s="1384"/>
      <c r="DF1363" s="340">
        <v>6.01</v>
      </c>
      <c r="DG1363" s="340" t="s">
        <v>331</v>
      </c>
      <c r="DV1363" s="340">
        <v>140</v>
      </c>
      <c r="DW1363" s="340" t="s">
        <v>338</v>
      </c>
      <c r="DX1363" s="1671"/>
    </row>
    <row r="1364" spans="12:128">
      <c r="L1364" s="2481">
        <v>11.01</v>
      </c>
      <c r="M1364" s="340" t="s">
        <v>331</v>
      </c>
      <c r="N1364" s="1390"/>
      <c r="O1364" s="2479"/>
      <c r="P1364" s="2282"/>
      <c r="AG1364" s="2297">
        <v>139.26</v>
      </c>
      <c r="AH1364" s="2297" t="s">
        <v>316</v>
      </c>
      <c r="AI1364" s="1390"/>
      <c r="AJ1364" s="2282"/>
      <c r="AK1364" s="2282"/>
      <c r="AL1364" s="1037"/>
      <c r="AX1364" s="340">
        <v>9.01</v>
      </c>
      <c r="AY1364" s="340" t="s">
        <v>330</v>
      </c>
      <c r="BN1364" s="340">
        <v>133.01</v>
      </c>
      <c r="BO1364" s="340" t="s">
        <v>331</v>
      </c>
      <c r="BP1364" s="1385"/>
      <c r="BV1364" s="236">
        <v>7.02</v>
      </c>
      <c r="BW1364" s="236" t="s">
        <v>316</v>
      </c>
      <c r="CB1364" s="340">
        <v>3</v>
      </c>
      <c r="CC1364" s="340" t="s">
        <v>330</v>
      </c>
      <c r="CL1364" s="236">
        <v>72.069999999999993</v>
      </c>
      <c r="CM1364" s="236" t="s">
        <v>340</v>
      </c>
      <c r="CR1364" s="340">
        <v>133.16999999999999</v>
      </c>
      <c r="CS1364" s="340" t="s">
        <v>316</v>
      </c>
      <c r="CT1364" s="1384"/>
      <c r="DF1364" s="340">
        <v>6.03</v>
      </c>
      <c r="DG1364" s="340" t="s">
        <v>331</v>
      </c>
      <c r="DV1364" s="340">
        <v>140.01</v>
      </c>
      <c r="DW1364" s="340" t="s">
        <v>302</v>
      </c>
      <c r="DX1364" s="1671"/>
    </row>
    <row r="1365" spans="12:128">
      <c r="L1365" s="2481">
        <v>11.02</v>
      </c>
      <c r="M1365" s="340" t="s">
        <v>331</v>
      </c>
      <c r="N1365" s="1390"/>
      <c r="O1365" s="2479"/>
      <c r="P1365" s="2282"/>
      <c r="AG1365" s="2297">
        <v>140</v>
      </c>
      <c r="AH1365" s="2297" t="s">
        <v>338</v>
      </c>
      <c r="AI1365" s="1390"/>
      <c r="AJ1365" s="2282"/>
      <c r="AK1365" s="2282"/>
      <c r="AL1365" s="1037"/>
      <c r="AX1365" s="340">
        <v>9.02</v>
      </c>
      <c r="AY1365" s="340" t="s">
        <v>330</v>
      </c>
      <c r="BN1365" s="340">
        <v>133.02000000000001</v>
      </c>
      <c r="BO1365" s="340" t="s">
        <v>331</v>
      </c>
      <c r="BP1365" s="1385"/>
      <c r="BV1365" s="236">
        <v>8</v>
      </c>
      <c r="BW1365" s="236" t="s">
        <v>316</v>
      </c>
      <c r="CB1365" s="340">
        <v>5.01</v>
      </c>
      <c r="CC1365" s="340" t="s">
        <v>330</v>
      </c>
      <c r="CL1365" s="236">
        <v>72.08</v>
      </c>
      <c r="CM1365" s="236" t="s">
        <v>340</v>
      </c>
      <c r="CR1365" s="340">
        <v>133.19</v>
      </c>
      <c r="CS1365" s="340" t="s">
        <v>316</v>
      </c>
      <c r="CT1365" s="1384"/>
      <c r="DF1365" s="340">
        <v>6.12</v>
      </c>
      <c r="DG1365" s="340" t="s">
        <v>331</v>
      </c>
      <c r="DV1365" s="340">
        <v>140.01</v>
      </c>
      <c r="DW1365" s="340" t="s">
        <v>344</v>
      </c>
      <c r="DX1365" s="1671"/>
    </row>
    <row r="1366" spans="12:128">
      <c r="L1366" s="2481">
        <v>11.03</v>
      </c>
      <c r="M1366" s="340" t="s">
        <v>331</v>
      </c>
      <c r="N1366" s="1390"/>
      <c r="O1366" s="2479"/>
      <c r="P1366" s="2282"/>
      <c r="AG1366" s="2297">
        <v>140.01</v>
      </c>
      <c r="AH1366" s="2297" t="s">
        <v>302</v>
      </c>
      <c r="AI1366" s="1390"/>
      <c r="AJ1366" s="2282"/>
      <c r="AK1366" s="2282"/>
      <c r="AL1366" s="1037"/>
      <c r="AX1366" s="340">
        <v>10</v>
      </c>
      <c r="AY1366" s="340" t="s">
        <v>330</v>
      </c>
      <c r="BN1366" s="340">
        <v>133.05000000000001</v>
      </c>
      <c r="BO1366" s="340" t="s">
        <v>316</v>
      </c>
      <c r="BP1366" s="1385"/>
      <c r="BV1366" s="236">
        <v>9.01</v>
      </c>
      <c r="BW1366" s="236" t="s">
        <v>316</v>
      </c>
      <c r="CB1366" s="340">
        <v>5.0199999999999996</v>
      </c>
      <c r="CC1366" s="340" t="s">
        <v>330</v>
      </c>
      <c r="CL1366" s="236">
        <v>73</v>
      </c>
      <c r="CM1366" s="236" t="s">
        <v>316</v>
      </c>
      <c r="CR1366" s="340">
        <v>133.19999999999999</v>
      </c>
      <c r="CS1366" s="340" t="s">
        <v>316</v>
      </c>
      <c r="CT1366" s="1384"/>
      <c r="DF1366" s="340">
        <v>9.0500000000000007</v>
      </c>
      <c r="DG1366" s="340" t="s">
        <v>331</v>
      </c>
      <c r="DV1366" s="340">
        <v>140.02000000000001</v>
      </c>
      <c r="DW1366" s="340" t="s">
        <v>302</v>
      </c>
      <c r="DX1366" s="1671"/>
    </row>
    <row r="1367" spans="12:128">
      <c r="L1367" s="2481">
        <v>11.04</v>
      </c>
      <c r="M1367" s="340" t="s">
        <v>331</v>
      </c>
      <c r="N1367" s="1390"/>
      <c r="O1367" s="2479"/>
      <c r="P1367" s="2282"/>
      <c r="AG1367" s="2297">
        <v>140.01</v>
      </c>
      <c r="AH1367" s="2297" t="s">
        <v>344</v>
      </c>
      <c r="AI1367" s="1390"/>
      <c r="AJ1367" s="2282"/>
      <c r="AK1367" s="2282"/>
      <c r="AL1367" s="1037"/>
      <c r="AX1367" s="340">
        <v>11.03</v>
      </c>
      <c r="AY1367" s="340" t="s">
        <v>330</v>
      </c>
      <c r="BN1367" s="340">
        <v>133.07</v>
      </c>
      <c r="BO1367" s="340" t="s">
        <v>316</v>
      </c>
      <c r="BP1367" s="1385"/>
      <c r="BV1367" s="236">
        <v>9.02</v>
      </c>
      <c r="BW1367" s="236" t="s">
        <v>316</v>
      </c>
      <c r="CB1367" s="340">
        <v>6.03</v>
      </c>
      <c r="CC1367" s="340" t="s">
        <v>330</v>
      </c>
      <c r="CL1367" s="236">
        <v>73</v>
      </c>
      <c r="CM1367" s="236" t="s">
        <v>331</v>
      </c>
      <c r="CR1367" s="340">
        <v>133.22</v>
      </c>
      <c r="CS1367" s="340" t="s">
        <v>316</v>
      </c>
      <c r="CT1367" s="1384"/>
      <c r="DF1367" s="340">
        <v>11.01</v>
      </c>
      <c r="DG1367" s="340" t="s">
        <v>331</v>
      </c>
      <c r="DV1367" s="340">
        <v>140.03</v>
      </c>
      <c r="DW1367" s="340" t="s">
        <v>316</v>
      </c>
      <c r="DX1367" s="1671"/>
    </row>
    <row r="1368" spans="12:128">
      <c r="L1368" s="2481">
        <v>12.05</v>
      </c>
      <c r="M1368" s="340" t="s">
        <v>331</v>
      </c>
      <c r="N1368" s="1390"/>
      <c r="O1368" s="2479"/>
      <c r="P1368" s="2282"/>
      <c r="AG1368" s="2297">
        <v>140.02000000000001</v>
      </c>
      <c r="AH1368" s="2297" t="s">
        <v>302</v>
      </c>
      <c r="AI1368" s="1390"/>
      <c r="AJ1368" s="2282"/>
      <c r="AK1368" s="2282"/>
      <c r="AL1368" s="1037"/>
      <c r="AX1368" s="340">
        <v>11.05</v>
      </c>
      <c r="AY1368" s="340" t="s">
        <v>330</v>
      </c>
      <c r="BN1368" s="340">
        <v>133.1</v>
      </c>
      <c r="BO1368" s="340" t="s">
        <v>316</v>
      </c>
      <c r="BP1368" s="1385"/>
      <c r="BV1368" s="236">
        <v>10.01</v>
      </c>
      <c r="BW1368" s="236" t="s">
        <v>316</v>
      </c>
      <c r="CB1368" s="340">
        <v>6.04</v>
      </c>
      <c r="CC1368" s="340" t="s">
        <v>330</v>
      </c>
      <c r="CL1368" s="236">
        <v>73.010000000000005</v>
      </c>
      <c r="CM1368" s="236" t="s">
        <v>340</v>
      </c>
      <c r="CR1368" s="340">
        <v>133.22999999999999</v>
      </c>
      <c r="CS1368" s="340" t="s">
        <v>316</v>
      </c>
      <c r="CT1368" s="1384"/>
      <c r="DF1368" s="340">
        <v>11.02</v>
      </c>
      <c r="DG1368" s="340" t="s">
        <v>331</v>
      </c>
      <c r="DV1368" s="340">
        <v>140.03</v>
      </c>
      <c r="DW1368" s="340" t="s">
        <v>344</v>
      </c>
      <c r="DX1368" s="1671"/>
    </row>
    <row r="1369" spans="12:128">
      <c r="L1369" s="2481">
        <v>12.06</v>
      </c>
      <c r="M1369" s="340" t="s">
        <v>331</v>
      </c>
      <c r="N1369" s="1390"/>
      <c r="O1369" s="2479"/>
      <c r="P1369" s="2282"/>
      <c r="AG1369" s="2297">
        <v>140.03</v>
      </c>
      <c r="AH1369" s="2297" t="s">
        <v>316</v>
      </c>
      <c r="AI1369" s="1390"/>
      <c r="AJ1369" s="2282"/>
      <c r="AK1369" s="2282"/>
      <c r="AL1369" s="1037"/>
      <c r="AX1369" s="340">
        <v>11.06</v>
      </c>
      <c r="AY1369" s="340" t="s">
        <v>330</v>
      </c>
      <c r="BN1369" s="340">
        <v>133.13</v>
      </c>
      <c r="BO1369" s="340" t="s">
        <v>316</v>
      </c>
      <c r="BP1369" s="1385"/>
      <c r="BV1369" s="236">
        <v>10.02</v>
      </c>
      <c r="BW1369" s="236" t="s">
        <v>316</v>
      </c>
      <c r="CB1369" s="340">
        <v>6.06</v>
      </c>
      <c r="CC1369" s="340" t="s">
        <v>330</v>
      </c>
      <c r="CL1369" s="236">
        <v>73.02</v>
      </c>
      <c r="CM1369" s="236" t="s">
        <v>340</v>
      </c>
      <c r="CR1369" s="340">
        <v>134.03</v>
      </c>
      <c r="CS1369" s="340" t="s">
        <v>302</v>
      </c>
      <c r="CT1369" s="1384"/>
      <c r="DF1369" s="340">
        <v>11.03</v>
      </c>
      <c r="DG1369" s="340" t="s">
        <v>331</v>
      </c>
      <c r="DV1369" s="340">
        <v>140.05000000000001</v>
      </c>
      <c r="DW1369" s="340" t="s">
        <v>344</v>
      </c>
      <c r="DX1369" s="1671"/>
    </row>
    <row r="1370" spans="12:128">
      <c r="L1370" s="2481">
        <v>13.02</v>
      </c>
      <c r="M1370" s="340" t="s">
        <v>331</v>
      </c>
      <c r="N1370" s="1390"/>
      <c r="O1370" s="2479"/>
      <c r="P1370" s="2282"/>
      <c r="AG1370" s="2297">
        <v>140.03</v>
      </c>
      <c r="AH1370" s="2297" t="s">
        <v>344</v>
      </c>
      <c r="AI1370" s="1390"/>
      <c r="AJ1370" s="2282"/>
      <c r="AK1370" s="2282"/>
      <c r="AL1370" s="1037"/>
      <c r="AX1370" s="340">
        <v>11.08</v>
      </c>
      <c r="AY1370" s="340" t="s">
        <v>330</v>
      </c>
      <c r="BN1370" s="340">
        <v>133.15</v>
      </c>
      <c r="BO1370" s="340" t="s">
        <v>316</v>
      </c>
      <c r="BP1370" s="1385"/>
      <c r="BV1370" s="236">
        <v>11</v>
      </c>
      <c r="BW1370" s="236" t="s">
        <v>316</v>
      </c>
      <c r="CB1370" s="340">
        <v>6.07</v>
      </c>
      <c r="CC1370" s="340" t="s">
        <v>330</v>
      </c>
      <c r="CL1370" s="236">
        <v>74.010000000000005</v>
      </c>
      <c r="CM1370" s="236" t="s">
        <v>331</v>
      </c>
      <c r="CR1370" s="340">
        <v>134.04</v>
      </c>
      <c r="CS1370" s="340" t="s">
        <v>302</v>
      </c>
      <c r="CT1370" s="1384"/>
      <c r="DF1370" s="340">
        <v>11.04</v>
      </c>
      <c r="DG1370" s="340" t="s">
        <v>331</v>
      </c>
      <c r="DV1370" s="340">
        <v>140.06</v>
      </c>
      <c r="DW1370" s="340" t="s">
        <v>344</v>
      </c>
      <c r="DX1370" s="1671"/>
    </row>
    <row r="1371" spans="12:128">
      <c r="L1371" s="2481">
        <v>16.07</v>
      </c>
      <c r="M1371" s="340" t="s">
        <v>331</v>
      </c>
      <c r="N1371" s="1390"/>
      <c r="O1371" s="2479"/>
      <c r="P1371" s="2282"/>
      <c r="AG1371" s="2297">
        <v>140.05000000000001</v>
      </c>
      <c r="AH1371" s="2297" t="s">
        <v>344</v>
      </c>
      <c r="AI1371" s="1390"/>
      <c r="AJ1371" s="2282"/>
      <c r="AK1371" s="2282"/>
      <c r="AL1371" s="1037"/>
      <c r="AX1371" s="340">
        <v>13.02</v>
      </c>
      <c r="AY1371" s="340" t="s">
        <v>330</v>
      </c>
      <c r="BN1371" s="340">
        <v>133.16999999999999</v>
      </c>
      <c r="BO1371" s="340" t="s">
        <v>316</v>
      </c>
      <c r="BP1371" s="1385"/>
      <c r="BV1371" s="236">
        <v>12</v>
      </c>
      <c r="BW1371" s="236" t="s">
        <v>316</v>
      </c>
      <c r="CB1371" s="340">
        <v>6.1</v>
      </c>
      <c r="CC1371" s="340" t="s">
        <v>330</v>
      </c>
      <c r="CL1371" s="236">
        <v>74.02</v>
      </c>
      <c r="CM1371" s="236" t="s">
        <v>331</v>
      </c>
      <c r="CR1371" s="340">
        <v>134.07</v>
      </c>
      <c r="CS1371" s="340" t="s">
        <v>316</v>
      </c>
      <c r="CT1371" s="1384"/>
      <c r="DF1371" s="340">
        <v>12.05</v>
      </c>
      <c r="DG1371" s="340" t="s">
        <v>331</v>
      </c>
      <c r="DV1371" s="340">
        <v>140.07</v>
      </c>
      <c r="DW1371" s="340" t="s">
        <v>316</v>
      </c>
      <c r="DX1371" s="1671"/>
    </row>
    <row r="1372" spans="12:128">
      <c r="L1372" s="2481">
        <v>16.079999999999998</v>
      </c>
      <c r="M1372" s="340" t="s">
        <v>331</v>
      </c>
      <c r="N1372" s="1390"/>
      <c r="O1372" s="2479"/>
      <c r="P1372" s="2282"/>
      <c r="AG1372" s="2297">
        <v>140.06</v>
      </c>
      <c r="AH1372" s="2297" t="s">
        <v>344</v>
      </c>
      <c r="AI1372" s="1390"/>
      <c r="AJ1372" s="2282"/>
      <c r="AK1372" s="2282"/>
      <c r="AL1372" s="1037"/>
      <c r="AX1372" s="340">
        <v>14.04</v>
      </c>
      <c r="AY1372" s="340" t="s">
        <v>330</v>
      </c>
      <c r="BN1372" s="340">
        <v>133.19</v>
      </c>
      <c r="BO1372" s="340" t="s">
        <v>316</v>
      </c>
      <c r="BP1372" s="1385"/>
      <c r="BV1372" s="236">
        <v>13</v>
      </c>
      <c r="BW1372" s="236" t="s">
        <v>316</v>
      </c>
      <c r="CB1372" s="340">
        <v>7.01</v>
      </c>
      <c r="CC1372" s="340" t="s">
        <v>330</v>
      </c>
      <c r="CL1372" s="236">
        <v>74.03</v>
      </c>
      <c r="CM1372" s="236" t="s">
        <v>331</v>
      </c>
      <c r="CR1372" s="340">
        <v>134.09</v>
      </c>
      <c r="CS1372" s="340" t="s">
        <v>316</v>
      </c>
      <c r="CT1372" s="1384"/>
      <c r="DF1372" s="340">
        <v>12.06</v>
      </c>
      <c r="DG1372" s="340" t="s">
        <v>331</v>
      </c>
      <c r="DV1372" s="340">
        <v>140.08000000000001</v>
      </c>
      <c r="DW1372" s="340" t="s">
        <v>316</v>
      </c>
      <c r="DX1372" s="1671"/>
    </row>
    <row r="1373" spans="12:128">
      <c r="L1373" s="2481">
        <v>26</v>
      </c>
      <c r="M1373" s="340" t="s">
        <v>331</v>
      </c>
      <c r="N1373" s="1390"/>
      <c r="O1373" s="2479"/>
      <c r="P1373" s="2282"/>
      <c r="AG1373" s="2297">
        <v>140.07</v>
      </c>
      <c r="AH1373" s="2297" t="s">
        <v>316</v>
      </c>
      <c r="AI1373" s="1390"/>
      <c r="AJ1373" s="2282"/>
      <c r="AK1373" s="2282"/>
      <c r="AL1373" s="1037"/>
      <c r="AX1373" s="340">
        <v>14.06</v>
      </c>
      <c r="AY1373" s="340" t="s">
        <v>330</v>
      </c>
      <c r="BN1373" s="340">
        <v>133.19999999999999</v>
      </c>
      <c r="BO1373" s="340" t="s">
        <v>316</v>
      </c>
      <c r="BP1373" s="1385"/>
      <c r="BV1373" s="236">
        <v>14</v>
      </c>
      <c r="BW1373" s="236" t="s">
        <v>316</v>
      </c>
      <c r="CB1373" s="340">
        <v>9.02</v>
      </c>
      <c r="CC1373" s="340" t="s">
        <v>330</v>
      </c>
      <c r="CL1373" s="236">
        <v>74.069999999999993</v>
      </c>
      <c r="CM1373" s="236" t="s">
        <v>340</v>
      </c>
      <c r="CR1373" s="340">
        <v>134.1</v>
      </c>
      <c r="CS1373" s="340" t="s">
        <v>316</v>
      </c>
      <c r="CT1373" s="1384"/>
      <c r="DF1373" s="340">
        <v>12.07</v>
      </c>
      <c r="DG1373" s="340" t="s">
        <v>331</v>
      </c>
      <c r="DV1373" s="340">
        <v>140.09</v>
      </c>
      <c r="DW1373" s="340" t="s">
        <v>316</v>
      </c>
      <c r="DX1373" s="1671"/>
    </row>
    <row r="1374" spans="12:128">
      <c r="L1374" s="2481">
        <v>27.02</v>
      </c>
      <c r="M1374" s="340" t="s">
        <v>331</v>
      </c>
      <c r="N1374" s="1390"/>
      <c r="O1374" s="2479"/>
      <c r="P1374" s="2282"/>
      <c r="AG1374" s="2297">
        <v>140.08000000000001</v>
      </c>
      <c r="AH1374" s="2297" t="s">
        <v>316</v>
      </c>
      <c r="AI1374" s="1390"/>
      <c r="AJ1374" s="2282"/>
      <c r="AK1374" s="2282"/>
      <c r="AL1374" s="1037"/>
      <c r="AX1374" s="340">
        <v>14.09</v>
      </c>
      <c r="AY1374" s="340" t="s">
        <v>330</v>
      </c>
      <c r="BN1374" s="340">
        <v>133.22</v>
      </c>
      <c r="BO1374" s="340" t="s">
        <v>316</v>
      </c>
      <c r="BP1374" s="1385"/>
      <c r="BV1374" s="236">
        <v>15</v>
      </c>
      <c r="BW1374" s="236" t="s">
        <v>316</v>
      </c>
      <c r="CB1374" s="340">
        <v>11.03</v>
      </c>
      <c r="CC1374" s="340" t="s">
        <v>330</v>
      </c>
      <c r="CL1374" s="236">
        <v>74.099999999999994</v>
      </c>
      <c r="CM1374" s="236" t="s">
        <v>340</v>
      </c>
      <c r="CR1374" s="340">
        <v>134.12</v>
      </c>
      <c r="CS1374" s="340" t="s">
        <v>316</v>
      </c>
      <c r="CT1374" s="1384"/>
      <c r="DF1374" s="340">
        <v>12.08</v>
      </c>
      <c r="DG1374" s="340" t="s">
        <v>331</v>
      </c>
      <c r="DV1374" s="340">
        <v>140.12</v>
      </c>
      <c r="DW1374" s="340" t="s">
        <v>316</v>
      </c>
      <c r="DX1374" s="1671"/>
    </row>
    <row r="1375" spans="12:128">
      <c r="L1375" s="2481">
        <v>27.05</v>
      </c>
      <c r="M1375" s="340" t="s">
        <v>331</v>
      </c>
      <c r="N1375" s="1390"/>
      <c r="O1375" s="2479"/>
      <c r="P1375" s="2282"/>
      <c r="AG1375" s="2297">
        <v>140.09</v>
      </c>
      <c r="AH1375" s="2297" t="s">
        <v>316</v>
      </c>
      <c r="AI1375" s="1390"/>
      <c r="AJ1375" s="2282"/>
      <c r="AK1375" s="2282"/>
      <c r="AL1375" s="1037"/>
      <c r="AX1375" s="340">
        <v>15</v>
      </c>
      <c r="AY1375" s="340" t="s">
        <v>330</v>
      </c>
      <c r="BN1375" s="340">
        <v>133.22999999999999</v>
      </c>
      <c r="BO1375" s="340" t="s">
        <v>316</v>
      </c>
      <c r="BP1375" s="1385"/>
      <c r="BV1375" s="236">
        <v>16</v>
      </c>
      <c r="BW1375" s="236" t="s">
        <v>316</v>
      </c>
      <c r="CB1375" s="340">
        <v>11.05</v>
      </c>
      <c r="CC1375" s="340" t="s">
        <v>330</v>
      </c>
      <c r="CL1375" s="236">
        <v>74.12</v>
      </c>
      <c r="CM1375" s="236" t="s">
        <v>340</v>
      </c>
      <c r="CR1375" s="340">
        <v>134.13</v>
      </c>
      <c r="CS1375" s="340" t="s">
        <v>316</v>
      </c>
      <c r="CT1375" s="1384"/>
      <c r="DF1375" s="340">
        <v>13.02</v>
      </c>
      <c r="DG1375" s="340" t="s">
        <v>331</v>
      </c>
      <c r="DV1375" s="340">
        <v>140.16999999999999</v>
      </c>
      <c r="DW1375" s="340" t="s">
        <v>316</v>
      </c>
      <c r="DX1375" s="1671"/>
    </row>
    <row r="1376" spans="12:128">
      <c r="L1376" s="2481">
        <v>27.07</v>
      </c>
      <c r="M1376" s="340" t="s">
        <v>331</v>
      </c>
      <c r="N1376" s="1390"/>
      <c r="O1376" s="2479"/>
      <c r="P1376" s="2282"/>
      <c r="AG1376" s="2297">
        <v>140.1</v>
      </c>
      <c r="AH1376" s="2297" t="s">
        <v>316</v>
      </c>
      <c r="AI1376" s="1390"/>
      <c r="AJ1376" s="2282"/>
      <c r="AK1376" s="2282"/>
      <c r="AL1376" s="1037"/>
      <c r="AX1376" s="340">
        <v>16.010000000000002</v>
      </c>
      <c r="AY1376" s="340" t="s">
        <v>330</v>
      </c>
      <c r="BN1376" s="340">
        <v>134.04</v>
      </c>
      <c r="BO1376" s="340" t="s">
        <v>302</v>
      </c>
      <c r="BP1376" s="1385"/>
      <c r="BV1376" s="236">
        <v>17</v>
      </c>
      <c r="BW1376" s="236" t="s">
        <v>316</v>
      </c>
      <c r="CB1376" s="340">
        <v>11.06</v>
      </c>
      <c r="CC1376" s="340" t="s">
        <v>330</v>
      </c>
      <c r="CL1376" s="236">
        <v>74.14</v>
      </c>
      <c r="CM1376" s="236" t="s">
        <v>340</v>
      </c>
      <c r="CR1376" s="340">
        <v>134.13999999999999</v>
      </c>
      <c r="CS1376" s="340" t="s">
        <v>316</v>
      </c>
      <c r="CT1376" s="1384"/>
      <c r="DF1376" s="340">
        <v>16.03</v>
      </c>
      <c r="DG1376" s="340" t="s">
        <v>331</v>
      </c>
      <c r="DV1376" s="340">
        <v>141</v>
      </c>
      <c r="DW1376" s="340" t="s">
        <v>338</v>
      </c>
      <c r="DX1376" s="1671"/>
    </row>
    <row r="1377" spans="12:128">
      <c r="L1377" s="2481">
        <v>27.08</v>
      </c>
      <c r="M1377" s="340" t="s">
        <v>331</v>
      </c>
      <c r="N1377" s="1390"/>
      <c r="O1377" s="2479"/>
      <c r="P1377" s="2282"/>
      <c r="AG1377" s="2297">
        <v>140.11000000000001</v>
      </c>
      <c r="AH1377" s="2297" t="s">
        <v>316</v>
      </c>
      <c r="AI1377" s="1390"/>
      <c r="AJ1377" s="2282"/>
      <c r="AK1377" s="2282"/>
      <c r="AL1377" s="1037"/>
      <c r="AX1377" s="340">
        <v>16.02</v>
      </c>
      <c r="AY1377" s="340" t="s">
        <v>330</v>
      </c>
      <c r="BN1377" s="340">
        <v>134.07</v>
      </c>
      <c r="BO1377" s="340" t="s">
        <v>316</v>
      </c>
      <c r="BP1377" s="1385"/>
      <c r="BV1377" s="236">
        <v>18</v>
      </c>
      <c r="BW1377" s="236" t="s">
        <v>316</v>
      </c>
      <c r="CB1377" s="340">
        <v>11.08</v>
      </c>
      <c r="CC1377" s="340" t="s">
        <v>330</v>
      </c>
      <c r="CL1377" s="236">
        <v>74.2</v>
      </c>
      <c r="CM1377" s="236" t="s">
        <v>340</v>
      </c>
      <c r="CR1377" s="340">
        <v>134.15</v>
      </c>
      <c r="CS1377" s="340" t="s">
        <v>316</v>
      </c>
      <c r="CT1377" s="1384"/>
      <c r="DF1377" s="340">
        <v>16.07</v>
      </c>
      <c r="DG1377" s="340" t="s">
        <v>331</v>
      </c>
      <c r="DV1377" s="340">
        <v>141.01</v>
      </c>
      <c r="DW1377" s="340" t="s">
        <v>302</v>
      </c>
      <c r="DX1377" s="1671"/>
    </row>
    <row r="1378" spans="12:128">
      <c r="L1378" s="2481">
        <v>27.09</v>
      </c>
      <c r="M1378" s="340" t="s">
        <v>331</v>
      </c>
      <c r="N1378" s="1390"/>
      <c r="O1378" s="2479"/>
      <c r="P1378" s="2282"/>
      <c r="AG1378" s="2297">
        <v>140.12</v>
      </c>
      <c r="AH1378" s="2297" t="s">
        <v>316</v>
      </c>
      <c r="AI1378" s="1390"/>
      <c r="AJ1378" s="2282"/>
      <c r="AK1378" s="2282"/>
      <c r="AL1378" s="1037"/>
      <c r="AX1378" s="340">
        <v>17.010000000000002</v>
      </c>
      <c r="AY1378" s="340" t="s">
        <v>330</v>
      </c>
      <c r="BN1378" s="340">
        <v>134.09</v>
      </c>
      <c r="BO1378" s="340" t="s">
        <v>316</v>
      </c>
      <c r="BP1378" s="1385"/>
      <c r="BV1378" s="236">
        <v>19</v>
      </c>
      <c r="BW1378" s="236" t="s">
        <v>316</v>
      </c>
      <c r="CB1378" s="340">
        <v>13.02</v>
      </c>
      <c r="CC1378" s="340" t="s">
        <v>330</v>
      </c>
      <c r="CL1378" s="236">
        <v>74.209999999999994</v>
      </c>
      <c r="CM1378" s="236" t="s">
        <v>340</v>
      </c>
      <c r="CR1378" s="340">
        <v>135</v>
      </c>
      <c r="CS1378" s="340" t="s">
        <v>344</v>
      </c>
      <c r="CT1378" s="1384"/>
      <c r="DF1378" s="340">
        <v>16.079999999999998</v>
      </c>
      <c r="DG1378" s="340" t="s">
        <v>331</v>
      </c>
      <c r="DV1378" s="340">
        <v>141.03</v>
      </c>
      <c r="DW1378" s="340" t="s">
        <v>302</v>
      </c>
      <c r="DX1378" s="1671"/>
    </row>
    <row r="1379" spans="12:128">
      <c r="L1379" s="2481">
        <v>27.1</v>
      </c>
      <c r="M1379" s="340" t="s">
        <v>331</v>
      </c>
      <c r="N1379" s="1390"/>
      <c r="O1379" s="2479"/>
      <c r="P1379" s="2282"/>
      <c r="AG1379" s="2297">
        <v>140.16999999999999</v>
      </c>
      <c r="AH1379" s="2297" t="s">
        <v>316</v>
      </c>
      <c r="AI1379" s="1390"/>
      <c r="AJ1379" s="2282"/>
      <c r="AK1379" s="2282"/>
      <c r="AL1379" s="1037"/>
      <c r="AX1379" s="340">
        <v>17.02</v>
      </c>
      <c r="AY1379" s="340" t="s">
        <v>330</v>
      </c>
      <c r="BN1379" s="340">
        <v>134.1</v>
      </c>
      <c r="BO1379" s="340" t="s">
        <v>316</v>
      </c>
      <c r="BP1379" s="1385"/>
      <c r="BV1379" s="236">
        <v>20</v>
      </c>
      <c r="BW1379" s="236" t="s">
        <v>316</v>
      </c>
      <c r="CB1379" s="340">
        <v>14.04</v>
      </c>
      <c r="CC1379" s="340" t="s">
        <v>330</v>
      </c>
      <c r="CL1379" s="236">
        <v>75.010000000000005</v>
      </c>
      <c r="CM1379" s="236" t="s">
        <v>331</v>
      </c>
      <c r="CR1379" s="340">
        <v>135.01</v>
      </c>
      <c r="CS1379" s="340" t="s">
        <v>316</v>
      </c>
      <c r="CT1379" s="1384"/>
      <c r="DF1379" s="340">
        <v>26</v>
      </c>
      <c r="DG1379" s="340" t="s">
        <v>331</v>
      </c>
      <c r="DV1379" s="340">
        <v>141.04</v>
      </c>
      <c r="DW1379" s="340" t="s">
        <v>302</v>
      </c>
      <c r="DX1379" s="1671"/>
    </row>
    <row r="1380" spans="12:128">
      <c r="L1380" s="2481">
        <v>30.04</v>
      </c>
      <c r="M1380" s="340" t="s">
        <v>331</v>
      </c>
      <c r="N1380" s="1390"/>
      <c r="O1380" s="2479"/>
      <c r="P1380" s="2282"/>
      <c r="AG1380" s="2297">
        <v>141</v>
      </c>
      <c r="AH1380" s="2297" t="s">
        <v>338</v>
      </c>
      <c r="AI1380" s="1390"/>
      <c r="AJ1380" s="2282"/>
      <c r="AK1380" s="2282"/>
      <c r="AL1380" s="1037"/>
      <c r="AX1380" s="340">
        <v>17.03</v>
      </c>
      <c r="AY1380" s="340" t="s">
        <v>330</v>
      </c>
      <c r="BN1380" s="340">
        <v>134.12</v>
      </c>
      <c r="BO1380" s="340" t="s">
        <v>316</v>
      </c>
      <c r="BP1380" s="1385"/>
      <c r="BV1380" s="236">
        <v>21</v>
      </c>
      <c r="BW1380" s="236" t="s">
        <v>316</v>
      </c>
      <c r="CB1380" s="340">
        <v>14.06</v>
      </c>
      <c r="CC1380" s="340" t="s">
        <v>330</v>
      </c>
      <c r="CL1380" s="236">
        <v>75.010000000000005</v>
      </c>
      <c r="CM1380" s="236" t="s">
        <v>340</v>
      </c>
      <c r="CR1380" s="340">
        <v>135.22</v>
      </c>
      <c r="CS1380" s="340" t="s">
        <v>302</v>
      </c>
      <c r="CT1380" s="1384"/>
      <c r="DF1380" s="340">
        <v>27.02</v>
      </c>
      <c r="DG1380" s="340" t="s">
        <v>331</v>
      </c>
      <c r="DV1380" s="340">
        <v>141.04</v>
      </c>
      <c r="DW1380" s="340" t="s">
        <v>344</v>
      </c>
      <c r="DX1380" s="1671"/>
    </row>
    <row r="1381" spans="12:128">
      <c r="L1381" s="2481">
        <v>36.03</v>
      </c>
      <c r="M1381" s="340" t="s">
        <v>331</v>
      </c>
      <c r="N1381" s="1390"/>
      <c r="O1381" s="2479"/>
      <c r="P1381" s="2282"/>
      <c r="AG1381" s="2297">
        <v>141.01</v>
      </c>
      <c r="AH1381" s="2297" t="s">
        <v>302</v>
      </c>
      <c r="AI1381" s="1390"/>
      <c r="AJ1381" s="2282"/>
      <c r="AK1381" s="2282"/>
      <c r="AL1381" s="1037"/>
      <c r="AX1381" s="340">
        <v>1.07</v>
      </c>
      <c r="AY1381" s="340" t="s">
        <v>331</v>
      </c>
      <c r="BN1381" s="340">
        <v>134.13</v>
      </c>
      <c r="BO1381" s="340" t="s">
        <v>316</v>
      </c>
      <c r="BP1381" s="1385"/>
      <c r="BV1381" s="236">
        <v>22</v>
      </c>
      <c r="BW1381" s="236" t="s">
        <v>316</v>
      </c>
      <c r="CB1381" s="340">
        <v>14.09</v>
      </c>
      <c r="CC1381" s="340" t="s">
        <v>330</v>
      </c>
      <c r="CL1381" s="236">
        <v>75.03</v>
      </c>
      <c r="CM1381" s="236" t="s">
        <v>331</v>
      </c>
      <c r="CR1381" s="340">
        <v>135.22999999999999</v>
      </c>
      <c r="CS1381" s="340" t="s">
        <v>302</v>
      </c>
      <c r="CT1381" s="1384"/>
      <c r="DF1381" s="340">
        <v>27.05</v>
      </c>
      <c r="DG1381" s="340" t="s">
        <v>331</v>
      </c>
      <c r="DV1381" s="340">
        <v>141.08000000000001</v>
      </c>
      <c r="DW1381" s="340" t="s">
        <v>316</v>
      </c>
      <c r="DX1381" s="1671"/>
    </row>
    <row r="1382" spans="12:128">
      <c r="L1382" s="2481">
        <v>37.03</v>
      </c>
      <c r="M1382" s="340" t="s">
        <v>331</v>
      </c>
      <c r="N1382" s="1390"/>
      <c r="O1382" s="2479"/>
      <c r="P1382" s="2282"/>
      <c r="AG1382" s="2297">
        <v>141.03</v>
      </c>
      <c r="AH1382" s="2297" t="s">
        <v>302</v>
      </c>
      <c r="AI1382" s="1390"/>
      <c r="AJ1382" s="2282"/>
      <c r="AK1382" s="2282"/>
      <c r="AL1382" s="1037"/>
      <c r="AX1382" s="340">
        <v>1.0900000000000001</v>
      </c>
      <c r="AY1382" s="340" t="s">
        <v>331</v>
      </c>
      <c r="BN1382" s="340">
        <v>134.13999999999999</v>
      </c>
      <c r="BO1382" s="340" t="s">
        <v>316</v>
      </c>
      <c r="BP1382" s="1385"/>
      <c r="BV1382" s="236">
        <v>23</v>
      </c>
      <c r="BW1382" s="236" t="s">
        <v>316</v>
      </c>
      <c r="CB1382" s="340">
        <v>15</v>
      </c>
      <c r="CC1382" s="340" t="s">
        <v>330</v>
      </c>
      <c r="CL1382" s="236">
        <v>75.040000000000006</v>
      </c>
      <c r="CM1382" s="236" t="s">
        <v>340</v>
      </c>
      <c r="CR1382" s="340">
        <v>136.05000000000001</v>
      </c>
      <c r="CS1382" s="340" t="s">
        <v>338</v>
      </c>
      <c r="CT1382" s="1384"/>
      <c r="DF1382" s="340">
        <v>27.07</v>
      </c>
      <c r="DG1382" s="340" t="s">
        <v>331</v>
      </c>
      <c r="DV1382" s="340">
        <v>141.09</v>
      </c>
      <c r="DW1382" s="340" t="s">
        <v>316</v>
      </c>
      <c r="DX1382" s="1671"/>
    </row>
    <row r="1383" spans="12:128">
      <c r="L1383" s="2481">
        <v>37.049999999999997</v>
      </c>
      <c r="M1383" s="340" t="s">
        <v>331</v>
      </c>
      <c r="N1383" s="1390"/>
      <c r="O1383" s="2479"/>
      <c r="P1383" s="2282"/>
      <c r="AG1383" s="2297">
        <v>141.04</v>
      </c>
      <c r="AH1383" s="2297" t="s">
        <v>302</v>
      </c>
      <c r="AI1383" s="1390"/>
      <c r="AJ1383" s="2282"/>
      <c r="AK1383" s="2282"/>
      <c r="AL1383" s="1037"/>
      <c r="AX1383" s="340">
        <v>1.1499999999999999</v>
      </c>
      <c r="AY1383" s="340" t="s">
        <v>331</v>
      </c>
      <c r="BN1383" s="340">
        <v>134.15</v>
      </c>
      <c r="BO1383" s="340" t="s">
        <v>316</v>
      </c>
      <c r="BP1383" s="1385"/>
      <c r="BV1383" s="236">
        <v>24</v>
      </c>
      <c r="BW1383" s="236" t="s">
        <v>316</v>
      </c>
      <c r="CB1383" s="340">
        <v>16.010000000000002</v>
      </c>
      <c r="CC1383" s="340" t="s">
        <v>330</v>
      </c>
      <c r="CL1383" s="236">
        <v>75.05</v>
      </c>
      <c r="CM1383" s="236" t="s">
        <v>340</v>
      </c>
      <c r="CR1383" s="340">
        <v>137.01</v>
      </c>
      <c r="CS1383" s="340" t="s">
        <v>338</v>
      </c>
      <c r="CT1383" s="1384"/>
      <c r="DF1383" s="340">
        <v>27.08</v>
      </c>
      <c r="DG1383" s="340" t="s">
        <v>331</v>
      </c>
      <c r="DV1383" s="340">
        <v>141.16999999999999</v>
      </c>
      <c r="DW1383" s="340" t="s">
        <v>316</v>
      </c>
      <c r="DX1383" s="1671"/>
    </row>
    <row r="1384" spans="12:128">
      <c r="L1384" s="2481">
        <v>37.06</v>
      </c>
      <c r="M1384" s="340" t="s">
        <v>331</v>
      </c>
      <c r="N1384" s="1390"/>
      <c r="O1384" s="2479"/>
      <c r="P1384" s="2282"/>
      <c r="AG1384" s="2297">
        <v>141.06</v>
      </c>
      <c r="AH1384" s="2297" t="s">
        <v>316</v>
      </c>
      <c r="AI1384" s="1390"/>
      <c r="AJ1384" s="2282"/>
      <c r="AK1384" s="2282"/>
      <c r="AL1384" s="1037"/>
      <c r="AX1384" s="340">
        <v>1.18</v>
      </c>
      <c r="AY1384" s="340" t="s">
        <v>331</v>
      </c>
      <c r="BN1384" s="340">
        <v>135</v>
      </c>
      <c r="BO1384" s="340" t="s">
        <v>344</v>
      </c>
      <c r="BP1384" s="1385"/>
      <c r="BV1384" s="236">
        <v>25</v>
      </c>
      <c r="BW1384" s="236" t="s">
        <v>316</v>
      </c>
      <c r="CB1384" s="340">
        <v>16.02</v>
      </c>
      <c r="CC1384" s="340" t="s">
        <v>330</v>
      </c>
      <c r="CL1384" s="236">
        <v>76.010000000000005</v>
      </c>
      <c r="CM1384" s="236" t="s">
        <v>331</v>
      </c>
      <c r="CR1384" s="340">
        <v>137.02000000000001</v>
      </c>
      <c r="CS1384" s="340" t="s">
        <v>316</v>
      </c>
      <c r="CT1384" s="1384"/>
      <c r="DF1384" s="340">
        <v>27.09</v>
      </c>
      <c r="DG1384" s="340" t="s">
        <v>331</v>
      </c>
      <c r="DV1384" s="340">
        <v>141.18</v>
      </c>
      <c r="DW1384" s="340" t="s">
        <v>316</v>
      </c>
      <c r="DX1384" s="1671"/>
    </row>
    <row r="1385" spans="12:128">
      <c r="L1385" s="2481">
        <v>37.07</v>
      </c>
      <c r="M1385" s="340" t="s">
        <v>331</v>
      </c>
      <c r="N1385" s="1390"/>
      <c r="O1385" s="2479"/>
      <c r="P1385" s="2282"/>
      <c r="AG1385" s="2297">
        <v>141.09</v>
      </c>
      <c r="AH1385" s="2297" t="s">
        <v>316</v>
      </c>
      <c r="AI1385" s="1390"/>
      <c r="AJ1385" s="2282"/>
      <c r="AK1385" s="2282"/>
      <c r="AL1385" s="1037"/>
      <c r="AX1385" s="340">
        <v>1.2</v>
      </c>
      <c r="AY1385" s="340" t="s">
        <v>331</v>
      </c>
      <c r="BN1385" s="340">
        <v>135.22</v>
      </c>
      <c r="BO1385" s="340" t="s">
        <v>302</v>
      </c>
      <c r="BP1385" s="1385"/>
      <c r="BV1385" s="236">
        <v>26</v>
      </c>
      <c r="BW1385" s="236" t="s">
        <v>316</v>
      </c>
      <c r="CB1385" s="340">
        <v>17.010000000000002</v>
      </c>
      <c r="CC1385" s="340" t="s">
        <v>330</v>
      </c>
      <c r="CL1385" s="236">
        <v>76.03</v>
      </c>
      <c r="CM1385" s="236" t="s">
        <v>331</v>
      </c>
      <c r="CR1385" s="340">
        <v>137.03</v>
      </c>
      <c r="CS1385" s="340" t="s">
        <v>316</v>
      </c>
      <c r="CT1385" s="1384"/>
      <c r="DF1385" s="340">
        <v>27.1</v>
      </c>
      <c r="DG1385" s="340" t="s">
        <v>331</v>
      </c>
      <c r="DV1385" s="340">
        <v>141.19</v>
      </c>
      <c r="DW1385" s="340" t="s">
        <v>316</v>
      </c>
      <c r="DX1385" s="1671"/>
    </row>
    <row r="1386" spans="12:128">
      <c r="L1386" s="2481">
        <v>37.08</v>
      </c>
      <c r="M1386" s="340" t="s">
        <v>331</v>
      </c>
      <c r="N1386" s="1390"/>
      <c r="O1386" s="2479"/>
      <c r="P1386" s="2282"/>
      <c r="AG1386" s="2297">
        <v>141.16999999999999</v>
      </c>
      <c r="AH1386" s="2297" t="s">
        <v>316</v>
      </c>
      <c r="AI1386" s="1390"/>
      <c r="AJ1386" s="2282"/>
      <c r="AK1386" s="2282"/>
      <c r="AL1386" s="1037"/>
      <c r="AX1386" s="340">
        <v>1.21</v>
      </c>
      <c r="AY1386" s="340" t="s">
        <v>331</v>
      </c>
      <c r="BN1386" s="340">
        <v>135.22999999999999</v>
      </c>
      <c r="BO1386" s="340" t="s">
        <v>302</v>
      </c>
      <c r="BP1386" s="1385"/>
      <c r="BV1386" s="236">
        <v>27.01</v>
      </c>
      <c r="BW1386" s="236" t="s">
        <v>316</v>
      </c>
      <c r="CB1386" s="340">
        <v>17.02</v>
      </c>
      <c r="CC1386" s="340" t="s">
        <v>330</v>
      </c>
      <c r="CL1386" s="236">
        <v>76.03</v>
      </c>
      <c r="CM1386" s="236" t="s">
        <v>340</v>
      </c>
      <c r="CR1386" s="340">
        <v>137.06</v>
      </c>
      <c r="CS1386" s="340" t="s">
        <v>316</v>
      </c>
      <c r="CT1386" s="1384"/>
      <c r="DF1386" s="340">
        <v>30.01</v>
      </c>
      <c r="DG1386" s="340" t="s">
        <v>331</v>
      </c>
      <c r="DV1386" s="340">
        <v>141.21</v>
      </c>
      <c r="DW1386" s="340" t="s">
        <v>316</v>
      </c>
      <c r="DX1386" s="1671"/>
    </row>
    <row r="1387" spans="12:128">
      <c r="L1387" s="2481">
        <v>37.090000000000003</v>
      </c>
      <c r="M1387" s="340" t="s">
        <v>331</v>
      </c>
      <c r="N1387" s="1390"/>
      <c r="O1387" s="2479"/>
      <c r="P1387" s="2282"/>
      <c r="AG1387" s="2297">
        <v>141.18</v>
      </c>
      <c r="AH1387" s="2297" t="s">
        <v>316</v>
      </c>
      <c r="AI1387" s="1390"/>
      <c r="AJ1387" s="2282"/>
      <c r="AK1387" s="2282"/>
      <c r="AL1387" s="1037"/>
      <c r="AX1387" s="340">
        <v>1.22</v>
      </c>
      <c r="AY1387" s="340" t="s">
        <v>331</v>
      </c>
      <c r="BN1387" s="340">
        <v>136.05000000000001</v>
      </c>
      <c r="BO1387" s="340" t="s">
        <v>338</v>
      </c>
      <c r="BP1387" s="1385"/>
      <c r="BV1387" s="236">
        <v>27.02</v>
      </c>
      <c r="BW1387" s="236" t="s">
        <v>316</v>
      </c>
      <c r="CB1387" s="340">
        <v>17.03</v>
      </c>
      <c r="CC1387" s="340" t="s">
        <v>330</v>
      </c>
      <c r="CL1387" s="236">
        <v>76.040000000000006</v>
      </c>
      <c r="CM1387" s="236" t="s">
        <v>340</v>
      </c>
      <c r="CR1387" s="340">
        <v>137.22999999999999</v>
      </c>
      <c r="CS1387" s="340" t="s">
        <v>302</v>
      </c>
      <c r="CT1387" s="1384"/>
      <c r="DF1387" s="340">
        <v>37.03</v>
      </c>
      <c r="DG1387" s="340" t="s">
        <v>331</v>
      </c>
      <c r="DV1387" s="340">
        <v>141.21</v>
      </c>
      <c r="DW1387" s="340" t="s">
        <v>344</v>
      </c>
      <c r="DX1387" s="1671"/>
    </row>
    <row r="1388" spans="12:128">
      <c r="L1388" s="2481">
        <v>37.1</v>
      </c>
      <c r="M1388" s="340" t="s">
        <v>331</v>
      </c>
      <c r="N1388" s="1390"/>
      <c r="O1388" s="2479"/>
      <c r="P1388" s="2282"/>
      <c r="AG1388" s="2297">
        <v>141.19</v>
      </c>
      <c r="AH1388" s="2297" t="s">
        <v>316</v>
      </c>
      <c r="AI1388" s="1390"/>
      <c r="AJ1388" s="2282"/>
      <c r="AK1388" s="2282"/>
      <c r="AL1388" s="1037"/>
      <c r="AX1388" s="340">
        <v>1.23</v>
      </c>
      <c r="AY1388" s="340" t="s">
        <v>331</v>
      </c>
      <c r="BN1388" s="340">
        <v>137.02000000000001</v>
      </c>
      <c r="BO1388" s="340" t="s">
        <v>316</v>
      </c>
      <c r="BP1388" s="1385"/>
      <c r="BV1388" s="236">
        <v>28</v>
      </c>
      <c r="BW1388" s="236" t="s">
        <v>316</v>
      </c>
      <c r="CB1388" s="340">
        <v>1.07</v>
      </c>
      <c r="CC1388" s="340" t="s">
        <v>331</v>
      </c>
      <c r="CL1388" s="236">
        <v>76.05</v>
      </c>
      <c r="CM1388" s="236" t="s">
        <v>331</v>
      </c>
      <c r="CR1388" s="340">
        <v>137.28</v>
      </c>
      <c r="CS1388" s="340" t="s">
        <v>302</v>
      </c>
      <c r="CT1388" s="1384"/>
      <c r="DF1388" s="340">
        <v>37.04</v>
      </c>
      <c r="DG1388" s="340" t="s">
        <v>331</v>
      </c>
      <c r="DV1388" s="340">
        <v>141.22</v>
      </c>
      <c r="DW1388" s="340" t="s">
        <v>316</v>
      </c>
      <c r="DX1388" s="1671"/>
    </row>
    <row r="1389" spans="12:128">
      <c r="L1389" s="2481">
        <v>38.01</v>
      </c>
      <c r="M1389" s="340" t="s">
        <v>331</v>
      </c>
      <c r="N1389" s="1390"/>
      <c r="O1389" s="2479"/>
      <c r="P1389" s="2282"/>
      <c r="AG1389" s="2297">
        <v>141.21</v>
      </c>
      <c r="AH1389" s="2297" t="s">
        <v>316</v>
      </c>
      <c r="AI1389" s="1390"/>
      <c r="AJ1389" s="2282"/>
      <c r="AK1389" s="2282"/>
      <c r="AL1389" s="1037"/>
      <c r="AX1389" s="340">
        <v>1.25</v>
      </c>
      <c r="AY1389" s="340" t="s">
        <v>331</v>
      </c>
      <c r="BN1389" s="340">
        <v>137.03</v>
      </c>
      <c r="BO1389" s="340" t="s">
        <v>316</v>
      </c>
      <c r="BP1389" s="1385"/>
      <c r="BV1389" s="236">
        <v>29</v>
      </c>
      <c r="BW1389" s="236" t="s">
        <v>316</v>
      </c>
      <c r="CB1389" s="340">
        <v>1.0900000000000001</v>
      </c>
      <c r="CC1389" s="340" t="s">
        <v>331</v>
      </c>
      <c r="CL1389" s="236">
        <v>76.05</v>
      </c>
      <c r="CM1389" s="236" t="s">
        <v>340</v>
      </c>
      <c r="CR1389" s="340">
        <v>137.29</v>
      </c>
      <c r="CS1389" s="340" t="s">
        <v>302</v>
      </c>
      <c r="CT1389" s="1384"/>
      <c r="DF1389" s="340">
        <v>37.049999999999997</v>
      </c>
      <c r="DG1389" s="340" t="s">
        <v>331</v>
      </c>
      <c r="DV1389" s="340">
        <v>141.22999999999999</v>
      </c>
      <c r="DW1389" s="340" t="s">
        <v>344</v>
      </c>
      <c r="DX1389" s="1671"/>
    </row>
    <row r="1390" spans="12:128">
      <c r="L1390" s="2481">
        <v>38.03</v>
      </c>
      <c r="M1390" s="340" t="s">
        <v>331</v>
      </c>
      <c r="N1390" s="1390"/>
      <c r="O1390" s="2479"/>
      <c r="P1390" s="2282"/>
      <c r="AG1390" s="2297">
        <v>141.21</v>
      </c>
      <c r="AH1390" s="2297" t="s">
        <v>344</v>
      </c>
      <c r="AI1390" s="1390"/>
      <c r="AJ1390" s="2282"/>
      <c r="AK1390" s="2282"/>
      <c r="AL1390" s="1037"/>
      <c r="AX1390" s="340">
        <v>1.26</v>
      </c>
      <c r="AY1390" s="340" t="s">
        <v>331</v>
      </c>
      <c r="BN1390" s="340">
        <v>137.06</v>
      </c>
      <c r="BO1390" s="340" t="s">
        <v>316</v>
      </c>
      <c r="BP1390" s="1385"/>
      <c r="BV1390" s="236">
        <v>30</v>
      </c>
      <c r="BW1390" s="236" t="s">
        <v>316</v>
      </c>
      <c r="CB1390" s="340">
        <v>1.1499999999999999</v>
      </c>
      <c r="CC1390" s="340" t="s">
        <v>331</v>
      </c>
      <c r="CL1390" s="236">
        <v>76.069999999999993</v>
      </c>
      <c r="CM1390" s="236" t="s">
        <v>331</v>
      </c>
      <c r="CR1390" s="340">
        <v>137.30000000000001</v>
      </c>
      <c r="CS1390" s="340" t="s">
        <v>302</v>
      </c>
      <c r="CT1390" s="1384"/>
      <c r="DF1390" s="340">
        <v>37.06</v>
      </c>
      <c r="DG1390" s="340" t="s">
        <v>331</v>
      </c>
      <c r="DV1390" s="340">
        <v>141.26</v>
      </c>
      <c r="DW1390" s="340" t="s">
        <v>344</v>
      </c>
      <c r="DX1390" s="1671"/>
    </row>
    <row r="1391" spans="12:128">
      <c r="L1391" s="2481">
        <v>38.04</v>
      </c>
      <c r="M1391" s="340" t="s">
        <v>331</v>
      </c>
      <c r="N1391" s="1390"/>
      <c r="O1391" s="2479"/>
      <c r="P1391" s="2282"/>
      <c r="AG1391" s="2297">
        <v>141.22</v>
      </c>
      <c r="AH1391" s="2297" t="s">
        <v>316</v>
      </c>
      <c r="AI1391" s="1390"/>
      <c r="AJ1391" s="2282"/>
      <c r="AK1391" s="2282"/>
      <c r="AL1391" s="1037"/>
      <c r="AX1391" s="340">
        <v>1.28</v>
      </c>
      <c r="AY1391" s="340" t="s">
        <v>331</v>
      </c>
      <c r="BN1391" s="340">
        <v>137.22999999999999</v>
      </c>
      <c r="BO1391" s="340" t="s">
        <v>302</v>
      </c>
      <c r="BP1391" s="1385"/>
      <c r="BV1391" s="236">
        <v>31</v>
      </c>
      <c r="BW1391" s="236" t="s">
        <v>316</v>
      </c>
      <c r="CB1391" s="340">
        <v>1.18</v>
      </c>
      <c r="CC1391" s="340" t="s">
        <v>331</v>
      </c>
      <c r="CL1391" s="236">
        <v>76.08</v>
      </c>
      <c r="CM1391" s="236" t="s">
        <v>331</v>
      </c>
      <c r="CR1391" s="340">
        <v>137.31</v>
      </c>
      <c r="CS1391" s="340" t="s">
        <v>302</v>
      </c>
      <c r="CT1391" s="1384"/>
      <c r="DF1391" s="340">
        <v>37.07</v>
      </c>
      <c r="DG1391" s="340" t="s">
        <v>331</v>
      </c>
      <c r="DV1391" s="340">
        <v>141.27000000000001</v>
      </c>
      <c r="DW1391" s="340" t="s">
        <v>344</v>
      </c>
      <c r="DX1391" s="1671"/>
    </row>
    <row r="1392" spans="12:128">
      <c r="L1392" s="2481">
        <v>39.06</v>
      </c>
      <c r="M1392" s="340" t="s">
        <v>331</v>
      </c>
      <c r="N1392" s="1390"/>
      <c r="O1392" s="2479"/>
      <c r="P1392" s="2282"/>
      <c r="AG1392" s="2297">
        <v>141.22999999999999</v>
      </c>
      <c r="AH1392" s="2297" t="s">
        <v>344</v>
      </c>
      <c r="AI1392" s="1390"/>
      <c r="AJ1392" s="2282"/>
      <c r="AK1392" s="2282"/>
      <c r="AL1392" s="1037"/>
      <c r="AX1392" s="340">
        <v>1.29</v>
      </c>
      <c r="AY1392" s="340" t="s">
        <v>331</v>
      </c>
      <c r="BN1392" s="340">
        <v>137.28</v>
      </c>
      <c r="BO1392" s="340" t="s">
        <v>302</v>
      </c>
      <c r="BP1392" s="1385"/>
      <c r="BV1392" s="236">
        <v>32</v>
      </c>
      <c r="BW1392" s="236" t="s">
        <v>316</v>
      </c>
      <c r="CB1392" s="340">
        <v>1.2</v>
      </c>
      <c r="CC1392" s="340" t="s">
        <v>331</v>
      </c>
      <c r="CL1392" s="236">
        <v>76.09</v>
      </c>
      <c r="CM1392" s="236" t="s">
        <v>331</v>
      </c>
      <c r="CR1392" s="340">
        <v>137.32</v>
      </c>
      <c r="CS1392" s="340" t="s">
        <v>302</v>
      </c>
      <c r="CT1392" s="1384"/>
      <c r="DF1392" s="340">
        <v>37.08</v>
      </c>
      <c r="DG1392" s="340" t="s">
        <v>331</v>
      </c>
      <c r="DV1392" s="340">
        <v>141.29</v>
      </c>
      <c r="DW1392" s="340" t="s">
        <v>344</v>
      </c>
      <c r="DX1392" s="1671"/>
    </row>
    <row r="1393" spans="12:128">
      <c r="L1393" s="2481">
        <v>39.090000000000003</v>
      </c>
      <c r="M1393" s="340" t="s">
        <v>331</v>
      </c>
      <c r="N1393" s="1390"/>
      <c r="O1393" s="2479"/>
      <c r="P1393" s="2282"/>
      <c r="AG1393" s="2297">
        <v>141.24</v>
      </c>
      <c r="AH1393" s="2297" t="s">
        <v>344</v>
      </c>
      <c r="AI1393" s="1390"/>
      <c r="AJ1393" s="2282"/>
      <c r="AK1393" s="2282"/>
      <c r="AL1393" s="1037"/>
      <c r="AX1393" s="340">
        <v>1.3</v>
      </c>
      <c r="AY1393" s="340" t="s">
        <v>331</v>
      </c>
      <c r="BN1393" s="340">
        <v>137.30000000000001</v>
      </c>
      <c r="BO1393" s="340" t="s">
        <v>302</v>
      </c>
      <c r="BP1393" s="1385"/>
      <c r="BV1393" s="236">
        <v>33</v>
      </c>
      <c r="BW1393" s="236" t="s">
        <v>316</v>
      </c>
      <c r="CB1393" s="340">
        <v>1.21</v>
      </c>
      <c r="CC1393" s="340" t="s">
        <v>331</v>
      </c>
      <c r="CL1393" s="236">
        <v>76.099999999999994</v>
      </c>
      <c r="CM1393" s="236" t="s">
        <v>331</v>
      </c>
      <c r="CR1393" s="340">
        <v>137.33000000000001</v>
      </c>
      <c r="CS1393" s="340" t="s">
        <v>302</v>
      </c>
      <c r="CT1393" s="1384"/>
      <c r="DF1393" s="340">
        <v>37.090000000000003</v>
      </c>
      <c r="DG1393" s="340" t="s">
        <v>331</v>
      </c>
      <c r="DV1393" s="340">
        <v>141.30000000000001</v>
      </c>
      <c r="DW1393" s="340" t="s">
        <v>344</v>
      </c>
      <c r="DX1393" s="1671"/>
    </row>
    <row r="1394" spans="12:128">
      <c r="L1394" s="2481">
        <v>39.119999999999997</v>
      </c>
      <c r="M1394" s="340" t="s">
        <v>331</v>
      </c>
      <c r="N1394" s="1390"/>
      <c r="O1394" s="2479"/>
      <c r="P1394" s="2282"/>
      <c r="AG1394" s="2297">
        <v>141.26</v>
      </c>
      <c r="AH1394" s="2297" t="s">
        <v>344</v>
      </c>
      <c r="AI1394" s="1390"/>
      <c r="AJ1394" s="2282"/>
      <c r="AK1394" s="2282"/>
      <c r="AL1394" s="1037"/>
      <c r="AX1394" s="340">
        <v>1.31</v>
      </c>
      <c r="AY1394" s="340" t="s">
        <v>331</v>
      </c>
      <c r="BN1394" s="340">
        <v>137.31</v>
      </c>
      <c r="BO1394" s="340" t="s">
        <v>302</v>
      </c>
      <c r="BP1394" s="1385"/>
      <c r="BV1394" s="236">
        <v>34</v>
      </c>
      <c r="BW1394" s="236" t="s">
        <v>316</v>
      </c>
      <c r="CB1394" s="340">
        <v>1.22</v>
      </c>
      <c r="CC1394" s="340" t="s">
        <v>331</v>
      </c>
      <c r="CL1394" s="236">
        <v>76.099999999999994</v>
      </c>
      <c r="CM1394" s="236" t="s">
        <v>340</v>
      </c>
      <c r="CR1394" s="340">
        <v>138</v>
      </c>
      <c r="CS1394" s="340" t="s">
        <v>302</v>
      </c>
      <c r="CT1394" s="1384"/>
      <c r="DF1394" s="340">
        <v>37.1</v>
      </c>
      <c r="DG1394" s="340" t="s">
        <v>331</v>
      </c>
      <c r="DV1394" s="340">
        <v>142</v>
      </c>
      <c r="DW1394" s="340" t="s">
        <v>331</v>
      </c>
      <c r="DX1394" s="1671"/>
    </row>
    <row r="1395" spans="12:128">
      <c r="L1395" s="2481">
        <v>39.159999999999997</v>
      </c>
      <c r="M1395" s="340" t="s">
        <v>331</v>
      </c>
      <c r="N1395" s="1390"/>
      <c r="O1395" s="2479"/>
      <c r="P1395" s="2282"/>
      <c r="AG1395" s="2297">
        <v>141.28</v>
      </c>
      <c r="AH1395" s="2297" t="s">
        <v>344</v>
      </c>
      <c r="AI1395" s="1390"/>
      <c r="AJ1395" s="2282"/>
      <c r="AK1395" s="2282"/>
      <c r="AL1395" s="1037"/>
      <c r="AX1395" s="340">
        <v>1.34</v>
      </c>
      <c r="AY1395" s="340" t="s">
        <v>331</v>
      </c>
      <c r="BN1395" s="340">
        <v>137.32</v>
      </c>
      <c r="BO1395" s="340" t="s">
        <v>302</v>
      </c>
      <c r="BP1395" s="1385"/>
      <c r="BV1395" s="236">
        <v>35</v>
      </c>
      <c r="BW1395" s="236" t="s">
        <v>316</v>
      </c>
      <c r="CB1395" s="340">
        <v>1.23</v>
      </c>
      <c r="CC1395" s="340" t="s">
        <v>331</v>
      </c>
      <c r="CL1395" s="236">
        <v>76.12</v>
      </c>
      <c r="CM1395" s="236" t="s">
        <v>340</v>
      </c>
      <c r="CR1395" s="340">
        <v>138.01</v>
      </c>
      <c r="CS1395" s="340" t="s">
        <v>338</v>
      </c>
      <c r="CT1395" s="1384"/>
      <c r="DF1395" s="340">
        <v>38.01</v>
      </c>
      <c r="DG1395" s="340" t="s">
        <v>331</v>
      </c>
      <c r="DV1395" s="340">
        <v>142.02000000000001</v>
      </c>
      <c r="DW1395" s="340" t="s">
        <v>344</v>
      </c>
      <c r="DX1395" s="1671"/>
    </row>
    <row r="1396" spans="12:128">
      <c r="L1396" s="2481">
        <v>39.17</v>
      </c>
      <c r="M1396" s="340" t="s">
        <v>331</v>
      </c>
      <c r="N1396" s="1390"/>
      <c r="O1396" s="2479"/>
      <c r="P1396" s="2282"/>
      <c r="AG1396" s="2297">
        <v>141.29</v>
      </c>
      <c r="AH1396" s="2297" t="s">
        <v>344</v>
      </c>
      <c r="AI1396" s="1390"/>
      <c r="AJ1396" s="2282"/>
      <c r="AK1396" s="2282"/>
      <c r="AL1396" s="1037"/>
      <c r="AX1396" s="340">
        <v>1.4</v>
      </c>
      <c r="AY1396" s="340" t="s">
        <v>331</v>
      </c>
      <c r="BN1396" s="340">
        <v>137.33000000000001</v>
      </c>
      <c r="BO1396" s="340" t="s">
        <v>302</v>
      </c>
      <c r="BP1396" s="1385"/>
      <c r="BV1396" s="236">
        <v>36</v>
      </c>
      <c r="BW1396" s="236" t="s">
        <v>316</v>
      </c>
      <c r="CB1396" s="340">
        <v>1.26</v>
      </c>
      <c r="CC1396" s="340" t="s">
        <v>331</v>
      </c>
      <c r="CL1396" s="236">
        <v>76.13</v>
      </c>
      <c r="CM1396" s="236" t="s">
        <v>340</v>
      </c>
      <c r="CR1396" s="340">
        <v>138.02000000000001</v>
      </c>
      <c r="CS1396" s="340" t="s">
        <v>338</v>
      </c>
      <c r="CT1396" s="1384"/>
      <c r="DF1396" s="340">
        <v>38.03</v>
      </c>
      <c r="DG1396" s="340" t="s">
        <v>331</v>
      </c>
      <c r="DV1396" s="340">
        <v>142.03</v>
      </c>
      <c r="DW1396" s="340" t="s">
        <v>302</v>
      </c>
      <c r="DX1396" s="1671"/>
    </row>
    <row r="1397" spans="12:128">
      <c r="L1397" s="2481">
        <v>39.18</v>
      </c>
      <c r="M1397" s="340" t="s">
        <v>331</v>
      </c>
      <c r="N1397" s="1390"/>
      <c r="O1397" s="2479"/>
      <c r="P1397" s="2282"/>
      <c r="AG1397" s="2297">
        <v>141.30000000000001</v>
      </c>
      <c r="AH1397" s="2297" t="s">
        <v>344</v>
      </c>
      <c r="AI1397" s="1390"/>
      <c r="AJ1397" s="2282"/>
      <c r="AK1397" s="2282"/>
      <c r="AL1397" s="1037"/>
      <c r="AX1397" s="340">
        <v>1.41</v>
      </c>
      <c r="AY1397" s="340" t="s">
        <v>331</v>
      </c>
      <c r="BN1397" s="340">
        <v>138</v>
      </c>
      <c r="BO1397" s="340" t="s">
        <v>302</v>
      </c>
      <c r="BP1397" s="1385"/>
      <c r="BV1397" s="236">
        <v>37</v>
      </c>
      <c r="BW1397" s="236" t="s">
        <v>316</v>
      </c>
      <c r="CB1397" s="340">
        <v>1.27</v>
      </c>
      <c r="CC1397" s="340" t="s">
        <v>331</v>
      </c>
      <c r="CL1397" s="236">
        <v>76.14</v>
      </c>
      <c r="CM1397" s="236" t="s">
        <v>340</v>
      </c>
      <c r="CR1397" s="340">
        <v>138.03</v>
      </c>
      <c r="CS1397" s="340" t="s">
        <v>338</v>
      </c>
      <c r="CT1397" s="1384"/>
      <c r="DF1397" s="340">
        <v>38.04</v>
      </c>
      <c r="DG1397" s="340" t="s">
        <v>331</v>
      </c>
      <c r="DV1397" s="340">
        <v>142.04</v>
      </c>
      <c r="DW1397" s="340" t="s">
        <v>302</v>
      </c>
      <c r="DX1397" s="1671"/>
    </row>
    <row r="1398" spans="12:128">
      <c r="L1398" s="2481">
        <v>39.19</v>
      </c>
      <c r="M1398" s="340" t="s">
        <v>331</v>
      </c>
      <c r="N1398" s="1390"/>
      <c r="O1398" s="2479"/>
      <c r="P1398" s="2282"/>
      <c r="AG1398" s="2297">
        <v>142</v>
      </c>
      <c r="AH1398" s="2297" t="s">
        <v>331</v>
      </c>
      <c r="AI1398" s="1390"/>
      <c r="AJ1398" s="2282"/>
      <c r="AK1398" s="2282"/>
      <c r="AL1398" s="1037"/>
      <c r="AX1398" s="340">
        <v>1.43</v>
      </c>
      <c r="AY1398" s="340" t="s">
        <v>331</v>
      </c>
      <c r="BN1398" s="340">
        <v>138.01</v>
      </c>
      <c r="BO1398" s="340" t="s">
        <v>331</v>
      </c>
      <c r="BP1398" s="1385"/>
      <c r="BV1398" s="236">
        <v>38</v>
      </c>
      <c r="BW1398" s="236" t="s">
        <v>316</v>
      </c>
      <c r="CB1398" s="340">
        <v>1.28</v>
      </c>
      <c r="CC1398" s="340" t="s">
        <v>331</v>
      </c>
      <c r="CL1398" s="236">
        <v>76.150000000000006</v>
      </c>
      <c r="CM1398" s="236" t="s">
        <v>340</v>
      </c>
      <c r="CR1398" s="340">
        <v>138.06</v>
      </c>
      <c r="CS1398" s="340" t="s">
        <v>316</v>
      </c>
      <c r="CT1398" s="1384"/>
      <c r="DF1398" s="340">
        <v>39.06</v>
      </c>
      <c r="DG1398" s="340" t="s">
        <v>331</v>
      </c>
      <c r="DV1398" s="340">
        <v>142.05000000000001</v>
      </c>
      <c r="DW1398" s="340" t="s">
        <v>302</v>
      </c>
      <c r="DX1398" s="1671"/>
    </row>
    <row r="1399" spans="12:128">
      <c r="L1399" s="2481">
        <v>39.21</v>
      </c>
      <c r="M1399" s="340" t="s">
        <v>331</v>
      </c>
      <c r="N1399" s="1390"/>
      <c r="O1399" s="2479"/>
      <c r="P1399" s="2282"/>
      <c r="AG1399" s="2297">
        <v>142.02000000000001</v>
      </c>
      <c r="AH1399" s="2297" t="s">
        <v>344</v>
      </c>
      <c r="AI1399" s="1390"/>
      <c r="AJ1399" s="2282"/>
      <c r="AK1399" s="2282"/>
      <c r="AL1399" s="1037"/>
      <c r="AX1399" s="340">
        <v>1.44</v>
      </c>
      <c r="AY1399" s="340" t="s">
        <v>331</v>
      </c>
      <c r="BN1399" s="340">
        <v>138.01</v>
      </c>
      <c r="BO1399" s="340" t="s">
        <v>338</v>
      </c>
      <c r="BP1399" s="1385"/>
      <c r="BV1399" s="236">
        <v>41</v>
      </c>
      <c r="BW1399" s="236" t="s">
        <v>316</v>
      </c>
      <c r="CB1399" s="340">
        <v>1.29</v>
      </c>
      <c r="CC1399" s="340" t="s">
        <v>331</v>
      </c>
      <c r="CL1399" s="236">
        <v>76.16</v>
      </c>
      <c r="CM1399" s="236" t="s">
        <v>340</v>
      </c>
      <c r="CR1399" s="340">
        <v>138.07</v>
      </c>
      <c r="CS1399" s="340" t="s">
        <v>316</v>
      </c>
      <c r="CT1399" s="1384"/>
      <c r="DF1399" s="340">
        <v>39.090000000000003</v>
      </c>
      <c r="DG1399" s="340" t="s">
        <v>331</v>
      </c>
      <c r="DV1399" s="340">
        <v>142.06</v>
      </c>
      <c r="DW1399" s="340" t="s">
        <v>302</v>
      </c>
      <c r="DX1399" s="1671"/>
    </row>
    <row r="1400" spans="12:128">
      <c r="L1400" s="2481">
        <v>39.22</v>
      </c>
      <c r="M1400" s="340" t="s">
        <v>331</v>
      </c>
      <c r="N1400" s="1390"/>
      <c r="O1400" s="2479"/>
      <c r="P1400" s="2282"/>
      <c r="AG1400" s="2297">
        <v>142.03</v>
      </c>
      <c r="AH1400" s="2297" t="s">
        <v>302</v>
      </c>
      <c r="AI1400" s="1390"/>
      <c r="AJ1400" s="2282"/>
      <c r="AK1400" s="2282"/>
      <c r="AL1400" s="1037"/>
      <c r="AX1400" s="340">
        <v>1.45</v>
      </c>
      <c r="AY1400" s="340" t="s">
        <v>331</v>
      </c>
      <c r="BN1400" s="340">
        <v>138.02000000000001</v>
      </c>
      <c r="BO1400" s="340" t="s">
        <v>338</v>
      </c>
      <c r="BP1400" s="1385"/>
      <c r="BV1400" s="236">
        <v>42</v>
      </c>
      <c r="BW1400" s="236" t="s">
        <v>316</v>
      </c>
      <c r="CB1400" s="340">
        <v>1.3</v>
      </c>
      <c r="CC1400" s="340" t="s">
        <v>331</v>
      </c>
      <c r="CL1400" s="236">
        <v>76.19</v>
      </c>
      <c r="CM1400" s="236" t="s">
        <v>340</v>
      </c>
      <c r="CR1400" s="340">
        <v>139</v>
      </c>
      <c r="CS1400" s="340" t="s">
        <v>331</v>
      </c>
      <c r="CT1400" s="1384"/>
      <c r="DF1400" s="340">
        <v>39.14</v>
      </c>
      <c r="DG1400" s="340" t="s">
        <v>331</v>
      </c>
      <c r="DV1400" s="340">
        <v>143</v>
      </c>
      <c r="DW1400" s="340" t="s">
        <v>316</v>
      </c>
      <c r="DX1400" s="1671"/>
    </row>
    <row r="1401" spans="12:128">
      <c r="L1401" s="2481">
        <v>40</v>
      </c>
      <c r="M1401" s="340" t="s">
        <v>331</v>
      </c>
      <c r="N1401" s="1390"/>
      <c r="O1401" s="2479"/>
      <c r="P1401" s="2282"/>
      <c r="AG1401" s="2297">
        <v>142.03</v>
      </c>
      <c r="AH1401" s="2297" t="s">
        <v>344</v>
      </c>
      <c r="AI1401" s="1390"/>
      <c r="AJ1401" s="2282"/>
      <c r="AK1401" s="2282"/>
      <c r="AL1401" s="1037"/>
      <c r="AX1401" s="340">
        <v>1.46</v>
      </c>
      <c r="AY1401" s="340" t="s">
        <v>331</v>
      </c>
      <c r="BN1401" s="340">
        <v>138.03</v>
      </c>
      <c r="BO1401" s="340" t="s">
        <v>338</v>
      </c>
      <c r="BP1401" s="1385"/>
      <c r="BV1401" s="236">
        <v>43</v>
      </c>
      <c r="BW1401" s="236" t="s">
        <v>316</v>
      </c>
      <c r="CB1401" s="340">
        <v>1.31</v>
      </c>
      <c r="CC1401" s="340" t="s">
        <v>331</v>
      </c>
      <c r="CL1401" s="236">
        <v>76.2</v>
      </c>
      <c r="CM1401" s="236" t="s">
        <v>340</v>
      </c>
      <c r="CR1401" s="340">
        <v>139</v>
      </c>
      <c r="CS1401" s="340" t="s">
        <v>338</v>
      </c>
      <c r="CT1401" s="1384"/>
      <c r="DF1401" s="340">
        <v>39.15</v>
      </c>
      <c r="DG1401" s="340" t="s">
        <v>331</v>
      </c>
      <c r="DV1401" s="340">
        <v>143</v>
      </c>
      <c r="DW1401" s="340" t="s">
        <v>331</v>
      </c>
      <c r="DX1401" s="1671"/>
    </row>
    <row r="1402" spans="12:128">
      <c r="L1402" s="2481">
        <v>41.02</v>
      </c>
      <c r="M1402" s="340" t="s">
        <v>331</v>
      </c>
      <c r="N1402" s="1390"/>
      <c r="O1402" s="2479"/>
      <c r="P1402" s="2282"/>
      <c r="AG1402" s="2297">
        <v>142.04</v>
      </c>
      <c r="AH1402" s="2297" t="s">
        <v>302</v>
      </c>
      <c r="AI1402" s="1390"/>
      <c r="AJ1402" s="2282"/>
      <c r="AK1402" s="2282"/>
      <c r="AL1402" s="1037"/>
      <c r="AX1402" s="340">
        <v>2.04</v>
      </c>
      <c r="AY1402" s="340" t="s">
        <v>331</v>
      </c>
      <c r="BN1402" s="340">
        <v>138.04</v>
      </c>
      <c r="BO1402" s="340" t="s">
        <v>316</v>
      </c>
      <c r="BP1402" s="1385"/>
      <c r="BV1402" s="236">
        <v>44</v>
      </c>
      <c r="BW1402" s="236" t="s">
        <v>316</v>
      </c>
      <c r="CB1402" s="340">
        <v>1.34</v>
      </c>
      <c r="CC1402" s="340" t="s">
        <v>331</v>
      </c>
      <c r="CL1402" s="236">
        <v>76.209999999999994</v>
      </c>
      <c r="CM1402" s="236" t="s">
        <v>340</v>
      </c>
      <c r="CR1402" s="340">
        <v>139.01</v>
      </c>
      <c r="CS1402" s="340" t="s">
        <v>302</v>
      </c>
      <c r="CT1402" s="1384"/>
      <c r="DF1402" s="340">
        <v>39.159999999999997</v>
      </c>
      <c r="DG1402" s="340" t="s">
        <v>331</v>
      </c>
      <c r="DV1402" s="340">
        <v>143.03</v>
      </c>
      <c r="DW1402" s="340" t="s">
        <v>344</v>
      </c>
      <c r="DX1402" s="1671"/>
    </row>
    <row r="1403" spans="12:128">
      <c r="L1403" s="2481">
        <v>41.05</v>
      </c>
      <c r="M1403" s="340" t="s">
        <v>331</v>
      </c>
      <c r="N1403" s="1390"/>
      <c r="O1403" s="2479"/>
      <c r="P1403" s="2282"/>
      <c r="AG1403" s="2297">
        <v>142.05000000000001</v>
      </c>
      <c r="AH1403" s="2297" t="s">
        <v>302</v>
      </c>
      <c r="AI1403" s="1390"/>
      <c r="AJ1403" s="2282"/>
      <c r="AK1403" s="2282"/>
      <c r="AL1403" s="1037"/>
      <c r="AX1403" s="340">
        <v>2.06</v>
      </c>
      <c r="AY1403" s="340" t="s">
        <v>331</v>
      </c>
      <c r="BN1403" s="340">
        <v>138.06</v>
      </c>
      <c r="BO1403" s="340" t="s">
        <v>316</v>
      </c>
      <c r="BP1403" s="1385"/>
      <c r="BV1403" s="236">
        <v>45</v>
      </c>
      <c r="BW1403" s="236" t="s">
        <v>316</v>
      </c>
      <c r="CB1403" s="340">
        <v>1.4</v>
      </c>
      <c r="CC1403" s="340" t="s">
        <v>331</v>
      </c>
      <c r="CL1403" s="236">
        <v>76.22</v>
      </c>
      <c r="CM1403" s="236" t="s">
        <v>340</v>
      </c>
      <c r="CR1403" s="340">
        <v>139.02000000000001</v>
      </c>
      <c r="CS1403" s="340" t="s">
        <v>302</v>
      </c>
      <c r="CT1403" s="1384"/>
      <c r="DF1403" s="340">
        <v>39.17</v>
      </c>
      <c r="DG1403" s="340" t="s">
        <v>331</v>
      </c>
      <c r="DV1403" s="340">
        <v>143.12</v>
      </c>
      <c r="DW1403" s="340" t="s">
        <v>302</v>
      </c>
      <c r="DX1403" s="1671"/>
    </row>
    <row r="1404" spans="12:128">
      <c r="L1404" s="2481">
        <v>41.06</v>
      </c>
      <c r="M1404" s="340" t="s">
        <v>331</v>
      </c>
      <c r="N1404" s="1390"/>
      <c r="O1404" s="2479"/>
      <c r="P1404" s="2282"/>
      <c r="AG1404" s="2297">
        <v>142.06</v>
      </c>
      <c r="AH1404" s="2297" t="s">
        <v>302</v>
      </c>
      <c r="AI1404" s="1390"/>
      <c r="AJ1404" s="2282"/>
      <c r="AK1404" s="2282"/>
      <c r="AL1404" s="1037"/>
      <c r="AX1404" s="340">
        <v>2.11</v>
      </c>
      <c r="AY1404" s="340" t="s">
        <v>331</v>
      </c>
      <c r="BN1404" s="340">
        <v>138.07</v>
      </c>
      <c r="BO1404" s="340" t="s">
        <v>316</v>
      </c>
      <c r="BP1404" s="1385"/>
      <c r="BV1404" s="236">
        <v>46.01</v>
      </c>
      <c r="BW1404" s="236" t="s">
        <v>316</v>
      </c>
      <c r="CB1404" s="340">
        <v>1.41</v>
      </c>
      <c r="CC1404" s="340" t="s">
        <v>331</v>
      </c>
      <c r="CL1404" s="236">
        <v>76.23</v>
      </c>
      <c r="CM1404" s="236" t="s">
        <v>340</v>
      </c>
      <c r="CR1404" s="340">
        <v>139.02000000000001</v>
      </c>
      <c r="CS1404" s="340" t="s">
        <v>344</v>
      </c>
      <c r="CT1404" s="1384"/>
      <c r="DF1404" s="340">
        <v>39.18</v>
      </c>
      <c r="DG1404" s="340" t="s">
        <v>331</v>
      </c>
      <c r="DV1404" s="340">
        <v>143.28</v>
      </c>
      <c r="DW1404" s="340" t="s">
        <v>302</v>
      </c>
      <c r="DX1404" s="1671"/>
    </row>
    <row r="1405" spans="12:128">
      <c r="L1405" s="2481">
        <v>42.05</v>
      </c>
      <c r="M1405" s="340" t="s">
        <v>331</v>
      </c>
      <c r="N1405" s="1390"/>
      <c r="O1405" s="2479"/>
      <c r="P1405" s="2282"/>
      <c r="AG1405" s="2297">
        <v>143</v>
      </c>
      <c r="AH1405" s="2297" t="s">
        <v>316</v>
      </c>
      <c r="AI1405" s="1390"/>
      <c r="AJ1405" s="2282"/>
      <c r="AK1405" s="2282"/>
      <c r="AL1405" s="1037"/>
      <c r="AX1405" s="340">
        <v>2.13</v>
      </c>
      <c r="AY1405" s="340" t="s">
        <v>331</v>
      </c>
      <c r="BN1405" s="340">
        <v>139</v>
      </c>
      <c r="BO1405" s="340" t="s">
        <v>331</v>
      </c>
      <c r="BP1405" s="1385"/>
      <c r="BV1405" s="236">
        <v>46.02</v>
      </c>
      <c r="BW1405" s="236" t="s">
        <v>316</v>
      </c>
      <c r="CB1405" s="340">
        <v>1.42</v>
      </c>
      <c r="CC1405" s="340" t="s">
        <v>331</v>
      </c>
      <c r="CL1405" s="236">
        <v>76.239999999999995</v>
      </c>
      <c r="CM1405" s="236" t="s">
        <v>340</v>
      </c>
      <c r="CR1405" s="340">
        <v>139.03</v>
      </c>
      <c r="CS1405" s="340" t="s">
        <v>316</v>
      </c>
      <c r="CT1405" s="1384"/>
      <c r="DF1405" s="340">
        <v>39.19</v>
      </c>
      <c r="DG1405" s="340" t="s">
        <v>331</v>
      </c>
      <c r="DV1405" s="340">
        <v>143.29</v>
      </c>
      <c r="DW1405" s="340" t="s">
        <v>302</v>
      </c>
      <c r="DX1405" s="1671"/>
    </row>
    <row r="1406" spans="12:128">
      <c r="L1406" s="2481">
        <v>42.07</v>
      </c>
      <c r="M1406" s="340" t="s">
        <v>331</v>
      </c>
      <c r="N1406" s="1390"/>
      <c r="O1406" s="2479"/>
      <c r="P1406" s="2282"/>
      <c r="AG1406" s="2297">
        <v>143</v>
      </c>
      <c r="AH1406" s="2297" t="s">
        <v>331</v>
      </c>
      <c r="AI1406" s="1390"/>
      <c r="AJ1406" s="2282"/>
      <c r="AK1406" s="2282"/>
      <c r="AL1406" s="1037"/>
      <c r="AX1406" s="340">
        <v>2.16</v>
      </c>
      <c r="AY1406" s="340" t="s">
        <v>331</v>
      </c>
      <c r="BN1406" s="340">
        <v>139</v>
      </c>
      <c r="BO1406" s="340" t="s">
        <v>338</v>
      </c>
      <c r="BP1406" s="1385"/>
      <c r="BV1406" s="236">
        <v>47</v>
      </c>
      <c r="BW1406" s="236" t="s">
        <v>316</v>
      </c>
      <c r="CB1406" s="340">
        <v>1.43</v>
      </c>
      <c r="CC1406" s="340" t="s">
        <v>331</v>
      </c>
      <c r="CL1406" s="236">
        <v>77.040000000000006</v>
      </c>
      <c r="CM1406" s="236" t="s">
        <v>331</v>
      </c>
      <c r="CR1406" s="340">
        <v>139.05000000000001</v>
      </c>
      <c r="CS1406" s="340" t="s">
        <v>302</v>
      </c>
      <c r="CT1406" s="1384"/>
      <c r="DF1406" s="340">
        <v>39.21</v>
      </c>
      <c r="DG1406" s="340" t="s">
        <v>331</v>
      </c>
      <c r="DV1406" s="340">
        <v>143.30000000000001</v>
      </c>
      <c r="DW1406" s="340" t="s">
        <v>302</v>
      </c>
      <c r="DX1406" s="1671"/>
    </row>
    <row r="1407" spans="12:128">
      <c r="L1407" s="2481">
        <v>42.08</v>
      </c>
      <c r="M1407" s="340" t="s">
        <v>331</v>
      </c>
      <c r="N1407" s="1390"/>
      <c r="O1407" s="2479"/>
      <c r="P1407" s="2282"/>
      <c r="AG1407" s="2297">
        <v>143.03</v>
      </c>
      <c r="AH1407" s="2297" t="s">
        <v>344</v>
      </c>
      <c r="AI1407" s="1390"/>
      <c r="AJ1407" s="2282"/>
      <c r="AK1407" s="2282"/>
      <c r="AL1407" s="1037"/>
      <c r="AX1407" s="340">
        <v>2.21</v>
      </c>
      <c r="AY1407" s="340" t="s">
        <v>331</v>
      </c>
      <c r="BN1407" s="340">
        <v>139.01</v>
      </c>
      <c r="BO1407" s="340" t="s">
        <v>302</v>
      </c>
      <c r="BP1407" s="1385"/>
      <c r="BV1407" s="236">
        <v>48</v>
      </c>
      <c r="BW1407" s="236" t="s">
        <v>316</v>
      </c>
      <c r="CB1407" s="340">
        <v>1.44</v>
      </c>
      <c r="CC1407" s="340" t="s">
        <v>331</v>
      </c>
      <c r="CL1407" s="236">
        <v>77.05</v>
      </c>
      <c r="CM1407" s="236" t="s">
        <v>331</v>
      </c>
      <c r="CR1407" s="340">
        <v>139.06</v>
      </c>
      <c r="CS1407" s="340" t="s">
        <v>302</v>
      </c>
      <c r="CT1407" s="1384"/>
      <c r="DF1407" s="340">
        <v>39.22</v>
      </c>
      <c r="DG1407" s="340" t="s">
        <v>331</v>
      </c>
      <c r="DV1407" s="340">
        <v>143.33000000000001</v>
      </c>
      <c r="DW1407" s="340" t="s">
        <v>302</v>
      </c>
      <c r="DX1407" s="1671"/>
    </row>
    <row r="1408" spans="12:128">
      <c r="L1408" s="2481">
        <v>43.01</v>
      </c>
      <c r="M1408" s="340" t="s">
        <v>331</v>
      </c>
      <c r="N1408" s="1390"/>
      <c r="O1408" s="2479"/>
      <c r="P1408" s="2282"/>
      <c r="AG1408" s="2297">
        <v>143.12</v>
      </c>
      <c r="AH1408" s="2297" t="s">
        <v>302</v>
      </c>
      <c r="AI1408" s="1390"/>
      <c r="AJ1408" s="2282"/>
      <c r="AK1408" s="2282"/>
      <c r="AL1408" s="1037"/>
      <c r="AX1408" s="340">
        <v>2.25</v>
      </c>
      <c r="AY1408" s="340" t="s">
        <v>331</v>
      </c>
      <c r="BN1408" s="340">
        <v>139.02000000000001</v>
      </c>
      <c r="BO1408" s="340" t="s">
        <v>302</v>
      </c>
      <c r="BP1408" s="1385"/>
      <c r="BV1408" s="236">
        <v>49.01</v>
      </c>
      <c r="BW1408" s="236" t="s">
        <v>316</v>
      </c>
      <c r="CB1408" s="340">
        <v>1.45</v>
      </c>
      <c r="CC1408" s="340" t="s">
        <v>331</v>
      </c>
      <c r="CL1408" s="236">
        <v>77.05</v>
      </c>
      <c r="CM1408" s="236" t="s">
        <v>340</v>
      </c>
      <c r="CR1408" s="340">
        <v>139.07</v>
      </c>
      <c r="CS1408" s="340" t="s">
        <v>316</v>
      </c>
      <c r="CT1408" s="1384"/>
      <c r="DF1408" s="340">
        <v>40</v>
      </c>
      <c r="DG1408" s="340" t="s">
        <v>331</v>
      </c>
      <c r="DV1408" s="340">
        <v>143.34</v>
      </c>
      <c r="DW1408" s="340" t="s">
        <v>302</v>
      </c>
      <c r="DX1408" s="1671"/>
    </row>
    <row r="1409" spans="12:128">
      <c r="L1409" s="2481">
        <v>43.04</v>
      </c>
      <c r="M1409" s="340" t="s">
        <v>331</v>
      </c>
      <c r="N1409" s="1390"/>
      <c r="O1409" s="2479"/>
      <c r="P1409" s="2282"/>
      <c r="AG1409" s="2297">
        <v>143.28</v>
      </c>
      <c r="AH1409" s="2297" t="s">
        <v>302</v>
      </c>
      <c r="AI1409" s="1390"/>
      <c r="AJ1409" s="2282"/>
      <c r="AK1409" s="2282"/>
      <c r="AL1409" s="1037"/>
      <c r="AX1409" s="340">
        <v>2.2599999999999998</v>
      </c>
      <c r="AY1409" s="340" t="s">
        <v>331</v>
      </c>
      <c r="BN1409" s="340">
        <v>139.02000000000001</v>
      </c>
      <c r="BO1409" s="340" t="s">
        <v>344</v>
      </c>
      <c r="BP1409" s="1385"/>
      <c r="BV1409" s="236">
        <v>49.02</v>
      </c>
      <c r="BW1409" s="236" t="s">
        <v>316</v>
      </c>
      <c r="CB1409" s="340">
        <v>1.46</v>
      </c>
      <c r="CC1409" s="340" t="s">
        <v>331</v>
      </c>
      <c r="CL1409" s="236">
        <v>77.06</v>
      </c>
      <c r="CM1409" s="236" t="s">
        <v>331</v>
      </c>
      <c r="CR1409" s="340">
        <v>139.13</v>
      </c>
      <c r="CS1409" s="340" t="s">
        <v>316</v>
      </c>
      <c r="CT1409" s="1384"/>
      <c r="DF1409" s="340">
        <v>41.02</v>
      </c>
      <c r="DG1409" s="340" t="s">
        <v>331</v>
      </c>
      <c r="DV1409" s="340">
        <v>143.35</v>
      </c>
      <c r="DW1409" s="340" t="s">
        <v>302</v>
      </c>
      <c r="DX1409" s="1671"/>
    </row>
    <row r="1410" spans="12:128">
      <c r="L1410" s="2481">
        <v>44.05</v>
      </c>
      <c r="M1410" s="340" t="s">
        <v>331</v>
      </c>
      <c r="N1410" s="1390"/>
      <c r="O1410" s="2479"/>
      <c r="P1410" s="2282"/>
      <c r="AG1410" s="2297">
        <v>143.29</v>
      </c>
      <c r="AH1410" s="2297" t="s">
        <v>302</v>
      </c>
      <c r="AI1410" s="1390"/>
      <c r="AJ1410" s="2282"/>
      <c r="AK1410" s="2282"/>
      <c r="AL1410" s="1037"/>
      <c r="AX1410" s="340">
        <v>3.09</v>
      </c>
      <c r="AY1410" s="340" t="s">
        <v>331</v>
      </c>
      <c r="BN1410" s="340">
        <v>139.04</v>
      </c>
      <c r="BO1410" s="340" t="s">
        <v>302</v>
      </c>
      <c r="BP1410" s="1385"/>
      <c r="BV1410" s="236">
        <v>50</v>
      </c>
      <c r="BW1410" s="236" t="s">
        <v>316</v>
      </c>
      <c r="CB1410" s="340">
        <v>2.04</v>
      </c>
      <c r="CC1410" s="340" t="s">
        <v>331</v>
      </c>
      <c r="CL1410" s="236">
        <v>77.069999999999993</v>
      </c>
      <c r="CM1410" s="236" t="s">
        <v>331</v>
      </c>
      <c r="CR1410" s="340">
        <v>139.15</v>
      </c>
      <c r="CS1410" s="340" t="s">
        <v>316</v>
      </c>
      <c r="CT1410" s="1384"/>
      <c r="DF1410" s="340">
        <v>41.03</v>
      </c>
      <c r="DG1410" s="340" t="s">
        <v>331</v>
      </c>
      <c r="DV1410" s="340">
        <v>143.36000000000001</v>
      </c>
      <c r="DW1410" s="340" t="s">
        <v>302</v>
      </c>
      <c r="DX1410" s="1671"/>
    </row>
    <row r="1411" spans="12:128">
      <c r="L1411" s="2481">
        <v>44.06</v>
      </c>
      <c r="M1411" s="340" t="s">
        <v>331</v>
      </c>
      <c r="N1411" s="1390"/>
      <c r="O1411" s="2479"/>
      <c r="P1411" s="2282"/>
      <c r="AG1411" s="2297">
        <v>143.30000000000001</v>
      </c>
      <c r="AH1411" s="2297" t="s">
        <v>302</v>
      </c>
      <c r="AI1411" s="1390"/>
      <c r="AJ1411" s="2282"/>
      <c r="AK1411" s="2282"/>
      <c r="AL1411" s="1037"/>
      <c r="AX1411" s="340">
        <v>4.05</v>
      </c>
      <c r="AY1411" s="340" t="s">
        <v>331</v>
      </c>
      <c r="BN1411" s="340">
        <v>139.05000000000001</v>
      </c>
      <c r="BO1411" s="340" t="s">
        <v>302</v>
      </c>
      <c r="BP1411" s="1385"/>
      <c r="BV1411" s="236">
        <v>51.01</v>
      </c>
      <c r="BW1411" s="236" t="s">
        <v>316</v>
      </c>
      <c r="CB1411" s="340">
        <v>2.13</v>
      </c>
      <c r="CC1411" s="340" t="s">
        <v>331</v>
      </c>
      <c r="CL1411" s="236">
        <v>77.08</v>
      </c>
      <c r="CM1411" s="236" t="s">
        <v>331</v>
      </c>
      <c r="CR1411" s="340">
        <v>139.16</v>
      </c>
      <c r="CS1411" s="340" t="s">
        <v>316</v>
      </c>
      <c r="CT1411" s="1384"/>
      <c r="DF1411" s="340">
        <v>41.05</v>
      </c>
      <c r="DG1411" s="340" t="s">
        <v>331</v>
      </c>
      <c r="DV1411" s="340">
        <v>143.38</v>
      </c>
      <c r="DW1411" s="340" t="s">
        <v>302</v>
      </c>
      <c r="DX1411" s="1671"/>
    </row>
    <row r="1412" spans="12:128">
      <c r="L1412" s="2481">
        <v>45</v>
      </c>
      <c r="M1412" s="340" t="s">
        <v>331</v>
      </c>
      <c r="N1412" s="1390"/>
      <c r="O1412" s="2479"/>
      <c r="P1412" s="2282"/>
      <c r="AG1412" s="2297">
        <v>143.31</v>
      </c>
      <c r="AH1412" s="2297" t="s">
        <v>302</v>
      </c>
      <c r="AI1412" s="1390"/>
      <c r="AJ1412" s="2282"/>
      <c r="AK1412" s="2282"/>
      <c r="AL1412" s="1037"/>
      <c r="AX1412" s="340">
        <v>4.0999999999999996</v>
      </c>
      <c r="AY1412" s="340" t="s">
        <v>331</v>
      </c>
      <c r="BN1412" s="340">
        <v>139.06</v>
      </c>
      <c r="BO1412" s="340" t="s">
        <v>302</v>
      </c>
      <c r="BP1412" s="1385"/>
      <c r="BV1412" s="236">
        <v>51.02</v>
      </c>
      <c r="BW1412" s="236" t="s">
        <v>316</v>
      </c>
      <c r="CB1412" s="340">
        <v>2.16</v>
      </c>
      <c r="CC1412" s="340" t="s">
        <v>331</v>
      </c>
      <c r="CL1412" s="236">
        <v>77.09</v>
      </c>
      <c r="CM1412" s="236" t="s">
        <v>331</v>
      </c>
      <c r="CR1412" s="340">
        <v>139.16999999999999</v>
      </c>
      <c r="CS1412" s="340" t="s">
        <v>316</v>
      </c>
      <c r="CT1412" s="1384"/>
      <c r="DF1412" s="340">
        <v>41.06</v>
      </c>
      <c r="DG1412" s="340" t="s">
        <v>331</v>
      </c>
      <c r="DV1412" s="340">
        <v>143.38999999999999</v>
      </c>
      <c r="DW1412" s="340" t="s">
        <v>302</v>
      </c>
      <c r="DX1412" s="1671"/>
    </row>
    <row r="1413" spans="12:128">
      <c r="L1413" s="2481">
        <v>46.02</v>
      </c>
      <c r="M1413" s="340" t="s">
        <v>331</v>
      </c>
      <c r="N1413" s="1390"/>
      <c r="O1413" s="2479"/>
      <c r="P1413" s="2282"/>
      <c r="AG1413" s="2297">
        <v>143.33000000000001</v>
      </c>
      <c r="AH1413" s="2297" t="s">
        <v>302</v>
      </c>
      <c r="AI1413" s="1390"/>
      <c r="AJ1413" s="2282"/>
      <c r="AK1413" s="2282"/>
      <c r="AL1413" s="1037"/>
      <c r="AX1413" s="340">
        <v>4.1900000000000004</v>
      </c>
      <c r="AY1413" s="340" t="s">
        <v>331</v>
      </c>
      <c r="BN1413" s="340">
        <v>139.07</v>
      </c>
      <c r="BO1413" s="340" t="s">
        <v>316</v>
      </c>
      <c r="BP1413" s="1385"/>
      <c r="BV1413" s="236">
        <v>53.01</v>
      </c>
      <c r="BW1413" s="236" t="s">
        <v>316</v>
      </c>
      <c r="CB1413" s="340">
        <v>2.21</v>
      </c>
      <c r="CC1413" s="340" t="s">
        <v>331</v>
      </c>
      <c r="CL1413" s="236">
        <v>77.099999999999994</v>
      </c>
      <c r="CM1413" s="236" t="s">
        <v>340</v>
      </c>
      <c r="CR1413" s="340">
        <v>139.18</v>
      </c>
      <c r="CS1413" s="340" t="s">
        <v>316</v>
      </c>
      <c r="CT1413" s="1384"/>
      <c r="DF1413" s="340">
        <v>42.05</v>
      </c>
      <c r="DG1413" s="340" t="s">
        <v>331</v>
      </c>
      <c r="DV1413" s="340">
        <v>143.4</v>
      </c>
      <c r="DW1413" s="340" t="s">
        <v>302</v>
      </c>
      <c r="DX1413" s="1671"/>
    </row>
    <row r="1414" spans="12:128">
      <c r="L1414" s="2481">
        <v>46.07</v>
      </c>
      <c r="M1414" s="340" t="s">
        <v>331</v>
      </c>
      <c r="N1414" s="1390"/>
      <c r="O1414" s="2479"/>
      <c r="P1414" s="2282"/>
      <c r="AG1414" s="2297">
        <v>143.34</v>
      </c>
      <c r="AH1414" s="2297" t="s">
        <v>302</v>
      </c>
      <c r="AI1414" s="1390"/>
      <c r="AJ1414" s="2282"/>
      <c r="AK1414" s="2282"/>
      <c r="AL1414" s="1037"/>
      <c r="AX1414" s="340">
        <v>6.01</v>
      </c>
      <c r="AY1414" s="340" t="s">
        <v>331</v>
      </c>
      <c r="BN1414" s="340">
        <v>139.13</v>
      </c>
      <c r="BO1414" s="340" t="s">
        <v>316</v>
      </c>
      <c r="BP1414" s="1385"/>
      <c r="BV1414" s="236">
        <v>53.02</v>
      </c>
      <c r="BW1414" s="236" t="s">
        <v>316</v>
      </c>
      <c r="CB1414" s="340">
        <v>2.2400000000000002</v>
      </c>
      <c r="CC1414" s="340" t="s">
        <v>331</v>
      </c>
      <c r="CL1414" s="236">
        <v>77.16</v>
      </c>
      <c r="CM1414" s="236" t="s">
        <v>340</v>
      </c>
      <c r="CR1414" s="340">
        <v>139.19</v>
      </c>
      <c r="CS1414" s="340" t="s">
        <v>316</v>
      </c>
      <c r="CT1414" s="1384"/>
      <c r="DF1414" s="340">
        <v>42.07</v>
      </c>
      <c r="DG1414" s="340" t="s">
        <v>331</v>
      </c>
      <c r="DV1414" s="340">
        <v>143.41</v>
      </c>
      <c r="DW1414" s="340" t="s">
        <v>302</v>
      </c>
      <c r="DX1414" s="1671"/>
    </row>
    <row r="1415" spans="12:128">
      <c r="L1415" s="2481">
        <v>46.08</v>
      </c>
      <c r="M1415" s="340" t="s">
        <v>331</v>
      </c>
      <c r="N1415" s="1390"/>
      <c r="O1415" s="2479"/>
      <c r="P1415" s="2282"/>
      <c r="AG1415" s="2297">
        <v>143.35</v>
      </c>
      <c r="AH1415" s="2297" t="s">
        <v>302</v>
      </c>
      <c r="AI1415" s="1390"/>
      <c r="AJ1415" s="2282"/>
      <c r="AK1415" s="2282"/>
      <c r="AL1415" s="1037"/>
      <c r="AX1415" s="340">
        <v>6.02</v>
      </c>
      <c r="AY1415" s="340" t="s">
        <v>331</v>
      </c>
      <c r="BN1415" s="340">
        <v>139.15</v>
      </c>
      <c r="BO1415" s="340" t="s">
        <v>316</v>
      </c>
      <c r="BP1415" s="1385"/>
      <c r="BV1415" s="236">
        <v>54.01</v>
      </c>
      <c r="BW1415" s="236" t="s">
        <v>316</v>
      </c>
      <c r="CB1415" s="340">
        <v>2.25</v>
      </c>
      <c r="CC1415" s="340" t="s">
        <v>331</v>
      </c>
      <c r="CL1415" s="236">
        <v>77.209999999999994</v>
      </c>
      <c r="CM1415" s="236" t="s">
        <v>340</v>
      </c>
      <c r="CR1415" s="340">
        <v>139.22</v>
      </c>
      <c r="CS1415" s="340" t="s">
        <v>316</v>
      </c>
      <c r="CT1415" s="1384"/>
      <c r="DF1415" s="340">
        <v>42.08</v>
      </c>
      <c r="DG1415" s="340" t="s">
        <v>331</v>
      </c>
      <c r="DV1415" s="340">
        <v>143.41999999999999</v>
      </c>
      <c r="DW1415" s="340" t="s">
        <v>302</v>
      </c>
      <c r="DX1415" s="1671"/>
    </row>
    <row r="1416" spans="12:128">
      <c r="L1416" s="2481">
        <v>47.01</v>
      </c>
      <c r="M1416" s="340" t="s">
        <v>331</v>
      </c>
      <c r="N1416" s="1390"/>
      <c r="O1416" s="2479"/>
      <c r="P1416" s="2282"/>
      <c r="AG1416" s="2297">
        <v>143.36000000000001</v>
      </c>
      <c r="AH1416" s="2297" t="s">
        <v>302</v>
      </c>
      <c r="AI1416" s="1390"/>
      <c r="AJ1416" s="2282"/>
      <c r="AK1416" s="2282"/>
      <c r="AL1416" s="1037"/>
      <c r="AX1416" s="340">
        <v>6.03</v>
      </c>
      <c r="AY1416" s="340" t="s">
        <v>331</v>
      </c>
      <c r="BN1416" s="340">
        <v>139.16</v>
      </c>
      <c r="BO1416" s="340" t="s">
        <v>316</v>
      </c>
      <c r="BP1416" s="1385"/>
      <c r="BV1416" s="236">
        <v>55</v>
      </c>
      <c r="BW1416" s="236" t="s">
        <v>316</v>
      </c>
      <c r="CB1416" s="340">
        <v>2.2599999999999998</v>
      </c>
      <c r="CC1416" s="340" t="s">
        <v>331</v>
      </c>
      <c r="CL1416" s="236">
        <v>77.23</v>
      </c>
      <c r="CM1416" s="236" t="s">
        <v>340</v>
      </c>
      <c r="CR1416" s="340">
        <v>139.22999999999999</v>
      </c>
      <c r="CS1416" s="340" t="s">
        <v>316</v>
      </c>
      <c r="CT1416" s="1384"/>
      <c r="DF1416" s="340">
        <v>43.01</v>
      </c>
      <c r="DG1416" s="340" t="s">
        <v>331</v>
      </c>
      <c r="DV1416" s="340">
        <v>143.43</v>
      </c>
      <c r="DW1416" s="340" t="s">
        <v>302</v>
      </c>
      <c r="DX1416" s="1671"/>
    </row>
    <row r="1417" spans="12:128">
      <c r="L1417" s="2481">
        <v>47.03</v>
      </c>
      <c r="M1417" s="340" t="s">
        <v>331</v>
      </c>
      <c r="N1417" s="1390"/>
      <c r="O1417" s="2479"/>
      <c r="P1417" s="2282"/>
      <c r="AG1417" s="2297">
        <v>143.38</v>
      </c>
      <c r="AH1417" s="2297" t="s">
        <v>302</v>
      </c>
      <c r="AI1417" s="1390"/>
      <c r="AJ1417" s="2282"/>
      <c r="AK1417" s="2282"/>
      <c r="AL1417" s="1037"/>
      <c r="AX1417" s="340">
        <v>6.05</v>
      </c>
      <c r="AY1417" s="340" t="s">
        <v>331</v>
      </c>
      <c r="BN1417" s="340">
        <v>139.16999999999999</v>
      </c>
      <c r="BO1417" s="340" t="s">
        <v>316</v>
      </c>
      <c r="BP1417" s="1385"/>
      <c r="BV1417" s="236">
        <v>57</v>
      </c>
      <c r="BW1417" s="236" t="s">
        <v>316</v>
      </c>
      <c r="CB1417" s="340">
        <v>3.02</v>
      </c>
      <c r="CC1417" s="340" t="s">
        <v>331</v>
      </c>
      <c r="CL1417" s="236">
        <v>77.239999999999995</v>
      </c>
      <c r="CM1417" s="236" t="s">
        <v>340</v>
      </c>
      <c r="CR1417" s="340">
        <v>139.24</v>
      </c>
      <c r="CS1417" s="340" t="s">
        <v>316</v>
      </c>
      <c r="CT1417" s="1384"/>
      <c r="DF1417" s="340">
        <v>43.03</v>
      </c>
      <c r="DG1417" s="340" t="s">
        <v>331</v>
      </c>
      <c r="DV1417" s="340">
        <v>143.44</v>
      </c>
      <c r="DW1417" s="340" t="s">
        <v>302</v>
      </c>
      <c r="DX1417" s="1671"/>
    </row>
    <row r="1418" spans="12:128">
      <c r="L1418" s="2481">
        <v>47.04</v>
      </c>
      <c r="M1418" s="340" t="s">
        <v>331</v>
      </c>
      <c r="N1418" s="1390"/>
      <c r="O1418" s="2479"/>
      <c r="P1418" s="2282"/>
      <c r="AG1418" s="2297">
        <v>143.38999999999999</v>
      </c>
      <c r="AH1418" s="2297" t="s">
        <v>302</v>
      </c>
      <c r="AI1418" s="1390"/>
      <c r="AJ1418" s="2282"/>
      <c r="AK1418" s="2282"/>
      <c r="AL1418" s="1037"/>
      <c r="AX1418" s="340">
        <v>6.12</v>
      </c>
      <c r="AY1418" s="340" t="s">
        <v>331</v>
      </c>
      <c r="BN1418" s="340">
        <v>139.18</v>
      </c>
      <c r="BO1418" s="340" t="s">
        <v>316</v>
      </c>
      <c r="BP1418" s="1385"/>
      <c r="BV1418" s="236">
        <v>58</v>
      </c>
      <c r="BW1418" s="236" t="s">
        <v>316</v>
      </c>
      <c r="CB1418" s="340">
        <v>4.1500000000000004</v>
      </c>
      <c r="CC1418" s="340" t="s">
        <v>331</v>
      </c>
      <c r="CL1418" s="236">
        <v>77.25</v>
      </c>
      <c r="CM1418" s="236" t="s">
        <v>340</v>
      </c>
      <c r="CR1418" s="340">
        <v>139.26</v>
      </c>
      <c r="CS1418" s="340" t="s">
        <v>316</v>
      </c>
      <c r="CT1418" s="1384"/>
      <c r="DF1418" s="340">
        <v>43.04</v>
      </c>
      <c r="DG1418" s="340" t="s">
        <v>331</v>
      </c>
      <c r="DV1418" s="340">
        <v>144</v>
      </c>
      <c r="DW1418" s="340" t="s">
        <v>316</v>
      </c>
      <c r="DX1418" s="1671"/>
    </row>
    <row r="1419" spans="12:128">
      <c r="L1419" s="2481">
        <v>47.05</v>
      </c>
      <c r="M1419" s="340" t="s">
        <v>331</v>
      </c>
      <c r="N1419" s="1390"/>
      <c r="O1419" s="2479"/>
      <c r="P1419" s="2282"/>
      <c r="AG1419" s="2297">
        <v>143.4</v>
      </c>
      <c r="AH1419" s="2297" t="s">
        <v>302</v>
      </c>
      <c r="AI1419" s="1390"/>
      <c r="AJ1419" s="2282"/>
      <c r="AK1419" s="2282"/>
      <c r="AL1419" s="1037"/>
      <c r="AX1419" s="340">
        <v>7.18</v>
      </c>
      <c r="AY1419" s="340" t="s">
        <v>331</v>
      </c>
      <c r="BN1419" s="340">
        <v>139.19</v>
      </c>
      <c r="BO1419" s="340" t="s">
        <v>316</v>
      </c>
      <c r="BP1419" s="1385"/>
      <c r="BV1419" s="236">
        <v>59</v>
      </c>
      <c r="BW1419" s="236" t="s">
        <v>316</v>
      </c>
      <c r="CB1419" s="340">
        <v>4.1900000000000004</v>
      </c>
      <c r="CC1419" s="340" t="s">
        <v>331</v>
      </c>
      <c r="CL1419" s="236">
        <v>77.3</v>
      </c>
      <c r="CM1419" s="236" t="s">
        <v>340</v>
      </c>
      <c r="CR1419" s="340">
        <v>140</v>
      </c>
      <c r="CS1419" s="340" t="s">
        <v>338</v>
      </c>
      <c r="CT1419" s="1384"/>
      <c r="DF1419" s="340">
        <v>44.06</v>
      </c>
      <c r="DG1419" s="340" t="s">
        <v>331</v>
      </c>
      <c r="DV1419" s="340">
        <v>144</v>
      </c>
      <c r="DW1419" s="340" t="s">
        <v>331</v>
      </c>
      <c r="DX1419" s="1671"/>
    </row>
    <row r="1420" spans="12:128">
      <c r="L1420" s="2481">
        <v>50.02</v>
      </c>
      <c r="M1420" s="340" t="s">
        <v>331</v>
      </c>
      <c r="N1420" s="1390"/>
      <c r="O1420" s="2479"/>
      <c r="P1420" s="2282"/>
      <c r="AG1420" s="2297">
        <v>143.41</v>
      </c>
      <c r="AH1420" s="2297" t="s">
        <v>302</v>
      </c>
      <c r="AI1420" s="1390"/>
      <c r="AJ1420" s="2282"/>
      <c r="AK1420" s="2282"/>
      <c r="AL1420" s="1037"/>
      <c r="AX1420" s="340">
        <v>9.07</v>
      </c>
      <c r="AY1420" s="340" t="s">
        <v>331</v>
      </c>
      <c r="BN1420" s="340">
        <v>139.22</v>
      </c>
      <c r="BO1420" s="340" t="s">
        <v>316</v>
      </c>
      <c r="BP1420" s="1385"/>
      <c r="BV1420" s="236">
        <v>60</v>
      </c>
      <c r="BW1420" s="236" t="s">
        <v>316</v>
      </c>
      <c r="CB1420" s="340">
        <v>6.01</v>
      </c>
      <c r="CC1420" s="340" t="s">
        <v>331</v>
      </c>
      <c r="CL1420" s="236">
        <v>77.31</v>
      </c>
      <c r="CM1420" s="236" t="s">
        <v>340</v>
      </c>
      <c r="CR1420" s="340">
        <v>140.01</v>
      </c>
      <c r="CS1420" s="340" t="s">
        <v>302</v>
      </c>
      <c r="CT1420" s="1384"/>
      <c r="DF1420" s="340">
        <v>45</v>
      </c>
      <c r="DG1420" s="340" t="s">
        <v>331</v>
      </c>
      <c r="DV1420" s="340">
        <v>144.01</v>
      </c>
      <c r="DW1420" s="340" t="s">
        <v>344</v>
      </c>
      <c r="DX1420" s="1671"/>
    </row>
    <row r="1421" spans="12:128">
      <c r="L1421" s="2481">
        <v>51.02</v>
      </c>
      <c r="M1421" s="340" t="s">
        <v>331</v>
      </c>
      <c r="N1421" s="1390"/>
      <c r="O1421" s="2479"/>
      <c r="P1421" s="2282"/>
      <c r="AG1421" s="2297">
        <v>143.41999999999999</v>
      </c>
      <c r="AH1421" s="2297" t="s">
        <v>302</v>
      </c>
      <c r="AI1421" s="1390"/>
      <c r="AJ1421" s="2282"/>
      <c r="AK1421" s="2282"/>
      <c r="AL1421" s="1037"/>
      <c r="AX1421" s="340">
        <v>9.08</v>
      </c>
      <c r="AY1421" s="340" t="s">
        <v>331</v>
      </c>
      <c r="BN1421" s="340">
        <v>139.22999999999999</v>
      </c>
      <c r="BO1421" s="340" t="s">
        <v>316</v>
      </c>
      <c r="BP1421" s="1385"/>
      <c r="BV1421" s="236">
        <v>61.01</v>
      </c>
      <c r="BW1421" s="236" t="s">
        <v>316</v>
      </c>
      <c r="CB1421" s="340">
        <v>6.02</v>
      </c>
      <c r="CC1421" s="340" t="s">
        <v>331</v>
      </c>
      <c r="CL1421" s="236">
        <v>77.319999999999993</v>
      </c>
      <c r="CM1421" s="236" t="s">
        <v>340</v>
      </c>
      <c r="CR1421" s="340">
        <v>140.01</v>
      </c>
      <c r="CS1421" s="340" t="s">
        <v>344</v>
      </c>
      <c r="CT1421" s="1384"/>
      <c r="DF1421" s="340">
        <v>46.02</v>
      </c>
      <c r="DG1421" s="340" t="s">
        <v>331</v>
      </c>
      <c r="DV1421" s="340">
        <v>144.08000000000001</v>
      </c>
      <c r="DW1421" s="340" t="s">
        <v>302</v>
      </c>
      <c r="DX1421" s="1671"/>
    </row>
    <row r="1422" spans="12:128">
      <c r="L1422" s="2481">
        <v>55.03</v>
      </c>
      <c r="M1422" s="340" t="s">
        <v>331</v>
      </c>
      <c r="N1422" s="1390"/>
      <c r="O1422" s="2479"/>
      <c r="P1422" s="2282"/>
      <c r="AG1422" s="2297">
        <v>143.43</v>
      </c>
      <c r="AH1422" s="2297" t="s">
        <v>302</v>
      </c>
      <c r="AI1422" s="1390"/>
      <c r="AJ1422" s="2282"/>
      <c r="AK1422" s="2282"/>
      <c r="AL1422" s="1037"/>
      <c r="AX1422" s="340">
        <v>11.03</v>
      </c>
      <c r="AY1422" s="340" t="s">
        <v>331</v>
      </c>
      <c r="BN1422" s="340">
        <v>139.24</v>
      </c>
      <c r="BO1422" s="340" t="s">
        <v>316</v>
      </c>
      <c r="BP1422" s="1385"/>
      <c r="BV1422" s="236">
        <v>61.03</v>
      </c>
      <c r="BW1422" s="236" t="s">
        <v>316</v>
      </c>
      <c r="CB1422" s="340">
        <v>6.03</v>
      </c>
      <c r="CC1422" s="340" t="s">
        <v>331</v>
      </c>
      <c r="CL1422" s="236">
        <v>77.349999999999994</v>
      </c>
      <c r="CM1422" s="236" t="s">
        <v>340</v>
      </c>
      <c r="CR1422" s="340">
        <v>140.02000000000001</v>
      </c>
      <c r="CS1422" s="340" t="s">
        <v>302</v>
      </c>
      <c r="CT1422" s="1384"/>
      <c r="DF1422" s="340">
        <v>46.07</v>
      </c>
      <c r="DG1422" s="340" t="s">
        <v>331</v>
      </c>
      <c r="DV1422" s="340">
        <v>144.13</v>
      </c>
      <c r="DW1422" s="340" t="s">
        <v>302</v>
      </c>
      <c r="DX1422" s="1671"/>
    </row>
    <row r="1423" spans="12:128">
      <c r="L1423" s="2481">
        <v>57.01</v>
      </c>
      <c r="M1423" s="340" t="s">
        <v>331</v>
      </c>
      <c r="N1423" s="1390"/>
      <c r="O1423" s="2479"/>
      <c r="P1423" s="2282"/>
      <c r="AG1423" s="2297">
        <v>143.44</v>
      </c>
      <c r="AH1423" s="2297" t="s">
        <v>302</v>
      </c>
      <c r="AI1423" s="1390"/>
      <c r="AJ1423" s="2282"/>
      <c r="AK1423" s="2282"/>
      <c r="AL1423" s="1037"/>
      <c r="AX1423" s="340">
        <v>11.04</v>
      </c>
      <c r="AY1423" s="340" t="s">
        <v>331</v>
      </c>
      <c r="BN1423" s="340">
        <v>139.26</v>
      </c>
      <c r="BO1423" s="340" t="s">
        <v>316</v>
      </c>
      <c r="BP1423" s="1385"/>
      <c r="BV1423" s="236">
        <v>62</v>
      </c>
      <c r="BW1423" s="236" t="s">
        <v>316</v>
      </c>
      <c r="CB1423" s="340">
        <v>6.05</v>
      </c>
      <c r="CC1423" s="340" t="s">
        <v>331</v>
      </c>
      <c r="CL1423" s="236">
        <v>77.36</v>
      </c>
      <c r="CM1423" s="236" t="s">
        <v>340</v>
      </c>
      <c r="CR1423" s="340">
        <v>140.03</v>
      </c>
      <c r="CS1423" s="340" t="s">
        <v>316</v>
      </c>
      <c r="CT1423" s="1384"/>
      <c r="DF1423" s="340">
        <v>46.08</v>
      </c>
      <c r="DG1423" s="340" t="s">
        <v>331</v>
      </c>
      <c r="DV1423" s="340">
        <v>144.13999999999999</v>
      </c>
      <c r="DW1423" s="340" t="s">
        <v>302</v>
      </c>
      <c r="DX1423" s="1671"/>
    </row>
    <row r="1424" spans="12:128">
      <c r="L1424" s="2481">
        <v>58.05</v>
      </c>
      <c r="M1424" s="340" t="s">
        <v>331</v>
      </c>
      <c r="N1424" s="1390"/>
      <c r="O1424" s="2479"/>
      <c r="P1424" s="2282"/>
      <c r="AG1424" s="2297">
        <v>144</v>
      </c>
      <c r="AH1424" s="2297" t="s">
        <v>316</v>
      </c>
      <c r="AI1424" s="1390"/>
      <c r="AJ1424" s="2282"/>
      <c r="AK1424" s="2282"/>
      <c r="AL1424" s="1037"/>
      <c r="AX1424" s="340">
        <v>12.04</v>
      </c>
      <c r="AY1424" s="340" t="s">
        <v>331</v>
      </c>
      <c r="BN1424" s="340">
        <v>140</v>
      </c>
      <c r="BO1424" s="340" t="s">
        <v>338</v>
      </c>
      <c r="BP1424" s="1385"/>
      <c r="BV1424" s="236">
        <v>63</v>
      </c>
      <c r="BW1424" s="236" t="s">
        <v>316</v>
      </c>
      <c r="CB1424" s="340">
        <v>6.1</v>
      </c>
      <c r="CC1424" s="340" t="s">
        <v>331</v>
      </c>
      <c r="CL1424" s="236">
        <v>77.38</v>
      </c>
      <c r="CM1424" s="236" t="s">
        <v>340</v>
      </c>
      <c r="CR1424" s="340">
        <v>140.03</v>
      </c>
      <c r="CS1424" s="340" t="s">
        <v>344</v>
      </c>
      <c r="CT1424" s="1384"/>
      <c r="DF1424" s="340">
        <v>47.01</v>
      </c>
      <c r="DG1424" s="340" t="s">
        <v>331</v>
      </c>
      <c r="DV1424" s="340">
        <v>144.16</v>
      </c>
      <c r="DW1424" s="340" t="s">
        <v>302</v>
      </c>
      <c r="DX1424" s="1671"/>
    </row>
    <row r="1425" spans="12:128">
      <c r="L1425" s="2481">
        <v>58.06</v>
      </c>
      <c r="M1425" s="340" t="s">
        <v>331</v>
      </c>
      <c r="N1425" s="1390"/>
      <c r="O1425" s="2479"/>
      <c r="P1425" s="2282"/>
      <c r="AG1425" s="2297">
        <v>144</v>
      </c>
      <c r="AH1425" s="2297" t="s">
        <v>331</v>
      </c>
      <c r="AI1425" s="1390"/>
      <c r="AJ1425" s="2282"/>
      <c r="AK1425" s="2282"/>
      <c r="AL1425" s="1037"/>
      <c r="AX1425" s="340">
        <v>12.05</v>
      </c>
      <c r="AY1425" s="340" t="s">
        <v>331</v>
      </c>
      <c r="BN1425" s="340">
        <v>140.01</v>
      </c>
      <c r="BO1425" s="340" t="s">
        <v>302</v>
      </c>
      <c r="BP1425" s="1385"/>
      <c r="BV1425" s="236">
        <v>64</v>
      </c>
      <c r="BW1425" s="236" t="s">
        <v>316</v>
      </c>
      <c r="CB1425" s="340">
        <v>6.12</v>
      </c>
      <c r="CC1425" s="340" t="s">
        <v>331</v>
      </c>
      <c r="CL1425" s="236">
        <v>77.39</v>
      </c>
      <c r="CM1425" s="236" t="s">
        <v>340</v>
      </c>
      <c r="CR1425" s="340">
        <v>140.05000000000001</v>
      </c>
      <c r="CS1425" s="340" t="s">
        <v>344</v>
      </c>
      <c r="CT1425" s="1384"/>
      <c r="DF1425" s="340">
        <v>47.03</v>
      </c>
      <c r="DG1425" s="340" t="s">
        <v>331</v>
      </c>
      <c r="DV1425" s="340">
        <v>144.16999999999999</v>
      </c>
      <c r="DW1425" s="340" t="s">
        <v>302</v>
      </c>
      <c r="DX1425" s="1671"/>
    </row>
    <row r="1426" spans="12:128">
      <c r="L1426" s="2481">
        <v>59.01</v>
      </c>
      <c r="M1426" s="340" t="s">
        <v>331</v>
      </c>
      <c r="N1426" s="1390"/>
      <c r="O1426" s="2479"/>
      <c r="P1426" s="2282"/>
      <c r="AG1426" s="2297">
        <v>144</v>
      </c>
      <c r="AH1426" s="2297" t="s">
        <v>338</v>
      </c>
      <c r="AI1426" s="1390"/>
      <c r="AJ1426" s="2282"/>
      <c r="AK1426" s="2282"/>
      <c r="AL1426" s="1037"/>
      <c r="AX1426" s="340">
        <v>12.06</v>
      </c>
      <c r="AY1426" s="340" t="s">
        <v>331</v>
      </c>
      <c r="BN1426" s="340">
        <v>140.01</v>
      </c>
      <c r="BO1426" s="340" t="s">
        <v>344</v>
      </c>
      <c r="BP1426" s="1385"/>
      <c r="BV1426" s="236">
        <v>65.010000000000005</v>
      </c>
      <c r="BW1426" s="236" t="s">
        <v>316</v>
      </c>
      <c r="CB1426" s="340">
        <v>7.15</v>
      </c>
      <c r="CC1426" s="340" t="s">
        <v>331</v>
      </c>
      <c r="CL1426" s="236">
        <v>77.400000000000006</v>
      </c>
      <c r="CM1426" s="236" t="s">
        <v>340</v>
      </c>
      <c r="CR1426" s="340">
        <v>140.06</v>
      </c>
      <c r="CS1426" s="340" t="s">
        <v>344</v>
      </c>
      <c r="CT1426" s="1384"/>
      <c r="DF1426" s="340">
        <v>47.04</v>
      </c>
      <c r="DG1426" s="340" t="s">
        <v>331</v>
      </c>
      <c r="DV1426" s="340">
        <v>144.18</v>
      </c>
      <c r="DW1426" s="340" t="s">
        <v>302</v>
      </c>
      <c r="DX1426" s="1671"/>
    </row>
    <row r="1427" spans="12:128">
      <c r="L1427" s="2481">
        <v>59.02</v>
      </c>
      <c r="M1427" s="340" t="s">
        <v>331</v>
      </c>
      <c r="N1427" s="1390"/>
      <c r="O1427" s="2479"/>
      <c r="P1427" s="2282"/>
      <c r="AG1427" s="2297">
        <v>144.01</v>
      </c>
      <c r="AH1427" s="2297" t="s">
        <v>344</v>
      </c>
      <c r="AI1427" s="1390"/>
      <c r="AJ1427" s="2282"/>
      <c r="AK1427" s="2282"/>
      <c r="AL1427" s="1037"/>
      <c r="AX1427" s="340">
        <v>12.07</v>
      </c>
      <c r="AY1427" s="340" t="s">
        <v>331</v>
      </c>
      <c r="BN1427" s="340">
        <v>140.02000000000001</v>
      </c>
      <c r="BO1427" s="340" t="s">
        <v>302</v>
      </c>
      <c r="BP1427" s="1385"/>
      <c r="BV1427" s="236">
        <v>65.03</v>
      </c>
      <c r="BW1427" s="236" t="s">
        <v>316</v>
      </c>
      <c r="CB1427" s="340">
        <v>9.0500000000000007</v>
      </c>
      <c r="CC1427" s="340" t="s">
        <v>331</v>
      </c>
      <c r="CL1427" s="236">
        <v>77.41</v>
      </c>
      <c r="CM1427" s="236" t="s">
        <v>340</v>
      </c>
      <c r="CR1427" s="340">
        <v>140.07</v>
      </c>
      <c r="CS1427" s="340" t="s">
        <v>316</v>
      </c>
      <c r="CT1427" s="1384"/>
      <c r="DF1427" s="340">
        <v>47.05</v>
      </c>
      <c r="DG1427" s="340" t="s">
        <v>331</v>
      </c>
      <c r="DV1427" s="340">
        <v>144.19</v>
      </c>
      <c r="DW1427" s="340" t="s">
        <v>302</v>
      </c>
      <c r="DX1427" s="1671"/>
    </row>
    <row r="1428" spans="12:128">
      <c r="L1428" s="2481">
        <v>60.02</v>
      </c>
      <c r="M1428" s="340" t="s">
        <v>331</v>
      </c>
      <c r="N1428" s="1390"/>
      <c r="O1428" s="2479"/>
      <c r="P1428" s="2282"/>
      <c r="AG1428" s="2297">
        <v>144.08000000000001</v>
      </c>
      <c r="AH1428" s="2297" t="s">
        <v>302</v>
      </c>
      <c r="AI1428" s="1390"/>
      <c r="AJ1428" s="2282"/>
      <c r="AK1428" s="2282"/>
      <c r="AL1428" s="1037"/>
      <c r="AX1428" s="340">
        <v>13.01</v>
      </c>
      <c r="AY1428" s="340" t="s">
        <v>331</v>
      </c>
      <c r="BN1428" s="340">
        <v>140.03</v>
      </c>
      <c r="BO1428" s="340" t="s">
        <v>316</v>
      </c>
      <c r="BP1428" s="1385"/>
      <c r="BV1428" s="236">
        <v>65.040000000000006</v>
      </c>
      <c r="BW1428" s="236" t="s">
        <v>316</v>
      </c>
      <c r="CB1428" s="340">
        <v>9.08</v>
      </c>
      <c r="CC1428" s="340" t="s">
        <v>331</v>
      </c>
      <c r="CL1428" s="236">
        <v>77.42</v>
      </c>
      <c r="CM1428" s="236" t="s">
        <v>340</v>
      </c>
      <c r="CR1428" s="340">
        <v>140.08000000000001</v>
      </c>
      <c r="CS1428" s="340" t="s">
        <v>316</v>
      </c>
      <c r="CT1428" s="1384"/>
      <c r="DF1428" s="340">
        <v>58.05</v>
      </c>
      <c r="DG1428" s="340" t="s">
        <v>331</v>
      </c>
      <c r="DV1428" s="340">
        <v>144.19999999999999</v>
      </c>
      <c r="DW1428" s="340" t="s">
        <v>302</v>
      </c>
      <c r="DX1428" s="1671"/>
    </row>
    <row r="1429" spans="12:128">
      <c r="L1429" s="2481">
        <v>60.04</v>
      </c>
      <c r="M1429" s="340" t="s">
        <v>331</v>
      </c>
      <c r="N1429" s="1390"/>
      <c r="O1429" s="2479"/>
      <c r="P1429" s="2282"/>
      <c r="AG1429" s="2297">
        <v>144.13</v>
      </c>
      <c r="AH1429" s="2297" t="s">
        <v>302</v>
      </c>
      <c r="AI1429" s="1390"/>
      <c r="AJ1429" s="2282"/>
      <c r="AK1429" s="2282"/>
      <c r="AL1429" s="1037"/>
      <c r="AX1429" s="340">
        <v>13.02</v>
      </c>
      <c r="AY1429" s="340" t="s">
        <v>331</v>
      </c>
      <c r="BN1429" s="340">
        <v>140.03</v>
      </c>
      <c r="BO1429" s="340" t="s">
        <v>344</v>
      </c>
      <c r="BP1429" s="1385"/>
      <c r="BV1429" s="236">
        <v>66</v>
      </c>
      <c r="BW1429" s="236" t="s">
        <v>316</v>
      </c>
      <c r="CB1429" s="340">
        <v>11.04</v>
      </c>
      <c r="CC1429" s="340" t="s">
        <v>331</v>
      </c>
      <c r="CL1429" s="236">
        <v>77.430000000000007</v>
      </c>
      <c r="CM1429" s="236" t="s">
        <v>340</v>
      </c>
      <c r="CR1429" s="340">
        <v>140.09</v>
      </c>
      <c r="CS1429" s="340" t="s">
        <v>316</v>
      </c>
      <c r="CT1429" s="1384"/>
      <c r="DF1429" s="340">
        <v>58.06</v>
      </c>
      <c r="DG1429" s="340" t="s">
        <v>331</v>
      </c>
      <c r="DV1429" s="340">
        <v>144.21</v>
      </c>
      <c r="DW1429" s="340" t="s">
        <v>302</v>
      </c>
      <c r="DX1429" s="1671"/>
    </row>
    <row r="1430" spans="12:128">
      <c r="L1430" s="2481">
        <v>61.03</v>
      </c>
      <c r="M1430" s="340" t="s">
        <v>331</v>
      </c>
      <c r="N1430" s="1390"/>
      <c r="O1430" s="2479"/>
      <c r="P1430" s="2282"/>
      <c r="AG1430" s="2297">
        <v>144.13999999999999</v>
      </c>
      <c r="AH1430" s="2297" t="s">
        <v>302</v>
      </c>
      <c r="AI1430" s="1390"/>
      <c r="AJ1430" s="2282"/>
      <c r="AK1430" s="2282"/>
      <c r="AL1430" s="1037"/>
      <c r="AX1430" s="340">
        <v>16.03</v>
      </c>
      <c r="AY1430" s="340" t="s">
        <v>331</v>
      </c>
      <c r="BN1430" s="340">
        <v>140.05000000000001</v>
      </c>
      <c r="BO1430" s="340" t="s">
        <v>344</v>
      </c>
      <c r="BP1430" s="1385"/>
      <c r="BV1430" s="236">
        <v>67</v>
      </c>
      <c r="BW1430" s="236" t="s">
        <v>316</v>
      </c>
      <c r="CB1430" s="340">
        <v>12.04</v>
      </c>
      <c r="CC1430" s="340" t="s">
        <v>331</v>
      </c>
      <c r="CL1430" s="236">
        <v>77.459999999999994</v>
      </c>
      <c r="CM1430" s="236" t="s">
        <v>340</v>
      </c>
      <c r="CR1430" s="340">
        <v>140.12</v>
      </c>
      <c r="CS1430" s="340" t="s">
        <v>316</v>
      </c>
      <c r="CT1430" s="1384"/>
      <c r="DF1430" s="340">
        <v>59.01</v>
      </c>
      <c r="DG1430" s="340" t="s">
        <v>331</v>
      </c>
      <c r="DV1430" s="340">
        <v>144.22</v>
      </c>
      <c r="DW1430" s="340" t="s">
        <v>302</v>
      </c>
      <c r="DX1430" s="1671"/>
    </row>
    <row r="1431" spans="12:128">
      <c r="L1431" s="2481">
        <v>61.04</v>
      </c>
      <c r="M1431" s="340" t="s">
        <v>331</v>
      </c>
      <c r="N1431" s="1390"/>
      <c r="O1431" s="2479"/>
      <c r="P1431" s="2282"/>
      <c r="AG1431" s="2297">
        <v>144.16</v>
      </c>
      <c r="AH1431" s="2297" t="s">
        <v>302</v>
      </c>
      <c r="AI1431" s="1390"/>
      <c r="AJ1431" s="2282"/>
      <c r="AK1431" s="2282"/>
      <c r="AL1431" s="1037"/>
      <c r="AX1431" s="340">
        <v>16.07</v>
      </c>
      <c r="AY1431" s="340" t="s">
        <v>331</v>
      </c>
      <c r="BN1431" s="340">
        <v>140.06</v>
      </c>
      <c r="BO1431" s="340" t="s">
        <v>344</v>
      </c>
      <c r="BP1431" s="1385"/>
      <c r="BV1431" s="236">
        <v>68.010000000000005</v>
      </c>
      <c r="BW1431" s="236" t="s">
        <v>316</v>
      </c>
      <c r="CB1431" s="340">
        <v>12.05</v>
      </c>
      <c r="CC1431" s="340" t="s">
        <v>331</v>
      </c>
      <c r="CL1431" s="236">
        <v>77.47</v>
      </c>
      <c r="CM1431" s="236" t="s">
        <v>340</v>
      </c>
      <c r="CR1431" s="340">
        <v>140.16999999999999</v>
      </c>
      <c r="CS1431" s="340" t="s">
        <v>316</v>
      </c>
      <c r="CT1431" s="1384"/>
      <c r="DF1431" s="340">
        <v>60.02</v>
      </c>
      <c r="DG1431" s="340" t="s">
        <v>331</v>
      </c>
      <c r="DV1431" s="340">
        <v>144.22999999999999</v>
      </c>
      <c r="DW1431" s="340" t="s">
        <v>302</v>
      </c>
      <c r="DX1431" s="1671"/>
    </row>
    <row r="1432" spans="12:128">
      <c r="L1432" s="2481">
        <v>61.05</v>
      </c>
      <c r="M1432" s="340" t="s">
        <v>331</v>
      </c>
      <c r="N1432" s="1390"/>
      <c r="O1432" s="2479"/>
      <c r="P1432" s="2282"/>
      <c r="AG1432" s="2297">
        <v>144.16999999999999</v>
      </c>
      <c r="AH1432" s="2297" t="s">
        <v>302</v>
      </c>
      <c r="AI1432" s="1390"/>
      <c r="AJ1432" s="2282"/>
      <c r="AK1432" s="2282"/>
      <c r="AL1432" s="1037"/>
      <c r="AX1432" s="340">
        <v>16.079999999999998</v>
      </c>
      <c r="AY1432" s="340" t="s">
        <v>331</v>
      </c>
      <c r="BN1432" s="340">
        <v>140.07</v>
      </c>
      <c r="BO1432" s="340" t="s">
        <v>316</v>
      </c>
      <c r="BP1432" s="1385"/>
      <c r="BV1432" s="236">
        <v>68.02</v>
      </c>
      <c r="BW1432" s="236" t="s">
        <v>316</v>
      </c>
      <c r="CB1432" s="340">
        <v>12.06</v>
      </c>
      <c r="CC1432" s="340" t="s">
        <v>331</v>
      </c>
      <c r="CL1432" s="236">
        <v>77.48</v>
      </c>
      <c r="CM1432" s="236" t="s">
        <v>340</v>
      </c>
      <c r="CR1432" s="340">
        <v>141</v>
      </c>
      <c r="CS1432" s="340" t="s">
        <v>331</v>
      </c>
      <c r="CT1432" s="1384"/>
      <c r="DF1432" s="340">
        <v>60.03</v>
      </c>
      <c r="DG1432" s="340" t="s">
        <v>331</v>
      </c>
      <c r="DV1432" s="340">
        <v>144.24</v>
      </c>
      <c r="DW1432" s="340" t="s">
        <v>302</v>
      </c>
      <c r="DX1432" s="1671"/>
    </row>
    <row r="1433" spans="12:128">
      <c r="L1433" s="2481">
        <v>61.06</v>
      </c>
      <c r="M1433" s="340" t="s">
        <v>331</v>
      </c>
      <c r="N1433" s="1390"/>
      <c r="O1433" s="2479"/>
      <c r="P1433" s="2282"/>
      <c r="AG1433" s="2297">
        <v>144.18</v>
      </c>
      <c r="AH1433" s="2297" t="s">
        <v>302</v>
      </c>
      <c r="AI1433" s="1390"/>
      <c r="AJ1433" s="2282"/>
      <c r="AK1433" s="2282"/>
      <c r="AL1433" s="1037"/>
      <c r="AX1433" s="340">
        <v>22.01</v>
      </c>
      <c r="AY1433" s="340" t="s">
        <v>331</v>
      </c>
      <c r="BN1433" s="340">
        <v>140.08000000000001</v>
      </c>
      <c r="BO1433" s="340" t="s">
        <v>316</v>
      </c>
      <c r="BP1433" s="1385"/>
      <c r="BV1433" s="236">
        <v>69</v>
      </c>
      <c r="BW1433" s="236" t="s">
        <v>316</v>
      </c>
      <c r="CB1433" s="340">
        <v>12.07</v>
      </c>
      <c r="CC1433" s="340" t="s">
        <v>331</v>
      </c>
      <c r="CL1433" s="236">
        <v>77.489999999999995</v>
      </c>
      <c r="CM1433" s="236" t="s">
        <v>340</v>
      </c>
      <c r="CR1433" s="340">
        <v>141</v>
      </c>
      <c r="CS1433" s="340" t="s">
        <v>338</v>
      </c>
      <c r="CT1433" s="1384"/>
      <c r="DF1433" s="340">
        <v>60.04</v>
      </c>
      <c r="DG1433" s="340" t="s">
        <v>331</v>
      </c>
      <c r="DV1433" s="340">
        <v>144.25</v>
      </c>
      <c r="DW1433" s="340" t="s">
        <v>302</v>
      </c>
      <c r="DX1433" s="1671"/>
    </row>
    <row r="1434" spans="12:128">
      <c r="L1434" s="2481">
        <v>62.01</v>
      </c>
      <c r="M1434" s="340" t="s">
        <v>331</v>
      </c>
      <c r="N1434" s="1390"/>
      <c r="O1434" s="2479"/>
      <c r="P1434" s="2282"/>
      <c r="AG1434" s="2297">
        <v>144.19</v>
      </c>
      <c r="AH1434" s="2297" t="s">
        <v>302</v>
      </c>
      <c r="AI1434" s="1390"/>
      <c r="AJ1434" s="2282"/>
      <c r="AK1434" s="2282"/>
      <c r="AL1434" s="1037"/>
      <c r="AX1434" s="340">
        <v>26</v>
      </c>
      <c r="AY1434" s="340" t="s">
        <v>331</v>
      </c>
      <c r="BN1434" s="340">
        <v>140.09</v>
      </c>
      <c r="BO1434" s="340" t="s">
        <v>316</v>
      </c>
      <c r="BP1434" s="1385"/>
      <c r="BV1434" s="236">
        <v>70.010000000000005</v>
      </c>
      <c r="BW1434" s="236" t="s">
        <v>316</v>
      </c>
      <c r="CB1434" s="340">
        <v>12.08</v>
      </c>
      <c r="CC1434" s="340" t="s">
        <v>331</v>
      </c>
      <c r="CL1434" s="236">
        <v>77.5</v>
      </c>
      <c r="CM1434" s="236" t="s">
        <v>340</v>
      </c>
      <c r="CR1434" s="340">
        <v>141.01</v>
      </c>
      <c r="CS1434" s="340" t="s">
        <v>302</v>
      </c>
      <c r="CT1434" s="1384"/>
      <c r="DF1434" s="340">
        <v>61.03</v>
      </c>
      <c r="DG1434" s="340" t="s">
        <v>331</v>
      </c>
      <c r="DV1434" s="340">
        <v>144.26</v>
      </c>
      <c r="DW1434" s="340" t="s">
        <v>302</v>
      </c>
      <c r="DX1434" s="1671"/>
    </row>
    <row r="1435" spans="12:128">
      <c r="L1435" s="2481">
        <v>62.03</v>
      </c>
      <c r="M1435" s="340" t="s">
        <v>331</v>
      </c>
      <c r="N1435" s="1390"/>
      <c r="O1435" s="2479"/>
      <c r="P1435" s="2282"/>
      <c r="AG1435" s="2297">
        <v>144.19999999999999</v>
      </c>
      <c r="AH1435" s="2297" t="s">
        <v>302</v>
      </c>
      <c r="AI1435" s="1390"/>
      <c r="AJ1435" s="2282"/>
      <c r="AK1435" s="2282"/>
      <c r="AL1435" s="1037"/>
      <c r="AX1435" s="340">
        <v>27.02</v>
      </c>
      <c r="AY1435" s="340" t="s">
        <v>331</v>
      </c>
      <c r="BN1435" s="340">
        <v>140.12</v>
      </c>
      <c r="BO1435" s="340" t="s">
        <v>316</v>
      </c>
      <c r="BP1435" s="1385"/>
      <c r="BV1435" s="236">
        <v>70.02</v>
      </c>
      <c r="BW1435" s="236" t="s">
        <v>316</v>
      </c>
      <c r="CB1435" s="340">
        <v>13.01</v>
      </c>
      <c r="CC1435" s="340" t="s">
        <v>331</v>
      </c>
      <c r="CL1435" s="236">
        <v>77.510000000000005</v>
      </c>
      <c r="CM1435" s="236" t="s">
        <v>340</v>
      </c>
      <c r="CR1435" s="340">
        <v>141.03</v>
      </c>
      <c r="CS1435" s="340" t="s">
        <v>302</v>
      </c>
      <c r="CT1435" s="1384"/>
      <c r="DF1435" s="340">
        <v>61.04</v>
      </c>
      <c r="DG1435" s="340" t="s">
        <v>331</v>
      </c>
      <c r="DV1435" s="340">
        <v>144.28</v>
      </c>
      <c r="DW1435" s="340" t="s">
        <v>302</v>
      </c>
      <c r="DX1435" s="1671"/>
    </row>
    <row r="1436" spans="12:128">
      <c r="L1436" s="2481">
        <v>62.05</v>
      </c>
      <c r="M1436" s="340" t="s">
        <v>331</v>
      </c>
      <c r="N1436" s="1390"/>
      <c r="O1436" s="2479"/>
      <c r="P1436" s="2282"/>
      <c r="AG1436" s="2297">
        <v>144.21</v>
      </c>
      <c r="AH1436" s="2297" t="s">
        <v>302</v>
      </c>
      <c r="AI1436" s="1390"/>
      <c r="AJ1436" s="2282"/>
      <c r="AK1436" s="2282"/>
      <c r="AL1436" s="1037"/>
      <c r="AX1436" s="340">
        <v>27.05</v>
      </c>
      <c r="AY1436" s="340" t="s">
        <v>331</v>
      </c>
      <c r="BN1436" s="340">
        <v>140.13</v>
      </c>
      <c r="BO1436" s="340" t="s">
        <v>316</v>
      </c>
      <c r="BP1436" s="1385"/>
      <c r="BV1436" s="236">
        <v>71.02</v>
      </c>
      <c r="BW1436" s="236" t="s">
        <v>316</v>
      </c>
      <c r="CB1436" s="340">
        <v>13.02</v>
      </c>
      <c r="CC1436" s="340" t="s">
        <v>331</v>
      </c>
      <c r="CL1436" s="236">
        <v>77.52</v>
      </c>
      <c r="CM1436" s="236" t="s">
        <v>340</v>
      </c>
      <c r="CR1436" s="340">
        <v>141.04</v>
      </c>
      <c r="CS1436" s="340" t="s">
        <v>302</v>
      </c>
      <c r="CT1436" s="1384"/>
      <c r="DF1436" s="340">
        <v>61.05</v>
      </c>
      <c r="DG1436" s="340" t="s">
        <v>331</v>
      </c>
      <c r="DV1436" s="340">
        <v>145</v>
      </c>
      <c r="DW1436" s="340" t="s">
        <v>331</v>
      </c>
      <c r="DX1436" s="1671"/>
    </row>
    <row r="1437" spans="12:128">
      <c r="L1437" s="2481">
        <v>62.06</v>
      </c>
      <c r="M1437" s="340" t="s">
        <v>331</v>
      </c>
      <c r="N1437" s="1390"/>
      <c r="O1437" s="2479"/>
      <c r="P1437" s="2282"/>
      <c r="AG1437" s="2297">
        <v>144.22</v>
      </c>
      <c r="AH1437" s="2297" t="s">
        <v>302</v>
      </c>
      <c r="AI1437" s="1390"/>
      <c r="AJ1437" s="2282"/>
      <c r="AK1437" s="2282"/>
      <c r="AL1437" s="1037"/>
      <c r="AX1437" s="340">
        <v>27.07</v>
      </c>
      <c r="AY1437" s="340" t="s">
        <v>331</v>
      </c>
      <c r="BN1437" s="340">
        <v>140.16999999999999</v>
      </c>
      <c r="BO1437" s="340" t="s">
        <v>316</v>
      </c>
      <c r="BP1437" s="1385"/>
      <c r="BV1437" s="236">
        <v>71.03</v>
      </c>
      <c r="BW1437" s="236" t="s">
        <v>316</v>
      </c>
      <c r="CB1437" s="340">
        <v>16.07</v>
      </c>
      <c r="CC1437" s="340" t="s">
        <v>331</v>
      </c>
      <c r="CL1437" s="236">
        <v>77.540000000000006</v>
      </c>
      <c r="CM1437" s="236" t="s">
        <v>340</v>
      </c>
      <c r="CR1437" s="340">
        <v>141.16999999999999</v>
      </c>
      <c r="CS1437" s="340" t="s">
        <v>316</v>
      </c>
      <c r="CT1437" s="1384"/>
      <c r="DF1437" s="340">
        <v>61.06</v>
      </c>
      <c r="DG1437" s="340" t="s">
        <v>331</v>
      </c>
      <c r="DV1437" s="340">
        <v>145.01</v>
      </c>
      <c r="DW1437" s="340" t="s">
        <v>344</v>
      </c>
      <c r="DX1437" s="1671"/>
    </row>
    <row r="1438" spans="12:128">
      <c r="L1438" s="2481">
        <v>63.02</v>
      </c>
      <c r="M1438" s="340" t="s">
        <v>331</v>
      </c>
      <c r="N1438" s="1390"/>
      <c r="O1438" s="2479"/>
      <c r="P1438" s="2282"/>
      <c r="AG1438" s="2297">
        <v>144.22999999999999</v>
      </c>
      <c r="AH1438" s="2297" t="s">
        <v>302</v>
      </c>
      <c r="AI1438" s="1390"/>
      <c r="AJ1438" s="2282"/>
      <c r="AK1438" s="2282"/>
      <c r="AL1438" s="1037"/>
      <c r="AX1438" s="340">
        <v>27.08</v>
      </c>
      <c r="AY1438" s="340" t="s">
        <v>331</v>
      </c>
      <c r="BN1438" s="340">
        <v>141</v>
      </c>
      <c r="BO1438" s="340" t="s">
        <v>338</v>
      </c>
      <c r="BP1438" s="1385"/>
      <c r="BV1438" s="236">
        <v>72</v>
      </c>
      <c r="BW1438" s="236" t="s">
        <v>316</v>
      </c>
      <c r="CB1438" s="340">
        <v>21</v>
      </c>
      <c r="CC1438" s="340" t="s">
        <v>331</v>
      </c>
      <c r="CL1438" s="236">
        <v>77.569999999999993</v>
      </c>
      <c r="CM1438" s="236" t="s">
        <v>340</v>
      </c>
      <c r="CR1438" s="340">
        <v>141.18</v>
      </c>
      <c r="CS1438" s="340" t="s">
        <v>316</v>
      </c>
      <c r="CT1438" s="1384"/>
      <c r="DF1438" s="340">
        <v>62.01</v>
      </c>
      <c r="DG1438" s="340" t="s">
        <v>331</v>
      </c>
      <c r="DV1438" s="340">
        <v>145.04</v>
      </c>
      <c r="DW1438" s="340" t="s">
        <v>338</v>
      </c>
      <c r="DX1438" s="1671"/>
    </row>
    <row r="1439" spans="12:128">
      <c r="L1439" s="2481">
        <v>64.02</v>
      </c>
      <c r="M1439" s="340" t="s">
        <v>331</v>
      </c>
      <c r="N1439" s="1390"/>
      <c r="O1439" s="2479"/>
      <c r="P1439" s="2282"/>
      <c r="AG1439" s="2297">
        <v>144.24</v>
      </c>
      <c r="AH1439" s="2297" t="s">
        <v>302</v>
      </c>
      <c r="AI1439" s="1390"/>
      <c r="AJ1439" s="2282"/>
      <c r="AK1439" s="2282"/>
      <c r="AL1439" s="1037"/>
      <c r="AX1439" s="340">
        <v>27.09</v>
      </c>
      <c r="AY1439" s="340" t="s">
        <v>331</v>
      </c>
      <c r="BN1439" s="340">
        <v>141.01</v>
      </c>
      <c r="BO1439" s="340" t="s">
        <v>302</v>
      </c>
      <c r="BP1439" s="1385"/>
      <c r="BV1439" s="236">
        <v>73</v>
      </c>
      <c r="BW1439" s="236" t="s">
        <v>316</v>
      </c>
      <c r="CB1439" s="340">
        <v>22.01</v>
      </c>
      <c r="CC1439" s="340" t="s">
        <v>331</v>
      </c>
      <c r="CL1439" s="236">
        <v>77.58</v>
      </c>
      <c r="CM1439" s="236" t="s">
        <v>340</v>
      </c>
      <c r="CR1439" s="340">
        <v>141.19</v>
      </c>
      <c r="CS1439" s="340" t="s">
        <v>316</v>
      </c>
      <c r="CT1439" s="1384"/>
      <c r="DF1439" s="340">
        <v>62.03</v>
      </c>
      <c r="DG1439" s="340" t="s">
        <v>331</v>
      </c>
      <c r="DV1439" s="340">
        <v>146.01</v>
      </c>
      <c r="DW1439" s="340" t="s">
        <v>302</v>
      </c>
      <c r="DX1439" s="1671"/>
    </row>
    <row r="1440" spans="12:128">
      <c r="L1440" s="2481">
        <v>65.010000000000005</v>
      </c>
      <c r="M1440" s="340" t="s">
        <v>331</v>
      </c>
      <c r="N1440" s="1390"/>
      <c r="O1440" s="2479"/>
      <c r="P1440" s="2282"/>
      <c r="AG1440" s="2297">
        <v>144.25</v>
      </c>
      <c r="AH1440" s="2297" t="s">
        <v>302</v>
      </c>
      <c r="AI1440" s="1390"/>
      <c r="AJ1440" s="2282"/>
      <c r="AK1440" s="2282"/>
      <c r="AL1440" s="1037"/>
      <c r="AX1440" s="340">
        <v>27.1</v>
      </c>
      <c r="AY1440" s="340" t="s">
        <v>331</v>
      </c>
      <c r="BN1440" s="340">
        <v>141.03</v>
      </c>
      <c r="BO1440" s="340" t="s">
        <v>302</v>
      </c>
      <c r="BP1440" s="1385"/>
      <c r="BV1440" s="236">
        <v>101.05</v>
      </c>
      <c r="BW1440" s="236" t="s">
        <v>316</v>
      </c>
      <c r="CB1440" s="340">
        <v>26</v>
      </c>
      <c r="CC1440" s="340" t="s">
        <v>331</v>
      </c>
      <c r="CL1440" s="236">
        <v>77.59</v>
      </c>
      <c r="CM1440" s="236" t="s">
        <v>340</v>
      </c>
      <c r="CR1440" s="340">
        <v>141.21</v>
      </c>
      <c r="CS1440" s="340" t="s">
        <v>316</v>
      </c>
      <c r="CT1440" s="1384"/>
      <c r="DF1440" s="340">
        <v>62.05</v>
      </c>
      <c r="DG1440" s="340" t="s">
        <v>331</v>
      </c>
      <c r="DV1440" s="340">
        <v>146.03</v>
      </c>
      <c r="DW1440" s="340" t="s">
        <v>302</v>
      </c>
      <c r="DX1440" s="1671"/>
    </row>
    <row r="1441" spans="12:128">
      <c r="L1441" s="2481">
        <v>65.03</v>
      </c>
      <c r="M1441" s="340" t="s">
        <v>331</v>
      </c>
      <c r="N1441" s="1390"/>
      <c r="O1441" s="2479"/>
      <c r="P1441" s="2282"/>
      <c r="AG1441" s="2297">
        <v>144.26</v>
      </c>
      <c r="AH1441" s="2297" t="s">
        <v>302</v>
      </c>
      <c r="AI1441" s="1390"/>
      <c r="AJ1441" s="2282"/>
      <c r="AK1441" s="2282"/>
      <c r="AL1441" s="1037"/>
      <c r="AX1441" s="340">
        <v>36.04</v>
      </c>
      <c r="AY1441" s="340" t="s">
        <v>331</v>
      </c>
      <c r="BN1441" s="340">
        <v>141.04</v>
      </c>
      <c r="BO1441" s="340" t="s">
        <v>302</v>
      </c>
      <c r="BP1441" s="1385"/>
      <c r="BV1441" s="236">
        <v>101.06</v>
      </c>
      <c r="BW1441" s="236" t="s">
        <v>316</v>
      </c>
      <c r="CB1441" s="340">
        <v>27.02</v>
      </c>
      <c r="CC1441" s="340" t="s">
        <v>331</v>
      </c>
      <c r="CL1441" s="236">
        <v>77.63</v>
      </c>
      <c r="CM1441" s="236" t="s">
        <v>340</v>
      </c>
      <c r="CR1441" s="340">
        <v>141.21</v>
      </c>
      <c r="CS1441" s="340" t="s">
        <v>344</v>
      </c>
      <c r="CT1441" s="1384"/>
      <c r="DF1441" s="340">
        <v>62.06</v>
      </c>
      <c r="DG1441" s="340" t="s">
        <v>331</v>
      </c>
      <c r="DV1441" s="340">
        <v>147.01</v>
      </c>
      <c r="DW1441" s="340" t="s">
        <v>344</v>
      </c>
      <c r="DX1441" s="1671"/>
    </row>
    <row r="1442" spans="12:128">
      <c r="L1442" s="2481">
        <v>65.040000000000006</v>
      </c>
      <c r="M1442" s="340" t="s">
        <v>331</v>
      </c>
      <c r="N1442" s="1390"/>
      <c r="O1442" s="2479"/>
      <c r="P1442" s="2282"/>
      <c r="AG1442" s="2297">
        <v>144.27000000000001</v>
      </c>
      <c r="AH1442" s="2297" t="s">
        <v>302</v>
      </c>
      <c r="AI1442" s="1390"/>
      <c r="AJ1442" s="2282"/>
      <c r="AK1442" s="2282"/>
      <c r="AL1442" s="1037"/>
      <c r="AX1442" s="340">
        <v>37.03</v>
      </c>
      <c r="AY1442" s="340" t="s">
        <v>331</v>
      </c>
      <c r="BN1442" s="340">
        <v>141.04</v>
      </c>
      <c r="BO1442" s="340" t="s">
        <v>344</v>
      </c>
      <c r="BP1442" s="1385"/>
      <c r="BV1442" s="236">
        <v>101.07</v>
      </c>
      <c r="BW1442" s="236" t="s">
        <v>316</v>
      </c>
      <c r="CB1442" s="340">
        <v>27.05</v>
      </c>
      <c r="CC1442" s="340" t="s">
        <v>331</v>
      </c>
      <c r="CL1442" s="236">
        <v>77.64</v>
      </c>
      <c r="CM1442" s="236" t="s">
        <v>340</v>
      </c>
      <c r="CR1442" s="340">
        <v>141.22</v>
      </c>
      <c r="CS1442" s="340" t="s">
        <v>316</v>
      </c>
      <c r="CT1442" s="1384"/>
      <c r="DF1442" s="340">
        <v>63.02</v>
      </c>
      <c r="DG1442" s="340" t="s">
        <v>331</v>
      </c>
      <c r="DV1442" s="340">
        <v>147.02000000000001</v>
      </c>
      <c r="DW1442" s="340" t="s">
        <v>331</v>
      </c>
      <c r="DX1442" s="1671"/>
    </row>
    <row r="1443" spans="12:128">
      <c r="L1443" s="2481">
        <v>66.03</v>
      </c>
      <c r="M1443" s="340" t="s">
        <v>331</v>
      </c>
      <c r="N1443" s="1390"/>
      <c r="O1443" s="2479"/>
      <c r="P1443" s="2282"/>
      <c r="AG1443" s="2297">
        <v>144.28</v>
      </c>
      <c r="AH1443" s="2297" t="s">
        <v>302</v>
      </c>
      <c r="AI1443" s="1390"/>
      <c r="AJ1443" s="2282"/>
      <c r="AK1443" s="2282"/>
      <c r="AL1443" s="1037"/>
      <c r="AX1443" s="340">
        <v>37.04</v>
      </c>
      <c r="AY1443" s="340" t="s">
        <v>331</v>
      </c>
      <c r="BN1443" s="340">
        <v>141.06</v>
      </c>
      <c r="BO1443" s="340" t="s">
        <v>316</v>
      </c>
      <c r="BP1443" s="1385"/>
      <c r="BV1443" s="236">
        <v>101.08</v>
      </c>
      <c r="BW1443" s="236" t="s">
        <v>316</v>
      </c>
      <c r="CB1443" s="340">
        <v>27.07</v>
      </c>
      <c r="CC1443" s="340" t="s">
        <v>331</v>
      </c>
      <c r="CL1443" s="236">
        <v>77.66</v>
      </c>
      <c r="CM1443" s="236" t="s">
        <v>340</v>
      </c>
      <c r="CR1443" s="340">
        <v>141.22999999999999</v>
      </c>
      <c r="CS1443" s="340" t="s">
        <v>344</v>
      </c>
      <c r="CT1443" s="1384"/>
      <c r="DF1443" s="340">
        <v>63.04</v>
      </c>
      <c r="DG1443" s="340" t="s">
        <v>331</v>
      </c>
      <c r="DV1443" s="340">
        <v>147.03</v>
      </c>
      <c r="DW1443" s="340" t="s">
        <v>302</v>
      </c>
      <c r="DX1443" s="1671"/>
    </row>
    <row r="1444" spans="12:128">
      <c r="L1444" s="2481">
        <v>66.040000000000006</v>
      </c>
      <c r="M1444" s="340" t="s">
        <v>331</v>
      </c>
      <c r="N1444" s="1390"/>
      <c r="O1444" s="2479"/>
      <c r="P1444" s="2282"/>
      <c r="AG1444" s="2297">
        <v>145</v>
      </c>
      <c r="AH1444" s="2297" t="s">
        <v>331</v>
      </c>
      <c r="AI1444" s="1390"/>
      <c r="AJ1444" s="2282"/>
      <c r="AK1444" s="2282"/>
      <c r="AL1444" s="1037"/>
      <c r="AX1444" s="340">
        <v>37.049999999999997</v>
      </c>
      <c r="AY1444" s="340" t="s">
        <v>331</v>
      </c>
      <c r="BN1444" s="340">
        <v>141.09</v>
      </c>
      <c r="BO1444" s="340" t="s">
        <v>316</v>
      </c>
      <c r="BP1444" s="1385"/>
      <c r="BV1444" s="236">
        <v>102.03</v>
      </c>
      <c r="BW1444" s="236" t="s">
        <v>316</v>
      </c>
      <c r="CB1444" s="340">
        <v>27.08</v>
      </c>
      <c r="CC1444" s="340" t="s">
        <v>331</v>
      </c>
      <c r="CL1444" s="236">
        <v>77.67</v>
      </c>
      <c r="CM1444" s="236" t="s">
        <v>340</v>
      </c>
      <c r="CR1444" s="340">
        <v>141.26</v>
      </c>
      <c r="CS1444" s="340" t="s">
        <v>344</v>
      </c>
      <c r="CT1444" s="1384"/>
      <c r="DF1444" s="340">
        <v>64.02</v>
      </c>
      <c r="DG1444" s="340" t="s">
        <v>331</v>
      </c>
      <c r="DV1444" s="340">
        <v>147.04</v>
      </c>
      <c r="DW1444" s="340" t="s">
        <v>344</v>
      </c>
      <c r="DX1444" s="1671"/>
    </row>
    <row r="1445" spans="12:128">
      <c r="L1445" s="2481">
        <v>66.05</v>
      </c>
      <c r="M1445" s="340" t="s">
        <v>331</v>
      </c>
      <c r="N1445" s="1390"/>
      <c r="O1445" s="2479"/>
      <c r="P1445" s="2282"/>
      <c r="AG1445" s="2297">
        <v>145.01</v>
      </c>
      <c r="AH1445" s="2297" t="s">
        <v>344</v>
      </c>
      <c r="AI1445" s="1390"/>
      <c r="AJ1445" s="2282"/>
      <c r="AK1445" s="2282"/>
      <c r="AL1445" s="1037"/>
      <c r="AX1445" s="340">
        <v>37.07</v>
      </c>
      <c r="AY1445" s="340" t="s">
        <v>331</v>
      </c>
      <c r="BN1445" s="340">
        <v>141.16999999999999</v>
      </c>
      <c r="BO1445" s="340" t="s">
        <v>316</v>
      </c>
      <c r="BP1445" s="1385"/>
      <c r="BV1445" s="236">
        <v>102.04</v>
      </c>
      <c r="BW1445" s="236" t="s">
        <v>316</v>
      </c>
      <c r="CB1445" s="340">
        <v>27.09</v>
      </c>
      <c r="CC1445" s="340" t="s">
        <v>331</v>
      </c>
      <c r="CL1445" s="236">
        <v>77.680000000000007</v>
      </c>
      <c r="CM1445" s="236" t="s">
        <v>340</v>
      </c>
      <c r="CR1445" s="340">
        <v>141.27000000000001</v>
      </c>
      <c r="CS1445" s="340" t="s">
        <v>344</v>
      </c>
      <c r="CT1445" s="1384"/>
      <c r="DF1445" s="340">
        <v>65.010000000000005</v>
      </c>
      <c r="DG1445" s="340" t="s">
        <v>331</v>
      </c>
      <c r="DV1445" s="340">
        <v>147.06</v>
      </c>
      <c r="DW1445" s="340" t="s">
        <v>338</v>
      </c>
      <c r="DX1445" s="1671"/>
    </row>
    <row r="1446" spans="12:128">
      <c r="L1446" s="2481">
        <v>66.08</v>
      </c>
      <c r="M1446" s="340" t="s">
        <v>331</v>
      </c>
      <c r="N1446" s="1390"/>
      <c r="O1446" s="2479"/>
      <c r="P1446" s="2282"/>
      <c r="AG1446" s="2297">
        <v>146.01</v>
      </c>
      <c r="AH1446" s="2297" t="s">
        <v>302</v>
      </c>
      <c r="AI1446" s="1390"/>
      <c r="AJ1446" s="2282"/>
      <c r="AK1446" s="2282"/>
      <c r="AL1446" s="1037"/>
      <c r="AX1446" s="340">
        <v>37.08</v>
      </c>
      <c r="AY1446" s="340" t="s">
        <v>331</v>
      </c>
      <c r="BN1446" s="340">
        <v>141.18</v>
      </c>
      <c r="BO1446" s="340" t="s">
        <v>316</v>
      </c>
      <c r="BP1446" s="1385"/>
      <c r="BV1446" s="236">
        <v>102.1</v>
      </c>
      <c r="BW1446" s="236" t="s">
        <v>316</v>
      </c>
      <c r="CB1446" s="340">
        <v>27.1</v>
      </c>
      <c r="CC1446" s="340" t="s">
        <v>331</v>
      </c>
      <c r="CL1446" s="236">
        <v>77.69</v>
      </c>
      <c r="CM1446" s="236" t="s">
        <v>340</v>
      </c>
      <c r="CR1446" s="340">
        <v>141.28</v>
      </c>
      <c r="CS1446" s="340" t="s">
        <v>344</v>
      </c>
      <c r="CT1446" s="1384"/>
      <c r="DF1446" s="340">
        <v>65.03</v>
      </c>
      <c r="DG1446" s="340" t="s">
        <v>331</v>
      </c>
      <c r="DV1446" s="340">
        <v>148.03</v>
      </c>
      <c r="DW1446" s="340" t="s">
        <v>344</v>
      </c>
      <c r="DX1446" s="1671"/>
    </row>
    <row r="1447" spans="12:128">
      <c r="L1447" s="2481">
        <v>67.05</v>
      </c>
      <c r="M1447" s="340" t="s">
        <v>331</v>
      </c>
      <c r="N1447" s="1390"/>
      <c r="O1447" s="2479"/>
      <c r="P1447" s="2282"/>
      <c r="AG1447" s="2297">
        <v>146.03</v>
      </c>
      <c r="AH1447" s="2297" t="s">
        <v>302</v>
      </c>
      <c r="AI1447" s="1390"/>
      <c r="AJ1447" s="2282"/>
      <c r="AK1447" s="2282"/>
      <c r="AL1447" s="1037"/>
      <c r="AX1447" s="340">
        <v>37.090000000000003</v>
      </c>
      <c r="AY1447" s="340" t="s">
        <v>331</v>
      </c>
      <c r="BN1447" s="340">
        <v>141.19</v>
      </c>
      <c r="BO1447" s="340" t="s">
        <v>316</v>
      </c>
      <c r="BP1447" s="1385"/>
      <c r="BV1447" s="236">
        <v>102.11</v>
      </c>
      <c r="BW1447" s="236" t="s">
        <v>316</v>
      </c>
      <c r="CB1447" s="340">
        <v>36.04</v>
      </c>
      <c r="CC1447" s="340" t="s">
        <v>331</v>
      </c>
      <c r="CL1447" s="236">
        <v>77.7</v>
      </c>
      <c r="CM1447" s="236" t="s">
        <v>340</v>
      </c>
      <c r="CR1447" s="340">
        <v>141.29</v>
      </c>
      <c r="CS1447" s="340" t="s">
        <v>344</v>
      </c>
      <c r="CT1447" s="1384"/>
      <c r="DF1447" s="340">
        <v>65.040000000000006</v>
      </c>
      <c r="DG1447" s="340" t="s">
        <v>331</v>
      </c>
      <c r="DV1447" s="340">
        <v>148.04</v>
      </c>
      <c r="DW1447" s="340" t="s">
        <v>338</v>
      </c>
      <c r="DX1447" s="1671"/>
    </row>
    <row r="1448" spans="12:128">
      <c r="L1448" s="2481">
        <v>67.06</v>
      </c>
      <c r="M1448" s="340" t="s">
        <v>331</v>
      </c>
      <c r="N1448" s="1390"/>
      <c r="O1448" s="2479"/>
      <c r="P1448" s="2282"/>
      <c r="AG1448" s="2297">
        <v>146.06</v>
      </c>
      <c r="AH1448" s="2297" t="s">
        <v>338</v>
      </c>
      <c r="AI1448" s="1390"/>
      <c r="AJ1448" s="2282"/>
      <c r="AK1448" s="2282"/>
      <c r="AL1448" s="1037"/>
      <c r="AX1448" s="340">
        <v>37.1</v>
      </c>
      <c r="AY1448" s="340" t="s">
        <v>331</v>
      </c>
      <c r="BN1448" s="340">
        <v>141.21</v>
      </c>
      <c r="BO1448" s="340" t="s">
        <v>316</v>
      </c>
      <c r="BP1448" s="1385"/>
      <c r="BV1448" s="236">
        <v>102.12</v>
      </c>
      <c r="BW1448" s="236" t="s">
        <v>316</v>
      </c>
      <c r="CB1448" s="340">
        <v>37.03</v>
      </c>
      <c r="CC1448" s="340" t="s">
        <v>331</v>
      </c>
      <c r="CL1448" s="236">
        <v>77.709999999999994</v>
      </c>
      <c r="CM1448" s="236" t="s">
        <v>340</v>
      </c>
      <c r="CR1448" s="340">
        <v>142</v>
      </c>
      <c r="CS1448" s="340" t="s">
        <v>331</v>
      </c>
      <c r="CT1448" s="1384"/>
      <c r="DF1448" s="340">
        <v>66.03</v>
      </c>
      <c r="DG1448" s="340" t="s">
        <v>331</v>
      </c>
      <c r="DV1448" s="340">
        <v>148.04</v>
      </c>
      <c r="DW1448" s="340" t="s">
        <v>344</v>
      </c>
      <c r="DX1448" s="1671"/>
    </row>
    <row r="1449" spans="12:128">
      <c r="L1449" s="2481">
        <v>67.069999999999993</v>
      </c>
      <c r="M1449" s="340" t="s">
        <v>331</v>
      </c>
      <c r="N1449" s="1390"/>
      <c r="O1449" s="2479"/>
      <c r="P1449" s="2282"/>
      <c r="AG1449" s="2297">
        <v>147.01</v>
      </c>
      <c r="AH1449" s="2297" t="s">
        <v>331</v>
      </c>
      <c r="AI1449" s="1390"/>
      <c r="AJ1449" s="2282"/>
      <c r="AK1449" s="2282"/>
      <c r="AL1449" s="1037"/>
      <c r="AX1449" s="340">
        <v>38.01</v>
      </c>
      <c r="AY1449" s="340" t="s">
        <v>331</v>
      </c>
      <c r="BN1449" s="340">
        <v>141.21</v>
      </c>
      <c r="BO1449" s="340" t="s">
        <v>344</v>
      </c>
      <c r="BP1449" s="1385"/>
      <c r="BV1449" s="236">
        <v>102.13</v>
      </c>
      <c r="BW1449" s="236" t="s">
        <v>316</v>
      </c>
      <c r="CB1449" s="340">
        <v>37.04</v>
      </c>
      <c r="CC1449" s="340" t="s">
        <v>331</v>
      </c>
      <c r="CL1449" s="236">
        <v>77.72</v>
      </c>
      <c r="CM1449" s="236" t="s">
        <v>340</v>
      </c>
      <c r="CR1449" s="340">
        <v>142.01</v>
      </c>
      <c r="CS1449" s="340" t="s">
        <v>344</v>
      </c>
      <c r="CT1449" s="1384"/>
      <c r="DF1449" s="340">
        <v>66.040000000000006</v>
      </c>
      <c r="DG1449" s="340" t="s">
        <v>331</v>
      </c>
      <c r="DV1449" s="340">
        <v>148.06</v>
      </c>
      <c r="DW1449" s="340" t="s">
        <v>338</v>
      </c>
      <c r="DX1449" s="1671"/>
    </row>
    <row r="1450" spans="12:128">
      <c r="L1450" s="2481">
        <v>67.09</v>
      </c>
      <c r="M1450" s="340" t="s">
        <v>331</v>
      </c>
      <c r="N1450" s="1390"/>
      <c r="O1450" s="2479"/>
      <c r="P1450" s="2282"/>
      <c r="AG1450" s="2297">
        <v>147.01</v>
      </c>
      <c r="AH1450" s="2297" t="s">
        <v>344</v>
      </c>
      <c r="AI1450" s="1390"/>
      <c r="AJ1450" s="2282"/>
      <c r="AK1450" s="2282"/>
      <c r="AL1450" s="1037"/>
      <c r="AX1450" s="340">
        <v>38.03</v>
      </c>
      <c r="AY1450" s="340" t="s">
        <v>331</v>
      </c>
      <c r="BN1450" s="340">
        <v>141.22</v>
      </c>
      <c r="BO1450" s="340" t="s">
        <v>316</v>
      </c>
      <c r="BP1450" s="1385"/>
      <c r="BV1450" s="236">
        <v>102.15</v>
      </c>
      <c r="BW1450" s="236" t="s">
        <v>316</v>
      </c>
      <c r="CB1450" s="340">
        <v>37.049999999999997</v>
      </c>
      <c r="CC1450" s="340" t="s">
        <v>331</v>
      </c>
      <c r="CL1450" s="236">
        <v>77.73</v>
      </c>
      <c r="CM1450" s="236" t="s">
        <v>340</v>
      </c>
      <c r="CR1450" s="340">
        <v>142.02000000000001</v>
      </c>
      <c r="CS1450" s="340" t="s">
        <v>344</v>
      </c>
      <c r="CT1450" s="1384"/>
      <c r="DF1450" s="340">
        <v>66.05</v>
      </c>
      <c r="DG1450" s="340" t="s">
        <v>331</v>
      </c>
      <c r="DV1450" s="340">
        <v>148.07</v>
      </c>
      <c r="DW1450" s="340" t="s">
        <v>338</v>
      </c>
      <c r="DX1450" s="1671"/>
    </row>
    <row r="1451" spans="12:128">
      <c r="L1451" s="2481">
        <v>67.13</v>
      </c>
      <c r="M1451" s="340" t="s">
        <v>331</v>
      </c>
      <c r="N1451" s="1390"/>
      <c r="O1451" s="2479"/>
      <c r="P1451" s="2282"/>
      <c r="AG1451" s="2297">
        <v>147.02000000000001</v>
      </c>
      <c r="AH1451" s="2297" t="s">
        <v>302</v>
      </c>
      <c r="AI1451" s="1390"/>
      <c r="AJ1451" s="2282"/>
      <c r="AK1451" s="2282"/>
      <c r="AL1451" s="1037"/>
      <c r="AX1451" s="340">
        <v>38.04</v>
      </c>
      <c r="AY1451" s="340" t="s">
        <v>331</v>
      </c>
      <c r="BN1451" s="340">
        <v>141.22999999999999</v>
      </c>
      <c r="BO1451" s="340" t="s">
        <v>344</v>
      </c>
      <c r="BP1451" s="1385"/>
      <c r="BV1451" s="236">
        <v>102.16</v>
      </c>
      <c r="BW1451" s="236" t="s">
        <v>316</v>
      </c>
      <c r="CB1451" s="340">
        <v>37.06</v>
      </c>
      <c r="CC1451" s="340" t="s">
        <v>331</v>
      </c>
      <c r="CL1451" s="236">
        <v>77.739999999999995</v>
      </c>
      <c r="CM1451" s="236" t="s">
        <v>340</v>
      </c>
      <c r="CR1451" s="340">
        <v>142.03</v>
      </c>
      <c r="CS1451" s="340" t="s">
        <v>302</v>
      </c>
      <c r="CT1451" s="1384"/>
      <c r="DF1451" s="340">
        <v>66.069999999999993</v>
      </c>
      <c r="DG1451" s="340" t="s">
        <v>331</v>
      </c>
      <c r="DV1451" s="340">
        <v>148.09</v>
      </c>
      <c r="DW1451" s="340" t="s">
        <v>338</v>
      </c>
      <c r="DX1451" s="1671"/>
    </row>
    <row r="1452" spans="12:128">
      <c r="L1452" s="2481">
        <v>67.14</v>
      </c>
      <c r="M1452" s="340" t="s">
        <v>331</v>
      </c>
      <c r="N1452" s="1390"/>
      <c r="O1452" s="2479"/>
      <c r="P1452" s="2282"/>
      <c r="AG1452" s="2297">
        <v>147.02000000000001</v>
      </c>
      <c r="AH1452" s="2297" t="s">
        <v>331</v>
      </c>
      <c r="AI1452" s="1390"/>
      <c r="AJ1452" s="2282"/>
      <c r="AK1452" s="2282"/>
      <c r="AL1452" s="1037"/>
      <c r="AX1452" s="340">
        <v>39.06</v>
      </c>
      <c r="AY1452" s="340" t="s">
        <v>331</v>
      </c>
      <c r="BN1452" s="340">
        <v>141.26</v>
      </c>
      <c r="BO1452" s="340" t="s">
        <v>344</v>
      </c>
      <c r="BP1452" s="1385"/>
      <c r="BV1452" s="236">
        <v>102.17</v>
      </c>
      <c r="BW1452" s="236" t="s">
        <v>316</v>
      </c>
      <c r="CB1452" s="340">
        <v>37.07</v>
      </c>
      <c r="CC1452" s="340" t="s">
        <v>331</v>
      </c>
      <c r="CL1452" s="236">
        <v>77.75</v>
      </c>
      <c r="CM1452" s="236" t="s">
        <v>340</v>
      </c>
      <c r="CR1452" s="340">
        <v>142.04</v>
      </c>
      <c r="CS1452" s="340" t="s">
        <v>302</v>
      </c>
      <c r="CT1452" s="1384"/>
      <c r="DF1452" s="340">
        <v>66.08</v>
      </c>
      <c r="DG1452" s="340" t="s">
        <v>331</v>
      </c>
      <c r="DV1452" s="340">
        <v>148.1</v>
      </c>
      <c r="DW1452" s="340" t="s">
        <v>338</v>
      </c>
      <c r="DX1452" s="1671"/>
    </row>
    <row r="1453" spans="12:128">
      <c r="L1453" s="2481">
        <v>67.150000000000006</v>
      </c>
      <c r="M1453" s="340" t="s">
        <v>331</v>
      </c>
      <c r="N1453" s="1390"/>
      <c r="O1453" s="2479"/>
      <c r="P1453" s="2282"/>
      <c r="AG1453" s="2297">
        <v>147.03</v>
      </c>
      <c r="AH1453" s="2297" t="s">
        <v>302</v>
      </c>
      <c r="AI1453" s="1390"/>
      <c r="AJ1453" s="2282"/>
      <c r="AK1453" s="2282"/>
      <c r="AL1453" s="1037"/>
      <c r="AX1453" s="340">
        <v>39.090000000000003</v>
      </c>
      <c r="AY1453" s="340" t="s">
        <v>331</v>
      </c>
      <c r="BN1453" s="340">
        <v>141.29</v>
      </c>
      <c r="BO1453" s="340" t="s">
        <v>344</v>
      </c>
      <c r="BP1453" s="1385"/>
      <c r="BV1453" s="236">
        <v>102.18</v>
      </c>
      <c r="BW1453" s="236" t="s">
        <v>316</v>
      </c>
      <c r="CB1453" s="340">
        <v>37.08</v>
      </c>
      <c r="CC1453" s="340" t="s">
        <v>331</v>
      </c>
      <c r="CL1453" s="236">
        <v>77.760000000000005</v>
      </c>
      <c r="CM1453" s="236" t="s">
        <v>340</v>
      </c>
      <c r="CR1453" s="340">
        <v>142.05000000000001</v>
      </c>
      <c r="CS1453" s="340" t="s">
        <v>302</v>
      </c>
      <c r="CT1453" s="1384"/>
      <c r="DF1453" s="340">
        <v>67.05</v>
      </c>
      <c r="DG1453" s="340" t="s">
        <v>331</v>
      </c>
      <c r="DV1453" s="340">
        <v>148.11000000000001</v>
      </c>
      <c r="DW1453" s="340" t="s">
        <v>338</v>
      </c>
      <c r="DX1453" s="1671"/>
    </row>
    <row r="1454" spans="12:128">
      <c r="L1454" s="2481">
        <v>67.180000000000007</v>
      </c>
      <c r="M1454" s="340" t="s">
        <v>331</v>
      </c>
      <c r="N1454" s="1390"/>
      <c r="O1454" s="2479"/>
      <c r="P1454" s="2282"/>
      <c r="AG1454" s="2297">
        <v>147.03</v>
      </c>
      <c r="AH1454" s="2297" t="s">
        <v>344</v>
      </c>
      <c r="AI1454" s="1390"/>
      <c r="AJ1454" s="2282"/>
      <c r="AK1454" s="2282"/>
      <c r="AL1454" s="1037"/>
      <c r="AX1454" s="340">
        <v>39.119999999999997</v>
      </c>
      <c r="AY1454" s="340" t="s">
        <v>331</v>
      </c>
      <c r="BN1454" s="340">
        <v>141.30000000000001</v>
      </c>
      <c r="BO1454" s="340" t="s">
        <v>344</v>
      </c>
      <c r="BP1454" s="1385"/>
      <c r="BV1454" s="236">
        <v>103.03</v>
      </c>
      <c r="BW1454" s="236" t="s">
        <v>316</v>
      </c>
      <c r="CB1454" s="340">
        <v>37.090000000000003</v>
      </c>
      <c r="CC1454" s="340" t="s">
        <v>331</v>
      </c>
      <c r="CL1454" s="236">
        <v>77.77</v>
      </c>
      <c r="CM1454" s="236" t="s">
        <v>340</v>
      </c>
      <c r="CR1454" s="340">
        <v>142.06</v>
      </c>
      <c r="CS1454" s="340" t="s">
        <v>302</v>
      </c>
      <c r="CT1454" s="1384"/>
      <c r="DF1454" s="340">
        <v>67.06</v>
      </c>
      <c r="DG1454" s="340" t="s">
        <v>331</v>
      </c>
      <c r="DV1454" s="340">
        <v>148.12</v>
      </c>
      <c r="DW1454" s="340" t="s">
        <v>338</v>
      </c>
      <c r="DX1454" s="1671"/>
    </row>
    <row r="1455" spans="12:128">
      <c r="L1455" s="2481">
        <v>67.19</v>
      </c>
      <c r="M1455" s="340" t="s">
        <v>331</v>
      </c>
      <c r="N1455" s="1390"/>
      <c r="O1455" s="2479"/>
      <c r="P1455" s="2282"/>
      <c r="AG1455" s="2297">
        <v>147.04</v>
      </c>
      <c r="AH1455" s="2297" t="s">
        <v>344</v>
      </c>
      <c r="AI1455" s="1390"/>
      <c r="AJ1455" s="2282"/>
      <c r="AK1455" s="2282"/>
      <c r="AL1455" s="1037"/>
      <c r="AX1455" s="340">
        <v>39.130000000000003</v>
      </c>
      <c r="AY1455" s="340" t="s">
        <v>331</v>
      </c>
      <c r="BN1455" s="340">
        <v>142</v>
      </c>
      <c r="BO1455" s="340" t="s">
        <v>331</v>
      </c>
      <c r="BP1455" s="1385"/>
      <c r="BV1455" s="236">
        <v>103.04</v>
      </c>
      <c r="BW1455" s="236" t="s">
        <v>316</v>
      </c>
      <c r="CB1455" s="340">
        <v>37.1</v>
      </c>
      <c r="CC1455" s="340" t="s">
        <v>331</v>
      </c>
      <c r="CL1455" s="236">
        <v>77.78</v>
      </c>
      <c r="CM1455" s="236" t="s">
        <v>340</v>
      </c>
      <c r="CR1455" s="340">
        <v>143</v>
      </c>
      <c r="CS1455" s="340" t="s">
        <v>316</v>
      </c>
      <c r="CT1455" s="1384"/>
      <c r="DF1455" s="340">
        <v>67.069999999999993</v>
      </c>
      <c r="DG1455" s="340" t="s">
        <v>331</v>
      </c>
      <c r="DV1455" s="340">
        <v>148.13</v>
      </c>
      <c r="DW1455" s="340" t="s">
        <v>338</v>
      </c>
      <c r="DX1455" s="1671"/>
    </row>
    <row r="1456" spans="12:128">
      <c r="L1456" s="2481">
        <v>67.2</v>
      </c>
      <c r="M1456" s="340" t="s">
        <v>331</v>
      </c>
      <c r="N1456" s="1390"/>
      <c r="O1456" s="2479"/>
      <c r="P1456" s="2282"/>
      <c r="AG1456" s="2297">
        <v>147.05000000000001</v>
      </c>
      <c r="AH1456" s="2297" t="s">
        <v>338</v>
      </c>
      <c r="AI1456" s="1390"/>
      <c r="AJ1456" s="2282"/>
      <c r="AK1456" s="2282"/>
      <c r="AL1456" s="1037"/>
      <c r="AX1456" s="340">
        <v>39.14</v>
      </c>
      <c r="AY1456" s="340" t="s">
        <v>331</v>
      </c>
      <c r="BN1456" s="340">
        <v>142.01</v>
      </c>
      <c r="BO1456" s="340" t="s">
        <v>338</v>
      </c>
      <c r="BP1456" s="1385"/>
      <c r="BV1456" s="236">
        <v>103.05</v>
      </c>
      <c r="BW1456" s="236" t="s">
        <v>316</v>
      </c>
      <c r="CB1456" s="340">
        <v>38.01</v>
      </c>
      <c r="CC1456" s="340" t="s">
        <v>331</v>
      </c>
      <c r="CL1456" s="236">
        <v>77.790000000000006</v>
      </c>
      <c r="CM1456" s="236" t="s">
        <v>340</v>
      </c>
      <c r="CR1456" s="340">
        <v>143</v>
      </c>
      <c r="CS1456" s="340" t="s">
        <v>331</v>
      </c>
      <c r="CT1456" s="1384"/>
      <c r="DF1456" s="340">
        <v>67.09</v>
      </c>
      <c r="DG1456" s="340" t="s">
        <v>331</v>
      </c>
      <c r="DV1456" s="340">
        <v>148.13999999999999</v>
      </c>
      <c r="DW1456" s="340" t="s">
        <v>338</v>
      </c>
      <c r="DX1456" s="1671"/>
    </row>
    <row r="1457" spans="12:128">
      <c r="L1457" s="2481">
        <v>67.22</v>
      </c>
      <c r="M1457" s="340" t="s">
        <v>331</v>
      </c>
      <c r="N1457" s="1390"/>
      <c r="O1457" s="2479"/>
      <c r="P1457" s="2282"/>
      <c r="AG1457" s="2297">
        <v>147.06</v>
      </c>
      <c r="AH1457" s="2297" t="s">
        <v>338</v>
      </c>
      <c r="AI1457" s="1390"/>
      <c r="AJ1457" s="2282"/>
      <c r="AK1457" s="2282"/>
      <c r="AL1457" s="1037"/>
      <c r="AX1457" s="340">
        <v>39.15</v>
      </c>
      <c r="AY1457" s="340" t="s">
        <v>331</v>
      </c>
      <c r="BN1457" s="340">
        <v>142.02000000000001</v>
      </c>
      <c r="BO1457" s="340" t="s">
        <v>344</v>
      </c>
      <c r="BP1457" s="1385"/>
      <c r="BV1457" s="236">
        <v>104.01</v>
      </c>
      <c r="BW1457" s="236" t="s">
        <v>316</v>
      </c>
      <c r="CB1457" s="340">
        <v>38.03</v>
      </c>
      <c r="CC1457" s="340" t="s">
        <v>331</v>
      </c>
      <c r="CL1457" s="236">
        <v>77.8</v>
      </c>
      <c r="CM1457" s="236" t="s">
        <v>340</v>
      </c>
      <c r="CR1457" s="340">
        <v>143.01</v>
      </c>
      <c r="CS1457" s="340" t="s">
        <v>338</v>
      </c>
      <c r="CT1457" s="1384"/>
      <c r="DF1457" s="340">
        <v>67.13</v>
      </c>
      <c r="DG1457" s="340" t="s">
        <v>331</v>
      </c>
      <c r="DV1457" s="340">
        <v>148.15</v>
      </c>
      <c r="DW1457" s="340" t="s">
        <v>338</v>
      </c>
      <c r="DX1457" s="1671"/>
    </row>
    <row r="1458" spans="12:128">
      <c r="L1458" s="2481">
        <v>68.010000000000005</v>
      </c>
      <c r="M1458" s="340" t="s">
        <v>331</v>
      </c>
      <c r="N1458" s="1390"/>
      <c r="O1458" s="2479"/>
      <c r="P1458" s="2282"/>
      <c r="AG1458" s="2297">
        <v>148.03</v>
      </c>
      <c r="AH1458" s="2297" t="s">
        <v>344</v>
      </c>
      <c r="AI1458" s="1390"/>
      <c r="AJ1458" s="2282"/>
      <c r="AK1458" s="2282"/>
      <c r="AL1458" s="1037"/>
      <c r="AX1458" s="340">
        <v>39.159999999999997</v>
      </c>
      <c r="AY1458" s="340" t="s">
        <v>331</v>
      </c>
      <c r="BN1458" s="340">
        <v>142.03</v>
      </c>
      <c r="BO1458" s="340" t="s">
        <v>302</v>
      </c>
      <c r="BP1458" s="1385"/>
      <c r="BV1458" s="236">
        <v>104.02</v>
      </c>
      <c r="BW1458" s="236" t="s">
        <v>316</v>
      </c>
      <c r="CB1458" s="340">
        <v>38.04</v>
      </c>
      <c r="CC1458" s="340" t="s">
        <v>331</v>
      </c>
      <c r="CL1458" s="236">
        <v>78.010000000000005</v>
      </c>
      <c r="CM1458" s="236" t="s">
        <v>331</v>
      </c>
      <c r="CR1458" s="340">
        <v>143.03</v>
      </c>
      <c r="CS1458" s="340" t="s">
        <v>344</v>
      </c>
      <c r="CT1458" s="1384"/>
      <c r="DF1458" s="340">
        <v>67.14</v>
      </c>
      <c r="DG1458" s="340" t="s">
        <v>331</v>
      </c>
      <c r="DV1458" s="340">
        <v>149</v>
      </c>
      <c r="DW1458" s="340" t="s">
        <v>331</v>
      </c>
      <c r="DX1458" s="1671"/>
    </row>
    <row r="1459" spans="12:128">
      <c r="L1459" s="2481">
        <v>68.02</v>
      </c>
      <c r="M1459" s="340" t="s">
        <v>331</v>
      </c>
      <c r="N1459" s="1390"/>
      <c r="O1459" s="2479"/>
      <c r="P1459" s="2282"/>
      <c r="AG1459" s="2297">
        <v>148.04</v>
      </c>
      <c r="AH1459" s="2297" t="s">
        <v>338</v>
      </c>
      <c r="AI1459" s="1390"/>
      <c r="AJ1459" s="2282"/>
      <c r="AK1459" s="2282"/>
      <c r="AL1459" s="1037"/>
      <c r="AX1459" s="340">
        <v>39.17</v>
      </c>
      <c r="AY1459" s="340" t="s">
        <v>331</v>
      </c>
      <c r="BN1459" s="340">
        <v>142.04</v>
      </c>
      <c r="BO1459" s="340" t="s">
        <v>302</v>
      </c>
      <c r="BP1459" s="1385"/>
      <c r="BV1459" s="236">
        <v>105.01</v>
      </c>
      <c r="BW1459" s="236" t="s">
        <v>316</v>
      </c>
      <c r="CB1459" s="340">
        <v>39.06</v>
      </c>
      <c r="CC1459" s="340" t="s">
        <v>331</v>
      </c>
      <c r="CL1459" s="236">
        <v>78.05</v>
      </c>
      <c r="CM1459" s="236" t="s">
        <v>331</v>
      </c>
      <c r="CR1459" s="340">
        <v>143.12</v>
      </c>
      <c r="CS1459" s="340" t="s">
        <v>302</v>
      </c>
      <c r="CT1459" s="1384"/>
      <c r="DF1459" s="340">
        <v>67.150000000000006</v>
      </c>
      <c r="DG1459" s="340" t="s">
        <v>331</v>
      </c>
      <c r="DV1459" s="340">
        <v>149.01</v>
      </c>
      <c r="DW1459" s="340" t="s">
        <v>302</v>
      </c>
      <c r="DX1459" s="1671"/>
    </row>
    <row r="1460" spans="12:128">
      <c r="L1460" s="2481">
        <v>69.010000000000005</v>
      </c>
      <c r="M1460" s="340" t="s">
        <v>331</v>
      </c>
      <c r="N1460" s="1390"/>
      <c r="O1460" s="2479"/>
      <c r="P1460" s="2282"/>
      <c r="AG1460" s="2297">
        <v>148.04</v>
      </c>
      <c r="AH1460" s="2297" t="s">
        <v>344</v>
      </c>
      <c r="AI1460" s="1390"/>
      <c r="AJ1460" s="2282"/>
      <c r="AK1460" s="2282"/>
      <c r="AL1460" s="1037"/>
      <c r="AX1460" s="340">
        <v>39.18</v>
      </c>
      <c r="AY1460" s="340" t="s">
        <v>331</v>
      </c>
      <c r="BN1460" s="340">
        <v>142.06</v>
      </c>
      <c r="BO1460" s="340" t="s">
        <v>302</v>
      </c>
      <c r="BP1460" s="1385"/>
      <c r="BV1460" s="236">
        <v>105.02</v>
      </c>
      <c r="BW1460" s="236" t="s">
        <v>316</v>
      </c>
      <c r="CB1460" s="340">
        <v>39.090000000000003</v>
      </c>
      <c r="CC1460" s="340" t="s">
        <v>331</v>
      </c>
      <c r="CL1460" s="236">
        <v>78.05</v>
      </c>
      <c r="CM1460" s="236" t="s">
        <v>340</v>
      </c>
      <c r="CR1460" s="340">
        <v>143.28</v>
      </c>
      <c r="CS1460" s="340" t="s">
        <v>302</v>
      </c>
      <c r="CT1460" s="1384"/>
      <c r="DF1460" s="340">
        <v>67.180000000000007</v>
      </c>
      <c r="DG1460" s="340" t="s">
        <v>331</v>
      </c>
      <c r="DV1460" s="340">
        <v>149.02000000000001</v>
      </c>
      <c r="DW1460" s="340" t="s">
        <v>302</v>
      </c>
      <c r="DX1460" s="1671"/>
    </row>
    <row r="1461" spans="12:128">
      <c r="L1461" s="2481">
        <v>69.02</v>
      </c>
      <c r="M1461" s="340" t="s">
        <v>331</v>
      </c>
      <c r="N1461" s="1390"/>
      <c r="O1461" s="2479"/>
      <c r="P1461" s="2282"/>
      <c r="AG1461" s="2297">
        <v>148.06</v>
      </c>
      <c r="AH1461" s="2297" t="s">
        <v>338</v>
      </c>
      <c r="AI1461" s="1390"/>
      <c r="AJ1461" s="2282"/>
      <c r="AK1461" s="2282"/>
      <c r="AL1461" s="1037"/>
      <c r="AX1461" s="340">
        <v>39.19</v>
      </c>
      <c r="AY1461" s="340" t="s">
        <v>331</v>
      </c>
      <c r="BN1461" s="340">
        <v>143</v>
      </c>
      <c r="BO1461" s="340" t="s">
        <v>316</v>
      </c>
      <c r="BP1461" s="1385"/>
      <c r="BV1461" s="236">
        <v>106</v>
      </c>
      <c r="BW1461" s="236" t="s">
        <v>316</v>
      </c>
      <c r="CB1461" s="340">
        <v>39.130000000000003</v>
      </c>
      <c r="CC1461" s="340" t="s">
        <v>331</v>
      </c>
      <c r="CL1461" s="236">
        <v>78.06</v>
      </c>
      <c r="CM1461" s="236" t="s">
        <v>331</v>
      </c>
      <c r="CR1461" s="340">
        <v>143.29</v>
      </c>
      <c r="CS1461" s="340" t="s">
        <v>302</v>
      </c>
      <c r="CT1461" s="1384"/>
      <c r="DF1461" s="340">
        <v>67.19</v>
      </c>
      <c r="DG1461" s="340" t="s">
        <v>331</v>
      </c>
      <c r="DV1461" s="340">
        <v>149.03</v>
      </c>
      <c r="DW1461" s="340" t="s">
        <v>344</v>
      </c>
      <c r="DX1461" s="1671"/>
    </row>
    <row r="1462" spans="12:128">
      <c r="L1462" s="2481">
        <v>70.03</v>
      </c>
      <c r="M1462" s="340" t="s">
        <v>331</v>
      </c>
      <c r="N1462" s="1390"/>
      <c r="O1462" s="2479"/>
      <c r="P1462" s="2282"/>
      <c r="AG1462" s="2297">
        <v>148.07</v>
      </c>
      <c r="AH1462" s="2297" t="s">
        <v>338</v>
      </c>
      <c r="AI1462" s="1390"/>
      <c r="AJ1462" s="2282"/>
      <c r="AK1462" s="2282"/>
      <c r="AL1462" s="1037"/>
      <c r="AX1462" s="340">
        <v>39.21</v>
      </c>
      <c r="AY1462" s="340" t="s">
        <v>331</v>
      </c>
      <c r="BN1462" s="340">
        <v>143</v>
      </c>
      <c r="BO1462" s="340" t="s">
        <v>331</v>
      </c>
      <c r="BP1462" s="1385"/>
      <c r="BV1462" s="236">
        <v>107.01</v>
      </c>
      <c r="BW1462" s="236" t="s">
        <v>316</v>
      </c>
      <c r="CB1462" s="340">
        <v>39.14</v>
      </c>
      <c r="CC1462" s="340" t="s">
        <v>331</v>
      </c>
      <c r="CL1462" s="236">
        <v>78.069999999999993</v>
      </c>
      <c r="CM1462" s="236" t="s">
        <v>331</v>
      </c>
      <c r="CR1462" s="340">
        <v>143.30000000000001</v>
      </c>
      <c r="CS1462" s="340" t="s">
        <v>302</v>
      </c>
      <c r="CT1462" s="1384"/>
      <c r="DF1462" s="340">
        <v>67.2</v>
      </c>
      <c r="DG1462" s="340" t="s">
        <v>331</v>
      </c>
      <c r="DV1462" s="340">
        <v>149.04</v>
      </c>
      <c r="DW1462" s="340" t="s">
        <v>344</v>
      </c>
      <c r="DX1462" s="1671"/>
    </row>
    <row r="1463" spans="12:128">
      <c r="L1463" s="2481">
        <v>70.040000000000006</v>
      </c>
      <c r="M1463" s="340" t="s">
        <v>331</v>
      </c>
      <c r="N1463" s="1390"/>
      <c r="O1463" s="2479"/>
      <c r="P1463" s="2282"/>
      <c r="AG1463" s="2297">
        <v>148.09</v>
      </c>
      <c r="AH1463" s="2297" t="s">
        <v>338</v>
      </c>
      <c r="AI1463" s="1390"/>
      <c r="AJ1463" s="2282"/>
      <c r="AK1463" s="2282"/>
      <c r="AL1463" s="1037"/>
      <c r="AX1463" s="340">
        <v>39.22</v>
      </c>
      <c r="AY1463" s="340" t="s">
        <v>331</v>
      </c>
      <c r="BN1463" s="340">
        <v>143.03</v>
      </c>
      <c r="BO1463" s="340" t="s">
        <v>344</v>
      </c>
      <c r="BP1463" s="1385"/>
      <c r="BV1463" s="236">
        <v>107.02</v>
      </c>
      <c r="BW1463" s="236" t="s">
        <v>316</v>
      </c>
      <c r="CB1463" s="340">
        <v>39.15</v>
      </c>
      <c r="CC1463" s="340" t="s">
        <v>331</v>
      </c>
      <c r="CL1463" s="236">
        <v>78.08</v>
      </c>
      <c r="CM1463" s="236" t="s">
        <v>331</v>
      </c>
      <c r="CR1463" s="340">
        <v>143.33000000000001</v>
      </c>
      <c r="CS1463" s="340" t="s">
        <v>302</v>
      </c>
      <c r="CT1463" s="1384"/>
      <c r="DF1463" s="340">
        <v>67.22</v>
      </c>
      <c r="DG1463" s="340" t="s">
        <v>331</v>
      </c>
      <c r="DV1463" s="340">
        <v>149.05000000000001</v>
      </c>
      <c r="DW1463" s="340" t="s">
        <v>344</v>
      </c>
      <c r="DX1463" s="1671"/>
    </row>
    <row r="1464" spans="12:128">
      <c r="L1464" s="2481">
        <v>70.06</v>
      </c>
      <c r="M1464" s="340" t="s">
        <v>331</v>
      </c>
      <c r="N1464" s="1390"/>
      <c r="O1464" s="2479"/>
      <c r="P1464" s="2282"/>
      <c r="AG1464" s="2297">
        <v>148.1</v>
      </c>
      <c r="AH1464" s="2297" t="s">
        <v>338</v>
      </c>
      <c r="AI1464" s="1390"/>
      <c r="AJ1464" s="2282"/>
      <c r="AK1464" s="2282"/>
      <c r="AL1464" s="1037"/>
      <c r="AX1464" s="340">
        <v>40</v>
      </c>
      <c r="AY1464" s="340" t="s">
        <v>331</v>
      </c>
      <c r="BN1464" s="340">
        <v>143.04</v>
      </c>
      <c r="BO1464" s="340" t="s">
        <v>344</v>
      </c>
      <c r="BP1464" s="1385"/>
      <c r="BV1464" s="236">
        <v>108.05</v>
      </c>
      <c r="BW1464" s="236" t="s">
        <v>316</v>
      </c>
      <c r="CB1464" s="340">
        <v>39.159999999999997</v>
      </c>
      <c r="CC1464" s="340" t="s">
        <v>331</v>
      </c>
      <c r="CL1464" s="236">
        <v>78.09</v>
      </c>
      <c r="CM1464" s="236" t="s">
        <v>331</v>
      </c>
      <c r="CR1464" s="340">
        <v>143.34</v>
      </c>
      <c r="CS1464" s="340" t="s">
        <v>302</v>
      </c>
      <c r="CT1464" s="1384"/>
      <c r="DF1464" s="340">
        <v>68.010000000000005</v>
      </c>
      <c r="DG1464" s="340" t="s">
        <v>331</v>
      </c>
      <c r="DV1464" s="340">
        <v>149.06</v>
      </c>
      <c r="DW1464" s="340" t="s">
        <v>338</v>
      </c>
      <c r="DX1464" s="1671"/>
    </row>
    <row r="1465" spans="12:128">
      <c r="L1465" s="2481">
        <v>70.069999999999993</v>
      </c>
      <c r="M1465" s="340" t="s">
        <v>331</v>
      </c>
      <c r="N1465" s="1390"/>
      <c r="O1465" s="2479"/>
      <c r="P1465" s="2282"/>
      <c r="AG1465" s="2297">
        <v>148.11000000000001</v>
      </c>
      <c r="AH1465" s="2297" t="s">
        <v>338</v>
      </c>
      <c r="AI1465" s="1390"/>
      <c r="AJ1465" s="2282"/>
      <c r="AK1465" s="2282"/>
      <c r="AL1465" s="1037"/>
      <c r="AX1465" s="340">
        <v>41.02</v>
      </c>
      <c r="AY1465" s="340" t="s">
        <v>331</v>
      </c>
      <c r="BN1465" s="340">
        <v>143.12</v>
      </c>
      <c r="BO1465" s="340" t="s">
        <v>302</v>
      </c>
      <c r="BP1465" s="1385"/>
      <c r="BV1465" s="236">
        <v>108.08</v>
      </c>
      <c r="BW1465" s="236" t="s">
        <v>316</v>
      </c>
      <c r="CB1465" s="340">
        <v>39.17</v>
      </c>
      <c r="CC1465" s="340" t="s">
        <v>331</v>
      </c>
      <c r="CL1465" s="236">
        <v>78.12</v>
      </c>
      <c r="CM1465" s="236" t="s">
        <v>340</v>
      </c>
      <c r="CR1465" s="340">
        <v>143.35</v>
      </c>
      <c r="CS1465" s="340" t="s">
        <v>302</v>
      </c>
      <c r="CT1465" s="1384"/>
      <c r="DF1465" s="340">
        <v>68.02</v>
      </c>
      <c r="DG1465" s="340" t="s">
        <v>331</v>
      </c>
      <c r="DV1465" s="340">
        <v>149.06</v>
      </c>
      <c r="DW1465" s="340" t="s">
        <v>344</v>
      </c>
      <c r="DX1465" s="1671"/>
    </row>
    <row r="1466" spans="12:128">
      <c r="L1466" s="2481">
        <v>71.010000000000005</v>
      </c>
      <c r="M1466" s="340" t="s">
        <v>331</v>
      </c>
      <c r="N1466" s="1390"/>
      <c r="O1466" s="2479"/>
      <c r="P1466" s="2282"/>
      <c r="AG1466" s="2297">
        <v>148.13</v>
      </c>
      <c r="AH1466" s="2297" t="s">
        <v>338</v>
      </c>
      <c r="AI1466" s="1390"/>
      <c r="AJ1466" s="2282"/>
      <c r="AK1466" s="2282"/>
      <c r="AL1466" s="1037"/>
      <c r="AX1466" s="340">
        <v>41.03</v>
      </c>
      <c r="AY1466" s="340" t="s">
        <v>331</v>
      </c>
      <c r="BN1466" s="340">
        <v>143.28</v>
      </c>
      <c r="BO1466" s="340" t="s">
        <v>302</v>
      </c>
      <c r="BP1466" s="1385"/>
      <c r="BV1466" s="236">
        <v>108.09</v>
      </c>
      <c r="BW1466" s="236" t="s">
        <v>316</v>
      </c>
      <c r="CB1466" s="340">
        <v>39.18</v>
      </c>
      <c r="CC1466" s="340" t="s">
        <v>331</v>
      </c>
      <c r="CL1466" s="236">
        <v>78.13</v>
      </c>
      <c r="CM1466" s="236" t="s">
        <v>340</v>
      </c>
      <c r="CR1466" s="340">
        <v>143.36000000000001</v>
      </c>
      <c r="CS1466" s="340" t="s">
        <v>302</v>
      </c>
      <c r="CT1466" s="1384"/>
      <c r="DF1466" s="340">
        <v>69.010000000000005</v>
      </c>
      <c r="DG1466" s="340" t="s">
        <v>331</v>
      </c>
      <c r="DV1466" s="340">
        <v>149.09</v>
      </c>
      <c r="DW1466" s="340" t="s">
        <v>338</v>
      </c>
      <c r="DX1466" s="1671"/>
    </row>
    <row r="1467" spans="12:128">
      <c r="L1467" s="2481">
        <v>71.03</v>
      </c>
      <c r="M1467" s="340" t="s">
        <v>331</v>
      </c>
      <c r="N1467" s="1390"/>
      <c r="O1467" s="2479"/>
      <c r="P1467" s="2282"/>
      <c r="AG1467" s="2297">
        <v>148.13999999999999</v>
      </c>
      <c r="AH1467" s="2297" t="s">
        <v>338</v>
      </c>
      <c r="AI1467" s="1390"/>
      <c r="AJ1467" s="2282"/>
      <c r="AK1467" s="2282"/>
      <c r="AL1467" s="1037"/>
      <c r="AX1467" s="340">
        <v>41.05</v>
      </c>
      <c r="AY1467" s="340" t="s">
        <v>331</v>
      </c>
      <c r="BN1467" s="340">
        <v>143.29</v>
      </c>
      <c r="BO1467" s="340" t="s">
        <v>302</v>
      </c>
      <c r="BP1467" s="1385"/>
      <c r="BV1467" s="236">
        <v>108.1</v>
      </c>
      <c r="BW1467" s="236" t="s">
        <v>316</v>
      </c>
      <c r="CB1467" s="340">
        <v>39.19</v>
      </c>
      <c r="CC1467" s="340" t="s">
        <v>331</v>
      </c>
      <c r="CL1467" s="236">
        <v>78.14</v>
      </c>
      <c r="CM1467" s="236" t="s">
        <v>340</v>
      </c>
      <c r="CR1467" s="340">
        <v>143.38</v>
      </c>
      <c r="CS1467" s="340" t="s">
        <v>302</v>
      </c>
      <c r="CT1467" s="1384"/>
      <c r="DF1467" s="340">
        <v>69.02</v>
      </c>
      <c r="DG1467" s="340" t="s">
        <v>331</v>
      </c>
      <c r="DV1467" s="340">
        <v>150.01</v>
      </c>
      <c r="DW1467" s="340" t="s">
        <v>331</v>
      </c>
      <c r="DX1467" s="1671"/>
    </row>
    <row r="1468" spans="12:128">
      <c r="L1468" s="2481">
        <v>71.040000000000006</v>
      </c>
      <c r="M1468" s="340" t="s">
        <v>331</v>
      </c>
      <c r="N1468" s="1390"/>
      <c r="O1468" s="2479"/>
      <c r="P1468" s="2282"/>
      <c r="AG1468" s="2297">
        <v>148.15</v>
      </c>
      <c r="AH1468" s="2297" t="s">
        <v>338</v>
      </c>
      <c r="AI1468" s="1390"/>
      <c r="AJ1468" s="2282"/>
      <c r="AK1468" s="2282"/>
      <c r="AL1468" s="1037"/>
      <c r="AX1468" s="340">
        <v>41.06</v>
      </c>
      <c r="AY1468" s="340" t="s">
        <v>331</v>
      </c>
      <c r="BN1468" s="340">
        <v>143.30000000000001</v>
      </c>
      <c r="BO1468" s="340" t="s">
        <v>302</v>
      </c>
      <c r="BP1468" s="1385"/>
      <c r="BV1468" s="236">
        <v>108.11</v>
      </c>
      <c r="BW1468" s="236" t="s">
        <v>316</v>
      </c>
      <c r="CB1468" s="340">
        <v>39.21</v>
      </c>
      <c r="CC1468" s="340" t="s">
        <v>331</v>
      </c>
      <c r="CL1468" s="236">
        <v>78.180000000000007</v>
      </c>
      <c r="CM1468" s="236" t="s">
        <v>340</v>
      </c>
      <c r="CR1468" s="340">
        <v>143.38999999999999</v>
      </c>
      <c r="CS1468" s="340" t="s">
        <v>302</v>
      </c>
      <c r="CT1468" s="1384"/>
      <c r="DF1468" s="340">
        <v>70.03</v>
      </c>
      <c r="DG1468" s="340" t="s">
        <v>331</v>
      </c>
      <c r="DV1468" s="340">
        <v>150.01</v>
      </c>
      <c r="DW1468" s="340" t="s">
        <v>338</v>
      </c>
      <c r="DX1468" s="1671"/>
    </row>
    <row r="1469" spans="12:128">
      <c r="L1469" s="2481">
        <v>72</v>
      </c>
      <c r="M1469" s="340" t="s">
        <v>331</v>
      </c>
      <c r="N1469" s="1390"/>
      <c r="O1469" s="2479"/>
      <c r="P1469" s="2282"/>
      <c r="AG1469" s="2297">
        <v>149</v>
      </c>
      <c r="AH1469" s="2297" t="s">
        <v>331</v>
      </c>
      <c r="AI1469" s="1390"/>
      <c r="AJ1469" s="2282"/>
      <c r="AK1469" s="2282"/>
      <c r="AL1469" s="1037"/>
      <c r="AX1469" s="340">
        <v>42.05</v>
      </c>
      <c r="AY1469" s="340" t="s">
        <v>331</v>
      </c>
      <c r="BN1469" s="340">
        <v>143.33000000000001</v>
      </c>
      <c r="BO1469" s="340" t="s">
        <v>302</v>
      </c>
      <c r="BP1469" s="1385"/>
      <c r="BV1469" s="236">
        <v>108.14</v>
      </c>
      <c r="BW1469" s="236" t="s">
        <v>316</v>
      </c>
      <c r="CB1469" s="340">
        <v>39.22</v>
      </c>
      <c r="CC1469" s="340" t="s">
        <v>331</v>
      </c>
      <c r="CL1469" s="236">
        <v>78.2</v>
      </c>
      <c r="CM1469" s="236" t="s">
        <v>340</v>
      </c>
      <c r="CR1469" s="340">
        <v>143.4</v>
      </c>
      <c r="CS1469" s="340" t="s">
        <v>302</v>
      </c>
      <c r="CT1469" s="1384"/>
      <c r="DF1469" s="340">
        <v>70.040000000000006</v>
      </c>
      <c r="DG1469" s="340" t="s">
        <v>331</v>
      </c>
      <c r="DV1469" s="340">
        <v>150.03</v>
      </c>
      <c r="DW1469" s="340" t="s">
        <v>338</v>
      </c>
      <c r="DX1469" s="1671"/>
    </row>
    <row r="1470" spans="12:128">
      <c r="L1470" s="2481">
        <v>73</v>
      </c>
      <c r="M1470" s="340" t="s">
        <v>331</v>
      </c>
      <c r="N1470" s="1390"/>
      <c r="O1470" s="2479"/>
      <c r="P1470" s="2282"/>
      <c r="AG1470" s="2297">
        <v>149.01</v>
      </c>
      <c r="AH1470" s="2297" t="s">
        <v>302</v>
      </c>
      <c r="AI1470" s="1390"/>
      <c r="AJ1470" s="2282"/>
      <c r="AK1470" s="2282"/>
      <c r="AL1470" s="1037"/>
      <c r="AX1470" s="340">
        <v>42.07</v>
      </c>
      <c r="AY1470" s="340" t="s">
        <v>331</v>
      </c>
      <c r="BN1470" s="340">
        <v>143.34</v>
      </c>
      <c r="BO1470" s="340" t="s">
        <v>302</v>
      </c>
      <c r="BP1470" s="1385"/>
      <c r="BV1470" s="236">
        <v>108.15</v>
      </c>
      <c r="BW1470" s="236" t="s">
        <v>316</v>
      </c>
      <c r="CB1470" s="340">
        <v>40</v>
      </c>
      <c r="CC1470" s="340" t="s">
        <v>331</v>
      </c>
      <c r="CL1470" s="236">
        <v>78.209999999999994</v>
      </c>
      <c r="CM1470" s="236" t="s">
        <v>340</v>
      </c>
      <c r="CR1470" s="340">
        <v>143.41</v>
      </c>
      <c r="CS1470" s="340" t="s">
        <v>302</v>
      </c>
      <c r="CT1470" s="1384"/>
      <c r="DF1470" s="340">
        <v>70.069999999999993</v>
      </c>
      <c r="DG1470" s="340" t="s">
        <v>331</v>
      </c>
      <c r="DV1470" s="340">
        <v>150.05000000000001</v>
      </c>
      <c r="DW1470" s="340" t="s">
        <v>338</v>
      </c>
      <c r="DX1470" s="1671"/>
    </row>
    <row r="1471" spans="12:128">
      <c r="L1471" s="2481">
        <v>74.010000000000005</v>
      </c>
      <c r="M1471" s="340" t="s">
        <v>331</v>
      </c>
      <c r="N1471" s="1390"/>
      <c r="O1471" s="2479"/>
      <c r="P1471" s="2282"/>
      <c r="AG1471" s="2297">
        <v>149.02000000000001</v>
      </c>
      <c r="AH1471" s="2297" t="s">
        <v>302</v>
      </c>
      <c r="AI1471" s="1390"/>
      <c r="AJ1471" s="2282"/>
      <c r="AK1471" s="2282"/>
      <c r="AL1471" s="1037"/>
      <c r="AX1471" s="340">
        <v>42.08</v>
      </c>
      <c r="AY1471" s="340" t="s">
        <v>331</v>
      </c>
      <c r="BN1471" s="340">
        <v>143.35</v>
      </c>
      <c r="BO1471" s="340" t="s">
        <v>302</v>
      </c>
      <c r="BP1471" s="1385"/>
      <c r="BV1471" s="236">
        <v>108.16</v>
      </c>
      <c r="BW1471" s="236" t="s">
        <v>316</v>
      </c>
      <c r="CB1471" s="340">
        <v>41.02</v>
      </c>
      <c r="CC1471" s="340" t="s">
        <v>331</v>
      </c>
      <c r="CL1471" s="236">
        <v>78.23</v>
      </c>
      <c r="CM1471" s="236" t="s">
        <v>340</v>
      </c>
      <c r="CR1471" s="340">
        <v>143.41999999999999</v>
      </c>
      <c r="CS1471" s="340" t="s">
        <v>302</v>
      </c>
      <c r="CT1471" s="1384"/>
      <c r="DF1471" s="340">
        <v>71.03</v>
      </c>
      <c r="DG1471" s="340" t="s">
        <v>331</v>
      </c>
      <c r="DV1471" s="340">
        <v>150.06</v>
      </c>
      <c r="DW1471" s="340" t="s">
        <v>338</v>
      </c>
      <c r="DX1471" s="1671"/>
    </row>
    <row r="1472" spans="12:128">
      <c r="L1472" s="2481">
        <v>74.02</v>
      </c>
      <c r="M1472" s="340" t="s">
        <v>331</v>
      </c>
      <c r="N1472" s="1390"/>
      <c r="O1472" s="2479"/>
      <c r="P1472" s="2282"/>
      <c r="AG1472" s="2297">
        <v>149.03</v>
      </c>
      <c r="AH1472" s="2297" t="s">
        <v>344</v>
      </c>
      <c r="AI1472" s="1390"/>
      <c r="AJ1472" s="2282"/>
      <c r="AK1472" s="2282"/>
      <c r="AL1472" s="1037"/>
      <c r="AX1472" s="340">
        <v>43.01</v>
      </c>
      <c r="AY1472" s="340" t="s">
        <v>331</v>
      </c>
      <c r="BN1472" s="340">
        <v>143.36000000000001</v>
      </c>
      <c r="BO1472" s="340" t="s">
        <v>302</v>
      </c>
      <c r="BP1472" s="1385"/>
      <c r="BV1472" s="236">
        <v>108.17</v>
      </c>
      <c r="BW1472" s="236" t="s">
        <v>316</v>
      </c>
      <c r="CB1472" s="340">
        <v>41.03</v>
      </c>
      <c r="CC1472" s="340" t="s">
        <v>331</v>
      </c>
      <c r="CL1472" s="236">
        <v>78.3</v>
      </c>
      <c r="CM1472" s="236" t="s">
        <v>340</v>
      </c>
      <c r="CR1472" s="340">
        <v>143.43</v>
      </c>
      <c r="CS1472" s="340" t="s">
        <v>302</v>
      </c>
      <c r="CT1472" s="1384"/>
      <c r="DF1472" s="340">
        <v>71.040000000000006</v>
      </c>
      <c r="DG1472" s="340" t="s">
        <v>331</v>
      </c>
      <c r="DV1472" s="340">
        <v>151.01</v>
      </c>
      <c r="DW1472" s="340" t="s">
        <v>331</v>
      </c>
      <c r="DX1472" s="1671"/>
    </row>
    <row r="1473" spans="12:128">
      <c r="L1473" s="2481">
        <v>74.03</v>
      </c>
      <c r="M1473" s="340" t="s">
        <v>331</v>
      </c>
      <c r="N1473" s="1390"/>
      <c r="O1473" s="2479"/>
      <c r="P1473" s="2282"/>
      <c r="AG1473" s="2297">
        <v>149.05000000000001</v>
      </c>
      <c r="AH1473" s="2297" t="s">
        <v>344</v>
      </c>
      <c r="AI1473" s="1390"/>
      <c r="AJ1473" s="2282"/>
      <c r="AK1473" s="2282"/>
      <c r="AL1473" s="1037"/>
      <c r="AX1473" s="340">
        <v>43.03</v>
      </c>
      <c r="AY1473" s="340" t="s">
        <v>331</v>
      </c>
      <c r="BN1473" s="340">
        <v>143.38</v>
      </c>
      <c r="BO1473" s="340" t="s">
        <v>302</v>
      </c>
      <c r="BP1473" s="1385"/>
      <c r="BV1473" s="236">
        <v>108.19</v>
      </c>
      <c r="BW1473" s="236" t="s">
        <v>316</v>
      </c>
      <c r="CB1473" s="340">
        <v>41.05</v>
      </c>
      <c r="CC1473" s="340" t="s">
        <v>331</v>
      </c>
      <c r="CL1473" s="236">
        <v>78.31</v>
      </c>
      <c r="CM1473" s="236" t="s">
        <v>340</v>
      </c>
      <c r="CR1473" s="340">
        <v>143.44</v>
      </c>
      <c r="CS1473" s="340" t="s">
        <v>302</v>
      </c>
      <c r="CT1473" s="1384"/>
      <c r="DF1473" s="340">
        <v>72</v>
      </c>
      <c r="DG1473" s="340" t="s">
        <v>331</v>
      </c>
      <c r="DV1473" s="340">
        <v>151.01</v>
      </c>
      <c r="DW1473" s="340" t="s">
        <v>344</v>
      </c>
      <c r="DX1473" s="1671"/>
    </row>
    <row r="1474" spans="12:128">
      <c r="L1474" s="2481">
        <v>75.010000000000005</v>
      </c>
      <c r="M1474" s="340" t="s">
        <v>331</v>
      </c>
      <c r="N1474" s="1390"/>
      <c r="O1474" s="2479"/>
      <c r="P1474" s="2282"/>
      <c r="AG1474" s="2297">
        <v>149.06</v>
      </c>
      <c r="AH1474" s="2297" t="s">
        <v>338</v>
      </c>
      <c r="AI1474" s="1390"/>
      <c r="AJ1474" s="2282"/>
      <c r="AK1474" s="2282"/>
      <c r="AL1474" s="1037"/>
      <c r="AX1474" s="340">
        <v>43.04</v>
      </c>
      <c r="AY1474" s="340" t="s">
        <v>331</v>
      </c>
      <c r="BN1474" s="340">
        <v>143.38999999999999</v>
      </c>
      <c r="BO1474" s="340" t="s">
        <v>302</v>
      </c>
      <c r="BP1474" s="1385"/>
      <c r="BV1474" s="236">
        <v>108.2</v>
      </c>
      <c r="BW1474" s="236" t="s">
        <v>316</v>
      </c>
      <c r="CB1474" s="340">
        <v>41.06</v>
      </c>
      <c r="CC1474" s="340" t="s">
        <v>331</v>
      </c>
      <c r="CL1474" s="236">
        <v>78.319999999999993</v>
      </c>
      <c r="CM1474" s="236" t="s">
        <v>340</v>
      </c>
      <c r="CR1474" s="340">
        <v>144</v>
      </c>
      <c r="CS1474" s="340" t="s">
        <v>316</v>
      </c>
      <c r="CT1474" s="1384"/>
      <c r="DF1474" s="340">
        <v>73</v>
      </c>
      <c r="DG1474" s="340" t="s">
        <v>331</v>
      </c>
      <c r="DV1474" s="340">
        <v>151.02000000000001</v>
      </c>
      <c r="DW1474" s="340" t="s">
        <v>331</v>
      </c>
      <c r="DX1474" s="1671"/>
    </row>
    <row r="1475" spans="12:128">
      <c r="L1475" s="2481">
        <v>75.03</v>
      </c>
      <c r="M1475" s="340" t="s">
        <v>331</v>
      </c>
      <c r="N1475" s="1390"/>
      <c r="O1475" s="2479"/>
      <c r="P1475" s="2282"/>
      <c r="AG1475" s="2297">
        <v>149.06</v>
      </c>
      <c r="AH1475" s="2297" t="s">
        <v>344</v>
      </c>
      <c r="AI1475" s="1390"/>
      <c r="AJ1475" s="2282"/>
      <c r="AK1475" s="2282"/>
      <c r="AL1475" s="1037"/>
      <c r="AX1475" s="340">
        <v>44.03</v>
      </c>
      <c r="AY1475" s="340" t="s">
        <v>331</v>
      </c>
      <c r="BN1475" s="340">
        <v>143.4</v>
      </c>
      <c r="BO1475" s="340" t="s">
        <v>302</v>
      </c>
      <c r="BP1475" s="1385"/>
      <c r="BV1475" s="236">
        <v>108.21</v>
      </c>
      <c r="BW1475" s="236" t="s">
        <v>316</v>
      </c>
      <c r="CB1475" s="340">
        <v>42.05</v>
      </c>
      <c r="CC1475" s="340" t="s">
        <v>331</v>
      </c>
      <c r="CL1475" s="236">
        <v>78.33</v>
      </c>
      <c r="CM1475" s="236" t="s">
        <v>340</v>
      </c>
      <c r="CR1475" s="340">
        <v>144</v>
      </c>
      <c r="CS1475" s="340" t="s">
        <v>331</v>
      </c>
      <c r="CT1475" s="1384"/>
      <c r="DF1475" s="340">
        <v>74.010000000000005</v>
      </c>
      <c r="DG1475" s="340" t="s">
        <v>331</v>
      </c>
      <c r="DV1475" s="340">
        <v>151.02000000000001</v>
      </c>
      <c r="DW1475" s="340" t="s">
        <v>344</v>
      </c>
      <c r="DX1475" s="1671"/>
    </row>
    <row r="1476" spans="12:128">
      <c r="L1476" s="2481">
        <v>76.010000000000005</v>
      </c>
      <c r="M1476" s="340" t="s">
        <v>331</v>
      </c>
      <c r="N1476" s="1390"/>
      <c r="O1476" s="2479"/>
      <c r="P1476" s="2282"/>
      <c r="AG1476" s="2297">
        <v>149.09</v>
      </c>
      <c r="AH1476" s="2297" t="s">
        <v>338</v>
      </c>
      <c r="AI1476" s="1390"/>
      <c r="AJ1476" s="2282"/>
      <c r="AK1476" s="2282"/>
      <c r="AL1476" s="1037"/>
      <c r="AX1476" s="340">
        <v>44.05</v>
      </c>
      <c r="AY1476" s="340" t="s">
        <v>331</v>
      </c>
      <c r="BN1476" s="340">
        <v>143.41</v>
      </c>
      <c r="BO1476" s="340" t="s">
        <v>302</v>
      </c>
      <c r="BP1476" s="1385"/>
      <c r="BV1476" s="236">
        <v>108.22</v>
      </c>
      <c r="BW1476" s="236" t="s">
        <v>316</v>
      </c>
      <c r="CB1476" s="340">
        <v>42.06</v>
      </c>
      <c r="CC1476" s="340" t="s">
        <v>331</v>
      </c>
      <c r="CL1476" s="236">
        <v>78.34</v>
      </c>
      <c r="CM1476" s="236" t="s">
        <v>340</v>
      </c>
      <c r="CR1476" s="340">
        <v>144</v>
      </c>
      <c r="CS1476" s="340" t="s">
        <v>338</v>
      </c>
      <c r="CT1476" s="1384"/>
      <c r="DF1476" s="340">
        <v>74.02</v>
      </c>
      <c r="DG1476" s="340" t="s">
        <v>331</v>
      </c>
      <c r="DV1476" s="340">
        <v>151.03</v>
      </c>
      <c r="DW1476" s="340" t="s">
        <v>331</v>
      </c>
      <c r="DX1476" s="1671"/>
    </row>
    <row r="1477" spans="12:128">
      <c r="L1477" s="2481">
        <v>76.05</v>
      </c>
      <c r="M1477" s="340" t="s">
        <v>331</v>
      </c>
      <c r="N1477" s="1390"/>
      <c r="O1477" s="2479"/>
      <c r="P1477" s="2282"/>
      <c r="AG1477" s="2297">
        <v>150.01</v>
      </c>
      <c r="AH1477" s="2297" t="s">
        <v>331</v>
      </c>
      <c r="AI1477" s="1390"/>
      <c r="AJ1477" s="2282"/>
      <c r="AK1477" s="2282"/>
      <c r="AL1477" s="1037"/>
      <c r="AX1477" s="340">
        <v>44.06</v>
      </c>
      <c r="AY1477" s="340" t="s">
        <v>331</v>
      </c>
      <c r="BN1477" s="340">
        <v>143.41999999999999</v>
      </c>
      <c r="BO1477" s="340" t="s">
        <v>302</v>
      </c>
      <c r="BP1477" s="1385"/>
      <c r="BV1477" s="236">
        <v>108.23</v>
      </c>
      <c r="BW1477" s="236" t="s">
        <v>316</v>
      </c>
      <c r="CB1477" s="340">
        <v>42.07</v>
      </c>
      <c r="CC1477" s="340" t="s">
        <v>331</v>
      </c>
      <c r="CL1477" s="236">
        <v>78.349999999999994</v>
      </c>
      <c r="CM1477" s="236" t="s">
        <v>340</v>
      </c>
      <c r="CR1477" s="340">
        <v>144.01</v>
      </c>
      <c r="CS1477" s="340" t="s">
        <v>344</v>
      </c>
      <c r="CT1477" s="1384"/>
      <c r="DF1477" s="340">
        <v>74.03</v>
      </c>
      <c r="DG1477" s="340" t="s">
        <v>331</v>
      </c>
      <c r="DV1477" s="340">
        <v>151.03</v>
      </c>
      <c r="DW1477" s="340" t="s">
        <v>338</v>
      </c>
      <c r="DX1477" s="1671"/>
    </row>
    <row r="1478" spans="12:128">
      <c r="L1478" s="2481">
        <v>76.069999999999993</v>
      </c>
      <c r="M1478" s="340" t="s">
        <v>331</v>
      </c>
      <c r="N1478" s="1390"/>
      <c r="O1478" s="2479"/>
      <c r="P1478" s="2282"/>
      <c r="AG1478" s="2297">
        <v>150.01</v>
      </c>
      <c r="AH1478" s="2297" t="s">
        <v>338</v>
      </c>
      <c r="AI1478" s="1390"/>
      <c r="AJ1478" s="2282"/>
      <c r="AK1478" s="2282"/>
      <c r="AL1478" s="1037"/>
      <c r="AX1478" s="340">
        <v>45</v>
      </c>
      <c r="AY1478" s="340" t="s">
        <v>331</v>
      </c>
      <c r="BN1478" s="340">
        <v>143.43</v>
      </c>
      <c r="BO1478" s="340" t="s">
        <v>302</v>
      </c>
      <c r="BP1478" s="1385"/>
      <c r="BV1478" s="236">
        <v>108.24</v>
      </c>
      <c r="BW1478" s="236" t="s">
        <v>316</v>
      </c>
      <c r="CB1478" s="340">
        <v>43.01</v>
      </c>
      <c r="CC1478" s="340" t="s">
        <v>331</v>
      </c>
      <c r="CL1478" s="236">
        <v>78.37</v>
      </c>
      <c r="CM1478" s="236" t="s">
        <v>340</v>
      </c>
      <c r="CR1478" s="340">
        <v>144.02000000000001</v>
      </c>
      <c r="CS1478" s="340" t="s">
        <v>344</v>
      </c>
      <c r="CT1478" s="1384"/>
      <c r="DF1478" s="340">
        <v>75.010000000000005</v>
      </c>
      <c r="DG1478" s="340" t="s">
        <v>331</v>
      </c>
      <c r="DV1478" s="340">
        <v>152</v>
      </c>
      <c r="DW1478" s="340" t="s">
        <v>344</v>
      </c>
      <c r="DX1478" s="1671"/>
    </row>
    <row r="1479" spans="12:128">
      <c r="L1479" s="2481">
        <v>76.08</v>
      </c>
      <c r="M1479" s="340" t="s">
        <v>331</v>
      </c>
      <c r="N1479" s="1390"/>
      <c r="O1479" s="2479"/>
      <c r="P1479" s="2282"/>
      <c r="AG1479" s="2297">
        <v>150.02000000000001</v>
      </c>
      <c r="AH1479" s="2297" t="s">
        <v>302</v>
      </c>
      <c r="AI1479" s="1390"/>
      <c r="AJ1479" s="2282"/>
      <c r="AK1479" s="2282"/>
      <c r="AL1479" s="1037"/>
      <c r="AX1479" s="340">
        <v>46.02</v>
      </c>
      <c r="AY1479" s="340" t="s">
        <v>331</v>
      </c>
      <c r="BN1479" s="340">
        <v>144</v>
      </c>
      <c r="BO1479" s="340" t="s">
        <v>316</v>
      </c>
      <c r="BP1479" s="1385"/>
      <c r="BV1479" s="236">
        <v>109</v>
      </c>
      <c r="BW1479" s="236" t="s">
        <v>316</v>
      </c>
      <c r="CB1479" s="340">
        <v>43.03</v>
      </c>
      <c r="CC1479" s="340" t="s">
        <v>331</v>
      </c>
      <c r="CL1479" s="236">
        <v>78.38</v>
      </c>
      <c r="CM1479" s="236" t="s">
        <v>340</v>
      </c>
      <c r="CR1479" s="340">
        <v>144.08000000000001</v>
      </c>
      <c r="CS1479" s="340" t="s">
        <v>302</v>
      </c>
      <c r="CT1479" s="1384"/>
      <c r="DF1479" s="340">
        <v>75.03</v>
      </c>
      <c r="DG1479" s="340" t="s">
        <v>331</v>
      </c>
      <c r="DV1479" s="340">
        <v>152.01</v>
      </c>
      <c r="DW1479" s="340" t="s">
        <v>331</v>
      </c>
      <c r="DX1479" s="1671"/>
    </row>
    <row r="1480" spans="12:128">
      <c r="L1480" s="2481">
        <v>76.09</v>
      </c>
      <c r="M1480" s="340" t="s">
        <v>331</v>
      </c>
      <c r="N1480" s="1390"/>
      <c r="O1480" s="2479"/>
      <c r="P1480" s="2282"/>
      <c r="AG1480" s="2297">
        <v>150.02000000000001</v>
      </c>
      <c r="AH1480" s="2297" t="s">
        <v>331</v>
      </c>
      <c r="AI1480" s="1390"/>
      <c r="AJ1480" s="2282"/>
      <c r="AK1480" s="2282"/>
      <c r="AL1480" s="1037"/>
      <c r="AX1480" s="340">
        <v>46.05</v>
      </c>
      <c r="AY1480" s="340" t="s">
        <v>331</v>
      </c>
      <c r="BN1480" s="340">
        <v>144</v>
      </c>
      <c r="BO1480" s="340" t="s">
        <v>331</v>
      </c>
      <c r="BP1480" s="1385"/>
      <c r="BV1480" s="236">
        <v>110.03</v>
      </c>
      <c r="BW1480" s="236" t="s">
        <v>316</v>
      </c>
      <c r="CB1480" s="340">
        <v>43.04</v>
      </c>
      <c r="CC1480" s="340" t="s">
        <v>331</v>
      </c>
      <c r="CL1480" s="236">
        <v>78.400000000000006</v>
      </c>
      <c r="CM1480" s="236" t="s">
        <v>340</v>
      </c>
      <c r="CR1480" s="340">
        <v>144.13</v>
      </c>
      <c r="CS1480" s="340" t="s">
        <v>302</v>
      </c>
      <c r="CT1480" s="1384"/>
      <c r="DF1480" s="340">
        <v>76.010000000000005</v>
      </c>
      <c r="DG1480" s="340" t="s">
        <v>331</v>
      </c>
      <c r="DV1480" s="340">
        <v>152.02000000000001</v>
      </c>
      <c r="DW1480" s="340" t="s">
        <v>331</v>
      </c>
      <c r="DX1480" s="1671"/>
    </row>
    <row r="1481" spans="12:128">
      <c r="L1481" s="2481">
        <v>76.099999999999994</v>
      </c>
      <c r="M1481" s="340" t="s">
        <v>331</v>
      </c>
      <c r="N1481" s="1390"/>
      <c r="O1481" s="2479"/>
      <c r="P1481" s="2282"/>
      <c r="AG1481" s="2297">
        <v>150.03</v>
      </c>
      <c r="AH1481" s="2297" t="s">
        <v>338</v>
      </c>
      <c r="AI1481" s="1390"/>
      <c r="AJ1481" s="2282"/>
      <c r="AK1481" s="2282"/>
      <c r="AL1481" s="1037"/>
      <c r="AX1481" s="340">
        <v>46.07</v>
      </c>
      <c r="AY1481" s="340" t="s">
        <v>331</v>
      </c>
      <c r="BN1481" s="340">
        <v>144.01</v>
      </c>
      <c r="BO1481" s="340" t="s">
        <v>344</v>
      </c>
      <c r="BP1481" s="1385"/>
      <c r="BV1481" s="236">
        <v>110.05</v>
      </c>
      <c r="BW1481" s="236" t="s">
        <v>316</v>
      </c>
      <c r="CB1481" s="340">
        <v>44.06</v>
      </c>
      <c r="CC1481" s="340" t="s">
        <v>331</v>
      </c>
      <c r="CL1481" s="236">
        <v>78.41</v>
      </c>
      <c r="CM1481" s="236" t="s">
        <v>340</v>
      </c>
      <c r="CR1481" s="340">
        <v>144.13999999999999</v>
      </c>
      <c r="CS1481" s="340" t="s">
        <v>302</v>
      </c>
      <c r="CT1481" s="1384"/>
      <c r="DF1481" s="340">
        <v>76.05</v>
      </c>
      <c r="DG1481" s="340" t="s">
        <v>331</v>
      </c>
      <c r="DV1481" s="340">
        <v>152.03</v>
      </c>
      <c r="DW1481" s="340" t="s">
        <v>338</v>
      </c>
      <c r="DX1481" s="1671"/>
    </row>
    <row r="1482" spans="12:128">
      <c r="L1482" s="2481">
        <v>77.05</v>
      </c>
      <c r="M1482" s="340" t="s">
        <v>331</v>
      </c>
      <c r="N1482" s="1390"/>
      <c r="O1482" s="2479"/>
      <c r="P1482" s="2282"/>
      <c r="AG1482" s="2297">
        <v>150.05000000000001</v>
      </c>
      <c r="AH1482" s="2297" t="s">
        <v>338</v>
      </c>
      <c r="AI1482" s="1390"/>
      <c r="AJ1482" s="2282"/>
      <c r="AK1482" s="2282"/>
      <c r="AL1482" s="1037"/>
      <c r="AX1482" s="340">
        <v>46.08</v>
      </c>
      <c r="AY1482" s="340" t="s">
        <v>331</v>
      </c>
      <c r="BN1482" s="340">
        <v>144.08000000000001</v>
      </c>
      <c r="BO1482" s="340" t="s">
        <v>302</v>
      </c>
      <c r="BP1482" s="1385"/>
      <c r="BV1482" s="236">
        <v>110.06</v>
      </c>
      <c r="BW1482" s="236" t="s">
        <v>316</v>
      </c>
      <c r="CB1482" s="340">
        <v>45</v>
      </c>
      <c r="CC1482" s="340" t="s">
        <v>331</v>
      </c>
      <c r="CL1482" s="236">
        <v>78.42</v>
      </c>
      <c r="CM1482" s="236" t="s">
        <v>340</v>
      </c>
      <c r="CR1482" s="340">
        <v>144.16</v>
      </c>
      <c r="CS1482" s="340" t="s">
        <v>302</v>
      </c>
      <c r="CT1482" s="1384"/>
      <c r="DF1482" s="340">
        <v>76.069999999999993</v>
      </c>
      <c r="DG1482" s="340" t="s">
        <v>331</v>
      </c>
      <c r="DV1482" s="340">
        <v>152.04</v>
      </c>
      <c r="DW1482" s="340" t="s">
        <v>338</v>
      </c>
      <c r="DX1482" s="1671"/>
    </row>
    <row r="1483" spans="12:128">
      <c r="L1483" s="2481">
        <v>77.06</v>
      </c>
      <c r="M1483" s="340" t="s">
        <v>331</v>
      </c>
      <c r="N1483" s="1390"/>
      <c r="O1483" s="2479"/>
      <c r="P1483" s="2282"/>
      <c r="AG1483" s="2297">
        <v>150.06</v>
      </c>
      <c r="AH1483" s="2297" t="s">
        <v>338</v>
      </c>
      <c r="AI1483" s="1390"/>
      <c r="AJ1483" s="2282"/>
      <c r="AK1483" s="2282"/>
      <c r="AL1483" s="1037"/>
      <c r="AX1483" s="340">
        <v>47.01</v>
      </c>
      <c r="AY1483" s="340" t="s">
        <v>331</v>
      </c>
      <c r="BN1483" s="340">
        <v>144.13</v>
      </c>
      <c r="BO1483" s="340" t="s">
        <v>302</v>
      </c>
      <c r="BP1483" s="1385"/>
      <c r="BV1483" s="236">
        <v>110.07</v>
      </c>
      <c r="BW1483" s="236" t="s">
        <v>316</v>
      </c>
      <c r="CB1483" s="340">
        <v>46.02</v>
      </c>
      <c r="CC1483" s="340" t="s">
        <v>331</v>
      </c>
      <c r="CL1483" s="236">
        <v>78.430000000000007</v>
      </c>
      <c r="CM1483" s="236" t="s">
        <v>340</v>
      </c>
      <c r="CR1483" s="340">
        <v>144.16999999999999</v>
      </c>
      <c r="CS1483" s="340" t="s">
        <v>302</v>
      </c>
      <c r="CT1483" s="1384"/>
      <c r="DF1483" s="340">
        <v>76.08</v>
      </c>
      <c r="DG1483" s="340" t="s">
        <v>331</v>
      </c>
      <c r="DV1483" s="340">
        <v>153</v>
      </c>
      <c r="DW1483" s="340" t="s">
        <v>331</v>
      </c>
      <c r="DX1483" s="1671"/>
    </row>
    <row r="1484" spans="12:128">
      <c r="L1484" s="2481">
        <v>77.069999999999993</v>
      </c>
      <c r="M1484" s="340" t="s">
        <v>331</v>
      </c>
      <c r="N1484" s="1390"/>
      <c r="O1484" s="2479"/>
      <c r="P1484" s="2282"/>
      <c r="AG1484" s="2297">
        <v>151.01</v>
      </c>
      <c r="AH1484" s="2297" t="s">
        <v>344</v>
      </c>
      <c r="AI1484" s="1390"/>
      <c r="AJ1484" s="2282"/>
      <c r="AK1484" s="2282"/>
      <c r="AL1484" s="1037"/>
      <c r="AX1484" s="340">
        <v>47.03</v>
      </c>
      <c r="AY1484" s="340" t="s">
        <v>331</v>
      </c>
      <c r="BN1484" s="340">
        <v>144.13999999999999</v>
      </c>
      <c r="BO1484" s="340" t="s">
        <v>302</v>
      </c>
      <c r="BP1484" s="1385"/>
      <c r="BV1484" s="236">
        <v>110.08</v>
      </c>
      <c r="BW1484" s="236" t="s">
        <v>316</v>
      </c>
      <c r="CB1484" s="340">
        <v>46.05</v>
      </c>
      <c r="CC1484" s="340" t="s">
        <v>331</v>
      </c>
      <c r="CL1484" s="236">
        <v>78.44</v>
      </c>
      <c r="CM1484" s="236" t="s">
        <v>340</v>
      </c>
      <c r="CR1484" s="340">
        <v>144.18</v>
      </c>
      <c r="CS1484" s="340" t="s">
        <v>302</v>
      </c>
      <c r="CT1484" s="1384"/>
      <c r="DF1484" s="340">
        <v>76.09</v>
      </c>
      <c r="DG1484" s="340" t="s">
        <v>331</v>
      </c>
      <c r="DV1484" s="340">
        <v>153</v>
      </c>
      <c r="DW1484" s="340" t="s">
        <v>338</v>
      </c>
      <c r="DX1484" s="1671"/>
    </row>
    <row r="1485" spans="12:128">
      <c r="L1485" s="2481">
        <v>77.08</v>
      </c>
      <c r="M1485" s="340" t="s">
        <v>331</v>
      </c>
      <c r="N1485" s="1390"/>
      <c r="O1485" s="2479"/>
      <c r="P1485" s="2282"/>
      <c r="AG1485" s="2297">
        <v>151.02000000000001</v>
      </c>
      <c r="AH1485" s="2297" t="s">
        <v>331</v>
      </c>
      <c r="AI1485" s="1390"/>
      <c r="AJ1485" s="2282"/>
      <c r="AK1485" s="2282"/>
      <c r="AL1485" s="1037"/>
      <c r="AX1485" s="340">
        <v>47.04</v>
      </c>
      <c r="AY1485" s="340" t="s">
        <v>331</v>
      </c>
      <c r="BN1485" s="340">
        <v>144.16</v>
      </c>
      <c r="BO1485" s="340" t="s">
        <v>302</v>
      </c>
      <c r="BP1485" s="1385"/>
      <c r="BV1485" s="236">
        <v>110.1</v>
      </c>
      <c r="BW1485" s="236" t="s">
        <v>316</v>
      </c>
      <c r="CB1485" s="340">
        <v>46.07</v>
      </c>
      <c r="CC1485" s="340" t="s">
        <v>331</v>
      </c>
      <c r="CL1485" s="236">
        <v>78.45</v>
      </c>
      <c r="CM1485" s="236" t="s">
        <v>340</v>
      </c>
      <c r="CR1485" s="340">
        <v>144.19</v>
      </c>
      <c r="CS1485" s="340" t="s">
        <v>302</v>
      </c>
      <c r="CT1485" s="1384"/>
      <c r="DF1485" s="340">
        <v>76.099999999999994</v>
      </c>
      <c r="DG1485" s="340" t="s">
        <v>331</v>
      </c>
      <c r="DV1485" s="340">
        <v>154</v>
      </c>
      <c r="DW1485" s="340" t="s">
        <v>331</v>
      </c>
      <c r="DX1485" s="1671"/>
    </row>
    <row r="1486" spans="12:128">
      <c r="L1486" s="2481">
        <v>77.09</v>
      </c>
      <c r="M1486" s="340" t="s">
        <v>331</v>
      </c>
      <c r="N1486" s="1390"/>
      <c r="O1486" s="2479"/>
      <c r="P1486" s="2282"/>
      <c r="AG1486" s="2297">
        <v>151.02000000000001</v>
      </c>
      <c r="AH1486" s="2297" t="s">
        <v>344</v>
      </c>
      <c r="AI1486" s="1390"/>
      <c r="AJ1486" s="2282"/>
      <c r="AK1486" s="2282"/>
      <c r="AL1486" s="1037"/>
      <c r="AX1486" s="340">
        <v>47.05</v>
      </c>
      <c r="AY1486" s="340" t="s">
        <v>331</v>
      </c>
      <c r="BN1486" s="340">
        <v>144.16999999999999</v>
      </c>
      <c r="BO1486" s="340" t="s">
        <v>302</v>
      </c>
      <c r="BP1486" s="1385"/>
      <c r="BV1486" s="236">
        <v>110.13</v>
      </c>
      <c r="BW1486" s="236" t="s">
        <v>316</v>
      </c>
      <c r="CB1486" s="340">
        <v>46.08</v>
      </c>
      <c r="CC1486" s="340" t="s">
        <v>331</v>
      </c>
      <c r="CL1486" s="236">
        <v>78.459999999999994</v>
      </c>
      <c r="CM1486" s="236" t="s">
        <v>340</v>
      </c>
      <c r="CR1486" s="340">
        <v>144.19999999999999</v>
      </c>
      <c r="CS1486" s="340" t="s">
        <v>302</v>
      </c>
      <c r="CT1486" s="1384"/>
      <c r="DF1486" s="340">
        <v>77.040000000000006</v>
      </c>
      <c r="DG1486" s="340" t="s">
        <v>331</v>
      </c>
      <c r="DV1486" s="340">
        <v>154.04</v>
      </c>
      <c r="DW1486" s="340" t="s">
        <v>344</v>
      </c>
      <c r="DX1486" s="1671"/>
    </row>
    <row r="1487" spans="12:128">
      <c r="L1487" s="2481">
        <v>78.010000000000005</v>
      </c>
      <c r="M1487" s="340" t="s">
        <v>331</v>
      </c>
      <c r="N1487" s="1390"/>
      <c r="O1487" s="2479"/>
      <c r="P1487" s="2282"/>
      <c r="AG1487" s="2297">
        <v>151.03</v>
      </c>
      <c r="AH1487" s="2297" t="s">
        <v>331</v>
      </c>
      <c r="AI1487" s="1390"/>
      <c r="AJ1487" s="2282"/>
      <c r="AK1487" s="2282"/>
      <c r="AL1487" s="1037"/>
      <c r="AX1487" s="340">
        <v>49.01</v>
      </c>
      <c r="AY1487" s="340" t="s">
        <v>331</v>
      </c>
      <c r="BN1487" s="340">
        <v>144.18</v>
      </c>
      <c r="BO1487" s="340" t="s">
        <v>302</v>
      </c>
      <c r="BP1487" s="1385"/>
      <c r="BV1487" s="236">
        <v>110.16</v>
      </c>
      <c r="BW1487" s="236" t="s">
        <v>316</v>
      </c>
      <c r="CB1487" s="340">
        <v>47.01</v>
      </c>
      <c r="CC1487" s="340" t="s">
        <v>331</v>
      </c>
      <c r="CL1487" s="236">
        <v>78.47</v>
      </c>
      <c r="CM1487" s="236" t="s">
        <v>340</v>
      </c>
      <c r="CR1487" s="340">
        <v>144.21</v>
      </c>
      <c r="CS1487" s="340" t="s">
        <v>302</v>
      </c>
      <c r="CT1487" s="1384"/>
      <c r="DF1487" s="340">
        <v>77.05</v>
      </c>
      <c r="DG1487" s="340" t="s">
        <v>331</v>
      </c>
      <c r="DV1487" s="340">
        <v>155.01</v>
      </c>
      <c r="DW1487" s="340" t="s">
        <v>331</v>
      </c>
      <c r="DX1487" s="1671"/>
    </row>
    <row r="1488" spans="12:128">
      <c r="L1488" s="2481">
        <v>78.05</v>
      </c>
      <c r="M1488" s="340" t="s">
        <v>331</v>
      </c>
      <c r="N1488" s="1390"/>
      <c r="O1488" s="2479"/>
      <c r="P1488" s="2282"/>
      <c r="AG1488" s="2297">
        <v>151.03</v>
      </c>
      <c r="AH1488" s="2297" t="s">
        <v>338</v>
      </c>
      <c r="AI1488" s="1390"/>
      <c r="AJ1488" s="2282"/>
      <c r="AK1488" s="2282"/>
      <c r="AL1488" s="1037"/>
      <c r="AX1488" s="340">
        <v>49.04</v>
      </c>
      <c r="AY1488" s="340" t="s">
        <v>331</v>
      </c>
      <c r="BN1488" s="340">
        <v>144.19</v>
      </c>
      <c r="BO1488" s="340" t="s">
        <v>302</v>
      </c>
      <c r="BP1488" s="1385"/>
      <c r="BV1488" s="236">
        <v>110.17</v>
      </c>
      <c r="BW1488" s="236" t="s">
        <v>316</v>
      </c>
      <c r="CB1488" s="340">
        <v>47.03</v>
      </c>
      <c r="CC1488" s="340" t="s">
        <v>331</v>
      </c>
      <c r="CL1488" s="236">
        <v>78.48</v>
      </c>
      <c r="CM1488" s="236" t="s">
        <v>340</v>
      </c>
      <c r="CR1488" s="340">
        <v>144.22</v>
      </c>
      <c r="CS1488" s="340" t="s">
        <v>302</v>
      </c>
      <c r="CT1488" s="1384"/>
      <c r="DF1488" s="340">
        <v>77.06</v>
      </c>
      <c r="DG1488" s="340" t="s">
        <v>331</v>
      </c>
      <c r="DV1488" s="340">
        <v>155.01</v>
      </c>
      <c r="DW1488" s="340" t="s">
        <v>338</v>
      </c>
      <c r="DX1488" s="1671"/>
    </row>
    <row r="1489" spans="12:128">
      <c r="L1489" s="2481">
        <v>78.06</v>
      </c>
      <c r="M1489" s="340" t="s">
        <v>331</v>
      </c>
      <c r="N1489" s="1390"/>
      <c r="O1489" s="2479"/>
      <c r="P1489" s="2282"/>
      <c r="AG1489" s="2297">
        <v>152.01</v>
      </c>
      <c r="AH1489" s="2297" t="s">
        <v>331</v>
      </c>
      <c r="AI1489" s="1390"/>
      <c r="AJ1489" s="2282"/>
      <c r="AK1489" s="2282"/>
      <c r="AL1489" s="1037"/>
      <c r="AX1489" s="340">
        <v>50.02</v>
      </c>
      <c r="AY1489" s="340" t="s">
        <v>331</v>
      </c>
      <c r="BN1489" s="340">
        <v>144.19999999999999</v>
      </c>
      <c r="BO1489" s="340" t="s">
        <v>302</v>
      </c>
      <c r="BP1489" s="1385"/>
      <c r="BV1489" s="236">
        <v>110.18</v>
      </c>
      <c r="BW1489" s="236" t="s">
        <v>316</v>
      </c>
      <c r="CB1489" s="340">
        <v>47.04</v>
      </c>
      <c r="CC1489" s="340" t="s">
        <v>331</v>
      </c>
      <c r="CL1489" s="236">
        <v>78.489999999999995</v>
      </c>
      <c r="CM1489" s="236" t="s">
        <v>340</v>
      </c>
      <c r="CR1489" s="340">
        <v>144.22999999999999</v>
      </c>
      <c r="CS1489" s="340" t="s">
        <v>302</v>
      </c>
      <c r="CT1489" s="1384"/>
      <c r="DF1489" s="340">
        <v>77.069999999999993</v>
      </c>
      <c r="DG1489" s="340" t="s">
        <v>331</v>
      </c>
      <c r="DV1489" s="340">
        <v>155.02000000000001</v>
      </c>
      <c r="DW1489" s="340" t="s">
        <v>331</v>
      </c>
      <c r="DX1489" s="1671"/>
    </row>
    <row r="1490" spans="12:128">
      <c r="L1490" s="2481">
        <v>78.069999999999993</v>
      </c>
      <c r="M1490" s="340" t="s">
        <v>331</v>
      </c>
      <c r="N1490" s="1390"/>
      <c r="O1490" s="2479"/>
      <c r="P1490" s="2282"/>
      <c r="AG1490" s="2297">
        <v>152.02000000000001</v>
      </c>
      <c r="AH1490" s="2297" t="s">
        <v>331</v>
      </c>
      <c r="AI1490" s="1390"/>
      <c r="AJ1490" s="2282"/>
      <c r="AK1490" s="2282"/>
      <c r="AL1490" s="1037"/>
      <c r="AX1490" s="340">
        <v>55.06</v>
      </c>
      <c r="AY1490" s="340" t="s">
        <v>331</v>
      </c>
      <c r="BN1490" s="340">
        <v>144.21</v>
      </c>
      <c r="BO1490" s="340" t="s">
        <v>302</v>
      </c>
      <c r="BP1490" s="1385"/>
      <c r="BV1490" s="236">
        <v>110.19</v>
      </c>
      <c r="BW1490" s="236" t="s">
        <v>316</v>
      </c>
      <c r="CB1490" s="340">
        <v>47.05</v>
      </c>
      <c r="CC1490" s="340" t="s">
        <v>331</v>
      </c>
      <c r="CL1490" s="236">
        <v>78.5</v>
      </c>
      <c r="CM1490" s="236" t="s">
        <v>340</v>
      </c>
      <c r="CR1490" s="340">
        <v>144.24</v>
      </c>
      <c r="CS1490" s="340" t="s">
        <v>302</v>
      </c>
      <c r="CT1490" s="1384"/>
      <c r="DF1490" s="340">
        <v>77.08</v>
      </c>
      <c r="DG1490" s="340" t="s">
        <v>331</v>
      </c>
      <c r="DV1490" s="340">
        <v>156</v>
      </c>
      <c r="DW1490" s="340" t="s">
        <v>302</v>
      </c>
      <c r="DX1490" s="1671"/>
    </row>
    <row r="1491" spans="12:128">
      <c r="L1491" s="2481">
        <v>78.08</v>
      </c>
      <c r="M1491" s="340" t="s">
        <v>331</v>
      </c>
      <c r="N1491" s="1390"/>
      <c r="O1491" s="2479"/>
      <c r="P1491" s="2282"/>
      <c r="AG1491" s="2297">
        <v>152.03</v>
      </c>
      <c r="AH1491" s="2297" t="s">
        <v>338</v>
      </c>
      <c r="AI1491" s="1390"/>
      <c r="AJ1491" s="2282"/>
      <c r="AK1491" s="2282"/>
      <c r="AL1491" s="1037"/>
      <c r="AX1491" s="340">
        <v>56</v>
      </c>
      <c r="AY1491" s="340" t="s">
        <v>331</v>
      </c>
      <c r="BN1491" s="340">
        <v>144.22</v>
      </c>
      <c r="BO1491" s="340" t="s">
        <v>302</v>
      </c>
      <c r="BP1491" s="1385"/>
      <c r="BV1491" s="236">
        <v>111.03</v>
      </c>
      <c r="BW1491" s="236" t="s">
        <v>316</v>
      </c>
      <c r="CB1491" s="340">
        <v>49.04</v>
      </c>
      <c r="CC1491" s="340" t="s">
        <v>331</v>
      </c>
      <c r="CL1491" s="236">
        <v>78.510000000000005</v>
      </c>
      <c r="CM1491" s="236" t="s">
        <v>340</v>
      </c>
      <c r="CR1491" s="340">
        <v>144.25</v>
      </c>
      <c r="CS1491" s="340" t="s">
        <v>302</v>
      </c>
      <c r="CT1491" s="1384"/>
      <c r="DF1491" s="340">
        <v>77.09</v>
      </c>
      <c r="DG1491" s="340" t="s">
        <v>331</v>
      </c>
      <c r="DV1491" s="340">
        <v>156</v>
      </c>
      <c r="DW1491" s="340" t="s">
        <v>331</v>
      </c>
      <c r="DX1491" s="1671"/>
    </row>
    <row r="1492" spans="12:128">
      <c r="L1492" s="2481">
        <v>78.09</v>
      </c>
      <c r="M1492" s="340" t="s">
        <v>331</v>
      </c>
      <c r="N1492" s="1390"/>
      <c r="O1492" s="2479"/>
      <c r="P1492" s="2282"/>
      <c r="AG1492" s="2297">
        <v>152.04</v>
      </c>
      <c r="AH1492" s="2297" t="s">
        <v>338</v>
      </c>
      <c r="AI1492" s="1390"/>
      <c r="AJ1492" s="2282"/>
      <c r="AK1492" s="2282"/>
      <c r="AL1492" s="1037"/>
      <c r="AX1492" s="340">
        <v>57.01</v>
      </c>
      <c r="AY1492" s="340" t="s">
        <v>331</v>
      </c>
      <c r="BN1492" s="340">
        <v>144.22999999999999</v>
      </c>
      <c r="BO1492" s="340" t="s">
        <v>302</v>
      </c>
      <c r="BP1492" s="1385"/>
      <c r="BV1492" s="236">
        <v>111.06</v>
      </c>
      <c r="BW1492" s="236" t="s">
        <v>316</v>
      </c>
      <c r="CB1492" s="340">
        <v>50.03</v>
      </c>
      <c r="CC1492" s="340" t="s">
        <v>331</v>
      </c>
      <c r="CL1492" s="236">
        <v>78.52</v>
      </c>
      <c r="CM1492" s="236" t="s">
        <v>340</v>
      </c>
      <c r="CR1492" s="340">
        <v>144.26</v>
      </c>
      <c r="CS1492" s="340" t="s">
        <v>302</v>
      </c>
      <c r="CT1492" s="1384"/>
      <c r="DF1492" s="340">
        <v>78.010000000000005</v>
      </c>
      <c r="DG1492" s="340" t="s">
        <v>331</v>
      </c>
      <c r="DV1492" s="340">
        <v>156.01</v>
      </c>
      <c r="DW1492" s="340" t="s">
        <v>338</v>
      </c>
      <c r="DX1492" s="1671"/>
    </row>
    <row r="1493" spans="12:128">
      <c r="L1493" s="2481">
        <v>79.010000000000005</v>
      </c>
      <c r="M1493" s="340" t="s">
        <v>331</v>
      </c>
      <c r="N1493" s="1390"/>
      <c r="O1493" s="2479"/>
      <c r="P1493" s="2282"/>
      <c r="AG1493" s="2297">
        <v>153</v>
      </c>
      <c r="AH1493" s="2297" t="s">
        <v>331</v>
      </c>
      <c r="AI1493" s="1390"/>
      <c r="AJ1493" s="2282"/>
      <c r="AK1493" s="2282"/>
      <c r="AL1493" s="1037"/>
      <c r="AX1493" s="340">
        <v>57.06</v>
      </c>
      <c r="AY1493" s="340" t="s">
        <v>331</v>
      </c>
      <c r="BN1493" s="340">
        <v>144.24</v>
      </c>
      <c r="BO1493" s="340" t="s">
        <v>302</v>
      </c>
      <c r="BP1493" s="1385"/>
      <c r="BV1493" s="236">
        <v>111.07</v>
      </c>
      <c r="BW1493" s="236" t="s">
        <v>316</v>
      </c>
      <c r="CB1493" s="340">
        <v>57.06</v>
      </c>
      <c r="CC1493" s="340" t="s">
        <v>331</v>
      </c>
      <c r="CL1493" s="236">
        <v>78.53</v>
      </c>
      <c r="CM1493" s="236" t="s">
        <v>340</v>
      </c>
      <c r="CR1493" s="340">
        <v>144.27000000000001</v>
      </c>
      <c r="CS1493" s="340" t="s">
        <v>302</v>
      </c>
      <c r="CT1493" s="1384"/>
      <c r="DF1493" s="340">
        <v>78.05</v>
      </c>
      <c r="DG1493" s="340" t="s">
        <v>331</v>
      </c>
      <c r="DV1493" s="340">
        <v>156.02000000000001</v>
      </c>
      <c r="DW1493" s="340" t="s">
        <v>338</v>
      </c>
      <c r="DX1493" s="1671"/>
    </row>
    <row r="1494" spans="12:128">
      <c r="L1494" s="2481">
        <v>79.02</v>
      </c>
      <c r="M1494" s="340" t="s">
        <v>331</v>
      </c>
      <c r="N1494" s="1390"/>
      <c r="O1494" s="2479"/>
      <c r="P1494" s="2282"/>
      <c r="AG1494" s="2297">
        <v>153</v>
      </c>
      <c r="AH1494" s="2297" t="s">
        <v>338</v>
      </c>
      <c r="AI1494" s="1390"/>
      <c r="AJ1494" s="2282"/>
      <c r="AK1494" s="2282"/>
      <c r="AL1494" s="1037"/>
      <c r="AX1494" s="340">
        <v>58.05</v>
      </c>
      <c r="AY1494" s="340" t="s">
        <v>331</v>
      </c>
      <c r="BN1494" s="340">
        <v>144.25</v>
      </c>
      <c r="BO1494" s="340" t="s">
        <v>302</v>
      </c>
      <c r="BP1494" s="1385"/>
      <c r="BV1494" s="236">
        <v>111.08</v>
      </c>
      <c r="BW1494" s="236" t="s">
        <v>316</v>
      </c>
      <c r="CB1494" s="340">
        <v>58.05</v>
      </c>
      <c r="CC1494" s="340" t="s">
        <v>331</v>
      </c>
      <c r="CL1494" s="236">
        <v>79.010000000000005</v>
      </c>
      <c r="CM1494" s="236" t="s">
        <v>331</v>
      </c>
      <c r="CR1494" s="340">
        <v>144.28</v>
      </c>
      <c r="CS1494" s="340" t="s">
        <v>302</v>
      </c>
      <c r="CT1494" s="1384"/>
      <c r="DF1494" s="340">
        <v>78.06</v>
      </c>
      <c r="DG1494" s="340" t="s">
        <v>331</v>
      </c>
      <c r="DV1494" s="340">
        <v>157</v>
      </c>
      <c r="DW1494" s="340" t="s">
        <v>331</v>
      </c>
      <c r="DX1494" s="1671"/>
    </row>
    <row r="1495" spans="12:128">
      <c r="L1495" s="2481">
        <v>80</v>
      </c>
      <c r="M1495" s="340" t="s">
        <v>331</v>
      </c>
      <c r="N1495" s="1390"/>
      <c r="O1495" s="2479"/>
      <c r="P1495" s="2282"/>
      <c r="AG1495" s="2297">
        <v>153.02000000000001</v>
      </c>
      <c r="AH1495" s="2297" t="s">
        <v>344</v>
      </c>
      <c r="AI1495" s="1390"/>
      <c r="AJ1495" s="2282"/>
      <c r="AK1495" s="2282"/>
      <c r="AL1495" s="1037"/>
      <c r="AX1495" s="340">
        <v>58.06</v>
      </c>
      <c r="AY1495" s="340" t="s">
        <v>331</v>
      </c>
      <c r="BN1495" s="340">
        <v>144.26</v>
      </c>
      <c r="BO1495" s="340" t="s">
        <v>302</v>
      </c>
      <c r="BP1495" s="1385"/>
      <c r="BV1495" s="236">
        <v>111.09</v>
      </c>
      <c r="BW1495" s="236" t="s">
        <v>316</v>
      </c>
      <c r="CB1495" s="340">
        <v>58.06</v>
      </c>
      <c r="CC1495" s="340" t="s">
        <v>331</v>
      </c>
      <c r="CL1495" s="236">
        <v>79.02</v>
      </c>
      <c r="CM1495" s="236" t="s">
        <v>331</v>
      </c>
      <c r="CR1495" s="340">
        <v>145</v>
      </c>
      <c r="CS1495" s="340" t="s">
        <v>331</v>
      </c>
      <c r="CT1495" s="1384"/>
      <c r="DF1495" s="340">
        <v>78.069999999999993</v>
      </c>
      <c r="DG1495" s="340" t="s">
        <v>331</v>
      </c>
      <c r="DV1495" s="340">
        <v>157.01</v>
      </c>
      <c r="DW1495" s="340" t="s">
        <v>338</v>
      </c>
      <c r="DX1495" s="1671"/>
    </row>
    <row r="1496" spans="12:128">
      <c r="L1496" s="2481">
        <v>81.010000000000005</v>
      </c>
      <c r="M1496" s="340" t="s">
        <v>331</v>
      </c>
      <c r="N1496" s="1390"/>
      <c r="O1496" s="2479"/>
      <c r="P1496" s="2282"/>
      <c r="AG1496" s="2297">
        <v>154</v>
      </c>
      <c r="AH1496" s="2297" t="s">
        <v>331</v>
      </c>
      <c r="AI1496" s="1390"/>
      <c r="AJ1496" s="2282"/>
      <c r="AK1496" s="2282"/>
      <c r="AL1496" s="1037"/>
      <c r="AX1496" s="340">
        <v>59.01</v>
      </c>
      <c r="AY1496" s="340" t="s">
        <v>331</v>
      </c>
      <c r="BN1496" s="340">
        <v>144.28</v>
      </c>
      <c r="BO1496" s="340" t="s">
        <v>302</v>
      </c>
      <c r="BP1496" s="1385"/>
      <c r="BV1496" s="236">
        <v>112.03</v>
      </c>
      <c r="BW1496" s="236" t="s">
        <v>316</v>
      </c>
      <c r="CB1496" s="340">
        <v>59.01</v>
      </c>
      <c r="CC1496" s="340" t="s">
        <v>331</v>
      </c>
      <c r="CL1496" s="236">
        <v>79.09</v>
      </c>
      <c r="CM1496" s="236" t="s">
        <v>340</v>
      </c>
      <c r="CR1496" s="340">
        <v>145.04</v>
      </c>
      <c r="CS1496" s="340" t="s">
        <v>338</v>
      </c>
      <c r="CT1496" s="1384"/>
      <c r="DF1496" s="340">
        <v>78.08</v>
      </c>
      <c r="DG1496" s="340" t="s">
        <v>331</v>
      </c>
      <c r="DV1496" s="340">
        <v>157.02000000000001</v>
      </c>
      <c r="DW1496" s="340" t="s">
        <v>302</v>
      </c>
      <c r="DX1496" s="1671"/>
    </row>
    <row r="1497" spans="12:128">
      <c r="L1497" s="2481">
        <v>81.02</v>
      </c>
      <c r="M1497" s="340" t="s">
        <v>331</v>
      </c>
      <c r="N1497" s="1390"/>
      <c r="O1497" s="2479"/>
      <c r="P1497" s="2282"/>
      <c r="AG1497" s="2297">
        <v>154.02000000000001</v>
      </c>
      <c r="AH1497" s="2297" t="s">
        <v>344</v>
      </c>
      <c r="AI1497" s="1390"/>
      <c r="AJ1497" s="2282"/>
      <c r="AK1497" s="2282"/>
      <c r="AL1497" s="1037"/>
      <c r="AX1497" s="340">
        <v>59.02</v>
      </c>
      <c r="AY1497" s="340" t="s">
        <v>331</v>
      </c>
      <c r="BN1497" s="340">
        <v>145</v>
      </c>
      <c r="BO1497" s="340" t="s">
        <v>302</v>
      </c>
      <c r="BP1497" s="1385"/>
      <c r="BV1497" s="236">
        <v>112.04</v>
      </c>
      <c r="BW1497" s="236" t="s">
        <v>316</v>
      </c>
      <c r="CB1497" s="340">
        <v>59.04</v>
      </c>
      <c r="CC1497" s="340" t="s">
        <v>331</v>
      </c>
      <c r="CL1497" s="236">
        <v>79.13</v>
      </c>
      <c r="CM1497" s="236" t="s">
        <v>340</v>
      </c>
      <c r="CR1497" s="340">
        <v>146.01</v>
      </c>
      <c r="CS1497" s="340" t="s">
        <v>302</v>
      </c>
      <c r="CT1497" s="1384"/>
      <c r="DF1497" s="340">
        <v>78.09</v>
      </c>
      <c r="DG1497" s="340" t="s">
        <v>331</v>
      </c>
      <c r="DV1497" s="340">
        <v>157.02000000000001</v>
      </c>
      <c r="DW1497" s="340" t="s">
        <v>338</v>
      </c>
      <c r="DX1497" s="1671"/>
    </row>
    <row r="1498" spans="12:128">
      <c r="L1498" s="2481">
        <v>82.02</v>
      </c>
      <c r="M1498" s="340" t="s">
        <v>331</v>
      </c>
      <c r="N1498" s="1390"/>
      <c r="O1498" s="2479"/>
      <c r="P1498" s="2282"/>
      <c r="AG1498" s="2297">
        <v>154.04</v>
      </c>
      <c r="AH1498" s="2297" t="s">
        <v>344</v>
      </c>
      <c r="AI1498" s="1390"/>
      <c r="AJ1498" s="2282"/>
      <c r="AK1498" s="2282"/>
      <c r="AL1498" s="1037"/>
      <c r="AX1498" s="340">
        <v>59.03</v>
      </c>
      <c r="AY1498" s="340" t="s">
        <v>331</v>
      </c>
      <c r="BN1498" s="340">
        <v>145</v>
      </c>
      <c r="BO1498" s="340" t="s">
        <v>331</v>
      </c>
      <c r="BP1498" s="1385"/>
      <c r="BV1498" s="236">
        <v>112.05</v>
      </c>
      <c r="BW1498" s="236" t="s">
        <v>316</v>
      </c>
      <c r="CB1498" s="340">
        <v>60.02</v>
      </c>
      <c r="CC1498" s="340" t="s">
        <v>331</v>
      </c>
      <c r="CL1498" s="236">
        <v>79.14</v>
      </c>
      <c r="CM1498" s="236" t="s">
        <v>340</v>
      </c>
      <c r="CR1498" s="340">
        <v>146.03</v>
      </c>
      <c r="CS1498" s="340" t="s">
        <v>302</v>
      </c>
      <c r="CT1498" s="1384"/>
      <c r="DF1498" s="340">
        <v>79.010000000000005</v>
      </c>
      <c r="DG1498" s="340" t="s">
        <v>331</v>
      </c>
      <c r="DV1498" s="340">
        <v>158</v>
      </c>
      <c r="DW1498" s="340" t="s">
        <v>331</v>
      </c>
      <c r="DX1498" s="1671"/>
    </row>
    <row r="1499" spans="12:128">
      <c r="L1499" s="2481">
        <v>82.05</v>
      </c>
      <c r="M1499" s="340" t="s">
        <v>331</v>
      </c>
      <c r="N1499" s="1390"/>
      <c r="O1499" s="2479"/>
      <c r="P1499" s="2282"/>
      <c r="AG1499" s="2297">
        <v>154.05000000000001</v>
      </c>
      <c r="AH1499" s="2297" t="s">
        <v>344</v>
      </c>
      <c r="AI1499" s="1390"/>
      <c r="AJ1499" s="2282"/>
      <c r="AK1499" s="2282"/>
      <c r="AL1499" s="1037"/>
      <c r="AX1499" s="340">
        <v>59.04</v>
      </c>
      <c r="AY1499" s="340" t="s">
        <v>331</v>
      </c>
      <c r="BN1499" s="340">
        <v>145.04</v>
      </c>
      <c r="BO1499" s="340" t="s">
        <v>338</v>
      </c>
      <c r="BP1499" s="1385"/>
      <c r="BV1499" s="236">
        <v>112.06</v>
      </c>
      <c r="BW1499" s="236" t="s">
        <v>316</v>
      </c>
      <c r="CB1499" s="340">
        <v>60.03</v>
      </c>
      <c r="CC1499" s="340" t="s">
        <v>331</v>
      </c>
      <c r="CL1499" s="236">
        <v>79.150000000000006</v>
      </c>
      <c r="CM1499" s="236" t="s">
        <v>340</v>
      </c>
      <c r="CR1499" s="340">
        <v>146.04</v>
      </c>
      <c r="CS1499" s="340" t="s">
        <v>302</v>
      </c>
      <c r="CT1499" s="1384"/>
      <c r="DF1499" s="340">
        <v>79.02</v>
      </c>
      <c r="DG1499" s="340" t="s">
        <v>331</v>
      </c>
      <c r="DV1499" s="340">
        <v>158.01</v>
      </c>
      <c r="DW1499" s="340" t="s">
        <v>338</v>
      </c>
      <c r="DX1499" s="1671"/>
    </row>
    <row r="1500" spans="12:128">
      <c r="L1500" s="2481">
        <v>82.06</v>
      </c>
      <c r="M1500" s="340" t="s">
        <v>331</v>
      </c>
      <c r="N1500" s="1390"/>
      <c r="O1500" s="2479"/>
      <c r="P1500" s="2282"/>
      <c r="AG1500" s="2297">
        <v>155.01</v>
      </c>
      <c r="AH1500" s="2297" t="s">
        <v>331</v>
      </c>
      <c r="AI1500" s="1390"/>
      <c r="AJ1500" s="2282"/>
      <c r="AK1500" s="2282"/>
      <c r="AL1500" s="1037"/>
      <c r="AX1500" s="340">
        <v>60.02</v>
      </c>
      <c r="AY1500" s="340" t="s">
        <v>331</v>
      </c>
      <c r="BN1500" s="340">
        <v>146.01</v>
      </c>
      <c r="BO1500" s="340" t="s">
        <v>302</v>
      </c>
      <c r="BP1500" s="1385"/>
      <c r="BV1500" s="236">
        <v>113.01</v>
      </c>
      <c r="BW1500" s="236" t="s">
        <v>316</v>
      </c>
      <c r="CB1500" s="340">
        <v>60.04</v>
      </c>
      <c r="CC1500" s="340" t="s">
        <v>331</v>
      </c>
      <c r="CL1500" s="236">
        <v>79.16</v>
      </c>
      <c r="CM1500" s="236" t="s">
        <v>340</v>
      </c>
      <c r="CR1500" s="340">
        <v>146.06</v>
      </c>
      <c r="CS1500" s="340" t="s">
        <v>338</v>
      </c>
      <c r="CT1500" s="1384"/>
      <c r="DF1500" s="340">
        <v>80</v>
      </c>
      <c r="DG1500" s="340" t="s">
        <v>331</v>
      </c>
      <c r="DV1500" s="340">
        <v>158.02000000000001</v>
      </c>
      <c r="DW1500" s="340" t="s">
        <v>338</v>
      </c>
      <c r="DX1500" s="1671"/>
    </row>
    <row r="1501" spans="12:128">
      <c r="L1501" s="2481">
        <v>82.07</v>
      </c>
      <c r="M1501" s="340" t="s">
        <v>331</v>
      </c>
      <c r="N1501" s="1390"/>
      <c r="O1501" s="2479"/>
      <c r="P1501" s="2282"/>
      <c r="AG1501" s="2297">
        <v>155.01</v>
      </c>
      <c r="AH1501" s="2297" t="s">
        <v>338</v>
      </c>
      <c r="AI1501" s="1390"/>
      <c r="AJ1501" s="2282"/>
      <c r="AK1501" s="2282"/>
      <c r="AL1501" s="1037"/>
      <c r="AX1501" s="340">
        <v>60.03</v>
      </c>
      <c r="AY1501" s="340" t="s">
        <v>331</v>
      </c>
      <c r="BN1501" s="340">
        <v>146.02000000000001</v>
      </c>
      <c r="BO1501" s="340" t="s">
        <v>331</v>
      </c>
      <c r="BP1501" s="1385"/>
      <c r="BV1501" s="236">
        <v>113.03</v>
      </c>
      <c r="BW1501" s="236" t="s">
        <v>316</v>
      </c>
      <c r="CB1501" s="340">
        <v>61.03</v>
      </c>
      <c r="CC1501" s="340" t="s">
        <v>331</v>
      </c>
      <c r="CL1501" s="236">
        <v>79.17</v>
      </c>
      <c r="CM1501" s="236" t="s">
        <v>340</v>
      </c>
      <c r="CR1501" s="340">
        <v>147.01</v>
      </c>
      <c r="CS1501" s="340" t="s">
        <v>344</v>
      </c>
      <c r="CT1501" s="1384"/>
      <c r="DF1501" s="340">
        <v>81.02</v>
      </c>
      <c r="DG1501" s="340" t="s">
        <v>331</v>
      </c>
      <c r="DV1501" s="340">
        <v>158.04</v>
      </c>
      <c r="DW1501" s="340" t="s">
        <v>302</v>
      </c>
      <c r="DX1501" s="1671"/>
    </row>
    <row r="1502" spans="12:128">
      <c r="L1502" s="2481">
        <v>82.08</v>
      </c>
      <c r="M1502" s="340" t="s">
        <v>331</v>
      </c>
      <c r="N1502" s="1390"/>
      <c r="O1502" s="2479"/>
      <c r="P1502" s="2282"/>
      <c r="AG1502" s="2297">
        <v>155.02000000000001</v>
      </c>
      <c r="AH1502" s="2297" t="s">
        <v>331</v>
      </c>
      <c r="AI1502" s="1390"/>
      <c r="AJ1502" s="2282"/>
      <c r="AK1502" s="2282"/>
      <c r="AL1502" s="1037"/>
      <c r="AX1502" s="340">
        <v>60.04</v>
      </c>
      <c r="AY1502" s="340" t="s">
        <v>331</v>
      </c>
      <c r="BN1502" s="340">
        <v>146.03</v>
      </c>
      <c r="BO1502" s="340" t="s">
        <v>302</v>
      </c>
      <c r="BP1502" s="1385"/>
      <c r="BV1502" s="236">
        <v>113.04</v>
      </c>
      <c r="BW1502" s="236" t="s">
        <v>316</v>
      </c>
      <c r="CB1502" s="340">
        <v>61.04</v>
      </c>
      <c r="CC1502" s="340" t="s">
        <v>331</v>
      </c>
      <c r="CL1502" s="236">
        <v>79.180000000000007</v>
      </c>
      <c r="CM1502" s="236" t="s">
        <v>340</v>
      </c>
      <c r="CR1502" s="340">
        <v>147.02000000000001</v>
      </c>
      <c r="CS1502" s="340" t="s">
        <v>331</v>
      </c>
      <c r="CT1502" s="1384"/>
      <c r="DF1502" s="340">
        <v>82.02</v>
      </c>
      <c r="DG1502" s="340" t="s">
        <v>331</v>
      </c>
      <c r="DV1502" s="340">
        <v>158.06</v>
      </c>
      <c r="DW1502" s="340" t="s">
        <v>302</v>
      </c>
      <c r="DX1502" s="1671"/>
    </row>
    <row r="1503" spans="12:128">
      <c r="L1503" s="2481">
        <v>82.09</v>
      </c>
      <c r="M1503" s="340" t="s">
        <v>331</v>
      </c>
      <c r="N1503" s="1390"/>
      <c r="O1503" s="2479"/>
      <c r="P1503" s="2282"/>
      <c r="AG1503" s="2297">
        <v>156</v>
      </c>
      <c r="AH1503" s="2297" t="s">
        <v>302</v>
      </c>
      <c r="AI1503" s="1390"/>
      <c r="AJ1503" s="2282"/>
      <c r="AK1503" s="2282"/>
      <c r="AL1503" s="1037"/>
      <c r="AX1503" s="340">
        <v>61.03</v>
      </c>
      <c r="AY1503" s="340" t="s">
        <v>331</v>
      </c>
      <c r="BN1503" s="340">
        <v>146.06</v>
      </c>
      <c r="BO1503" s="340" t="s">
        <v>338</v>
      </c>
      <c r="BP1503" s="1385"/>
      <c r="BV1503" s="236">
        <v>114.07</v>
      </c>
      <c r="BW1503" s="236" t="s">
        <v>316</v>
      </c>
      <c r="CB1503" s="340">
        <v>61.05</v>
      </c>
      <c r="CC1503" s="340" t="s">
        <v>331</v>
      </c>
      <c r="CL1503" s="236">
        <v>79.19</v>
      </c>
      <c r="CM1503" s="236" t="s">
        <v>340</v>
      </c>
      <c r="CR1503" s="340">
        <v>147.03</v>
      </c>
      <c r="CS1503" s="340" t="s">
        <v>302</v>
      </c>
      <c r="CT1503" s="1384"/>
      <c r="DF1503" s="340">
        <v>82.05</v>
      </c>
      <c r="DG1503" s="340" t="s">
        <v>331</v>
      </c>
      <c r="DV1503" s="340">
        <v>159</v>
      </c>
      <c r="DW1503" s="340" t="s">
        <v>331</v>
      </c>
      <c r="DX1503" s="1671"/>
    </row>
    <row r="1504" spans="12:128">
      <c r="L1504" s="2481">
        <v>83.05</v>
      </c>
      <c r="M1504" s="340" t="s">
        <v>331</v>
      </c>
      <c r="N1504" s="1390"/>
      <c r="O1504" s="2479"/>
      <c r="P1504" s="2282"/>
      <c r="AG1504" s="2297">
        <v>156</v>
      </c>
      <c r="AH1504" s="2297" t="s">
        <v>331</v>
      </c>
      <c r="AI1504" s="1390"/>
      <c r="AJ1504" s="2282"/>
      <c r="AK1504" s="2282"/>
      <c r="AL1504" s="1037"/>
      <c r="AX1504" s="340">
        <v>61.04</v>
      </c>
      <c r="AY1504" s="340" t="s">
        <v>331</v>
      </c>
      <c r="BN1504" s="340">
        <v>146.07</v>
      </c>
      <c r="BO1504" s="340" t="s">
        <v>338</v>
      </c>
      <c r="BP1504" s="1385"/>
      <c r="BV1504" s="236">
        <v>114.08</v>
      </c>
      <c r="BW1504" s="236" t="s">
        <v>316</v>
      </c>
      <c r="CB1504" s="340">
        <v>61.06</v>
      </c>
      <c r="CC1504" s="340" t="s">
        <v>331</v>
      </c>
      <c r="CL1504" s="236">
        <v>80</v>
      </c>
      <c r="CM1504" s="236" t="s">
        <v>331</v>
      </c>
      <c r="CR1504" s="340">
        <v>147.03</v>
      </c>
      <c r="CS1504" s="340" t="s">
        <v>344</v>
      </c>
      <c r="CT1504" s="1384"/>
      <c r="DF1504" s="340">
        <v>82.06</v>
      </c>
      <c r="DG1504" s="340" t="s">
        <v>331</v>
      </c>
      <c r="DV1504" s="340">
        <v>159</v>
      </c>
      <c r="DW1504" s="340" t="s">
        <v>344</v>
      </c>
      <c r="DX1504" s="1671"/>
    </row>
    <row r="1505" spans="12:128">
      <c r="L1505" s="2481">
        <v>83.08</v>
      </c>
      <c r="M1505" s="340" t="s">
        <v>331</v>
      </c>
      <c r="N1505" s="1390"/>
      <c r="O1505" s="2479"/>
      <c r="P1505" s="2282"/>
      <c r="AG1505" s="2297">
        <v>156.01</v>
      </c>
      <c r="AH1505" s="2297" t="s">
        <v>338</v>
      </c>
      <c r="AI1505" s="1390"/>
      <c r="AJ1505" s="2282"/>
      <c r="AK1505" s="2282"/>
      <c r="AL1505" s="1037"/>
      <c r="AX1505" s="340">
        <v>61.05</v>
      </c>
      <c r="AY1505" s="340" t="s">
        <v>331</v>
      </c>
      <c r="BN1505" s="340">
        <v>147.01</v>
      </c>
      <c r="BO1505" s="340" t="s">
        <v>344</v>
      </c>
      <c r="BP1505" s="1385"/>
      <c r="BV1505" s="236">
        <v>114.09</v>
      </c>
      <c r="BW1505" s="236" t="s">
        <v>316</v>
      </c>
      <c r="CB1505" s="340">
        <v>62.01</v>
      </c>
      <c r="CC1505" s="340" t="s">
        <v>331</v>
      </c>
      <c r="CL1505" s="236">
        <v>80.010000000000005</v>
      </c>
      <c r="CM1505" s="236" t="s">
        <v>340</v>
      </c>
      <c r="CR1505" s="340">
        <v>147.04</v>
      </c>
      <c r="CS1505" s="340" t="s">
        <v>344</v>
      </c>
      <c r="CT1505" s="1384"/>
      <c r="DF1505" s="340">
        <v>82.07</v>
      </c>
      <c r="DG1505" s="340" t="s">
        <v>331</v>
      </c>
      <c r="DV1505" s="340">
        <v>159.01</v>
      </c>
      <c r="DW1505" s="340" t="s">
        <v>338</v>
      </c>
      <c r="DX1505" s="1671"/>
    </row>
    <row r="1506" spans="12:128">
      <c r="L1506" s="2481">
        <v>83.11</v>
      </c>
      <c r="M1506" s="340" t="s">
        <v>331</v>
      </c>
      <c r="N1506" s="1390"/>
      <c r="O1506" s="2479"/>
      <c r="P1506" s="2282"/>
      <c r="AG1506" s="2297">
        <v>156.02000000000001</v>
      </c>
      <c r="AH1506" s="2297" t="s">
        <v>338</v>
      </c>
      <c r="AI1506" s="1390"/>
      <c r="AJ1506" s="2282"/>
      <c r="AK1506" s="2282"/>
      <c r="AL1506" s="1037"/>
      <c r="AX1506" s="340">
        <v>61.06</v>
      </c>
      <c r="AY1506" s="340" t="s">
        <v>331</v>
      </c>
      <c r="BN1506" s="340">
        <v>147.02000000000001</v>
      </c>
      <c r="BO1506" s="340" t="s">
        <v>331</v>
      </c>
      <c r="BP1506" s="1385"/>
      <c r="BV1506" s="236">
        <v>114.1</v>
      </c>
      <c r="BW1506" s="236" t="s">
        <v>316</v>
      </c>
      <c r="CB1506" s="340">
        <v>62.03</v>
      </c>
      <c r="CC1506" s="340" t="s">
        <v>331</v>
      </c>
      <c r="CL1506" s="236">
        <v>80.02</v>
      </c>
      <c r="CM1506" s="236" t="s">
        <v>340</v>
      </c>
      <c r="CR1506" s="340">
        <v>147.06</v>
      </c>
      <c r="CS1506" s="340" t="s">
        <v>338</v>
      </c>
      <c r="CT1506" s="1384"/>
      <c r="DF1506" s="340">
        <v>82.08</v>
      </c>
      <c r="DG1506" s="340" t="s">
        <v>331</v>
      </c>
      <c r="DV1506" s="340">
        <v>159.22</v>
      </c>
      <c r="DW1506" s="340" t="s">
        <v>302</v>
      </c>
      <c r="DX1506" s="1671"/>
    </row>
    <row r="1507" spans="12:128">
      <c r="L1507" s="2481">
        <v>83.12</v>
      </c>
      <c r="M1507" s="340" t="s">
        <v>331</v>
      </c>
      <c r="N1507" s="1390"/>
      <c r="O1507" s="2479"/>
      <c r="P1507" s="2282"/>
      <c r="AG1507" s="2297">
        <v>157</v>
      </c>
      <c r="AH1507" s="2297" t="s">
        <v>331</v>
      </c>
      <c r="AI1507" s="1390"/>
      <c r="AJ1507" s="2282"/>
      <c r="AK1507" s="2282"/>
      <c r="AL1507" s="1037"/>
      <c r="AX1507" s="340">
        <v>62.03</v>
      </c>
      <c r="AY1507" s="340" t="s">
        <v>331</v>
      </c>
      <c r="BN1507" s="340">
        <v>147.03</v>
      </c>
      <c r="BO1507" s="340" t="s">
        <v>302</v>
      </c>
      <c r="BP1507" s="1385"/>
      <c r="BV1507" s="236">
        <v>114.11</v>
      </c>
      <c r="BW1507" s="236" t="s">
        <v>316</v>
      </c>
      <c r="CB1507" s="340">
        <v>62.05</v>
      </c>
      <c r="CC1507" s="340" t="s">
        <v>331</v>
      </c>
      <c r="CL1507" s="236">
        <v>81.010000000000005</v>
      </c>
      <c r="CM1507" s="236" t="s">
        <v>331</v>
      </c>
      <c r="CR1507" s="340">
        <v>148.03</v>
      </c>
      <c r="CS1507" s="340" t="s">
        <v>344</v>
      </c>
      <c r="CT1507" s="1384"/>
      <c r="DF1507" s="340">
        <v>82.09</v>
      </c>
      <c r="DG1507" s="340" t="s">
        <v>331</v>
      </c>
      <c r="DV1507" s="340">
        <v>159.25</v>
      </c>
      <c r="DW1507" s="340" t="s">
        <v>302</v>
      </c>
      <c r="DX1507" s="1671"/>
    </row>
    <row r="1508" spans="12:128">
      <c r="L1508" s="2481">
        <v>83.14</v>
      </c>
      <c r="M1508" s="340" t="s">
        <v>331</v>
      </c>
      <c r="N1508" s="1390"/>
      <c r="O1508" s="2479"/>
      <c r="P1508" s="2282"/>
      <c r="AG1508" s="2297">
        <v>157.01</v>
      </c>
      <c r="AH1508" s="2297" t="s">
        <v>338</v>
      </c>
      <c r="AI1508" s="1390"/>
      <c r="AJ1508" s="2282"/>
      <c r="AK1508" s="2282"/>
      <c r="AL1508" s="1037"/>
      <c r="AX1508" s="340">
        <v>62.05</v>
      </c>
      <c r="AY1508" s="340" t="s">
        <v>331</v>
      </c>
      <c r="BN1508" s="340">
        <v>147.03</v>
      </c>
      <c r="BO1508" s="340" t="s">
        <v>344</v>
      </c>
      <c r="BP1508" s="1385"/>
      <c r="BV1508" s="236">
        <v>114.12</v>
      </c>
      <c r="BW1508" s="236" t="s">
        <v>316</v>
      </c>
      <c r="CB1508" s="340">
        <v>62.06</v>
      </c>
      <c r="CC1508" s="340" t="s">
        <v>331</v>
      </c>
      <c r="CL1508" s="236">
        <v>81.010000000000005</v>
      </c>
      <c r="CM1508" s="236" t="s">
        <v>340</v>
      </c>
      <c r="CR1508" s="340">
        <v>148.04</v>
      </c>
      <c r="CS1508" s="340" t="s">
        <v>344</v>
      </c>
      <c r="CT1508" s="1384"/>
      <c r="DF1508" s="340">
        <v>83.05</v>
      </c>
      <c r="DG1508" s="340" t="s">
        <v>331</v>
      </c>
      <c r="DV1508" s="340">
        <v>159.26</v>
      </c>
      <c r="DW1508" s="340" t="s">
        <v>302</v>
      </c>
      <c r="DX1508" s="1671"/>
    </row>
    <row r="1509" spans="12:128">
      <c r="L1509" s="2481">
        <v>83.15</v>
      </c>
      <c r="M1509" s="340" t="s">
        <v>331</v>
      </c>
      <c r="N1509" s="1390"/>
      <c r="O1509" s="2479"/>
      <c r="P1509" s="2282"/>
      <c r="AG1509" s="2297">
        <v>157.02000000000001</v>
      </c>
      <c r="AH1509" s="2297" t="s">
        <v>338</v>
      </c>
      <c r="AI1509" s="1390"/>
      <c r="AJ1509" s="2282"/>
      <c r="AK1509" s="2282"/>
      <c r="AL1509" s="1037"/>
      <c r="AX1509" s="340">
        <v>62.06</v>
      </c>
      <c r="AY1509" s="340" t="s">
        <v>331</v>
      </c>
      <c r="BN1509" s="340">
        <v>147.05000000000001</v>
      </c>
      <c r="BO1509" s="340" t="s">
        <v>338</v>
      </c>
      <c r="BP1509" s="1385"/>
      <c r="BV1509" s="236">
        <v>114.13</v>
      </c>
      <c r="BW1509" s="236" t="s">
        <v>316</v>
      </c>
      <c r="CB1509" s="340">
        <v>63.02</v>
      </c>
      <c r="CC1509" s="340" t="s">
        <v>331</v>
      </c>
      <c r="CL1509" s="236">
        <v>81.02</v>
      </c>
      <c r="CM1509" s="236" t="s">
        <v>331</v>
      </c>
      <c r="CR1509" s="340">
        <v>148.06</v>
      </c>
      <c r="CS1509" s="340" t="s">
        <v>338</v>
      </c>
      <c r="CT1509" s="1384"/>
      <c r="DF1509" s="340">
        <v>83.1</v>
      </c>
      <c r="DG1509" s="340" t="s">
        <v>331</v>
      </c>
      <c r="DV1509" s="340">
        <v>159.28</v>
      </c>
      <c r="DW1509" s="340" t="s">
        <v>302</v>
      </c>
      <c r="DX1509" s="1671"/>
    </row>
    <row r="1510" spans="12:128">
      <c r="L1510" s="2481">
        <v>84.15</v>
      </c>
      <c r="M1510" s="340" t="s">
        <v>331</v>
      </c>
      <c r="N1510" s="1390"/>
      <c r="O1510" s="2479"/>
      <c r="P1510" s="2282"/>
      <c r="AG1510" s="2297">
        <v>158</v>
      </c>
      <c r="AH1510" s="2297" t="s">
        <v>331</v>
      </c>
      <c r="AI1510" s="1390"/>
      <c r="AJ1510" s="2282"/>
      <c r="AK1510" s="2282"/>
      <c r="AL1510" s="1037"/>
      <c r="AX1510" s="340">
        <v>63.02</v>
      </c>
      <c r="AY1510" s="340" t="s">
        <v>331</v>
      </c>
      <c r="BN1510" s="340">
        <v>147.06</v>
      </c>
      <c r="BO1510" s="340" t="s">
        <v>338</v>
      </c>
      <c r="BP1510" s="1385"/>
      <c r="BV1510" s="236">
        <v>114.14</v>
      </c>
      <c r="BW1510" s="236" t="s">
        <v>316</v>
      </c>
      <c r="CB1510" s="340">
        <v>63.03</v>
      </c>
      <c r="CC1510" s="340" t="s">
        <v>331</v>
      </c>
      <c r="CL1510" s="236">
        <v>81.02</v>
      </c>
      <c r="CM1510" s="236" t="s">
        <v>340</v>
      </c>
      <c r="CR1510" s="340">
        <v>148.07</v>
      </c>
      <c r="CS1510" s="340" t="s">
        <v>338</v>
      </c>
      <c r="CT1510" s="1384"/>
      <c r="DF1510" s="340">
        <v>83.12</v>
      </c>
      <c r="DG1510" s="340" t="s">
        <v>331</v>
      </c>
      <c r="DV1510" s="340">
        <v>159.29</v>
      </c>
      <c r="DW1510" s="340" t="s">
        <v>302</v>
      </c>
      <c r="DX1510" s="1671"/>
    </row>
    <row r="1511" spans="12:128">
      <c r="L1511" s="2481">
        <v>84.16</v>
      </c>
      <c r="M1511" s="340" t="s">
        <v>331</v>
      </c>
      <c r="N1511" s="1390"/>
      <c r="O1511" s="2479"/>
      <c r="P1511" s="2282"/>
      <c r="AG1511" s="2297">
        <v>158.01</v>
      </c>
      <c r="AH1511" s="2297" t="s">
        <v>338</v>
      </c>
      <c r="AI1511" s="1390"/>
      <c r="AJ1511" s="2282"/>
      <c r="AK1511" s="2282"/>
      <c r="AL1511" s="1037"/>
      <c r="AX1511" s="340">
        <v>63.03</v>
      </c>
      <c r="AY1511" s="340" t="s">
        <v>331</v>
      </c>
      <c r="BN1511" s="340">
        <v>148.02000000000001</v>
      </c>
      <c r="BO1511" s="340" t="s">
        <v>344</v>
      </c>
      <c r="BP1511" s="1385"/>
      <c r="BV1511" s="236">
        <v>114.15</v>
      </c>
      <c r="BW1511" s="236" t="s">
        <v>316</v>
      </c>
      <c r="CB1511" s="340">
        <v>63.04</v>
      </c>
      <c r="CC1511" s="340" t="s">
        <v>331</v>
      </c>
      <c r="CL1511" s="236">
        <v>82.01</v>
      </c>
      <c r="CM1511" s="236" t="s">
        <v>340</v>
      </c>
      <c r="CR1511" s="340">
        <v>148.09</v>
      </c>
      <c r="CS1511" s="340" t="s">
        <v>338</v>
      </c>
      <c r="CT1511" s="1384"/>
      <c r="DF1511" s="340">
        <v>83.14</v>
      </c>
      <c r="DG1511" s="340" t="s">
        <v>331</v>
      </c>
      <c r="DV1511" s="340">
        <v>160</v>
      </c>
      <c r="DW1511" s="340" t="s">
        <v>331</v>
      </c>
      <c r="DX1511" s="1671"/>
    </row>
    <row r="1512" spans="12:128">
      <c r="L1512" s="2481">
        <v>84.18</v>
      </c>
      <c r="M1512" s="340" t="s">
        <v>331</v>
      </c>
      <c r="N1512" s="1390"/>
      <c r="O1512" s="2479"/>
      <c r="P1512" s="2282"/>
      <c r="AG1512" s="2297">
        <v>158.02000000000001</v>
      </c>
      <c r="AH1512" s="2297" t="s">
        <v>338</v>
      </c>
      <c r="AI1512" s="1390"/>
      <c r="AJ1512" s="2282"/>
      <c r="AK1512" s="2282"/>
      <c r="AL1512" s="1037"/>
      <c r="AX1512" s="340">
        <v>63.04</v>
      </c>
      <c r="AY1512" s="340" t="s">
        <v>331</v>
      </c>
      <c r="BN1512" s="340">
        <v>148.03</v>
      </c>
      <c r="BO1512" s="340" t="s">
        <v>344</v>
      </c>
      <c r="BP1512" s="1385"/>
      <c r="BV1512" s="236">
        <v>114.16</v>
      </c>
      <c r="BW1512" s="236" t="s">
        <v>316</v>
      </c>
      <c r="CB1512" s="340">
        <v>65.010000000000005</v>
      </c>
      <c r="CC1512" s="340" t="s">
        <v>331</v>
      </c>
      <c r="CL1512" s="236">
        <v>82.02</v>
      </c>
      <c r="CM1512" s="236" t="s">
        <v>331</v>
      </c>
      <c r="CR1512" s="340">
        <v>148.1</v>
      </c>
      <c r="CS1512" s="340" t="s">
        <v>338</v>
      </c>
      <c r="CT1512" s="1384"/>
      <c r="DF1512" s="340">
        <v>83.15</v>
      </c>
      <c r="DG1512" s="340" t="s">
        <v>331</v>
      </c>
      <c r="DV1512" s="340">
        <v>160.01</v>
      </c>
      <c r="DW1512" s="340" t="s">
        <v>338</v>
      </c>
      <c r="DX1512" s="1671"/>
    </row>
    <row r="1513" spans="12:128">
      <c r="L1513" s="2481">
        <v>84.19</v>
      </c>
      <c r="M1513" s="340" t="s">
        <v>331</v>
      </c>
      <c r="N1513" s="1390"/>
      <c r="O1513" s="2479"/>
      <c r="P1513" s="2282"/>
      <c r="AG1513" s="2297">
        <v>158.06</v>
      </c>
      <c r="AH1513" s="2297" t="s">
        <v>302</v>
      </c>
      <c r="AI1513" s="1390"/>
      <c r="AJ1513" s="2282"/>
      <c r="AK1513" s="2282"/>
      <c r="AL1513" s="1037"/>
      <c r="AX1513" s="340">
        <v>64.02</v>
      </c>
      <c r="AY1513" s="340" t="s">
        <v>331</v>
      </c>
      <c r="BN1513" s="340">
        <v>148.04</v>
      </c>
      <c r="BO1513" s="340" t="s">
        <v>338</v>
      </c>
      <c r="BP1513" s="1385"/>
      <c r="BV1513" s="236">
        <v>114.17</v>
      </c>
      <c r="BW1513" s="236" t="s">
        <v>316</v>
      </c>
      <c r="CB1513" s="340">
        <v>65.03</v>
      </c>
      <c r="CC1513" s="340" t="s">
        <v>331</v>
      </c>
      <c r="CL1513" s="236">
        <v>82.02</v>
      </c>
      <c r="CM1513" s="236" t="s">
        <v>340</v>
      </c>
      <c r="CR1513" s="340">
        <v>148.11000000000001</v>
      </c>
      <c r="CS1513" s="340" t="s">
        <v>338</v>
      </c>
      <c r="CT1513" s="1384"/>
      <c r="DF1513" s="340">
        <v>84.09</v>
      </c>
      <c r="DG1513" s="340" t="s">
        <v>331</v>
      </c>
      <c r="DV1513" s="340">
        <v>160.02000000000001</v>
      </c>
      <c r="DW1513" s="340" t="s">
        <v>338</v>
      </c>
      <c r="DX1513" s="1671"/>
    </row>
    <row r="1514" spans="12:128">
      <c r="L1514" s="2481">
        <v>84.2</v>
      </c>
      <c r="M1514" s="340" t="s">
        <v>331</v>
      </c>
      <c r="N1514" s="1390"/>
      <c r="O1514" s="2479"/>
      <c r="P1514" s="2282"/>
      <c r="AG1514" s="2297">
        <v>159</v>
      </c>
      <c r="AH1514" s="2297" t="s">
        <v>331</v>
      </c>
      <c r="AI1514" s="1390"/>
      <c r="AJ1514" s="2282"/>
      <c r="AK1514" s="2282"/>
      <c r="AL1514" s="1037"/>
      <c r="AX1514" s="340">
        <v>65.010000000000005</v>
      </c>
      <c r="AY1514" s="340" t="s">
        <v>331</v>
      </c>
      <c r="BN1514" s="340">
        <v>148.04</v>
      </c>
      <c r="BO1514" s="340" t="s">
        <v>344</v>
      </c>
      <c r="BP1514" s="1385"/>
      <c r="BV1514" s="236">
        <v>114.18</v>
      </c>
      <c r="BW1514" s="236" t="s">
        <v>316</v>
      </c>
      <c r="CB1514" s="340">
        <v>65.040000000000006</v>
      </c>
      <c r="CC1514" s="340" t="s">
        <v>331</v>
      </c>
      <c r="CL1514" s="236">
        <v>82.03</v>
      </c>
      <c r="CM1514" s="236" t="s">
        <v>340</v>
      </c>
      <c r="CR1514" s="340">
        <v>148.12</v>
      </c>
      <c r="CS1514" s="340" t="s">
        <v>338</v>
      </c>
      <c r="CT1514" s="1384"/>
      <c r="DF1514" s="340">
        <v>84.15</v>
      </c>
      <c r="DG1514" s="340" t="s">
        <v>331</v>
      </c>
      <c r="DV1514" s="340">
        <v>161</v>
      </c>
      <c r="DW1514" s="340" t="s">
        <v>331</v>
      </c>
      <c r="DX1514" s="1671"/>
    </row>
    <row r="1515" spans="12:128">
      <c r="L1515" s="2481">
        <v>84.21</v>
      </c>
      <c r="M1515" s="340" t="s">
        <v>331</v>
      </c>
      <c r="N1515" s="1390"/>
      <c r="O1515" s="2479"/>
      <c r="P1515" s="2282"/>
      <c r="AG1515" s="2297">
        <v>159</v>
      </c>
      <c r="AH1515" s="2297" t="s">
        <v>344</v>
      </c>
      <c r="AI1515" s="1390"/>
      <c r="AJ1515" s="2282"/>
      <c r="AK1515" s="2282"/>
      <c r="AL1515" s="1037"/>
      <c r="AX1515" s="340">
        <v>65.03</v>
      </c>
      <c r="AY1515" s="340" t="s">
        <v>331</v>
      </c>
      <c r="BN1515" s="340">
        <v>148.06</v>
      </c>
      <c r="BO1515" s="340" t="s">
        <v>338</v>
      </c>
      <c r="BP1515" s="1385"/>
      <c r="BV1515" s="236">
        <v>115.04</v>
      </c>
      <c r="BW1515" s="236" t="s">
        <v>316</v>
      </c>
      <c r="CB1515" s="340">
        <v>66.03</v>
      </c>
      <c r="CC1515" s="340" t="s">
        <v>331</v>
      </c>
      <c r="CL1515" s="236">
        <v>82.05</v>
      </c>
      <c r="CM1515" s="236" t="s">
        <v>331</v>
      </c>
      <c r="CR1515" s="340">
        <v>148.13</v>
      </c>
      <c r="CS1515" s="340" t="s">
        <v>338</v>
      </c>
      <c r="CT1515" s="1384"/>
      <c r="DF1515" s="340">
        <v>84.16</v>
      </c>
      <c r="DG1515" s="340" t="s">
        <v>331</v>
      </c>
      <c r="DV1515" s="340">
        <v>161</v>
      </c>
      <c r="DW1515" s="340" t="s">
        <v>338</v>
      </c>
      <c r="DX1515" s="1671"/>
    </row>
    <row r="1516" spans="12:128">
      <c r="L1516" s="2481">
        <v>84.23</v>
      </c>
      <c r="M1516" s="340" t="s">
        <v>331</v>
      </c>
      <c r="N1516" s="1390"/>
      <c r="O1516" s="2479"/>
      <c r="P1516" s="2282"/>
      <c r="AG1516" s="2297">
        <v>159.01</v>
      </c>
      <c r="AH1516" s="2297" t="s">
        <v>338</v>
      </c>
      <c r="AI1516" s="1390"/>
      <c r="AJ1516" s="2282"/>
      <c r="AK1516" s="2282"/>
      <c r="AL1516" s="1037"/>
      <c r="AX1516" s="340">
        <v>65.040000000000006</v>
      </c>
      <c r="AY1516" s="340" t="s">
        <v>331</v>
      </c>
      <c r="BN1516" s="340">
        <v>148.07</v>
      </c>
      <c r="BO1516" s="340" t="s">
        <v>338</v>
      </c>
      <c r="BP1516" s="1385"/>
      <c r="BV1516" s="236">
        <v>115.06</v>
      </c>
      <c r="BW1516" s="236" t="s">
        <v>316</v>
      </c>
      <c r="CB1516" s="340">
        <v>66.040000000000006</v>
      </c>
      <c r="CC1516" s="340" t="s">
        <v>331</v>
      </c>
      <c r="CL1516" s="236">
        <v>82.06</v>
      </c>
      <c r="CM1516" s="236" t="s">
        <v>331</v>
      </c>
      <c r="CR1516" s="340">
        <v>148.13999999999999</v>
      </c>
      <c r="CS1516" s="340" t="s">
        <v>338</v>
      </c>
      <c r="CT1516" s="1384"/>
      <c r="DF1516" s="340">
        <v>84.18</v>
      </c>
      <c r="DG1516" s="340" t="s">
        <v>331</v>
      </c>
      <c r="DV1516" s="340">
        <v>162</v>
      </c>
      <c r="DW1516" s="340" t="s">
        <v>331</v>
      </c>
      <c r="DX1516" s="1671"/>
    </row>
    <row r="1517" spans="12:128">
      <c r="L1517" s="2481">
        <v>84.25</v>
      </c>
      <c r="M1517" s="340" t="s">
        <v>331</v>
      </c>
      <c r="N1517" s="1390"/>
      <c r="O1517" s="2479"/>
      <c r="P1517" s="2282"/>
      <c r="AG1517" s="2297">
        <v>159.22</v>
      </c>
      <c r="AH1517" s="2297" t="s">
        <v>302</v>
      </c>
      <c r="AI1517" s="1390"/>
      <c r="AJ1517" s="2282"/>
      <c r="AK1517" s="2282"/>
      <c r="AL1517" s="1037"/>
      <c r="AX1517" s="340">
        <v>66.05</v>
      </c>
      <c r="AY1517" s="340" t="s">
        <v>331</v>
      </c>
      <c r="BN1517" s="340">
        <v>148.09</v>
      </c>
      <c r="BO1517" s="340" t="s">
        <v>338</v>
      </c>
      <c r="BP1517" s="1385"/>
      <c r="BV1517" s="236">
        <v>115.09</v>
      </c>
      <c r="BW1517" s="236" t="s">
        <v>316</v>
      </c>
      <c r="CB1517" s="340">
        <v>66.05</v>
      </c>
      <c r="CC1517" s="340" t="s">
        <v>331</v>
      </c>
      <c r="CL1517" s="236">
        <v>82.07</v>
      </c>
      <c r="CM1517" s="236" t="s">
        <v>331</v>
      </c>
      <c r="CR1517" s="340">
        <v>148.15</v>
      </c>
      <c r="CS1517" s="340" t="s">
        <v>338</v>
      </c>
      <c r="CT1517" s="1384"/>
      <c r="DF1517" s="340">
        <v>84.19</v>
      </c>
      <c r="DG1517" s="340" t="s">
        <v>331</v>
      </c>
      <c r="DV1517" s="340">
        <v>162</v>
      </c>
      <c r="DW1517" s="340" t="s">
        <v>338</v>
      </c>
      <c r="DX1517" s="1671"/>
    </row>
    <row r="1518" spans="12:128">
      <c r="L1518" s="2481">
        <v>84.26</v>
      </c>
      <c r="M1518" s="340" t="s">
        <v>331</v>
      </c>
      <c r="N1518" s="1390"/>
      <c r="O1518" s="2479"/>
      <c r="P1518" s="2282"/>
      <c r="AG1518" s="2297">
        <v>159.24</v>
      </c>
      <c r="AH1518" s="2297" t="s">
        <v>302</v>
      </c>
      <c r="AI1518" s="1390"/>
      <c r="AJ1518" s="2282"/>
      <c r="AK1518" s="2282"/>
      <c r="AL1518" s="1037"/>
      <c r="AX1518" s="340">
        <v>66.069999999999993</v>
      </c>
      <c r="AY1518" s="340" t="s">
        <v>331</v>
      </c>
      <c r="BN1518" s="340">
        <v>148.1</v>
      </c>
      <c r="BO1518" s="340" t="s">
        <v>338</v>
      </c>
      <c r="BP1518" s="1385"/>
      <c r="BV1518" s="236">
        <v>115.1</v>
      </c>
      <c r="BW1518" s="236" t="s">
        <v>316</v>
      </c>
      <c r="CB1518" s="340">
        <v>66.069999999999993</v>
      </c>
      <c r="CC1518" s="340" t="s">
        <v>331</v>
      </c>
      <c r="CL1518" s="236">
        <v>82.08</v>
      </c>
      <c r="CM1518" s="236" t="s">
        <v>331</v>
      </c>
      <c r="CR1518" s="340">
        <v>149</v>
      </c>
      <c r="CS1518" s="340" t="s">
        <v>331</v>
      </c>
      <c r="CT1518" s="1384"/>
      <c r="DF1518" s="340">
        <v>84.2</v>
      </c>
      <c r="DG1518" s="340" t="s">
        <v>331</v>
      </c>
      <c r="DV1518" s="340">
        <v>163</v>
      </c>
      <c r="DW1518" s="340" t="s">
        <v>331</v>
      </c>
      <c r="DX1518" s="1671"/>
    </row>
    <row r="1519" spans="12:128">
      <c r="L1519" s="2481">
        <v>84.27</v>
      </c>
      <c r="M1519" s="340" t="s">
        <v>331</v>
      </c>
      <c r="N1519" s="1390"/>
      <c r="O1519" s="2479"/>
      <c r="P1519" s="2282"/>
      <c r="AG1519" s="2297">
        <v>159.26</v>
      </c>
      <c r="AH1519" s="2297" t="s">
        <v>302</v>
      </c>
      <c r="AI1519" s="1390"/>
      <c r="AJ1519" s="2282"/>
      <c r="AK1519" s="2282"/>
      <c r="AL1519" s="1037"/>
      <c r="AX1519" s="340">
        <v>66.08</v>
      </c>
      <c r="AY1519" s="340" t="s">
        <v>331</v>
      </c>
      <c r="BN1519" s="340">
        <v>148.11000000000001</v>
      </c>
      <c r="BO1519" s="340" t="s">
        <v>338</v>
      </c>
      <c r="BP1519" s="1385"/>
      <c r="BV1519" s="236">
        <v>115.12</v>
      </c>
      <c r="BW1519" s="236" t="s">
        <v>316</v>
      </c>
      <c r="CB1519" s="340">
        <v>66.08</v>
      </c>
      <c r="CC1519" s="340" t="s">
        <v>331</v>
      </c>
      <c r="CL1519" s="236">
        <v>82.09</v>
      </c>
      <c r="CM1519" s="236" t="s">
        <v>331</v>
      </c>
      <c r="CR1519" s="340">
        <v>149.01</v>
      </c>
      <c r="CS1519" s="340" t="s">
        <v>302</v>
      </c>
      <c r="CT1519" s="1384"/>
      <c r="DF1519" s="340">
        <v>84.21</v>
      </c>
      <c r="DG1519" s="340" t="s">
        <v>331</v>
      </c>
      <c r="DV1519" s="340">
        <v>164</v>
      </c>
      <c r="DW1519" s="340" t="s">
        <v>302</v>
      </c>
      <c r="DX1519" s="1671"/>
    </row>
    <row r="1520" spans="12:128">
      <c r="L1520" s="2481">
        <v>84.28</v>
      </c>
      <c r="M1520" s="340" t="s">
        <v>331</v>
      </c>
      <c r="N1520" s="1390"/>
      <c r="O1520" s="2479"/>
      <c r="P1520" s="2282"/>
      <c r="AG1520" s="2297">
        <v>159.29</v>
      </c>
      <c r="AH1520" s="2297" t="s">
        <v>302</v>
      </c>
      <c r="AI1520" s="1390"/>
      <c r="AJ1520" s="2282"/>
      <c r="AK1520" s="2282"/>
      <c r="AL1520" s="1037"/>
      <c r="AX1520" s="340">
        <v>67.05</v>
      </c>
      <c r="AY1520" s="340" t="s">
        <v>331</v>
      </c>
      <c r="BN1520" s="340">
        <v>148.12</v>
      </c>
      <c r="BO1520" s="340" t="s">
        <v>338</v>
      </c>
      <c r="BP1520" s="1385"/>
      <c r="BV1520" s="236">
        <v>115.14</v>
      </c>
      <c r="BW1520" s="236" t="s">
        <v>316</v>
      </c>
      <c r="CB1520" s="340">
        <v>67.05</v>
      </c>
      <c r="CC1520" s="340" t="s">
        <v>331</v>
      </c>
      <c r="CL1520" s="236">
        <v>83.01</v>
      </c>
      <c r="CM1520" s="236" t="s">
        <v>340</v>
      </c>
      <c r="CR1520" s="340">
        <v>149.04</v>
      </c>
      <c r="CS1520" s="340" t="s">
        <v>344</v>
      </c>
      <c r="CT1520" s="1384"/>
      <c r="DF1520" s="340">
        <v>84.22</v>
      </c>
      <c r="DG1520" s="340" t="s">
        <v>331</v>
      </c>
      <c r="DV1520" s="340">
        <v>164.01</v>
      </c>
      <c r="DW1520" s="340" t="s">
        <v>331</v>
      </c>
      <c r="DX1520" s="1671"/>
    </row>
    <row r="1521" spans="12:128">
      <c r="L1521" s="2481">
        <v>84.29</v>
      </c>
      <c r="M1521" s="340" t="s">
        <v>331</v>
      </c>
      <c r="N1521" s="1390"/>
      <c r="O1521" s="2479"/>
      <c r="P1521" s="2282"/>
      <c r="AG1521" s="2297">
        <v>160</v>
      </c>
      <c r="AH1521" s="2297" t="s">
        <v>331</v>
      </c>
      <c r="AI1521" s="1390"/>
      <c r="AJ1521" s="2282"/>
      <c r="AK1521" s="2282"/>
      <c r="AL1521" s="1037"/>
      <c r="AX1521" s="340">
        <v>67.06</v>
      </c>
      <c r="AY1521" s="340" t="s">
        <v>331</v>
      </c>
      <c r="BN1521" s="340">
        <v>148.13</v>
      </c>
      <c r="BO1521" s="340" t="s">
        <v>338</v>
      </c>
      <c r="BP1521" s="1385"/>
      <c r="BV1521" s="236">
        <v>115.15</v>
      </c>
      <c r="BW1521" s="236" t="s">
        <v>316</v>
      </c>
      <c r="CB1521" s="340">
        <v>67.06</v>
      </c>
      <c r="CC1521" s="340" t="s">
        <v>331</v>
      </c>
      <c r="CL1521" s="236">
        <v>83.02</v>
      </c>
      <c r="CM1521" s="236" t="s">
        <v>340</v>
      </c>
      <c r="CR1521" s="340">
        <v>149.06</v>
      </c>
      <c r="CS1521" s="340" t="s">
        <v>338</v>
      </c>
      <c r="CT1521" s="1384"/>
      <c r="DF1521" s="340">
        <v>84.23</v>
      </c>
      <c r="DG1521" s="340" t="s">
        <v>331</v>
      </c>
      <c r="DV1521" s="340">
        <v>164.02</v>
      </c>
      <c r="DW1521" s="340" t="s">
        <v>331</v>
      </c>
      <c r="DX1521" s="1671"/>
    </row>
    <row r="1522" spans="12:128">
      <c r="L1522" s="2481">
        <v>84.31</v>
      </c>
      <c r="M1522" s="340" t="s">
        <v>331</v>
      </c>
      <c r="N1522" s="1390"/>
      <c r="O1522" s="2479"/>
      <c r="P1522" s="2282"/>
      <c r="AG1522" s="2297">
        <v>160.02000000000001</v>
      </c>
      <c r="AH1522" s="2297" t="s">
        <v>338</v>
      </c>
      <c r="AI1522" s="1390"/>
      <c r="AJ1522" s="2282"/>
      <c r="AK1522" s="2282"/>
      <c r="AL1522" s="1037"/>
      <c r="AX1522" s="340">
        <v>67.069999999999993</v>
      </c>
      <c r="AY1522" s="340" t="s">
        <v>331</v>
      </c>
      <c r="BN1522" s="340">
        <v>148.13999999999999</v>
      </c>
      <c r="BO1522" s="340" t="s">
        <v>338</v>
      </c>
      <c r="BP1522" s="1385"/>
      <c r="BV1522" s="236">
        <v>115.16</v>
      </c>
      <c r="BW1522" s="236" t="s">
        <v>316</v>
      </c>
      <c r="CB1522" s="340">
        <v>67.069999999999993</v>
      </c>
      <c r="CC1522" s="340" t="s">
        <v>331</v>
      </c>
      <c r="CL1522" s="236">
        <v>83.05</v>
      </c>
      <c r="CM1522" s="236" t="s">
        <v>331</v>
      </c>
      <c r="CR1522" s="340">
        <v>149.06</v>
      </c>
      <c r="CS1522" s="340" t="s">
        <v>344</v>
      </c>
      <c r="CT1522" s="1384"/>
      <c r="DF1522" s="340">
        <v>84.24</v>
      </c>
      <c r="DG1522" s="340" t="s">
        <v>331</v>
      </c>
      <c r="DV1522" s="340">
        <v>164.08</v>
      </c>
      <c r="DW1522" s="340" t="s">
        <v>338</v>
      </c>
      <c r="DX1522" s="1671"/>
    </row>
    <row r="1523" spans="12:128">
      <c r="L1523" s="2481">
        <v>85.02</v>
      </c>
      <c r="M1523" s="340" t="s">
        <v>331</v>
      </c>
      <c r="N1523" s="1390"/>
      <c r="O1523" s="2479"/>
      <c r="P1523" s="2282"/>
      <c r="AG1523" s="2297">
        <v>161</v>
      </c>
      <c r="AH1523" s="2297" t="s">
        <v>331</v>
      </c>
      <c r="AI1523" s="1390"/>
      <c r="AJ1523" s="2282"/>
      <c r="AK1523" s="2282"/>
      <c r="AL1523" s="1037"/>
      <c r="AX1523" s="340">
        <v>67.09</v>
      </c>
      <c r="AY1523" s="340" t="s">
        <v>331</v>
      </c>
      <c r="BN1523" s="340">
        <v>148.15</v>
      </c>
      <c r="BO1523" s="340" t="s">
        <v>338</v>
      </c>
      <c r="BP1523" s="1385"/>
      <c r="BV1523" s="236">
        <v>115.18</v>
      </c>
      <c r="BW1523" s="236" t="s">
        <v>316</v>
      </c>
      <c r="CB1523" s="340">
        <v>67.09</v>
      </c>
      <c r="CC1523" s="340" t="s">
        <v>331</v>
      </c>
      <c r="CL1523" s="236">
        <v>83.08</v>
      </c>
      <c r="CM1523" s="236" t="s">
        <v>331</v>
      </c>
      <c r="CR1523" s="340">
        <v>150.01</v>
      </c>
      <c r="CS1523" s="340" t="s">
        <v>331</v>
      </c>
      <c r="CT1523" s="1384"/>
      <c r="DF1523" s="340">
        <v>84.25</v>
      </c>
      <c r="DG1523" s="340" t="s">
        <v>331</v>
      </c>
      <c r="DV1523" s="340">
        <v>164.09</v>
      </c>
      <c r="DW1523" s="340" t="s">
        <v>338</v>
      </c>
      <c r="DX1523" s="1671"/>
    </row>
    <row r="1524" spans="12:128">
      <c r="L1524" s="2481">
        <v>85.04</v>
      </c>
      <c r="M1524" s="340" t="s">
        <v>331</v>
      </c>
      <c r="N1524" s="1390"/>
      <c r="O1524" s="2479"/>
      <c r="P1524" s="2282"/>
      <c r="AG1524" s="2297">
        <v>161</v>
      </c>
      <c r="AH1524" s="2297" t="s">
        <v>338</v>
      </c>
      <c r="AI1524" s="1390"/>
      <c r="AJ1524" s="2282"/>
      <c r="AK1524" s="2282"/>
      <c r="AL1524" s="1037"/>
      <c r="AX1524" s="340">
        <v>67.13</v>
      </c>
      <c r="AY1524" s="340" t="s">
        <v>331</v>
      </c>
      <c r="BN1524" s="340">
        <v>149</v>
      </c>
      <c r="BO1524" s="340" t="s">
        <v>331</v>
      </c>
      <c r="BP1524" s="1385"/>
      <c r="BV1524" s="236">
        <v>115.19</v>
      </c>
      <c r="BW1524" s="236" t="s">
        <v>316</v>
      </c>
      <c r="CB1524" s="340">
        <v>67.13</v>
      </c>
      <c r="CC1524" s="340" t="s">
        <v>331</v>
      </c>
      <c r="CL1524" s="236">
        <v>83.09</v>
      </c>
      <c r="CM1524" s="236" t="s">
        <v>331</v>
      </c>
      <c r="CR1524" s="340">
        <v>150.02000000000001</v>
      </c>
      <c r="CS1524" s="340" t="s">
        <v>302</v>
      </c>
      <c r="CT1524" s="1384"/>
      <c r="DF1524" s="340">
        <v>84.26</v>
      </c>
      <c r="DG1524" s="340" t="s">
        <v>331</v>
      </c>
      <c r="DV1524" s="340">
        <v>164.12</v>
      </c>
      <c r="DW1524" s="340" t="s">
        <v>338</v>
      </c>
      <c r="DX1524" s="1671"/>
    </row>
    <row r="1525" spans="12:128">
      <c r="L1525" s="2481">
        <v>86.01</v>
      </c>
      <c r="M1525" s="340" t="s">
        <v>331</v>
      </c>
      <c r="N1525" s="1390"/>
      <c r="O1525" s="2479"/>
      <c r="P1525" s="2282"/>
      <c r="AG1525" s="2297">
        <v>161.01</v>
      </c>
      <c r="AH1525" s="2297" t="s">
        <v>302</v>
      </c>
      <c r="AI1525" s="1390"/>
      <c r="AJ1525" s="2282"/>
      <c r="AK1525" s="2282"/>
      <c r="AL1525" s="1037"/>
      <c r="AX1525" s="340">
        <v>67.14</v>
      </c>
      <c r="AY1525" s="340" t="s">
        <v>331</v>
      </c>
      <c r="BN1525" s="340">
        <v>149.04</v>
      </c>
      <c r="BO1525" s="340" t="s">
        <v>344</v>
      </c>
      <c r="BP1525" s="1385"/>
      <c r="BV1525" s="236">
        <v>115.2</v>
      </c>
      <c r="BW1525" s="236" t="s">
        <v>316</v>
      </c>
      <c r="CB1525" s="340">
        <v>67.14</v>
      </c>
      <c r="CC1525" s="340" t="s">
        <v>331</v>
      </c>
      <c r="CL1525" s="236">
        <v>83.1</v>
      </c>
      <c r="CM1525" s="236" t="s">
        <v>331</v>
      </c>
      <c r="CR1525" s="340">
        <v>150.03</v>
      </c>
      <c r="CS1525" s="340" t="s">
        <v>338</v>
      </c>
      <c r="CT1525" s="1384"/>
      <c r="DF1525" s="340">
        <v>84.27</v>
      </c>
      <c r="DG1525" s="340" t="s">
        <v>331</v>
      </c>
      <c r="DV1525" s="340">
        <v>165</v>
      </c>
      <c r="DW1525" s="340" t="s">
        <v>302</v>
      </c>
      <c r="DX1525" s="1671"/>
    </row>
    <row r="1526" spans="12:128">
      <c r="L1526" s="2481">
        <v>86.03</v>
      </c>
      <c r="M1526" s="340" t="s">
        <v>331</v>
      </c>
      <c r="N1526" s="1390"/>
      <c r="O1526" s="2479"/>
      <c r="P1526" s="2282"/>
      <c r="AG1526" s="2297">
        <v>162</v>
      </c>
      <c r="AH1526" s="2297" t="s">
        <v>331</v>
      </c>
      <c r="AI1526" s="1390"/>
      <c r="AJ1526" s="2282"/>
      <c r="AK1526" s="2282"/>
      <c r="AL1526" s="1037"/>
      <c r="AX1526" s="340">
        <v>67.150000000000006</v>
      </c>
      <c r="AY1526" s="340" t="s">
        <v>331</v>
      </c>
      <c r="BN1526" s="340">
        <v>149.06</v>
      </c>
      <c r="BO1526" s="340" t="s">
        <v>344</v>
      </c>
      <c r="BP1526" s="1385"/>
      <c r="BV1526" s="236">
        <v>115.21</v>
      </c>
      <c r="BW1526" s="236" t="s">
        <v>316</v>
      </c>
      <c r="CB1526" s="340">
        <v>67.150000000000006</v>
      </c>
      <c r="CC1526" s="340" t="s">
        <v>331</v>
      </c>
      <c r="CL1526" s="236">
        <v>83.11</v>
      </c>
      <c r="CM1526" s="236" t="s">
        <v>331</v>
      </c>
      <c r="CR1526" s="340">
        <v>150.05000000000001</v>
      </c>
      <c r="CS1526" s="340" t="s">
        <v>338</v>
      </c>
      <c r="CT1526" s="1384"/>
      <c r="DF1526" s="340">
        <v>84.28</v>
      </c>
      <c r="DG1526" s="340" t="s">
        <v>331</v>
      </c>
      <c r="DV1526" s="340">
        <v>165.01</v>
      </c>
      <c r="DW1526" s="340" t="s">
        <v>331</v>
      </c>
      <c r="DX1526" s="1671"/>
    </row>
    <row r="1527" spans="12:128">
      <c r="L1527" s="2481">
        <v>86.04</v>
      </c>
      <c r="M1527" s="340" t="s">
        <v>331</v>
      </c>
      <c r="N1527" s="1390"/>
      <c r="O1527" s="2479"/>
      <c r="P1527" s="2282"/>
      <c r="AG1527" s="2297">
        <v>162</v>
      </c>
      <c r="AH1527" s="2297" t="s">
        <v>338</v>
      </c>
      <c r="AI1527" s="1390"/>
      <c r="AJ1527" s="2282"/>
      <c r="AK1527" s="2282"/>
      <c r="AL1527" s="1037"/>
      <c r="AX1527" s="340">
        <v>67.17</v>
      </c>
      <c r="AY1527" s="340" t="s">
        <v>331</v>
      </c>
      <c r="BN1527" s="340">
        <v>150.01</v>
      </c>
      <c r="BO1527" s="340" t="s">
        <v>331</v>
      </c>
      <c r="BP1527" s="1385"/>
      <c r="BV1527" s="236">
        <v>115.22</v>
      </c>
      <c r="BW1527" s="236" t="s">
        <v>316</v>
      </c>
      <c r="CB1527" s="340">
        <v>67.17</v>
      </c>
      <c r="CC1527" s="340" t="s">
        <v>331</v>
      </c>
      <c r="CL1527" s="236">
        <v>83.12</v>
      </c>
      <c r="CM1527" s="236" t="s">
        <v>331</v>
      </c>
      <c r="CR1527" s="340">
        <v>150.06</v>
      </c>
      <c r="CS1527" s="340" t="s">
        <v>338</v>
      </c>
      <c r="CT1527" s="1384"/>
      <c r="DF1527" s="340">
        <v>84.29</v>
      </c>
      <c r="DG1527" s="340" t="s">
        <v>331</v>
      </c>
      <c r="DV1527" s="340">
        <v>165.02</v>
      </c>
      <c r="DW1527" s="340" t="s">
        <v>331</v>
      </c>
      <c r="DX1527" s="1671"/>
    </row>
    <row r="1528" spans="12:128">
      <c r="L1528" s="2481">
        <v>87.02</v>
      </c>
      <c r="M1528" s="340" t="s">
        <v>331</v>
      </c>
      <c r="N1528" s="1390"/>
      <c r="O1528" s="2479"/>
      <c r="P1528" s="2282"/>
      <c r="AG1528" s="2297">
        <v>163</v>
      </c>
      <c r="AH1528" s="2297" t="s">
        <v>331</v>
      </c>
      <c r="AI1528" s="1390"/>
      <c r="AJ1528" s="2282"/>
      <c r="AK1528" s="2282"/>
      <c r="AL1528" s="1037"/>
      <c r="AX1528" s="340">
        <v>67.2</v>
      </c>
      <c r="AY1528" s="340" t="s">
        <v>331</v>
      </c>
      <c r="BN1528" s="340">
        <v>150.02000000000001</v>
      </c>
      <c r="BO1528" s="340" t="s">
        <v>302</v>
      </c>
      <c r="BP1528" s="1385"/>
      <c r="BV1528" s="236">
        <v>115.23</v>
      </c>
      <c r="BW1528" s="236" t="s">
        <v>316</v>
      </c>
      <c r="CB1528" s="340">
        <v>67.180000000000007</v>
      </c>
      <c r="CC1528" s="340" t="s">
        <v>331</v>
      </c>
      <c r="CL1528" s="236">
        <v>83.13</v>
      </c>
      <c r="CM1528" s="236" t="s">
        <v>331</v>
      </c>
      <c r="CR1528" s="340">
        <v>151.01</v>
      </c>
      <c r="CS1528" s="340" t="s">
        <v>331</v>
      </c>
      <c r="CT1528" s="1384"/>
      <c r="DF1528" s="340">
        <v>84.3</v>
      </c>
      <c r="DG1528" s="340" t="s">
        <v>331</v>
      </c>
      <c r="DV1528" s="340">
        <v>165.03</v>
      </c>
      <c r="DW1528" s="340" t="s">
        <v>338</v>
      </c>
      <c r="DX1528" s="1671"/>
    </row>
    <row r="1529" spans="12:128">
      <c r="L1529" s="2481">
        <v>87.04</v>
      </c>
      <c r="M1529" s="340" t="s">
        <v>331</v>
      </c>
      <c r="N1529" s="1390"/>
      <c r="O1529" s="2479"/>
      <c r="P1529" s="2282"/>
      <c r="AG1529" s="2297">
        <v>164</v>
      </c>
      <c r="AH1529" s="2297" t="s">
        <v>302</v>
      </c>
      <c r="AI1529" s="1390"/>
      <c r="AJ1529" s="2282"/>
      <c r="AK1529" s="2282"/>
      <c r="AL1529" s="1037"/>
      <c r="AX1529" s="340">
        <v>67.209999999999994</v>
      </c>
      <c r="AY1529" s="340" t="s">
        <v>331</v>
      </c>
      <c r="BN1529" s="340">
        <v>150.02000000000001</v>
      </c>
      <c r="BO1529" s="340" t="s">
        <v>338</v>
      </c>
      <c r="BP1529" s="1385"/>
      <c r="BV1529" s="236">
        <v>115.24</v>
      </c>
      <c r="BW1529" s="236" t="s">
        <v>316</v>
      </c>
      <c r="CB1529" s="340">
        <v>67.19</v>
      </c>
      <c r="CC1529" s="340" t="s">
        <v>331</v>
      </c>
      <c r="CL1529" s="236">
        <v>83.14</v>
      </c>
      <c r="CM1529" s="236" t="s">
        <v>331</v>
      </c>
      <c r="CR1529" s="340">
        <v>151.01</v>
      </c>
      <c r="CS1529" s="340" t="s">
        <v>344</v>
      </c>
      <c r="CT1529" s="1384"/>
      <c r="DF1529" s="340">
        <v>85.02</v>
      </c>
      <c r="DG1529" s="340" t="s">
        <v>331</v>
      </c>
      <c r="DV1529" s="340">
        <v>165.11</v>
      </c>
      <c r="DW1529" s="340" t="s">
        <v>338</v>
      </c>
      <c r="DX1529" s="1671"/>
    </row>
    <row r="1530" spans="12:128">
      <c r="L1530" s="2481">
        <v>88.05</v>
      </c>
      <c r="M1530" s="340" t="s">
        <v>331</v>
      </c>
      <c r="N1530" s="1390"/>
      <c r="O1530" s="2479"/>
      <c r="P1530" s="2282"/>
      <c r="AG1530" s="2297">
        <v>164.01</v>
      </c>
      <c r="AH1530" s="2297" t="s">
        <v>331</v>
      </c>
      <c r="AI1530" s="1390"/>
      <c r="AJ1530" s="2282"/>
      <c r="AK1530" s="2282"/>
      <c r="AL1530" s="1037"/>
      <c r="AX1530" s="340">
        <v>67.22</v>
      </c>
      <c r="AY1530" s="340" t="s">
        <v>331</v>
      </c>
      <c r="BN1530" s="340">
        <v>150.05000000000001</v>
      </c>
      <c r="BO1530" s="340" t="s">
        <v>338</v>
      </c>
      <c r="BP1530" s="1385"/>
      <c r="BV1530" s="236">
        <v>115.25</v>
      </c>
      <c r="BW1530" s="236" t="s">
        <v>316</v>
      </c>
      <c r="CB1530" s="340">
        <v>67.2</v>
      </c>
      <c r="CC1530" s="340" t="s">
        <v>331</v>
      </c>
      <c r="CL1530" s="236">
        <v>83.15</v>
      </c>
      <c r="CM1530" s="236" t="s">
        <v>331</v>
      </c>
      <c r="CR1530" s="340">
        <v>151.02000000000001</v>
      </c>
      <c r="CS1530" s="340" t="s">
        <v>331</v>
      </c>
      <c r="CT1530" s="1384"/>
      <c r="DF1530" s="340">
        <v>85.03</v>
      </c>
      <c r="DG1530" s="340" t="s">
        <v>331</v>
      </c>
      <c r="DV1530" s="340">
        <v>165.14</v>
      </c>
      <c r="DW1530" s="340" t="s">
        <v>338</v>
      </c>
      <c r="DX1530" s="1671"/>
    </row>
    <row r="1531" spans="12:128">
      <c r="L1531" s="2481">
        <v>88.06</v>
      </c>
      <c r="M1531" s="340" t="s">
        <v>331</v>
      </c>
      <c r="N1531" s="1390"/>
      <c r="O1531" s="2479"/>
      <c r="P1531" s="2282"/>
      <c r="AG1531" s="2297">
        <v>164.02</v>
      </c>
      <c r="AH1531" s="2297" t="s">
        <v>331</v>
      </c>
      <c r="AI1531" s="1390"/>
      <c r="AJ1531" s="2282"/>
      <c r="AK1531" s="2282"/>
      <c r="AL1531" s="1037"/>
      <c r="AX1531" s="340">
        <v>68.010000000000005</v>
      </c>
      <c r="AY1531" s="340" t="s">
        <v>331</v>
      </c>
      <c r="BN1531" s="340">
        <v>150.06</v>
      </c>
      <c r="BO1531" s="340" t="s">
        <v>338</v>
      </c>
      <c r="BP1531" s="1385"/>
      <c r="BV1531" s="236">
        <v>115.26</v>
      </c>
      <c r="BW1531" s="236" t="s">
        <v>316</v>
      </c>
      <c r="CB1531" s="340">
        <v>67.209999999999994</v>
      </c>
      <c r="CC1531" s="340" t="s">
        <v>331</v>
      </c>
      <c r="CL1531" s="236">
        <v>84.09</v>
      </c>
      <c r="CM1531" s="236" t="s">
        <v>331</v>
      </c>
      <c r="CR1531" s="340">
        <v>151.02000000000001</v>
      </c>
      <c r="CS1531" s="340" t="s">
        <v>344</v>
      </c>
      <c r="CT1531" s="1384"/>
      <c r="DF1531" s="340">
        <v>85.04</v>
      </c>
      <c r="DG1531" s="340" t="s">
        <v>331</v>
      </c>
      <c r="DV1531" s="340">
        <v>166</v>
      </c>
      <c r="DW1531" s="340" t="s">
        <v>331</v>
      </c>
      <c r="DX1531" s="1671"/>
    </row>
    <row r="1532" spans="12:128">
      <c r="L1532" s="2481">
        <v>88.09</v>
      </c>
      <c r="M1532" s="340" t="s">
        <v>331</v>
      </c>
      <c r="N1532" s="1390"/>
      <c r="O1532" s="2479"/>
      <c r="P1532" s="2282"/>
      <c r="AG1532" s="2297">
        <v>164.08</v>
      </c>
      <c r="AH1532" s="2297" t="s">
        <v>338</v>
      </c>
      <c r="AI1532" s="1390"/>
      <c r="AJ1532" s="2282"/>
      <c r="AK1532" s="2282"/>
      <c r="AL1532" s="1037"/>
      <c r="AX1532" s="340">
        <v>68.02</v>
      </c>
      <c r="AY1532" s="340" t="s">
        <v>331</v>
      </c>
      <c r="BN1532" s="340">
        <v>151.01</v>
      </c>
      <c r="BO1532" s="340" t="s">
        <v>331</v>
      </c>
      <c r="BP1532" s="1385"/>
      <c r="BV1532" s="236">
        <v>115.27</v>
      </c>
      <c r="BW1532" s="236" t="s">
        <v>316</v>
      </c>
      <c r="CB1532" s="340">
        <v>67.22</v>
      </c>
      <c r="CC1532" s="340" t="s">
        <v>331</v>
      </c>
      <c r="CL1532" s="236">
        <v>84.15</v>
      </c>
      <c r="CM1532" s="236" t="s">
        <v>331</v>
      </c>
      <c r="CR1532" s="340">
        <v>151.03</v>
      </c>
      <c r="CS1532" s="340" t="s">
        <v>331</v>
      </c>
      <c r="CT1532" s="1384"/>
      <c r="DF1532" s="340">
        <v>86.01</v>
      </c>
      <c r="DG1532" s="340" t="s">
        <v>331</v>
      </c>
      <c r="DV1532" s="340">
        <v>166.03</v>
      </c>
      <c r="DW1532" s="340" t="s">
        <v>302</v>
      </c>
      <c r="DX1532" s="1671"/>
    </row>
    <row r="1533" spans="12:128">
      <c r="L1533" s="2481">
        <v>89.06</v>
      </c>
      <c r="M1533" s="340" t="s">
        <v>331</v>
      </c>
      <c r="N1533" s="1390"/>
      <c r="O1533" s="2479"/>
      <c r="P1533" s="2282"/>
      <c r="AG1533" s="2297">
        <v>164.09</v>
      </c>
      <c r="AH1533" s="2297" t="s">
        <v>338</v>
      </c>
      <c r="AI1533" s="1390"/>
      <c r="AJ1533" s="2282"/>
      <c r="AK1533" s="2282"/>
      <c r="AL1533" s="1037"/>
      <c r="AX1533" s="340">
        <v>69.010000000000005</v>
      </c>
      <c r="AY1533" s="340" t="s">
        <v>331</v>
      </c>
      <c r="BN1533" s="340">
        <v>151.01</v>
      </c>
      <c r="BO1533" s="340" t="s">
        <v>344</v>
      </c>
      <c r="BP1533" s="1385"/>
      <c r="BV1533" s="236">
        <v>115.28</v>
      </c>
      <c r="BW1533" s="236" t="s">
        <v>316</v>
      </c>
      <c r="CB1533" s="340">
        <v>68.010000000000005</v>
      </c>
      <c r="CC1533" s="340" t="s">
        <v>331</v>
      </c>
      <c r="CL1533" s="236">
        <v>84.16</v>
      </c>
      <c r="CM1533" s="236" t="s">
        <v>331</v>
      </c>
      <c r="CR1533" s="340">
        <v>151.03</v>
      </c>
      <c r="CS1533" s="340" t="s">
        <v>338</v>
      </c>
      <c r="CT1533" s="1384"/>
      <c r="DF1533" s="340">
        <v>86.03</v>
      </c>
      <c r="DG1533" s="340" t="s">
        <v>331</v>
      </c>
      <c r="DV1533" s="340">
        <v>166.03</v>
      </c>
      <c r="DW1533" s="340" t="s">
        <v>338</v>
      </c>
      <c r="DX1533" s="1671"/>
    </row>
    <row r="1534" spans="12:128">
      <c r="L1534" s="2481">
        <v>89.08</v>
      </c>
      <c r="M1534" s="340" t="s">
        <v>331</v>
      </c>
      <c r="N1534" s="1390"/>
      <c r="O1534" s="2479"/>
      <c r="P1534" s="2282"/>
      <c r="AG1534" s="2297">
        <v>164.11</v>
      </c>
      <c r="AH1534" s="2297" t="s">
        <v>338</v>
      </c>
      <c r="AI1534" s="1390"/>
      <c r="AJ1534" s="2282"/>
      <c r="AK1534" s="2282"/>
      <c r="AL1534" s="1037"/>
      <c r="AX1534" s="340">
        <v>69.02</v>
      </c>
      <c r="AY1534" s="340" t="s">
        <v>331</v>
      </c>
      <c r="BN1534" s="340">
        <v>151.02000000000001</v>
      </c>
      <c r="BO1534" s="340" t="s">
        <v>331</v>
      </c>
      <c r="BP1534" s="1385"/>
      <c r="BV1534" s="236">
        <v>116.03</v>
      </c>
      <c r="BW1534" s="236" t="s">
        <v>316</v>
      </c>
      <c r="CB1534" s="340">
        <v>68.02</v>
      </c>
      <c r="CC1534" s="340" t="s">
        <v>331</v>
      </c>
      <c r="CL1534" s="236">
        <v>84.18</v>
      </c>
      <c r="CM1534" s="236" t="s">
        <v>331</v>
      </c>
      <c r="CR1534" s="340">
        <v>152</v>
      </c>
      <c r="CS1534" s="340" t="s">
        <v>344</v>
      </c>
      <c r="CT1534" s="1384"/>
      <c r="DF1534" s="340">
        <v>86.04</v>
      </c>
      <c r="DG1534" s="340" t="s">
        <v>331</v>
      </c>
      <c r="DV1534" s="340">
        <v>166.04</v>
      </c>
      <c r="DW1534" s="340" t="s">
        <v>302</v>
      </c>
      <c r="DX1534" s="1671"/>
    </row>
    <row r="1535" spans="12:128">
      <c r="L1535" s="2481">
        <v>89.11</v>
      </c>
      <c r="M1535" s="340" t="s">
        <v>331</v>
      </c>
      <c r="N1535" s="1390"/>
      <c r="O1535" s="2479"/>
      <c r="P1535" s="2282"/>
      <c r="AG1535" s="2297">
        <v>164.12</v>
      </c>
      <c r="AH1535" s="2297" t="s">
        <v>338</v>
      </c>
      <c r="AI1535" s="1390"/>
      <c r="AJ1535" s="2282"/>
      <c r="AK1535" s="2282"/>
      <c r="AL1535" s="1037"/>
      <c r="AX1535" s="340">
        <v>70.03</v>
      </c>
      <c r="AY1535" s="340" t="s">
        <v>331</v>
      </c>
      <c r="BN1535" s="340">
        <v>151.02000000000001</v>
      </c>
      <c r="BO1535" s="340" t="s">
        <v>344</v>
      </c>
      <c r="BP1535" s="1385"/>
      <c r="BV1535" s="236">
        <v>116.05</v>
      </c>
      <c r="BW1535" s="236" t="s">
        <v>316</v>
      </c>
      <c r="CB1535" s="340">
        <v>69.010000000000005</v>
      </c>
      <c r="CC1535" s="340" t="s">
        <v>331</v>
      </c>
      <c r="CL1535" s="236">
        <v>84.19</v>
      </c>
      <c r="CM1535" s="236" t="s">
        <v>331</v>
      </c>
      <c r="CR1535" s="340">
        <v>152.01</v>
      </c>
      <c r="CS1535" s="340" t="s">
        <v>331</v>
      </c>
      <c r="CT1535" s="1384"/>
      <c r="DF1535" s="340">
        <v>87.04</v>
      </c>
      <c r="DG1535" s="340" t="s">
        <v>331</v>
      </c>
      <c r="DV1535" s="340">
        <v>166.05</v>
      </c>
      <c r="DW1535" s="340" t="s">
        <v>302</v>
      </c>
      <c r="DX1535" s="1671"/>
    </row>
    <row r="1536" spans="12:128">
      <c r="L1536" s="2481">
        <v>90.1</v>
      </c>
      <c r="M1536" s="340" t="s">
        <v>331</v>
      </c>
      <c r="N1536" s="1390"/>
      <c r="O1536" s="2479"/>
      <c r="P1536" s="2282"/>
      <c r="AG1536" s="2297">
        <v>164.14</v>
      </c>
      <c r="AH1536" s="2297" t="s">
        <v>338</v>
      </c>
      <c r="AI1536" s="1390"/>
      <c r="AJ1536" s="2282"/>
      <c r="AK1536" s="2282"/>
      <c r="AL1536" s="1037"/>
      <c r="AX1536" s="340">
        <v>70.040000000000006</v>
      </c>
      <c r="AY1536" s="340" t="s">
        <v>331</v>
      </c>
      <c r="BN1536" s="340">
        <v>151.03</v>
      </c>
      <c r="BO1536" s="340" t="s">
        <v>331</v>
      </c>
      <c r="BP1536" s="1385"/>
      <c r="BV1536" s="236">
        <v>116.1</v>
      </c>
      <c r="BW1536" s="236" t="s">
        <v>316</v>
      </c>
      <c r="CB1536" s="340">
        <v>69.02</v>
      </c>
      <c r="CC1536" s="340" t="s">
        <v>331</v>
      </c>
      <c r="CL1536" s="236">
        <v>84.2</v>
      </c>
      <c r="CM1536" s="236" t="s">
        <v>331</v>
      </c>
      <c r="CR1536" s="340">
        <v>152.02000000000001</v>
      </c>
      <c r="CS1536" s="340" t="s">
        <v>331</v>
      </c>
      <c r="CT1536" s="1384"/>
      <c r="DF1536" s="340">
        <v>88.06</v>
      </c>
      <c r="DG1536" s="340" t="s">
        <v>331</v>
      </c>
      <c r="DV1536" s="340">
        <v>166.06</v>
      </c>
      <c r="DW1536" s="340" t="s">
        <v>338</v>
      </c>
      <c r="DX1536" s="1671"/>
    </row>
    <row r="1537" spans="12:128">
      <c r="L1537" s="2481">
        <v>90.14</v>
      </c>
      <c r="M1537" s="340" t="s">
        <v>331</v>
      </c>
      <c r="N1537" s="1390"/>
      <c r="O1537" s="2479"/>
      <c r="P1537" s="2282"/>
      <c r="AG1537" s="2297">
        <v>165</v>
      </c>
      <c r="AH1537" s="2297" t="s">
        <v>302</v>
      </c>
      <c r="AI1537" s="1390"/>
      <c r="AJ1537" s="2282"/>
      <c r="AK1537" s="2282"/>
      <c r="AL1537" s="1037"/>
      <c r="AX1537" s="340">
        <v>70.06</v>
      </c>
      <c r="AY1537" s="340" t="s">
        <v>331</v>
      </c>
      <c r="BN1537" s="340">
        <v>151.03</v>
      </c>
      <c r="BO1537" s="340" t="s">
        <v>338</v>
      </c>
      <c r="BP1537" s="1385"/>
      <c r="BV1537" s="236">
        <v>116.11</v>
      </c>
      <c r="BW1537" s="236" t="s">
        <v>316</v>
      </c>
      <c r="CB1537" s="340">
        <v>70.03</v>
      </c>
      <c r="CC1537" s="340" t="s">
        <v>331</v>
      </c>
      <c r="CL1537" s="236">
        <v>84.21</v>
      </c>
      <c r="CM1537" s="236" t="s">
        <v>331</v>
      </c>
      <c r="CR1537" s="340">
        <v>152.03</v>
      </c>
      <c r="CS1537" s="340" t="s">
        <v>338</v>
      </c>
      <c r="CT1537" s="1384"/>
      <c r="DF1537" s="340">
        <v>88.07</v>
      </c>
      <c r="DG1537" s="340" t="s">
        <v>331</v>
      </c>
      <c r="DV1537" s="340">
        <v>166.07</v>
      </c>
      <c r="DW1537" s="340" t="s">
        <v>338</v>
      </c>
      <c r="DX1537" s="1671"/>
    </row>
    <row r="1538" spans="12:128">
      <c r="L1538" s="2481">
        <v>90.15</v>
      </c>
      <c r="M1538" s="340" t="s">
        <v>331</v>
      </c>
      <c r="N1538" s="1390"/>
      <c r="O1538" s="2479"/>
      <c r="P1538" s="2282"/>
      <c r="AG1538" s="2297">
        <v>165.01</v>
      </c>
      <c r="AH1538" s="2297" t="s">
        <v>331</v>
      </c>
      <c r="AI1538" s="1390"/>
      <c r="AJ1538" s="2282"/>
      <c r="AK1538" s="2282"/>
      <c r="AL1538" s="1037"/>
      <c r="AX1538" s="340">
        <v>70.069999999999993</v>
      </c>
      <c r="AY1538" s="340" t="s">
        <v>331</v>
      </c>
      <c r="BN1538" s="340">
        <v>152</v>
      </c>
      <c r="BO1538" s="340" t="s">
        <v>344</v>
      </c>
      <c r="BP1538" s="1385"/>
      <c r="BV1538" s="236">
        <v>116.12</v>
      </c>
      <c r="BW1538" s="236" t="s">
        <v>316</v>
      </c>
      <c r="CB1538" s="340">
        <v>70.040000000000006</v>
      </c>
      <c r="CC1538" s="340" t="s">
        <v>331</v>
      </c>
      <c r="CL1538" s="236">
        <v>84.22</v>
      </c>
      <c r="CM1538" s="236" t="s">
        <v>331</v>
      </c>
      <c r="CR1538" s="340">
        <v>152.04</v>
      </c>
      <c r="CS1538" s="340" t="s">
        <v>338</v>
      </c>
      <c r="CT1538" s="1384"/>
      <c r="DF1538" s="340">
        <v>88.09</v>
      </c>
      <c r="DG1538" s="340" t="s">
        <v>331</v>
      </c>
      <c r="DV1538" s="340">
        <v>167</v>
      </c>
      <c r="DW1538" s="340" t="s">
        <v>331</v>
      </c>
      <c r="DX1538" s="1671"/>
    </row>
    <row r="1539" spans="12:128">
      <c r="L1539" s="2481">
        <v>90.24</v>
      </c>
      <c r="M1539" s="340" t="s">
        <v>331</v>
      </c>
      <c r="N1539" s="1390"/>
      <c r="O1539" s="2479"/>
      <c r="P1539" s="2282"/>
      <c r="AG1539" s="2297">
        <v>165.02</v>
      </c>
      <c r="AH1539" s="2297" t="s">
        <v>331</v>
      </c>
      <c r="AI1539" s="1390"/>
      <c r="AJ1539" s="2282"/>
      <c r="AK1539" s="2282"/>
      <c r="AL1539" s="1037"/>
      <c r="AX1539" s="340">
        <v>71.040000000000006</v>
      </c>
      <c r="AY1539" s="340" t="s">
        <v>331</v>
      </c>
      <c r="BN1539" s="340">
        <v>152.01</v>
      </c>
      <c r="BO1539" s="340" t="s">
        <v>331</v>
      </c>
      <c r="BP1539" s="1385"/>
      <c r="BV1539" s="236">
        <v>116.13</v>
      </c>
      <c r="BW1539" s="236" t="s">
        <v>316</v>
      </c>
      <c r="CB1539" s="340">
        <v>70.069999999999993</v>
      </c>
      <c r="CC1539" s="340" t="s">
        <v>331</v>
      </c>
      <c r="CL1539" s="236">
        <v>84.23</v>
      </c>
      <c r="CM1539" s="236" t="s">
        <v>331</v>
      </c>
      <c r="CR1539" s="340">
        <v>153</v>
      </c>
      <c r="CS1539" s="340" t="s">
        <v>331</v>
      </c>
      <c r="CT1539" s="1384"/>
      <c r="DF1539" s="340">
        <v>88.1</v>
      </c>
      <c r="DG1539" s="340" t="s">
        <v>331</v>
      </c>
      <c r="DV1539" s="340">
        <v>167.09</v>
      </c>
      <c r="DW1539" s="340" t="s">
        <v>338</v>
      </c>
      <c r="DX1539" s="1671"/>
    </row>
    <row r="1540" spans="12:128">
      <c r="L1540" s="2481">
        <v>90.26</v>
      </c>
      <c r="M1540" s="340" t="s">
        <v>331</v>
      </c>
      <c r="N1540" s="1390"/>
      <c r="O1540" s="2479"/>
      <c r="P1540" s="2282"/>
      <c r="AG1540" s="2297">
        <v>165.03</v>
      </c>
      <c r="AH1540" s="2297" t="s">
        <v>338</v>
      </c>
      <c r="AI1540" s="1390"/>
      <c r="AJ1540" s="2282"/>
      <c r="AK1540" s="2282"/>
      <c r="AL1540" s="1037"/>
      <c r="AX1540" s="340">
        <v>73</v>
      </c>
      <c r="AY1540" s="340" t="s">
        <v>331</v>
      </c>
      <c r="BN1540" s="340">
        <v>152.02000000000001</v>
      </c>
      <c r="BO1540" s="340" t="s">
        <v>331</v>
      </c>
      <c r="BP1540" s="1385"/>
      <c r="BV1540" s="236">
        <v>116.14</v>
      </c>
      <c r="BW1540" s="236" t="s">
        <v>316</v>
      </c>
      <c r="CB1540" s="340">
        <v>71.03</v>
      </c>
      <c r="CC1540" s="340" t="s">
        <v>331</v>
      </c>
      <c r="CL1540" s="236">
        <v>84.24</v>
      </c>
      <c r="CM1540" s="236" t="s">
        <v>331</v>
      </c>
      <c r="CR1540" s="340">
        <v>153</v>
      </c>
      <c r="CS1540" s="340" t="s">
        <v>338</v>
      </c>
      <c r="CT1540" s="1384"/>
      <c r="DF1540" s="340">
        <v>89.06</v>
      </c>
      <c r="DG1540" s="340" t="s">
        <v>331</v>
      </c>
      <c r="DV1540" s="340">
        <v>167.1</v>
      </c>
      <c r="DW1540" s="340" t="s">
        <v>338</v>
      </c>
      <c r="DX1540" s="1671"/>
    </row>
    <row r="1541" spans="12:128">
      <c r="L1541" s="2481">
        <v>90.28</v>
      </c>
      <c r="M1541" s="340" t="s">
        <v>331</v>
      </c>
      <c r="N1541" s="1390"/>
      <c r="O1541" s="2479"/>
      <c r="P1541" s="2282"/>
      <c r="AG1541" s="2297">
        <v>165.09</v>
      </c>
      <c r="AH1541" s="2297" t="s">
        <v>338</v>
      </c>
      <c r="AI1541" s="1390"/>
      <c r="AJ1541" s="2282"/>
      <c r="AK1541" s="2282"/>
      <c r="AL1541" s="1037"/>
      <c r="AX1541" s="340">
        <v>74.010000000000005</v>
      </c>
      <c r="AY1541" s="340" t="s">
        <v>331</v>
      </c>
      <c r="BN1541" s="340">
        <v>152.03</v>
      </c>
      <c r="BO1541" s="340" t="s">
        <v>338</v>
      </c>
      <c r="BP1541" s="1385"/>
      <c r="BV1541" s="236">
        <v>116.15</v>
      </c>
      <c r="BW1541" s="236" t="s">
        <v>316</v>
      </c>
      <c r="CB1541" s="340">
        <v>71.040000000000006</v>
      </c>
      <c r="CC1541" s="340" t="s">
        <v>331</v>
      </c>
      <c r="CL1541" s="236">
        <v>84.25</v>
      </c>
      <c r="CM1541" s="236" t="s">
        <v>331</v>
      </c>
      <c r="CR1541" s="340">
        <v>153.02000000000001</v>
      </c>
      <c r="CS1541" s="340" t="s">
        <v>344</v>
      </c>
      <c r="CT1541" s="1384"/>
      <c r="DF1541" s="340">
        <v>89.07</v>
      </c>
      <c r="DG1541" s="340" t="s">
        <v>331</v>
      </c>
      <c r="DV1541" s="340">
        <v>167.11</v>
      </c>
      <c r="DW1541" s="340" t="s">
        <v>302</v>
      </c>
      <c r="DX1541" s="1671"/>
    </row>
    <row r="1542" spans="12:128">
      <c r="L1542" s="2481">
        <v>90.29</v>
      </c>
      <c r="M1542" s="340" t="s">
        <v>331</v>
      </c>
      <c r="N1542" s="1390"/>
      <c r="O1542" s="2479"/>
      <c r="P1542" s="2282"/>
      <c r="AG1542" s="2297">
        <v>165.14</v>
      </c>
      <c r="AH1542" s="2297" t="s">
        <v>338</v>
      </c>
      <c r="AI1542" s="1390"/>
      <c r="AJ1542" s="2282"/>
      <c r="AK1542" s="2282"/>
      <c r="AL1542" s="1037"/>
      <c r="AX1542" s="340">
        <v>74.02</v>
      </c>
      <c r="AY1542" s="340" t="s">
        <v>331</v>
      </c>
      <c r="BN1542" s="340">
        <v>152.04</v>
      </c>
      <c r="BO1542" s="340" t="s">
        <v>338</v>
      </c>
      <c r="BP1542" s="1385"/>
      <c r="BV1542" s="236">
        <v>116.16</v>
      </c>
      <c r="BW1542" s="236" t="s">
        <v>316</v>
      </c>
      <c r="CB1542" s="340">
        <v>73</v>
      </c>
      <c r="CC1542" s="340" t="s">
        <v>331</v>
      </c>
      <c r="CL1542" s="236">
        <v>84.26</v>
      </c>
      <c r="CM1542" s="236" t="s">
        <v>331</v>
      </c>
      <c r="CR1542" s="340">
        <v>154</v>
      </c>
      <c r="CS1542" s="340" t="s">
        <v>331</v>
      </c>
      <c r="CT1542" s="1384"/>
      <c r="DF1542" s="340">
        <v>89.08</v>
      </c>
      <c r="DG1542" s="340" t="s">
        <v>331</v>
      </c>
      <c r="DV1542" s="340">
        <v>167.17</v>
      </c>
      <c r="DW1542" s="340" t="s">
        <v>338</v>
      </c>
      <c r="DX1542" s="1671"/>
    </row>
    <row r="1543" spans="12:128">
      <c r="L1543" s="2481">
        <v>90.3</v>
      </c>
      <c r="M1543" s="340" t="s">
        <v>331</v>
      </c>
      <c r="N1543" s="1390"/>
      <c r="O1543" s="2479"/>
      <c r="P1543" s="2282"/>
      <c r="AG1543" s="2297">
        <v>166</v>
      </c>
      <c r="AH1543" s="2297" t="s">
        <v>331</v>
      </c>
      <c r="AI1543" s="1390"/>
      <c r="AJ1543" s="2282"/>
      <c r="AK1543" s="2282"/>
      <c r="AL1543" s="1037"/>
      <c r="AX1543" s="340">
        <v>74.03</v>
      </c>
      <c r="AY1543" s="340" t="s">
        <v>331</v>
      </c>
      <c r="BN1543" s="340">
        <v>153</v>
      </c>
      <c r="BO1543" s="340" t="s">
        <v>331</v>
      </c>
      <c r="BP1543" s="1385"/>
      <c r="BV1543" s="236">
        <v>116.17</v>
      </c>
      <c r="BW1543" s="236" t="s">
        <v>316</v>
      </c>
      <c r="CB1543" s="340">
        <v>74.010000000000005</v>
      </c>
      <c r="CC1543" s="340" t="s">
        <v>331</v>
      </c>
      <c r="CL1543" s="236">
        <v>84.27</v>
      </c>
      <c r="CM1543" s="236" t="s">
        <v>331</v>
      </c>
      <c r="CR1543" s="340">
        <v>154.04</v>
      </c>
      <c r="CS1543" s="340" t="s">
        <v>344</v>
      </c>
      <c r="CT1543" s="1384"/>
      <c r="DF1543" s="340">
        <v>89.09</v>
      </c>
      <c r="DG1543" s="340" t="s">
        <v>331</v>
      </c>
      <c r="DV1543" s="340">
        <v>167.24</v>
      </c>
      <c r="DW1543" s="340" t="s">
        <v>302</v>
      </c>
      <c r="DX1543" s="1671"/>
    </row>
    <row r="1544" spans="12:128">
      <c r="L1544" s="2481">
        <v>90.31</v>
      </c>
      <c r="M1544" s="340" t="s">
        <v>331</v>
      </c>
      <c r="N1544" s="1390"/>
      <c r="O1544" s="2479"/>
      <c r="P1544" s="2282"/>
      <c r="AG1544" s="2297">
        <v>166.03</v>
      </c>
      <c r="AH1544" s="2297" t="s">
        <v>302</v>
      </c>
      <c r="AI1544" s="1390"/>
      <c r="AJ1544" s="2282"/>
      <c r="AK1544" s="2282"/>
      <c r="AL1544" s="1037"/>
      <c r="AX1544" s="340">
        <v>75.010000000000005</v>
      </c>
      <c r="AY1544" s="340" t="s">
        <v>331</v>
      </c>
      <c r="BN1544" s="340">
        <v>153</v>
      </c>
      <c r="BO1544" s="340" t="s">
        <v>338</v>
      </c>
      <c r="BP1544" s="1385"/>
      <c r="BV1544" s="236">
        <v>117.08</v>
      </c>
      <c r="BW1544" s="236" t="s">
        <v>316</v>
      </c>
      <c r="CB1544" s="340">
        <v>74.02</v>
      </c>
      <c r="CC1544" s="340" t="s">
        <v>331</v>
      </c>
      <c r="CL1544" s="236">
        <v>84.28</v>
      </c>
      <c r="CM1544" s="236" t="s">
        <v>331</v>
      </c>
      <c r="CR1544" s="340">
        <v>155.01</v>
      </c>
      <c r="CS1544" s="340" t="s">
        <v>338</v>
      </c>
      <c r="CT1544" s="1384"/>
      <c r="DF1544" s="340">
        <v>89.11</v>
      </c>
      <c r="DG1544" s="340" t="s">
        <v>331</v>
      </c>
      <c r="DV1544" s="340">
        <v>167.25</v>
      </c>
      <c r="DW1544" s="340" t="s">
        <v>302</v>
      </c>
      <c r="DX1544" s="1671"/>
    </row>
    <row r="1545" spans="12:128">
      <c r="L1545" s="2481">
        <v>90.39</v>
      </c>
      <c r="M1545" s="340" t="s">
        <v>331</v>
      </c>
      <c r="N1545" s="1390"/>
      <c r="O1545" s="2479"/>
      <c r="P1545" s="2282"/>
      <c r="AG1545" s="2297">
        <v>166.03</v>
      </c>
      <c r="AH1545" s="2297" t="s">
        <v>338</v>
      </c>
      <c r="AI1545" s="1390"/>
      <c r="AJ1545" s="2282"/>
      <c r="AK1545" s="2282"/>
      <c r="AL1545" s="1037"/>
      <c r="AX1545" s="340">
        <v>75.03</v>
      </c>
      <c r="AY1545" s="340" t="s">
        <v>331</v>
      </c>
      <c r="BN1545" s="340">
        <v>153.02000000000001</v>
      </c>
      <c r="BO1545" s="340" t="s">
        <v>344</v>
      </c>
      <c r="BP1545" s="1385"/>
      <c r="BV1545" s="236">
        <v>117.12</v>
      </c>
      <c r="BW1545" s="236" t="s">
        <v>316</v>
      </c>
      <c r="CB1545" s="340">
        <v>74.03</v>
      </c>
      <c r="CC1545" s="340" t="s">
        <v>331</v>
      </c>
      <c r="CL1545" s="236">
        <v>84.29</v>
      </c>
      <c r="CM1545" s="236" t="s">
        <v>331</v>
      </c>
      <c r="CR1545" s="340">
        <v>155.02000000000001</v>
      </c>
      <c r="CS1545" s="340" t="s">
        <v>331</v>
      </c>
      <c r="CT1545" s="1384"/>
      <c r="DF1545" s="340">
        <v>90.1</v>
      </c>
      <c r="DG1545" s="340" t="s">
        <v>331</v>
      </c>
      <c r="DV1545" s="340">
        <v>167.26</v>
      </c>
      <c r="DW1545" s="340" t="s">
        <v>302</v>
      </c>
      <c r="DX1545" s="1671"/>
    </row>
    <row r="1546" spans="12:128">
      <c r="L1546" s="2481">
        <v>90.4</v>
      </c>
      <c r="M1546" s="340" t="s">
        <v>331</v>
      </c>
      <c r="N1546" s="1390"/>
      <c r="O1546" s="2479"/>
      <c r="P1546" s="2282"/>
      <c r="AG1546" s="2297">
        <v>166.04</v>
      </c>
      <c r="AH1546" s="2297" t="s">
        <v>302</v>
      </c>
      <c r="AI1546" s="1390"/>
      <c r="AJ1546" s="2282"/>
      <c r="AK1546" s="2282"/>
      <c r="AL1546" s="1037"/>
      <c r="AX1546" s="340">
        <v>76.010000000000005</v>
      </c>
      <c r="AY1546" s="340" t="s">
        <v>331</v>
      </c>
      <c r="BN1546" s="340">
        <v>154</v>
      </c>
      <c r="BO1546" s="340" t="s">
        <v>331</v>
      </c>
      <c r="BP1546" s="1385"/>
      <c r="BV1546" s="236">
        <v>117.13</v>
      </c>
      <c r="BW1546" s="236" t="s">
        <v>316</v>
      </c>
      <c r="CB1546" s="340">
        <v>75.010000000000005</v>
      </c>
      <c r="CC1546" s="340" t="s">
        <v>331</v>
      </c>
      <c r="CL1546" s="236">
        <v>84.3</v>
      </c>
      <c r="CM1546" s="236" t="s">
        <v>331</v>
      </c>
      <c r="CR1546" s="340">
        <v>156</v>
      </c>
      <c r="CS1546" s="340" t="s">
        <v>302</v>
      </c>
      <c r="CT1546" s="1384"/>
      <c r="DF1546" s="340">
        <v>90.14</v>
      </c>
      <c r="DG1546" s="340" t="s">
        <v>331</v>
      </c>
      <c r="DV1546" s="340">
        <v>167.28</v>
      </c>
      <c r="DW1546" s="340" t="s">
        <v>302</v>
      </c>
      <c r="DX1546" s="1671"/>
    </row>
    <row r="1547" spans="12:128">
      <c r="L1547" s="2481">
        <v>90.43</v>
      </c>
      <c r="M1547" s="340" t="s">
        <v>331</v>
      </c>
      <c r="N1547" s="1390"/>
      <c r="O1547" s="2479"/>
      <c r="P1547" s="2282"/>
      <c r="AG1547" s="2297">
        <v>166.04</v>
      </c>
      <c r="AH1547" s="2297" t="s">
        <v>338</v>
      </c>
      <c r="AI1547" s="1390"/>
      <c r="AJ1547" s="2282"/>
      <c r="AK1547" s="2282"/>
      <c r="AL1547" s="1037"/>
      <c r="AX1547" s="340">
        <v>76.03</v>
      </c>
      <c r="AY1547" s="340" t="s">
        <v>331</v>
      </c>
      <c r="BN1547" s="340">
        <v>154.02000000000001</v>
      </c>
      <c r="BO1547" s="340" t="s">
        <v>344</v>
      </c>
      <c r="BP1547" s="1385"/>
      <c r="BV1547" s="236">
        <v>117.14</v>
      </c>
      <c r="BW1547" s="236" t="s">
        <v>316</v>
      </c>
      <c r="CB1547" s="340">
        <v>75.03</v>
      </c>
      <c r="CC1547" s="340" t="s">
        <v>331</v>
      </c>
      <c r="CL1547" s="236">
        <v>84.31</v>
      </c>
      <c r="CM1547" s="236" t="s">
        <v>331</v>
      </c>
      <c r="CR1547" s="340">
        <v>156</v>
      </c>
      <c r="CS1547" s="340" t="s">
        <v>331</v>
      </c>
      <c r="CT1547" s="1384"/>
      <c r="DF1547" s="340">
        <v>90.22</v>
      </c>
      <c r="DG1547" s="340" t="s">
        <v>331</v>
      </c>
      <c r="DV1547" s="340">
        <v>167.28</v>
      </c>
      <c r="DW1547" s="340" t="s">
        <v>338</v>
      </c>
      <c r="DX1547" s="1671"/>
    </row>
    <row r="1548" spans="12:128">
      <c r="L1548" s="2481">
        <v>90.44</v>
      </c>
      <c r="M1548" s="340" t="s">
        <v>331</v>
      </c>
      <c r="N1548" s="1390"/>
      <c r="O1548" s="2479"/>
      <c r="P1548" s="2282"/>
      <c r="AG1548" s="2297">
        <v>166.05</v>
      </c>
      <c r="AH1548" s="2297" t="s">
        <v>302</v>
      </c>
      <c r="AI1548" s="1390"/>
      <c r="AJ1548" s="2282"/>
      <c r="AK1548" s="2282"/>
      <c r="AL1548" s="1037"/>
      <c r="AX1548" s="340">
        <v>76.05</v>
      </c>
      <c r="AY1548" s="340" t="s">
        <v>331</v>
      </c>
      <c r="BN1548" s="340">
        <v>154.04</v>
      </c>
      <c r="BO1548" s="340" t="s">
        <v>344</v>
      </c>
      <c r="BP1548" s="1385"/>
      <c r="BV1548" s="236">
        <v>117.15</v>
      </c>
      <c r="BW1548" s="236" t="s">
        <v>316</v>
      </c>
      <c r="CB1548" s="340">
        <v>76.010000000000005</v>
      </c>
      <c r="CC1548" s="340" t="s">
        <v>331</v>
      </c>
      <c r="CL1548" s="236">
        <v>85.02</v>
      </c>
      <c r="CM1548" s="236" t="s">
        <v>331</v>
      </c>
      <c r="CR1548" s="340">
        <v>156.01</v>
      </c>
      <c r="CS1548" s="340" t="s">
        <v>338</v>
      </c>
      <c r="CT1548" s="1384"/>
      <c r="DF1548" s="340">
        <v>90.24</v>
      </c>
      <c r="DG1548" s="340" t="s">
        <v>331</v>
      </c>
      <c r="DV1548" s="340">
        <v>167.29</v>
      </c>
      <c r="DW1548" s="340" t="s">
        <v>302</v>
      </c>
      <c r="DX1548" s="1671"/>
    </row>
    <row r="1549" spans="12:128">
      <c r="L1549" s="2481">
        <v>90.48</v>
      </c>
      <c r="M1549" s="340" t="s">
        <v>331</v>
      </c>
      <c r="N1549" s="1390"/>
      <c r="O1549" s="2479"/>
      <c r="P1549" s="2282"/>
      <c r="AG1549" s="2297">
        <v>166.06</v>
      </c>
      <c r="AH1549" s="2297" t="s">
        <v>338</v>
      </c>
      <c r="AI1549" s="1390"/>
      <c r="AJ1549" s="2282"/>
      <c r="AK1549" s="2282"/>
      <c r="AL1549" s="1037"/>
      <c r="AX1549" s="340">
        <v>76.069999999999993</v>
      </c>
      <c r="AY1549" s="340" t="s">
        <v>331</v>
      </c>
      <c r="BN1549" s="340">
        <v>155.01</v>
      </c>
      <c r="BO1549" s="340" t="s">
        <v>338</v>
      </c>
      <c r="BP1549" s="1385"/>
      <c r="BV1549" s="236">
        <v>117.16</v>
      </c>
      <c r="BW1549" s="236" t="s">
        <v>316</v>
      </c>
      <c r="CB1549" s="340">
        <v>76.05</v>
      </c>
      <c r="CC1549" s="340" t="s">
        <v>331</v>
      </c>
      <c r="CL1549" s="236">
        <v>85.03</v>
      </c>
      <c r="CM1549" s="236" t="s">
        <v>331</v>
      </c>
      <c r="CR1549" s="340">
        <v>156.02000000000001</v>
      </c>
      <c r="CS1549" s="340" t="s">
        <v>338</v>
      </c>
      <c r="CT1549" s="1384"/>
      <c r="DF1549" s="340">
        <v>90.28</v>
      </c>
      <c r="DG1549" s="340" t="s">
        <v>331</v>
      </c>
      <c r="DV1549" s="340">
        <v>167.3</v>
      </c>
      <c r="DW1549" s="340" t="s">
        <v>302</v>
      </c>
      <c r="DX1549" s="1671"/>
    </row>
    <row r="1550" spans="12:128">
      <c r="L1550" s="2481">
        <v>90.49</v>
      </c>
      <c r="M1550" s="340" t="s">
        <v>331</v>
      </c>
      <c r="N1550" s="1390"/>
      <c r="O1550" s="2479"/>
      <c r="P1550" s="2282"/>
      <c r="AG1550" s="2297">
        <v>166.07</v>
      </c>
      <c r="AH1550" s="2297" t="s">
        <v>338</v>
      </c>
      <c r="AI1550" s="1390"/>
      <c r="AJ1550" s="2282"/>
      <c r="AK1550" s="2282"/>
      <c r="AL1550" s="1037"/>
      <c r="AX1550" s="340">
        <v>76.08</v>
      </c>
      <c r="AY1550" s="340" t="s">
        <v>331</v>
      </c>
      <c r="BN1550" s="340">
        <v>155.02000000000001</v>
      </c>
      <c r="BO1550" s="340" t="s">
        <v>331</v>
      </c>
      <c r="BP1550" s="1385"/>
      <c r="BV1550" s="236">
        <v>118.02</v>
      </c>
      <c r="BW1550" s="236" t="s">
        <v>316</v>
      </c>
      <c r="CB1550" s="340">
        <v>76.069999999999993</v>
      </c>
      <c r="CC1550" s="340" t="s">
        <v>331</v>
      </c>
      <c r="CL1550" s="236">
        <v>85.04</v>
      </c>
      <c r="CM1550" s="236" t="s">
        <v>331</v>
      </c>
      <c r="CR1550" s="340">
        <v>157</v>
      </c>
      <c r="CS1550" s="340" t="s">
        <v>331</v>
      </c>
      <c r="CT1550" s="1384"/>
      <c r="DF1550" s="340">
        <v>90.29</v>
      </c>
      <c r="DG1550" s="340" t="s">
        <v>331</v>
      </c>
      <c r="DV1550" s="340">
        <v>167.31</v>
      </c>
      <c r="DW1550" s="340" t="s">
        <v>302</v>
      </c>
      <c r="DX1550" s="1671"/>
    </row>
    <row r="1551" spans="12:128">
      <c r="L1551" s="2481">
        <v>90.5</v>
      </c>
      <c r="M1551" s="340" t="s">
        <v>331</v>
      </c>
      <c r="N1551" s="1390"/>
      <c r="O1551" s="2479"/>
      <c r="P1551" s="2282"/>
      <c r="AG1551" s="2297">
        <v>167</v>
      </c>
      <c r="AH1551" s="2297" t="s">
        <v>331</v>
      </c>
      <c r="AI1551" s="1390"/>
      <c r="AJ1551" s="2282"/>
      <c r="AK1551" s="2282"/>
      <c r="AL1551" s="1037"/>
      <c r="AX1551" s="340">
        <v>76.09</v>
      </c>
      <c r="AY1551" s="340" t="s">
        <v>331</v>
      </c>
      <c r="BN1551" s="340">
        <v>156</v>
      </c>
      <c r="BO1551" s="340" t="s">
        <v>302</v>
      </c>
      <c r="BP1551" s="1385"/>
      <c r="BV1551" s="236">
        <v>118.04</v>
      </c>
      <c r="BW1551" s="236" t="s">
        <v>316</v>
      </c>
      <c r="CB1551" s="340">
        <v>76.08</v>
      </c>
      <c r="CC1551" s="340" t="s">
        <v>331</v>
      </c>
      <c r="CL1551" s="236">
        <v>86.01</v>
      </c>
      <c r="CM1551" s="236" t="s">
        <v>331</v>
      </c>
      <c r="CR1551" s="340">
        <v>157.01</v>
      </c>
      <c r="CS1551" s="340" t="s">
        <v>338</v>
      </c>
      <c r="CT1551" s="1384"/>
      <c r="DF1551" s="340">
        <v>90.39</v>
      </c>
      <c r="DG1551" s="340" t="s">
        <v>331</v>
      </c>
      <c r="DV1551" s="340">
        <v>167.31</v>
      </c>
      <c r="DW1551" s="340" t="s">
        <v>338</v>
      </c>
      <c r="DX1551" s="1671"/>
    </row>
    <row r="1552" spans="12:128">
      <c r="L1552" s="2481">
        <v>90.51</v>
      </c>
      <c r="M1552" s="340" t="s">
        <v>331</v>
      </c>
      <c r="N1552" s="1390"/>
      <c r="O1552" s="2479"/>
      <c r="P1552" s="2282"/>
      <c r="AG1552" s="2297">
        <v>167.09</v>
      </c>
      <c r="AH1552" s="2297" t="s">
        <v>338</v>
      </c>
      <c r="AI1552" s="1390"/>
      <c r="AJ1552" s="2282"/>
      <c r="AK1552" s="2282"/>
      <c r="AL1552" s="1037"/>
      <c r="AX1552" s="340">
        <v>76.099999999999994</v>
      </c>
      <c r="AY1552" s="340" t="s">
        <v>331</v>
      </c>
      <c r="BN1552" s="340">
        <v>156</v>
      </c>
      <c r="BO1552" s="340" t="s">
        <v>331</v>
      </c>
      <c r="BP1552" s="1385"/>
      <c r="BV1552" s="236">
        <v>118.05</v>
      </c>
      <c r="BW1552" s="236" t="s">
        <v>316</v>
      </c>
      <c r="CB1552" s="340">
        <v>76.09</v>
      </c>
      <c r="CC1552" s="340" t="s">
        <v>331</v>
      </c>
      <c r="CL1552" s="236">
        <v>86.03</v>
      </c>
      <c r="CM1552" s="236" t="s">
        <v>331</v>
      </c>
      <c r="CR1552" s="340">
        <v>157.01</v>
      </c>
      <c r="CS1552" s="340" t="s">
        <v>344</v>
      </c>
      <c r="CT1552" s="1384"/>
      <c r="DF1552" s="340">
        <v>90.4</v>
      </c>
      <c r="DG1552" s="340" t="s">
        <v>331</v>
      </c>
      <c r="DV1552" s="340">
        <v>167.35</v>
      </c>
      <c r="DW1552" s="340" t="s">
        <v>338</v>
      </c>
      <c r="DX1552" s="1671"/>
    </row>
    <row r="1553" spans="12:128">
      <c r="L1553" s="2481">
        <v>90.53</v>
      </c>
      <c r="M1553" s="340" t="s">
        <v>331</v>
      </c>
      <c r="N1553" s="1390"/>
      <c r="O1553" s="2479"/>
      <c r="P1553" s="2282"/>
      <c r="AG1553" s="2297">
        <v>167.1</v>
      </c>
      <c r="AH1553" s="2297" t="s">
        <v>338</v>
      </c>
      <c r="AI1553" s="1390"/>
      <c r="AJ1553" s="2282"/>
      <c r="AK1553" s="2282"/>
      <c r="AL1553" s="1037"/>
      <c r="AX1553" s="340">
        <v>77.040000000000006</v>
      </c>
      <c r="AY1553" s="340" t="s">
        <v>331</v>
      </c>
      <c r="BN1553" s="340">
        <v>156.01</v>
      </c>
      <c r="BO1553" s="340" t="s">
        <v>338</v>
      </c>
      <c r="BP1553" s="1385"/>
      <c r="BV1553" s="236">
        <v>118.06</v>
      </c>
      <c r="BW1553" s="236" t="s">
        <v>316</v>
      </c>
      <c r="CB1553" s="340">
        <v>76.099999999999994</v>
      </c>
      <c r="CC1553" s="340" t="s">
        <v>331</v>
      </c>
      <c r="CL1553" s="236">
        <v>86.04</v>
      </c>
      <c r="CM1553" s="236" t="s">
        <v>331</v>
      </c>
      <c r="CR1553" s="340">
        <v>157.02000000000001</v>
      </c>
      <c r="CS1553" s="340" t="s">
        <v>338</v>
      </c>
      <c r="CT1553" s="1384"/>
      <c r="DF1553" s="340">
        <v>90.43</v>
      </c>
      <c r="DG1553" s="340" t="s">
        <v>331</v>
      </c>
      <c r="DV1553" s="340">
        <v>167.36</v>
      </c>
      <c r="DW1553" s="340" t="s">
        <v>338</v>
      </c>
      <c r="DX1553" s="1671"/>
    </row>
    <row r="1554" spans="12:128">
      <c r="L1554" s="2481">
        <v>90.54</v>
      </c>
      <c r="M1554" s="340" t="s">
        <v>331</v>
      </c>
      <c r="N1554" s="1390"/>
      <c r="O1554" s="2479"/>
      <c r="P1554" s="2282"/>
      <c r="AG1554" s="2297">
        <v>167.11</v>
      </c>
      <c r="AH1554" s="2297" t="s">
        <v>302</v>
      </c>
      <c r="AI1554" s="1390"/>
      <c r="AJ1554" s="2282"/>
      <c r="AK1554" s="2282"/>
      <c r="AL1554" s="1037"/>
      <c r="AX1554" s="340">
        <v>77.05</v>
      </c>
      <c r="AY1554" s="340" t="s">
        <v>331</v>
      </c>
      <c r="BN1554" s="340">
        <v>156.02000000000001</v>
      </c>
      <c r="BO1554" s="340" t="s">
        <v>338</v>
      </c>
      <c r="BP1554" s="1385"/>
      <c r="BV1554" s="236">
        <v>119.05</v>
      </c>
      <c r="BW1554" s="236" t="s">
        <v>316</v>
      </c>
      <c r="CB1554" s="340">
        <v>77.040000000000006</v>
      </c>
      <c r="CC1554" s="340" t="s">
        <v>331</v>
      </c>
      <c r="CL1554" s="236">
        <v>87.02</v>
      </c>
      <c r="CM1554" s="236" t="s">
        <v>331</v>
      </c>
      <c r="CR1554" s="340">
        <v>158</v>
      </c>
      <c r="CS1554" s="340" t="s">
        <v>331</v>
      </c>
      <c r="CT1554" s="1384"/>
      <c r="DF1554" s="340">
        <v>90.44</v>
      </c>
      <c r="DG1554" s="340" t="s">
        <v>331</v>
      </c>
      <c r="DV1554" s="340">
        <v>167.37</v>
      </c>
      <c r="DW1554" s="340" t="s">
        <v>338</v>
      </c>
      <c r="DX1554" s="1671"/>
    </row>
    <row r="1555" spans="12:128">
      <c r="L1555" s="2481">
        <v>90.56</v>
      </c>
      <c r="M1555" s="340" t="s">
        <v>331</v>
      </c>
      <c r="N1555" s="1390"/>
      <c r="O1555" s="2479"/>
      <c r="P1555" s="2282"/>
      <c r="AG1555" s="2297">
        <v>167.15</v>
      </c>
      <c r="AH1555" s="2297" t="s">
        <v>338</v>
      </c>
      <c r="AI1555" s="1390"/>
      <c r="AJ1555" s="2282"/>
      <c r="AK1555" s="2282"/>
      <c r="AL1555" s="1037"/>
      <c r="AX1555" s="340">
        <v>77.06</v>
      </c>
      <c r="AY1555" s="340" t="s">
        <v>331</v>
      </c>
      <c r="BN1555" s="340">
        <v>157</v>
      </c>
      <c r="BO1555" s="340" t="s">
        <v>331</v>
      </c>
      <c r="BP1555" s="1385"/>
      <c r="BV1555" s="236">
        <v>119.07</v>
      </c>
      <c r="BW1555" s="236" t="s">
        <v>316</v>
      </c>
      <c r="CB1555" s="340">
        <v>77.05</v>
      </c>
      <c r="CC1555" s="340" t="s">
        <v>331</v>
      </c>
      <c r="CL1555" s="236">
        <v>87.03</v>
      </c>
      <c r="CM1555" s="236" t="s">
        <v>331</v>
      </c>
      <c r="CR1555" s="340">
        <v>158.01</v>
      </c>
      <c r="CS1555" s="340" t="s">
        <v>338</v>
      </c>
      <c r="CT1555" s="1384"/>
      <c r="DF1555" s="340">
        <v>90.48</v>
      </c>
      <c r="DG1555" s="340" t="s">
        <v>331</v>
      </c>
      <c r="DV1555" s="340">
        <v>167.4</v>
      </c>
      <c r="DW1555" s="340" t="s">
        <v>338</v>
      </c>
      <c r="DX1555" s="1671"/>
    </row>
    <row r="1556" spans="12:128">
      <c r="L1556" s="2481">
        <v>90.57</v>
      </c>
      <c r="M1556" s="340" t="s">
        <v>331</v>
      </c>
      <c r="N1556" s="1390"/>
      <c r="O1556" s="2479"/>
      <c r="P1556" s="2282"/>
      <c r="AG1556" s="2297">
        <v>167.16</v>
      </c>
      <c r="AH1556" s="2297" t="s">
        <v>338</v>
      </c>
      <c r="AI1556" s="1390"/>
      <c r="AJ1556" s="2282"/>
      <c r="AK1556" s="2282"/>
      <c r="AL1556" s="1037"/>
      <c r="AX1556" s="340">
        <v>77.069999999999993</v>
      </c>
      <c r="AY1556" s="340" t="s">
        <v>331</v>
      </c>
      <c r="BN1556" s="340">
        <v>157.01</v>
      </c>
      <c r="BO1556" s="340" t="s">
        <v>338</v>
      </c>
      <c r="BP1556" s="1385"/>
      <c r="BV1556" s="236">
        <v>119.08</v>
      </c>
      <c r="BW1556" s="236" t="s">
        <v>316</v>
      </c>
      <c r="CB1556" s="340">
        <v>77.06</v>
      </c>
      <c r="CC1556" s="340" t="s">
        <v>331</v>
      </c>
      <c r="CL1556" s="236">
        <v>87.04</v>
      </c>
      <c r="CM1556" s="236" t="s">
        <v>331</v>
      </c>
      <c r="CR1556" s="340">
        <v>158.02000000000001</v>
      </c>
      <c r="CS1556" s="340" t="s">
        <v>338</v>
      </c>
      <c r="CT1556" s="1384"/>
      <c r="DF1556" s="340">
        <v>90.49</v>
      </c>
      <c r="DG1556" s="340" t="s">
        <v>331</v>
      </c>
      <c r="DV1556" s="340">
        <v>167.41</v>
      </c>
      <c r="DW1556" s="340" t="s">
        <v>338</v>
      </c>
      <c r="DX1556" s="1671"/>
    </row>
    <row r="1557" spans="12:128">
      <c r="L1557" s="2481">
        <v>90.58</v>
      </c>
      <c r="M1557" s="340" t="s">
        <v>331</v>
      </c>
      <c r="N1557" s="1390"/>
      <c r="O1557" s="2479"/>
      <c r="P1557" s="2282"/>
      <c r="AG1557" s="2297">
        <v>167.17</v>
      </c>
      <c r="AH1557" s="2297" t="s">
        <v>338</v>
      </c>
      <c r="AI1557" s="1390"/>
      <c r="AJ1557" s="2282"/>
      <c r="AK1557" s="2282"/>
      <c r="AL1557" s="1037"/>
      <c r="AX1557" s="340">
        <v>77.08</v>
      </c>
      <c r="AY1557" s="340" t="s">
        <v>331</v>
      </c>
      <c r="BN1557" s="340">
        <v>157.02000000000001</v>
      </c>
      <c r="BO1557" s="340" t="s">
        <v>302</v>
      </c>
      <c r="BP1557" s="1385"/>
      <c r="BV1557" s="236">
        <v>119.09</v>
      </c>
      <c r="BW1557" s="236" t="s">
        <v>316</v>
      </c>
      <c r="CB1557" s="340">
        <v>77.069999999999993</v>
      </c>
      <c r="CC1557" s="340" t="s">
        <v>331</v>
      </c>
      <c r="CL1557" s="236">
        <v>88.05</v>
      </c>
      <c r="CM1557" s="236" t="s">
        <v>331</v>
      </c>
      <c r="CR1557" s="340">
        <v>158.04</v>
      </c>
      <c r="CS1557" s="340" t="s">
        <v>302</v>
      </c>
      <c r="CT1557" s="1384"/>
      <c r="DF1557" s="340">
        <v>90.5</v>
      </c>
      <c r="DG1557" s="340" t="s">
        <v>331</v>
      </c>
      <c r="DV1557" s="340">
        <v>167.43</v>
      </c>
      <c r="DW1557" s="340" t="s">
        <v>338</v>
      </c>
      <c r="DX1557" s="1671"/>
    </row>
    <row r="1558" spans="12:128">
      <c r="L1558" s="2481">
        <v>90.59</v>
      </c>
      <c r="M1558" s="340" t="s">
        <v>331</v>
      </c>
      <c r="N1558" s="1390"/>
      <c r="O1558" s="2479"/>
      <c r="P1558" s="2282"/>
      <c r="AG1558" s="2297">
        <v>167.23</v>
      </c>
      <c r="AH1558" s="2297" t="s">
        <v>338</v>
      </c>
      <c r="AI1558" s="1390"/>
      <c r="AJ1558" s="2282"/>
      <c r="AK1558" s="2282"/>
      <c r="AL1558" s="1037"/>
      <c r="AX1558" s="340">
        <v>77.09</v>
      </c>
      <c r="AY1558" s="340" t="s">
        <v>331</v>
      </c>
      <c r="BN1558" s="340">
        <v>157.02000000000001</v>
      </c>
      <c r="BO1558" s="340" t="s">
        <v>338</v>
      </c>
      <c r="BP1558" s="1385"/>
      <c r="BV1558" s="236">
        <v>119.1</v>
      </c>
      <c r="BW1558" s="236" t="s">
        <v>316</v>
      </c>
      <c r="CB1558" s="340">
        <v>77.08</v>
      </c>
      <c r="CC1558" s="340" t="s">
        <v>331</v>
      </c>
      <c r="CL1558" s="236">
        <v>88.06</v>
      </c>
      <c r="CM1558" s="236" t="s">
        <v>331</v>
      </c>
      <c r="CR1558" s="340">
        <v>158.06</v>
      </c>
      <c r="CS1558" s="340" t="s">
        <v>302</v>
      </c>
      <c r="CT1558" s="1384"/>
      <c r="DF1558" s="340">
        <v>90.51</v>
      </c>
      <c r="DG1558" s="340" t="s">
        <v>331</v>
      </c>
      <c r="DV1558" s="340">
        <v>167.44</v>
      </c>
      <c r="DW1558" s="340" t="s">
        <v>338</v>
      </c>
      <c r="DX1558" s="1671"/>
    </row>
    <row r="1559" spans="12:128">
      <c r="L1559" s="2481">
        <v>90.6</v>
      </c>
      <c r="M1559" s="340" t="s">
        <v>331</v>
      </c>
      <c r="N1559" s="1390"/>
      <c r="O1559" s="2479"/>
      <c r="P1559" s="2282"/>
      <c r="AG1559" s="2297">
        <v>167.24</v>
      </c>
      <c r="AH1559" s="2297" t="s">
        <v>302</v>
      </c>
      <c r="AI1559" s="1390"/>
      <c r="AJ1559" s="2282"/>
      <c r="AK1559" s="2282"/>
      <c r="AL1559" s="1037"/>
      <c r="AX1559" s="340">
        <v>78.010000000000005</v>
      </c>
      <c r="AY1559" s="340" t="s">
        <v>331</v>
      </c>
      <c r="BN1559" s="340">
        <v>158</v>
      </c>
      <c r="BO1559" s="340" t="s">
        <v>331</v>
      </c>
      <c r="BP1559" s="1385"/>
      <c r="BV1559" s="236">
        <v>119.11</v>
      </c>
      <c r="BW1559" s="236" t="s">
        <v>316</v>
      </c>
      <c r="CB1559" s="340">
        <v>77.09</v>
      </c>
      <c r="CC1559" s="340" t="s">
        <v>331</v>
      </c>
      <c r="CL1559" s="236">
        <v>88.07</v>
      </c>
      <c r="CM1559" s="236" t="s">
        <v>331</v>
      </c>
      <c r="CR1559" s="340">
        <v>159</v>
      </c>
      <c r="CS1559" s="340" t="s">
        <v>344</v>
      </c>
      <c r="CT1559" s="1384"/>
      <c r="DF1559" s="340">
        <v>90.53</v>
      </c>
      <c r="DG1559" s="340" t="s">
        <v>331</v>
      </c>
      <c r="DV1559" s="340">
        <v>167.45</v>
      </c>
      <c r="DW1559" s="340" t="s">
        <v>338</v>
      </c>
      <c r="DX1559" s="1671"/>
    </row>
    <row r="1560" spans="12:128">
      <c r="L1560" s="2481">
        <v>90.62</v>
      </c>
      <c r="M1560" s="340" t="s">
        <v>331</v>
      </c>
      <c r="N1560" s="1390"/>
      <c r="O1560" s="2479"/>
      <c r="P1560" s="2282"/>
      <c r="AG1560" s="2297">
        <v>167.25</v>
      </c>
      <c r="AH1560" s="2297" t="s">
        <v>302</v>
      </c>
      <c r="AI1560" s="1390"/>
      <c r="AJ1560" s="2282"/>
      <c r="AK1560" s="2282"/>
      <c r="AL1560" s="1037"/>
      <c r="AX1560" s="340">
        <v>78.05</v>
      </c>
      <c r="AY1560" s="340" t="s">
        <v>331</v>
      </c>
      <c r="BN1560" s="340">
        <v>158.01</v>
      </c>
      <c r="BO1560" s="340" t="s">
        <v>338</v>
      </c>
      <c r="BP1560" s="1385"/>
      <c r="BV1560" s="236">
        <v>120.01</v>
      </c>
      <c r="BW1560" s="236" t="s">
        <v>316</v>
      </c>
      <c r="CB1560" s="340">
        <v>78.010000000000005</v>
      </c>
      <c r="CC1560" s="340" t="s">
        <v>331</v>
      </c>
      <c r="CL1560" s="236">
        <v>88.08</v>
      </c>
      <c r="CM1560" s="236" t="s">
        <v>331</v>
      </c>
      <c r="CR1560" s="340">
        <v>159.22</v>
      </c>
      <c r="CS1560" s="340" t="s">
        <v>302</v>
      </c>
      <c r="CT1560" s="1384"/>
      <c r="DF1560" s="340">
        <v>90.54</v>
      </c>
      <c r="DG1560" s="340" t="s">
        <v>331</v>
      </c>
      <c r="DV1560" s="340">
        <v>167.47</v>
      </c>
      <c r="DW1560" s="340" t="s">
        <v>338</v>
      </c>
      <c r="DX1560" s="1671"/>
    </row>
    <row r="1561" spans="12:128">
      <c r="L1561" s="2481">
        <v>90.63</v>
      </c>
      <c r="M1561" s="340" t="s">
        <v>331</v>
      </c>
      <c r="N1561" s="1390"/>
      <c r="O1561" s="2479"/>
      <c r="P1561" s="2282"/>
      <c r="AG1561" s="2297">
        <v>167.26</v>
      </c>
      <c r="AH1561" s="2297" t="s">
        <v>302</v>
      </c>
      <c r="AI1561" s="1390"/>
      <c r="AJ1561" s="2282"/>
      <c r="AK1561" s="2282"/>
      <c r="AL1561" s="1037"/>
      <c r="AX1561" s="340">
        <v>78.069999999999993</v>
      </c>
      <c r="AY1561" s="340" t="s">
        <v>331</v>
      </c>
      <c r="BN1561" s="340">
        <v>158.02000000000001</v>
      </c>
      <c r="BO1561" s="340" t="s">
        <v>338</v>
      </c>
      <c r="BP1561" s="1385"/>
      <c r="BV1561" s="236">
        <v>120.02</v>
      </c>
      <c r="BW1561" s="236" t="s">
        <v>316</v>
      </c>
      <c r="CB1561" s="340">
        <v>78.05</v>
      </c>
      <c r="CC1561" s="340" t="s">
        <v>331</v>
      </c>
      <c r="CL1561" s="236">
        <v>88.09</v>
      </c>
      <c r="CM1561" s="236" t="s">
        <v>331</v>
      </c>
      <c r="CR1561" s="340">
        <v>159.24</v>
      </c>
      <c r="CS1561" s="340" t="s">
        <v>302</v>
      </c>
      <c r="CT1561" s="1384"/>
      <c r="DF1561" s="340">
        <v>90.56</v>
      </c>
      <c r="DG1561" s="340" t="s">
        <v>331</v>
      </c>
      <c r="DV1561" s="340">
        <v>167.48</v>
      </c>
      <c r="DW1561" s="340" t="s">
        <v>338</v>
      </c>
      <c r="DX1561" s="1671"/>
    </row>
    <row r="1562" spans="12:128">
      <c r="L1562" s="2481">
        <v>90.64</v>
      </c>
      <c r="M1562" s="340" t="s">
        <v>331</v>
      </c>
      <c r="N1562" s="1390"/>
      <c r="O1562" s="2479"/>
      <c r="P1562" s="2282"/>
      <c r="AG1562" s="2297">
        <v>167.28</v>
      </c>
      <c r="AH1562" s="2297" t="s">
        <v>302</v>
      </c>
      <c r="AI1562" s="1390"/>
      <c r="AJ1562" s="2282"/>
      <c r="AK1562" s="2282"/>
      <c r="AL1562" s="1037"/>
      <c r="AX1562" s="340">
        <v>78.08</v>
      </c>
      <c r="AY1562" s="340" t="s">
        <v>331</v>
      </c>
      <c r="BN1562" s="340">
        <v>158.02000000000001</v>
      </c>
      <c r="BO1562" s="340" t="s">
        <v>344</v>
      </c>
      <c r="BP1562" s="1385"/>
      <c r="BV1562" s="236">
        <v>121.03</v>
      </c>
      <c r="BW1562" s="236" t="s">
        <v>316</v>
      </c>
      <c r="CB1562" s="340">
        <v>78.06</v>
      </c>
      <c r="CC1562" s="340" t="s">
        <v>331</v>
      </c>
      <c r="CL1562" s="236">
        <v>88.1</v>
      </c>
      <c r="CM1562" s="236" t="s">
        <v>331</v>
      </c>
      <c r="CR1562" s="340">
        <v>159.25</v>
      </c>
      <c r="CS1562" s="340" t="s">
        <v>302</v>
      </c>
      <c r="CT1562" s="1384"/>
      <c r="DF1562" s="340">
        <v>90.57</v>
      </c>
      <c r="DG1562" s="340" t="s">
        <v>331</v>
      </c>
      <c r="DV1562" s="340">
        <v>167.49</v>
      </c>
      <c r="DW1562" s="340" t="s">
        <v>338</v>
      </c>
      <c r="DX1562" s="1671"/>
    </row>
    <row r="1563" spans="12:128">
      <c r="L1563" s="2481">
        <v>90.65</v>
      </c>
      <c r="M1563" s="340" t="s">
        <v>331</v>
      </c>
      <c r="N1563" s="1390"/>
      <c r="O1563" s="2479"/>
      <c r="P1563" s="2282"/>
      <c r="AG1563" s="2297">
        <v>167.28</v>
      </c>
      <c r="AH1563" s="2297" t="s">
        <v>338</v>
      </c>
      <c r="AI1563" s="1390"/>
      <c r="AJ1563" s="2282"/>
      <c r="AK1563" s="2282"/>
      <c r="AL1563" s="1037"/>
      <c r="AX1563" s="340">
        <v>78.09</v>
      </c>
      <c r="AY1563" s="340" t="s">
        <v>331</v>
      </c>
      <c r="BN1563" s="340">
        <v>158.04</v>
      </c>
      <c r="BO1563" s="340" t="s">
        <v>302</v>
      </c>
      <c r="BP1563" s="1385"/>
      <c r="BV1563" s="236">
        <v>121.06</v>
      </c>
      <c r="BW1563" s="236" t="s">
        <v>316</v>
      </c>
      <c r="CB1563" s="340">
        <v>78.069999999999993</v>
      </c>
      <c r="CC1563" s="340" t="s">
        <v>331</v>
      </c>
      <c r="CL1563" s="236">
        <v>89.04</v>
      </c>
      <c r="CM1563" s="236" t="s">
        <v>331</v>
      </c>
      <c r="CR1563" s="340">
        <v>159.26</v>
      </c>
      <c r="CS1563" s="340" t="s">
        <v>302</v>
      </c>
      <c r="CT1563" s="1384"/>
      <c r="DF1563" s="340">
        <v>90.58</v>
      </c>
      <c r="DG1563" s="340" t="s">
        <v>331</v>
      </c>
      <c r="DV1563" s="340">
        <v>167.5</v>
      </c>
      <c r="DW1563" s="340" t="s">
        <v>338</v>
      </c>
      <c r="DX1563" s="1671"/>
    </row>
    <row r="1564" spans="12:128">
      <c r="L1564" s="2481">
        <v>90.66</v>
      </c>
      <c r="M1564" s="340" t="s">
        <v>331</v>
      </c>
      <c r="N1564" s="1390"/>
      <c r="O1564" s="2479"/>
      <c r="P1564" s="2282"/>
      <c r="AG1564" s="2297">
        <v>167.29</v>
      </c>
      <c r="AH1564" s="2297" t="s">
        <v>302</v>
      </c>
      <c r="AI1564" s="1390"/>
      <c r="AJ1564" s="2282"/>
      <c r="AK1564" s="2282"/>
      <c r="AL1564" s="1037"/>
      <c r="AX1564" s="340">
        <v>79.010000000000005</v>
      </c>
      <c r="AY1564" s="340" t="s">
        <v>331</v>
      </c>
      <c r="BN1564" s="340">
        <v>158.06</v>
      </c>
      <c r="BO1564" s="340" t="s">
        <v>302</v>
      </c>
      <c r="BP1564" s="1385"/>
      <c r="BV1564" s="236">
        <v>121.07</v>
      </c>
      <c r="BW1564" s="236" t="s">
        <v>316</v>
      </c>
      <c r="CB1564" s="340">
        <v>78.08</v>
      </c>
      <c r="CC1564" s="340" t="s">
        <v>331</v>
      </c>
      <c r="CL1564" s="236">
        <v>89.06</v>
      </c>
      <c r="CM1564" s="236" t="s">
        <v>331</v>
      </c>
      <c r="CR1564" s="340">
        <v>159.28</v>
      </c>
      <c r="CS1564" s="340" t="s">
        <v>302</v>
      </c>
      <c r="CT1564" s="1384"/>
      <c r="DF1564" s="340">
        <v>90.59</v>
      </c>
      <c r="DG1564" s="340" t="s">
        <v>331</v>
      </c>
      <c r="DV1564" s="340">
        <v>167.51</v>
      </c>
      <c r="DW1564" s="340" t="s">
        <v>338</v>
      </c>
      <c r="DX1564" s="1671"/>
    </row>
    <row r="1565" spans="12:128">
      <c r="L1565" s="2481">
        <v>92</v>
      </c>
      <c r="M1565" s="340" t="s">
        <v>331</v>
      </c>
      <c r="N1565" s="1390"/>
      <c r="O1565" s="2479"/>
      <c r="P1565" s="2282"/>
      <c r="AG1565" s="2297">
        <v>167.3</v>
      </c>
      <c r="AH1565" s="2297" t="s">
        <v>302</v>
      </c>
      <c r="AI1565" s="1390"/>
      <c r="AJ1565" s="2282"/>
      <c r="AK1565" s="2282"/>
      <c r="AL1565" s="1037"/>
      <c r="AX1565" s="340">
        <v>79.02</v>
      </c>
      <c r="AY1565" s="340" t="s">
        <v>331</v>
      </c>
      <c r="BN1565" s="340">
        <v>159</v>
      </c>
      <c r="BO1565" s="340" t="s">
        <v>344</v>
      </c>
      <c r="BP1565" s="1385"/>
      <c r="BV1565" s="236">
        <v>121.08</v>
      </c>
      <c r="BW1565" s="236" t="s">
        <v>316</v>
      </c>
      <c r="CB1565" s="340">
        <v>78.09</v>
      </c>
      <c r="CC1565" s="340" t="s">
        <v>331</v>
      </c>
      <c r="CL1565" s="236">
        <v>89.07</v>
      </c>
      <c r="CM1565" s="236" t="s">
        <v>331</v>
      </c>
      <c r="CR1565" s="340">
        <v>159.29</v>
      </c>
      <c r="CS1565" s="340" t="s">
        <v>302</v>
      </c>
      <c r="CT1565" s="1384"/>
      <c r="DF1565" s="340">
        <v>90.6</v>
      </c>
      <c r="DG1565" s="340" t="s">
        <v>331</v>
      </c>
      <c r="DV1565" s="340">
        <v>167.52</v>
      </c>
      <c r="DW1565" s="340" t="s">
        <v>338</v>
      </c>
      <c r="DX1565" s="1671"/>
    </row>
    <row r="1566" spans="12:128">
      <c r="L1566" s="2481">
        <v>93.05</v>
      </c>
      <c r="M1566" s="340" t="s">
        <v>331</v>
      </c>
      <c r="N1566" s="1390"/>
      <c r="O1566" s="2479"/>
      <c r="P1566" s="2282"/>
      <c r="AG1566" s="2297">
        <v>167.31</v>
      </c>
      <c r="AH1566" s="2297" t="s">
        <v>302</v>
      </c>
      <c r="AI1566" s="1390"/>
      <c r="AJ1566" s="2282"/>
      <c r="AK1566" s="2282"/>
      <c r="AL1566" s="1037"/>
      <c r="AX1566" s="340">
        <v>80</v>
      </c>
      <c r="AY1566" s="340" t="s">
        <v>331</v>
      </c>
      <c r="BN1566" s="340">
        <v>159.01</v>
      </c>
      <c r="BO1566" s="340" t="s">
        <v>338</v>
      </c>
      <c r="BP1566" s="1385"/>
      <c r="BV1566" s="236">
        <v>121.09</v>
      </c>
      <c r="BW1566" s="236" t="s">
        <v>316</v>
      </c>
      <c r="CB1566" s="340">
        <v>79.010000000000005</v>
      </c>
      <c r="CC1566" s="340" t="s">
        <v>331</v>
      </c>
      <c r="CL1566" s="236">
        <v>89.08</v>
      </c>
      <c r="CM1566" s="236" t="s">
        <v>331</v>
      </c>
      <c r="CR1566" s="340">
        <v>160</v>
      </c>
      <c r="CS1566" s="340" t="s">
        <v>331</v>
      </c>
      <c r="CT1566" s="1384"/>
      <c r="DF1566" s="340">
        <v>90.62</v>
      </c>
      <c r="DG1566" s="340" t="s">
        <v>331</v>
      </c>
      <c r="DV1566" s="340">
        <v>167.53</v>
      </c>
      <c r="DW1566" s="340" t="s">
        <v>338</v>
      </c>
      <c r="DX1566" s="1671"/>
    </row>
    <row r="1567" spans="12:128">
      <c r="L1567" s="2481">
        <v>93.12</v>
      </c>
      <c r="M1567" s="340" t="s">
        <v>331</v>
      </c>
      <c r="N1567" s="1390"/>
      <c r="O1567" s="2479"/>
      <c r="P1567" s="2282"/>
      <c r="AG1567" s="2297">
        <v>167.31</v>
      </c>
      <c r="AH1567" s="2297" t="s">
        <v>338</v>
      </c>
      <c r="AI1567" s="1390"/>
      <c r="AJ1567" s="2282"/>
      <c r="AK1567" s="2282"/>
      <c r="AL1567" s="1037"/>
      <c r="AX1567" s="340">
        <v>81.010000000000005</v>
      </c>
      <c r="AY1567" s="340" t="s">
        <v>331</v>
      </c>
      <c r="BN1567" s="340">
        <v>159.22</v>
      </c>
      <c r="BO1567" s="340" t="s">
        <v>302</v>
      </c>
      <c r="BP1567" s="1385"/>
      <c r="BV1567" s="236">
        <v>121.1</v>
      </c>
      <c r="BW1567" s="236" t="s">
        <v>316</v>
      </c>
      <c r="CB1567" s="340">
        <v>79.02</v>
      </c>
      <c r="CC1567" s="340" t="s">
        <v>331</v>
      </c>
      <c r="CL1567" s="236">
        <v>89.09</v>
      </c>
      <c r="CM1567" s="236" t="s">
        <v>331</v>
      </c>
      <c r="CR1567" s="340">
        <v>160.01</v>
      </c>
      <c r="CS1567" s="340" t="s">
        <v>338</v>
      </c>
      <c r="CT1567" s="1384"/>
      <c r="DF1567" s="340">
        <v>90.64</v>
      </c>
      <c r="DG1567" s="340" t="s">
        <v>331</v>
      </c>
      <c r="DV1567" s="340">
        <v>167.55</v>
      </c>
      <c r="DW1567" s="340" t="s">
        <v>338</v>
      </c>
      <c r="DX1567" s="1671"/>
    </row>
    <row r="1568" spans="12:128">
      <c r="L1568" s="2481">
        <v>93.17</v>
      </c>
      <c r="M1568" s="340" t="s">
        <v>331</v>
      </c>
      <c r="N1568" s="1390"/>
      <c r="O1568" s="2479"/>
      <c r="P1568" s="2282"/>
      <c r="AG1568" s="2297">
        <v>167.35</v>
      </c>
      <c r="AH1568" s="2297" t="s">
        <v>338</v>
      </c>
      <c r="AI1568" s="1390"/>
      <c r="AJ1568" s="2282"/>
      <c r="AK1568" s="2282"/>
      <c r="AL1568" s="1037"/>
      <c r="AX1568" s="340">
        <v>81.02</v>
      </c>
      <c r="AY1568" s="340" t="s">
        <v>331</v>
      </c>
      <c r="BN1568" s="340">
        <v>159.24</v>
      </c>
      <c r="BO1568" s="340" t="s">
        <v>302</v>
      </c>
      <c r="BP1568" s="1385"/>
      <c r="BV1568" s="236">
        <v>122.06</v>
      </c>
      <c r="BW1568" s="236" t="s">
        <v>316</v>
      </c>
      <c r="CB1568" s="340">
        <v>80</v>
      </c>
      <c r="CC1568" s="340" t="s">
        <v>331</v>
      </c>
      <c r="CL1568" s="236">
        <v>89.1</v>
      </c>
      <c r="CM1568" s="236" t="s">
        <v>331</v>
      </c>
      <c r="CR1568" s="340">
        <v>160.02000000000001</v>
      </c>
      <c r="CS1568" s="340" t="s">
        <v>338</v>
      </c>
      <c r="CT1568" s="1384"/>
      <c r="DF1568" s="340">
        <v>90.66</v>
      </c>
      <c r="DG1568" s="340" t="s">
        <v>331</v>
      </c>
      <c r="DV1568" s="340">
        <v>167.56</v>
      </c>
      <c r="DW1568" s="340" t="s">
        <v>338</v>
      </c>
      <c r="DX1568" s="1671"/>
    </row>
    <row r="1569" spans="12:128">
      <c r="L1569" s="2481">
        <v>93.19</v>
      </c>
      <c r="M1569" s="340" t="s">
        <v>331</v>
      </c>
      <c r="N1569" s="1390"/>
      <c r="O1569" s="2479"/>
      <c r="P1569" s="2282"/>
      <c r="AG1569" s="2297">
        <v>167.36</v>
      </c>
      <c r="AH1569" s="2297" t="s">
        <v>338</v>
      </c>
      <c r="AI1569" s="1390"/>
      <c r="AJ1569" s="2282"/>
      <c r="AK1569" s="2282"/>
      <c r="AL1569" s="1037"/>
      <c r="AX1569" s="340">
        <v>82.02</v>
      </c>
      <c r="AY1569" s="340" t="s">
        <v>331</v>
      </c>
      <c r="BN1569" s="340">
        <v>159.25</v>
      </c>
      <c r="BO1569" s="340" t="s">
        <v>302</v>
      </c>
      <c r="BP1569" s="1385"/>
      <c r="BV1569" s="236">
        <v>122.07</v>
      </c>
      <c r="BW1569" s="236" t="s">
        <v>316</v>
      </c>
      <c r="CB1569" s="340">
        <v>81.02</v>
      </c>
      <c r="CC1569" s="340" t="s">
        <v>331</v>
      </c>
      <c r="CL1569" s="236">
        <v>89.11</v>
      </c>
      <c r="CM1569" s="236" t="s">
        <v>331</v>
      </c>
      <c r="CR1569" s="340">
        <v>161</v>
      </c>
      <c r="CS1569" s="340" t="s">
        <v>331</v>
      </c>
      <c r="CT1569" s="1384"/>
      <c r="DF1569" s="340">
        <v>92</v>
      </c>
      <c r="DG1569" s="340" t="s">
        <v>331</v>
      </c>
      <c r="DV1569" s="340">
        <v>168</v>
      </c>
      <c r="DW1569" s="340" t="s">
        <v>331</v>
      </c>
      <c r="DX1569" s="1671"/>
    </row>
    <row r="1570" spans="12:128">
      <c r="L1570" s="2481">
        <v>93.21</v>
      </c>
      <c r="M1570" s="340" t="s">
        <v>331</v>
      </c>
      <c r="N1570" s="1390"/>
      <c r="O1570" s="2479"/>
      <c r="P1570" s="2282"/>
      <c r="AG1570" s="2297">
        <v>167.37</v>
      </c>
      <c r="AH1570" s="2297" t="s">
        <v>338</v>
      </c>
      <c r="AI1570" s="1390"/>
      <c r="AJ1570" s="2282"/>
      <c r="AK1570" s="2282"/>
      <c r="AL1570" s="1037"/>
      <c r="AX1570" s="340">
        <v>82.05</v>
      </c>
      <c r="AY1570" s="340" t="s">
        <v>331</v>
      </c>
      <c r="BN1570" s="340">
        <v>159.26</v>
      </c>
      <c r="BO1570" s="340" t="s">
        <v>302</v>
      </c>
      <c r="BP1570" s="1385"/>
      <c r="BV1570" s="236">
        <v>122.08</v>
      </c>
      <c r="BW1570" s="236" t="s">
        <v>316</v>
      </c>
      <c r="CB1570" s="340">
        <v>82.02</v>
      </c>
      <c r="CC1570" s="340" t="s">
        <v>331</v>
      </c>
      <c r="CL1570" s="236">
        <v>90.1</v>
      </c>
      <c r="CM1570" s="236" t="s">
        <v>331</v>
      </c>
      <c r="CR1570" s="340">
        <v>161</v>
      </c>
      <c r="CS1570" s="340" t="s">
        <v>338</v>
      </c>
      <c r="CT1570" s="1384"/>
      <c r="DF1570" s="340">
        <v>93.05</v>
      </c>
      <c r="DG1570" s="340" t="s">
        <v>331</v>
      </c>
      <c r="DV1570" s="340">
        <v>168.01</v>
      </c>
      <c r="DW1570" s="340" t="s">
        <v>302</v>
      </c>
      <c r="DX1570" s="1671"/>
    </row>
    <row r="1571" spans="12:128">
      <c r="L1571" s="2481">
        <v>93.27</v>
      </c>
      <c r="M1571" s="340" t="s">
        <v>331</v>
      </c>
      <c r="N1571" s="1390"/>
      <c r="O1571" s="2479"/>
      <c r="P1571" s="2282"/>
      <c r="AG1571" s="2297">
        <v>167.39</v>
      </c>
      <c r="AH1571" s="2297" t="s">
        <v>338</v>
      </c>
      <c r="AI1571" s="1390"/>
      <c r="AJ1571" s="2282"/>
      <c r="AK1571" s="2282"/>
      <c r="AL1571" s="1037"/>
      <c r="AX1571" s="340">
        <v>82.06</v>
      </c>
      <c r="AY1571" s="340" t="s">
        <v>331</v>
      </c>
      <c r="BN1571" s="340">
        <v>159.29</v>
      </c>
      <c r="BO1571" s="340" t="s">
        <v>302</v>
      </c>
      <c r="BP1571" s="1385"/>
      <c r="BV1571" s="236">
        <v>122.09</v>
      </c>
      <c r="BW1571" s="236" t="s">
        <v>316</v>
      </c>
      <c r="CB1571" s="340">
        <v>82.05</v>
      </c>
      <c r="CC1571" s="340" t="s">
        <v>331</v>
      </c>
      <c r="CL1571" s="236">
        <v>90.14</v>
      </c>
      <c r="CM1571" s="236" t="s">
        <v>331</v>
      </c>
      <c r="CR1571" s="340">
        <v>161.01</v>
      </c>
      <c r="CS1571" s="340" t="s">
        <v>302</v>
      </c>
      <c r="CT1571" s="1384"/>
      <c r="DF1571" s="340">
        <v>93.12</v>
      </c>
      <c r="DG1571" s="340" t="s">
        <v>331</v>
      </c>
      <c r="DV1571" s="340">
        <v>168.02</v>
      </c>
      <c r="DW1571" s="340" t="s">
        <v>338</v>
      </c>
      <c r="DX1571" s="1671"/>
    </row>
    <row r="1572" spans="12:128">
      <c r="L1572" s="2481">
        <v>97.03</v>
      </c>
      <c r="M1572" s="340" t="s">
        <v>331</v>
      </c>
      <c r="N1572" s="1390"/>
      <c r="O1572" s="2479"/>
      <c r="P1572" s="2282"/>
      <c r="AG1572" s="2297">
        <v>167.43</v>
      </c>
      <c r="AH1572" s="2297" t="s">
        <v>338</v>
      </c>
      <c r="AI1572" s="1390"/>
      <c r="AJ1572" s="2282"/>
      <c r="AK1572" s="2282"/>
      <c r="AL1572" s="1037"/>
      <c r="AX1572" s="340">
        <v>82.07</v>
      </c>
      <c r="AY1572" s="340" t="s">
        <v>331</v>
      </c>
      <c r="BN1572" s="340">
        <v>160</v>
      </c>
      <c r="BO1572" s="340" t="s">
        <v>331</v>
      </c>
      <c r="BP1572" s="1385"/>
      <c r="BV1572" s="236">
        <v>122.1</v>
      </c>
      <c r="BW1572" s="236" t="s">
        <v>316</v>
      </c>
      <c r="CB1572" s="340">
        <v>82.06</v>
      </c>
      <c r="CC1572" s="340" t="s">
        <v>331</v>
      </c>
      <c r="CL1572" s="236">
        <v>90.15</v>
      </c>
      <c r="CM1572" s="236" t="s">
        <v>331</v>
      </c>
      <c r="CR1572" s="340">
        <v>162</v>
      </c>
      <c r="CS1572" s="340" t="s">
        <v>331</v>
      </c>
      <c r="CT1572" s="1384"/>
      <c r="DF1572" s="340">
        <v>93.17</v>
      </c>
      <c r="DG1572" s="340" t="s">
        <v>331</v>
      </c>
      <c r="DV1572" s="340">
        <v>168.03</v>
      </c>
      <c r="DW1572" s="340" t="s">
        <v>302</v>
      </c>
      <c r="DX1572" s="1671"/>
    </row>
    <row r="1573" spans="12:128">
      <c r="L1573" s="2481">
        <v>97.04</v>
      </c>
      <c r="M1573" s="340" t="s">
        <v>331</v>
      </c>
      <c r="N1573" s="1390"/>
      <c r="O1573" s="2479"/>
      <c r="P1573" s="2282"/>
      <c r="AG1573" s="2297">
        <v>167.44</v>
      </c>
      <c r="AH1573" s="2297" t="s">
        <v>338</v>
      </c>
      <c r="AI1573" s="1390"/>
      <c r="AJ1573" s="2282"/>
      <c r="AK1573" s="2282"/>
      <c r="AL1573" s="1037"/>
      <c r="AX1573" s="340">
        <v>82.08</v>
      </c>
      <c r="AY1573" s="340" t="s">
        <v>331</v>
      </c>
      <c r="BN1573" s="340">
        <v>160.01</v>
      </c>
      <c r="BO1573" s="340" t="s">
        <v>338</v>
      </c>
      <c r="BP1573" s="1385"/>
      <c r="BV1573" s="236">
        <v>122.11</v>
      </c>
      <c r="BW1573" s="236" t="s">
        <v>316</v>
      </c>
      <c r="CB1573" s="340">
        <v>82.07</v>
      </c>
      <c r="CC1573" s="340" t="s">
        <v>331</v>
      </c>
      <c r="CL1573" s="236">
        <v>90.2</v>
      </c>
      <c r="CM1573" s="236" t="s">
        <v>331</v>
      </c>
      <c r="CR1573" s="340">
        <v>162</v>
      </c>
      <c r="CS1573" s="340" t="s">
        <v>338</v>
      </c>
      <c r="CT1573" s="1384"/>
      <c r="DF1573" s="340">
        <v>93.19</v>
      </c>
      <c r="DG1573" s="340" t="s">
        <v>331</v>
      </c>
      <c r="DV1573" s="340">
        <v>168.04</v>
      </c>
      <c r="DW1573" s="340" t="s">
        <v>302</v>
      </c>
      <c r="DX1573" s="1671"/>
    </row>
    <row r="1574" spans="12:128">
      <c r="L1574" s="2481">
        <v>98.03</v>
      </c>
      <c r="M1574" s="340" t="s">
        <v>331</v>
      </c>
      <c r="N1574" s="1390"/>
      <c r="O1574" s="2479"/>
      <c r="P1574" s="2282"/>
      <c r="AG1574" s="2297">
        <v>167.45</v>
      </c>
      <c r="AH1574" s="2297" t="s">
        <v>338</v>
      </c>
      <c r="AI1574" s="1390"/>
      <c r="AJ1574" s="2282"/>
      <c r="AK1574" s="2282"/>
      <c r="AL1574" s="1037"/>
      <c r="AX1574" s="340">
        <v>82.09</v>
      </c>
      <c r="AY1574" s="340" t="s">
        <v>331</v>
      </c>
      <c r="BN1574" s="340">
        <v>160.02000000000001</v>
      </c>
      <c r="BO1574" s="340" t="s">
        <v>338</v>
      </c>
      <c r="BP1574" s="1385"/>
      <c r="BV1574" s="236">
        <v>122.12</v>
      </c>
      <c r="BW1574" s="236" t="s">
        <v>316</v>
      </c>
      <c r="CB1574" s="340">
        <v>82.08</v>
      </c>
      <c r="CC1574" s="340" t="s">
        <v>331</v>
      </c>
      <c r="CL1574" s="236">
        <v>90.21</v>
      </c>
      <c r="CM1574" s="236" t="s">
        <v>331</v>
      </c>
      <c r="CR1574" s="340">
        <v>163</v>
      </c>
      <c r="CS1574" s="340" t="s">
        <v>331</v>
      </c>
      <c r="CT1574" s="1384"/>
      <c r="DF1574" s="340">
        <v>93.21</v>
      </c>
      <c r="DG1574" s="340" t="s">
        <v>331</v>
      </c>
      <c r="DV1574" s="340">
        <v>168.04</v>
      </c>
      <c r="DW1574" s="340" t="s">
        <v>338</v>
      </c>
      <c r="DX1574" s="1671"/>
    </row>
    <row r="1575" spans="12:128">
      <c r="L1575" s="2481">
        <v>98.04</v>
      </c>
      <c r="M1575" s="340" t="s">
        <v>331</v>
      </c>
      <c r="N1575" s="1390"/>
      <c r="O1575" s="2479"/>
      <c r="P1575" s="2282"/>
      <c r="AG1575" s="2297">
        <v>167.47</v>
      </c>
      <c r="AH1575" s="2297" t="s">
        <v>338</v>
      </c>
      <c r="AI1575" s="1390"/>
      <c r="AJ1575" s="2282"/>
      <c r="AK1575" s="2282"/>
      <c r="AL1575" s="1037"/>
      <c r="AX1575" s="340">
        <v>83.05</v>
      </c>
      <c r="AY1575" s="340" t="s">
        <v>331</v>
      </c>
      <c r="BN1575" s="340">
        <v>161</v>
      </c>
      <c r="BO1575" s="340" t="s">
        <v>331</v>
      </c>
      <c r="BP1575" s="1385"/>
      <c r="BV1575" s="236">
        <v>122.13</v>
      </c>
      <c r="BW1575" s="236" t="s">
        <v>316</v>
      </c>
      <c r="CB1575" s="340">
        <v>82.09</v>
      </c>
      <c r="CC1575" s="340" t="s">
        <v>331</v>
      </c>
      <c r="CL1575" s="236">
        <v>90.22</v>
      </c>
      <c r="CM1575" s="236" t="s">
        <v>331</v>
      </c>
      <c r="CR1575" s="340">
        <v>163.01</v>
      </c>
      <c r="CS1575" s="340" t="s">
        <v>338</v>
      </c>
      <c r="CT1575" s="1384"/>
      <c r="DF1575" s="340">
        <v>93.23</v>
      </c>
      <c r="DG1575" s="340" t="s">
        <v>331</v>
      </c>
      <c r="DV1575" s="340">
        <v>168.07</v>
      </c>
      <c r="DW1575" s="340" t="s">
        <v>302</v>
      </c>
      <c r="DX1575" s="1671"/>
    </row>
    <row r="1576" spans="12:128">
      <c r="L1576" s="2481">
        <v>98.09</v>
      </c>
      <c r="M1576" s="340" t="s">
        <v>331</v>
      </c>
      <c r="N1576" s="1390"/>
      <c r="O1576" s="2479"/>
      <c r="P1576" s="2282"/>
      <c r="AG1576" s="2297">
        <v>167.48</v>
      </c>
      <c r="AH1576" s="2297" t="s">
        <v>338</v>
      </c>
      <c r="AI1576" s="1390"/>
      <c r="AJ1576" s="2282"/>
      <c r="AK1576" s="2282"/>
      <c r="AL1576" s="1037"/>
      <c r="AX1576" s="340">
        <v>83.08</v>
      </c>
      <c r="AY1576" s="340" t="s">
        <v>331</v>
      </c>
      <c r="BN1576" s="340">
        <v>161</v>
      </c>
      <c r="BO1576" s="340" t="s">
        <v>338</v>
      </c>
      <c r="BP1576" s="1385"/>
      <c r="BV1576" s="236">
        <v>123.01</v>
      </c>
      <c r="BW1576" s="236" t="s">
        <v>316</v>
      </c>
      <c r="CB1576" s="340">
        <v>83.05</v>
      </c>
      <c r="CC1576" s="340" t="s">
        <v>331</v>
      </c>
      <c r="CL1576" s="236">
        <v>90.24</v>
      </c>
      <c r="CM1576" s="236" t="s">
        <v>331</v>
      </c>
      <c r="CR1576" s="340">
        <v>164</v>
      </c>
      <c r="CS1576" s="340" t="s">
        <v>302</v>
      </c>
      <c r="CT1576" s="1384"/>
      <c r="DF1576" s="340">
        <v>93.27</v>
      </c>
      <c r="DG1576" s="340" t="s">
        <v>331</v>
      </c>
      <c r="DV1576" s="340">
        <v>168.08</v>
      </c>
      <c r="DW1576" s="340" t="s">
        <v>302</v>
      </c>
      <c r="DX1576" s="1671"/>
    </row>
    <row r="1577" spans="12:128">
      <c r="L1577" s="2481">
        <v>98.1</v>
      </c>
      <c r="M1577" s="340" t="s">
        <v>331</v>
      </c>
      <c r="N1577" s="1390"/>
      <c r="O1577" s="2479"/>
      <c r="P1577" s="2282"/>
      <c r="AG1577" s="2297">
        <v>167.49</v>
      </c>
      <c r="AH1577" s="2297" t="s">
        <v>338</v>
      </c>
      <c r="AI1577" s="1390"/>
      <c r="AJ1577" s="2282"/>
      <c r="AK1577" s="2282"/>
      <c r="AL1577" s="1037"/>
      <c r="AX1577" s="340">
        <v>83.1</v>
      </c>
      <c r="AY1577" s="340" t="s">
        <v>331</v>
      </c>
      <c r="BN1577" s="340">
        <v>162</v>
      </c>
      <c r="BO1577" s="340" t="s">
        <v>331</v>
      </c>
      <c r="BP1577" s="1385"/>
      <c r="BV1577" s="236">
        <v>123.03</v>
      </c>
      <c r="BW1577" s="236" t="s">
        <v>316</v>
      </c>
      <c r="CB1577" s="340">
        <v>83.08</v>
      </c>
      <c r="CC1577" s="340" t="s">
        <v>331</v>
      </c>
      <c r="CL1577" s="236">
        <v>90.26</v>
      </c>
      <c r="CM1577" s="236" t="s">
        <v>331</v>
      </c>
      <c r="CR1577" s="340">
        <v>164.01</v>
      </c>
      <c r="CS1577" s="340" t="s">
        <v>331</v>
      </c>
      <c r="CT1577" s="1384"/>
      <c r="DF1577" s="340">
        <v>95.03</v>
      </c>
      <c r="DG1577" s="340" t="s">
        <v>331</v>
      </c>
      <c r="DV1577" s="340">
        <v>168.08</v>
      </c>
      <c r="DW1577" s="340" t="s">
        <v>338</v>
      </c>
      <c r="DX1577" s="1671"/>
    </row>
    <row r="1578" spans="12:128">
      <c r="L1578" s="2481">
        <v>98.12</v>
      </c>
      <c r="M1578" s="340" t="s">
        <v>331</v>
      </c>
      <c r="N1578" s="1390"/>
      <c r="O1578" s="2479"/>
      <c r="P1578" s="2282"/>
      <c r="AG1578" s="2297">
        <v>167.5</v>
      </c>
      <c r="AH1578" s="2297" t="s">
        <v>338</v>
      </c>
      <c r="AI1578" s="1390"/>
      <c r="AJ1578" s="2282"/>
      <c r="AK1578" s="2282"/>
      <c r="AL1578" s="1037"/>
      <c r="AX1578" s="340">
        <v>83.12</v>
      </c>
      <c r="AY1578" s="340" t="s">
        <v>331</v>
      </c>
      <c r="BN1578" s="340">
        <v>162</v>
      </c>
      <c r="BO1578" s="340" t="s">
        <v>338</v>
      </c>
      <c r="BP1578" s="1385"/>
      <c r="BV1578" s="236">
        <v>123.04</v>
      </c>
      <c r="BW1578" s="236" t="s">
        <v>316</v>
      </c>
      <c r="CB1578" s="340">
        <v>83.1</v>
      </c>
      <c r="CC1578" s="340" t="s">
        <v>331</v>
      </c>
      <c r="CL1578" s="236">
        <v>90.27</v>
      </c>
      <c r="CM1578" s="236" t="s">
        <v>331</v>
      </c>
      <c r="CR1578" s="340">
        <v>164.02</v>
      </c>
      <c r="CS1578" s="340" t="s">
        <v>331</v>
      </c>
      <c r="CT1578" s="1384"/>
      <c r="DF1578" s="340">
        <v>96.01</v>
      </c>
      <c r="DG1578" s="340" t="s">
        <v>331</v>
      </c>
      <c r="DV1578" s="340">
        <v>168.09</v>
      </c>
      <c r="DW1578" s="340" t="s">
        <v>302</v>
      </c>
      <c r="DX1578" s="1671"/>
    </row>
    <row r="1579" spans="12:128">
      <c r="L1579" s="2481">
        <v>99.03</v>
      </c>
      <c r="M1579" s="340" t="s">
        <v>331</v>
      </c>
      <c r="N1579" s="1390"/>
      <c r="O1579" s="2479"/>
      <c r="P1579" s="2282"/>
      <c r="AG1579" s="2297">
        <v>167.51</v>
      </c>
      <c r="AH1579" s="2297" t="s">
        <v>338</v>
      </c>
      <c r="AI1579" s="1390"/>
      <c r="AJ1579" s="2282"/>
      <c r="AK1579" s="2282"/>
      <c r="AL1579" s="1037"/>
      <c r="AX1579" s="340">
        <v>83.14</v>
      </c>
      <c r="AY1579" s="340" t="s">
        <v>331</v>
      </c>
      <c r="BN1579" s="340">
        <v>163</v>
      </c>
      <c r="BO1579" s="340" t="s">
        <v>331</v>
      </c>
      <c r="BP1579" s="1385"/>
      <c r="BV1579" s="236">
        <v>124.01</v>
      </c>
      <c r="BW1579" s="236" t="s">
        <v>316</v>
      </c>
      <c r="CB1579" s="340">
        <v>83.11</v>
      </c>
      <c r="CC1579" s="340" t="s">
        <v>331</v>
      </c>
      <c r="CL1579" s="236">
        <v>90.28</v>
      </c>
      <c r="CM1579" s="236" t="s">
        <v>331</v>
      </c>
      <c r="CR1579" s="340">
        <v>164.08</v>
      </c>
      <c r="CS1579" s="340" t="s">
        <v>338</v>
      </c>
      <c r="CT1579" s="1384"/>
      <c r="DF1579" s="340">
        <v>97.03</v>
      </c>
      <c r="DG1579" s="340" t="s">
        <v>331</v>
      </c>
      <c r="DV1579" s="340">
        <v>168.1</v>
      </c>
      <c r="DW1579" s="340" t="s">
        <v>302</v>
      </c>
      <c r="DX1579" s="1671"/>
    </row>
    <row r="1580" spans="12:128">
      <c r="L1580" s="2481">
        <v>100.12</v>
      </c>
      <c r="M1580" s="340" t="s">
        <v>331</v>
      </c>
      <c r="N1580" s="1390"/>
      <c r="O1580" s="2479"/>
      <c r="P1580" s="2282"/>
      <c r="AG1580" s="2297">
        <v>167.52</v>
      </c>
      <c r="AH1580" s="2297" t="s">
        <v>338</v>
      </c>
      <c r="AI1580" s="1390"/>
      <c r="AJ1580" s="2282"/>
      <c r="AK1580" s="2282"/>
      <c r="AL1580" s="1037"/>
      <c r="AX1580" s="340">
        <v>83.15</v>
      </c>
      <c r="AY1580" s="340" t="s">
        <v>331</v>
      </c>
      <c r="BN1580" s="340">
        <v>163.01</v>
      </c>
      <c r="BO1580" s="340" t="s">
        <v>338</v>
      </c>
      <c r="BP1580" s="1385"/>
      <c r="BV1580" s="236">
        <v>124.02</v>
      </c>
      <c r="BW1580" s="236" t="s">
        <v>316</v>
      </c>
      <c r="CB1580" s="340">
        <v>83.12</v>
      </c>
      <c r="CC1580" s="340" t="s">
        <v>331</v>
      </c>
      <c r="CL1580" s="236">
        <v>90.29</v>
      </c>
      <c r="CM1580" s="236" t="s">
        <v>331</v>
      </c>
      <c r="CR1580" s="340">
        <v>164.09</v>
      </c>
      <c r="CS1580" s="340" t="s">
        <v>338</v>
      </c>
      <c r="CT1580" s="1384"/>
      <c r="DF1580" s="340">
        <v>97.04</v>
      </c>
      <c r="DG1580" s="340" t="s">
        <v>331</v>
      </c>
      <c r="DV1580" s="340">
        <v>168.1</v>
      </c>
      <c r="DW1580" s="340" t="s">
        <v>338</v>
      </c>
      <c r="DX1580" s="1671"/>
    </row>
    <row r="1581" spans="12:128">
      <c r="L1581" s="2481">
        <v>100.16</v>
      </c>
      <c r="M1581" s="340" t="s">
        <v>331</v>
      </c>
      <c r="N1581" s="1390"/>
      <c r="O1581" s="2479"/>
      <c r="P1581" s="2282"/>
      <c r="AG1581" s="2297">
        <v>167.53</v>
      </c>
      <c r="AH1581" s="2297" t="s">
        <v>338</v>
      </c>
      <c r="AI1581" s="1390"/>
      <c r="AJ1581" s="2282"/>
      <c r="AK1581" s="2282"/>
      <c r="AL1581" s="1037"/>
      <c r="AX1581" s="340">
        <v>84.09</v>
      </c>
      <c r="AY1581" s="340" t="s">
        <v>331</v>
      </c>
      <c r="BN1581" s="340">
        <v>164</v>
      </c>
      <c r="BO1581" s="340" t="s">
        <v>302</v>
      </c>
      <c r="BP1581" s="1385"/>
      <c r="BV1581" s="236">
        <v>124.03</v>
      </c>
      <c r="BW1581" s="236" t="s">
        <v>316</v>
      </c>
      <c r="CB1581" s="340">
        <v>83.14</v>
      </c>
      <c r="CC1581" s="340" t="s">
        <v>331</v>
      </c>
      <c r="CL1581" s="236">
        <v>90.3</v>
      </c>
      <c r="CM1581" s="236" t="s">
        <v>331</v>
      </c>
      <c r="CR1581" s="340">
        <v>164.12</v>
      </c>
      <c r="CS1581" s="340" t="s">
        <v>338</v>
      </c>
      <c r="CT1581" s="1384"/>
      <c r="DF1581" s="340">
        <v>98.03</v>
      </c>
      <c r="DG1581" s="340" t="s">
        <v>331</v>
      </c>
      <c r="DV1581" s="340">
        <v>168.11</v>
      </c>
      <c r="DW1581" s="340" t="s">
        <v>302</v>
      </c>
      <c r="DX1581" s="1671"/>
    </row>
    <row r="1582" spans="12:128">
      <c r="L1582" s="2481">
        <v>100.17</v>
      </c>
      <c r="M1582" s="340" t="s">
        <v>331</v>
      </c>
      <c r="N1582" s="1390"/>
      <c r="O1582" s="2479"/>
      <c r="P1582" s="2282"/>
      <c r="AG1582" s="2297">
        <v>167.55</v>
      </c>
      <c r="AH1582" s="2297" t="s">
        <v>338</v>
      </c>
      <c r="AI1582" s="1390"/>
      <c r="AJ1582" s="2282"/>
      <c r="AK1582" s="2282"/>
      <c r="AL1582" s="1037"/>
      <c r="AX1582" s="340">
        <v>84.15</v>
      </c>
      <c r="AY1582" s="340" t="s">
        <v>331</v>
      </c>
      <c r="BN1582" s="340">
        <v>164.01</v>
      </c>
      <c r="BO1582" s="340" t="s">
        <v>331</v>
      </c>
      <c r="BP1582" s="1385"/>
      <c r="BV1582" s="236">
        <v>125.01</v>
      </c>
      <c r="BW1582" s="236" t="s">
        <v>316</v>
      </c>
      <c r="CB1582" s="340">
        <v>83.15</v>
      </c>
      <c r="CC1582" s="340" t="s">
        <v>331</v>
      </c>
      <c r="CL1582" s="236">
        <v>90.31</v>
      </c>
      <c r="CM1582" s="236" t="s">
        <v>331</v>
      </c>
      <c r="CR1582" s="340">
        <v>165</v>
      </c>
      <c r="CS1582" s="340" t="s">
        <v>302</v>
      </c>
      <c r="CT1582" s="1384"/>
      <c r="DF1582" s="340">
        <v>98.04</v>
      </c>
      <c r="DG1582" s="340" t="s">
        <v>331</v>
      </c>
      <c r="DV1582" s="340">
        <v>168.11</v>
      </c>
      <c r="DW1582" s="340" t="s">
        <v>338</v>
      </c>
      <c r="DX1582" s="1671"/>
    </row>
    <row r="1583" spans="12:128">
      <c r="L1583" s="2481">
        <v>100.21</v>
      </c>
      <c r="M1583" s="340" t="s">
        <v>331</v>
      </c>
      <c r="N1583" s="1390"/>
      <c r="O1583" s="2479"/>
      <c r="P1583" s="2282"/>
      <c r="AG1583" s="2297">
        <v>168</v>
      </c>
      <c r="AH1583" s="2297" t="s">
        <v>331</v>
      </c>
      <c r="AI1583" s="1390"/>
      <c r="AJ1583" s="2282"/>
      <c r="AK1583" s="2282"/>
      <c r="AL1583" s="1037"/>
      <c r="AX1583" s="340">
        <v>84.16</v>
      </c>
      <c r="AY1583" s="340" t="s">
        <v>331</v>
      </c>
      <c r="BN1583" s="340">
        <v>164.02</v>
      </c>
      <c r="BO1583" s="340" t="s">
        <v>331</v>
      </c>
      <c r="BP1583" s="1385"/>
      <c r="BV1583" s="236">
        <v>125.03</v>
      </c>
      <c r="BW1583" s="236" t="s">
        <v>316</v>
      </c>
      <c r="CB1583" s="340">
        <v>84.09</v>
      </c>
      <c r="CC1583" s="340" t="s">
        <v>331</v>
      </c>
      <c r="CL1583" s="236">
        <v>90.39</v>
      </c>
      <c r="CM1583" s="236" t="s">
        <v>331</v>
      </c>
      <c r="CR1583" s="340">
        <v>165.01</v>
      </c>
      <c r="CS1583" s="340" t="s">
        <v>331</v>
      </c>
      <c r="CT1583" s="1384"/>
      <c r="DF1583" s="340">
        <v>98.09</v>
      </c>
      <c r="DG1583" s="340" t="s">
        <v>331</v>
      </c>
      <c r="DV1583" s="340">
        <v>168.12</v>
      </c>
      <c r="DW1583" s="340" t="s">
        <v>302</v>
      </c>
      <c r="DX1583" s="1671"/>
    </row>
    <row r="1584" spans="12:128">
      <c r="L1584" s="2481">
        <v>100.25</v>
      </c>
      <c r="M1584" s="340" t="s">
        <v>331</v>
      </c>
      <c r="N1584" s="1390"/>
      <c r="O1584" s="2479"/>
      <c r="P1584" s="2282"/>
      <c r="AG1584" s="2297">
        <v>168.01</v>
      </c>
      <c r="AH1584" s="2297" t="s">
        <v>302</v>
      </c>
      <c r="AI1584" s="1390"/>
      <c r="AJ1584" s="2282"/>
      <c r="AK1584" s="2282"/>
      <c r="AL1584" s="1037"/>
      <c r="AX1584" s="340">
        <v>84.18</v>
      </c>
      <c r="AY1584" s="340" t="s">
        <v>331</v>
      </c>
      <c r="BN1584" s="340">
        <v>164.08</v>
      </c>
      <c r="BO1584" s="340" t="s">
        <v>338</v>
      </c>
      <c r="BP1584" s="1385"/>
      <c r="BV1584" s="236">
        <v>125.04</v>
      </c>
      <c r="BW1584" s="236" t="s">
        <v>316</v>
      </c>
      <c r="CB1584" s="340">
        <v>84.15</v>
      </c>
      <c r="CC1584" s="340" t="s">
        <v>331</v>
      </c>
      <c r="CL1584" s="236">
        <v>90.4</v>
      </c>
      <c r="CM1584" s="236" t="s">
        <v>331</v>
      </c>
      <c r="CR1584" s="340">
        <v>165.02</v>
      </c>
      <c r="CS1584" s="340" t="s">
        <v>331</v>
      </c>
      <c r="CT1584" s="1384"/>
      <c r="DF1584" s="340">
        <v>98.1</v>
      </c>
      <c r="DG1584" s="340" t="s">
        <v>331</v>
      </c>
      <c r="DV1584" s="340">
        <v>168.13</v>
      </c>
      <c r="DW1584" s="340" t="s">
        <v>302</v>
      </c>
      <c r="DX1584" s="1671"/>
    </row>
    <row r="1585" spans="12:128">
      <c r="L1585" s="2481">
        <v>101.93</v>
      </c>
      <c r="M1585" s="340" t="s">
        <v>331</v>
      </c>
      <c r="N1585" s="1390"/>
      <c r="O1585" s="2479"/>
      <c r="P1585" s="2282"/>
      <c r="AG1585" s="2297">
        <v>168.02</v>
      </c>
      <c r="AH1585" s="2297" t="s">
        <v>338</v>
      </c>
      <c r="AI1585" s="1390"/>
      <c r="AJ1585" s="2282"/>
      <c r="AK1585" s="2282"/>
      <c r="AL1585" s="1037"/>
      <c r="AX1585" s="340">
        <v>84.19</v>
      </c>
      <c r="AY1585" s="340" t="s">
        <v>331</v>
      </c>
      <c r="BN1585" s="340">
        <v>164.09</v>
      </c>
      <c r="BO1585" s="340" t="s">
        <v>338</v>
      </c>
      <c r="BP1585" s="1385"/>
      <c r="BV1585" s="236">
        <v>126</v>
      </c>
      <c r="BW1585" s="236" t="s">
        <v>316</v>
      </c>
      <c r="CB1585" s="340">
        <v>84.16</v>
      </c>
      <c r="CC1585" s="340" t="s">
        <v>331</v>
      </c>
      <c r="CL1585" s="236">
        <v>90.43</v>
      </c>
      <c r="CM1585" s="236" t="s">
        <v>331</v>
      </c>
      <c r="CR1585" s="340">
        <v>165.04</v>
      </c>
      <c r="CS1585" s="340" t="s">
        <v>338</v>
      </c>
      <c r="CT1585" s="1384"/>
      <c r="DF1585" s="340">
        <v>98.12</v>
      </c>
      <c r="DG1585" s="340" t="s">
        <v>331</v>
      </c>
      <c r="DV1585" s="340">
        <v>168.13</v>
      </c>
      <c r="DW1585" s="340" t="s">
        <v>338</v>
      </c>
      <c r="DX1585" s="1671"/>
    </row>
    <row r="1586" spans="12:128">
      <c r="L1586" s="2481">
        <v>101.98</v>
      </c>
      <c r="M1586" s="340" t="s">
        <v>331</v>
      </c>
      <c r="N1586" s="1390"/>
      <c r="O1586" s="2479"/>
      <c r="P1586" s="2282"/>
      <c r="AG1586" s="2297">
        <v>168.03</v>
      </c>
      <c r="AH1586" s="2297" t="s">
        <v>302</v>
      </c>
      <c r="AI1586" s="1390"/>
      <c r="AJ1586" s="2282"/>
      <c r="AK1586" s="2282"/>
      <c r="AL1586" s="1037"/>
      <c r="AX1586" s="340">
        <v>84.2</v>
      </c>
      <c r="AY1586" s="340" t="s">
        <v>331</v>
      </c>
      <c r="BN1586" s="340">
        <v>164.12</v>
      </c>
      <c r="BO1586" s="340" t="s">
        <v>338</v>
      </c>
      <c r="BP1586" s="1385"/>
      <c r="BV1586" s="236">
        <v>127.01</v>
      </c>
      <c r="BW1586" s="236" t="s">
        <v>316</v>
      </c>
      <c r="CB1586" s="340">
        <v>84.18</v>
      </c>
      <c r="CC1586" s="340" t="s">
        <v>331</v>
      </c>
      <c r="CL1586" s="236">
        <v>90.44</v>
      </c>
      <c r="CM1586" s="236" t="s">
        <v>331</v>
      </c>
      <c r="CR1586" s="340">
        <v>165.05</v>
      </c>
      <c r="CS1586" s="340" t="s">
        <v>338</v>
      </c>
      <c r="CT1586" s="1384"/>
      <c r="DF1586" s="340">
        <v>100.12</v>
      </c>
      <c r="DG1586" s="340" t="s">
        <v>331</v>
      </c>
      <c r="DV1586" s="340">
        <v>169</v>
      </c>
      <c r="DW1586" s="340" t="s">
        <v>331</v>
      </c>
      <c r="DX1586" s="1671"/>
    </row>
    <row r="1587" spans="12:128">
      <c r="L1587" s="2481">
        <v>102.01</v>
      </c>
      <c r="M1587" s="340" t="s">
        <v>331</v>
      </c>
      <c r="N1587" s="1390"/>
      <c r="O1587" s="2479"/>
      <c r="P1587" s="2282"/>
      <c r="AG1587" s="2297">
        <v>168.03</v>
      </c>
      <c r="AH1587" s="2297" t="s">
        <v>338</v>
      </c>
      <c r="AI1587" s="1390"/>
      <c r="AJ1587" s="2282"/>
      <c r="AK1587" s="2282"/>
      <c r="AL1587" s="1037"/>
      <c r="AX1587" s="340">
        <v>84.21</v>
      </c>
      <c r="AY1587" s="340" t="s">
        <v>331</v>
      </c>
      <c r="BN1587" s="340">
        <v>164.14</v>
      </c>
      <c r="BO1587" s="340" t="s">
        <v>338</v>
      </c>
      <c r="BP1587" s="1385"/>
      <c r="BV1587" s="236">
        <v>127.02</v>
      </c>
      <c r="BW1587" s="236" t="s">
        <v>316</v>
      </c>
      <c r="CB1587" s="340">
        <v>84.19</v>
      </c>
      <c r="CC1587" s="340" t="s">
        <v>331</v>
      </c>
      <c r="CL1587" s="236">
        <v>90.48</v>
      </c>
      <c r="CM1587" s="236" t="s">
        <v>331</v>
      </c>
      <c r="CR1587" s="340">
        <v>165.11</v>
      </c>
      <c r="CS1587" s="340" t="s">
        <v>338</v>
      </c>
      <c r="CT1587" s="1384"/>
      <c r="DF1587" s="340">
        <v>100.13</v>
      </c>
      <c r="DG1587" s="340" t="s">
        <v>331</v>
      </c>
      <c r="DV1587" s="340">
        <v>169.09</v>
      </c>
      <c r="DW1587" s="340" t="s">
        <v>338</v>
      </c>
      <c r="DX1587" s="1671"/>
    </row>
    <row r="1588" spans="12:128">
      <c r="L1588" s="2481">
        <v>102.05</v>
      </c>
      <c r="M1588" s="340" t="s">
        <v>331</v>
      </c>
      <c r="N1588" s="1390"/>
      <c r="O1588" s="2479"/>
      <c r="P1588" s="2282"/>
      <c r="AG1588" s="2297">
        <v>168.04</v>
      </c>
      <c r="AH1588" s="2297" t="s">
        <v>302</v>
      </c>
      <c r="AI1588" s="1390"/>
      <c r="AJ1588" s="2282"/>
      <c r="AK1588" s="2282"/>
      <c r="AL1588" s="1037"/>
      <c r="AX1588" s="340">
        <v>84.22</v>
      </c>
      <c r="AY1588" s="340" t="s">
        <v>331</v>
      </c>
      <c r="BN1588" s="340">
        <v>165</v>
      </c>
      <c r="BO1588" s="340" t="s">
        <v>302</v>
      </c>
      <c r="BP1588" s="1385"/>
      <c r="BV1588" s="236">
        <v>128</v>
      </c>
      <c r="BW1588" s="236" t="s">
        <v>316</v>
      </c>
      <c r="CB1588" s="340">
        <v>84.2</v>
      </c>
      <c r="CC1588" s="340" t="s">
        <v>331</v>
      </c>
      <c r="CL1588" s="236">
        <v>90.49</v>
      </c>
      <c r="CM1588" s="236" t="s">
        <v>331</v>
      </c>
      <c r="CR1588" s="340">
        <v>165.14</v>
      </c>
      <c r="CS1588" s="340" t="s">
        <v>338</v>
      </c>
      <c r="CT1588" s="1384"/>
      <c r="DF1588" s="340">
        <v>100.16</v>
      </c>
      <c r="DG1588" s="340" t="s">
        <v>331</v>
      </c>
      <c r="DV1588" s="340">
        <v>170.01</v>
      </c>
      <c r="DW1588" s="340" t="s">
        <v>338</v>
      </c>
      <c r="DX1588" s="1671"/>
    </row>
    <row r="1589" spans="12:128">
      <c r="L1589" s="2481">
        <v>102.12</v>
      </c>
      <c r="M1589" s="340" t="s">
        <v>331</v>
      </c>
      <c r="N1589" s="1390"/>
      <c r="O1589" s="2479"/>
      <c r="P1589" s="2282"/>
      <c r="AG1589" s="2297">
        <v>168.04</v>
      </c>
      <c r="AH1589" s="2297" t="s">
        <v>338</v>
      </c>
      <c r="AI1589" s="1390"/>
      <c r="AJ1589" s="2282"/>
      <c r="AK1589" s="2282"/>
      <c r="AL1589" s="1037"/>
      <c r="AX1589" s="340">
        <v>84.23</v>
      </c>
      <c r="AY1589" s="340" t="s">
        <v>331</v>
      </c>
      <c r="BN1589" s="340">
        <v>165.01</v>
      </c>
      <c r="BO1589" s="340" t="s">
        <v>331</v>
      </c>
      <c r="BP1589" s="1385"/>
      <c r="BV1589" s="236">
        <v>129</v>
      </c>
      <c r="BW1589" s="236" t="s">
        <v>316</v>
      </c>
      <c r="CB1589" s="340">
        <v>84.21</v>
      </c>
      <c r="CC1589" s="340" t="s">
        <v>331</v>
      </c>
      <c r="CL1589" s="236">
        <v>90.5</v>
      </c>
      <c r="CM1589" s="236" t="s">
        <v>331</v>
      </c>
      <c r="CR1589" s="340">
        <v>165.15</v>
      </c>
      <c r="CS1589" s="340" t="s">
        <v>338</v>
      </c>
      <c r="CT1589" s="1384"/>
      <c r="DF1589" s="340">
        <v>100.17</v>
      </c>
      <c r="DG1589" s="340" t="s">
        <v>331</v>
      </c>
      <c r="DV1589" s="340">
        <v>170.04</v>
      </c>
      <c r="DW1589" s="340" t="s">
        <v>338</v>
      </c>
      <c r="DX1589" s="1671"/>
    </row>
    <row r="1590" spans="12:128">
      <c r="L1590" s="2481">
        <v>102.14</v>
      </c>
      <c r="M1590" s="340" t="s">
        <v>331</v>
      </c>
      <c r="N1590" s="1390"/>
      <c r="O1590" s="2479"/>
      <c r="P1590" s="2282"/>
      <c r="AG1590" s="2297">
        <v>168.07</v>
      </c>
      <c r="AH1590" s="2297" t="s">
        <v>302</v>
      </c>
      <c r="AI1590" s="1390"/>
      <c r="AJ1590" s="2282"/>
      <c r="AK1590" s="2282"/>
      <c r="AL1590" s="1037"/>
      <c r="AX1590" s="340">
        <v>84.24</v>
      </c>
      <c r="AY1590" s="340" t="s">
        <v>331</v>
      </c>
      <c r="BN1590" s="340">
        <v>165.02</v>
      </c>
      <c r="BO1590" s="340" t="s">
        <v>331</v>
      </c>
      <c r="BP1590" s="1385"/>
      <c r="BV1590" s="236">
        <v>130.01</v>
      </c>
      <c r="BW1590" s="236" t="s">
        <v>316</v>
      </c>
      <c r="CB1590" s="340">
        <v>84.22</v>
      </c>
      <c r="CC1590" s="340" t="s">
        <v>331</v>
      </c>
      <c r="CL1590" s="236">
        <v>90.51</v>
      </c>
      <c r="CM1590" s="236" t="s">
        <v>331</v>
      </c>
      <c r="CR1590" s="340">
        <v>166</v>
      </c>
      <c r="CS1590" s="340" t="s">
        <v>331</v>
      </c>
      <c r="CT1590" s="1384"/>
      <c r="DF1590" s="340">
        <v>100.25</v>
      </c>
      <c r="DG1590" s="340" t="s">
        <v>331</v>
      </c>
      <c r="DV1590" s="340">
        <v>170.06</v>
      </c>
      <c r="DW1590" s="340" t="s">
        <v>338</v>
      </c>
      <c r="DX1590" s="1671"/>
    </row>
    <row r="1591" spans="12:128">
      <c r="L1591" s="2481">
        <v>104</v>
      </c>
      <c r="M1591" s="340" t="s">
        <v>331</v>
      </c>
      <c r="N1591" s="1390"/>
      <c r="O1591" s="2479"/>
      <c r="P1591" s="2282"/>
      <c r="AG1591" s="2297">
        <v>168.08</v>
      </c>
      <c r="AH1591" s="2297" t="s">
        <v>302</v>
      </c>
      <c r="AI1591" s="1390"/>
      <c r="AJ1591" s="2282"/>
      <c r="AK1591" s="2282"/>
      <c r="AL1591" s="1037"/>
      <c r="AX1591" s="340">
        <v>84.25</v>
      </c>
      <c r="AY1591" s="340" t="s">
        <v>331</v>
      </c>
      <c r="BN1591" s="340">
        <v>165.03</v>
      </c>
      <c r="BO1591" s="340" t="s">
        <v>338</v>
      </c>
      <c r="BP1591" s="1385"/>
      <c r="BV1591" s="236">
        <v>130.02000000000001</v>
      </c>
      <c r="BW1591" s="236" t="s">
        <v>316</v>
      </c>
      <c r="CB1591" s="340">
        <v>84.23</v>
      </c>
      <c r="CC1591" s="340" t="s">
        <v>331</v>
      </c>
      <c r="CL1591" s="236">
        <v>90.52</v>
      </c>
      <c r="CM1591" s="236" t="s">
        <v>331</v>
      </c>
      <c r="CR1591" s="340">
        <v>166.03</v>
      </c>
      <c r="CS1591" s="340" t="s">
        <v>302</v>
      </c>
      <c r="CT1591" s="1384"/>
      <c r="DF1591" s="340">
        <v>101.93</v>
      </c>
      <c r="DG1591" s="340" t="s">
        <v>331</v>
      </c>
      <c r="DV1591" s="340">
        <v>170.12</v>
      </c>
      <c r="DW1591" s="340" t="s">
        <v>338</v>
      </c>
      <c r="DX1591" s="1671"/>
    </row>
    <row r="1592" spans="12:128">
      <c r="L1592" s="2481">
        <v>105.02</v>
      </c>
      <c r="M1592" s="340" t="s">
        <v>331</v>
      </c>
      <c r="N1592" s="1390"/>
      <c r="O1592" s="2479"/>
      <c r="P1592" s="2282"/>
      <c r="AG1592" s="2297">
        <v>168.08</v>
      </c>
      <c r="AH1592" s="2297" t="s">
        <v>338</v>
      </c>
      <c r="AI1592" s="1390"/>
      <c r="AJ1592" s="2282"/>
      <c r="AK1592" s="2282"/>
      <c r="AL1592" s="1037"/>
      <c r="AX1592" s="340">
        <v>84.26</v>
      </c>
      <c r="AY1592" s="340" t="s">
        <v>331</v>
      </c>
      <c r="BN1592" s="340">
        <v>165.04</v>
      </c>
      <c r="BO1592" s="340" t="s">
        <v>338</v>
      </c>
      <c r="BP1592" s="1385"/>
      <c r="BV1592" s="236">
        <v>130.03</v>
      </c>
      <c r="BW1592" s="236" t="s">
        <v>316</v>
      </c>
      <c r="CB1592" s="340">
        <v>84.24</v>
      </c>
      <c r="CC1592" s="340" t="s">
        <v>331</v>
      </c>
      <c r="CL1592" s="236">
        <v>90.53</v>
      </c>
      <c r="CM1592" s="236" t="s">
        <v>331</v>
      </c>
      <c r="CR1592" s="340">
        <v>166.03</v>
      </c>
      <c r="CS1592" s="340" t="s">
        <v>338</v>
      </c>
      <c r="CT1592" s="1384"/>
      <c r="DF1592" s="340">
        <v>101.98</v>
      </c>
      <c r="DG1592" s="340" t="s">
        <v>331</v>
      </c>
      <c r="DV1592" s="340">
        <v>170.13</v>
      </c>
      <c r="DW1592" s="340" t="s">
        <v>338</v>
      </c>
      <c r="DX1592" s="1671"/>
    </row>
    <row r="1593" spans="12:128">
      <c r="L1593" s="2481">
        <v>106.04</v>
      </c>
      <c r="M1593" s="340" t="s">
        <v>331</v>
      </c>
      <c r="N1593" s="1390"/>
      <c r="O1593" s="2479"/>
      <c r="P1593" s="2282"/>
      <c r="AG1593" s="2297">
        <v>168.09</v>
      </c>
      <c r="AH1593" s="2297" t="s">
        <v>302</v>
      </c>
      <c r="AI1593" s="1390"/>
      <c r="AJ1593" s="2282"/>
      <c r="AK1593" s="2282"/>
      <c r="AL1593" s="1037"/>
      <c r="AX1593" s="340">
        <v>84.27</v>
      </c>
      <c r="AY1593" s="340" t="s">
        <v>331</v>
      </c>
      <c r="BN1593" s="340">
        <v>165.05</v>
      </c>
      <c r="BO1593" s="340" t="s">
        <v>338</v>
      </c>
      <c r="BP1593" s="1385"/>
      <c r="BV1593" s="236">
        <v>130.04</v>
      </c>
      <c r="BW1593" s="236" t="s">
        <v>316</v>
      </c>
      <c r="CB1593" s="340">
        <v>84.25</v>
      </c>
      <c r="CC1593" s="340" t="s">
        <v>331</v>
      </c>
      <c r="CL1593" s="236">
        <v>90.54</v>
      </c>
      <c r="CM1593" s="236" t="s">
        <v>331</v>
      </c>
      <c r="CR1593" s="340">
        <v>166.04</v>
      </c>
      <c r="CS1593" s="340" t="s">
        <v>302</v>
      </c>
      <c r="CT1593" s="1384"/>
      <c r="DF1593" s="340">
        <v>102.01</v>
      </c>
      <c r="DG1593" s="340" t="s">
        <v>331</v>
      </c>
      <c r="DV1593" s="340">
        <v>170.15</v>
      </c>
      <c r="DW1593" s="340" t="s">
        <v>338</v>
      </c>
      <c r="DX1593" s="1671"/>
    </row>
    <row r="1594" spans="12:128">
      <c r="L1594" s="2481">
        <v>106.08</v>
      </c>
      <c r="M1594" s="340" t="s">
        <v>331</v>
      </c>
      <c r="N1594" s="1390"/>
      <c r="O1594" s="2479"/>
      <c r="P1594" s="2282"/>
      <c r="AG1594" s="2297">
        <v>168.1</v>
      </c>
      <c r="AH1594" s="2297" t="s">
        <v>302</v>
      </c>
      <c r="AI1594" s="1390"/>
      <c r="AJ1594" s="2282"/>
      <c r="AK1594" s="2282"/>
      <c r="AL1594" s="1037"/>
      <c r="AX1594" s="340">
        <v>84.28</v>
      </c>
      <c r="AY1594" s="340" t="s">
        <v>331</v>
      </c>
      <c r="BN1594" s="340">
        <v>165.09</v>
      </c>
      <c r="BO1594" s="340" t="s">
        <v>338</v>
      </c>
      <c r="BP1594" s="1385"/>
      <c r="BV1594" s="236">
        <v>131</v>
      </c>
      <c r="BW1594" s="236" t="s">
        <v>316</v>
      </c>
      <c r="CB1594" s="340">
        <v>84.26</v>
      </c>
      <c r="CC1594" s="340" t="s">
        <v>331</v>
      </c>
      <c r="CL1594" s="236">
        <v>90.55</v>
      </c>
      <c r="CM1594" s="236" t="s">
        <v>331</v>
      </c>
      <c r="CR1594" s="340">
        <v>166.05</v>
      </c>
      <c r="CS1594" s="340" t="s">
        <v>302</v>
      </c>
      <c r="CT1594" s="1384"/>
      <c r="DF1594" s="340">
        <v>102.05</v>
      </c>
      <c r="DG1594" s="340" t="s">
        <v>331</v>
      </c>
      <c r="DV1594" s="340">
        <v>170.18</v>
      </c>
      <c r="DW1594" s="340" t="s">
        <v>338</v>
      </c>
      <c r="DX1594" s="1671"/>
    </row>
    <row r="1595" spans="12:128">
      <c r="L1595" s="2481">
        <v>106.1</v>
      </c>
      <c r="M1595" s="340" t="s">
        <v>331</v>
      </c>
      <c r="N1595" s="1390"/>
      <c r="O1595" s="2479"/>
      <c r="P1595" s="2282"/>
      <c r="AG1595" s="2297">
        <v>168.1</v>
      </c>
      <c r="AH1595" s="2297" t="s">
        <v>338</v>
      </c>
      <c r="AI1595" s="1390"/>
      <c r="AJ1595" s="2282"/>
      <c r="AK1595" s="2282"/>
      <c r="AL1595" s="1037"/>
      <c r="AX1595" s="340">
        <v>84.29</v>
      </c>
      <c r="AY1595" s="340" t="s">
        <v>331</v>
      </c>
      <c r="BN1595" s="340">
        <v>165.11</v>
      </c>
      <c r="BO1595" s="340" t="s">
        <v>338</v>
      </c>
      <c r="BP1595" s="1385"/>
      <c r="BV1595" s="236">
        <v>132.03</v>
      </c>
      <c r="BW1595" s="236" t="s">
        <v>316</v>
      </c>
      <c r="CB1595" s="340">
        <v>84.27</v>
      </c>
      <c r="CC1595" s="340" t="s">
        <v>331</v>
      </c>
      <c r="CL1595" s="236">
        <v>90.56</v>
      </c>
      <c r="CM1595" s="236" t="s">
        <v>331</v>
      </c>
      <c r="CR1595" s="340">
        <v>166.06</v>
      </c>
      <c r="CS1595" s="340" t="s">
        <v>338</v>
      </c>
      <c r="CT1595" s="1384"/>
      <c r="DF1595" s="340">
        <v>102.12</v>
      </c>
      <c r="DG1595" s="340" t="s">
        <v>331</v>
      </c>
      <c r="DV1595" s="340">
        <v>170.2</v>
      </c>
      <c r="DW1595" s="340" t="s">
        <v>338</v>
      </c>
      <c r="DX1595" s="1671"/>
    </row>
    <row r="1596" spans="12:128">
      <c r="L1596" s="2481">
        <v>106.13</v>
      </c>
      <c r="M1596" s="340" t="s">
        <v>331</v>
      </c>
      <c r="N1596" s="1390"/>
      <c r="O1596" s="2479"/>
      <c r="P1596" s="2282"/>
      <c r="AG1596" s="2297">
        <v>168.11</v>
      </c>
      <c r="AH1596" s="2297" t="s">
        <v>302</v>
      </c>
      <c r="AI1596" s="1390"/>
      <c r="AJ1596" s="2282"/>
      <c r="AK1596" s="2282"/>
      <c r="AL1596" s="1037"/>
      <c r="AX1596" s="340">
        <v>84.3</v>
      </c>
      <c r="AY1596" s="340" t="s">
        <v>331</v>
      </c>
      <c r="BN1596" s="340">
        <v>165.14</v>
      </c>
      <c r="BO1596" s="340" t="s">
        <v>338</v>
      </c>
      <c r="BP1596" s="1385"/>
      <c r="BV1596" s="236">
        <v>132.04</v>
      </c>
      <c r="BW1596" s="236" t="s">
        <v>316</v>
      </c>
      <c r="CB1596" s="340">
        <v>84.28</v>
      </c>
      <c r="CC1596" s="340" t="s">
        <v>331</v>
      </c>
      <c r="CL1596" s="236">
        <v>90.57</v>
      </c>
      <c r="CM1596" s="236" t="s">
        <v>331</v>
      </c>
      <c r="CR1596" s="340">
        <v>166.07</v>
      </c>
      <c r="CS1596" s="340" t="s">
        <v>338</v>
      </c>
      <c r="CT1596" s="1384"/>
      <c r="DF1596" s="340">
        <v>103.02</v>
      </c>
      <c r="DG1596" s="340" t="s">
        <v>331</v>
      </c>
      <c r="DV1596" s="340">
        <v>170.21</v>
      </c>
      <c r="DW1596" s="340" t="s">
        <v>338</v>
      </c>
      <c r="DX1596" s="1671"/>
    </row>
    <row r="1597" spans="12:128">
      <c r="L1597" s="2481">
        <v>106.18</v>
      </c>
      <c r="M1597" s="340" t="s">
        <v>331</v>
      </c>
      <c r="N1597" s="1390"/>
      <c r="O1597" s="2479"/>
      <c r="P1597" s="2282"/>
      <c r="AG1597" s="2297">
        <v>168.11</v>
      </c>
      <c r="AH1597" s="2297" t="s">
        <v>338</v>
      </c>
      <c r="AI1597" s="1390"/>
      <c r="AJ1597" s="2282"/>
      <c r="AK1597" s="2282"/>
      <c r="AL1597" s="1037"/>
      <c r="AX1597" s="340">
        <v>84.31</v>
      </c>
      <c r="AY1597" s="340" t="s">
        <v>331</v>
      </c>
      <c r="BN1597" s="340">
        <v>166</v>
      </c>
      <c r="BO1597" s="340" t="s">
        <v>331</v>
      </c>
      <c r="BP1597" s="1385"/>
      <c r="BV1597" s="236">
        <v>132.05000000000001</v>
      </c>
      <c r="BW1597" s="236" t="s">
        <v>316</v>
      </c>
      <c r="CB1597" s="340">
        <v>84.29</v>
      </c>
      <c r="CC1597" s="340" t="s">
        <v>331</v>
      </c>
      <c r="CL1597" s="236">
        <v>90.58</v>
      </c>
      <c r="CM1597" s="236" t="s">
        <v>331</v>
      </c>
      <c r="CR1597" s="340">
        <v>167</v>
      </c>
      <c r="CS1597" s="340" t="s">
        <v>331</v>
      </c>
      <c r="CT1597" s="1384"/>
      <c r="DF1597" s="340">
        <v>104</v>
      </c>
      <c r="DG1597" s="340" t="s">
        <v>331</v>
      </c>
      <c r="DV1597" s="340">
        <v>170.22</v>
      </c>
      <c r="DW1597" s="340" t="s">
        <v>338</v>
      </c>
      <c r="DX1597" s="1671"/>
    </row>
    <row r="1598" spans="12:128">
      <c r="L1598" s="2481">
        <v>106.19</v>
      </c>
      <c r="M1598" s="340" t="s">
        <v>331</v>
      </c>
      <c r="N1598" s="1390"/>
      <c r="O1598" s="2479"/>
      <c r="P1598" s="2282"/>
      <c r="AG1598" s="2297">
        <v>168.13</v>
      </c>
      <c r="AH1598" s="2297" t="s">
        <v>302</v>
      </c>
      <c r="AI1598" s="1390"/>
      <c r="AJ1598" s="2282"/>
      <c r="AK1598" s="2282"/>
      <c r="AL1598" s="1037"/>
      <c r="AX1598" s="340">
        <v>85.02</v>
      </c>
      <c r="AY1598" s="340" t="s">
        <v>331</v>
      </c>
      <c r="BN1598" s="340">
        <v>166.03</v>
      </c>
      <c r="BO1598" s="340" t="s">
        <v>302</v>
      </c>
      <c r="BP1598" s="1385"/>
      <c r="BV1598" s="236">
        <v>132.06</v>
      </c>
      <c r="BW1598" s="236" t="s">
        <v>316</v>
      </c>
      <c r="CB1598" s="340">
        <v>84.3</v>
      </c>
      <c r="CC1598" s="340" t="s">
        <v>331</v>
      </c>
      <c r="CL1598" s="236">
        <v>90.59</v>
      </c>
      <c r="CM1598" s="236" t="s">
        <v>331</v>
      </c>
      <c r="CR1598" s="340">
        <v>167.09</v>
      </c>
      <c r="CS1598" s="340" t="s">
        <v>338</v>
      </c>
      <c r="CT1598" s="1384"/>
      <c r="DF1598" s="340">
        <v>105.02</v>
      </c>
      <c r="DG1598" s="340" t="s">
        <v>331</v>
      </c>
      <c r="DV1598" s="340">
        <v>170.24</v>
      </c>
      <c r="DW1598" s="340" t="s">
        <v>338</v>
      </c>
      <c r="DX1598" s="1671"/>
    </row>
    <row r="1599" spans="12:128">
      <c r="L1599" s="2481">
        <v>106.2</v>
      </c>
      <c r="M1599" s="340" t="s">
        <v>331</v>
      </c>
      <c r="N1599" s="1390"/>
      <c r="O1599" s="2479"/>
      <c r="P1599" s="2282"/>
      <c r="AG1599" s="2297">
        <v>168.13</v>
      </c>
      <c r="AH1599" s="2297" t="s">
        <v>338</v>
      </c>
      <c r="AI1599" s="1390"/>
      <c r="AJ1599" s="2282"/>
      <c r="AK1599" s="2282"/>
      <c r="AL1599" s="1037"/>
      <c r="AX1599" s="340">
        <v>85.04</v>
      </c>
      <c r="AY1599" s="340" t="s">
        <v>331</v>
      </c>
      <c r="BN1599" s="340">
        <v>166.03</v>
      </c>
      <c r="BO1599" s="340" t="s">
        <v>338</v>
      </c>
      <c r="BP1599" s="1385"/>
      <c r="BV1599" s="236">
        <v>132.07</v>
      </c>
      <c r="BW1599" s="236" t="s">
        <v>316</v>
      </c>
      <c r="CB1599" s="340">
        <v>85.02</v>
      </c>
      <c r="CC1599" s="340" t="s">
        <v>331</v>
      </c>
      <c r="CL1599" s="236">
        <v>90.6</v>
      </c>
      <c r="CM1599" s="236" t="s">
        <v>331</v>
      </c>
      <c r="CR1599" s="340">
        <v>167.1</v>
      </c>
      <c r="CS1599" s="340" t="s">
        <v>338</v>
      </c>
      <c r="CT1599" s="1384"/>
      <c r="DF1599" s="340">
        <v>106.04</v>
      </c>
      <c r="DG1599" s="340" t="s">
        <v>331</v>
      </c>
      <c r="DV1599" s="340">
        <v>170.25</v>
      </c>
      <c r="DW1599" s="340" t="s">
        <v>338</v>
      </c>
      <c r="DX1599" s="1671"/>
    </row>
    <row r="1600" spans="12:128">
      <c r="L1600" s="2481">
        <v>106.23</v>
      </c>
      <c r="M1600" s="340" t="s">
        <v>331</v>
      </c>
      <c r="N1600" s="1390"/>
      <c r="O1600" s="2479"/>
      <c r="P1600" s="2282"/>
      <c r="AG1600" s="2297">
        <v>169</v>
      </c>
      <c r="AH1600" s="2297" t="s">
        <v>331</v>
      </c>
      <c r="AI1600" s="1390"/>
      <c r="AJ1600" s="2282"/>
      <c r="AK1600" s="2282"/>
      <c r="AL1600" s="1037"/>
      <c r="AX1600" s="340">
        <v>86.01</v>
      </c>
      <c r="AY1600" s="340" t="s">
        <v>331</v>
      </c>
      <c r="BN1600" s="340">
        <v>166.04</v>
      </c>
      <c r="BO1600" s="340" t="s">
        <v>302</v>
      </c>
      <c r="BP1600" s="1385"/>
      <c r="BV1600" s="236">
        <v>132.08000000000001</v>
      </c>
      <c r="BW1600" s="236" t="s">
        <v>316</v>
      </c>
      <c r="CB1600" s="340">
        <v>85.04</v>
      </c>
      <c r="CC1600" s="340" t="s">
        <v>331</v>
      </c>
      <c r="CL1600" s="236">
        <v>90.61</v>
      </c>
      <c r="CM1600" s="236" t="s">
        <v>331</v>
      </c>
      <c r="CR1600" s="340">
        <v>167.11</v>
      </c>
      <c r="CS1600" s="340" t="s">
        <v>302</v>
      </c>
      <c r="CT1600" s="1384"/>
      <c r="DF1600" s="340">
        <v>106.08</v>
      </c>
      <c r="DG1600" s="340" t="s">
        <v>331</v>
      </c>
      <c r="DV1600" s="340">
        <v>170.26</v>
      </c>
      <c r="DW1600" s="340" t="s">
        <v>338</v>
      </c>
      <c r="DX1600" s="1671"/>
    </row>
    <row r="1601" spans="12:128">
      <c r="L1601" s="2481">
        <v>106.24</v>
      </c>
      <c r="M1601" s="340" t="s">
        <v>331</v>
      </c>
      <c r="N1601" s="1390"/>
      <c r="O1601" s="2479"/>
      <c r="P1601" s="2282"/>
      <c r="AG1601" s="2297">
        <v>170.01</v>
      </c>
      <c r="AH1601" s="2297" t="s">
        <v>338</v>
      </c>
      <c r="AI1601" s="1390"/>
      <c r="AJ1601" s="2282"/>
      <c r="AK1601" s="2282"/>
      <c r="AL1601" s="1037"/>
      <c r="AX1601" s="340">
        <v>86.03</v>
      </c>
      <c r="AY1601" s="340" t="s">
        <v>331</v>
      </c>
      <c r="BN1601" s="340">
        <v>166.05</v>
      </c>
      <c r="BO1601" s="340" t="s">
        <v>302</v>
      </c>
      <c r="BP1601" s="1385"/>
      <c r="BV1601" s="236">
        <v>133.05000000000001</v>
      </c>
      <c r="BW1601" s="236" t="s">
        <v>316</v>
      </c>
      <c r="CB1601" s="340">
        <v>86.01</v>
      </c>
      <c r="CC1601" s="340" t="s">
        <v>331</v>
      </c>
      <c r="CL1601" s="236">
        <v>90.62</v>
      </c>
      <c r="CM1601" s="236" t="s">
        <v>331</v>
      </c>
      <c r="CR1601" s="340">
        <v>167.16</v>
      </c>
      <c r="CS1601" s="340" t="s">
        <v>338</v>
      </c>
      <c r="CT1601" s="1384"/>
      <c r="DF1601" s="340">
        <v>106.1</v>
      </c>
      <c r="DG1601" s="340" t="s">
        <v>331</v>
      </c>
      <c r="DV1601" s="340">
        <v>171.01</v>
      </c>
      <c r="DW1601" s="340" t="s">
        <v>302</v>
      </c>
      <c r="DX1601" s="1671"/>
    </row>
    <row r="1602" spans="12:128">
      <c r="L1602" s="2481">
        <v>106.25</v>
      </c>
      <c r="M1602" s="340" t="s">
        <v>331</v>
      </c>
      <c r="N1602" s="1390"/>
      <c r="O1602" s="2479"/>
      <c r="P1602" s="2282"/>
      <c r="AG1602" s="2297">
        <v>170.04</v>
      </c>
      <c r="AH1602" s="2297" t="s">
        <v>338</v>
      </c>
      <c r="AI1602" s="1390"/>
      <c r="AJ1602" s="2282"/>
      <c r="AK1602" s="2282"/>
      <c r="AL1602" s="1037"/>
      <c r="AX1602" s="340">
        <v>86.04</v>
      </c>
      <c r="AY1602" s="340" t="s">
        <v>331</v>
      </c>
      <c r="BN1602" s="340">
        <v>166.06</v>
      </c>
      <c r="BO1602" s="340" t="s">
        <v>338</v>
      </c>
      <c r="BP1602" s="1385"/>
      <c r="BV1602" s="236">
        <v>133.07</v>
      </c>
      <c r="BW1602" s="236" t="s">
        <v>316</v>
      </c>
      <c r="CB1602" s="340">
        <v>86.03</v>
      </c>
      <c r="CC1602" s="340" t="s">
        <v>331</v>
      </c>
      <c r="CL1602" s="236">
        <v>90.63</v>
      </c>
      <c r="CM1602" s="236" t="s">
        <v>331</v>
      </c>
      <c r="CR1602" s="340">
        <v>167.17</v>
      </c>
      <c r="CS1602" s="340" t="s">
        <v>338</v>
      </c>
      <c r="CT1602" s="1384"/>
      <c r="DF1602" s="340">
        <v>106.18</v>
      </c>
      <c r="DG1602" s="340" t="s">
        <v>331</v>
      </c>
      <c r="DV1602" s="340">
        <v>171.02</v>
      </c>
      <c r="DW1602" s="340" t="s">
        <v>302</v>
      </c>
      <c r="DX1602" s="1671"/>
    </row>
    <row r="1603" spans="12:128">
      <c r="L1603" s="2481">
        <v>106.26</v>
      </c>
      <c r="M1603" s="340" t="s">
        <v>331</v>
      </c>
      <c r="N1603" s="1390"/>
      <c r="O1603" s="2479"/>
      <c r="P1603" s="2282"/>
      <c r="AG1603" s="2297">
        <v>170.06</v>
      </c>
      <c r="AH1603" s="2297" t="s">
        <v>338</v>
      </c>
      <c r="AI1603" s="1390"/>
      <c r="AJ1603" s="2282"/>
      <c r="AK1603" s="2282"/>
      <c r="AL1603" s="1037"/>
      <c r="AX1603" s="340">
        <v>87.03</v>
      </c>
      <c r="AY1603" s="340" t="s">
        <v>331</v>
      </c>
      <c r="BN1603" s="340">
        <v>166.07</v>
      </c>
      <c r="BO1603" s="340" t="s">
        <v>338</v>
      </c>
      <c r="BP1603" s="1385"/>
      <c r="BV1603" s="236">
        <v>133.1</v>
      </c>
      <c r="BW1603" s="236" t="s">
        <v>316</v>
      </c>
      <c r="CB1603" s="340">
        <v>86.04</v>
      </c>
      <c r="CC1603" s="340" t="s">
        <v>331</v>
      </c>
      <c r="CL1603" s="236">
        <v>90.64</v>
      </c>
      <c r="CM1603" s="236" t="s">
        <v>331</v>
      </c>
      <c r="CR1603" s="340">
        <v>167.24</v>
      </c>
      <c r="CS1603" s="340" t="s">
        <v>302</v>
      </c>
      <c r="CT1603" s="1384"/>
      <c r="DF1603" s="340">
        <v>106.19</v>
      </c>
      <c r="DG1603" s="340" t="s">
        <v>331</v>
      </c>
      <c r="DV1603" s="340">
        <v>171.02</v>
      </c>
      <c r="DW1603" s="340" t="s">
        <v>331</v>
      </c>
      <c r="DX1603" s="1671"/>
    </row>
    <row r="1604" spans="12:128">
      <c r="L1604" s="2481">
        <v>107.09</v>
      </c>
      <c r="M1604" s="340" t="s">
        <v>331</v>
      </c>
      <c r="N1604" s="1390"/>
      <c r="O1604" s="2479"/>
      <c r="P1604" s="2282"/>
      <c r="AG1604" s="2297">
        <v>170.13</v>
      </c>
      <c r="AH1604" s="2297" t="s">
        <v>338</v>
      </c>
      <c r="AI1604" s="1390"/>
      <c r="AJ1604" s="2282"/>
      <c r="AK1604" s="2282"/>
      <c r="AL1604" s="1037"/>
      <c r="AX1604" s="340">
        <v>87.04</v>
      </c>
      <c r="AY1604" s="340" t="s">
        <v>331</v>
      </c>
      <c r="BN1604" s="340">
        <v>167</v>
      </c>
      <c r="BO1604" s="340" t="s">
        <v>331</v>
      </c>
      <c r="BP1604" s="1385"/>
      <c r="BV1604" s="236">
        <v>133.11000000000001</v>
      </c>
      <c r="BW1604" s="236" t="s">
        <v>316</v>
      </c>
      <c r="CB1604" s="340">
        <v>87.04</v>
      </c>
      <c r="CC1604" s="340" t="s">
        <v>331</v>
      </c>
      <c r="CL1604" s="236">
        <v>90.65</v>
      </c>
      <c r="CM1604" s="236" t="s">
        <v>331</v>
      </c>
      <c r="CR1604" s="340">
        <v>167.24</v>
      </c>
      <c r="CS1604" s="340" t="s">
        <v>338</v>
      </c>
      <c r="CT1604" s="1384"/>
      <c r="DF1604" s="340">
        <v>106.2</v>
      </c>
      <c r="DG1604" s="340" t="s">
        <v>331</v>
      </c>
      <c r="DV1604" s="340">
        <v>171.08</v>
      </c>
      <c r="DW1604" s="340" t="s">
        <v>338</v>
      </c>
      <c r="DX1604" s="1671"/>
    </row>
    <row r="1605" spans="12:128">
      <c r="L1605" s="2481">
        <v>107.1</v>
      </c>
      <c r="M1605" s="340" t="s">
        <v>331</v>
      </c>
      <c r="N1605" s="1390"/>
      <c r="O1605" s="2479"/>
      <c r="P1605" s="2282"/>
      <c r="AG1605" s="2297">
        <v>170.15</v>
      </c>
      <c r="AH1605" s="2297" t="s">
        <v>338</v>
      </c>
      <c r="AI1605" s="1390"/>
      <c r="AJ1605" s="2282"/>
      <c r="AK1605" s="2282"/>
      <c r="AL1605" s="1037"/>
      <c r="AX1605" s="340">
        <v>88.05</v>
      </c>
      <c r="AY1605" s="340" t="s">
        <v>331</v>
      </c>
      <c r="BN1605" s="340">
        <v>167.09</v>
      </c>
      <c r="BO1605" s="340" t="s">
        <v>338</v>
      </c>
      <c r="BP1605" s="1385"/>
      <c r="BV1605" s="236">
        <v>133.12</v>
      </c>
      <c r="BW1605" s="236" t="s">
        <v>316</v>
      </c>
      <c r="CB1605" s="340">
        <v>88.06</v>
      </c>
      <c r="CC1605" s="340" t="s">
        <v>331</v>
      </c>
      <c r="CL1605" s="236">
        <v>90.66</v>
      </c>
      <c r="CM1605" s="236" t="s">
        <v>331</v>
      </c>
      <c r="CR1605" s="340">
        <v>167.25</v>
      </c>
      <c r="CS1605" s="340" t="s">
        <v>302</v>
      </c>
      <c r="CT1605" s="1384"/>
      <c r="DF1605" s="340">
        <v>106.21</v>
      </c>
      <c r="DG1605" s="340" t="s">
        <v>331</v>
      </c>
      <c r="DV1605" s="340">
        <v>171.09</v>
      </c>
      <c r="DW1605" s="340" t="s">
        <v>338</v>
      </c>
      <c r="DX1605" s="1671"/>
    </row>
    <row r="1606" spans="12:128">
      <c r="L1606" s="2481">
        <v>110.03</v>
      </c>
      <c r="M1606" s="340" t="s">
        <v>331</v>
      </c>
      <c r="N1606" s="1390"/>
      <c r="O1606" s="2479"/>
      <c r="P1606" s="2282"/>
      <c r="AG1606" s="2297">
        <v>170.2</v>
      </c>
      <c r="AH1606" s="2297" t="s">
        <v>338</v>
      </c>
      <c r="AI1606" s="1390"/>
      <c r="AJ1606" s="2282"/>
      <c r="AK1606" s="2282"/>
      <c r="AL1606" s="1037"/>
      <c r="AX1606" s="340">
        <v>88.06</v>
      </c>
      <c r="AY1606" s="340" t="s">
        <v>331</v>
      </c>
      <c r="BN1606" s="340">
        <v>167.1</v>
      </c>
      <c r="BO1606" s="340" t="s">
        <v>338</v>
      </c>
      <c r="BP1606" s="1385"/>
      <c r="BV1606" s="236">
        <v>133.13</v>
      </c>
      <c r="BW1606" s="236" t="s">
        <v>316</v>
      </c>
      <c r="CB1606" s="340">
        <v>88.09</v>
      </c>
      <c r="CC1606" s="340" t="s">
        <v>331</v>
      </c>
      <c r="CL1606" s="236">
        <v>91.01</v>
      </c>
      <c r="CM1606" s="236" t="s">
        <v>331</v>
      </c>
      <c r="CR1606" s="340">
        <v>167.26</v>
      </c>
      <c r="CS1606" s="340" t="s">
        <v>302</v>
      </c>
      <c r="CT1606" s="1384"/>
      <c r="DF1606" s="340">
        <v>106.22</v>
      </c>
      <c r="DG1606" s="340" t="s">
        <v>331</v>
      </c>
      <c r="DV1606" s="340">
        <v>171.1</v>
      </c>
      <c r="DW1606" s="340" t="s">
        <v>338</v>
      </c>
      <c r="DX1606" s="1671"/>
    </row>
    <row r="1607" spans="12:128">
      <c r="L1607" s="2481">
        <v>110.08</v>
      </c>
      <c r="M1607" s="340" t="s">
        <v>331</v>
      </c>
      <c r="N1607" s="1390"/>
      <c r="O1607" s="2479"/>
      <c r="P1607" s="2282"/>
      <c r="AG1607" s="2297">
        <v>170.24</v>
      </c>
      <c r="AH1607" s="2297" t="s">
        <v>338</v>
      </c>
      <c r="AI1607" s="1390"/>
      <c r="AJ1607" s="2282"/>
      <c r="AK1607" s="2282"/>
      <c r="AL1607" s="1037"/>
      <c r="AX1607" s="340">
        <v>88.09</v>
      </c>
      <c r="AY1607" s="340" t="s">
        <v>331</v>
      </c>
      <c r="BN1607" s="340">
        <v>167.11</v>
      </c>
      <c r="BO1607" s="340" t="s">
        <v>302</v>
      </c>
      <c r="BP1607" s="1385"/>
      <c r="BV1607" s="236">
        <v>133.13999999999999</v>
      </c>
      <c r="BW1607" s="236" t="s">
        <v>316</v>
      </c>
      <c r="CB1607" s="340">
        <v>88.1</v>
      </c>
      <c r="CC1607" s="340" t="s">
        <v>331</v>
      </c>
      <c r="CL1607" s="236">
        <v>91.02</v>
      </c>
      <c r="CM1607" s="236" t="s">
        <v>331</v>
      </c>
      <c r="CR1607" s="340">
        <v>167.28</v>
      </c>
      <c r="CS1607" s="340" t="s">
        <v>302</v>
      </c>
      <c r="CT1607" s="1384"/>
      <c r="DF1607" s="340">
        <v>106.23</v>
      </c>
      <c r="DG1607" s="340" t="s">
        <v>331</v>
      </c>
      <c r="DV1607" s="340">
        <v>171.11</v>
      </c>
      <c r="DW1607" s="340" t="s">
        <v>338</v>
      </c>
      <c r="DX1607" s="1671"/>
    </row>
    <row r="1608" spans="12:128">
      <c r="L1608" s="2481">
        <v>110.14</v>
      </c>
      <c r="M1608" s="340" t="s">
        <v>331</v>
      </c>
      <c r="N1608" s="1390"/>
      <c r="O1608" s="2479"/>
      <c r="P1608" s="2282"/>
      <c r="AG1608" s="2297">
        <v>170.26</v>
      </c>
      <c r="AH1608" s="2297" t="s">
        <v>338</v>
      </c>
      <c r="AI1608" s="1390"/>
      <c r="AJ1608" s="2282"/>
      <c r="AK1608" s="2282"/>
      <c r="AL1608" s="1037"/>
      <c r="AX1608" s="340">
        <v>88.1</v>
      </c>
      <c r="AY1608" s="340" t="s">
        <v>331</v>
      </c>
      <c r="BN1608" s="340">
        <v>167.16</v>
      </c>
      <c r="BO1608" s="340" t="s">
        <v>338</v>
      </c>
      <c r="BP1608" s="1385"/>
      <c r="BV1608" s="236">
        <v>133.15</v>
      </c>
      <c r="BW1608" s="236" t="s">
        <v>316</v>
      </c>
      <c r="CB1608" s="340">
        <v>89.06</v>
      </c>
      <c r="CC1608" s="340" t="s">
        <v>331</v>
      </c>
      <c r="CL1608" s="236">
        <v>92</v>
      </c>
      <c r="CM1608" s="236" t="s">
        <v>331</v>
      </c>
      <c r="CR1608" s="340">
        <v>167.28</v>
      </c>
      <c r="CS1608" s="340" t="s">
        <v>338</v>
      </c>
      <c r="CT1608" s="1384"/>
      <c r="DF1608" s="340">
        <v>106.25</v>
      </c>
      <c r="DG1608" s="340" t="s">
        <v>331</v>
      </c>
      <c r="DV1608" s="340">
        <v>171.12</v>
      </c>
      <c r="DW1608" s="340" t="s">
        <v>338</v>
      </c>
      <c r="DX1608" s="1671"/>
    </row>
    <row r="1609" spans="12:128">
      <c r="L1609" s="2481">
        <v>110.15</v>
      </c>
      <c r="M1609" s="340" t="s">
        <v>331</v>
      </c>
      <c r="N1609" s="1390"/>
      <c r="O1609" s="2479"/>
      <c r="P1609" s="2282"/>
      <c r="AG1609" s="2297">
        <v>171.01</v>
      </c>
      <c r="AH1609" s="2297" t="s">
        <v>302</v>
      </c>
      <c r="AI1609" s="1390"/>
      <c r="AJ1609" s="2282"/>
      <c r="AK1609" s="2282"/>
      <c r="AL1609" s="1037"/>
      <c r="AX1609" s="340">
        <v>89.06</v>
      </c>
      <c r="AY1609" s="340" t="s">
        <v>331</v>
      </c>
      <c r="BN1609" s="340">
        <v>167.23</v>
      </c>
      <c r="BO1609" s="340" t="s">
        <v>338</v>
      </c>
      <c r="BP1609" s="1385"/>
      <c r="BV1609" s="236">
        <v>133.16</v>
      </c>
      <c r="BW1609" s="236" t="s">
        <v>316</v>
      </c>
      <c r="CB1609" s="340">
        <v>89.08</v>
      </c>
      <c r="CC1609" s="340" t="s">
        <v>331</v>
      </c>
      <c r="CL1609" s="236">
        <v>93.05</v>
      </c>
      <c r="CM1609" s="236" t="s">
        <v>331</v>
      </c>
      <c r="CR1609" s="340">
        <v>167.29</v>
      </c>
      <c r="CS1609" s="340" t="s">
        <v>302</v>
      </c>
      <c r="CT1609" s="1384"/>
      <c r="DF1609" s="340">
        <v>107.09</v>
      </c>
      <c r="DG1609" s="340" t="s">
        <v>331</v>
      </c>
      <c r="DV1609" s="340">
        <v>171.13</v>
      </c>
      <c r="DW1609" s="340" t="s">
        <v>338</v>
      </c>
      <c r="DX1609" s="1671"/>
    </row>
    <row r="1610" spans="12:128">
      <c r="L1610" s="2481">
        <v>111.05</v>
      </c>
      <c r="M1610" s="340" t="s">
        <v>331</v>
      </c>
      <c r="N1610" s="1390"/>
      <c r="O1610" s="2479"/>
      <c r="P1610" s="2282"/>
      <c r="AG1610" s="2297">
        <v>171.01</v>
      </c>
      <c r="AH1610" s="2297" t="s">
        <v>331</v>
      </c>
      <c r="AI1610" s="1390"/>
      <c r="AJ1610" s="2282"/>
      <c r="AK1610" s="2282"/>
      <c r="AL1610" s="1037"/>
      <c r="AX1610" s="340">
        <v>89.08</v>
      </c>
      <c r="AY1610" s="340" t="s">
        <v>331</v>
      </c>
      <c r="BN1610" s="340">
        <v>167.24</v>
      </c>
      <c r="BO1610" s="340" t="s">
        <v>302</v>
      </c>
      <c r="BP1610" s="1385"/>
      <c r="BV1610" s="236">
        <v>133.16999999999999</v>
      </c>
      <c r="BW1610" s="236" t="s">
        <v>316</v>
      </c>
      <c r="CB1610" s="340">
        <v>89.09</v>
      </c>
      <c r="CC1610" s="340" t="s">
        <v>331</v>
      </c>
      <c r="CL1610" s="236">
        <v>93.12</v>
      </c>
      <c r="CM1610" s="236" t="s">
        <v>331</v>
      </c>
      <c r="CR1610" s="340">
        <v>167.3</v>
      </c>
      <c r="CS1610" s="340" t="s">
        <v>302</v>
      </c>
      <c r="CT1610" s="1384"/>
      <c r="DF1610" s="340">
        <v>107.1</v>
      </c>
      <c r="DG1610" s="340" t="s">
        <v>331</v>
      </c>
      <c r="DV1610" s="340">
        <v>171.14</v>
      </c>
      <c r="DW1610" s="340" t="s">
        <v>338</v>
      </c>
      <c r="DX1610" s="1671"/>
    </row>
    <row r="1611" spans="12:128">
      <c r="L1611" s="2481">
        <v>112.04</v>
      </c>
      <c r="M1611" s="340" t="s">
        <v>331</v>
      </c>
      <c r="N1611" s="1390"/>
      <c r="O1611" s="2479"/>
      <c r="P1611" s="2282"/>
      <c r="AG1611" s="2297">
        <v>171.02</v>
      </c>
      <c r="AH1611" s="2297" t="s">
        <v>331</v>
      </c>
      <c r="AI1611" s="1390"/>
      <c r="AJ1611" s="2282"/>
      <c r="AK1611" s="2282"/>
      <c r="AL1611" s="1037"/>
      <c r="AX1611" s="340">
        <v>89.09</v>
      </c>
      <c r="AY1611" s="340" t="s">
        <v>331</v>
      </c>
      <c r="BN1611" s="340">
        <v>167.25</v>
      </c>
      <c r="BO1611" s="340" t="s">
        <v>302</v>
      </c>
      <c r="BP1611" s="1385"/>
      <c r="BV1611" s="236">
        <v>133.19</v>
      </c>
      <c r="BW1611" s="236" t="s">
        <v>316</v>
      </c>
      <c r="CB1611" s="340">
        <v>89.1</v>
      </c>
      <c r="CC1611" s="340" t="s">
        <v>331</v>
      </c>
      <c r="CL1611" s="236">
        <v>93.14</v>
      </c>
      <c r="CM1611" s="236" t="s">
        <v>331</v>
      </c>
      <c r="CR1611" s="340">
        <v>167.31</v>
      </c>
      <c r="CS1611" s="340" t="s">
        <v>302</v>
      </c>
      <c r="CT1611" s="1384"/>
      <c r="DF1611" s="340">
        <v>110.03</v>
      </c>
      <c r="DG1611" s="340" t="s">
        <v>331</v>
      </c>
      <c r="DV1611" s="340">
        <v>171.15</v>
      </c>
      <c r="DW1611" s="340" t="s">
        <v>338</v>
      </c>
      <c r="DX1611" s="1671"/>
    </row>
    <row r="1612" spans="12:128">
      <c r="L1612" s="2481">
        <v>112.06</v>
      </c>
      <c r="M1612" s="340" t="s">
        <v>331</v>
      </c>
      <c r="N1612" s="1390"/>
      <c r="O1612" s="2479"/>
      <c r="P1612" s="2282"/>
      <c r="AG1612" s="2297">
        <v>171.08</v>
      </c>
      <c r="AH1612" s="2297" t="s">
        <v>338</v>
      </c>
      <c r="AI1612" s="1390"/>
      <c r="AJ1612" s="2282"/>
      <c r="AK1612" s="2282"/>
      <c r="AL1612" s="1037"/>
      <c r="AX1612" s="340">
        <v>89.1</v>
      </c>
      <c r="AY1612" s="340" t="s">
        <v>331</v>
      </c>
      <c r="BN1612" s="340">
        <v>167.26</v>
      </c>
      <c r="BO1612" s="340" t="s">
        <v>302</v>
      </c>
      <c r="BP1612" s="1385"/>
      <c r="BV1612" s="236">
        <v>133.19999999999999</v>
      </c>
      <c r="BW1612" s="236" t="s">
        <v>316</v>
      </c>
      <c r="CB1612" s="340">
        <v>89.11</v>
      </c>
      <c r="CC1612" s="340" t="s">
        <v>331</v>
      </c>
      <c r="CL1612" s="236">
        <v>93.15</v>
      </c>
      <c r="CM1612" s="236" t="s">
        <v>331</v>
      </c>
      <c r="CR1612" s="340">
        <v>167.31</v>
      </c>
      <c r="CS1612" s="340" t="s">
        <v>338</v>
      </c>
      <c r="CT1612" s="1384"/>
      <c r="DF1612" s="340">
        <v>110.08</v>
      </c>
      <c r="DG1612" s="340" t="s">
        <v>331</v>
      </c>
      <c r="DV1612" s="340">
        <v>171.16</v>
      </c>
      <c r="DW1612" s="340" t="s">
        <v>338</v>
      </c>
      <c r="DX1612" s="1671"/>
    </row>
    <row r="1613" spans="12:128">
      <c r="L1613" s="2481">
        <v>114.07</v>
      </c>
      <c r="M1613" s="340" t="s">
        <v>331</v>
      </c>
      <c r="N1613" s="1390"/>
      <c r="O1613" s="2479"/>
      <c r="P1613" s="2282"/>
      <c r="AG1613" s="2297">
        <v>171.09</v>
      </c>
      <c r="AH1613" s="2297" t="s">
        <v>338</v>
      </c>
      <c r="AI1613" s="1390"/>
      <c r="AJ1613" s="2282"/>
      <c r="AK1613" s="2282"/>
      <c r="AL1613" s="1037"/>
      <c r="AX1613" s="340">
        <v>89.11</v>
      </c>
      <c r="AY1613" s="340" t="s">
        <v>331</v>
      </c>
      <c r="BN1613" s="340">
        <v>167.28</v>
      </c>
      <c r="BO1613" s="340" t="s">
        <v>302</v>
      </c>
      <c r="BP1613" s="1385"/>
      <c r="BV1613" s="236">
        <v>133.22</v>
      </c>
      <c r="BW1613" s="236" t="s">
        <v>316</v>
      </c>
      <c r="CB1613" s="340">
        <v>90.1</v>
      </c>
      <c r="CC1613" s="340" t="s">
        <v>331</v>
      </c>
      <c r="CL1613" s="236">
        <v>93.16</v>
      </c>
      <c r="CM1613" s="236" t="s">
        <v>331</v>
      </c>
      <c r="CR1613" s="340">
        <v>167.35</v>
      </c>
      <c r="CS1613" s="340" t="s">
        <v>338</v>
      </c>
      <c r="CT1613" s="1384"/>
      <c r="DF1613" s="340">
        <v>110.09</v>
      </c>
      <c r="DG1613" s="340" t="s">
        <v>331</v>
      </c>
      <c r="DV1613" s="340">
        <v>171.17</v>
      </c>
      <c r="DW1613" s="340" t="s">
        <v>338</v>
      </c>
      <c r="DX1613" s="1671"/>
    </row>
    <row r="1614" spans="12:128">
      <c r="L1614" s="2481">
        <v>114.1</v>
      </c>
      <c r="M1614" s="340" t="s">
        <v>331</v>
      </c>
      <c r="N1614" s="1390"/>
      <c r="O1614" s="2479"/>
      <c r="P1614" s="2282"/>
      <c r="AG1614" s="2297">
        <v>171.1</v>
      </c>
      <c r="AH1614" s="2297" t="s">
        <v>338</v>
      </c>
      <c r="AI1614" s="1390"/>
      <c r="AJ1614" s="2282"/>
      <c r="AK1614" s="2282"/>
      <c r="AL1614" s="1037"/>
      <c r="AX1614" s="340">
        <v>90.1</v>
      </c>
      <c r="AY1614" s="340" t="s">
        <v>331</v>
      </c>
      <c r="BN1614" s="340">
        <v>167.28</v>
      </c>
      <c r="BO1614" s="340" t="s">
        <v>338</v>
      </c>
      <c r="BP1614" s="1385"/>
      <c r="BV1614" s="236">
        <v>133.22999999999999</v>
      </c>
      <c r="BW1614" s="236" t="s">
        <v>316</v>
      </c>
      <c r="CB1614" s="340">
        <v>90.14</v>
      </c>
      <c r="CC1614" s="340" t="s">
        <v>331</v>
      </c>
      <c r="CL1614" s="236">
        <v>93.17</v>
      </c>
      <c r="CM1614" s="236" t="s">
        <v>331</v>
      </c>
      <c r="CR1614" s="340">
        <v>167.36</v>
      </c>
      <c r="CS1614" s="340" t="s">
        <v>338</v>
      </c>
      <c r="CT1614" s="1384"/>
      <c r="DF1614" s="340">
        <v>110.13</v>
      </c>
      <c r="DG1614" s="340" t="s">
        <v>331</v>
      </c>
      <c r="DV1614" s="340">
        <v>171.18</v>
      </c>
      <c r="DW1614" s="340" t="s">
        <v>338</v>
      </c>
      <c r="DX1614" s="1671"/>
    </row>
    <row r="1615" spans="12:128">
      <c r="L1615" s="2481">
        <v>114.11</v>
      </c>
      <c r="M1615" s="340" t="s">
        <v>331</v>
      </c>
      <c r="N1615" s="1390"/>
      <c r="O1615" s="2479"/>
      <c r="P1615" s="2282"/>
      <c r="AG1615" s="2297">
        <v>171.11</v>
      </c>
      <c r="AH1615" s="2297" t="s">
        <v>338</v>
      </c>
      <c r="AI1615" s="1390"/>
      <c r="AJ1615" s="2282"/>
      <c r="AK1615" s="2282"/>
      <c r="AL1615" s="1037"/>
      <c r="AX1615" s="340">
        <v>90.14</v>
      </c>
      <c r="AY1615" s="340" t="s">
        <v>331</v>
      </c>
      <c r="BN1615" s="340">
        <v>167.29</v>
      </c>
      <c r="BO1615" s="340" t="s">
        <v>302</v>
      </c>
      <c r="BP1615" s="1385"/>
      <c r="BV1615" s="236">
        <v>134.06</v>
      </c>
      <c r="BW1615" s="236" t="s">
        <v>316</v>
      </c>
      <c r="CB1615" s="340">
        <v>90.22</v>
      </c>
      <c r="CC1615" s="340" t="s">
        <v>331</v>
      </c>
      <c r="CL1615" s="236">
        <v>93.18</v>
      </c>
      <c r="CM1615" s="236" t="s">
        <v>331</v>
      </c>
      <c r="CR1615" s="340">
        <v>167.37</v>
      </c>
      <c r="CS1615" s="340" t="s">
        <v>338</v>
      </c>
      <c r="CT1615" s="1384"/>
      <c r="DF1615" s="340">
        <v>110.14</v>
      </c>
      <c r="DG1615" s="340" t="s">
        <v>331</v>
      </c>
      <c r="DV1615" s="340">
        <v>171.19</v>
      </c>
      <c r="DW1615" s="340" t="s">
        <v>338</v>
      </c>
      <c r="DX1615" s="1671"/>
    </row>
    <row r="1616" spans="12:128">
      <c r="L1616" s="2481">
        <v>115</v>
      </c>
      <c r="M1616" s="340" t="s">
        <v>331</v>
      </c>
      <c r="N1616" s="1390"/>
      <c r="O1616" s="2479"/>
      <c r="P1616" s="2282"/>
      <c r="AG1616" s="2297">
        <v>171.12</v>
      </c>
      <c r="AH1616" s="2297" t="s">
        <v>338</v>
      </c>
      <c r="AI1616" s="1390"/>
      <c r="AJ1616" s="2282"/>
      <c r="AK1616" s="2282"/>
      <c r="AL1616" s="1037"/>
      <c r="AX1616" s="340">
        <v>90.15</v>
      </c>
      <c r="AY1616" s="340" t="s">
        <v>331</v>
      </c>
      <c r="BN1616" s="340">
        <v>167.3</v>
      </c>
      <c r="BO1616" s="340" t="s">
        <v>302</v>
      </c>
      <c r="BP1616" s="1385"/>
      <c r="BV1616" s="236">
        <v>134.07</v>
      </c>
      <c r="BW1616" s="236" t="s">
        <v>316</v>
      </c>
      <c r="CB1616" s="340">
        <v>90.24</v>
      </c>
      <c r="CC1616" s="340" t="s">
        <v>331</v>
      </c>
      <c r="CL1616" s="236">
        <v>93.19</v>
      </c>
      <c r="CM1616" s="236" t="s">
        <v>331</v>
      </c>
      <c r="CR1616" s="340">
        <v>167.4</v>
      </c>
      <c r="CS1616" s="340" t="s">
        <v>338</v>
      </c>
      <c r="CT1616" s="1384"/>
      <c r="DF1616" s="340">
        <v>110.15</v>
      </c>
      <c r="DG1616" s="340" t="s">
        <v>331</v>
      </c>
      <c r="DV1616" s="340">
        <v>171.2</v>
      </c>
      <c r="DW1616" s="340" t="s">
        <v>338</v>
      </c>
      <c r="DX1616" s="1671"/>
    </row>
    <row r="1617" spans="12:128">
      <c r="L1617" s="2481">
        <v>116.01</v>
      </c>
      <c r="M1617" s="340" t="s">
        <v>331</v>
      </c>
      <c r="N1617" s="1390"/>
      <c r="O1617" s="2479"/>
      <c r="P1617" s="2282"/>
      <c r="AG1617" s="2297">
        <v>171.13</v>
      </c>
      <c r="AH1617" s="2297" t="s">
        <v>338</v>
      </c>
      <c r="AI1617" s="1390"/>
      <c r="AJ1617" s="2282"/>
      <c r="AK1617" s="2282"/>
      <c r="AL1617" s="1037"/>
      <c r="AX1617" s="340">
        <v>90.22</v>
      </c>
      <c r="AY1617" s="340" t="s">
        <v>331</v>
      </c>
      <c r="BN1617" s="340">
        <v>167.31</v>
      </c>
      <c r="BO1617" s="340" t="s">
        <v>302</v>
      </c>
      <c r="BP1617" s="1385"/>
      <c r="BV1617" s="236">
        <v>134.09</v>
      </c>
      <c r="BW1617" s="236" t="s">
        <v>316</v>
      </c>
      <c r="CB1617" s="340">
        <v>90.28</v>
      </c>
      <c r="CC1617" s="340" t="s">
        <v>331</v>
      </c>
      <c r="CL1617" s="236">
        <v>93.2</v>
      </c>
      <c r="CM1617" s="236" t="s">
        <v>331</v>
      </c>
      <c r="CR1617" s="340">
        <v>167.43</v>
      </c>
      <c r="CS1617" s="340" t="s">
        <v>338</v>
      </c>
      <c r="CT1617" s="1384"/>
      <c r="DF1617" s="340">
        <v>111.05</v>
      </c>
      <c r="DG1617" s="340" t="s">
        <v>331</v>
      </c>
      <c r="DV1617" s="340">
        <v>171.22</v>
      </c>
      <c r="DW1617" s="340" t="s">
        <v>338</v>
      </c>
      <c r="DX1617" s="1671"/>
    </row>
    <row r="1618" spans="12:128">
      <c r="L1618" s="2481">
        <v>116.02</v>
      </c>
      <c r="M1618" s="340" t="s">
        <v>331</v>
      </c>
      <c r="N1618" s="1390"/>
      <c r="O1618" s="2479"/>
      <c r="P1618" s="2282"/>
      <c r="AG1618" s="2297">
        <v>171.14</v>
      </c>
      <c r="AH1618" s="2297" t="s">
        <v>338</v>
      </c>
      <c r="AI1618" s="1390"/>
      <c r="AJ1618" s="2282"/>
      <c r="AK1618" s="2282"/>
      <c r="AL1618" s="1037"/>
      <c r="AX1618" s="340">
        <v>90.24</v>
      </c>
      <c r="AY1618" s="340" t="s">
        <v>331</v>
      </c>
      <c r="BN1618" s="340">
        <v>167.31</v>
      </c>
      <c r="BO1618" s="340" t="s">
        <v>338</v>
      </c>
      <c r="BP1618" s="1385"/>
      <c r="BV1618" s="236">
        <v>134.1</v>
      </c>
      <c r="BW1618" s="236" t="s">
        <v>316</v>
      </c>
      <c r="CB1618" s="340">
        <v>90.29</v>
      </c>
      <c r="CC1618" s="340" t="s">
        <v>331</v>
      </c>
      <c r="CL1618" s="236">
        <v>93.21</v>
      </c>
      <c r="CM1618" s="236" t="s">
        <v>331</v>
      </c>
      <c r="CR1618" s="340">
        <v>167.44</v>
      </c>
      <c r="CS1618" s="340" t="s">
        <v>338</v>
      </c>
      <c r="CT1618" s="1384"/>
      <c r="DF1618" s="340">
        <v>111.06</v>
      </c>
      <c r="DG1618" s="340" t="s">
        <v>331</v>
      </c>
      <c r="DV1618" s="340">
        <v>171.23</v>
      </c>
      <c r="DW1618" s="340" t="s">
        <v>338</v>
      </c>
      <c r="DX1618" s="1671"/>
    </row>
    <row r="1619" spans="12:128">
      <c r="L1619" s="2481">
        <v>117.01</v>
      </c>
      <c r="M1619" s="340" t="s">
        <v>331</v>
      </c>
      <c r="N1619" s="1390"/>
      <c r="O1619" s="2479"/>
      <c r="P1619" s="2282"/>
      <c r="AG1619" s="2297">
        <v>171.15</v>
      </c>
      <c r="AH1619" s="2297" t="s">
        <v>338</v>
      </c>
      <c r="AI1619" s="1390"/>
      <c r="AJ1619" s="2282"/>
      <c r="AK1619" s="2282"/>
      <c r="AL1619" s="1037"/>
      <c r="AX1619" s="340">
        <v>90.28</v>
      </c>
      <c r="AY1619" s="340" t="s">
        <v>331</v>
      </c>
      <c r="BN1619" s="340">
        <v>167.35</v>
      </c>
      <c r="BO1619" s="340" t="s">
        <v>338</v>
      </c>
      <c r="BP1619" s="1385"/>
      <c r="BV1619" s="236">
        <v>134.11000000000001</v>
      </c>
      <c r="BW1619" s="236" t="s">
        <v>316</v>
      </c>
      <c r="CB1619" s="340">
        <v>90.3</v>
      </c>
      <c r="CC1619" s="340" t="s">
        <v>331</v>
      </c>
      <c r="CL1619" s="236">
        <v>93.22</v>
      </c>
      <c r="CM1619" s="236" t="s">
        <v>331</v>
      </c>
      <c r="CR1619" s="340">
        <v>167.45</v>
      </c>
      <c r="CS1619" s="340" t="s">
        <v>338</v>
      </c>
      <c r="CT1619" s="1384"/>
      <c r="DF1619" s="340">
        <v>112.04</v>
      </c>
      <c r="DG1619" s="340" t="s">
        <v>331</v>
      </c>
      <c r="DV1619" s="340">
        <v>172</v>
      </c>
      <c r="DW1619" s="340" t="s">
        <v>302</v>
      </c>
      <c r="DX1619" s="1671"/>
    </row>
    <row r="1620" spans="12:128">
      <c r="L1620" s="2481">
        <v>117.02</v>
      </c>
      <c r="M1620" s="340" t="s">
        <v>331</v>
      </c>
      <c r="N1620" s="1390"/>
      <c r="O1620" s="2479"/>
      <c r="P1620" s="2282"/>
      <c r="AG1620" s="2297">
        <v>171.16</v>
      </c>
      <c r="AH1620" s="2297" t="s">
        <v>338</v>
      </c>
      <c r="AI1620" s="1390"/>
      <c r="AJ1620" s="2282"/>
      <c r="AK1620" s="2282"/>
      <c r="AL1620" s="1037"/>
      <c r="AX1620" s="340">
        <v>90.29</v>
      </c>
      <c r="AY1620" s="340" t="s">
        <v>331</v>
      </c>
      <c r="BN1620" s="340">
        <v>167.36</v>
      </c>
      <c r="BO1620" s="340" t="s">
        <v>338</v>
      </c>
      <c r="BP1620" s="1385"/>
      <c r="BV1620" s="236">
        <v>134.12</v>
      </c>
      <c r="BW1620" s="236" t="s">
        <v>316</v>
      </c>
      <c r="CB1620" s="340">
        <v>90.31</v>
      </c>
      <c r="CC1620" s="340" t="s">
        <v>331</v>
      </c>
      <c r="CL1620" s="236">
        <v>93.23</v>
      </c>
      <c r="CM1620" s="236" t="s">
        <v>331</v>
      </c>
      <c r="CR1620" s="340">
        <v>167.46</v>
      </c>
      <c r="CS1620" s="340" t="s">
        <v>338</v>
      </c>
      <c r="CT1620" s="1384"/>
      <c r="DF1620" s="340">
        <v>112.06</v>
      </c>
      <c r="DG1620" s="340" t="s">
        <v>331</v>
      </c>
      <c r="DV1620" s="340">
        <v>172</v>
      </c>
      <c r="DW1620" s="340" t="s">
        <v>331</v>
      </c>
      <c r="DX1620" s="1671"/>
    </row>
    <row r="1621" spans="12:128">
      <c r="L1621" s="2481">
        <v>118</v>
      </c>
      <c r="M1621" s="340" t="s">
        <v>331</v>
      </c>
      <c r="N1621" s="1390"/>
      <c r="O1621" s="2479"/>
      <c r="P1621" s="2282"/>
      <c r="AG1621" s="2297">
        <v>171.18</v>
      </c>
      <c r="AH1621" s="2297" t="s">
        <v>338</v>
      </c>
      <c r="AI1621" s="1390"/>
      <c r="AJ1621" s="2282"/>
      <c r="AK1621" s="2282"/>
      <c r="AL1621" s="1037"/>
      <c r="AX1621" s="340">
        <v>90.3</v>
      </c>
      <c r="AY1621" s="340" t="s">
        <v>331</v>
      </c>
      <c r="BN1621" s="340">
        <v>167.37</v>
      </c>
      <c r="BO1621" s="340" t="s">
        <v>338</v>
      </c>
      <c r="BP1621" s="1385"/>
      <c r="BV1621" s="236">
        <v>134.13</v>
      </c>
      <c r="BW1621" s="236" t="s">
        <v>316</v>
      </c>
      <c r="CB1621" s="340">
        <v>90.39</v>
      </c>
      <c r="CC1621" s="340" t="s">
        <v>331</v>
      </c>
      <c r="CL1621" s="236">
        <v>93.24</v>
      </c>
      <c r="CM1621" s="236" t="s">
        <v>331</v>
      </c>
      <c r="CR1621" s="340">
        <v>167.47</v>
      </c>
      <c r="CS1621" s="340" t="s">
        <v>338</v>
      </c>
      <c r="CT1621" s="1384"/>
      <c r="DF1621" s="340">
        <v>114.07</v>
      </c>
      <c r="DG1621" s="340" t="s">
        <v>331</v>
      </c>
      <c r="DV1621" s="340">
        <v>172</v>
      </c>
      <c r="DW1621" s="340" t="s">
        <v>338</v>
      </c>
      <c r="DX1621" s="1671"/>
    </row>
    <row r="1622" spans="12:128">
      <c r="L1622" s="2481">
        <v>119</v>
      </c>
      <c r="M1622" s="340" t="s">
        <v>331</v>
      </c>
      <c r="N1622" s="1390"/>
      <c r="O1622" s="2479"/>
      <c r="P1622" s="2282"/>
      <c r="AG1622" s="2297">
        <v>171.19</v>
      </c>
      <c r="AH1622" s="2297" t="s">
        <v>338</v>
      </c>
      <c r="AI1622" s="1390"/>
      <c r="AJ1622" s="2282"/>
      <c r="AK1622" s="2282"/>
      <c r="AL1622" s="1037"/>
      <c r="AX1622" s="340">
        <v>90.31</v>
      </c>
      <c r="AY1622" s="340" t="s">
        <v>331</v>
      </c>
      <c r="BN1622" s="340">
        <v>167.4</v>
      </c>
      <c r="BO1622" s="340" t="s">
        <v>338</v>
      </c>
      <c r="BP1622" s="1385"/>
      <c r="BV1622" s="236">
        <v>134.13999999999999</v>
      </c>
      <c r="BW1622" s="236" t="s">
        <v>316</v>
      </c>
      <c r="CB1622" s="340">
        <v>90.4</v>
      </c>
      <c r="CC1622" s="340" t="s">
        <v>331</v>
      </c>
      <c r="CL1622" s="236">
        <v>93.25</v>
      </c>
      <c r="CM1622" s="236" t="s">
        <v>331</v>
      </c>
      <c r="CR1622" s="340">
        <v>167.48</v>
      </c>
      <c r="CS1622" s="340" t="s">
        <v>338</v>
      </c>
      <c r="CT1622" s="1384"/>
      <c r="DF1622" s="340">
        <v>114.1</v>
      </c>
      <c r="DG1622" s="340" t="s">
        <v>331</v>
      </c>
      <c r="DV1622" s="340">
        <v>173</v>
      </c>
      <c r="DW1622" s="340" t="s">
        <v>331</v>
      </c>
      <c r="DX1622" s="1671"/>
    </row>
    <row r="1623" spans="12:128">
      <c r="L1623" s="2481">
        <v>120.02</v>
      </c>
      <c r="M1623" s="340" t="s">
        <v>331</v>
      </c>
      <c r="N1623" s="1390"/>
      <c r="O1623" s="2479"/>
      <c r="P1623" s="2282"/>
      <c r="AG1623" s="2297">
        <v>171.2</v>
      </c>
      <c r="AH1623" s="2297" t="s">
        <v>338</v>
      </c>
      <c r="AI1623" s="1390"/>
      <c r="AJ1623" s="2282"/>
      <c r="AK1623" s="2282"/>
      <c r="AL1623" s="1037"/>
      <c r="AX1623" s="340">
        <v>90.39</v>
      </c>
      <c r="AY1623" s="340" t="s">
        <v>331</v>
      </c>
      <c r="BN1623" s="340">
        <v>167.41</v>
      </c>
      <c r="BO1623" s="340" t="s">
        <v>338</v>
      </c>
      <c r="BP1623" s="1385"/>
      <c r="BV1623" s="236">
        <v>134.15</v>
      </c>
      <c r="BW1623" s="236" t="s">
        <v>316</v>
      </c>
      <c r="CB1623" s="340">
        <v>90.43</v>
      </c>
      <c r="CC1623" s="340" t="s">
        <v>331</v>
      </c>
      <c r="CL1623" s="236">
        <v>93.26</v>
      </c>
      <c r="CM1623" s="236" t="s">
        <v>331</v>
      </c>
      <c r="CR1623" s="340">
        <v>167.49</v>
      </c>
      <c r="CS1623" s="340" t="s">
        <v>338</v>
      </c>
      <c r="CT1623" s="1384"/>
      <c r="DF1623" s="340">
        <v>114.11</v>
      </c>
      <c r="DG1623" s="340" t="s">
        <v>331</v>
      </c>
      <c r="DV1623" s="340">
        <v>173.01</v>
      </c>
      <c r="DW1623" s="340" t="s">
        <v>338</v>
      </c>
      <c r="DX1623" s="1671"/>
    </row>
    <row r="1624" spans="12:128">
      <c r="L1624" s="2481">
        <v>121.01</v>
      </c>
      <c r="M1624" s="340" t="s">
        <v>331</v>
      </c>
      <c r="N1624" s="1390"/>
      <c r="O1624" s="2479"/>
      <c r="P1624" s="2282"/>
      <c r="AG1624" s="2297">
        <v>171.21</v>
      </c>
      <c r="AH1624" s="2297" t="s">
        <v>338</v>
      </c>
      <c r="AI1624" s="1390"/>
      <c r="AJ1624" s="2282"/>
      <c r="AK1624" s="2282"/>
      <c r="AL1624" s="1037"/>
      <c r="AX1624" s="340">
        <v>90.4</v>
      </c>
      <c r="AY1624" s="340" t="s">
        <v>331</v>
      </c>
      <c r="BN1624" s="340">
        <v>167.42</v>
      </c>
      <c r="BO1624" s="340" t="s">
        <v>338</v>
      </c>
      <c r="BP1624" s="1385"/>
      <c r="BV1624" s="236">
        <v>135.01</v>
      </c>
      <c r="BW1624" s="236" t="s">
        <v>316</v>
      </c>
      <c r="CB1624" s="340">
        <v>90.44</v>
      </c>
      <c r="CC1624" s="340" t="s">
        <v>331</v>
      </c>
      <c r="CL1624" s="236">
        <v>93.27</v>
      </c>
      <c r="CM1624" s="236" t="s">
        <v>331</v>
      </c>
      <c r="CR1624" s="340">
        <v>167.5</v>
      </c>
      <c r="CS1624" s="340" t="s">
        <v>338</v>
      </c>
      <c r="CT1624" s="1384"/>
      <c r="DF1624" s="340">
        <v>114.12</v>
      </c>
      <c r="DG1624" s="340" t="s">
        <v>331</v>
      </c>
      <c r="DV1624" s="340">
        <v>173.02</v>
      </c>
      <c r="DW1624" s="340" t="s">
        <v>338</v>
      </c>
      <c r="DX1624" s="1671"/>
    </row>
    <row r="1625" spans="12:128">
      <c r="L1625" s="2481">
        <v>121.02</v>
      </c>
      <c r="M1625" s="340" t="s">
        <v>331</v>
      </c>
      <c r="N1625" s="1390"/>
      <c r="O1625" s="2479"/>
      <c r="P1625" s="2282"/>
      <c r="AG1625" s="2297">
        <v>171.22</v>
      </c>
      <c r="AH1625" s="2297" t="s">
        <v>338</v>
      </c>
      <c r="AI1625" s="1390"/>
      <c r="AJ1625" s="2282"/>
      <c r="AK1625" s="2282"/>
      <c r="AL1625" s="1037"/>
      <c r="AX1625" s="340">
        <v>90.43</v>
      </c>
      <c r="AY1625" s="340" t="s">
        <v>331</v>
      </c>
      <c r="BN1625" s="340">
        <v>167.45</v>
      </c>
      <c r="BO1625" s="340" t="s">
        <v>338</v>
      </c>
      <c r="BP1625" s="1385"/>
      <c r="BV1625" s="236">
        <v>135.03</v>
      </c>
      <c r="BW1625" s="236" t="s">
        <v>316</v>
      </c>
      <c r="CB1625" s="340">
        <v>90.48</v>
      </c>
      <c r="CC1625" s="340" t="s">
        <v>331</v>
      </c>
      <c r="CL1625" s="236">
        <v>94.01</v>
      </c>
      <c r="CM1625" s="236" t="s">
        <v>331</v>
      </c>
      <c r="CR1625" s="340">
        <v>167.51</v>
      </c>
      <c r="CS1625" s="340" t="s">
        <v>338</v>
      </c>
      <c r="CT1625" s="1384"/>
      <c r="DF1625" s="340">
        <v>115</v>
      </c>
      <c r="DG1625" s="340" t="s">
        <v>331</v>
      </c>
      <c r="DV1625" s="340">
        <v>174.01</v>
      </c>
      <c r="DW1625" s="340" t="s">
        <v>338</v>
      </c>
      <c r="DX1625" s="1671"/>
    </row>
    <row r="1626" spans="12:128">
      <c r="L1626" s="2481">
        <v>122</v>
      </c>
      <c r="M1626" s="340" t="s">
        <v>331</v>
      </c>
      <c r="N1626" s="1390"/>
      <c r="O1626" s="2479"/>
      <c r="P1626" s="2282"/>
      <c r="AG1626" s="2297">
        <v>171.23</v>
      </c>
      <c r="AH1626" s="2297" t="s">
        <v>338</v>
      </c>
      <c r="AI1626" s="1390"/>
      <c r="AJ1626" s="2282"/>
      <c r="AK1626" s="2282"/>
      <c r="AL1626" s="1037"/>
      <c r="AX1626" s="340">
        <v>90.44</v>
      </c>
      <c r="AY1626" s="340" t="s">
        <v>331</v>
      </c>
      <c r="BN1626" s="340">
        <v>167.46</v>
      </c>
      <c r="BO1626" s="340" t="s">
        <v>338</v>
      </c>
      <c r="BP1626" s="1385"/>
      <c r="BV1626" s="236">
        <v>135.04</v>
      </c>
      <c r="BW1626" s="236" t="s">
        <v>316</v>
      </c>
      <c r="CB1626" s="340">
        <v>90.49</v>
      </c>
      <c r="CC1626" s="340" t="s">
        <v>331</v>
      </c>
      <c r="CL1626" s="236">
        <v>94.02</v>
      </c>
      <c r="CM1626" s="236" t="s">
        <v>331</v>
      </c>
      <c r="CR1626" s="340">
        <v>167.52</v>
      </c>
      <c r="CS1626" s="340" t="s">
        <v>338</v>
      </c>
      <c r="CT1626" s="1384"/>
      <c r="DF1626" s="340">
        <v>116.01</v>
      </c>
      <c r="DG1626" s="340" t="s">
        <v>331</v>
      </c>
      <c r="DV1626" s="340">
        <v>175.05</v>
      </c>
      <c r="DW1626" s="340" t="s">
        <v>338</v>
      </c>
      <c r="DX1626" s="1671"/>
    </row>
    <row r="1627" spans="12:128">
      <c r="L1627" s="2481">
        <v>123.01</v>
      </c>
      <c r="M1627" s="340" t="s">
        <v>331</v>
      </c>
      <c r="N1627" s="1390"/>
      <c r="O1627" s="2479"/>
      <c r="P1627" s="2282"/>
      <c r="AG1627" s="2297">
        <v>172</v>
      </c>
      <c r="AH1627" s="2297" t="s">
        <v>331</v>
      </c>
      <c r="AI1627" s="1390"/>
      <c r="AJ1627" s="2282"/>
      <c r="AK1627" s="2282"/>
      <c r="AL1627" s="1037"/>
      <c r="AX1627" s="340">
        <v>90.48</v>
      </c>
      <c r="AY1627" s="340" t="s">
        <v>331</v>
      </c>
      <c r="BN1627" s="340">
        <v>167.47</v>
      </c>
      <c r="BO1627" s="340" t="s">
        <v>338</v>
      </c>
      <c r="BP1627" s="1385"/>
      <c r="BV1627" s="236">
        <v>135.05000000000001</v>
      </c>
      <c r="BW1627" s="236" t="s">
        <v>316</v>
      </c>
      <c r="CB1627" s="340">
        <v>90.5</v>
      </c>
      <c r="CC1627" s="340" t="s">
        <v>331</v>
      </c>
      <c r="CL1627" s="236">
        <v>95.03</v>
      </c>
      <c r="CM1627" s="236" t="s">
        <v>331</v>
      </c>
      <c r="CR1627" s="340">
        <v>167.53</v>
      </c>
      <c r="CS1627" s="340" t="s">
        <v>338</v>
      </c>
      <c r="CT1627" s="1384"/>
      <c r="DF1627" s="340">
        <v>116.02</v>
      </c>
      <c r="DG1627" s="340" t="s">
        <v>331</v>
      </c>
      <c r="DV1627" s="340">
        <v>175.06</v>
      </c>
      <c r="DW1627" s="340" t="s">
        <v>338</v>
      </c>
      <c r="DX1627" s="1671"/>
    </row>
    <row r="1628" spans="12:128">
      <c r="L1628" s="2481">
        <v>123.02</v>
      </c>
      <c r="M1628" s="340" t="s">
        <v>331</v>
      </c>
      <c r="N1628" s="1390"/>
      <c r="O1628" s="2479"/>
      <c r="P1628" s="2282"/>
      <c r="AG1628" s="2297">
        <v>172</v>
      </c>
      <c r="AH1628" s="2297" t="s">
        <v>338</v>
      </c>
      <c r="AI1628" s="1390"/>
      <c r="AJ1628" s="2282"/>
      <c r="AK1628" s="2282"/>
      <c r="AL1628" s="1037"/>
      <c r="AX1628" s="340">
        <v>90.49</v>
      </c>
      <c r="AY1628" s="340" t="s">
        <v>331</v>
      </c>
      <c r="BN1628" s="340">
        <v>167.48</v>
      </c>
      <c r="BO1628" s="340" t="s">
        <v>338</v>
      </c>
      <c r="BP1628" s="1385"/>
      <c r="BV1628" s="236">
        <v>136.02000000000001</v>
      </c>
      <c r="BW1628" s="236" t="s">
        <v>316</v>
      </c>
      <c r="CB1628" s="340">
        <v>90.51</v>
      </c>
      <c r="CC1628" s="340" t="s">
        <v>331</v>
      </c>
      <c r="CL1628" s="236">
        <v>95.04</v>
      </c>
      <c r="CM1628" s="236" t="s">
        <v>331</v>
      </c>
      <c r="CR1628" s="340">
        <v>167.55</v>
      </c>
      <c r="CS1628" s="340" t="s">
        <v>338</v>
      </c>
      <c r="CT1628" s="1384"/>
      <c r="DF1628" s="340">
        <v>117.01</v>
      </c>
      <c r="DG1628" s="340" t="s">
        <v>331</v>
      </c>
      <c r="DV1628" s="340">
        <v>176</v>
      </c>
      <c r="DW1628" s="340" t="s">
        <v>331</v>
      </c>
      <c r="DX1628" s="1671"/>
    </row>
    <row r="1629" spans="12:128">
      <c r="L1629" s="2481">
        <v>124.02</v>
      </c>
      <c r="M1629" s="340" t="s">
        <v>331</v>
      </c>
      <c r="N1629" s="1390"/>
      <c r="O1629" s="2479"/>
      <c r="P1629" s="2282"/>
      <c r="AG1629" s="2297">
        <v>173</v>
      </c>
      <c r="AH1629" s="2297" t="s">
        <v>331</v>
      </c>
      <c r="AI1629" s="1390"/>
      <c r="AJ1629" s="2282"/>
      <c r="AK1629" s="2282"/>
      <c r="AL1629" s="1037"/>
      <c r="AX1629" s="340">
        <v>90.5</v>
      </c>
      <c r="AY1629" s="340" t="s">
        <v>331</v>
      </c>
      <c r="BN1629" s="340">
        <v>167.49</v>
      </c>
      <c r="BO1629" s="340" t="s">
        <v>338</v>
      </c>
      <c r="BP1629" s="1385"/>
      <c r="BV1629" s="236">
        <v>136.04</v>
      </c>
      <c r="BW1629" s="236" t="s">
        <v>316</v>
      </c>
      <c r="CB1629" s="340">
        <v>90.53</v>
      </c>
      <c r="CC1629" s="340" t="s">
        <v>331</v>
      </c>
      <c r="CL1629" s="236">
        <v>95.05</v>
      </c>
      <c r="CM1629" s="236" t="s">
        <v>331</v>
      </c>
      <c r="CR1629" s="340">
        <v>167.56</v>
      </c>
      <c r="CS1629" s="340" t="s">
        <v>338</v>
      </c>
      <c r="CT1629" s="1384"/>
      <c r="DF1629" s="340">
        <v>118</v>
      </c>
      <c r="DG1629" s="340" t="s">
        <v>331</v>
      </c>
      <c r="DV1629" s="340">
        <v>177.01</v>
      </c>
      <c r="DW1629" s="340" t="s">
        <v>338</v>
      </c>
      <c r="DX1629" s="1671"/>
    </row>
    <row r="1630" spans="12:128">
      <c r="L1630" s="2481">
        <v>124.03</v>
      </c>
      <c r="M1630" s="340" t="s">
        <v>331</v>
      </c>
      <c r="N1630" s="1390"/>
      <c r="O1630" s="2479"/>
      <c r="P1630" s="2282"/>
      <c r="AG1630" s="2297">
        <v>173.01</v>
      </c>
      <c r="AH1630" s="2297" t="s">
        <v>338</v>
      </c>
      <c r="AI1630" s="1390"/>
      <c r="AJ1630" s="2282"/>
      <c r="AK1630" s="2282"/>
      <c r="AL1630" s="1037"/>
      <c r="AX1630" s="340">
        <v>90.53</v>
      </c>
      <c r="AY1630" s="340" t="s">
        <v>331</v>
      </c>
      <c r="BN1630" s="340">
        <v>167.5</v>
      </c>
      <c r="BO1630" s="340" t="s">
        <v>338</v>
      </c>
      <c r="BP1630" s="1385"/>
      <c r="BV1630" s="236">
        <v>137.02000000000001</v>
      </c>
      <c r="BW1630" s="236" t="s">
        <v>316</v>
      </c>
      <c r="CB1630" s="340">
        <v>90.54</v>
      </c>
      <c r="CC1630" s="340" t="s">
        <v>331</v>
      </c>
      <c r="CL1630" s="236">
        <v>95.06</v>
      </c>
      <c r="CM1630" s="236" t="s">
        <v>331</v>
      </c>
      <c r="CR1630" s="340">
        <v>168.01</v>
      </c>
      <c r="CS1630" s="340" t="s">
        <v>302</v>
      </c>
      <c r="CT1630" s="1384"/>
      <c r="DF1630" s="340">
        <v>119</v>
      </c>
      <c r="DG1630" s="340" t="s">
        <v>331</v>
      </c>
      <c r="DV1630" s="340">
        <v>177.02</v>
      </c>
      <c r="DW1630" s="340" t="s">
        <v>338</v>
      </c>
      <c r="DX1630" s="1671"/>
    </row>
    <row r="1631" spans="12:128">
      <c r="L1631" s="2481">
        <v>125.02</v>
      </c>
      <c r="M1631" s="340" t="s">
        <v>331</v>
      </c>
      <c r="N1631" s="1390"/>
      <c r="O1631" s="2479"/>
      <c r="P1631" s="2282"/>
      <c r="AG1631" s="2297">
        <v>173.02</v>
      </c>
      <c r="AH1631" s="2297" t="s">
        <v>338</v>
      </c>
      <c r="AI1631" s="1390"/>
      <c r="AJ1631" s="2282"/>
      <c r="AK1631" s="2282"/>
      <c r="AL1631" s="1037"/>
      <c r="AX1631" s="340">
        <v>90.54</v>
      </c>
      <c r="AY1631" s="340" t="s">
        <v>331</v>
      </c>
      <c r="BN1631" s="340">
        <v>167.51</v>
      </c>
      <c r="BO1631" s="340" t="s">
        <v>338</v>
      </c>
      <c r="BP1631" s="1385"/>
      <c r="BV1631" s="236">
        <v>137.03</v>
      </c>
      <c r="BW1631" s="236" t="s">
        <v>316</v>
      </c>
      <c r="CB1631" s="340">
        <v>90.56</v>
      </c>
      <c r="CC1631" s="340" t="s">
        <v>331</v>
      </c>
      <c r="CL1631" s="236">
        <v>96.01</v>
      </c>
      <c r="CM1631" s="236" t="s">
        <v>331</v>
      </c>
      <c r="CR1631" s="340">
        <v>168.02</v>
      </c>
      <c r="CS1631" s="340" t="s">
        <v>338</v>
      </c>
      <c r="CT1631" s="1384"/>
      <c r="DF1631" s="340">
        <v>121.01</v>
      </c>
      <c r="DG1631" s="340" t="s">
        <v>331</v>
      </c>
      <c r="DV1631" s="340">
        <v>178.05</v>
      </c>
      <c r="DW1631" s="340" t="s">
        <v>338</v>
      </c>
      <c r="DX1631" s="1671"/>
    </row>
    <row r="1632" spans="12:128">
      <c r="L1632" s="2481">
        <v>126.02</v>
      </c>
      <c r="M1632" s="340" t="s">
        <v>331</v>
      </c>
      <c r="N1632" s="1390"/>
      <c r="O1632" s="2479"/>
      <c r="P1632" s="2282"/>
      <c r="AG1632" s="2297">
        <v>174.01</v>
      </c>
      <c r="AH1632" s="2297" t="s">
        <v>338</v>
      </c>
      <c r="AI1632" s="1390"/>
      <c r="AJ1632" s="2282"/>
      <c r="AK1632" s="2282"/>
      <c r="AL1632" s="1037"/>
      <c r="AX1632" s="340">
        <v>90.56</v>
      </c>
      <c r="AY1632" s="340" t="s">
        <v>331</v>
      </c>
      <c r="BN1632" s="340">
        <v>167.52</v>
      </c>
      <c r="BO1632" s="340" t="s">
        <v>338</v>
      </c>
      <c r="BP1632" s="1385"/>
      <c r="BV1632" s="236">
        <v>137.05000000000001</v>
      </c>
      <c r="BW1632" s="236" t="s">
        <v>316</v>
      </c>
      <c r="CB1632" s="340">
        <v>90.57</v>
      </c>
      <c r="CC1632" s="340" t="s">
        <v>331</v>
      </c>
      <c r="CL1632" s="236">
        <v>96.02</v>
      </c>
      <c r="CM1632" s="236" t="s">
        <v>331</v>
      </c>
      <c r="CR1632" s="340">
        <v>168.03</v>
      </c>
      <c r="CS1632" s="340" t="s">
        <v>302</v>
      </c>
      <c r="CT1632" s="1384"/>
      <c r="DF1632" s="340">
        <v>121.02</v>
      </c>
      <c r="DG1632" s="340" t="s">
        <v>331</v>
      </c>
      <c r="DV1632" s="340">
        <v>178.06</v>
      </c>
      <c r="DW1632" s="340" t="s">
        <v>338</v>
      </c>
      <c r="DX1632" s="1671"/>
    </row>
    <row r="1633" spans="12:128">
      <c r="L1633" s="2481">
        <v>127.01</v>
      </c>
      <c r="M1633" s="340" t="s">
        <v>331</v>
      </c>
      <c r="N1633" s="1390"/>
      <c r="O1633" s="2479"/>
      <c r="P1633" s="2282"/>
      <c r="AG1633" s="2297">
        <v>174.02</v>
      </c>
      <c r="AH1633" s="2297" t="s">
        <v>331</v>
      </c>
      <c r="AI1633" s="1390"/>
      <c r="AJ1633" s="2282"/>
      <c r="AK1633" s="2282"/>
      <c r="AL1633" s="1037"/>
      <c r="AX1633" s="340">
        <v>90.57</v>
      </c>
      <c r="AY1633" s="340" t="s">
        <v>331</v>
      </c>
      <c r="BN1633" s="340">
        <v>167.53</v>
      </c>
      <c r="BO1633" s="340" t="s">
        <v>338</v>
      </c>
      <c r="BP1633" s="1385"/>
      <c r="BV1633" s="236">
        <v>137.06</v>
      </c>
      <c r="BW1633" s="236" t="s">
        <v>316</v>
      </c>
      <c r="CB1633" s="340">
        <v>90.58</v>
      </c>
      <c r="CC1633" s="340" t="s">
        <v>331</v>
      </c>
      <c r="CL1633" s="236">
        <v>97.03</v>
      </c>
      <c r="CM1633" s="236" t="s">
        <v>331</v>
      </c>
      <c r="CR1633" s="340">
        <v>168.04</v>
      </c>
      <c r="CS1633" s="340" t="s">
        <v>302</v>
      </c>
      <c r="CT1633" s="1384"/>
      <c r="DF1633" s="340">
        <v>121.05</v>
      </c>
      <c r="DG1633" s="340" t="s">
        <v>331</v>
      </c>
      <c r="DV1633" s="340">
        <v>178.08</v>
      </c>
      <c r="DW1633" s="340" t="s">
        <v>338</v>
      </c>
      <c r="DX1633" s="1671"/>
    </row>
    <row r="1634" spans="12:128">
      <c r="L1634" s="2481">
        <v>127.02</v>
      </c>
      <c r="M1634" s="340" t="s">
        <v>331</v>
      </c>
      <c r="N1634" s="1390"/>
      <c r="O1634" s="2479"/>
      <c r="P1634" s="2282"/>
      <c r="AG1634" s="2297">
        <v>175.05</v>
      </c>
      <c r="AH1634" s="2297" t="s">
        <v>338</v>
      </c>
      <c r="AI1634" s="1390"/>
      <c r="AJ1634" s="2282"/>
      <c r="AK1634" s="2282"/>
      <c r="AL1634" s="1037"/>
      <c r="AX1634" s="340">
        <v>90.58</v>
      </c>
      <c r="AY1634" s="340" t="s">
        <v>331</v>
      </c>
      <c r="BN1634" s="340">
        <v>167.55</v>
      </c>
      <c r="BO1634" s="340" t="s">
        <v>338</v>
      </c>
      <c r="BP1634" s="1385"/>
      <c r="BV1634" s="236">
        <v>138.01</v>
      </c>
      <c r="BW1634" s="236" t="s">
        <v>316</v>
      </c>
      <c r="CB1634" s="340">
        <v>90.59</v>
      </c>
      <c r="CC1634" s="340" t="s">
        <v>331</v>
      </c>
      <c r="CL1634" s="236">
        <v>97.04</v>
      </c>
      <c r="CM1634" s="236" t="s">
        <v>331</v>
      </c>
      <c r="CR1634" s="340">
        <v>168.04</v>
      </c>
      <c r="CS1634" s="340" t="s">
        <v>338</v>
      </c>
      <c r="CT1634" s="1384"/>
      <c r="DF1634" s="340">
        <v>122</v>
      </c>
      <c r="DG1634" s="340" t="s">
        <v>331</v>
      </c>
      <c r="DV1634" s="340">
        <v>178.1</v>
      </c>
      <c r="DW1634" s="340" t="s">
        <v>338</v>
      </c>
      <c r="DX1634" s="1671"/>
    </row>
    <row r="1635" spans="12:128">
      <c r="L1635" s="2481">
        <v>128.01</v>
      </c>
      <c r="M1635" s="340" t="s">
        <v>331</v>
      </c>
      <c r="N1635" s="1390"/>
      <c r="O1635" s="2479"/>
      <c r="P1635" s="2282"/>
      <c r="AG1635" s="2297">
        <v>175.06</v>
      </c>
      <c r="AH1635" s="2297" t="s">
        <v>338</v>
      </c>
      <c r="AI1635" s="1390"/>
      <c r="AJ1635" s="2282"/>
      <c r="AK1635" s="2282"/>
      <c r="AL1635" s="1037"/>
      <c r="AX1635" s="340">
        <v>90.59</v>
      </c>
      <c r="AY1635" s="340" t="s">
        <v>331</v>
      </c>
      <c r="BN1635" s="340">
        <v>167.56</v>
      </c>
      <c r="BO1635" s="340" t="s">
        <v>338</v>
      </c>
      <c r="BP1635" s="1385"/>
      <c r="BV1635" s="236">
        <v>138.02000000000001</v>
      </c>
      <c r="BW1635" s="236" t="s">
        <v>316</v>
      </c>
      <c r="CB1635" s="340">
        <v>90.6</v>
      </c>
      <c r="CC1635" s="340" t="s">
        <v>331</v>
      </c>
      <c r="CL1635" s="236">
        <v>97.05</v>
      </c>
      <c r="CM1635" s="236" t="s">
        <v>331</v>
      </c>
      <c r="CR1635" s="340">
        <v>168.07</v>
      </c>
      <c r="CS1635" s="340" t="s">
        <v>302</v>
      </c>
      <c r="CT1635" s="1384"/>
      <c r="DF1635" s="340">
        <v>123.01</v>
      </c>
      <c r="DG1635" s="340" t="s">
        <v>331</v>
      </c>
      <c r="DV1635" s="340">
        <v>178.11</v>
      </c>
      <c r="DW1635" s="340" t="s">
        <v>338</v>
      </c>
      <c r="DX1635" s="1671"/>
    </row>
    <row r="1636" spans="12:128">
      <c r="L1636" s="2481">
        <v>128.02000000000001</v>
      </c>
      <c r="M1636" s="340" t="s">
        <v>331</v>
      </c>
      <c r="N1636" s="1390"/>
      <c r="O1636" s="2479"/>
      <c r="P1636" s="2282"/>
      <c r="AG1636" s="2297">
        <v>176</v>
      </c>
      <c r="AH1636" s="2297" t="s">
        <v>331</v>
      </c>
      <c r="AI1636" s="1390"/>
      <c r="AJ1636" s="2282"/>
      <c r="AK1636" s="2282"/>
      <c r="AL1636" s="1037"/>
      <c r="AX1636" s="340">
        <v>90.6</v>
      </c>
      <c r="AY1636" s="340" t="s">
        <v>331</v>
      </c>
      <c r="BN1636" s="340">
        <v>168</v>
      </c>
      <c r="BO1636" s="340" t="s">
        <v>331</v>
      </c>
      <c r="BP1636" s="1385"/>
      <c r="BV1636" s="236">
        <v>138.03</v>
      </c>
      <c r="BW1636" s="236" t="s">
        <v>316</v>
      </c>
      <c r="CB1636" s="340">
        <v>90.62</v>
      </c>
      <c r="CC1636" s="340" t="s">
        <v>331</v>
      </c>
      <c r="CL1636" s="236">
        <v>97.06</v>
      </c>
      <c r="CM1636" s="236" t="s">
        <v>331</v>
      </c>
      <c r="CR1636" s="340">
        <v>168.08</v>
      </c>
      <c r="CS1636" s="340" t="s">
        <v>302</v>
      </c>
      <c r="CT1636" s="1384"/>
      <c r="DF1636" s="340">
        <v>123.02</v>
      </c>
      <c r="DG1636" s="340" t="s">
        <v>331</v>
      </c>
      <c r="DV1636" s="340">
        <v>178.12</v>
      </c>
      <c r="DW1636" s="340" t="s">
        <v>338</v>
      </c>
      <c r="DX1636" s="1671"/>
    </row>
    <row r="1637" spans="12:128">
      <c r="L1637" s="2481">
        <v>130</v>
      </c>
      <c r="M1637" s="340" t="s">
        <v>331</v>
      </c>
      <c r="N1637" s="1390"/>
      <c r="O1637" s="2479"/>
      <c r="P1637" s="2282"/>
      <c r="AG1637" s="2297">
        <v>177.01</v>
      </c>
      <c r="AH1637" s="2297" t="s">
        <v>338</v>
      </c>
      <c r="AI1637" s="1390"/>
      <c r="AJ1637" s="2282"/>
      <c r="AK1637" s="2282"/>
      <c r="AL1637" s="1037"/>
      <c r="AX1637" s="340">
        <v>90.62</v>
      </c>
      <c r="AY1637" s="340" t="s">
        <v>331</v>
      </c>
      <c r="BN1637" s="340">
        <v>168.01</v>
      </c>
      <c r="BO1637" s="340" t="s">
        <v>302</v>
      </c>
      <c r="BP1637" s="1385"/>
      <c r="BV1637" s="236">
        <v>138.04</v>
      </c>
      <c r="BW1637" s="236" t="s">
        <v>316</v>
      </c>
      <c r="CB1637" s="340">
        <v>90.64</v>
      </c>
      <c r="CC1637" s="340" t="s">
        <v>331</v>
      </c>
      <c r="CL1637" s="236">
        <v>98.03</v>
      </c>
      <c r="CM1637" s="236" t="s">
        <v>331</v>
      </c>
      <c r="CR1637" s="340">
        <v>168.08</v>
      </c>
      <c r="CS1637" s="340" t="s">
        <v>338</v>
      </c>
      <c r="CT1637" s="1384"/>
      <c r="DF1637" s="340">
        <v>124.01</v>
      </c>
      <c r="DG1637" s="340" t="s">
        <v>331</v>
      </c>
      <c r="DV1637" s="340">
        <v>178.13</v>
      </c>
      <c r="DW1637" s="340" t="s">
        <v>338</v>
      </c>
      <c r="DX1637" s="1671"/>
    </row>
    <row r="1638" spans="12:128">
      <c r="L1638" s="2481">
        <v>132.01</v>
      </c>
      <c r="M1638" s="340" t="s">
        <v>331</v>
      </c>
      <c r="N1638" s="1390"/>
      <c r="O1638" s="2479"/>
      <c r="P1638" s="2282"/>
      <c r="AG1638" s="2297">
        <v>177.02</v>
      </c>
      <c r="AH1638" s="2297" t="s">
        <v>338</v>
      </c>
      <c r="AI1638" s="1390"/>
      <c r="AJ1638" s="2282"/>
      <c r="AK1638" s="2282"/>
      <c r="AL1638" s="1037"/>
      <c r="AX1638" s="340">
        <v>90.64</v>
      </c>
      <c r="AY1638" s="340" t="s">
        <v>331</v>
      </c>
      <c r="BN1638" s="340">
        <v>168.02</v>
      </c>
      <c r="BO1638" s="340" t="s">
        <v>338</v>
      </c>
      <c r="BP1638" s="1385"/>
      <c r="BV1638" s="236">
        <v>138.06</v>
      </c>
      <c r="BW1638" s="236" t="s">
        <v>316</v>
      </c>
      <c r="CB1638" s="340">
        <v>90.65</v>
      </c>
      <c r="CC1638" s="340" t="s">
        <v>331</v>
      </c>
      <c r="CL1638" s="236">
        <v>98.04</v>
      </c>
      <c r="CM1638" s="236" t="s">
        <v>331</v>
      </c>
      <c r="CR1638" s="340">
        <v>168.09</v>
      </c>
      <c r="CS1638" s="340" t="s">
        <v>302</v>
      </c>
      <c r="CT1638" s="1384"/>
      <c r="DF1638" s="340">
        <v>124.02</v>
      </c>
      <c r="DG1638" s="340" t="s">
        <v>331</v>
      </c>
      <c r="DV1638" s="340">
        <v>178.14</v>
      </c>
      <c r="DW1638" s="340" t="s">
        <v>338</v>
      </c>
      <c r="DX1638" s="1671"/>
    </row>
    <row r="1639" spans="12:128">
      <c r="L1639" s="2481">
        <v>132.02000000000001</v>
      </c>
      <c r="M1639" s="340" t="s">
        <v>331</v>
      </c>
      <c r="N1639" s="1390"/>
      <c r="O1639" s="2479"/>
      <c r="P1639" s="2282"/>
      <c r="AG1639" s="2297">
        <v>178.05</v>
      </c>
      <c r="AH1639" s="2297" t="s">
        <v>338</v>
      </c>
      <c r="AI1639" s="1390"/>
      <c r="AJ1639" s="2282"/>
      <c r="AK1639" s="2282"/>
      <c r="AL1639" s="1037"/>
      <c r="AX1639" s="340">
        <v>90.66</v>
      </c>
      <c r="AY1639" s="340" t="s">
        <v>331</v>
      </c>
      <c r="BN1639" s="340">
        <v>168.03</v>
      </c>
      <c r="BO1639" s="340" t="s">
        <v>302</v>
      </c>
      <c r="BP1639" s="1385"/>
      <c r="BV1639" s="236">
        <v>138.07</v>
      </c>
      <c r="BW1639" s="236" t="s">
        <v>316</v>
      </c>
      <c r="CB1639" s="340">
        <v>90.66</v>
      </c>
      <c r="CC1639" s="340" t="s">
        <v>331</v>
      </c>
      <c r="CL1639" s="236">
        <v>98.06</v>
      </c>
      <c r="CM1639" s="236" t="s">
        <v>331</v>
      </c>
      <c r="CR1639" s="340">
        <v>168.1</v>
      </c>
      <c r="CS1639" s="340" t="s">
        <v>302</v>
      </c>
      <c r="CT1639" s="1384"/>
      <c r="DF1639" s="340">
        <v>124.03</v>
      </c>
      <c r="DG1639" s="340" t="s">
        <v>331</v>
      </c>
      <c r="DV1639" s="340">
        <v>179.01</v>
      </c>
      <c r="DW1639" s="340" t="s">
        <v>331</v>
      </c>
      <c r="DX1639" s="1671"/>
    </row>
    <row r="1640" spans="12:128">
      <c r="L1640" s="2481">
        <v>133.01</v>
      </c>
      <c r="M1640" s="340" t="s">
        <v>331</v>
      </c>
      <c r="N1640" s="1390"/>
      <c r="O1640" s="2479"/>
      <c r="P1640" s="2282"/>
      <c r="AG1640" s="2297">
        <v>178.06</v>
      </c>
      <c r="AH1640" s="2297" t="s">
        <v>338</v>
      </c>
      <c r="AI1640" s="1390"/>
      <c r="AJ1640" s="2282"/>
      <c r="AK1640" s="2282"/>
      <c r="AL1640" s="1037"/>
      <c r="AX1640" s="340">
        <v>92</v>
      </c>
      <c r="AY1640" s="340" t="s">
        <v>331</v>
      </c>
      <c r="BN1640" s="340">
        <v>168.04</v>
      </c>
      <c r="BO1640" s="340" t="s">
        <v>302</v>
      </c>
      <c r="BP1640" s="1385"/>
      <c r="BV1640" s="236">
        <v>139.03</v>
      </c>
      <c r="BW1640" s="236" t="s">
        <v>316</v>
      </c>
      <c r="CB1640" s="340">
        <v>92</v>
      </c>
      <c r="CC1640" s="340" t="s">
        <v>331</v>
      </c>
      <c r="CL1640" s="236">
        <v>98.09</v>
      </c>
      <c r="CM1640" s="236" t="s">
        <v>331</v>
      </c>
      <c r="CR1640" s="340">
        <v>168.1</v>
      </c>
      <c r="CS1640" s="340" t="s">
        <v>338</v>
      </c>
      <c r="CT1640" s="1384"/>
      <c r="DF1640" s="340">
        <v>125.02</v>
      </c>
      <c r="DG1640" s="340" t="s">
        <v>331</v>
      </c>
      <c r="DV1640" s="340">
        <v>179.01</v>
      </c>
      <c r="DW1640" s="340" t="s">
        <v>338</v>
      </c>
      <c r="DX1640" s="1671"/>
    </row>
    <row r="1641" spans="12:128">
      <c r="L1641" s="2481">
        <v>133.02000000000001</v>
      </c>
      <c r="M1641" s="340" t="s">
        <v>331</v>
      </c>
      <c r="N1641" s="1390"/>
      <c r="O1641" s="2479"/>
      <c r="P1641" s="2282"/>
      <c r="AG1641" s="2297">
        <v>178.07</v>
      </c>
      <c r="AH1641" s="2297" t="s">
        <v>338</v>
      </c>
      <c r="AI1641" s="1390"/>
      <c r="AJ1641" s="2282"/>
      <c r="AK1641" s="2282"/>
      <c r="AL1641" s="1037"/>
      <c r="AX1641" s="340">
        <v>93.05</v>
      </c>
      <c r="AY1641" s="340" t="s">
        <v>331</v>
      </c>
      <c r="BN1641" s="340">
        <v>168.04</v>
      </c>
      <c r="BO1641" s="340" t="s">
        <v>338</v>
      </c>
      <c r="BP1641" s="1385"/>
      <c r="BV1641" s="236">
        <v>139.07</v>
      </c>
      <c r="BW1641" s="236" t="s">
        <v>316</v>
      </c>
      <c r="CB1641" s="340">
        <v>93.05</v>
      </c>
      <c r="CC1641" s="340" t="s">
        <v>331</v>
      </c>
      <c r="CL1641" s="236">
        <v>98.1</v>
      </c>
      <c r="CM1641" s="236" t="s">
        <v>331</v>
      </c>
      <c r="CR1641" s="340">
        <v>168.11</v>
      </c>
      <c r="CS1641" s="340" t="s">
        <v>302</v>
      </c>
      <c r="CT1641" s="1384"/>
      <c r="DF1641" s="340">
        <v>126.01</v>
      </c>
      <c r="DG1641" s="340" t="s">
        <v>331</v>
      </c>
      <c r="DV1641" s="340">
        <v>180.01</v>
      </c>
      <c r="DW1641" s="340" t="s">
        <v>331</v>
      </c>
      <c r="DX1641" s="1671"/>
    </row>
    <row r="1642" spans="12:128">
      <c r="L1642" s="2481">
        <v>135</v>
      </c>
      <c r="M1642" s="340" t="s">
        <v>331</v>
      </c>
      <c r="N1642" s="1390"/>
      <c r="O1642" s="2479"/>
      <c r="P1642" s="2282"/>
      <c r="AG1642" s="2297">
        <v>178.08</v>
      </c>
      <c r="AH1642" s="2297" t="s">
        <v>338</v>
      </c>
      <c r="AI1642" s="1390"/>
      <c r="AJ1642" s="2282"/>
      <c r="AK1642" s="2282"/>
      <c r="AL1642" s="1037"/>
      <c r="AX1642" s="340">
        <v>93.12</v>
      </c>
      <c r="AY1642" s="340" t="s">
        <v>331</v>
      </c>
      <c r="BN1642" s="340">
        <v>168.07</v>
      </c>
      <c r="BO1642" s="340" t="s">
        <v>302</v>
      </c>
      <c r="BP1642" s="1385"/>
      <c r="BV1642" s="236">
        <v>139.12</v>
      </c>
      <c r="BW1642" s="236" t="s">
        <v>316</v>
      </c>
      <c r="CB1642" s="340">
        <v>93.12</v>
      </c>
      <c r="CC1642" s="340" t="s">
        <v>331</v>
      </c>
      <c r="CL1642" s="236">
        <v>98.11</v>
      </c>
      <c r="CM1642" s="236" t="s">
        <v>331</v>
      </c>
      <c r="CR1642" s="340">
        <v>168.11</v>
      </c>
      <c r="CS1642" s="340" t="s">
        <v>338</v>
      </c>
      <c r="CT1642" s="1384"/>
      <c r="DF1642" s="340">
        <v>127.01</v>
      </c>
      <c r="DG1642" s="340" t="s">
        <v>331</v>
      </c>
      <c r="DV1642" s="340">
        <v>180.02</v>
      </c>
      <c r="DW1642" s="340" t="s">
        <v>331</v>
      </c>
      <c r="DX1642" s="1671"/>
    </row>
    <row r="1643" spans="12:128">
      <c r="L1643" s="2481">
        <v>139</v>
      </c>
      <c r="M1643" s="340" t="s">
        <v>331</v>
      </c>
      <c r="N1643" s="1390"/>
      <c r="O1643" s="2479"/>
      <c r="P1643" s="2282"/>
      <c r="AG1643" s="2297">
        <v>178.09</v>
      </c>
      <c r="AH1643" s="2297" t="s">
        <v>338</v>
      </c>
      <c r="AI1643" s="1390"/>
      <c r="AJ1643" s="2282"/>
      <c r="AK1643" s="2282"/>
      <c r="AL1643" s="1037"/>
      <c r="AX1643" s="340">
        <v>93.16</v>
      </c>
      <c r="AY1643" s="340" t="s">
        <v>331</v>
      </c>
      <c r="BN1643" s="340">
        <v>168.08</v>
      </c>
      <c r="BO1643" s="340" t="s">
        <v>338</v>
      </c>
      <c r="BP1643" s="1385"/>
      <c r="BV1643" s="236">
        <v>139.13</v>
      </c>
      <c r="BW1643" s="236" t="s">
        <v>316</v>
      </c>
      <c r="CB1643" s="340">
        <v>93.19</v>
      </c>
      <c r="CC1643" s="340" t="s">
        <v>331</v>
      </c>
      <c r="CL1643" s="236">
        <v>98.12</v>
      </c>
      <c r="CM1643" s="236" t="s">
        <v>331</v>
      </c>
      <c r="CR1643" s="340">
        <v>168.12</v>
      </c>
      <c r="CS1643" s="340" t="s">
        <v>302</v>
      </c>
      <c r="CT1643" s="1384"/>
      <c r="DF1643" s="340">
        <v>127.02</v>
      </c>
      <c r="DG1643" s="340" t="s">
        <v>331</v>
      </c>
      <c r="DV1643" s="340">
        <v>180.03</v>
      </c>
      <c r="DW1643" s="340" t="s">
        <v>331</v>
      </c>
      <c r="DX1643" s="1671"/>
    </row>
    <row r="1644" spans="12:128">
      <c r="L1644" s="2481">
        <v>142</v>
      </c>
      <c r="M1644" s="340" t="s">
        <v>331</v>
      </c>
      <c r="N1644" s="1390"/>
      <c r="O1644" s="2479"/>
      <c r="P1644" s="2282"/>
      <c r="AG1644" s="2297">
        <v>178.1</v>
      </c>
      <c r="AH1644" s="2297" t="s">
        <v>338</v>
      </c>
      <c r="AI1644" s="1390"/>
      <c r="AJ1644" s="2282"/>
      <c r="AK1644" s="2282"/>
      <c r="AL1644" s="1037"/>
      <c r="AX1644" s="340">
        <v>93.17</v>
      </c>
      <c r="AY1644" s="340" t="s">
        <v>331</v>
      </c>
      <c r="BN1644" s="340">
        <v>168.09</v>
      </c>
      <c r="BO1644" s="340" t="s">
        <v>302</v>
      </c>
      <c r="BP1644" s="1385"/>
      <c r="BV1644" s="236">
        <v>139.13999999999999</v>
      </c>
      <c r="BW1644" s="236" t="s">
        <v>316</v>
      </c>
      <c r="CB1644" s="340">
        <v>93.21</v>
      </c>
      <c r="CC1644" s="340" t="s">
        <v>331</v>
      </c>
      <c r="CL1644" s="236">
        <v>99.03</v>
      </c>
      <c r="CM1644" s="236" t="s">
        <v>331</v>
      </c>
      <c r="CR1644" s="340">
        <v>168.13</v>
      </c>
      <c r="CS1644" s="340" t="s">
        <v>302</v>
      </c>
      <c r="CT1644" s="1384"/>
      <c r="DF1644" s="340">
        <v>128.01</v>
      </c>
      <c r="DG1644" s="340" t="s">
        <v>331</v>
      </c>
      <c r="DV1644" s="340">
        <v>181</v>
      </c>
      <c r="DW1644" s="340" t="s">
        <v>331</v>
      </c>
      <c r="DX1644" s="1671"/>
    </row>
    <row r="1645" spans="12:128">
      <c r="L1645" s="2481">
        <v>143</v>
      </c>
      <c r="M1645" s="340" t="s">
        <v>331</v>
      </c>
      <c r="N1645" s="1390"/>
      <c r="O1645" s="2479"/>
      <c r="P1645" s="2282"/>
      <c r="AG1645" s="2297">
        <v>178.11</v>
      </c>
      <c r="AH1645" s="2297" t="s">
        <v>338</v>
      </c>
      <c r="AI1645" s="1390"/>
      <c r="AJ1645" s="2282"/>
      <c r="AK1645" s="2282"/>
      <c r="AL1645" s="1037"/>
      <c r="AX1645" s="340">
        <v>93.19</v>
      </c>
      <c r="AY1645" s="340" t="s">
        <v>331</v>
      </c>
      <c r="BN1645" s="340">
        <v>168.09</v>
      </c>
      <c r="BO1645" s="340" t="s">
        <v>338</v>
      </c>
      <c r="BP1645" s="1385"/>
      <c r="BV1645" s="236">
        <v>139.15</v>
      </c>
      <c r="BW1645" s="236" t="s">
        <v>316</v>
      </c>
      <c r="CB1645" s="340">
        <v>93.23</v>
      </c>
      <c r="CC1645" s="340" t="s">
        <v>331</v>
      </c>
      <c r="CL1645" s="236">
        <v>99.04</v>
      </c>
      <c r="CM1645" s="236" t="s">
        <v>331</v>
      </c>
      <c r="CR1645" s="340">
        <v>168.13</v>
      </c>
      <c r="CS1645" s="340" t="s">
        <v>338</v>
      </c>
      <c r="CT1645" s="1384"/>
      <c r="DF1645" s="340">
        <v>128.02000000000001</v>
      </c>
      <c r="DG1645" s="340" t="s">
        <v>331</v>
      </c>
      <c r="DV1645" s="340">
        <v>181</v>
      </c>
      <c r="DW1645" s="340" t="s">
        <v>338</v>
      </c>
      <c r="DX1645" s="1671"/>
    </row>
    <row r="1646" spans="12:128">
      <c r="L1646" s="2481">
        <v>144</v>
      </c>
      <c r="M1646" s="340" t="s">
        <v>331</v>
      </c>
      <c r="N1646" s="1390"/>
      <c r="O1646" s="2479"/>
      <c r="P1646" s="2282"/>
      <c r="AG1646" s="2297">
        <v>178.13</v>
      </c>
      <c r="AH1646" s="2297" t="s">
        <v>338</v>
      </c>
      <c r="AI1646" s="1390"/>
      <c r="AJ1646" s="2282"/>
      <c r="AK1646" s="2282"/>
      <c r="AL1646" s="1037"/>
      <c r="AX1646" s="340">
        <v>93.21</v>
      </c>
      <c r="AY1646" s="340" t="s">
        <v>331</v>
      </c>
      <c r="BN1646" s="340">
        <v>168.1</v>
      </c>
      <c r="BO1646" s="340" t="s">
        <v>302</v>
      </c>
      <c r="BP1646" s="1385"/>
      <c r="BV1646" s="236">
        <v>139.16</v>
      </c>
      <c r="BW1646" s="236" t="s">
        <v>316</v>
      </c>
      <c r="CB1646" s="340">
        <v>93.25</v>
      </c>
      <c r="CC1646" s="340" t="s">
        <v>331</v>
      </c>
      <c r="CL1646" s="236">
        <v>99.05</v>
      </c>
      <c r="CM1646" s="236" t="s">
        <v>331</v>
      </c>
      <c r="CR1646" s="340">
        <v>169</v>
      </c>
      <c r="CS1646" s="340" t="s">
        <v>331</v>
      </c>
      <c r="CT1646" s="1384"/>
      <c r="DF1646" s="340">
        <v>129</v>
      </c>
      <c r="DG1646" s="340" t="s">
        <v>331</v>
      </c>
      <c r="DV1646" s="340">
        <v>182</v>
      </c>
      <c r="DW1646" s="340" t="s">
        <v>331</v>
      </c>
      <c r="DX1646" s="1671"/>
    </row>
    <row r="1647" spans="12:128">
      <c r="L1647" s="2481">
        <v>145</v>
      </c>
      <c r="M1647" s="340" t="s">
        <v>331</v>
      </c>
      <c r="N1647" s="1390"/>
      <c r="O1647" s="2479"/>
      <c r="P1647" s="2282"/>
      <c r="AG1647" s="2297">
        <v>178.14</v>
      </c>
      <c r="AH1647" s="2297" t="s">
        <v>338</v>
      </c>
      <c r="AI1647" s="1390"/>
      <c r="AJ1647" s="2282"/>
      <c r="AK1647" s="2282"/>
      <c r="AL1647" s="1037"/>
      <c r="AX1647" s="340">
        <v>93.23</v>
      </c>
      <c r="AY1647" s="340" t="s">
        <v>331</v>
      </c>
      <c r="BN1647" s="340">
        <v>168.1</v>
      </c>
      <c r="BO1647" s="340" t="s">
        <v>338</v>
      </c>
      <c r="BP1647" s="1385"/>
      <c r="BV1647" s="236">
        <v>139.16999999999999</v>
      </c>
      <c r="BW1647" s="236" t="s">
        <v>316</v>
      </c>
      <c r="CB1647" s="340">
        <v>93.27</v>
      </c>
      <c r="CC1647" s="340" t="s">
        <v>331</v>
      </c>
      <c r="CL1647" s="236">
        <v>99.06</v>
      </c>
      <c r="CM1647" s="236" t="s">
        <v>331</v>
      </c>
      <c r="CR1647" s="340">
        <v>169.09</v>
      </c>
      <c r="CS1647" s="340" t="s">
        <v>338</v>
      </c>
      <c r="CT1647" s="1384"/>
      <c r="DF1647" s="340">
        <v>130</v>
      </c>
      <c r="DG1647" s="340" t="s">
        <v>331</v>
      </c>
      <c r="DV1647" s="340">
        <v>182.01</v>
      </c>
      <c r="DW1647" s="340" t="s">
        <v>338</v>
      </c>
      <c r="DX1647" s="1671"/>
    </row>
    <row r="1648" spans="12:128">
      <c r="L1648" s="2481">
        <v>147.01</v>
      </c>
      <c r="M1648" s="340" t="s">
        <v>331</v>
      </c>
      <c r="N1648" s="1390"/>
      <c r="O1648" s="2479"/>
      <c r="P1648" s="2282"/>
      <c r="AG1648" s="2297">
        <v>179.01</v>
      </c>
      <c r="AH1648" s="2297" t="s">
        <v>331</v>
      </c>
      <c r="AI1648" s="1390"/>
      <c r="AJ1648" s="2282"/>
      <c r="AK1648" s="2282"/>
      <c r="AL1648" s="1037"/>
      <c r="AX1648" s="340">
        <v>96.01</v>
      </c>
      <c r="AY1648" s="340" t="s">
        <v>331</v>
      </c>
      <c r="BN1648" s="340">
        <v>168.11</v>
      </c>
      <c r="BO1648" s="340" t="s">
        <v>302</v>
      </c>
      <c r="BP1648" s="1385"/>
      <c r="BV1648" s="236">
        <v>139.18</v>
      </c>
      <c r="BW1648" s="236" t="s">
        <v>316</v>
      </c>
      <c r="CB1648" s="340">
        <v>94.02</v>
      </c>
      <c r="CC1648" s="340" t="s">
        <v>331</v>
      </c>
      <c r="CL1648" s="236">
        <v>99.07</v>
      </c>
      <c r="CM1648" s="236" t="s">
        <v>331</v>
      </c>
      <c r="CR1648" s="340">
        <v>170.04</v>
      </c>
      <c r="CS1648" s="340" t="s">
        <v>338</v>
      </c>
      <c r="CT1648" s="1384"/>
      <c r="DF1648" s="340">
        <v>132.01</v>
      </c>
      <c r="DG1648" s="340" t="s">
        <v>331</v>
      </c>
      <c r="DV1648" s="340">
        <v>182.02</v>
      </c>
      <c r="DW1648" s="340" t="s">
        <v>338</v>
      </c>
      <c r="DX1648" s="1671"/>
    </row>
    <row r="1649" spans="12:128">
      <c r="L1649" s="2481">
        <v>147.02000000000001</v>
      </c>
      <c r="M1649" s="340" t="s">
        <v>331</v>
      </c>
      <c r="N1649" s="1390"/>
      <c r="O1649" s="2479"/>
      <c r="P1649" s="2282"/>
      <c r="AG1649" s="2297">
        <v>179.01</v>
      </c>
      <c r="AH1649" s="2297" t="s">
        <v>338</v>
      </c>
      <c r="AI1649" s="1390"/>
      <c r="AJ1649" s="2282"/>
      <c r="AK1649" s="2282"/>
      <c r="AL1649" s="1037"/>
      <c r="AX1649" s="340">
        <v>97.03</v>
      </c>
      <c r="AY1649" s="340" t="s">
        <v>331</v>
      </c>
      <c r="BN1649" s="340">
        <v>168.11</v>
      </c>
      <c r="BO1649" s="340" t="s">
        <v>338</v>
      </c>
      <c r="BP1649" s="1385"/>
      <c r="BV1649" s="236">
        <v>139.19</v>
      </c>
      <c r="BW1649" s="236" t="s">
        <v>316</v>
      </c>
      <c r="CB1649" s="340">
        <v>96.01</v>
      </c>
      <c r="CC1649" s="340" t="s">
        <v>331</v>
      </c>
      <c r="CL1649" s="236">
        <v>99.08</v>
      </c>
      <c r="CM1649" s="236" t="s">
        <v>331</v>
      </c>
      <c r="CR1649" s="340">
        <v>170.06</v>
      </c>
      <c r="CS1649" s="340" t="s">
        <v>338</v>
      </c>
      <c r="CT1649" s="1384"/>
      <c r="DF1649" s="340">
        <v>133.01</v>
      </c>
      <c r="DG1649" s="340" t="s">
        <v>331</v>
      </c>
      <c r="DV1649" s="340">
        <v>182.04</v>
      </c>
      <c r="DW1649" s="340" t="s">
        <v>338</v>
      </c>
      <c r="DX1649" s="1671"/>
    </row>
    <row r="1650" spans="12:128">
      <c r="L1650" s="2481">
        <v>149</v>
      </c>
      <c r="M1650" s="340" t="s">
        <v>331</v>
      </c>
      <c r="N1650" s="1390"/>
      <c r="O1650" s="2479"/>
      <c r="P1650" s="2282"/>
      <c r="AG1650" s="2297">
        <v>179.02</v>
      </c>
      <c r="AH1650" s="2297" t="s">
        <v>331</v>
      </c>
      <c r="AI1650" s="1390"/>
      <c r="AJ1650" s="2282"/>
      <c r="AK1650" s="2282"/>
      <c r="AL1650" s="1037"/>
      <c r="AX1650" s="340">
        <v>97.04</v>
      </c>
      <c r="AY1650" s="340" t="s">
        <v>331</v>
      </c>
      <c r="BN1650" s="340">
        <v>168.12</v>
      </c>
      <c r="BO1650" s="340" t="s">
        <v>302</v>
      </c>
      <c r="BP1650" s="1385"/>
      <c r="BV1650" s="236">
        <v>139.22</v>
      </c>
      <c r="BW1650" s="236" t="s">
        <v>316</v>
      </c>
      <c r="CB1650" s="340">
        <v>97.03</v>
      </c>
      <c r="CC1650" s="340" t="s">
        <v>331</v>
      </c>
      <c r="CL1650" s="236">
        <v>99.09</v>
      </c>
      <c r="CM1650" s="236" t="s">
        <v>331</v>
      </c>
      <c r="CR1650" s="340">
        <v>170.12</v>
      </c>
      <c r="CS1650" s="340" t="s">
        <v>338</v>
      </c>
      <c r="CT1650" s="1384"/>
      <c r="DF1650" s="340">
        <v>142</v>
      </c>
      <c r="DG1650" s="340" t="s">
        <v>331</v>
      </c>
      <c r="DV1650" s="340">
        <v>183</v>
      </c>
      <c r="DW1650" s="340" t="s">
        <v>331</v>
      </c>
      <c r="DX1650" s="1671"/>
    </row>
    <row r="1651" spans="12:128">
      <c r="L1651" s="2481">
        <v>150.01</v>
      </c>
      <c r="M1651" s="340" t="s">
        <v>331</v>
      </c>
      <c r="N1651" s="1390"/>
      <c r="O1651" s="2479"/>
      <c r="P1651" s="2282"/>
      <c r="AG1651" s="2297">
        <v>179.02</v>
      </c>
      <c r="AH1651" s="2297" t="s">
        <v>338</v>
      </c>
      <c r="AI1651" s="1390"/>
      <c r="AJ1651" s="2282"/>
      <c r="AK1651" s="2282"/>
      <c r="AL1651" s="1037"/>
      <c r="AX1651" s="340">
        <v>98.03</v>
      </c>
      <c r="AY1651" s="340" t="s">
        <v>331</v>
      </c>
      <c r="BN1651" s="340">
        <v>168.13</v>
      </c>
      <c r="BO1651" s="340" t="s">
        <v>302</v>
      </c>
      <c r="BP1651" s="1385"/>
      <c r="BV1651" s="236">
        <v>139.22999999999999</v>
      </c>
      <c r="BW1651" s="236" t="s">
        <v>316</v>
      </c>
      <c r="CB1651" s="340">
        <v>97.04</v>
      </c>
      <c r="CC1651" s="340" t="s">
        <v>331</v>
      </c>
      <c r="CL1651" s="236">
        <v>100.1</v>
      </c>
      <c r="CM1651" s="236" t="s">
        <v>331</v>
      </c>
      <c r="CR1651" s="340">
        <v>170.15</v>
      </c>
      <c r="CS1651" s="340" t="s">
        <v>338</v>
      </c>
      <c r="CT1651" s="1384"/>
      <c r="DF1651" s="340">
        <v>143</v>
      </c>
      <c r="DG1651" s="340" t="s">
        <v>331</v>
      </c>
      <c r="DV1651" s="340">
        <v>184</v>
      </c>
      <c r="DW1651" s="340" t="s">
        <v>331</v>
      </c>
      <c r="DX1651" s="1671"/>
    </row>
    <row r="1652" spans="12:128">
      <c r="L1652" s="2481">
        <v>150.02000000000001</v>
      </c>
      <c r="M1652" s="340" t="s">
        <v>331</v>
      </c>
      <c r="N1652" s="1390"/>
      <c r="O1652" s="2479"/>
      <c r="P1652" s="2282"/>
      <c r="AG1652" s="2297">
        <v>180.01</v>
      </c>
      <c r="AH1652" s="2297" t="s">
        <v>331</v>
      </c>
      <c r="AI1652" s="1390"/>
      <c r="AJ1652" s="2282"/>
      <c r="AK1652" s="2282"/>
      <c r="AL1652" s="1037"/>
      <c r="AX1652" s="340">
        <v>98.04</v>
      </c>
      <c r="AY1652" s="340" t="s">
        <v>331</v>
      </c>
      <c r="BN1652" s="340">
        <v>169</v>
      </c>
      <c r="BO1652" s="340" t="s">
        <v>331</v>
      </c>
      <c r="BP1652" s="1385"/>
      <c r="BV1652" s="236">
        <v>139.24</v>
      </c>
      <c r="BW1652" s="236" t="s">
        <v>316</v>
      </c>
      <c r="CB1652" s="340">
        <v>98.03</v>
      </c>
      <c r="CC1652" s="340" t="s">
        <v>331</v>
      </c>
      <c r="CL1652" s="236">
        <v>100.12</v>
      </c>
      <c r="CM1652" s="236" t="s">
        <v>331</v>
      </c>
      <c r="CR1652" s="340">
        <v>170.2</v>
      </c>
      <c r="CS1652" s="340" t="s">
        <v>338</v>
      </c>
      <c r="CT1652" s="1384"/>
      <c r="DF1652" s="340">
        <v>144</v>
      </c>
      <c r="DG1652" s="340" t="s">
        <v>331</v>
      </c>
      <c r="DV1652" s="340">
        <v>184</v>
      </c>
      <c r="DW1652" s="340" t="s">
        <v>338</v>
      </c>
      <c r="DX1652" s="1671"/>
    </row>
    <row r="1653" spans="12:128">
      <c r="L1653" s="2481">
        <v>151.02000000000001</v>
      </c>
      <c r="M1653" s="340" t="s">
        <v>331</v>
      </c>
      <c r="N1653" s="1390"/>
      <c r="O1653" s="2479"/>
      <c r="P1653" s="2282"/>
      <c r="AG1653" s="2297">
        <v>180.02</v>
      </c>
      <c r="AH1653" s="2297" t="s">
        <v>331</v>
      </c>
      <c r="AI1653" s="1390"/>
      <c r="AJ1653" s="2282"/>
      <c r="AK1653" s="2282"/>
      <c r="AL1653" s="1037"/>
      <c r="AX1653" s="340">
        <v>98.09</v>
      </c>
      <c r="AY1653" s="340" t="s">
        <v>331</v>
      </c>
      <c r="BN1653" s="340">
        <v>169.08</v>
      </c>
      <c r="BO1653" s="340" t="s">
        <v>338</v>
      </c>
      <c r="BP1653" s="1385"/>
      <c r="BV1653" s="236">
        <v>139.25</v>
      </c>
      <c r="BW1653" s="236" t="s">
        <v>316</v>
      </c>
      <c r="CB1653" s="340">
        <v>98.04</v>
      </c>
      <c r="CC1653" s="340" t="s">
        <v>331</v>
      </c>
      <c r="CL1653" s="236">
        <v>100.13</v>
      </c>
      <c r="CM1653" s="236" t="s">
        <v>331</v>
      </c>
      <c r="CR1653" s="340">
        <v>170.21</v>
      </c>
      <c r="CS1653" s="340" t="s">
        <v>338</v>
      </c>
      <c r="CT1653" s="1384"/>
      <c r="DF1653" s="340">
        <v>145</v>
      </c>
      <c r="DG1653" s="340" t="s">
        <v>331</v>
      </c>
      <c r="DV1653" s="340">
        <v>185</v>
      </c>
      <c r="DW1653" s="340" t="s">
        <v>331</v>
      </c>
      <c r="DX1653" s="1671"/>
    </row>
    <row r="1654" spans="12:128">
      <c r="L1654" s="2481">
        <v>151.03</v>
      </c>
      <c r="M1654" s="340" t="s">
        <v>331</v>
      </c>
      <c r="N1654" s="1390"/>
      <c r="O1654" s="2479"/>
      <c r="P1654" s="2282"/>
      <c r="AG1654" s="2297">
        <v>180.03</v>
      </c>
      <c r="AH1654" s="2297" t="s">
        <v>331</v>
      </c>
      <c r="AI1654" s="1390"/>
      <c r="AJ1654" s="2282"/>
      <c r="AK1654" s="2282"/>
      <c r="AL1654" s="1037"/>
      <c r="AX1654" s="340">
        <v>98.1</v>
      </c>
      <c r="AY1654" s="340" t="s">
        <v>331</v>
      </c>
      <c r="BN1654" s="340">
        <v>170</v>
      </c>
      <c r="BO1654" s="340" t="s">
        <v>331</v>
      </c>
      <c r="BP1654" s="1385"/>
      <c r="BV1654" s="236">
        <v>139.26</v>
      </c>
      <c r="BW1654" s="236" t="s">
        <v>316</v>
      </c>
      <c r="CB1654" s="340">
        <v>98.09</v>
      </c>
      <c r="CC1654" s="340" t="s">
        <v>331</v>
      </c>
      <c r="CL1654" s="236">
        <v>100.15</v>
      </c>
      <c r="CM1654" s="236" t="s">
        <v>331</v>
      </c>
      <c r="CR1654" s="340">
        <v>170.22</v>
      </c>
      <c r="CS1654" s="340" t="s">
        <v>338</v>
      </c>
      <c r="CT1654" s="1384"/>
      <c r="DF1654" s="340">
        <v>147.02000000000001</v>
      </c>
      <c r="DG1654" s="340" t="s">
        <v>331</v>
      </c>
      <c r="DV1654" s="340">
        <v>186.01</v>
      </c>
      <c r="DW1654" s="340" t="s">
        <v>331</v>
      </c>
      <c r="DX1654" s="1671"/>
    </row>
    <row r="1655" spans="12:128">
      <c r="L1655" s="2481">
        <v>152.01</v>
      </c>
      <c r="M1655" s="340" t="s">
        <v>331</v>
      </c>
      <c r="N1655" s="1390"/>
      <c r="O1655" s="2479"/>
      <c r="P1655" s="2282"/>
      <c r="AG1655" s="2297">
        <v>181</v>
      </c>
      <c r="AH1655" s="2297" t="s">
        <v>331</v>
      </c>
      <c r="AI1655" s="1390"/>
      <c r="AJ1655" s="2282"/>
      <c r="AK1655" s="2282"/>
      <c r="AL1655" s="1037"/>
      <c r="AX1655" s="340">
        <v>98.12</v>
      </c>
      <c r="AY1655" s="340" t="s">
        <v>331</v>
      </c>
      <c r="BN1655" s="340">
        <v>170.04</v>
      </c>
      <c r="BO1655" s="340" t="s">
        <v>338</v>
      </c>
      <c r="BP1655" s="1385"/>
      <c r="BV1655" s="236">
        <v>140.02000000000001</v>
      </c>
      <c r="BW1655" s="236" t="s">
        <v>316</v>
      </c>
      <c r="CB1655" s="340">
        <v>98.1</v>
      </c>
      <c r="CC1655" s="340" t="s">
        <v>331</v>
      </c>
      <c r="CL1655" s="236">
        <v>100.16</v>
      </c>
      <c r="CM1655" s="236" t="s">
        <v>331</v>
      </c>
      <c r="CR1655" s="340">
        <v>170.24</v>
      </c>
      <c r="CS1655" s="340" t="s">
        <v>338</v>
      </c>
      <c r="CT1655" s="1384"/>
      <c r="DF1655" s="340">
        <v>149</v>
      </c>
      <c r="DG1655" s="340" t="s">
        <v>331</v>
      </c>
      <c r="DV1655" s="340">
        <v>186.02</v>
      </c>
      <c r="DW1655" s="340" t="s">
        <v>331</v>
      </c>
      <c r="DX1655" s="1671"/>
    </row>
    <row r="1656" spans="12:128">
      <c r="L1656" s="2481">
        <v>152.02000000000001</v>
      </c>
      <c r="M1656" s="340" t="s">
        <v>331</v>
      </c>
      <c r="N1656" s="1390"/>
      <c r="O1656" s="2479"/>
      <c r="P1656" s="2282"/>
      <c r="AG1656" s="2297">
        <v>182</v>
      </c>
      <c r="AH1656" s="2297" t="s">
        <v>331</v>
      </c>
      <c r="AI1656" s="1390"/>
      <c r="AJ1656" s="2282"/>
      <c r="AK1656" s="2282"/>
      <c r="AL1656" s="1037"/>
      <c r="AX1656" s="340">
        <v>99.07</v>
      </c>
      <c r="AY1656" s="340" t="s">
        <v>331</v>
      </c>
      <c r="BN1656" s="340">
        <v>170.06</v>
      </c>
      <c r="BO1656" s="340" t="s">
        <v>338</v>
      </c>
      <c r="BP1656" s="1385"/>
      <c r="BV1656" s="236">
        <v>140.03</v>
      </c>
      <c r="BW1656" s="236" t="s">
        <v>316</v>
      </c>
      <c r="CB1656" s="340">
        <v>98.12</v>
      </c>
      <c r="CC1656" s="340" t="s">
        <v>331</v>
      </c>
      <c r="CL1656" s="236">
        <v>100.17</v>
      </c>
      <c r="CM1656" s="236" t="s">
        <v>331</v>
      </c>
      <c r="CR1656" s="340">
        <v>170.25</v>
      </c>
      <c r="CS1656" s="340" t="s">
        <v>338</v>
      </c>
      <c r="CT1656" s="1384"/>
      <c r="DF1656" s="340">
        <v>150.01</v>
      </c>
      <c r="DG1656" s="340" t="s">
        <v>331</v>
      </c>
      <c r="DV1656" s="340">
        <v>187</v>
      </c>
      <c r="DW1656" s="340" t="s">
        <v>331</v>
      </c>
      <c r="DX1656" s="1671"/>
    </row>
    <row r="1657" spans="12:128">
      <c r="L1657" s="2481">
        <v>153</v>
      </c>
      <c r="M1657" s="340" t="s">
        <v>331</v>
      </c>
      <c r="N1657" s="1390"/>
      <c r="O1657" s="2479"/>
      <c r="P1657" s="2282"/>
      <c r="AG1657" s="2297">
        <v>182.01</v>
      </c>
      <c r="AH1657" s="2297" t="s">
        <v>338</v>
      </c>
      <c r="AI1657" s="1390"/>
      <c r="AJ1657" s="2282"/>
      <c r="AK1657" s="2282"/>
      <c r="AL1657" s="1037"/>
      <c r="AX1657" s="340">
        <v>99.09</v>
      </c>
      <c r="AY1657" s="340" t="s">
        <v>331</v>
      </c>
      <c r="BN1657" s="340">
        <v>170.12</v>
      </c>
      <c r="BO1657" s="340" t="s">
        <v>338</v>
      </c>
      <c r="BP1657" s="1385"/>
      <c r="BV1657" s="236">
        <v>140.07</v>
      </c>
      <c r="BW1657" s="236" t="s">
        <v>316</v>
      </c>
      <c r="CB1657" s="340">
        <v>99.07</v>
      </c>
      <c r="CC1657" s="340" t="s">
        <v>331</v>
      </c>
      <c r="CL1657" s="236">
        <v>100.18</v>
      </c>
      <c r="CM1657" s="236" t="s">
        <v>331</v>
      </c>
      <c r="CR1657" s="340">
        <v>170.26</v>
      </c>
      <c r="CS1657" s="340" t="s">
        <v>338</v>
      </c>
      <c r="CT1657" s="1384"/>
      <c r="DF1657" s="340">
        <v>151.01</v>
      </c>
      <c r="DG1657" s="340" t="s">
        <v>331</v>
      </c>
      <c r="DV1657" s="340">
        <v>188</v>
      </c>
      <c r="DW1657" s="340" t="s">
        <v>338</v>
      </c>
      <c r="DX1657" s="1671"/>
    </row>
    <row r="1658" spans="12:128">
      <c r="L1658" s="2481">
        <v>154</v>
      </c>
      <c r="M1658" s="340" t="s">
        <v>331</v>
      </c>
      <c r="N1658" s="1390"/>
      <c r="O1658" s="2479"/>
      <c r="P1658" s="2282"/>
      <c r="AG1658" s="2297">
        <v>182.02</v>
      </c>
      <c r="AH1658" s="2297" t="s">
        <v>338</v>
      </c>
      <c r="AI1658" s="1390"/>
      <c r="AJ1658" s="2282"/>
      <c r="AK1658" s="2282"/>
      <c r="AL1658" s="1037"/>
      <c r="AX1658" s="340">
        <v>100.12</v>
      </c>
      <c r="AY1658" s="340" t="s">
        <v>331</v>
      </c>
      <c r="BN1658" s="340">
        <v>170.15</v>
      </c>
      <c r="BO1658" s="340" t="s">
        <v>338</v>
      </c>
      <c r="BP1658" s="1385"/>
      <c r="BV1658" s="236">
        <v>140.08000000000001</v>
      </c>
      <c r="BW1658" s="236" t="s">
        <v>316</v>
      </c>
      <c r="CB1658" s="340">
        <v>99.09</v>
      </c>
      <c r="CC1658" s="340" t="s">
        <v>331</v>
      </c>
      <c r="CL1658" s="236">
        <v>100.19</v>
      </c>
      <c r="CM1658" s="236" t="s">
        <v>331</v>
      </c>
      <c r="CR1658" s="340">
        <v>171.01</v>
      </c>
      <c r="CS1658" s="340" t="s">
        <v>302</v>
      </c>
      <c r="CT1658" s="1384"/>
      <c r="DF1658" s="340">
        <v>151.02000000000001</v>
      </c>
      <c r="DG1658" s="340" t="s">
        <v>331</v>
      </c>
      <c r="DV1658" s="340">
        <v>188.01</v>
      </c>
      <c r="DW1658" s="340" t="s">
        <v>331</v>
      </c>
      <c r="DX1658" s="1671"/>
    </row>
    <row r="1659" spans="12:128">
      <c r="L1659" s="2481">
        <v>155.01</v>
      </c>
      <c r="M1659" s="340" t="s">
        <v>331</v>
      </c>
      <c r="N1659" s="1390"/>
      <c r="O1659" s="2479"/>
      <c r="P1659" s="2282"/>
      <c r="AG1659" s="2297">
        <v>183</v>
      </c>
      <c r="AH1659" s="2297" t="s">
        <v>331</v>
      </c>
      <c r="AI1659" s="1390"/>
      <c r="AJ1659" s="2282"/>
      <c r="AK1659" s="2282"/>
      <c r="AL1659" s="1037"/>
      <c r="AX1659" s="340">
        <v>100.13</v>
      </c>
      <c r="AY1659" s="340" t="s">
        <v>331</v>
      </c>
      <c r="BN1659" s="340">
        <v>170.18</v>
      </c>
      <c r="BO1659" s="340" t="s">
        <v>338</v>
      </c>
      <c r="BP1659" s="1385"/>
      <c r="BV1659" s="236">
        <v>140.09</v>
      </c>
      <c r="BW1659" s="236" t="s">
        <v>316</v>
      </c>
      <c r="CB1659" s="340">
        <v>100.12</v>
      </c>
      <c r="CC1659" s="340" t="s">
        <v>331</v>
      </c>
      <c r="CL1659" s="236">
        <v>100.2</v>
      </c>
      <c r="CM1659" s="236" t="s">
        <v>331</v>
      </c>
      <c r="CR1659" s="340">
        <v>171.01</v>
      </c>
      <c r="CS1659" s="340" t="s">
        <v>331</v>
      </c>
      <c r="CT1659" s="1384"/>
      <c r="DF1659" s="340">
        <v>151.03</v>
      </c>
      <c r="DG1659" s="340" t="s">
        <v>331</v>
      </c>
      <c r="DV1659" s="340">
        <v>188.02</v>
      </c>
      <c r="DW1659" s="340" t="s">
        <v>331</v>
      </c>
      <c r="DX1659" s="1671"/>
    </row>
    <row r="1660" spans="12:128">
      <c r="L1660" s="2481">
        <v>155.02000000000001</v>
      </c>
      <c r="M1660" s="340" t="s">
        <v>331</v>
      </c>
      <c r="N1660" s="1390"/>
      <c r="O1660" s="2479"/>
      <c r="P1660" s="2282"/>
      <c r="AG1660" s="2297">
        <v>184</v>
      </c>
      <c r="AH1660" s="2297" t="s">
        <v>331</v>
      </c>
      <c r="AI1660" s="1390"/>
      <c r="AJ1660" s="2282"/>
      <c r="AK1660" s="2282"/>
      <c r="AL1660" s="1037"/>
      <c r="AX1660" s="340">
        <v>100.16</v>
      </c>
      <c r="AY1660" s="340" t="s">
        <v>331</v>
      </c>
      <c r="BN1660" s="340">
        <v>170.2</v>
      </c>
      <c r="BO1660" s="340" t="s">
        <v>338</v>
      </c>
      <c r="BP1660" s="1385"/>
      <c r="BV1660" s="236">
        <v>140.1</v>
      </c>
      <c r="BW1660" s="236" t="s">
        <v>316</v>
      </c>
      <c r="CB1660" s="340">
        <v>100.13</v>
      </c>
      <c r="CC1660" s="340" t="s">
        <v>331</v>
      </c>
      <c r="CL1660" s="236">
        <v>100.21</v>
      </c>
      <c r="CM1660" s="236" t="s">
        <v>331</v>
      </c>
      <c r="CR1660" s="340">
        <v>171.02</v>
      </c>
      <c r="CS1660" s="340" t="s">
        <v>302</v>
      </c>
      <c r="CT1660" s="1384"/>
      <c r="DF1660" s="340">
        <v>152.01</v>
      </c>
      <c r="DG1660" s="340" t="s">
        <v>331</v>
      </c>
      <c r="DV1660" s="340">
        <v>188.03</v>
      </c>
      <c r="DW1660" s="340" t="s">
        <v>331</v>
      </c>
      <c r="DX1660" s="1671"/>
    </row>
    <row r="1661" spans="12:128">
      <c r="L1661" s="2481">
        <v>156</v>
      </c>
      <c r="M1661" s="340" t="s">
        <v>331</v>
      </c>
      <c r="N1661" s="1390"/>
      <c r="O1661" s="2479"/>
      <c r="P1661" s="2282"/>
      <c r="AG1661" s="2297">
        <v>184</v>
      </c>
      <c r="AH1661" s="2297" t="s">
        <v>338</v>
      </c>
      <c r="AI1661" s="1390"/>
      <c r="AJ1661" s="2282"/>
      <c r="AK1661" s="2282"/>
      <c r="AL1661" s="1037"/>
      <c r="AX1661" s="340">
        <v>100.17</v>
      </c>
      <c r="AY1661" s="340" t="s">
        <v>331</v>
      </c>
      <c r="BN1661" s="340">
        <v>170.22</v>
      </c>
      <c r="BO1661" s="340" t="s">
        <v>338</v>
      </c>
      <c r="BP1661" s="1385"/>
      <c r="BV1661" s="236">
        <v>140.11000000000001</v>
      </c>
      <c r="BW1661" s="236" t="s">
        <v>316</v>
      </c>
      <c r="CB1661" s="340">
        <v>100.16</v>
      </c>
      <c r="CC1661" s="340" t="s">
        <v>331</v>
      </c>
      <c r="CL1661" s="236">
        <v>100.22</v>
      </c>
      <c r="CM1661" s="236" t="s">
        <v>331</v>
      </c>
      <c r="CR1661" s="340">
        <v>171.02</v>
      </c>
      <c r="CS1661" s="340" t="s">
        <v>331</v>
      </c>
      <c r="CT1661" s="1384"/>
      <c r="DF1661" s="340">
        <v>152.02000000000001</v>
      </c>
      <c r="DG1661" s="340" t="s">
        <v>331</v>
      </c>
      <c r="DV1661" s="340">
        <v>189.01</v>
      </c>
      <c r="DW1661" s="340" t="s">
        <v>331</v>
      </c>
      <c r="DX1661" s="1671"/>
    </row>
    <row r="1662" spans="12:128">
      <c r="L1662" s="2481">
        <v>157</v>
      </c>
      <c r="M1662" s="340" t="s">
        <v>331</v>
      </c>
      <c r="N1662" s="1390"/>
      <c r="O1662" s="2479"/>
      <c r="P1662" s="2282"/>
      <c r="AG1662" s="2297">
        <v>185</v>
      </c>
      <c r="AH1662" s="2297" t="s">
        <v>331</v>
      </c>
      <c r="AI1662" s="1390"/>
      <c r="AJ1662" s="2282"/>
      <c r="AK1662" s="2282"/>
      <c r="AL1662" s="1037"/>
      <c r="AX1662" s="340">
        <v>100.18</v>
      </c>
      <c r="AY1662" s="340" t="s">
        <v>331</v>
      </c>
      <c r="BN1662" s="340">
        <v>170.24</v>
      </c>
      <c r="BO1662" s="340" t="s">
        <v>338</v>
      </c>
      <c r="BP1662" s="1385"/>
      <c r="BV1662" s="236">
        <v>140.12</v>
      </c>
      <c r="BW1662" s="236" t="s">
        <v>316</v>
      </c>
      <c r="CB1662" s="340">
        <v>100.17</v>
      </c>
      <c r="CC1662" s="340" t="s">
        <v>331</v>
      </c>
      <c r="CL1662" s="236">
        <v>100.23</v>
      </c>
      <c r="CM1662" s="236" t="s">
        <v>331</v>
      </c>
      <c r="CR1662" s="340">
        <v>171.08</v>
      </c>
      <c r="CS1662" s="340" t="s">
        <v>338</v>
      </c>
      <c r="CT1662" s="1384"/>
      <c r="DF1662" s="340">
        <v>153</v>
      </c>
      <c r="DG1662" s="340" t="s">
        <v>331</v>
      </c>
      <c r="DV1662" s="340">
        <v>189.02</v>
      </c>
      <c r="DW1662" s="340" t="s">
        <v>331</v>
      </c>
      <c r="DX1662" s="1671"/>
    </row>
    <row r="1663" spans="12:128">
      <c r="L1663" s="2481">
        <v>158</v>
      </c>
      <c r="M1663" s="340" t="s">
        <v>331</v>
      </c>
      <c r="N1663" s="1390"/>
      <c r="O1663" s="2479"/>
      <c r="P1663" s="2282"/>
      <c r="AG1663" s="2297">
        <v>186.01</v>
      </c>
      <c r="AH1663" s="2297" t="s">
        <v>331</v>
      </c>
      <c r="AI1663" s="1390"/>
      <c r="AJ1663" s="2282"/>
      <c r="AK1663" s="2282"/>
      <c r="AL1663" s="1037"/>
      <c r="AX1663" s="340">
        <v>100.2</v>
      </c>
      <c r="AY1663" s="340" t="s">
        <v>331</v>
      </c>
      <c r="BN1663" s="340">
        <v>170.25</v>
      </c>
      <c r="BO1663" s="340" t="s">
        <v>338</v>
      </c>
      <c r="BP1663" s="1385"/>
      <c r="BV1663" s="236">
        <v>140.13</v>
      </c>
      <c r="BW1663" s="236" t="s">
        <v>316</v>
      </c>
      <c r="CB1663" s="340">
        <v>100.25</v>
      </c>
      <c r="CC1663" s="340" t="s">
        <v>331</v>
      </c>
      <c r="CL1663" s="236">
        <v>100.24</v>
      </c>
      <c r="CM1663" s="236" t="s">
        <v>331</v>
      </c>
      <c r="CR1663" s="340">
        <v>171.09</v>
      </c>
      <c r="CS1663" s="340" t="s">
        <v>338</v>
      </c>
      <c r="CT1663" s="1384"/>
      <c r="DF1663" s="340">
        <v>154</v>
      </c>
      <c r="DG1663" s="340" t="s">
        <v>331</v>
      </c>
      <c r="DV1663" s="340">
        <v>189.02</v>
      </c>
      <c r="DW1663" s="340" t="s">
        <v>338</v>
      </c>
      <c r="DX1663" s="1671"/>
    </row>
    <row r="1664" spans="12:128">
      <c r="L1664" s="2481">
        <v>159</v>
      </c>
      <c r="M1664" s="340" t="s">
        <v>331</v>
      </c>
      <c r="N1664" s="1390"/>
      <c r="O1664" s="2479"/>
      <c r="P1664" s="2282"/>
      <c r="AG1664" s="2297">
        <v>186.02</v>
      </c>
      <c r="AH1664" s="2297" t="s">
        <v>331</v>
      </c>
      <c r="AI1664" s="1390"/>
      <c r="AJ1664" s="2282"/>
      <c r="AK1664" s="2282"/>
      <c r="AL1664" s="1037"/>
      <c r="AX1664" s="340">
        <v>100.21</v>
      </c>
      <c r="AY1664" s="340" t="s">
        <v>331</v>
      </c>
      <c r="BN1664" s="340">
        <v>170.26</v>
      </c>
      <c r="BO1664" s="340" t="s">
        <v>338</v>
      </c>
      <c r="BP1664" s="1385"/>
      <c r="BV1664" s="236">
        <v>140.13999999999999</v>
      </c>
      <c r="BW1664" s="236" t="s">
        <v>316</v>
      </c>
      <c r="CB1664" s="340">
        <v>101.93</v>
      </c>
      <c r="CC1664" s="340" t="s">
        <v>331</v>
      </c>
      <c r="CL1664" s="236">
        <v>100.25</v>
      </c>
      <c r="CM1664" s="236" t="s">
        <v>331</v>
      </c>
      <c r="CR1664" s="340">
        <v>171.1</v>
      </c>
      <c r="CS1664" s="340" t="s">
        <v>338</v>
      </c>
      <c r="CT1664" s="1384"/>
      <c r="DF1664" s="340">
        <v>155.01</v>
      </c>
      <c r="DG1664" s="340" t="s">
        <v>331</v>
      </c>
      <c r="DV1664" s="340">
        <v>190</v>
      </c>
      <c r="DW1664" s="340" t="s">
        <v>331</v>
      </c>
      <c r="DX1664" s="1671"/>
    </row>
    <row r="1665" spans="12:128">
      <c r="L1665" s="2481">
        <v>160</v>
      </c>
      <c r="M1665" s="340" t="s">
        <v>331</v>
      </c>
      <c r="N1665" s="1390"/>
      <c r="O1665" s="2479"/>
      <c r="P1665" s="2282"/>
      <c r="AG1665" s="2297">
        <v>187</v>
      </c>
      <c r="AH1665" s="2297" t="s">
        <v>331</v>
      </c>
      <c r="AI1665" s="1390"/>
      <c r="AJ1665" s="2282"/>
      <c r="AK1665" s="2282"/>
      <c r="AL1665" s="1037"/>
      <c r="AX1665" s="340">
        <v>100.25</v>
      </c>
      <c r="AY1665" s="340" t="s">
        <v>331</v>
      </c>
      <c r="BN1665" s="340">
        <v>171.01</v>
      </c>
      <c r="BO1665" s="340" t="s">
        <v>302</v>
      </c>
      <c r="BP1665" s="1385"/>
      <c r="BV1665" s="236">
        <v>140.16999999999999</v>
      </c>
      <c r="BW1665" s="236" t="s">
        <v>316</v>
      </c>
      <c r="CB1665" s="340">
        <v>101.98</v>
      </c>
      <c r="CC1665" s="340" t="s">
        <v>331</v>
      </c>
      <c r="CL1665" s="236">
        <v>100.26</v>
      </c>
      <c r="CM1665" s="236" t="s">
        <v>331</v>
      </c>
      <c r="CR1665" s="340">
        <v>171.11</v>
      </c>
      <c r="CS1665" s="340" t="s">
        <v>338</v>
      </c>
      <c r="CT1665" s="1384"/>
      <c r="DF1665" s="340">
        <v>155.02000000000001</v>
      </c>
      <c r="DG1665" s="340" t="s">
        <v>331</v>
      </c>
      <c r="DV1665" s="340">
        <v>190</v>
      </c>
      <c r="DW1665" s="340" t="s">
        <v>338</v>
      </c>
      <c r="DX1665" s="1671"/>
    </row>
    <row r="1666" spans="12:128">
      <c r="L1666" s="2481">
        <v>161</v>
      </c>
      <c r="M1666" s="340" t="s">
        <v>331</v>
      </c>
      <c r="N1666" s="1390"/>
      <c r="O1666" s="2479"/>
      <c r="P1666" s="2282"/>
      <c r="AG1666" s="2297">
        <v>188</v>
      </c>
      <c r="AH1666" s="2297" t="s">
        <v>338</v>
      </c>
      <c r="AI1666" s="1390"/>
      <c r="AJ1666" s="2282"/>
      <c r="AK1666" s="2282"/>
      <c r="AL1666" s="1037"/>
      <c r="AX1666" s="340">
        <v>101.93</v>
      </c>
      <c r="AY1666" s="340" t="s">
        <v>331</v>
      </c>
      <c r="BN1666" s="340">
        <v>171.01</v>
      </c>
      <c r="BO1666" s="340" t="s">
        <v>331</v>
      </c>
      <c r="BP1666" s="1385"/>
      <c r="BV1666" s="236">
        <v>141.04</v>
      </c>
      <c r="BW1666" s="236" t="s">
        <v>316</v>
      </c>
      <c r="CB1666" s="340">
        <v>102.01</v>
      </c>
      <c r="CC1666" s="340" t="s">
        <v>331</v>
      </c>
      <c r="CL1666" s="338">
        <v>101</v>
      </c>
      <c r="CM1666" s="338" t="s">
        <v>294</v>
      </c>
      <c r="CR1666" s="340">
        <v>171.12</v>
      </c>
      <c r="CS1666" s="340" t="s">
        <v>338</v>
      </c>
      <c r="CT1666" s="1384"/>
      <c r="DF1666" s="340">
        <v>156</v>
      </c>
      <c r="DG1666" s="340" t="s">
        <v>331</v>
      </c>
      <c r="DV1666" s="340">
        <v>191</v>
      </c>
      <c r="DW1666" s="340" t="s">
        <v>331</v>
      </c>
      <c r="DX1666" s="1671"/>
    </row>
    <row r="1667" spans="12:128">
      <c r="L1667" s="2481">
        <v>162</v>
      </c>
      <c r="M1667" s="340" t="s">
        <v>331</v>
      </c>
      <c r="N1667" s="1390"/>
      <c r="O1667" s="2479"/>
      <c r="P1667" s="2282"/>
      <c r="AG1667" s="2297">
        <v>188.01</v>
      </c>
      <c r="AH1667" s="2297" t="s">
        <v>331</v>
      </c>
      <c r="AI1667" s="1390"/>
      <c r="AJ1667" s="2282"/>
      <c r="AK1667" s="2282"/>
      <c r="AL1667" s="1037"/>
      <c r="AX1667" s="340">
        <v>101.98</v>
      </c>
      <c r="AY1667" s="340" t="s">
        <v>331</v>
      </c>
      <c r="BN1667" s="340">
        <v>171.02</v>
      </c>
      <c r="BO1667" s="340" t="s">
        <v>331</v>
      </c>
      <c r="BP1667" s="1385"/>
      <c r="BV1667" s="236">
        <v>141.06</v>
      </c>
      <c r="BW1667" s="236" t="s">
        <v>316</v>
      </c>
      <c r="CB1667" s="340">
        <v>102.12</v>
      </c>
      <c r="CC1667" s="340" t="s">
        <v>331</v>
      </c>
      <c r="CL1667" s="236">
        <v>101</v>
      </c>
      <c r="CM1667" s="236" t="s">
        <v>346</v>
      </c>
      <c r="CR1667" s="340">
        <v>171.13</v>
      </c>
      <c r="CS1667" s="340" t="s">
        <v>338</v>
      </c>
      <c r="CT1667" s="1384"/>
      <c r="DF1667" s="340">
        <v>157</v>
      </c>
      <c r="DG1667" s="340" t="s">
        <v>331</v>
      </c>
      <c r="DV1667" s="340">
        <v>192</v>
      </c>
      <c r="DW1667" s="340" t="s">
        <v>331</v>
      </c>
      <c r="DX1667" s="1671"/>
    </row>
    <row r="1668" spans="12:128">
      <c r="L1668" s="2481">
        <v>163</v>
      </c>
      <c r="M1668" s="340" t="s">
        <v>331</v>
      </c>
      <c r="N1668" s="1390"/>
      <c r="O1668" s="2479"/>
      <c r="P1668" s="2282"/>
      <c r="AG1668" s="2297">
        <v>188.03</v>
      </c>
      <c r="AH1668" s="2297" t="s">
        <v>331</v>
      </c>
      <c r="AI1668" s="1390"/>
      <c r="AJ1668" s="2282"/>
      <c r="AK1668" s="2282"/>
      <c r="AL1668" s="1037"/>
      <c r="AX1668" s="340">
        <v>102.01</v>
      </c>
      <c r="AY1668" s="340" t="s">
        <v>331</v>
      </c>
      <c r="BN1668" s="340">
        <v>171.08</v>
      </c>
      <c r="BO1668" s="340" t="s">
        <v>338</v>
      </c>
      <c r="BP1668" s="1385"/>
      <c r="BV1668" s="236">
        <v>141.08000000000001</v>
      </c>
      <c r="BW1668" s="236" t="s">
        <v>316</v>
      </c>
      <c r="CB1668" s="340">
        <v>103.01</v>
      </c>
      <c r="CC1668" s="340" t="s">
        <v>331</v>
      </c>
      <c r="CL1668" s="236">
        <v>101.01</v>
      </c>
      <c r="CM1668" s="236" t="s">
        <v>302</v>
      </c>
      <c r="CR1668" s="340">
        <v>171.14</v>
      </c>
      <c r="CS1668" s="340" t="s">
        <v>338</v>
      </c>
      <c r="CT1668" s="1384"/>
      <c r="DF1668" s="340">
        <v>158</v>
      </c>
      <c r="DG1668" s="340" t="s">
        <v>331</v>
      </c>
      <c r="DV1668" s="340">
        <v>193.01</v>
      </c>
      <c r="DW1668" s="340" t="s">
        <v>331</v>
      </c>
      <c r="DX1668" s="1671"/>
    </row>
    <row r="1669" spans="12:128">
      <c r="L1669" s="2481">
        <v>164.01</v>
      </c>
      <c r="M1669" s="340" t="s">
        <v>331</v>
      </c>
      <c r="N1669" s="1390"/>
      <c r="O1669" s="2479"/>
      <c r="P1669" s="2282"/>
      <c r="AG1669" s="2297">
        <v>189.01</v>
      </c>
      <c r="AH1669" s="2297" t="s">
        <v>331</v>
      </c>
      <c r="AI1669" s="1390"/>
      <c r="AJ1669" s="2282"/>
      <c r="AK1669" s="2282"/>
      <c r="AL1669" s="1037"/>
      <c r="AX1669" s="340">
        <v>102.12</v>
      </c>
      <c r="AY1669" s="340" t="s">
        <v>331</v>
      </c>
      <c r="BN1669" s="340">
        <v>171.09</v>
      </c>
      <c r="BO1669" s="340" t="s">
        <v>338</v>
      </c>
      <c r="BP1669" s="1385"/>
      <c r="BV1669" s="236">
        <v>141.09</v>
      </c>
      <c r="BW1669" s="236" t="s">
        <v>316</v>
      </c>
      <c r="CB1669" s="340">
        <v>103.02</v>
      </c>
      <c r="CC1669" s="340" t="s">
        <v>331</v>
      </c>
      <c r="CL1669" s="236">
        <v>101.01</v>
      </c>
      <c r="CM1669" s="236" t="s">
        <v>356</v>
      </c>
      <c r="CR1669" s="340">
        <v>171.15</v>
      </c>
      <c r="CS1669" s="340" t="s">
        <v>338</v>
      </c>
      <c r="CT1669" s="1384"/>
      <c r="DF1669" s="340">
        <v>159</v>
      </c>
      <c r="DG1669" s="340" t="s">
        <v>331</v>
      </c>
      <c r="DV1669" s="340">
        <v>193.02</v>
      </c>
      <c r="DW1669" s="340" t="s">
        <v>331</v>
      </c>
      <c r="DX1669" s="1671"/>
    </row>
    <row r="1670" spans="12:128">
      <c r="L1670" s="2481">
        <v>164.02</v>
      </c>
      <c r="M1670" s="340" t="s">
        <v>331</v>
      </c>
      <c r="N1670" s="1390"/>
      <c r="O1670" s="2479"/>
      <c r="P1670" s="2282"/>
      <c r="AG1670" s="2297">
        <v>189.02</v>
      </c>
      <c r="AH1670" s="2297" t="s">
        <v>331</v>
      </c>
      <c r="AI1670" s="1390"/>
      <c r="AJ1670" s="2282"/>
      <c r="AK1670" s="2282"/>
      <c r="AL1670" s="1037"/>
      <c r="AX1670" s="340">
        <v>103.01</v>
      </c>
      <c r="AY1670" s="340" t="s">
        <v>331</v>
      </c>
      <c r="BN1670" s="340">
        <v>171.1</v>
      </c>
      <c r="BO1670" s="340" t="s">
        <v>338</v>
      </c>
      <c r="BP1670" s="1385"/>
      <c r="BV1670" s="236">
        <v>141.16999999999999</v>
      </c>
      <c r="BW1670" s="236" t="s">
        <v>316</v>
      </c>
      <c r="CB1670" s="340">
        <v>103.03</v>
      </c>
      <c r="CC1670" s="340" t="s">
        <v>331</v>
      </c>
      <c r="CL1670" s="338">
        <v>101.02</v>
      </c>
      <c r="CM1670" s="338" t="s">
        <v>289</v>
      </c>
      <c r="CR1670" s="340">
        <v>171.16</v>
      </c>
      <c r="CS1670" s="340" t="s">
        <v>338</v>
      </c>
      <c r="CT1670" s="1384"/>
      <c r="DF1670" s="340">
        <v>160</v>
      </c>
      <c r="DG1670" s="340" t="s">
        <v>331</v>
      </c>
      <c r="DV1670" s="340">
        <v>194.01</v>
      </c>
      <c r="DW1670" s="340" t="s">
        <v>331</v>
      </c>
      <c r="DX1670" s="1671"/>
    </row>
    <row r="1671" spans="12:128">
      <c r="L1671" s="2481">
        <v>165.01</v>
      </c>
      <c r="M1671" s="340" t="s">
        <v>331</v>
      </c>
      <c r="N1671" s="1390"/>
      <c r="O1671" s="2479"/>
      <c r="P1671" s="2282"/>
      <c r="AG1671" s="2297">
        <v>189.02</v>
      </c>
      <c r="AH1671" s="2297" t="s">
        <v>338</v>
      </c>
      <c r="AI1671" s="1390"/>
      <c r="AJ1671" s="2282"/>
      <c r="AK1671" s="2282"/>
      <c r="AL1671" s="1037"/>
      <c r="AX1671" s="340">
        <v>104</v>
      </c>
      <c r="AY1671" s="340" t="s">
        <v>331</v>
      </c>
      <c r="BN1671" s="340">
        <v>171.11</v>
      </c>
      <c r="BO1671" s="340" t="s">
        <v>338</v>
      </c>
      <c r="BP1671" s="1385"/>
      <c r="BV1671" s="236">
        <v>141.18</v>
      </c>
      <c r="BW1671" s="236" t="s">
        <v>316</v>
      </c>
      <c r="CB1671" s="340">
        <v>104</v>
      </c>
      <c r="CC1671" s="340" t="s">
        <v>331</v>
      </c>
      <c r="CL1671" s="236">
        <v>101.02</v>
      </c>
      <c r="CM1671" s="236" t="s">
        <v>297</v>
      </c>
      <c r="CR1671" s="340">
        <v>171.17</v>
      </c>
      <c r="CS1671" s="340" t="s">
        <v>338</v>
      </c>
      <c r="CT1671" s="1384"/>
      <c r="DF1671" s="340">
        <v>161</v>
      </c>
      <c r="DG1671" s="340" t="s">
        <v>331</v>
      </c>
      <c r="DV1671" s="340">
        <v>194.02</v>
      </c>
      <c r="DW1671" s="340" t="s">
        <v>331</v>
      </c>
      <c r="DX1671" s="1671"/>
    </row>
    <row r="1672" spans="12:128">
      <c r="L1672" s="2481">
        <v>165.02</v>
      </c>
      <c r="M1672" s="340" t="s">
        <v>331</v>
      </c>
      <c r="N1672" s="1390"/>
      <c r="O1672" s="2479"/>
      <c r="P1672" s="2282"/>
      <c r="AG1672" s="2297">
        <v>190</v>
      </c>
      <c r="AH1672" s="2297" t="s">
        <v>331</v>
      </c>
      <c r="AI1672" s="1390"/>
      <c r="AJ1672" s="2282"/>
      <c r="AK1672" s="2282"/>
      <c r="AL1672" s="1037"/>
      <c r="AX1672" s="340">
        <v>105.02</v>
      </c>
      <c r="AY1672" s="340" t="s">
        <v>331</v>
      </c>
      <c r="BN1672" s="340">
        <v>171.12</v>
      </c>
      <c r="BO1672" s="340" t="s">
        <v>338</v>
      </c>
      <c r="BP1672" s="1385"/>
      <c r="BV1672" s="236">
        <v>141.19</v>
      </c>
      <c r="BW1672" s="236" t="s">
        <v>316</v>
      </c>
      <c r="CB1672" s="340">
        <v>105.02</v>
      </c>
      <c r="CC1672" s="340" t="s">
        <v>331</v>
      </c>
      <c r="CL1672" s="236">
        <v>101.02</v>
      </c>
      <c r="CM1672" s="236" t="s">
        <v>356</v>
      </c>
      <c r="CR1672" s="340">
        <v>171.18</v>
      </c>
      <c r="CS1672" s="340" t="s">
        <v>338</v>
      </c>
      <c r="CT1672" s="1384"/>
      <c r="DF1672" s="340">
        <v>162</v>
      </c>
      <c r="DG1672" s="340" t="s">
        <v>331</v>
      </c>
      <c r="DV1672" s="340">
        <v>195.01</v>
      </c>
      <c r="DW1672" s="340" t="s">
        <v>331</v>
      </c>
      <c r="DX1672" s="1671"/>
    </row>
    <row r="1673" spans="12:128">
      <c r="L1673" s="2481">
        <v>166</v>
      </c>
      <c r="M1673" s="340" t="s">
        <v>331</v>
      </c>
      <c r="N1673" s="1390"/>
      <c r="O1673" s="2479"/>
      <c r="P1673" s="2282"/>
      <c r="AG1673" s="2297">
        <v>190</v>
      </c>
      <c r="AH1673" s="2297" t="s">
        <v>338</v>
      </c>
      <c r="AI1673" s="1390"/>
      <c r="AJ1673" s="2282"/>
      <c r="AK1673" s="2282"/>
      <c r="AL1673" s="1037"/>
      <c r="AX1673" s="340">
        <v>106.04</v>
      </c>
      <c r="AY1673" s="340" t="s">
        <v>331</v>
      </c>
      <c r="BN1673" s="340">
        <v>171.13</v>
      </c>
      <c r="BO1673" s="340" t="s">
        <v>338</v>
      </c>
      <c r="BP1673" s="1385"/>
      <c r="BV1673" s="236">
        <v>141.21</v>
      </c>
      <c r="BW1673" s="236" t="s">
        <v>316</v>
      </c>
      <c r="CB1673" s="340">
        <v>106.04</v>
      </c>
      <c r="CC1673" s="340" t="s">
        <v>331</v>
      </c>
      <c r="CL1673" s="338">
        <v>101.03</v>
      </c>
      <c r="CM1673" s="338" t="s">
        <v>289</v>
      </c>
      <c r="CR1673" s="340">
        <v>171.19</v>
      </c>
      <c r="CS1673" s="340" t="s">
        <v>338</v>
      </c>
      <c r="CT1673" s="1384"/>
      <c r="DF1673" s="340">
        <v>163</v>
      </c>
      <c r="DG1673" s="340" t="s">
        <v>331</v>
      </c>
      <c r="DV1673" s="340">
        <v>195.02</v>
      </c>
      <c r="DW1673" s="340" t="s">
        <v>331</v>
      </c>
      <c r="DX1673" s="1671"/>
    </row>
    <row r="1674" spans="12:128">
      <c r="L1674" s="2481">
        <v>167</v>
      </c>
      <c r="M1674" s="340" t="s">
        <v>331</v>
      </c>
      <c r="N1674" s="1390"/>
      <c r="O1674" s="2479"/>
      <c r="P1674" s="2282"/>
      <c r="AG1674" s="2297">
        <v>191</v>
      </c>
      <c r="AH1674" s="2297" t="s">
        <v>331</v>
      </c>
      <c r="AI1674" s="1390"/>
      <c r="AJ1674" s="2282"/>
      <c r="AK1674" s="2282"/>
      <c r="AL1674" s="1037"/>
      <c r="AX1674" s="340">
        <v>106.08</v>
      </c>
      <c r="AY1674" s="340" t="s">
        <v>331</v>
      </c>
      <c r="BN1674" s="340">
        <v>171.14</v>
      </c>
      <c r="BO1674" s="340" t="s">
        <v>338</v>
      </c>
      <c r="BP1674" s="1385"/>
      <c r="BV1674" s="236">
        <v>141.22</v>
      </c>
      <c r="BW1674" s="236" t="s">
        <v>316</v>
      </c>
      <c r="CB1674" s="340">
        <v>106.08</v>
      </c>
      <c r="CC1674" s="340" t="s">
        <v>331</v>
      </c>
      <c r="CL1674" s="338">
        <v>101.04</v>
      </c>
      <c r="CM1674" s="338" t="s">
        <v>289</v>
      </c>
      <c r="CR1674" s="340">
        <v>171.2</v>
      </c>
      <c r="CS1674" s="340" t="s">
        <v>338</v>
      </c>
      <c r="CT1674" s="1384"/>
      <c r="DF1674" s="340">
        <v>164.01</v>
      </c>
      <c r="DG1674" s="340" t="s">
        <v>331</v>
      </c>
      <c r="DV1674" s="340">
        <v>196</v>
      </c>
      <c r="DW1674" s="340" t="s">
        <v>331</v>
      </c>
      <c r="DX1674" s="1671"/>
    </row>
    <row r="1675" spans="12:128">
      <c r="L1675" s="2481">
        <v>168</v>
      </c>
      <c r="M1675" s="340" t="s">
        <v>331</v>
      </c>
      <c r="N1675" s="1390"/>
      <c r="O1675" s="2479"/>
      <c r="P1675" s="2282"/>
      <c r="AG1675" s="2297">
        <v>192</v>
      </c>
      <c r="AH1675" s="2297" t="s">
        <v>331</v>
      </c>
      <c r="AI1675" s="1390"/>
      <c r="AJ1675" s="2282"/>
      <c r="AK1675" s="2282"/>
      <c r="AL1675" s="1037"/>
      <c r="AX1675" s="340">
        <v>106.1</v>
      </c>
      <c r="AY1675" s="340" t="s">
        <v>331</v>
      </c>
      <c r="BN1675" s="340">
        <v>171.15</v>
      </c>
      <c r="BO1675" s="340" t="s">
        <v>338</v>
      </c>
      <c r="BP1675" s="1385"/>
      <c r="BV1675" s="236">
        <v>142</v>
      </c>
      <c r="BW1675" s="236" t="s">
        <v>316</v>
      </c>
      <c r="CB1675" s="340">
        <v>106.1</v>
      </c>
      <c r="CC1675" s="340" t="s">
        <v>331</v>
      </c>
      <c r="CL1675" s="236">
        <v>101.04</v>
      </c>
      <c r="CM1675" s="236" t="s">
        <v>302</v>
      </c>
      <c r="CR1675" s="340">
        <v>171.22</v>
      </c>
      <c r="CS1675" s="340" t="s">
        <v>338</v>
      </c>
      <c r="CT1675" s="1384"/>
      <c r="DF1675" s="340">
        <v>164.02</v>
      </c>
      <c r="DG1675" s="340" t="s">
        <v>331</v>
      </c>
      <c r="DV1675" s="340">
        <v>197</v>
      </c>
      <c r="DW1675" s="340" t="s">
        <v>331</v>
      </c>
      <c r="DX1675" s="1671"/>
    </row>
    <row r="1676" spans="12:128">
      <c r="L1676" s="2481">
        <v>169</v>
      </c>
      <c r="M1676" s="340" t="s">
        <v>331</v>
      </c>
      <c r="N1676" s="1390"/>
      <c r="O1676" s="2479"/>
      <c r="P1676" s="2282"/>
      <c r="AG1676" s="2297">
        <v>193.01</v>
      </c>
      <c r="AH1676" s="2297" t="s">
        <v>331</v>
      </c>
      <c r="AI1676" s="1390"/>
      <c r="AJ1676" s="2282"/>
      <c r="AK1676" s="2282"/>
      <c r="AL1676" s="1037"/>
      <c r="AX1676" s="340">
        <v>106.13</v>
      </c>
      <c r="AY1676" s="340" t="s">
        <v>331</v>
      </c>
      <c r="BN1676" s="340">
        <v>171.16</v>
      </c>
      <c r="BO1676" s="340" t="s">
        <v>338</v>
      </c>
      <c r="BP1676" s="1385"/>
      <c r="BV1676" s="236">
        <v>143</v>
      </c>
      <c r="BW1676" s="236" t="s">
        <v>316</v>
      </c>
      <c r="CB1676" s="340">
        <v>106.18</v>
      </c>
      <c r="CC1676" s="340" t="s">
        <v>331</v>
      </c>
      <c r="CL1676" s="236">
        <v>101.04</v>
      </c>
      <c r="CM1676" s="236" t="s">
        <v>323</v>
      </c>
      <c r="CR1676" s="340">
        <v>171.23</v>
      </c>
      <c r="CS1676" s="340" t="s">
        <v>338</v>
      </c>
      <c r="CT1676" s="1384"/>
      <c r="DF1676" s="340">
        <v>165.01</v>
      </c>
      <c r="DG1676" s="340" t="s">
        <v>331</v>
      </c>
      <c r="DV1676" s="340">
        <v>198.01</v>
      </c>
      <c r="DW1676" s="340" t="s">
        <v>331</v>
      </c>
      <c r="DX1676" s="1671"/>
    </row>
    <row r="1677" spans="12:128">
      <c r="L1677" s="2481">
        <v>171.01</v>
      </c>
      <c r="M1677" s="340" t="s">
        <v>331</v>
      </c>
      <c r="N1677" s="1390"/>
      <c r="O1677" s="2479"/>
      <c r="P1677" s="2282"/>
      <c r="AG1677" s="2297">
        <v>193.02</v>
      </c>
      <c r="AH1677" s="2297" t="s">
        <v>331</v>
      </c>
      <c r="AI1677" s="1390"/>
      <c r="AJ1677" s="2282"/>
      <c r="AK1677" s="2282"/>
      <c r="AL1677" s="1037"/>
      <c r="AX1677" s="340">
        <v>106.18</v>
      </c>
      <c r="AY1677" s="340" t="s">
        <v>331</v>
      </c>
      <c r="BN1677" s="340">
        <v>171.17</v>
      </c>
      <c r="BO1677" s="340" t="s">
        <v>338</v>
      </c>
      <c r="BP1677" s="1385"/>
      <c r="BV1677" s="236">
        <v>144</v>
      </c>
      <c r="BW1677" s="236" t="s">
        <v>316</v>
      </c>
      <c r="CB1677" s="340">
        <v>106.19</v>
      </c>
      <c r="CC1677" s="340" t="s">
        <v>331</v>
      </c>
      <c r="CL1677" s="236">
        <v>101.05</v>
      </c>
      <c r="CM1677" s="236" t="s">
        <v>302</v>
      </c>
      <c r="CR1677" s="340">
        <v>172</v>
      </c>
      <c r="CS1677" s="340" t="s">
        <v>302</v>
      </c>
      <c r="CT1677" s="1384"/>
      <c r="DF1677" s="340">
        <v>165.02</v>
      </c>
      <c r="DG1677" s="340" t="s">
        <v>331</v>
      </c>
      <c r="DV1677" s="340">
        <v>198.02</v>
      </c>
      <c r="DW1677" s="340" t="s">
        <v>331</v>
      </c>
      <c r="DX1677" s="1671"/>
    </row>
    <row r="1678" spans="12:128">
      <c r="L1678" s="2481">
        <v>171.02</v>
      </c>
      <c r="M1678" s="340" t="s">
        <v>331</v>
      </c>
      <c r="N1678" s="1390"/>
      <c r="O1678" s="2479"/>
      <c r="P1678" s="2282"/>
      <c r="AG1678" s="2297">
        <v>194.01</v>
      </c>
      <c r="AH1678" s="2297" t="s">
        <v>331</v>
      </c>
      <c r="AI1678" s="1390"/>
      <c r="AJ1678" s="2282"/>
      <c r="AK1678" s="2282"/>
      <c r="AL1678" s="1037"/>
      <c r="AX1678" s="340">
        <v>106.19</v>
      </c>
      <c r="AY1678" s="340" t="s">
        <v>331</v>
      </c>
      <c r="BN1678" s="340">
        <v>171.18</v>
      </c>
      <c r="BO1678" s="340" t="s">
        <v>338</v>
      </c>
      <c r="BP1678" s="1385"/>
      <c r="BV1678" s="236">
        <v>9801</v>
      </c>
      <c r="BW1678" s="236" t="s">
        <v>316</v>
      </c>
      <c r="CB1678" s="340">
        <v>106.2</v>
      </c>
      <c r="CC1678" s="340" t="s">
        <v>331</v>
      </c>
      <c r="CL1678" s="236">
        <v>101.05</v>
      </c>
      <c r="CM1678" s="236" t="s">
        <v>316</v>
      </c>
      <c r="CR1678" s="340">
        <v>172</v>
      </c>
      <c r="CS1678" s="340" t="s">
        <v>331</v>
      </c>
      <c r="CT1678" s="1384"/>
      <c r="DF1678" s="340">
        <v>166</v>
      </c>
      <c r="DG1678" s="340" t="s">
        <v>331</v>
      </c>
      <c r="DV1678" s="340">
        <v>199.02</v>
      </c>
      <c r="DW1678" s="340" t="s">
        <v>331</v>
      </c>
      <c r="DX1678" s="1671"/>
    </row>
    <row r="1679" spans="12:128">
      <c r="L1679" s="2481">
        <v>172</v>
      </c>
      <c r="M1679" s="340" t="s">
        <v>331</v>
      </c>
      <c r="N1679" s="1390"/>
      <c r="O1679" s="2479"/>
      <c r="P1679" s="2282"/>
      <c r="AG1679" s="2297">
        <v>194.02</v>
      </c>
      <c r="AH1679" s="2297" t="s">
        <v>331</v>
      </c>
      <c r="AI1679" s="1390"/>
      <c r="AJ1679" s="2282"/>
      <c r="AK1679" s="2282"/>
      <c r="AL1679" s="1037"/>
      <c r="AX1679" s="340">
        <v>106.21</v>
      </c>
      <c r="AY1679" s="340" t="s">
        <v>331</v>
      </c>
      <c r="BN1679" s="340">
        <v>171.19</v>
      </c>
      <c r="BO1679" s="340" t="s">
        <v>338</v>
      </c>
      <c r="BP1679" s="1385"/>
      <c r="BV1679" s="236">
        <v>9802</v>
      </c>
      <c r="BW1679" s="236" t="s">
        <v>316</v>
      </c>
      <c r="CB1679" s="340">
        <v>106.23</v>
      </c>
      <c r="CC1679" s="340" t="s">
        <v>331</v>
      </c>
      <c r="CL1679" s="236">
        <v>101.06</v>
      </c>
      <c r="CM1679" s="236" t="s">
        <v>302</v>
      </c>
      <c r="CR1679" s="340">
        <v>172</v>
      </c>
      <c r="CS1679" s="340" t="s">
        <v>338</v>
      </c>
      <c r="CT1679" s="1384"/>
      <c r="DF1679" s="340">
        <v>167</v>
      </c>
      <c r="DG1679" s="340" t="s">
        <v>331</v>
      </c>
      <c r="DV1679" s="340">
        <v>200.02</v>
      </c>
      <c r="DW1679" s="340" t="s">
        <v>331</v>
      </c>
      <c r="DX1679" s="1671"/>
    </row>
    <row r="1680" spans="12:128">
      <c r="L1680" s="2481">
        <v>173</v>
      </c>
      <c r="M1680" s="340" t="s">
        <v>331</v>
      </c>
      <c r="N1680" s="1390"/>
      <c r="O1680" s="2479"/>
      <c r="P1680" s="2282"/>
      <c r="AG1680" s="2297">
        <v>195.01</v>
      </c>
      <c r="AH1680" s="2297" t="s">
        <v>331</v>
      </c>
      <c r="AI1680" s="1390"/>
      <c r="AJ1680" s="2282"/>
      <c r="AK1680" s="2282"/>
      <c r="AL1680" s="1037"/>
      <c r="AX1680" s="340">
        <v>106.22</v>
      </c>
      <c r="AY1680" s="340" t="s">
        <v>331</v>
      </c>
      <c r="BN1680" s="340">
        <v>171.2</v>
      </c>
      <c r="BO1680" s="340" t="s">
        <v>338</v>
      </c>
      <c r="BP1680" s="1385"/>
      <c r="BV1680" s="236">
        <v>9803</v>
      </c>
      <c r="BW1680" s="236" t="s">
        <v>316</v>
      </c>
      <c r="CB1680" s="340">
        <v>106.24</v>
      </c>
      <c r="CC1680" s="340" t="s">
        <v>331</v>
      </c>
      <c r="CL1680" s="236">
        <v>101.06</v>
      </c>
      <c r="CM1680" s="236" t="s">
        <v>316</v>
      </c>
      <c r="CR1680" s="340">
        <v>173</v>
      </c>
      <c r="CS1680" s="340" t="s">
        <v>331</v>
      </c>
      <c r="CT1680" s="1384"/>
      <c r="DF1680" s="340">
        <v>168</v>
      </c>
      <c r="DG1680" s="340" t="s">
        <v>331</v>
      </c>
      <c r="DV1680" s="340">
        <v>201</v>
      </c>
      <c r="DW1680" s="340" t="s">
        <v>331</v>
      </c>
      <c r="DX1680" s="1671"/>
    </row>
    <row r="1681" spans="12:128">
      <c r="L1681" s="2481">
        <v>174.02</v>
      </c>
      <c r="M1681" s="340" t="s">
        <v>331</v>
      </c>
      <c r="N1681" s="1390"/>
      <c r="O1681" s="2479"/>
      <c r="P1681" s="2282"/>
      <c r="AG1681" s="2297">
        <v>195.02</v>
      </c>
      <c r="AH1681" s="2297" t="s">
        <v>331</v>
      </c>
      <c r="AI1681" s="1390"/>
      <c r="AJ1681" s="2282"/>
      <c r="AK1681" s="2282"/>
      <c r="AL1681" s="1037"/>
      <c r="AX1681" s="340">
        <v>106.23</v>
      </c>
      <c r="AY1681" s="340" t="s">
        <v>331</v>
      </c>
      <c r="BN1681" s="340">
        <v>171.22</v>
      </c>
      <c r="BO1681" s="340" t="s">
        <v>338</v>
      </c>
      <c r="BP1681" s="1385"/>
      <c r="BV1681" s="236">
        <v>9804</v>
      </c>
      <c r="BW1681" s="236" t="s">
        <v>316</v>
      </c>
      <c r="CB1681" s="340">
        <v>106.25</v>
      </c>
      <c r="CC1681" s="340" t="s">
        <v>331</v>
      </c>
      <c r="CL1681" s="236">
        <v>101.06</v>
      </c>
      <c r="CM1681" s="236" t="s">
        <v>323</v>
      </c>
      <c r="CR1681" s="340">
        <v>173.01</v>
      </c>
      <c r="CS1681" s="340" t="s">
        <v>338</v>
      </c>
      <c r="CT1681" s="1384"/>
      <c r="DF1681" s="340">
        <v>169</v>
      </c>
      <c r="DG1681" s="340" t="s">
        <v>331</v>
      </c>
      <c r="DV1681" s="340">
        <v>201.01</v>
      </c>
      <c r="DW1681" s="340" t="s">
        <v>307</v>
      </c>
      <c r="DX1681" s="1671"/>
    </row>
    <row r="1682" spans="12:128">
      <c r="L1682" s="2481">
        <v>176</v>
      </c>
      <c r="M1682" s="340" t="s">
        <v>331</v>
      </c>
      <c r="N1682" s="1390"/>
      <c r="O1682" s="2479"/>
      <c r="P1682" s="2282"/>
      <c r="AG1682" s="2297">
        <v>196</v>
      </c>
      <c r="AH1682" s="2297" t="s">
        <v>331</v>
      </c>
      <c r="AI1682" s="1390"/>
      <c r="AJ1682" s="2282"/>
      <c r="AK1682" s="2282"/>
      <c r="AL1682" s="1037"/>
      <c r="AX1682" s="340">
        <v>106.24</v>
      </c>
      <c r="AY1682" s="340" t="s">
        <v>331</v>
      </c>
      <c r="BN1682" s="340">
        <v>171.23</v>
      </c>
      <c r="BO1682" s="340" t="s">
        <v>338</v>
      </c>
      <c r="BP1682" s="1385"/>
      <c r="BV1682" s="236">
        <v>9805</v>
      </c>
      <c r="BW1682" s="236" t="s">
        <v>316</v>
      </c>
      <c r="CB1682" s="340">
        <v>107.05</v>
      </c>
      <c r="CC1682" s="340" t="s">
        <v>331</v>
      </c>
      <c r="CL1682" s="236">
        <v>101.07</v>
      </c>
      <c r="CM1682" s="236" t="s">
        <v>297</v>
      </c>
      <c r="CR1682" s="340">
        <v>174.02</v>
      </c>
      <c r="CS1682" s="340" t="s">
        <v>331</v>
      </c>
      <c r="CT1682" s="1384"/>
      <c r="DF1682" s="340">
        <v>171.02</v>
      </c>
      <c r="DG1682" s="340" t="s">
        <v>331</v>
      </c>
      <c r="DV1682" s="340">
        <v>201.01</v>
      </c>
      <c r="DW1682" s="340" t="s">
        <v>336</v>
      </c>
      <c r="DX1682" s="1671"/>
    </row>
    <row r="1683" spans="12:128">
      <c r="L1683" s="2481">
        <v>179.01</v>
      </c>
      <c r="M1683" s="340" t="s">
        <v>331</v>
      </c>
      <c r="N1683" s="1390"/>
      <c r="O1683" s="2479"/>
      <c r="P1683" s="2282"/>
      <c r="AG1683" s="2297">
        <v>197</v>
      </c>
      <c r="AH1683" s="2297" t="s">
        <v>331</v>
      </c>
      <c r="AI1683" s="1390"/>
      <c r="AJ1683" s="2282"/>
      <c r="AK1683" s="2282"/>
      <c r="AL1683" s="1037"/>
      <c r="AX1683" s="340">
        <v>106.25</v>
      </c>
      <c r="AY1683" s="340" t="s">
        <v>331</v>
      </c>
      <c r="BN1683" s="340">
        <v>172</v>
      </c>
      <c r="BO1683" s="340" t="s">
        <v>331</v>
      </c>
      <c r="BP1683" s="1385"/>
      <c r="BV1683" s="236">
        <v>9806</v>
      </c>
      <c r="BW1683" s="236" t="s">
        <v>316</v>
      </c>
      <c r="CB1683" s="340">
        <v>107.08</v>
      </c>
      <c r="CC1683" s="340" t="s">
        <v>331</v>
      </c>
      <c r="CL1683" s="236">
        <v>101.07</v>
      </c>
      <c r="CM1683" s="236" t="s">
        <v>302</v>
      </c>
      <c r="CR1683" s="340">
        <v>175.04</v>
      </c>
      <c r="CS1683" s="340" t="s">
        <v>338</v>
      </c>
      <c r="CT1683" s="1384"/>
      <c r="DF1683" s="340">
        <v>172</v>
      </c>
      <c r="DG1683" s="340" t="s">
        <v>331</v>
      </c>
      <c r="DV1683" s="340">
        <v>201.02</v>
      </c>
      <c r="DW1683" s="340" t="s">
        <v>336</v>
      </c>
      <c r="DX1683" s="1671"/>
    </row>
    <row r="1684" spans="12:128">
      <c r="L1684" s="2481">
        <v>179.02</v>
      </c>
      <c r="M1684" s="340" t="s">
        <v>331</v>
      </c>
      <c r="N1684" s="1390"/>
      <c r="O1684" s="2479"/>
      <c r="P1684" s="2282"/>
      <c r="AG1684" s="2297">
        <v>198.01</v>
      </c>
      <c r="AH1684" s="2297" t="s">
        <v>331</v>
      </c>
      <c r="AI1684" s="1390"/>
      <c r="AJ1684" s="2282"/>
      <c r="AK1684" s="2282"/>
      <c r="AL1684" s="1037"/>
      <c r="AX1684" s="340">
        <v>107.05</v>
      </c>
      <c r="AY1684" s="340" t="s">
        <v>331</v>
      </c>
      <c r="BN1684" s="340">
        <v>172</v>
      </c>
      <c r="BO1684" s="340" t="s">
        <v>338</v>
      </c>
      <c r="BP1684" s="1385"/>
      <c r="BV1684" s="236">
        <v>9807</v>
      </c>
      <c r="BW1684" s="236" t="s">
        <v>316</v>
      </c>
      <c r="CB1684" s="340">
        <v>107.09</v>
      </c>
      <c r="CC1684" s="340" t="s">
        <v>331</v>
      </c>
      <c r="CL1684" s="236">
        <v>101.07</v>
      </c>
      <c r="CM1684" s="236" t="s">
        <v>316</v>
      </c>
      <c r="CR1684" s="340">
        <v>175.05</v>
      </c>
      <c r="CS1684" s="340" t="s">
        <v>338</v>
      </c>
      <c r="CT1684" s="1384"/>
      <c r="DF1684" s="340">
        <v>173</v>
      </c>
      <c r="DG1684" s="340" t="s">
        <v>331</v>
      </c>
      <c r="DV1684" s="340">
        <v>201.03</v>
      </c>
      <c r="DW1684" s="340" t="s">
        <v>294</v>
      </c>
      <c r="DX1684" s="1671"/>
    </row>
    <row r="1685" spans="12:128">
      <c r="L1685" s="2481">
        <v>180.01</v>
      </c>
      <c r="M1685" s="340" t="s">
        <v>331</v>
      </c>
      <c r="N1685" s="1390"/>
      <c r="O1685" s="2479"/>
      <c r="P1685" s="2282"/>
      <c r="AG1685" s="2297">
        <v>198.02</v>
      </c>
      <c r="AH1685" s="2297" t="s">
        <v>331</v>
      </c>
      <c r="AI1685" s="1390"/>
      <c r="AJ1685" s="2282"/>
      <c r="AK1685" s="2282"/>
      <c r="AL1685" s="1037"/>
      <c r="AX1685" s="340">
        <v>107.09</v>
      </c>
      <c r="AY1685" s="340" t="s">
        <v>331</v>
      </c>
      <c r="BN1685" s="340">
        <v>173</v>
      </c>
      <c r="BO1685" s="340" t="s">
        <v>302</v>
      </c>
      <c r="BP1685" s="1385"/>
      <c r="BV1685" s="236">
        <v>9900</v>
      </c>
      <c r="BW1685" s="236" t="s">
        <v>316</v>
      </c>
      <c r="CB1685" s="340">
        <v>107.1</v>
      </c>
      <c r="CC1685" s="340" t="s">
        <v>331</v>
      </c>
      <c r="CL1685" s="236">
        <v>101.07</v>
      </c>
      <c r="CM1685" s="236" t="s">
        <v>323</v>
      </c>
      <c r="CR1685" s="340">
        <v>175.06</v>
      </c>
      <c r="CS1685" s="340" t="s">
        <v>338</v>
      </c>
      <c r="CT1685" s="1384"/>
      <c r="DF1685" s="340">
        <v>176</v>
      </c>
      <c r="DG1685" s="340" t="s">
        <v>331</v>
      </c>
      <c r="DV1685" s="340">
        <v>201.03</v>
      </c>
      <c r="DW1685" s="340" t="s">
        <v>307</v>
      </c>
      <c r="DX1685" s="1671"/>
    </row>
    <row r="1686" spans="12:128">
      <c r="L1686" s="2481">
        <v>180.02</v>
      </c>
      <c r="M1686" s="340" t="s">
        <v>331</v>
      </c>
      <c r="N1686" s="1390"/>
      <c r="O1686" s="2479"/>
      <c r="P1686" s="2282"/>
      <c r="AG1686" s="2297">
        <v>199.02</v>
      </c>
      <c r="AH1686" s="2297" t="s">
        <v>331</v>
      </c>
      <c r="AI1686" s="1390"/>
      <c r="AJ1686" s="2282"/>
      <c r="AK1686" s="2282"/>
      <c r="AL1686" s="1037"/>
      <c r="AX1686" s="340">
        <v>107.1</v>
      </c>
      <c r="AY1686" s="340" t="s">
        <v>331</v>
      </c>
      <c r="BN1686" s="340">
        <v>173</v>
      </c>
      <c r="BO1686" s="340" t="s">
        <v>331</v>
      </c>
      <c r="BP1686" s="1385"/>
      <c r="BV1686" s="236">
        <v>9901</v>
      </c>
      <c r="BW1686" s="236" t="s">
        <v>316</v>
      </c>
      <c r="CB1686" s="340">
        <v>110.03</v>
      </c>
      <c r="CC1686" s="340" t="s">
        <v>331</v>
      </c>
      <c r="CL1686" s="236">
        <v>101.08</v>
      </c>
      <c r="CM1686" s="236" t="s">
        <v>297</v>
      </c>
      <c r="CR1686" s="340">
        <v>176</v>
      </c>
      <c r="CS1686" s="340" t="s">
        <v>331</v>
      </c>
      <c r="CT1686" s="1384"/>
      <c r="DF1686" s="340">
        <v>179.01</v>
      </c>
      <c r="DG1686" s="340" t="s">
        <v>331</v>
      </c>
      <c r="DV1686" s="340">
        <v>201.04</v>
      </c>
      <c r="DW1686" s="340" t="s">
        <v>307</v>
      </c>
      <c r="DX1686" s="1671"/>
    </row>
    <row r="1687" spans="12:128">
      <c r="L1687" s="2481">
        <v>180.03</v>
      </c>
      <c r="M1687" s="340" t="s">
        <v>331</v>
      </c>
      <c r="N1687" s="1390"/>
      <c r="O1687" s="2479"/>
      <c r="P1687" s="2282"/>
      <c r="AG1687" s="2297">
        <v>200.01</v>
      </c>
      <c r="AH1687" s="2297" t="s">
        <v>331</v>
      </c>
      <c r="AI1687" s="1390"/>
      <c r="AJ1687" s="2282"/>
      <c r="AK1687" s="2282"/>
      <c r="AL1687" s="1037"/>
      <c r="AX1687" s="340">
        <v>110.03</v>
      </c>
      <c r="AY1687" s="340" t="s">
        <v>331</v>
      </c>
      <c r="BN1687" s="340">
        <v>173.01</v>
      </c>
      <c r="BO1687" s="340" t="s">
        <v>338</v>
      </c>
      <c r="BP1687" s="1385"/>
      <c r="BV1687" s="236">
        <v>501.01</v>
      </c>
      <c r="BW1687" s="236" t="s">
        <v>318</v>
      </c>
      <c r="CB1687" s="340">
        <v>110.08</v>
      </c>
      <c r="CC1687" s="340" t="s">
        <v>331</v>
      </c>
      <c r="CL1687" s="236">
        <v>101.08</v>
      </c>
      <c r="CM1687" s="236" t="s">
        <v>316</v>
      </c>
      <c r="CR1687" s="340">
        <v>177</v>
      </c>
      <c r="CS1687" s="340" t="s">
        <v>331</v>
      </c>
      <c r="CT1687" s="1384"/>
      <c r="DF1687" s="340">
        <v>180.01</v>
      </c>
      <c r="DG1687" s="340" t="s">
        <v>331</v>
      </c>
      <c r="DV1687" s="340">
        <v>201.04</v>
      </c>
      <c r="DW1687" s="340" t="s">
        <v>323</v>
      </c>
      <c r="DX1687" s="1671"/>
    </row>
    <row r="1688" spans="12:128">
      <c r="L1688" s="2481">
        <v>181</v>
      </c>
      <c r="M1688" s="340" t="s">
        <v>331</v>
      </c>
      <c r="N1688" s="1390"/>
      <c r="O1688" s="2479"/>
      <c r="P1688" s="2282"/>
      <c r="AG1688" s="2297">
        <v>200.02</v>
      </c>
      <c r="AH1688" s="2297" t="s">
        <v>331</v>
      </c>
      <c r="AI1688" s="1390"/>
      <c r="AJ1688" s="2282"/>
      <c r="AK1688" s="2282"/>
      <c r="AL1688" s="1037"/>
      <c r="AX1688" s="340">
        <v>110.08</v>
      </c>
      <c r="AY1688" s="340" t="s">
        <v>331</v>
      </c>
      <c r="BN1688" s="340">
        <v>175.06</v>
      </c>
      <c r="BO1688" s="340" t="s">
        <v>338</v>
      </c>
      <c r="BP1688" s="1385"/>
      <c r="BV1688" s="236">
        <v>501.02</v>
      </c>
      <c r="BW1688" s="236" t="s">
        <v>318</v>
      </c>
      <c r="CB1688" s="340">
        <v>110.09</v>
      </c>
      <c r="CC1688" s="340" t="s">
        <v>331</v>
      </c>
      <c r="CL1688" s="236">
        <v>101.08</v>
      </c>
      <c r="CM1688" s="236" t="s">
        <v>323</v>
      </c>
      <c r="CR1688" s="340">
        <v>177.01</v>
      </c>
      <c r="CS1688" s="340" t="s">
        <v>338</v>
      </c>
      <c r="CT1688" s="1384"/>
      <c r="DF1688" s="340">
        <v>180.02</v>
      </c>
      <c r="DG1688" s="340" t="s">
        <v>331</v>
      </c>
      <c r="DV1688" s="340">
        <v>201.05</v>
      </c>
      <c r="DW1688" s="340" t="s">
        <v>342</v>
      </c>
      <c r="DX1688" s="1671"/>
    </row>
    <row r="1689" spans="12:128">
      <c r="L1689" s="2481">
        <v>182</v>
      </c>
      <c r="M1689" s="340" t="s">
        <v>331</v>
      </c>
      <c r="N1689" s="1390"/>
      <c r="O1689" s="2479"/>
      <c r="P1689" s="2282"/>
      <c r="AG1689" s="2297">
        <v>201</v>
      </c>
      <c r="AH1689" s="2297" t="s">
        <v>331</v>
      </c>
      <c r="AI1689" s="1390"/>
      <c r="AJ1689" s="2282"/>
      <c r="AK1689" s="2282"/>
      <c r="AL1689" s="1037"/>
      <c r="AX1689" s="340">
        <v>110.09</v>
      </c>
      <c r="AY1689" s="340" t="s">
        <v>331</v>
      </c>
      <c r="BN1689" s="340">
        <v>176</v>
      </c>
      <c r="BO1689" s="340" t="s">
        <v>331</v>
      </c>
      <c r="BP1689" s="1385"/>
      <c r="BV1689" s="236">
        <v>502.01</v>
      </c>
      <c r="BW1689" s="236" t="s">
        <v>318</v>
      </c>
      <c r="CB1689" s="340">
        <v>110.13</v>
      </c>
      <c r="CC1689" s="340" t="s">
        <v>331</v>
      </c>
      <c r="CL1689" s="236">
        <v>101.09</v>
      </c>
      <c r="CM1689" s="236" t="s">
        <v>297</v>
      </c>
      <c r="CR1689" s="340">
        <v>177.02</v>
      </c>
      <c r="CS1689" s="340" t="s">
        <v>338</v>
      </c>
      <c r="CT1689" s="1384"/>
      <c r="DF1689" s="340">
        <v>180.03</v>
      </c>
      <c r="DG1689" s="340" t="s">
        <v>331</v>
      </c>
      <c r="DV1689" s="340">
        <v>201.06</v>
      </c>
      <c r="DW1689" s="340" t="s">
        <v>342</v>
      </c>
      <c r="DX1689" s="1671"/>
    </row>
    <row r="1690" spans="12:128">
      <c r="L1690" s="2481">
        <v>183</v>
      </c>
      <c r="M1690" s="340" t="s">
        <v>331</v>
      </c>
      <c r="N1690" s="1390"/>
      <c r="O1690" s="2479"/>
      <c r="P1690" s="2282"/>
      <c r="AG1690" s="2297">
        <v>201.01</v>
      </c>
      <c r="AH1690" s="2297" t="s">
        <v>289</v>
      </c>
      <c r="AI1690" s="1390"/>
      <c r="AJ1690" s="2282"/>
      <c r="AK1690" s="2282"/>
      <c r="AL1690" s="1037"/>
      <c r="AX1690" s="340">
        <v>110.13</v>
      </c>
      <c r="AY1690" s="340" t="s">
        <v>331</v>
      </c>
      <c r="BN1690" s="340">
        <v>177</v>
      </c>
      <c r="BO1690" s="340" t="s">
        <v>331</v>
      </c>
      <c r="BP1690" s="1385"/>
      <c r="BV1690" s="236">
        <v>502.02</v>
      </c>
      <c r="BW1690" s="236" t="s">
        <v>318</v>
      </c>
      <c r="CB1690" s="340">
        <v>110.14</v>
      </c>
      <c r="CC1690" s="340" t="s">
        <v>331</v>
      </c>
      <c r="CL1690" s="236">
        <v>101.09</v>
      </c>
      <c r="CM1690" s="236" t="s">
        <v>323</v>
      </c>
      <c r="CR1690" s="340">
        <v>178.05</v>
      </c>
      <c r="CS1690" s="340" t="s">
        <v>338</v>
      </c>
      <c r="CT1690" s="1384"/>
      <c r="DF1690" s="340">
        <v>181</v>
      </c>
      <c r="DG1690" s="340" t="s">
        <v>331</v>
      </c>
      <c r="DV1690" s="340">
        <v>201.07</v>
      </c>
      <c r="DW1690" s="340" t="s">
        <v>342</v>
      </c>
      <c r="DX1690" s="1671"/>
    </row>
    <row r="1691" spans="12:128">
      <c r="L1691" s="2481">
        <v>184</v>
      </c>
      <c r="M1691" s="340" t="s">
        <v>331</v>
      </c>
      <c r="N1691" s="1390"/>
      <c r="O1691" s="2479"/>
      <c r="P1691" s="2282"/>
      <c r="AG1691" s="2297">
        <v>201.01</v>
      </c>
      <c r="AH1691" s="2297" t="s">
        <v>307</v>
      </c>
      <c r="AI1691" s="1390"/>
      <c r="AJ1691" s="2282"/>
      <c r="AK1691" s="2282"/>
      <c r="AL1691" s="1037"/>
      <c r="AX1691" s="340">
        <v>110.14</v>
      </c>
      <c r="AY1691" s="340" t="s">
        <v>331</v>
      </c>
      <c r="BN1691" s="340">
        <v>177.01</v>
      </c>
      <c r="BO1691" s="340" t="s">
        <v>338</v>
      </c>
      <c r="BP1691" s="1385"/>
      <c r="BV1691" s="236">
        <v>503.03</v>
      </c>
      <c r="BW1691" s="236" t="s">
        <v>318</v>
      </c>
      <c r="CB1691" s="340">
        <v>110.15</v>
      </c>
      <c r="CC1691" s="340" t="s">
        <v>331</v>
      </c>
      <c r="CL1691" s="236">
        <v>101.1</v>
      </c>
      <c r="CM1691" s="236" t="s">
        <v>297</v>
      </c>
      <c r="CR1691" s="340">
        <v>178.06</v>
      </c>
      <c r="CS1691" s="340" t="s">
        <v>338</v>
      </c>
      <c r="CT1691" s="1384"/>
      <c r="DF1691" s="340">
        <v>182</v>
      </c>
      <c r="DG1691" s="340" t="s">
        <v>331</v>
      </c>
      <c r="DV1691" s="340">
        <v>201.08</v>
      </c>
      <c r="DW1691" s="340" t="s">
        <v>342</v>
      </c>
      <c r="DX1691" s="1671"/>
    </row>
    <row r="1692" spans="12:128">
      <c r="L1692" s="2481">
        <v>185</v>
      </c>
      <c r="M1692" s="340" t="s">
        <v>331</v>
      </c>
      <c r="N1692" s="1390"/>
      <c r="O1692" s="2479"/>
      <c r="P1692" s="2282"/>
      <c r="AG1692" s="2297">
        <v>201.01</v>
      </c>
      <c r="AH1692" s="2297" t="s">
        <v>336</v>
      </c>
      <c r="AI1692" s="1390"/>
      <c r="AJ1692" s="2282"/>
      <c r="AK1692" s="2282"/>
      <c r="AL1692" s="1037"/>
      <c r="AX1692" s="340">
        <v>110.15</v>
      </c>
      <c r="AY1692" s="340" t="s">
        <v>331</v>
      </c>
      <c r="BN1692" s="340">
        <v>177.02</v>
      </c>
      <c r="BO1692" s="340" t="s">
        <v>338</v>
      </c>
      <c r="BP1692" s="1385"/>
      <c r="BV1692" s="236">
        <v>503.04</v>
      </c>
      <c r="BW1692" s="236" t="s">
        <v>318</v>
      </c>
      <c r="CB1692" s="340">
        <v>111.05</v>
      </c>
      <c r="CC1692" s="340" t="s">
        <v>331</v>
      </c>
      <c r="CL1692" s="236">
        <v>101.1</v>
      </c>
      <c r="CM1692" s="236" t="s">
        <v>323</v>
      </c>
      <c r="CR1692" s="340">
        <v>178.08</v>
      </c>
      <c r="CS1692" s="340" t="s">
        <v>338</v>
      </c>
      <c r="CT1692" s="1384"/>
      <c r="DF1692" s="340">
        <v>183</v>
      </c>
      <c r="DG1692" s="340" t="s">
        <v>331</v>
      </c>
      <c r="DV1692" s="340">
        <v>202</v>
      </c>
      <c r="DW1692" s="340" t="s">
        <v>331</v>
      </c>
      <c r="DX1692" s="1671"/>
    </row>
    <row r="1693" spans="12:128">
      <c r="L1693" s="2481">
        <v>186.01</v>
      </c>
      <c r="M1693" s="340" t="s">
        <v>331</v>
      </c>
      <c r="N1693" s="1390"/>
      <c r="O1693" s="2479"/>
      <c r="P1693" s="2282"/>
      <c r="AG1693" s="2297">
        <v>201.02</v>
      </c>
      <c r="AH1693" s="2297" t="s">
        <v>336</v>
      </c>
      <c r="AI1693" s="1390"/>
      <c r="AJ1693" s="2282"/>
      <c r="AK1693" s="2282"/>
      <c r="AL1693" s="1037"/>
      <c r="AX1693" s="340">
        <v>111.05</v>
      </c>
      <c r="AY1693" s="340" t="s">
        <v>331</v>
      </c>
      <c r="BN1693" s="340">
        <v>178</v>
      </c>
      <c r="BO1693" s="340" t="s">
        <v>331</v>
      </c>
      <c r="BP1693" s="1385"/>
      <c r="BV1693" s="236">
        <v>503.05</v>
      </c>
      <c r="BW1693" s="236" t="s">
        <v>318</v>
      </c>
      <c r="CB1693" s="340">
        <v>111.06</v>
      </c>
      <c r="CC1693" s="340" t="s">
        <v>331</v>
      </c>
      <c r="CL1693" s="236">
        <v>101.11</v>
      </c>
      <c r="CM1693" s="236" t="s">
        <v>297</v>
      </c>
      <c r="CR1693" s="340">
        <v>178.09</v>
      </c>
      <c r="CS1693" s="340" t="s">
        <v>338</v>
      </c>
      <c r="CT1693" s="1384"/>
      <c r="DF1693" s="340">
        <v>184</v>
      </c>
      <c r="DG1693" s="340" t="s">
        <v>331</v>
      </c>
      <c r="DV1693" s="340">
        <v>202</v>
      </c>
      <c r="DW1693" s="340" t="s">
        <v>349</v>
      </c>
      <c r="DX1693" s="1671"/>
    </row>
    <row r="1694" spans="12:128">
      <c r="L1694" s="2481">
        <v>186.02</v>
      </c>
      <c r="M1694" s="340" t="s">
        <v>331</v>
      </c>
      <c r="N1694" s="1390"/>
      <c r="O1694" s="2479"/>
      <c r="P1694" s="2282"/>
      <c r="AG1694" s="2297">
        <v>201.03</v>
      </c>
      <c r="AH1694" s="2297" t="s">
        <v>289</v>
      </c>
      <c r="AI1694" s="1390"/>
      <c r="AJ1694" s="2282"/>
      <c r="AK1694" s="2282"/>
      <c r="AL1694" s="1037"/>
      <c r="AX1694" s="340">
        <v>111.06</v>
      </c>
      <c r="AY1694" s="340" t="s">
        <v>331</v>
      </c>
      <c r="BN1694" s="340">
        <v>178.05</v>
      </c>
      <c r="BO1694" s="340" t="s">
        <v>338</v>
      </c>
      <c r="BP1694" s="1385"/>
      <c r="BV1694" s="236">
        <v>503.06</v>
      </c>
      <c r="BW1694" s="236" t="s">
        <v>318</v>
      </c>
      <c r="CB1694" s="340">
        <v>112.04</v>
      </c>
      <c r="CC1694" s="340" t="s">
        <v>331</v>
      </c>
      <c r="CL1694" s="236">
        <v>101.11</v>
      </c>
      <c r="CM1694" s="236" t="s">
        <v>323</v>
      </c>
      <c r="CR1694" s="340">
        <v>178.1</v>
      </c>
      <c r="CS1694" s="340" t="s">
        <v>338</v>
      </c>
      <c r="CT1694" s="1384"/>
      <c r="DF1694" s="340">
        <v>185</v>
      </c>
      <c r="DG1694" s="340" t="s">
        <v>331</v>
      </c>
      <c r="DV1694" s="340">
        <v>202.01</v>
      </c>
      <c r="DW1694" s="340" t="s">
        <v>342</v>
      </c>
      <c r="DX1694" s="1671"/>
    </row>
    <row r="1695" spans="12:128">
      <c r="L1695" s="2481">
        <v>187</v>
      </c>
      <c r="M1695" s="340" t="s">
        <v>331</v>
      </c>
      <c r="N1695" s="1390"/>
      <c r="O1695" s="2479"/>
      <c r="P1695" s="2282"/>
      <c r="AG1695" s="2297">
        <v>201.03</v>
      </c>
      <c r="AH1695" s="2297" t="s">
        <v>294</v>
      </c>
      <c r="AI1695" s="1390"/>
      <c r="AJ1695" s="2282"/>
      <c r="AK1695" s="2282"/>
      <c r="AL1695" s="1037"/>
      <c r="AX1695" s="340">
        <v>112.04</v>
      </c>
      <c r="AY1695" s="340" t="s">
        <v>331</v>
      </c>
      <c r="BN1695" s="340">
        <v>178.06</v>
      </c>
      <c r="BO1695" s="340" t="s">
        <v>338</v>
      </c>
      <c r="BP1695" s="1385"/>
      <c r="BV1695" s="236">
        <v>504.01</v>
      </c>
      <c r="BW1695" s="236" t="s">
        <v>318</v>
      </c>
      <c r="CB1695" s="340">
        <v>112.06</v>
      </c>
      <c r="CC1695" s="340" t="s">
        <v>331</v>
      </c>
      <c r="CL1695" s="236">
        <v>101.12</v>
      </c>
      <c r="CM1695" s="236" t="s">
        <v>297</v>
      </c>
      <c r="CR1695" s="340">
        <v>178.11</v>
      </c>
      <c r="CS1695" s="340" t="s">
        <v>338</v>
      </c>
      <c r="CT1695" s="1384"/>
      <c r="DF1695" s="340">
        <v>186.01</v>
      </c>
      <c r="DG1695" s="340" t="s">
        <v>331</v>
      </c>
      <c r="DV1695" s="340">
        <v>202.02</v>
      </c>
      <c r="DW1695" s="340" t="s">
        <v>323</v>
      </c>
      <c r="DX1695" s="1671"/>
    </row>
    <row r="1696" spans="12:128">
      <c r="L1696" s="2481">
        <v>188.01</v>
      </c>
      <c r="M1696" s="340" t="s">
        <v>331</v>
      </c>
      <c r="N1696" s="1390"/>
      <c r="O1696" s="2479"/>
      <c r="P1696" s="2282"/>
      <c r="AG1696" s="2297">
        <v>201.03</v>
      </c>
      <c r="AH1696" s="2297" t="s">
        <v>307</v>
      </c>
      <c r="AI1696" s="1390"/>
      <c r="AJ1696" s="2282"/>
      <c r="AK1696" s="2282"/>
      <c r="AL1696" s="1037"/>
      <c r="AX1696" s="340">
        <v>112.06</v>
      </c>
      <c r="AY1696" s="340" t="s">
        <v>331</v>
      </c>
      <c r="BN1696" s="340">
        <v>178.07</v>
      </c>
      <c r="BO1696" s="340" t="s">
        <v>338</v>
      </c>
      <c r="BP1696" s="1385"/>
      <c r="BV1696" s="236">
        <v>504.02</v>
      </c>
      <c r="BW1696" s="236" t="s">
        <v>318</v>
      </c>
      <c r="CB1696" s="340">
        <v>114.1</v>
      </c>
      <c r="CC1696" s="340" t="s">
        <v>331</v>
      </c>
      <c r="CL1696" s="236">
        <v>101.12</v>
      </c>
      <c r="CM1696" s="236" t="s">
        <v>323</v>
      </c>
      <c r="CR1696" s="340">
        <v>178.12</v>
      </c>
      <c r="CS1696" s="340" t="s">
        <v>338</v>
      </c>
      <c r="CT1696" s="1384"/>
      <c r="DF1696" s="340">
        <v>186.02</v>
      </c>
      <c r="DG1696" s="340" t="s">
        <v>331</v>
      </c>
      <c r="DV1696" s="340">
        <v>202.02</v>
      </c>
      <c r="DW1696" s="340" t="s">
        <v>342</v>
      </c>
      <c r="DX1696" s="1671"/>
    </row>
    <row r="1697" spans="12:128">
      <c r="L1697" s="2481">
        <v>188.03</v>
      </c>
      <c r="M1697" s="340" t="s">
        <v>331</v>
      </c>
      <c r="N1697" s="1390"/>
      <c r="O1697" s="2479"/>
      <c r="P1697" s="2282"/>
      <c r="AG1697" s="2297">
        <v>201.04</v>
      </c>
      <c r="AH1697" s="2297" t="s">
        <v>294</v>
      </c>
      <c r="AI1697" s="1390"/>
      <c r="AJ1697" s="2282"/>
      <c r="AK1697" s="2282"/>
      <c r="AL1697" s="1037"/>
      <c r="AX1697" s="340">
        <v>114.09</v>
      </c>
      <c r="AY1697" s="340" t="s">
        <v>331</v>
      </c>
      <c r="BN1697" s="340">
        <v>178.08</v>
      </c>
      <c r="BO1697" s="340" t="s">
        <v>338</v>
      </c>
      <c r="BP1697" s="1385"/>
      <c r="BV1697" s="236">
        <v>505.04</v>
      </c>
      <c r="BW1697" s="236" t="s">
        <v>318</v>
      </c>
      <c r="CB1697" s="340">
        <v>114.11</v>
      </c>
      <c r="CC1697" s="340" t="s">
        <v>331</v>
      </c>
      <c r="CL1697" s="236">
        <v>101.13</v>
      </c>
      <c r="CM1697" s="236" t="s">
        <v>297</v>
      </c>
      <c r="CR1697" s="340">
        <v>178.13</v>
      </c>
      <c r="CS1697" s="340" t="s">
        <v>338</v>
      </c>
      <c r="CT1697" s="1384"/>
      <c r="DF1697" s="340">
        <v>187</v>
      </c>
      <c r="DG1697" s="340" t="s">
        <v>331</v>
      </c>
      <c r="DV1697" s="340">
        <v>202.04</v>
      </c>
      <c r="DW1697" s="340" t="s">
        <v>289</v>
      </c>
      <c r="DX1697" s="1671"/>
    </row>
    <row r="1698" spans="12:128">
      <c r="L1698" s="2481">
        <v>189.01</v>
      </c>
      <c r="M1698" s="340" t="s">
        <v>331</v>
      </c>
      <c r="N1698" s="1390"/>
      <c r="O1698" s="2479"/>
      <c r="P1698" s="2282"/>
      <c r="AG1698" s="2297">
        <v>201.04</v>
      </c>
      <c r="AH1698" s="2297" t="s">
        <v>307</v>
      </c>
      <c r="AI1698" s="1390"/>
      <c r="AJ1698" s="2282"/>
      <c r="AK1698" s="2282"/>
      <c r="AL1698" s="1037"/>
      <c r="AX1698" s="340">
        <v>114.1</v>
      </c>
      <c r="AY1698" s="340" t="s">
        <v>331</v>
      </c>
      <c r="BN1698" s="340">
        <v>178.09</v>
      </c>
      <c r="BO1698" s="340" t="s">
        <v>338</v>
      </c>
      <c r="BP1698" s="1385"/>
      <c r="BV1698" s="236">
        <v>505.05</v>
      </c>
      <c r="BW1698" s="236" t="s">
        <v>318</v>
      </c>
      <c r="CB1698" s="340">
        <v>114.12</v>
      </c>
      <c r="CC1698" s="340" t="s">
        <v>331</v>
      </c>
      <c r="CL1698" s="236">
        <v>101.13</v>
      </c>
      <c r="CM1698" s="236" t="s">
        <v>323</v>
      </c>
      <c r="CR1698" s="340">
        <v>178.14</v>
      </c>
      <c r="CS1698" s="340" t="s">
        <v>338</v>
      </c>
      <c r="CT1698" s="1384"/>
      <c r="DF1698" s="340">
        <v>188.01</v>
      </c>
      <c r="DG1698" s="340" t="s">
        <v>331</v>
      </c>
      <c r="DV1698" s="340">
        <v>202.04</v>
      </c>
      <c r="DW1698" s="340" t="s">
        <v>294</v>
      </c>
      <c r="DX1698" s="1671"/>
    </row>
    <row r="1699" spans="12:128">
      <c r="L1699" s="2481">
        <v>189.02</v>
      </c>
      <c r="M1699" s="340" t="s">
        <v>331</v>
      </c>
      <c r="N1699" s="1390"/>
      <c r="O1699" s="2479"/>
      <c r="P1699" s="2282"/>
      <c r="AG1699" s="2297">
        <v>201.04</v>
      </c>
      <c r="AH1699" s="2297" t="s">
        <v>323</v>
      </c>
      <c r="AI1699" s="1390"/>
      <c r="AJ1699" s="2282"/>
      <c r="AK1699" s="2282"/>
      <c r="AL1699" s="1037"/>
      <c r="AX1699" s="340">
        <v>114.11</v>
      </c>
      <c r="AY1699" s="340" t="s">
        <v>331</v>
      </c>
      <c r="BN1699" s="340">
        <v>178.11</v>
      </c>
      <c r="BO1699" s="340" t="s">
        <v>338</v>
      </c>
      <c r="BP1699" s="1385"/>
      <c r="BV1699" s="236">
        <v>505.06</v>
      </c>
      <c r="BW1699" s="236" t="s">
        <v>318</v>
      </c>
      <c r="CB1699" s="340">
        <v>115</v>
      </c>
      <c r="CC1699" s="340" t="s">
        <v>331</v>
      </c>
      <c r="CL1699" s="236">
        <v>101.14</v>
      </c>
      <c r="CM1699" s="236" t="s">
        <v>297</v>
      </c>
      <c r="CR1699" s="340">
        <v>179.01</v>
      </c>
      <c r="CS1699" s="340" t="s">
        <v>331</v>
      </c>
      <c r="CT1699" s="1384"/>
      <c r="DF1699" s="340">
        <v>188.02</v>
      </c>
      <c r="DG1699" s="340" t="s">
        <v>331</v>
      </c>
      <c r="DV1699" s="340">
        <v>202.05</v>
      </c>
      <c r="DW1699" s="340" t="s">
        <v>294</v>
      </c>
      <c r="DX1699" s="1671"/>
    </row>
    <row r="1700" spans="12:128">
      <c r="L1700" s="2481">
        <v>190</v>
      </c>
      <c r="M1700" s="340" t="s">
        <v>331</v>
      </c>
      <c r="N1700" s="1390"/>
      <c r="O1700" s="2479"/>
      <c r="P1700" s="2282"/>
      <c r="AG1700" s="2297">
        <v>201.05</v>
      </c>
      <c r="AH1700" s="2297" t="s">
        <v>342</v>
      </c>
      <c r="AI1700" s="1390"/>
      <c r="AJ1700" s="2282"/>
      <c r="AK1700" s="2282"/>
      <c r="AL1700" s="1037"/>
      <c r="AX1700" s="340">
        <v>114.12</v>
      </c>
      <c r="AY1700" s="340" t="s">
        <v>331</v>
      </c>
      <c r="BN1700" s="340">
        <v>178.12</v>
      </c>
      <c r="BO1700" s="340" t="s">
        <v>338</v>
      </c>
      <c r="BP1700" s="1385"/>
      <c r="BV1700" s="236">
        <v>505.07</v>
      </c>
      <c r="BW1700" s="236" t="s">
        <v>318</v>
      </c>
      <c r="CB1700" s="340">
        <v>116.01</v>
      </c>
      <c r="CC1700" s="340" t="s">
        <v>331</v>
      </c>
      <c r="CL1700" s="236">
        <v>101.93</v>
      </c>
      <c r="CM1700" s="236" t="s">
        <v>331</v>
      </c>
      <c r="CR1700" s="340">
        <v>179.01</v>
      </c>
      <c r="CS1700" s="340" t="s">
        <v>338</v>
      </c>
      <c r="CT1700" s="1384"/>
      <c r="DF1700" s="340">
        <v>188.03</v>
      </c>
      <c r="DG1700" s="340" t="s">
        <v>331</v>
      </c>
      <c r="DV1700" s="340">
        <v>202.06</v>
      </c>
      <c r="DW1700" s="340" t="s">
        <v>294</v>
      </c>
      <c r="DX1700" s="1671"/>
    </row>
    <row r="1701" spans="12:128">
      <c r="L1701" s="2481">
        <v>191</v>
      </c>
      <c r="M1701" s="340" t="s">
        <v>331</v>
      </c>
      <c r="N1701" s="1390"/>
      <c r="O1701" s="2479"/>
      <c r="P1701" s="2282"/>
      <c r="AG1701" s="2297">
        <v>201.06</v>
      </c>
      <c r="AH1701" s="2297" t="s">
        <v>342</v>
      </c>
      <c r="AI1701" s="1390"/>
      <c r="AJ1701" s="2282"/>
      <c r="AK1701" s="2282"/>
      <c r="AL1701" s="1037"/>
      <c r="AX1701" s="340">
        <v>115</v>
      </c>
      <c r="AY1701" s="340" t="s">
        <v>331</v>
      </c>
      <c r="BN1701" s="340">
        <v>178.13</v>
      </c>
      <c r="BO1701" s="340" t="s">
        <v>338</v>
      </c>
      <c r="BP1701" s="1385"/>
      <c r="BV1701" s="236">
        <v>505.08</v>
      </c>
      <c r="BW1701" s="236" t="s">
        <v>318</v>
      </c>
      <c r="CB1701" s="340">
        <v>116.02</v>
      </c>
      <c r="CC1701" s="340" t="s">
        <v>331</v>
      </c>
      <c r="CL1701" s="236">
        <v>101.98</v>
      </c>
      <c r="CM1701" s="236" t="s">
        <v>331</v>
      </c>
      <c r="CR1701" s="340">
        <v>179.02</v>
      </c>
      <c r="CS1701" s="340" t="s">
        <v>331</v>
      </c>
      <c r="CT1701" s="1384"/>
      <c r="DF1701" s="340">
        <v>189.01</v>
      </c>
      <c r="DG1701" s="340" t="s">
        <v>331</v>
      </c>
      <c r="DV1701" s="340">
        <v>202.07</v>
      </c>
      <c r="DW1701" s="340" t="s">
        <v>342</v>
      </c>
      <c r="DX1701" s="1671"/>
    </row>
    <row r="1702" spans="12:128">
      <c r="L1702" s="2481">
        <v>192</v>
      </c>
      <c r="M1702" s="340" t="s">
        <v>331</v>
      </c>
      <c r="N1702" s="1390"/>
      <c r="O1702" s="2479"/>
      <c r="P1702" s="2282"/>
      <c r="AG1702" s="2297">
        <v>201.07</v>
      </c>
      <c r="AH1702" s="2297" t="s">
        <v>342</v>
      </c>
      <c r="AI1702" s="1390"/>
      <c r="AJ1702" s="2282"/>
      <c r="AK1702" s="2282"/>
      <c r="AL1702" s="1037"/>
      <c r="AX1702" s="340">
        <v>116.02</v>
      </c>
      <c r="AY1702" s="340" t="s">
        <v>331</v>
      </c>
      <c r="BN1702" s="340">
        <v>178.14</v>
      </c>
      <c r="BO1702" s="340" t="s">
        <v>338</v>
      </c>
      <c r="BP1702" s="1385"/>
      <c r="BV1702" s="236">
        <v>505.09</v>
      </c>
      <c r="BW1702" s="236" t="s">
        <v>318</v>
      </c>
      <c r="CB1702" s="340">
        <v>117.01</v>
      </c>
      <c r="CC1702" s="340" t="s">
        <v>331</v>
      </c>
      <c r="CL1702" s="338">
        <v>102</v>
      </c>
      <c r="CM1702" s="338" t="s">
        <v>294</v>
      </c>
      <c r="CR1702" s="340">
        <v>180.01</v>
      </c>
      <c r="CS1702" s="340" t="s">
        <v>331</v>
      </c>
      <c r="CT1702" s="1384"/>
      <c r="DF1702" s="340">
        <v>189.02</v>
      </c>
      <c r="DG1702" s="340" t="s">
        <v>331</v>
      </c>
      <c r="DV1702" s="340">
        <v>202.1</v>
      </c>
      <c r="DW1702" s="340" t="s">
        <v>289</v>
      </c>
      <c r="DX1702" s="1671"/>
    </row>
    <row r="1703" spans="12:128">
      <c r="L1703" s="2481">
        <v>193.01</v>
      </c>
      <c r="M1703" s="340" t="s">
        <v>331</v>
      </c>
      <c r="N1703" s="1390"/>
      <c r="O1703" s="2479"/>
      <c r="P1703" s="2282"/>
      <c r="AG1703" s="2297">
        <v>201.08</v>
      </c>
      <c r="AH1703" s="2297" t="s">
        <v>342</v>
      </c>
      <c r="AI1703" s="1390"/>
      <c r="AJ1703" s="2282"/>
      <c r="AK1703" s="2282"/>
      <c r="AL1703" s="1037"/>
      <c r="AX1703" s="340">
        <v>118</v>
      </c>
      <c r="AY1703" s="340" t="s">
        <v>331</v>
      </c>
      <c r="BN1703" s="340">
        <v>179.01</v>
      </c>
      <c r="BO1703" s="340" t="s">
        <v>331</v>
      </c>
      <c r="BP1703" s="1385"/>
      <c r="BV1703" s="236">
        <v>506.01</v>
      </c>
      <c r="BW1703" s="236" t="s">
        <v>318</v>
      </c>
      <c r="CB1703" s="340">
        <v>118</v>
      </c>
      <c r="CC1703" s="340" t="s">
        <v>331</v>
      </c>
      <c r="CL1703" s="236">
        <v>102</v>
      </c>
      <c r="CM1703" s="236" t="s">
        <v>346</v>
      </c>
      <c r="CR1703" s="340">
        <v>180.02</v>
      </c>
      <c r="CS1703" s="340" t="s">
        <v>331</v>
      </c>
      <c r="CT1703" s="1384"/>
      <c r="DF1703" s="340">
        <v>190</v>
      </c>
      <c r="DG1703" s="340" t="s">
        <v>331</v>
      </c>
      <c r="DV1703" s="340">
        <v>203</v>
      </c>
      <c r="DW1703" s="340" t="s">
        <v>331</v>
      </c>
      <c r="DX1703" s="1671"/>
    </row>
    <row r="1704" spans="12:128">
      <c r="L1704" s="2481">
        <v>193.02</v>
      </c>
      <c r="M1704" s="340" t="s">
        <v>331</v>
      </c>
      <c r="N1704" s="1390"/>
      <c r="O1704" s="2479"/>
      <c r="P1704" s="2282"/>
      <c r="AG1704" s="2297">
        <v>202</v>
      </c>
      <c r="AH1704" s="2297" t="s">
        <v>331</v>
      </c>
      <c r="AI1704" s="1390"/>
      <c r="AJ1704" s="2282"/>
      <c r="AK1704" s="2282"/>
      <c r="AL1704" s="1037"/>
      <c r="AX1704" s="340">
        <v>119</v>
      </c>
      <c r="AY1704" s="340" t="s">
        <v>331</v>
      </c>
      <c r="BN1704" s="340">
        <v>179.01</v>
      </c>
      <c r="BO1704" s="340" t="s">
        <v>338</v>
      </c>
      <c r="BP1704" s="1385"/>
      <c r="BV1704" s="236">
        <v>506.02</v>
      </c>
      <c r="BW1704" s="236" t="s">
        <v>318</v>
      </c>
      <c r="CB1704" s="340">
        <v>119</v>
      </c>
      <c r="CC1704" s="340" t="s">
        <v>331</v>
      </c>
      <c r="CL1704" s="338">
        <v>102.01</v>
      </c>
      <c r="CM1704" s="338" t="s">
        <v>289</v>
      </c>
      <c r="CR1704" s="340">
        <v>180.03</v>
      </c>
      <c r="CS1704" s="340" t="s">
        <v>331</v>
      </c>
      <c r="CT1704" s="1384"/>
      <c r="DF1704" s="340">
        <v>191</v>
      </c>
      <c r="DG1704" s="340" t="s">
        <v>331</v>
      </c>
      <c r="DV1704" s="340">
        <v>203.01</v>
      </c>
      <c r="DW1704" s="340" t="s">
        <v>342</v>
      </c>
      <c r="DX1704" s="1671"/>
    </row>
    <row r="1705" spans="12:128">
      <c r="L1705" s="2481">
        <v>194.01</v>
      </c>
      <c r="M1705" s="340" t="s">
        <v>331</v>
      </c>
      <c r="N1705" s="1390"/>
      <c r="O1705" s="2479"/>
      <c r="P1705" s="2282"/>
      <c r="AG1705" s="2297">
        <v>202</v>
      </c>
      <c r="AH1705" s="2297" t="s">
        <v>349</v>
      </c>
      <c r="AI1705" s="1390"/>
      <c r="AJ1705" s="2282"/>
      <c r="AK1705" s="2282"/>
      <c r="AL1705" s="1037"/>
      <c r="AX1705" s="340">
        <v>121.01</v>
      </c>
      <c r="AY1705" s="340" t="s">
        <v>331</v>
      </c>
      <c r="BN1705" s="340">
        <v>179.02</v>
      </c>
      <c r="BO1705" s="340" t="s">
        <v>331</v>
      </c>
      <c r="BP1705" s="1385"/>
      <c r="BV1705" s="236">
        <v>506.03</v>
      </c>
      <c r="BW1705" s="236" t="s">
        <v>318</v>
      </c>
      <c r="CB1705" s="340">
        <v>121.01</v>
      </c>
      <c r="CC1705" s="340" t="s">
        <v>331</v>
      </c>
      <c r="CL1705" s="236">
        <v>102.01</v>
      </c>
      <c r="CM1705" s="236" t="s">
        <v>331</v>
      </c>
      <c r="CR1705" s="340">
        <v>181</v>
      </c>
      <c r="CS1705" s="340" t="s">
        <v>331</v>
      </c>
      <c r="CT1705" s="1384"/>
      <c r="DF1705" s="340">
        <v>192</v>
      </c>
      <c r="DG1705" s="340" t="s">
        <v>331</v>
      </c>
      <c r="DV1705" s="340">
        <v>203.02</v>
      </c>
      <c r="DW1705" s="340" t="s">
        <v>342</v>
      </c>
      <c r="DX1705" s="1671"/>
    </row>
    <row r="1706" spans="12:128">
      <c r="L1706" s="2481">
        <v>194.02</v>
      </c>
      <c r="M1706" s="340" t="s">
        <v>331</v>
      </c>
      <c r="N1706" s="1390"/>
      <c r="O1706" s="2479"/>
      <c r="P1706" s="2282"/>
      <c r="AG1706" s="2297">
        <v>202.01</v>
      </c>
      <c r="AH1706" s="2297" t="s">
        <v>342</v>
      </c>
      <c r="AI1706" s="1390"/>
      <c r="AJ1706" s="2282"/>
      <c r="AK1706" s="2282"/>
      <c r="AL1706" s="1037"/>
      <c r="AX1706" s="340">
        <v>121.02</v>
      </c>
      <c r="AY1706" s="340" t="s">
        <v>331</v>
      </c>
      <c r="BN1706" s="340">
        <v>180.01</v>
      </c>
      <c r="BO1706" s="340" t="s">
        <v>331</v>
      </c>
      <c r="BP1706" s="1385"/>
      <c r="BV1706" s="236">
        <v>506.04</v>
      </c>
      <c r="BW1706" s="236" t="s">
        <v>318</v>
      </c>
      <c r="CB1706" s="340">
        <v>121.02</v>
      </c>
      <c r="CC1706" s="340" t="s">
        <v>331</v>
      </c>
      <c r="CL1706" s="236">
        <v>102.01</v>
      </c>
      <c r="CM1706" s="236" t="s">
        <v>338</v>
      </c>
      <c r="CR1706" s="340">
        <v>181</v>
      </c>
      <c r="CS1706" s="340" t="s">
        <v>338</v>
      </c>
      <c r="CT1706" s="1384"/>
      <c r="DF1706" s="340">
        <v>193.01</v>
      </c>
      <c r="DG1706" s="340" t="s">
        <v>331</v>
      </c>
      <c r="DV1706" s="340">
        <v>203.03</v>
      </c>
      <c r="DW1706" s="340" t="s">
        <v>336</v>
      </c>
      <c r="DX1706" s="1671"/>
    </row>
    <row r="1707" spans="12:128">
      <c r="L1707" s="2481">
        <v>195.01</v>
      </c>
      <c r="M1707" s="340" t="s">
        <v>331</v>
      </c>
      <c r="N1707" s="1390"/>
      <c r="O1707" s="2479"/>
      <c r="P1707" s="2282"/>
      <c r="AG1707" s="2297">
        <v>202.01</v>
      </c>
      <c r="AH1707" s="2297" t="s">
        <v>348</v>
      </c>
      <c r="AI1707" s="1390"/>
      <c r="AJ1707" s="2282"/>
      <c r="AK1707" s="2282"/>
      <c r="AL1707" s="1037"/>
      <c r="AX1707" s="340">
        <v>121.04</v>
      </c>
      <c r="AY1707" s="340" t="s">
        <v>331</v>
      </c>
      <c r="BN1707" s="340">
        <v>180.02</v>
      </c>
      <c r="BO1707" s="340" t="s">
        <v>331</v>
      </c>
      <c r="BP1707" s="1385"/>
      <c r="BV1707" s="236">
        <v>506.05</v>
      </c>
      <c r="BW1707" s="236" t="s">
        <v>318</v>
      </c>
      <c r="CB1707" s="340">
        <v>121.03</v>
      </c>
      <c r="CC1707" s="340" t="s">
        <v>331</v>
      </c>
      <c r="CL1707" s="338">
        <v>102.02</v>
      </c>
      <c r="CM1707" s="338" t="s">
        <v>289</v>
      </c>
      <c r="CR1707" s="340">
        <v>182</v>
      </c>
      <c r="CS1707" s="340" t="s">
        <v>331</v>
      </c>
      <c r="CT1707" s="1384"/>
      <c r="DF1707" s="340">
        <v>193.02</v>
      </c>
      <c r="DG1707" s="340" t="s">
        <v>331</v>
      </c>
      <c r="DV1707" s="340">
        <v>203.04</v>
      </c>
      <c r="DW1707" s="340" t="s">
        <v>336</v>
      </c>
      <c r="DX1707" s="1671"/>
    </row>
    <row r="1708" spans="12:128">
      <c r="L1708" s="2481">
        <v>195.02</v>
      </c>
      <c r="M1708" s="340" t="s">
        <v>331</v>
      </c>
      <c r="N1708" s="1390"/>
      <c r="O1708" s="2479"/>
      <c r="P1708" s="2282"/>
      <c r="AG1708" s="2297">
        <v>202.02</v>
      </c>
      <c r="AH1708" s="2297" t="s">
        <v>323</v>
      </c>
      <c r="AI1708" s="1390"/>
      <c r="AJ1708" s="2282"/>
      <c r="AK1708" s="2282"/>
      <c r="AL1708" s="1037"/>
      <c r="AX1708" s="340">
        <v>121.05</v>
      </c>
      <c r="AY1708" s="340" t="s">
        <v>331</v>
      </c>
      <c r="BN1708" s="340">
        <v>180.03</v>
      </c>
      <c r="BO1708" s="340" t="s">
        <v>331</v>
      </c>
      <c r="BP1708" s="1385"/>
      <c r="BV1708" s="236">
        <v>506.07</v>
      </c>
      <c r="BW1708" s="236" t="s">
        <v>318</v>
      </c>
      <c r="CB1708" s="340">
        <v>121.05</v>
      </c>
      <c r="CC1708" s="340" t="s">
        <v>331</v>
      </c>
      <c r="CL1708" s="236">
        <v>102.02</v>
      </c>
      <c r="CM1708" s="236" t="s">
        <v>302</v>
      </c>
      <c r="CR1708" s="340">
        <v>182.01</v>
      </c>
      <c r="CS1708" s="340" t="s">
        <v>338</v>
      </c>
      <c r="CT1708" s="1384"/>
      <c r="DF1708" s="340">
        <v>194.01</v>
      </c>
      <c r="DG1708" s="340" t="s">
        <v>331</v>
      </c>
      <c r="DV1708" s="340">
        <v>203.05</v>
      </c>
      <c r="DW1708" s="340" t="s">
        <v>336</v>
      </c>
      <c r="DX1708" s="1671"/>
    </row>
    <row r="1709" spans="12:128">
      <c r="L1709" s="2481">
        <v>196</v>
      </c>
      <c r="M1709" s="340" t="s">
        <v>331</v>
      </c>
      <c r="N1709" s="1390"/>
      <c r="O1709" s="2479"/>
      <c r="P1709" s="2282"/>
      <c r="AG1709" s="2297">
        <v>202.02</v>
      </c>
      <c r="AH1709" s="2297" t="s">
        <v>342</v>
      </c>
      <c r="AI1709" s="1390"/>
      <c r="AJ1709" s="2282"/>
      <c r="AK1709" s="2282"/>
      <c r="AL1709" s="1037"/>
      <c r="AX1709" s="340">
        <v>122</v>
      </c>
      <c r="AY1709" s="340" t="s">
        <v>331</v>
      </c>
      <c r="BN1709" s="340">
        <v>181</v>
      </c>
      <c r="BO1709" s="340" t="s">
        <v>331</v>
      </c>
      <c r="BP1709" s="1385"/>
      <c r="BV1709" s="236">
        <v>506.08</v>
      </c>
      <c r="BW1709" s="236" t="s">
        <v>318</v>
      </c>
      <c r="CB1709" s="340">
        <v>122</v>
      </c>
      <c r="CC1709" s="340" t="s">
        <v>331</v>
      </c>
      <c r="CL1709" s="236">
        <v>102.02</v>
      </c>
      <c r="CM1709" s="236" t="s">
        <v>338</v>
      </c>
      <c r="CR1709" s="340">
        <v>182.02</v>
      </c>
      <c r="CS1709" s="340" t="s">
        <v>338</v>
      </c>
      <c r="CT1709" s="1384"/>
      <c r="DF1709" s="340">
        <v>194.02</v>
      </c>
      <c r="DG1709" s="340" t="s">
        <v>331</v>
      </c>
      <c r="DV1709" s="340">
        <v>203.06</v>
      </c>
      <c r="DW1709" s="340" t="s">
        <v>336</v>
      </c>
      <c r="DX1709" s="1671"/>
    </row>
    <row r="1710" spans="12:128">
      <c r="L1710" s="2481">
        <v>197</v>
      </c>
      <c r="M1710" s="340" t="s">
        <v>331</v>
      </c>
      <c r="N1710" s="1390"/>
      <c r="O1710" s="2479"/>
      <c r="P1710" s="2282"/>
      <c r="AG1710" s="2297">
        <v>202.03</v>
      </c>
      <c r="AH1710" s="2297" t="s">
        <v>294</v>
      </c>
      <c r="AI1710" s="1390"/>
      <c r="AJ1710" s="2282"/>
      <c r="AK1710" s="2282"/>
      <c r="AL1710" s="1037"/>
      <c r="AX1710" s="340">
        <v>123.01</v>
      </c>
      <c r="AY1710" s="340" t="s">
        <v>331</v>
      </c>
      <c r="BN1710" s="340">
        <v>181</v>
      </c>
      <c r="BO1710" s="340" t="s">
        <v>338</v>
      </c>
      <c r="BP1710" s="1385"/>
      <c r="BV1710" s="236">
        <v>507.02</v>
      </c>
      <c r="BW1710" s="236" t="s">
        <v>318</v>
      </c>
      <c r="CB1710" s="340">
        <v>123.01</v>
      </c>
      <c r="CC1710" s="340" t="s">
        <v>331</v>
      </c>
      <c r="CL1710" s="236">
        <v>102.03</v>
      </c>
      <c r="CM1710" s="236" t="s">
        <v>302</v>
      </c>
      <c r="CR1710" s="340">
        <v>182.04</v>
      </c>
      <c r="CS1710" s="340" t="s">
        <v>338</v>
      </c>
      <c r="CT1710" s="1384"/>
      <c r="DF1710" s="340">
        <v>195.01</v>
      </c>
      <c r="DG1710" s="340" t="s">
        <v>331</v>
      </c>
      <c r="DV1710" s="340">
        <v>203.09</v>
      </c>
      <c r="DW1710" s="340" t="s">
        <v>289</v>
      </c>
      <c r="DX1710" s="1671"/>
    </row>
    <row r="1711" spans="12:128">
      <c r="L1711" s="2481">
        <v>198.01</v>
      </c>
      <c r="M1711" s="340" t="s">
        <v>331</v>
      </c>
      <c r="N1711" s="1390"/>
      <c r="O1711" s="2479"/>
      <c r="P1711" s="2282"/>
      <c r="AG1711" s="2297">
        <v>202.04</v>
      </c>
      <c r="AH1711" s="2297" t="s">
        <v>289</v>
      </c>
      <c r="AI1711" s="1390"/>
      <c r="AJ1711" s="2282"/>
      <c r="AK1711" s="2282"/>
      <c r="AL1711" s="1037"/>
      <c r="AX1711" s="340">
        <v>123.02</v>
      </c>
      <c r="AY1711" s="340" t="s">
        <v>331</v>
      </c>
      <c r="BN1711" s="340">
        <v>182</v>
      </c>
      <c r="BO1711" s="340" t="s">
        <v>331</v>
      </c>
      <c r="BP1711" s="1385"/>
      <c r="BV1711" s="236">
        <v>507.04</v>
      </c>
      <c r="BW1711" s="236" t="s">
        <v>318</v>
      </c>
      <c r="CB1711" s="340">
        <v>123.02</v>
      </c>
      <c r="CC1711" s="340" t="s">
        <v>331</v>
      </c>
      <c r="CL1711" s="236">
        <v>102.03</v>
      </c>
      <c r="CM1711" s="236" t="s">
        <v>316</v>
      </c>
      <c r="CR1711" s="340">
        <v>183</v>
      </c>
      <c r="CS1711" s="340" t="s">
        <v>331</v>
      </c>
      <c r="CT1711" s="1384"/>
      <c r="DF1711" s="340">
        <v>195.02</v>
      </c>
      <c r="DG1711" s="340" t="s">
        <v>331</v>
      </c>
      <c r="DV1711" s="340">
        <v>203.12</v>
      </c>
      <c r="DW1711" s="340" t="s">
        <v>289</v>
      </c>
      <c r="DX1711" s="1671"/>
    </row>
    <row r="1712" spans="12:128">
      <c r="L1712" s="2481">
        <v>198.02</v>
      </c>
      <c r="M1712" s="340" t="s">
        <v>331</v>
      </c>
      <c r="N1712" s="1390"/>
      <c r="O1712" s="2479"/>
      <c r="P1712" s="2282"/>
      <c r="AG1712" s="2297">
        <v>202.04</v>
      </c>
      <c r="AH1712" s="2297" t="s">
        <v>294</v>
      </c>
      <c r="AI1712" s="1390"/>
      <c r="AJ1712" s="2282"/>
      <c r="AK1712" s="2282"/>
      <c r="AL1712" s="1037"/>
      <c r="AX1712" s="340">
        <v>124.01</v>
      </c>
      <c r="AY1712" s="340" t="s">
        <v>331</v>
      </c>
      <c r="BN1712" s="340">
        <v>182.01</v>
      </c>
      <c r="BO1712" s="340" t="s">
        <v>338</v>
      </c>
      <c r="BP1712" s="1385"/>
      <c r="BV1712" s="236">
        <v>507.06</v>
      </c>
      <c r="BW1712" s="236" t="s">
        <v>318</v>
      </c>
      <c r="CB1712" s="340">
        <v>124.01</v>
      </c>
      <c r="CC1712" s="340" t="s">
        <v>331</v>
      </c>
      <c r="CL1712" s="236">
        <v>102.03</v>
      </c>
      <c r="CM1712" s="236" t="s">
        <v>323</v>
      </c>
      <c r="CR1712" s="340">
        <v>184</v>
      </c>
      <c r="CS1712" s="340" t="s">
        <v>331</v>
      </c>
      <c r="CT1712" s="1384"/>
      <c r="DF1712" s="340">
        <v>196</v>
      </c>
      <c r="DG1712" s="340" t="s">
        <v>331</v>
      </c>
      <c r="DV1712" s="340">
        <v>203.13</v>
      </c>
      <c r="DW1712" s="340" t="s">
        <v>289</v>
      </c>
      <c r="DX1712" s="1671"/>
    </row>
    <row r="1713" spans="12:128">
      <c r="L1713" s="2481">
        <v>199.02</v>
      </c>
      <c r="M1713" s="340" t="s">
        <v>331</v>
      </c>
      <c r="N1713" s="1390"/>
      <c r="O1713" s="2479"/>
      <c r="P1713" s="2282"/>
      <c r="AG1713" s="2297">
        <v>202.05</v>
      </c>
      <c r="AH1713" s="2297" t="s">
        <v>289</v>
      </c>
      <c r="AI1713" s="1390"/>
      <c r="AJ1713" s="2282"/>
      <c r="AK1713" s="2282"/>
      <c r="AL1713" s="1037"/>
      <c r="AX1713" s="340">
        <v>124.02</v>
      </c>
      <c r="AY1713" s="340" t="s">
        <v>331</v>
      </c>
      <c r="BN1713" s="340">
        <v>182.02</v>
      </c>
      <c r="BO1713" s="340" t="s">
        <v>338</v>
      </c>
      <c r="BP1713" s="1385"/>
      <c r="BV1713" s="236">
        <v>507.07</v>
      </c>
      <c r="BW1713" s="236" t="s">
        <v>318</v>
      </c>
      <c r="CB1713" s="340">
        <v>124.02</v>
      </c>
      <c r="CC1713" s="340" t="s">
        <v>331</v>
      </c>
      <c r="CL1713" s="236">
        <v>102.04</v>
      </c>
      <c r="CM1713" s="236" t="s">
        <v>302</v>
      </c>
      <c r="CR1713" s="340">
        <v>184</v>
      </c>
      <c r="CS1713" s="340" t="s">
        <v>338</v>
      </c>
      <c r="CT1713" s="1384"/>
      <c r="DF1713" s="340">
        <v>197</v>
      </c>
      <c r="DG1713" s="340" t="s">
        <v>331</v>
      </c>
      <c r="DV1713" s="340">
        <v>203.15</v>
      </c>
      <c r="DW1713" s="340" t="s">
        <v>289</v>
      </c>
      <c r="DX1713" s="1671"/>
    </row>
    <row r="1714" spans="12:128">
      <c r="L1714" s="2481">
        <v>200.01</v>
      </c>
      <c r="M1714" s="340" t="s">
        <v>331</v>
      </c>
      <c r="N1714" s="1390"/>
      <c r="O1714" s="2479"/>
      <c r="P1714" s="2282"/>
      <c r="AG1714" s="2297">
        <v>202.06</v>
      </c>
      <c r="AH1714" s="2297" t="s">
        <v>289</v>
      </c>
      <c r="AI1714" s="1390"/>
      <c r="AJ1714" s="2282"/>
      <c r="AK1714" s="2282"/>
      <c r="AL1714" s="1037"/>
      <c r="AX1714" s="340">
        <v>124.03</v>
      </c>
      <c r="AY1714" s="340" t="s">
        <v>331</v>
      </c>
      <c r="BN1714" s="340">
        <v>182.03</v>
      </c>
      <c r="BO1714" s="340" t="s">
        <v>338</v>
      </c>
      <c r="BP1714" s="1385"/>
      <c r="BV1714" s="236">
        <v>507.08</v>
      </c>
      <c r="BW1714" s="236" t="s">
        <v>318</v>
      </c>
      <c r="CB1714" s="340">
        <v>124.03</v>
      </c>
      <c r="CC1714" s="340" t="s">
        <v>331</v>
      </c>
      <c r="CL1714" s="236">
        <v>102.04</v>
      </c>
      <c r="CM1714" s="236" t="s">
        <v>316</v>
      </c>
      <c r="CR1714" s="340">
        <v>185</v>
      </c>
      <c r="CS1714" s="340" t="s">
        <v>331</v>
      </c>
      <c r="CT1714" s="1384"/>
      <c r="DF1714" s="340">
        <v>198.01</v>
      </c>
      <c r="DG1714" s="340" t="s">
        <v>331</v>
      </c>
      <c r="DV1714" s="340">
        <v>203.16</v>
      </c>
      <c r="DW1714" s="340" t="s">
        <v>289</v>
      </c>
      <c r="DX1714" s="1671"/>
    </row>
    <row r="1715" spans="12:128">
      <c r="L1715" s="2481">
        <v>200.02</v>
      </c>
      <c r="M1715" s="340" t="s">
        <v>331</v>
      </c>
      <c r="N1715" s="1390"/>
      <c r="O1715" s="2479"/>
      <c r="P1715" s="2282"/>
      <c r="AG1715" s="2297">
        <v>202.06</v>
      </c>
      <c r="AH1715" s="2297" t="s">
        <v>294</v>
      </c>
      <c r="AI1715" s="1390"/>
      <c r="AJ1715" s="2282"/>
      <c r="AK1715" s="2282"/>
      <c r="AL1715" s="1037"/>
      <c r="AX1715" s="340">
        <v>125.01</v>
      </c>
      <c r="AY1715" s="340" t="s">
        <v>331</v>
      </c>
      <c r="BN1715" s="340">
        <v>182.04</v>
      </c>
      <c r="BO1715" s="340" t="s">
        <v>338</v>
      </c>
      <c r="BP1715" s="1385"/>
      <c r="BV1715" s="236">
        <v>507.09</v>
      </c>
      <c r="BW1715" s="236" t="s">
        <v>318</v>
      </c>
      <c r="CB1715" s="340">
        <v>125.01</v>
      </c>
      <c r="CC1715" s="340" t="s">
        <v>331</v>
      </c>
      <c r="CL1715" s="236">
        <v>102.04</v>
      </c>
      <c r="CM1715" s="236" t="s">
        <v>356</v>
      </c>
      <c r="CR1715" s="340">
        <v>186.01</v>
      </c>
      <c r="CS1715" s="340" t="s">
        <v>331</v>
      </c>
      <c r="CT1715" s="1384"/>
      <c r="DF1715" s="340">
        <v>198.02</v>
      </c>
      <c r="DG1715" s="340" t="s">
        <v>331</v>
      </c>
      <c r="DV1715" s="340">
        <v>203.17</v>
      </c>
      <c r="DW1715" s="340" t="s">
        <v>289</v>
      </c>
      <c r="DX1715" s="1671"/>
    </row>
    <row r="1716" spans="12:128">
      <c r="L1716" s="2481">
        <v>201</v>
      </c>
      <c r="M1716" s="340" t="s">
        <v>331</v>
      </c>
      <c r="N1716" s="1390"/>
      <c r="O1716" s="2479"/>
      <c r="P1716" s="2282"/>
      <c r="AG1716" s="2297">
        <v>202.07</v>
      </c>
      <c r="AH1716" s="2297" t="s">
        <v>342</v>
      </c>
      <c r="AI1716" s="1390"/>
      <c r="AJ1716" s="2282"/>
      <c r="AK1716" s="2282"/>
      <c r="AL1716" s="1037"/>
      <c r="AX1716" s="340">
        <v>125.02</v>
      </c>
      <c r="AY1716" s="340" t="s">
        <v>331</v>
      </c>
      <c r="BN1716" s="340">
        <v>183</v>
      </c>
      <c r="BO1716" s="340" t="s">
        <v>331</v>
      </c>
      <c r="BP1716" s="1385"/>
      <c r="BV1716" s="236">
        <v>508.05</v>
      </c>
      <c r="BW1716" s="236" t="s">
        <v>318</v>
      </c>
      <c r="CB1716" s="340">
        <v>125.02</v>
      </c>
      <c r="CC1716" s="340" t="s">
        <v>331</v>
      </c>
      <c r="CL1716" s="236">
        <v>102.05</v>
      </c>
      <c r="CM1716" s="236" t="s">
        <v>297</v>
      </c>
      <c r="CR1716" s="340">
        <v>186.02</v>
      </c>
      <c r="CS1716" s="340" t="s">
        <v>331</v>
      </c>
      <c r="CT1716" s="1384"/>
      <c r="DF1716" s="340">
        <v>199.02</v>
      </c>
      <c r="DG1716" s="340" t="s">
        <v>331</v>
      </c>
      <c r="DV1716" s="340">
        <v>203.18</v>
      </c>
      <c r="DW1716" s="340" t="s">
        <v>289</v>
      </c>
      <c r="DX1716" s="1671"/>
    </row>
    <row r="1717" spans="12:128">
      <c r="L1717" s="2481">
        <v>202</v>
      </c>
      <c r="M1717" s="340" t="s">
        <v>331</v>
      </c>
      <c r="N1717" s="1390"/>
      <c r="O1717" s="2479"/>
      <c r="P1717" s="2282"/>
      <c r="AG1717" s="2297">
        <v>202.09</v>
      </c>
      <c r="AH1717" s="2297" t="s">
        <v>342</v>
      </c>
      <c r="AI1717" s="1390"/>
      <c r="AJ1717" s="2282"/>
      <c r="AK1717" s="2282"/>
      <c r="AL1717" s="1037"/>
      <c r="AX1717" s="340">
        <v>126.01</v>
      </c>
      <c r="AY1717" s="340" t="s">
        <v>331</v>
      </c>
      <c r="BN1717" s="340">
        <v>184</v>
      </c>
      <c r="BO1717" s="340" t="s">
        <v>331</v>
      </c>
      <c r="BP1717" s="1385"/>
      <c r="BV1717" s="236">
        <v>508.06</v>
      </c>
      <c r="BW1717" s="236" t="s">
        <v>318</v>
      </c>
      <c r="CB1717" s="340">
        <v>126.01</v>
      </c>
      <c r="CC1717" s="340" t="s">
        <v>331</v>
      </c>
      <c r="CL1717" s="236">
        <v>102.05</v>
      </c>
      <c r="CM1717" s="236" t="s">
        <v>323</v>
      </c>
      <c r="CR1717" s="340">
        <v>187</v>
      </c>
      <c r="CS1717" s="340" t="s">
        <v>331</v>
      </c>
      <c r="CT1717" s="1384"/>
      <c r="DF1717" s="340">
        <v>200.02</v>
      </c>
      <c r="DG1717" s="340" t="s">
        <v>331</v>
      </c>
      <c r="DV1717" s="340">
        <v>203.19</v>
      </c>
      <c r="DW1717" s="340" t="s">
        <v>289</v>
      </c>
      <c r="DX1717" s="1671"/>
    </row>
    <row r="1718" spans="12:128">
      <c r="L1718" s="2481">
        <v>203</v>
      </c>
      <c r="M1718" s="340" t="s">
        <v>331</v>
      </c>
      <c r="N1718" s="1390"/>
      <c r="O1718" s="2479"/>
      <c r="P1718" s="2282"/>
      <c r="AG1718" s="2297">
        <v>202.14</v>
      </c>
      <c r="AH1718" s="2297" t="s">
        <v>289</v>
      </c>
      <c r="AI1718" s="1390"/>
      <c r="AJ1718" s="2282"/>
      <c r="AK1718" s="2282"/>
      <c r="AL1718" s="1037"/>
      <c r="AX1718" s="340">
        <v>126.02</v>
      </c>
      <c r="AY1718" s="340" t="s">
        <v>331</v>
      </c>
      <c r="BN1718" s="340">
        <v>184</v>
      </c>
      <c r="BO1718" s="340" t="s">
        <v>338</v>
      </c>
      <c r="BP1718" s="1385"/>
      <c r="BV1718" s="236">
        <v>508.07</v>
      </c>
      <c r="BW1718" s="236" t="s">
        <v>318</v>
      </c>
      <c r="CB1718" s="340">
        <v>127.01</v>
      </c>
      <c r="CC1718" s="340" t="s">
        <v>331</v>
      </c>
      <c r="CL1718" s="236">
        <v>102.05</v>
      </c>
      <c r="CM1718" s="236" t="s">
        <v>331</v>
      </c>
      <c r="CR1718" s="340">
        <v>188</v>
      </c>
      <c r="CS1718" s="340" t="s">
        <v>338</v>
      </c>
      <c r="CT1718" s="1384"/>
      <c r="DF1718" s="340">
        <v>201</v>
      </c>
      <c r="DG1718" s="340" t="s">
        <v>331</v>
      </c>
      <c r="DV1718" s="340">
        <v>203.2</v>
      </c>
      <c r="DW1718" s="340" t="s">
        <v>289</v>
      </c>
      <c r="DX1718" s="1671"/>
    </row>
    <row r="1719" spans="12:128">
      <c r="L1719" s="2481">
        <v>4901</v>
      </c>
      <c r="M1719" s="340" t="s">
        <v>331</v>
      </c>
      <c r="N1719" s="1390"/>
      <c r="O1719" s="2479"/>
      <c r="P1719" s="2282"/>
      <c r="AG1719" s="2297">
        <v>203</v>
      </c>
      <c r="AH1719" s="2297" t="s">
        <v>331</v>
      </c>
      <c r="AI1719" s="1390"/>
      <c r="AJ1719" s="2282"/>
      <c r="AK1719" s="2282"/>
      <c r="AL1719" s="1037"/>
      <c r="AX1719" s="340">
        <v>127.01</v>
      </c>
      <c r="AY1719" s="340" t="s">
        <v>331</v>
      </c>
      <c r="BN1719" s="340">
        <v>185</v>
      </c>
      <c r="BO1719" s="340" t="s">
        <v>331</v>
      </c>
      <c r="BP1719" s="1385"/>
      <c r="BV1719" s="236">
        <v>508.08</v>
      </c>
      <c r="BW1719" s="236" t="s">
        <v>318</v>
      </c>
      <c r="CB1719" s="340">
        <v>127.02</v>
      </c>
      <c r="CC1719" s="340" t="s">
        <v>331</v>
      </c>
      <c r="CL1719" s="236">
        <v>102.05</v>
      </c>
      <c r="CM1719" s="236" t="s">
        <v>356</v>
      </c>
      <c r="CR1719" s="340">
        <v>188.01</v>
      </c>
      <c r="CS1719" s="340" t="s">
        <v>331</v>
      </c>
      <c r="CT1719" s="1384"/>
      <c r="DF1719" s="340">
        <v>202</v>
      </c>
      <c r="DG1719" s="340" t="s">
        <v>331</v>
      </c>
      <c r="DV1719" s="340">
        <v>203.21</v>
      </c>
      <c r="DW1719" s="340" t="s">
        <v>289</v>
      </c>
      <c r="DX1719" s="1671"/>
    </row>
    <row r="1720" spans="12:128">
      <c r="L1720" s="2481">
        <v>9805</v>
      </c>
      <c r="M1720" s="340" t="s">
        <v>331</v>
      </c>
      <c r="N1720" s="1390"/>
      <c r="O1720" s="2479"/>
      <c r="P1720" s="2282"/>
      <c r="AG1720" s="2297">
        <v>203.01</v>
      </c>
      <c r="AH1720" s="2297" t="s">
        <v>342</v>
      </c>
      <c r="AI1720" s="1390"/>
      <c r="AJ1720" s="2282"/>
      <c r="AK1720" s="2282"/>
      <c r="AL1720" s="1037"/>
      <c r="AX1720" s="340">
        <v>127.02</v>
      </c>
      <c r="AY1720" s="340" t="s">
        <v>331</v>
      </c>
      <c r="BN1720" s="340">
        <v>186.01</v>
      </c>
      <c r="BO1720" s="340" t="s">
        <v>331</v>
      </c>
      <c r="BP1720" s="1385"/>
      <c r="BV1720" s="236">
        <v>508.09</v>
      </c>
      <c r="BW1720" s="236" t="s">
        <v>318</v>
      </c>
      <c r="CB1720" s="340">
        <v>128.01</v>
      </c>
      <c r="CC1720" s="340" t="s">
        <v>331</v>
      </c>
      <c r="CL1720" s="236">
        <v>102.06</v>
      </c>
      <c r="CM1720" s="236" t="s">
        <v>323</v>
      </c>
      <c r="CR1720" s="340">
        <v>188.03</v>
      </c>
      <c r="CS1720" s="340" t="s">
        <v>331</v>
      </c>
      <c r="CT1720" s="1384"/>
      <c r="DF1720" s="340">
        <v>203</v>
      </c>
      <c r="DG1720" s="340" t="s">
        <v>331</v>
      </c>
      <c r="DV1720" s="340">
        <v>203.22</v>
      </c>
      <c r="DW1720" s="340" t="s">
        <v>289</v>
      </c>
      <c r="DX1720" s="1671"/>
    </row>
    <row r="1721" spans="12:128">
      <c r="L1721" s="2481">
        <v>9705</v>
      </c>
      <c r="M1721" s="340" t="s">
        <v>333</v>
      </c>
      <c r="N1721" s="1390"/>
      <c r="O1721" s="2479"/>
      <c r="P1721" s="2282"/>
      <c r="AG1721" s="2297">
        <v>203.02</v>
      </c>
      <c r="AH1721" s="2297" t="s">
        <v>289</v>
      </c>
      <c r="AI1721" s="1390"/>
      <c r="AJ1721" s="2282"/>
      <c r="AK1721" s="2282"/>
      <c r="AL1721" s="1037"/>
      <c r="AX1721" s="340">
        <v>128.01</v>
      </c>
      <c r="AY1721" s="340" t="s">
        <v>331</v>
      </c>
      <c r="BN1721" s="340">
        <v>186.02</v>
      </c>
      <c r="BO1721" s="340" t="s">
        <v>331</v>
      </c>
      <c r="BP1721" s="1385"/>
      <c r="BV1721" s="236">
        <v>508.1</v>
      </c>
      <c r="BW1721" s="236" t="s">
        <v>318</v>
      </c>
      <c r="CB1721" s="340">
        <v>128.02000000000001</v>
      </c>
      <c r="CC1721" s="340" t="s">
        <v>331</v>
      </c>
      <c r="CL1721" s="236">
        <v>102.06</v>
      </c>
      <c r="CM1721" s="236" t="s">
        <v>356</v>
      </c>
      <c r="CR1721" s="340">
        <v>189.01</v>
      </c>
      <c r="CS1721" s="340" t="s">
        <v>331</v>
      </c>
      <c r="CT1721" s="1384"/>
      <c r="DF1721" s="340">
        <v>9805</v>
      </c>
      <c r="DG1721" s="340" t="s">
        <v>331</v>
      </c>
      <c r="DV1721" s="340">
        <v>203.24</v>
      </c>
      <c r="DW1721" s="340" t="s">
        <v>289</v>
      </c>
      <c r="DX1721" s="1671"/>
    </row>
    <row r="1722" spans="12:128">
      <c r="L1722" s="2481">
        <v>9708</v>
      </c>
      <c r="M1722" s="340" t="s">
        <v>333</v>
      </c>
      <c r="N1722" s="1390"/>
      <c r="O1722" s="2479"/>
      <c r="P1722" s="2282"/>
      <c r="AG1722" s="2297">
        <v>203.02</v>
      </c>
      <c r="AH1722" s="2297" t="s">
        <v>342</v>
      </c>
      <c r="AI1722" s="1390"/>
      <c r="AJ1722" s="2282"/>
      <c r="AK1722" s="2282"/>
      <c r="AL1722" s="1037"/>
      <c r="AX1722" s="340">
        <v>128.02000000000001</v>
      </c>
      <c r="AY1722" s="340" t="s">
        <v>331</v>
      </c>
      <c r="BN1722" s="340">
        <v>187</v>
      </c>
      <c r="BO1722" s="340" t="s">
        <v>331</v>
      </c>
      <c r="BP1722" s="1385"/>
      <c r="BV1722" s="236">
        <v>508.11</v>
      </c>
      <c r="BW1722" s="236" t="s">
        <v>318</v>
      </c>
      <c r="CB1722" s="340">
        <v>129</v>
      </c>
      <c r="CC1722" s="340" t="s">
        <v>331</v>
      </c>
      <c r="CL1722" s="236">
        <v>102.07</v>
      </c>
      <c r="CM1722" s="236" t="s">
        <v>323</v>
      </c>
      <c r="CR1722" s="340">
        <v>189.02</v>
      </c>
      <c r="CS1722" s="340" t="s">
        <v>331</v>
      </c>
      <c r="CT1722" s="1384"/>
      <c r="DF1722" s="340">
        <v>9705</v>
      </c>
      <c r="DG1722" s="340" t="s">
        <v>333</v>
      </c>
      <c r="DV1722" s="340">
        <v>203.25</v>
      </c>
      <c r="DW1722" s="340" t="s">
        <v>289</v>
      </c>
      <c r="DX1722" s="1671"/>
    </row>
    <row r="1723" spans="12:128">
      <c r="L1723" s="2481">
        <v>9710.01</v>
      </c>
      <c r="M1723" s="340" t="s">
        <v>333</v>
      </c>
      <c r="N1723" s="1390"/>
      <c r="O1723" s="2479"/>
      <c r="P1723" s="2282"/>
      <c r="AG1723" s="2297">
        <v>203.03</v>
      </c>
      <c r="AH1723" s="2297" t="s">
        <v>336</v>
      </c>
      <c r="AI1723" s="1390"/>
      <c r="AJ1723" s="2282"/>
      <c r="AK1723" s="2282"/>
      <c r="AL1723" s="1037"/>
      <c r="AX1723" s="340">
        <v>129</v>
      </c>
      <c r="AY1723" s="340" t="s">
        <v>331</v>
      </c>
      <c r="BN1723" s="340">
        <v>188</v>
      </c>
      <c r="BO1723" s="340" t="s">
        <v>338</v>
      </c>
      <c r="BP1723" s="1385"/>
      <c r="BV1723" s="236">
        <v>508.12</v>
      </c>
      <c r="BW1723" s="236" t="s">
        <v>318</v>
      </c>
      <c r="CB1723" s="340">
        <v>130</v>
      </c>
      <c r="CC1723" s="340" t="s">
        <v>331</v>
      </c>
      <c r="CL1723" s="236">
        <v>102.07</v>
      </c>
      <c r="CM1723" s="236" t="s">
        <v>331</v>
      </c>
      <c r="CR1723" s="340">
        <v>189.02</v>
      </c>
      <c r="CS1723" s="340" t="s">
        <v>338</v>
      </c>
      <c r="CT1723" s="1384"/>
      <c r="DF1723" s="340">
        <v>9708</v>
      </c>
      <c r="DG1723" s="340" t="s">
        <v>333</v>
      </c>
      <c r="DV1723" s="340">
        <v>203.26</v>
      </c>
      <c r="DW1723" s="340" t="s">
        <v>289</v>
      </c>
      <c r="DX1723" s="1671"/>
    </row>
    <row r="1724" spans="12:128">
      <c r="L1724" s="2481">
        <v>9710.02</v>
      </c>
      <c r="M1724" s="340" t="s">
        <v>333</v>
      </c>
      <c r="N1724" s="1390"/>
      <c r="O1724" s="2479"/>
      <c r="P1724" s="2282"/>
      <c r="AG1724" s="2297">
        <v>203.04</v>
      </c>
      <c r="AH1724" s="2297" t="s">
        <v>336</v>
      </c>
      <c r="AI1724" s="1390"/>
      <c r="AJ1724" s="2282"/>
      <c r="AK1724" s="2282"/>
      <c r="AL1724" s="1037"/>
      <c r="AX1724" s="340">
        <v>130</v>
      </c>
      <c r="AY1724" s="340" t="s">
        <v>331</v>
      </c>
      <c r="BN1724" s="340">
        <v>188.01</v>
      </c>
      <c r="BO1724" s="340" t="s">
        <v>331</v>
      </c>
      <c r="BP1724" s="1385"/>
      <c r="BV1724" s="236">
        <v>509.03</v>
      </c>
      <c r="BW1724" s="236" t="s">
        <v>318</v>
      </c>
      <c r="CB1724" s="340">
        <v>132.01</v>
      </c>
      <c r="CC1724" s="340" t="s">
        <v>331</v>
      </c>
      <c r="CL1724" s="236">
        <v>102.07</v>
      </c>
      <c r="CM1724" s="236" t="s">
        <v>356</v>
      </c>
      <c r="CR1724" s="340">
        <v>190</v>
      </c>
      <c r="CS1724" s="340" t="s">
        <v>331</v>
      </c>
      <c r="CT1724" s="1384"/>
      <c r="DF1724" s="340">
        <v>9709</v>
      </c>
      <c r="DG1724" s="340" t="s">
        <v>333</v>
      </c>
      <c r="DV1724" s="340">
        <v>204</v>
      </c>
      <c r="DW1724" s="340" t="s">
        <v>323</v>
      </c>
      <c r="DX1724" s="1671"/>
    </row>
    <row r="1725" spans="12:128">
      <c r="L1725" s="2481">
        <v>9712</v>
      </c>
      <c r="M1725" s="340" t="s">
        <v>333</v>
      </c>
      <c r="N1725" s="1390"/>
      <c r="O1725" s="2479"/>
      <c r="P1725" s="2282"/>
      <c r="AG1725" s="2297">
        <v>203.09</v>
      </c>
      <c r="AH1725" s="2297" t="s">
        <v>289</v>
      </c>
      <c r="AI1725" s="1390"/>
      <c r="AJ1725" s="2282"/>
      <c r="AK1725" s="2282"/>
      <c r="AL1725" s="1037"/>
      <c r="AX1725" s="340">
        <v>131</v>
      </c>
      <c r="AY1725" s="340" t="s">
        <v>331</v>
      </c>
      <c r="BN1725" s="340">
        <v>188.02</v>
      </c>
      <c r="BO1725" s="340" t="s">
        <v>331</v>
      </c>
      <c r="BP1725" s="1385"/>
      <c r="BV1725" s="236">
        <v>509.05</v>
      </c>
      <c r="BW1725" s="236" t="s">
        <v>318</v>
      </c>
      <c r="CB1725" s="340">
        <v>132.02000000000001</v>
      </c>
      <c r="CC1725" s="340" t="s">
        <v>331</v>
      </c>
      <c r="CL1725" s="236">
        <v>102.08</v>
      </c>
      <c r="CM1725" s="236" t="s">
        <v>297</v>
      </c>
      <c r="CR1725" s="340">
        <v>190</v>
      </c>
      <c r="CS1725" s="340" t="s">
        <v>338</v>
      </c>
      <c r="CT1725" s="1384"/>
      <c r="DF1725" s="340">
        <v>9710.01</v>
      </c>
      <c r="DG1725" s="340" t="s">
        <v>333</v>
      </c>
      <c r="DV1725" s="340">
        <v>204</v>
      </c>
      <c r="DW1725" s="340" t="s">
        <v>342</v>
      </c>
      <c r="DX1725" s="1671"/>
    </row>
    <row r="1726" spans="12:128">
      <c r="L1726" s="2481">
        <v>9714.01</v>
      </c>
      <c r="M1726" s="340" t="s">
        <v>333</v>
      </c>
      <c r="N1726" s="1390"/>
      <c r="O1726" s="2479"/>
      <c r="P1726" s="2282"/>
      <c r="AG1726" s="2297">
        <v>203.12</v>
      </c>
      <c r="AH1726" s="2297" t="s">
        <v>289</v>
      </c>
      <c r="AI1726" s="1390"/>
      <c r="AJ1726" s="2282"/>
      <c r="AK1726" s="2282"/>
      <c r="AL1726" s="1037"/>
      <c r="AX1726" s="340">
        <v>132.01</v>
      </c>
      <c r="AY1726" s="340" t="s">
        <v>331</v>
      </c>
      <c r="BN1726" s="340">
        <v>188.03</v>
      </c>
      <c r="BO1726" s="340" t="s">
        <v>331</v>
      </c>
      <c r="BP1726" s="1385"/>
      <c r="BV1726" s="236">
        <v>509.06</v>
      </c>
      <c r="BW1726" s="236" t="s">
        <v>318</v>
      </c>
      <c r="CB1726" s="340">
        <v>133.01</v>
      </c>
      <c r="CC1726" s="340" t="s">
        <v>331</v>
      </c>
      <c r="CL1726" s="236">
        <v>102.08</v>
      </c>
      <c r="CM1726" s="236" t="s">
        <v>323</v>
      </c>
      <c r="CR1726" s="340">
        <v>191</v>
      </c>
      <c r="CS1726" s="340" t="s">
        <v>331</v>
      </c>
      <c r="CT1726" s="1384"/>
      <c r="DF1726" s="340">
        <v>9710.02</v>
      </c>
      <c r="DG1726" s="340" t="s">
        <v>333</v>
      </c>
      <c r="DV1726" s="340">
        <v>204.01</v>
      </c>
      <c r="DW1726" s="340" t="s">
        <v>294</v>
      </c>
      <c r="DX1726" s="1671"/>
    </row>
    <row r="1727" spans="12:128">
      <c r="L1727" s="2481">
        <v>9715.01</v>
      </c>
      <c r="M1727" s="340" t="s">
        <v>333</v>
      </c>
      <c r="N1727" s="1390"/>
      <c r="O1727" s="2479"/>
      <c r="P1727" s="2282"/>
      <c r="AG1727" s="2297">
        <v>203.13</v>
      </c>
      <c r="AH1727" s="2297" t="s">
        <v>289</v>
      </c>
      <c r="AI1727" s="1390"/>
      <c r="AJ1727" s="2282"/>
      <c r="AK1727" s="2282"/>
      <c r="AL1727" s="1037"/>
      <c r="AX1727" s="340">
        <v>132.02000000000001</v>
      </c>
      <c r="AY1727" s="340" t="s">
        <v>331</v>
      </c>
      <c r="BN1727" s="340">
        <v>189.01</v>
      </c>
      <c r="BO1727" s="340" t="s">
        <v>331</v>
      </c>
      <c r="BP1727" s="1385"/>
      <c r="BV1727" s="236">
        <v>509.07</v>
      </c>
      <c r="BW1727" s="236" t="s">
        <v>318</v>
      </c>
      <c r="CB1727" s="340">
        <v>133.02000000000001</v>
      </c>
      <c r="CC1727" s="340" t="s">
        <v>331</v>
      </c>
      <c r="CL1727" s="236">
        <v>102.08</v>
      </c>
      <c r="CM1727" s="236" t="s">
        <v>331</v>
      </c>
      <c r="CR1727" s="340">
        <v>192</v>
      </c>
      <c r="CS1727" s="340" t="s">
        <v>331</v>
      </c>
      <c r="CT1727" s="1384"/>
      <c r="DF1727" s="340">
        <v>9712</v>
      </c>
      <c r="DG1727" s="340" t="s">
        <v>333</v>
      </c>
      <c r="DV1727" s="340">
        <v>204.02</v>
      </c>
      <c r="DW1727" s="340" t="s">
        <v>294</v>
      </c>
      <c r="DX1727" s="1671"/>
    </row>
    <row r="1728" spans="12:128">
      <c r="L1728" s="2481">
        <v>9715.02</v>
      </c>
      <c r="M1728" s="340" t="s">
        <v>333</v>
      </c>
      <c r="N1728" s="1390"/>
      <c r="O1728" s="2479"/>
      <c r="P1728" s="2282"/>
      <c r="AG1728" s="2297">
        <v>203.15</v>
      </c>
      <c r="AH1728" s="2297" t="s">
        <v>289</v>
      </c>
      <c r="AI1728" s="1390"/>
      <c r="AJ1728" s="2282"/>
      <c r="AK1728" s="2282"/>
      <c r="AL1728" s="1037"/>
      <c r="AX1728" s="340">
        <v>133.01</v>
      </c>
      <c r="AY1728" s="340" t="s">
        <v>331</v>
      </c>
      <c r="BN1728" s="340">
        <v>189.01</v>
      </c>
      <c r="BO1728" s="340" t="s">
        <v>338</v>
      </c>
      <c r="BP1728" s="1385"/>
      <c r="BV1728" s="236">
        <v>509.08</v>
      </c>
      <c r="BW1728" s="236" t="s">
        <v>318</v>
      </c>
      <c r="CB1728" s="340">
        <v>139</v>
      </c>
      <c r="CC1728" s="340" t="s">
        <v>331</v>
      </c>
      <c r="CL1728" s="236">
        <v>102.08</v>
      </c>
      <c r="CM1728" s="236" t="s">
        <v>356</v>
      </c>
      <c r="CR1728" s="340">
        <v>193.01</v>
      </c>
      <c r="CS1728" s="340" t="s">
        <v>331</v>
      </c>
      <c r="CT1728" s="1384"/>
      <c r="DF1728" s="340">
        <v>9714.01</v>
      </c>
      <c r="DG1728" s="340" t="s">
        <v>333</v>
      </c>
      <c r="DV1728" s="340">
        <v>204.04</v>
      </c>
      <c r="DW1728" s="340" t="s">
        <v>289</v>
      </c>
      <c r="DX1728" s="1671"/>
    </row>
    <row r="1729" spans="12:128">
      <c r="L1729" s="2481">
        <v>9716</v>
      </c>
      <c r="M1729" s="340" t="s">
        <v>333</v>
      </c>
      <c r="N1729" s="1390"/>
      <c r="O1729" s="2479"/>
      <c r="P1729" s="2282"/>
      <c r="AG1729" s="2297">
        <v>203.16</v>
      </c>
      <c r="AH1729" s="2297" t="s">
        <v>289</v>
      </c>
      <c r="AI1729" s="1390"/>
      <c r="AJ1729" s="2282"/>
      <c r="AK1729" s="2282"/>
      <c r="AL1729" s="1037"/>
      <c r="AX1729" s="340">
        <v>133.02000000000001</v>
      </c>
      <c r="AY1729" s="340" t="s">
        <v>331</v>
      </c>
      <c r="BN1729" s="340">
        <v>189.02</v>
      </c>
      <c r="BO1729" s="340" t="s">
        <v>331</v>
      </c>
      <c r="BP1729" s="1385"/>
      <c r="BV1729" s="236">
        <v>509.09</v>
      </c>
      <c r="BW1729" s="236" t="s">
        <v>318</v>
      </c>
      <c r="CB1729" s="340">
        <v>141</v>
      </c>
      <c r="CC1729" s="340" t="s">
        <v>331</v>
      </c>
      <c r="CL1729" s="236">
        <v>102.09</v>
      </c>
      <c r="CM1729" s="236" t="s">
        <v>297</v>
      </c>
      <c r="CR1729" s="340">
        <v>193.02</v>
      </c>
      <c r="CS1729" s="340" t="s">
        <v>331</v>
      </c>
      <c r="CT1729" s="1384"/>
      <c r="DF1729" s="340">
        <v>9714.02</v>
      </c>
      <c r="DG1729" s="340" t="s">
        <v>333</v>
      </c>
      <c r="DV1729" s="340">
        <v>204.06</v>
      </c>
      <c r="DW1729" s="340" t="s">
        <v>289</v>
      </c>
      <c r="DX1729" s="1671"/>
    </row>
    <row r="1730" spans="12:128">
      <c r="L1730" s="2481">
        <v>9717</v>
      </c>
      <c r="M1730" s="340" t="s">
        <v>333</v>
      </c>
      <c r="N1730" s="1390"/>
      <c r="O1730" s="2479"/>
      <c r="P1730" s="2282"/>
      <c r="AG1730" s="2297">
        <v>203.17</v>
      </c>
      <c r="AH1730" s="2297" t="s">
        <v>289</v>
      </c>
      <c r="AI1730" s="1390"/>
      <c r="AJ1730" s="2282"/>
      <c r="AK1730" s="2282"/>
      <c r="AL1730" s="1037"/>
      <c r="AX1730" s="340">
        <v>138.01</v>
      </c>
      <c r="AY1730" s="340" t="s">
        <v>331</v>
      </c>
      <c r="BN1730" s="340">
        <v>189.02</v>
      </c>
      <c r="BO1730" s="340" t="s">
        <v>338</v>
      </c>
      <c r="BP1730" s="1385"/>
      <c r="BV1730" s="236">
        <v>9800</v>
      </c>
      <c r="BW1730" s="236" t="s">
        <v>318</v>
      </c>
      <c r="CB1730" s="340">
        <v>142</v>
      </c>
      <c r="CC1730" s="340" t="s">
        <v>331</v>
      </c>
      <c r="CL1730" s="236">
        <v>102.09</v>
      </c>
      <c r="CM1730" s="236" t="s">
        <v>323</v>
      </c>
      <c r="CR1730" s="340">
        <v>194.01</v>
      </c>
      <c r="CS1730" s="340" t="s">
        <v>331</v>
      </c>
      <c r="CT1730" s="1384"/>
      <c r="DF1730" s="340">
        <v>9715.01</v>
      </c>
      <c r="DG1730" s="340" t="s">
        <v>333</v>
      </c>
      <c r="DV1730" s="340">
        <v>204.15</v>
      </c>
      <c r="DW1730" s="340" t="s">
        <v>289</v>
      </c>
      <c r="DX1730" s="1671"/>
    </row>
    <row r="1731" spans="12:128">
      <c r="L1731" s="2481">
        <v>9720</v>
      </c>
      <c r="M1731" s="340" t="s">
        <v>333</v>
      </c>
      <c r="N1731" s="1390"/>
      <c r="O1731" s="2479"/>
      <c r="P1731" s="2282"/>
      <c r="AG1731" s="2297">
        <v>203.18</v>
      </c>
      <c r="AH1731" s="2297" t="s">
        <v>289</v>
      </c>
      <c r="AI1731" s="1390"/>
      <c r="AJ1731" s="2282"/>
      <c r="AK1731" s="2282"/>
      <c r="AL1731" s="1037"/>
      <c r="AX1731" s="340">
        <v>139</v>
      </c>
      <c r="AY1731" s="340" t="s">
        <v>331</v>
      </c>
      <c r="BN1731" s="340">
        <v>190</v>
      </c>
      <c r="BO1731" s="340" t="s">
        <v>331</v>
      </c>
      <c r="BP1731" s="1385"/>
      <c r="BV1731" s="236">
        <v>9900</v>
      </c>
      <c r="BW1731" s="236" t="s">
        <v>318</v>
      </c>
      <c r="CB1731" s="340">
        <v>143</v>
      </c>
      <c r="CC1731" s="340" t="s">
        <v>331</v>
      </c>
      <c r="CL1731" s="236">
        <v>102.09</v>
      </c>
      <c r="CM1731" s="236" t="s">
        <v>331</v>
      </c>
      <c r="CR1731" s="340">
        <v>194.02</v>
      </c>
      <c r="CS1731" s="340" t="s">
        <v>331</v>
      </c>
      <c r="CT1731" s="1384"/>
      <c r="DF1731" s="340">
        <v>9715.02</v>
      </c>
      <c r="DG1731" s="340" t="s">
        <v>333</v>
      </c>
      <c r="DV1731" s="340">
        <v>204.18</v>
      </c>
      <c r="DW1731" s="340" t="s">
        <v>289</v>
      </c>
      <c r="DX1731" s="1671"/>
    </row>
    <row r="1732" spans="12:128">
      <c r="L1732" s="2481">
        <v>9721</v>
      </c>
      <c r="M1732" s="340" t="s">
        <v>333</v>
      </c>
      <c r="N1732" s="1390"/>
      <c r="O1732" s="2479"/>
      <c r="P1732" s="2282"/>
      <c r="AG1732" s="2297">
        <v>203.19</v>
      </c>
      <c r="AH1732" s="2297" t="s">
        <v>289</v>
      </c>
      <c r="AI1732" s="1390"/>
      <c r="AJ1732" s="2282"/>
      <c r="AK1732" s="2282"/>
      <c r="AL1732" s="1037"/>
      <c r="AX1732" s="340">
        <v>142</v>
      </c>
      <c r="AY1732" s="340" t="s">
        <v>331</v>
      </c>
      <c r="BN1732" s="340">
        <v>190</v>
      </c>
      <c r="BO1732" s="340" t="s">
        <v>338</v>
      </c>
      <c r="BP1732" s="1385"/>
      <c r="BV1732" s="236">
        <v>2501.0300000000002</v>
      </c>
      <c r="BW1732" s="236" t="s">
        <v>320</v>
      </c>
      <c r="CB1732" s="340">
        <v>144</v>
      </c>
      <c r="CC1732" s="340" t="s">
        <v>331</v>
      </c>
      <c r="CL1732" s="236">
        <v>102.09</v>
      </c>
      <c r="CM1732" s="236" t="s">
        <v>356</v>
      </c>
      <c r="CR1732" s="340">
        <v>195.01</v>
      </c>
      <c r="CS1732" s="340" t="s">
        <v>331</v>
      </c>
      <c r="CT1732" s="1384"/>
      <c r="DF1732" s="340">
        <v>9716</v>
      </c>
      <c r="DG1732" s="340" t="s">
        <v>333</v>
      </c>
      <c r="DV1732" s="340">
        <v>204.19</v>
      </c>
      <c r="DW1732" s="340" t="s">
        <v>289</v>
      </c>
      <c r="DX1732" s="1671"/>
    </row>
    <row r="1733" spans="12:128">
      <c r="L1733" s="2481">
        <v>9722</v>
      </c>
      <c r="M1733" s="340" t="s">
        <v>333</v>
      </c>
      <c r="N1733" s="1390"/>
      <c r="O1733" s="2479"/>
      <c r="P1733" s="2282"/>
      <c r="AG1733" s="2297">
        <v>203.2</v>
      </c>
      <c r="AH1733" s="2297" t="s">
        <v>289</v>
      </c>
      <c r="AI1733" s="1390"/>
      <c r="AJ1733" s="2282"/>
      <c r="AK1733" s="2282"/>
      <c r="AL1733" s="1037"/>
      <c r="AX1733" s="340">
        <v>143</v>
      </c>
      <c r="AY1733" s="340" t="s">
        <v>331</v>
      </c>
      <c r="BN1733" s="340">
        <v>191</v>
      </c>
      <c r="BO1733" s="340" t="s">
        <v>331</v>
      </c>
      <c r="BP1733" s="1385"/>
      <c r="BV1733" s="236">
        <v>2501.04</v>
      </c>
      <c r="BW1733" s="236" t="s">
        <v>320</v>
      </c>
      <c r="CB1733" s="340">
        <v>145</v>
      </c>
      <c r="CC1733" s="340" t="s">
        <v>331</v>
      </c>
      <c r="CL1733" s="236">
        <v>102.1</v>
      </c>
      <c r="CM1733" s="236" t="s">
        <v>297</v>
      </c>
      <c r="CR1733" s="340">
        <v>195.02</v>
      </c>
      <c r="CS1733" s="340" t="s">
        <v>331</v>
      </c>
      <c r="CT1733" s="1384"/>
      <c r="DF1733" s="340">
        <v>9717</v>
      </c>
      <c r="DG1733" s="340" t="s">
        <v>333</v>
      </c>
      <c r="DV1733" s="340">
        <v>204.2</v>
      </c>
      <c r="DW1733" s="340" t="s">
        <v>289</v>
      </c>
      <c r="DX1733" s="1671"/>
    </row>
    <row r="1734" spans="12:128">
      <c r="L1734" s="2481">
        <v>9725</v>
      </c>
      <c r="M1734" s="340" t="s">
        <v>333</v>
      </c>
      <c r="N1734" s="1390"/>
      <c r="O1734" s="2479"/>
      <c r="P1734" s="2282"/>
      <c r="AG1734" s="2297">
        <v>203.21</v>
      </c>
      <c r="AH1734" s="2297" t="s">
        <v>289</v>
      </c>
      <c r="AI1734" s="1390"/>
      <c r="AJ1734" s="2282"/>
      <c r="AK1734" s="2282"/>
      <c r="AL1734" s="1037"/>
      <c r="AX1734" s="340">
        <v>144</v>
      </c>
      <c r="AY1734" s="340" t="s">
        <v>331</v>
      </c>
      <c r="BN1734" s="340">
        <v>192</v>
      </c>
      <c r="BO1734" s="340" t="s">
        <v>331</v>
      </c>
      <c r="BP1734" s="1385"/>
      <c r="BV1734" s="236">
        <v>2501.0500000000002</v>
      </c>
      <c r="BW1734" s="236" t="s">
        <v>320</v>
      </c>
      <c r="CB1734" s="340">
        <v>147.02000000000001</v>
      </c>
      <c r="CC1734" s="340" t="s">
        <v>331</v>
      </c>
      <c r="CL1734" s="236">
        <v>102.1</v>
      </c>
      <c r="CM1734" s="236" t="s">
        <v>316</v>
      </c>
      <c r="CR1734" s="340">
        <v>196</v>
      </c>
      <c r="CS1734" s="340" t="s">
        <v>331</v>
      </c>
      <c r="CT1734" s="1384"/>
      <c r="DF1734" s="340">
        <v>9720</v>
      </c>
      <c r="DG1734" s="340" t="s">
        <v>333</v>
      </c>
      <c r="DV1734" s="340">
        <v>205</v>
      </c>
      <c r="DW1734" s="340" t="s">
        <v>307</v>
      </c>
      <c r="DX1734" s="1671"/>
    </row>
    <row r="1735" spans="12:128">
      <c r="L1735" s="2481">
        <v>9728</v>
      </c>
      <c r="M1735" s="340" t="s">
        <v>333</v>
      </c>
      <c r="N1735" s="1390"/>
      <c r="O1735" s="2479"/>
      <c r="P1735" s="2282"/>
      <c r="AG1735" s="2297">
        <v>203.22</v>
      </c>
      <c r="AH1735" s="2297" t="s">
        <v>289</v>
      </c>
      <c r="AI1735" s="1390"/>
      <c r="AJ1735" s="2282"/>
      <c r="AK1735" s="2282"/>
      <c r="AL1735" s="1037"/>
      <c r="AX1735" s="340">
        <v>145</v>
      </c>
      <c r="AY1735" s="340" t="s">
        <v>331</v>
      </c>
      <c r="BN1735" s="340">
        <v>193.01</v>
      </c>
      <c r="BO1735" s="340" t="s">
        <v>331</v>
      </c>
      <c r="BP1735" s="1385"/>
      <c r="BV1735" s="236">
        <v>2501.06</v>
      </c>
      <c r="BW1735" s="236" t="s">
        <v>320</v>
      </c>
      <c r="CB1735" s="340">
        <v>149</v>
      </c>
      <c r="CC1735" s="340" t="s">
        <v>331</v>
      </c>
      <c r="CL1735" s="236">
        <v>102.1</v>
      </c>
      <c r="CM1735" s="236" t="s">
        <v>323</v>
      </c>
      <c r="CR1735" s="340">
        <v>197</v>
      </c>
      <c r="CS1735" s="340" t="s">
        <v>331</v>
      </c>
      <c r="CT1735" s="1384"/>
      <c r="DF1735" s="340">
        <v>9721</v>
      </c>
      <c r="DG1735" s="340" t="s">
        <v>333</v>
      </c>
      <c r="DV1735" s="340">
        <v>205</v>
      </c>
      <c r="DW1735" s="340" t="s">
        <v>349</v>
      </c>
      <c r="DX1735" s="1671"/>
    </row>
    <row r="1736" spans="12:128">
      <c r="L1736" s="2481">
        <v>501.02</v>
      </c>
      <c r="M1736" s="340" t="s">
        <v>335</v>
      </c>
      <c r="N1736" s="1390"/>
      <c r="O1736" s="2479"/>
      <c r="P1736" s="2282"/>
      <c r="AG1736" s="2297">
        <v>203.25</v>
      </c>
      <c r="AH1736" s="2297" t="s">
        <v>289</v>
      </c>
      <c r="AI1736" s="1390"/>
      <c r="AJ1736" s="2282"/>
      <c r="AK1736" s="2282"/>
      <c r="AL1736" s="1037"/>
      <c r="AX1736" s="340">
        <v>146.02000000000001</v>
      </c>
      <c r="AY1736" s="340" t="s">
        <v>331</v>
      </c>
      <c r="BN1736" s="340">
        <v>193.02</v>
      </c>
      <c r="BO1736" s="340" t="s">
        <v>331</v>
      </c>
      <c r="BP1736" s="1385"/>
      <c r="BV1736" s="236">
        <v>2502</v>
      </c>
      <c r="BW1736" s="236" t="s">
        <v>320</v>
      </c>
      <c r="CB1736" s="340">
        <v>150.01</v>
      </c>
      <c r="CC1736" s="340" t="s">
        <v>331</v>
      </c>
      <c r="CL1736" s="236">
        <v>102.11</v>
      </c>
      <c r="CM1736" s="236" t="s">
        <v>297</v>
      </c>
      <c r="CR1736" s="340">
        <v>198.01</v>
      </c>
      <c r="CS1736" s="340" t="s">
        <v>331</v>
      </c>
      <c r="CT1736" s="1384"/>
      <c r="DF1736" s="340">
        <v>9722</v>
      </c>
      <c r="DG1736" s="340" t="s">
        <v>333</v>
      </c>
      <c r="DV1736" s="340">
        <v>205.01</v>
      </c>
      <c r="DW1736" s="340" t="s">
        <v>294</v>
      </c>
      <c r="DX1736" s="1671"/>
    </row>
    <row r="1737" spans="12:128">
      <c r="L1737" s="2481">
        <v>501.03</v>
      </c>
      <c r="M1737" s="340" t="s">
        <v>335</v>
      </c>
      <c r="N1737" s="1390"/>
      <c r="O1737" s="2479"/>
      <c r="P1737" s="2282"/>
      <c r="AG1737" s="2297">
        <v>203.26</v>
      </c>
      <c r="AH1737" s="2297" t="s">
        <v>289</v>
      </c>
      <c r="AI1737" s="1390"/>
      <c r="AJ1737" s="2282"/>
      <c r="AK1737" s="2282"/>
      <c r="AL1737" s="1037"/>
      <c r="AX1737" s="340">
        <v>147.02000000000001</v>
      </c>
      <c r="AY1737" s="340" t="s">
        <v>331</v>
      </c>
      <c r="BN1737" s="340">
        <v>194.01</v>
      </c>
      <c r="BO1737" s="340" t="s">
        <v>331</v>
      </c>
      <c r="BP1737" s="1385"/>
      <c r="BV1737" s="236">
        <v>9900</v>
      </c>
      <c r="BW1737" s="236" t="s">
        <v>320</v>
      </c>
      <c r="CB1737" s="340">
        <v>151.01</v>
      </c>
      <c r="CC1737" s="340" t="s">
        <v>331</v>
      </c>
      <c r="CL1737" s="236">
        <v>102.11</v>
      </c>
      <c r="CM1737" s="236" t="s">
        <v>316</v>
      </c>
      <c r="CR1737" s="340">
        <v>198.02</v>
      </c>
      <c r="CS1737" s="340" t="s">
        <v>331</v>
      </c>
      <c r="CT1737" s="1384"/>
      <c r="DF1737" s="340">
        <v>9725</v>
      </c>
      <c r="DG1737" s="340" t="s">
        <v>333</v>
      </c>
      <c r="DV1737" s="340">
        <v>205.02</v>
      </c>
      <c r="DW1737" s="340" t="s">
        <v>294</v>
      </c>
      <c r="DX1737" s="1671"/>
    </row>
    <row r="1738" spans="12:128">
      <c r="L1738" s="2481">
        <v>501.04</v>
      </c>
      <c r="M1738" s="340" t="s">
        <v>335</v>
      </c>
      <c r="N1738" s="1390"/>
      <c r="O1738" s="2479"/>
      <c r="P1738" s="2282"/>
      <c r="AG1738" s="2297">
        <v>204</v>
      </c>
      <c r="AH1738" s="2297" t="s">
        <v>323</v>
      </c>
      <c r="AI1738" s="1390"/>
      <c r="AJ1738" s="2282"/>
      <c r="AK1738" s="2282"/>
      <c r="AL1738" s="1037"/>
      <c r="AX1738" s="340">
        <v>149</v>
      </c>
      <c r="AY1738" s="340" t="s">
        <v>331</v>
      </c>
      <c r="BN1738" s="340">
        <v>194.02</v>
      </c>
      <c r="BO1738" s="340" t="s">
        <v>331</v>
      </c>
      <c r="BP1738" s="1385"/>
      <c r="BV1738" s="236">
        <v>301.02</v>
      </c>
      <c r="BW1738" s="236" t="s">
        <v>322</v>
      </c>
      <c r="CB1738" s="340">
        <v>151.02000000000001</v>
      </c>
      <c r="CC1738" s="340" t="s">
        <v>331</v>
      </c>
      <c r="CL1738" s="236">
        <v>102.11</v>
      </c>
      <c r="CM1738" s="236" t="s">
        <v>331</v>
      </c>
      <c r="CR1738" s="340">
        <v>199.02</v>
      </c>
      <c r="CS1738" s="340" t="s">
        <v>331</v>
      </c>
      <c r="CT1738" s="1384"/>
      <c r="DF1738" s="340">
        <v>9728</v>
      </c>
      <c r="DG1738" s="340" t="s">
        <v>333</v>
      </c>
      <c r="DV1738" s="340">
        <v>206</v>
      </c>
      <c r="DW1738" s="340" t="s">
        <v>307</v>
      </c>
      <c r="DX1738" s="1671"/>
    </row>
    <row r="1739" spans="12:128">
      <c r="L1739" s="2481">
        <v>502.01</v>
      </c>
      <c r="M1739" s="340" t="s">
        <v>335</v>
      </c>
      <c r="N1739" s="1390"/>
      <c r="O1739" s="2479"/>
      <c r="P1739" s="2282"/>
      <c r="AG1739" s="2297">
        <v>204</v>
      </c>
      <c r="AH1739" s="2297" t="s">
        <v>342</v>
      </c>
      <c r="AI1739" s="1390"/>
      <c r="AJ1739" s="2282"/>
      <c r="AK1739" s="2282"/>
      <c r="AL1739" s="1037"/>
      <c r="AX1739" s="340">
        <v>150.01</v>
      </c>
      <c r="AY1739" s="340" t="s">
        <v>331</v>
      </c>
      <c r="BN1739" s="340">
        <v>195.01</v>
      </c>
      <c r="BO1739" s="340" t="s">
        <v>331</v>
      </c>
      <c r="BP1739" s="1385"/>
      <c r="BV1739" s="236">
        <v>301.04000000000002</v>
      </c>
      <c r="BW1739" s="236" t="s">
        <v>322</v>
      </c>
      <c r="CB1739" s="340">
        <v>151.03</v>
      </c>
      <c r="CC1739" s="340" t="s">
        <v>331</v>
      </c>
      <c r="CL1739" s="236">
        <v>102.12</v>
      </c>
      <c r="CM1739" s="236" t="s">
        <v>316</v>
      </c>
      <c r="CR1739" s="340">
        <v>200.02</v>
      </c>
      <c r="CS1739" s="340" t="s">
        <v>331</v>
      </c>
      <c r="CT1739" s="1384"/>
      <c r="DF1739" s="340">
        <v>501.02</v>
      </c>
      <c r="DG1739" s="340" t="s">
        <v>335</v>
      </c>
      <c r="DV1739" s="340">
        <v>206.01</v>
      </c>
      <c r="DW1739" s="340" t="s">
        <v>336</v>
      </c>
      <c r="DX1739" s="1671"/>
    </row>
    <row r="1740" spans="12:128">
      <c r="L1740" s="2481">
        <v>502.03</v>
      </c>
      <c r="M1740" s="340" t="s">
        <v>335</v>
      </c>
      <c r="N1740" s="1390"/>
      <c r="O1740" s="2479"/>
      <c r="P1740" s="2282"/>
      <c r="AG1740" s="2297">
        <v>204.01</v>
      </c>
      <c r="AH1740" s="2297" t="s">
        <v>294</v>
      </c>
      <c r="AI1740" s="1390"/>
      <c r="AJ1740" s="2282"/>
      <c r="AK1740" s="2282"/>
      <c r="AL1740" s="1037"/>
      <c r="AX1740" s="340">
        <v>151.01</v>
      </c>
      <c r="AY1740" s="340" t="s">
        <v>331</v>
      </c>
      <c r="BN1740" s="340">
        <v>195.02</v>
      </c>
      <c r="BO1740" s="340" t="s">
        <v>331</v>
      </c>
      <c r="BP1740" s="1385"/>
      <c r="BV1740" s="236">
        <v>301.06</v>
      </c>
      <c r="BW1740" s="236" t="s">
        <v>322</v>
      </c>
      <c r="CB1740" s="340">
        <v>152.01</v>
      </c>
      <c r="CC1740" s="340" t="s">
        <v>331</v>
      </c>
      <c r="CL1740" s="236">
        <v>102.12</v>
      </c>
      <c r="CM1740" s="236" t="s">
        <v>331</v>
      </c>
      <c r="CR1740" s="340">
        <v>201</v>
      </c>
      <c r="CS1740" s="340" t="s">
        <v>331</v>
      </c>
      <c r="CT1740" s="1384"/>
      <c r="DF1740" s="340">
        <v>501.03</v>
      </c>
      <c r="DG1740" s="340" t="s">
        <v>335</v>
      </c>
      <c r="DV1740" s="340">
        <v>206.02</v>
      </c>
      <c r="DW1740" s="340" t="s">
        <v>348</v>
      </c>
      <c r="DX1740" s="1671"/>
    </row>
    <row r="1741" spans="12:128">
      <c r="L1741" s="2481">
        <v>502.04</v>
      </c>
      <c r="M1741" s="340" t="s">
        <v>335</v>
      </c>
      <c r="N1741" s="1390"/>
      <c r="O1741" s="2479"/>
      <c r="P1741" s="2282"/>
      <c r="AG1741" s="2297">
        <v>204.02</v>
      </c>
      <c r="AH1741" s="2297" t="s">
        <v>294</v>
      </c>
      <c r="AI1741" s="1390"/>
      <c r="AJ1741" s="2282"/>
      <c r="AK1741" s="2282"/>
      <c r="AL1741" s="1037"/>
      <c r="AX1741" s="340">
        <v>151.02000000000001</v>
      </c>
      <c r="AY1741" s="340" t="s">
        <v>331</v>
      </c>
      <c r="BN1741" s="340">
        <v>196</v>
      </c>
      <c r="BO1741" s="340" t="s">
        <v>331</v>
      </c>
      <c r="BP1741" s="1385"/>
      <c r="BV1741" s="236">
        <v>301.08</v>
      </c>
      <c r="BW1741" s="236" t="s">
        <v>322</v>
      </c>
      <c r="CB1741" s="340">
        <v>152.02000000000001</v>
      </c>
      <c r="CC1741" s="340" t="s">
        <v>331</v>
      </c>
      <c r="CL1741" s="236">
        <v>102.13</v>
      </c>
      <c r="CM1741" s="236" t="s">
        <v>297</v>
      </c>
      <c r="CR1741" s="340">
        <v>201.01</v>
      </c>
      <c r="CS1741" s="340" t="s">
        <v>289</v>
      </c>
      <c r="CT1741" s="1384"/>
      <c r="DF1741" s="340">
        <v>501.04</v>
      </c>
      <c r="DG1741" s="340" t="s">
        <v>335</v>
      </c>
      <c r="DV1741" s="340">
        <v>206.03</v>
      </c>
      <c r="DW1741" s="340" t="s">
        <v>349</v>
      </c>
      <c r="DX1741" s="1671"/>
    </row>
    <row r="1742" spans="12:128">
      <c r="L1742" s="2481">
        <v>502.05</v>
      </c>
      <c r="M1742" s="340" t="s">
        <v>335</v>
      </c>
      <c r="N1742" s="1390"/>
      <c r="O1742" s="2479"/>
      <c r="P1742" s="2282"/>
      <c r="AG1742" s="2297">
        <v>204.04</v>
      </c>
      <c r="AH1742" s="2297" t="s">
        <v>289</v>
      </c>
      <c r="AI1742" s="1390"/>
      <c r="AJ1742" s="2282"/>
      <c r="AK1742" s="2282"/>
      <c r="AL1742" s="1037"/>
      <c r="AX1742" s="340">
        <v>151.03</v>
      </c>
      <c r="AY1742" s="340" t="s">
        <v>331</v>
      </c>
      <c r="BN1742" s="340">
        <v>197</v>
      </c>
      <c r="BO1742" s="340" t="s">
        <v>331</v>
      </c>
      <c r="BP1742" s="1385"/>
      <c r="BV1742" s="236">
        <v>301.08999999999997</v>
      </c>
      <c r="BW1742" s="236" t="s">
        <v>322</v>
      </c>
      <c r="CB1742" s="340">
        <v>153</v>
      </c>
      <c r="CC1742" s="340" t="s">
        <v>331</v>
      </c>
      <c r="CL1742" s="236">
        <v>102.13</v>
      </c>
      <c r="CM1742" s="236" t="s">
        <v>316</v>
      </c>
      <c r="CR1742" s="340">
        <v>201.01</v>
      </c>
      <c r="CS1742" s="340" t="s">
        <v>307</v>
      </c>
      <c r="CT1742" s="1384"/>
      <c r="DF1742" s="340">
        <v>502.01</v>
      </c>
      <c r="DG1742" s="340" t="s">
        <v>335</v>
      </c>
      <c r="DV1742" s="340">
        <v>206.04</v>
      </c>
      <c r="DW1742" s="340" t="s">
        <v>349</v>
      </c>
      <c r="DX1742" s="1671"/>
    </row>
    <row r="1743" spans="12:128">
      <c r="L1743" s="2481">
        <v>503.04</v>
      </c>
      <c r="M1743" s="340" t="s">
        <v>335</v>
      </c>
      <c r="N1743" s="1390"/>
      <c r="O1743" s="2479"/>
      <c r="P1743" s="2282"/>
      <c r="AG1743" s="2297">
        <v>204.06</v>
      </c>
      <c r="AH1743" s="2297" t="s">
        <v>289</v>
      </c>
      <c r="AI1743" s="1390"/>
      <c r="AJ1743" s="2282"/>
      <c r="AK1743" s="2282"/>
      <c r="AL1743" s="1037"/>
      <c r="AX1743" s="340">
        <v>152.01</v>
      </c>
      <c r="AY1743" s="340" t="s">
        <v>331</v>
      </c>
      <c r="BN1743" s="340">
        <v>198.01</v>
      </c>
      <c r="BO1743" s="340" t="s">
        <v>331</v>
      </c>
      <c r="BP1743" s="1385"/>
      <c r="BV1743" s="236">
        <v>301.10000000000002</v>
      </c>
      <c r="BW1743" s="236" t="s">
        <v>322</v>
      </c>
      <c r="CB1743" s="340">
        <v>154</v>
      </c>
      <c r="CC1743" s="340" t="s">
        <v>331</v>
      </c>
      <c r="CL1743" s="236">
        <v>102.13</v>
      </c>
      <c r="CM1743" s="236" t="s">
        <v>331</v>
      </c>
      <c r="CR1743" s="340">
        <v>201.01</v>
      </c>
      <c r="CS1743" s="340" t="s">
        <v>336</v>
      </c>
      <c r="CT1743" s="1384"/>
      <c r="DF1743" s="340">
        <v>502.03</v>
      </c>
      <c r="DG1743" s="340" t="s">
        <v>335</v>
      </c>
      <c r="DV1743" s="340">
        <v>206.05</v>
      </c>
      <c r="DW1743" s="340" t="s">
        <v>349</v>
      </c>
      <c r="DX1743" s="1671"/>
    </row>
    <row r="1744" spans="12:128">
      <c r="L1744" s="2481">
        <v>503.06</v>
      </c>
      <c r="M1744" s="340" t="s">
        <v>335</v>
      </c>
      <c r="N1744" s="1390"/>
      <c r="O1744" s="2479"/>
      <c r="P1744" s="2282"/>
      <c r="AG1744" s="2297">
        <v>204.07</v>
      </c>
      <c r="AH1744" s="2297" t="s">
        <v>289</v>
      </c>
      <c r="AI1744" s="1390"/>
      <c r="AJ1744" s="2282"/>
      <c r="AK1744" s="2282"/>
      <c r="AL1744" s="1037"/>
      <c r="AX1744" s="340">
        <v>152.02000000000001</v>
      </c>
      <c r="AY1744" s="340" t="s">
        <v>331</v>
      </c>
      <c r="BN1744" s="340">
        <v>198.02</v>
      </c>
      <c r="BO1744" s="340" t="s">
        <v>331</v>
      </c>
      <c r="BP1744" s="1385"/>
      <c r="BV1744" s="236">
        <v>301.11</v>
      </c>
      <c r="BW1744" s="236" t="s">
        <v>322</v>
      </c>
      <c r="CB1744" s="340">
        <v>155.02000000000001</v>
      </c>
      <c r="CC1744" s="340" t="s">
        <v>331</v>
      </c>
      <c r="CL1744" s="236">
        <v>102.14</v>
      </c>
      <c r="CM1744" s="236" t="s">
        <v>331</v>
      </c>
      <c r="CR1744" s="340">
        <v>201.02</v>
      </c>
      <c r="CS1744" s="340" t="s">
        <v>336</v>
      </c>
      <c r="CT1744" s="1384"/>
      <c r="DF1744" s="340">
        <v>502.04</v>
      </c>
      <c r="DG1744" s="340" t="s">
        <v>335</v>
      </c>
      <c r="DV1744" s="340">
        <v>206.06</v>
      </c>
      <c r="DW1744" s="340" t="s">
        <v>349</v>
      </c>
      <c r="DX1744" s="1671"/>
    </row>
    <row r="1745" spans="12:128">
      <c r="L1745" s="2481">
        <v>503.07</v>
      </c>
      <c r="M1745" s="340" t="s">
        <v>335</v>
      </c>
      <c r="N1745" s="1390"/>
      <c r="O1745" s="2479"/>
      <c r="P1745" s="2282"/>
      <c r="AG1745" s="2297">
        <v>204.15</v>
      </c>
      <c r="AH1745" s="2297" t="s">
        <v>289</v>
      </c>
      <c r="AI1745" s="1390"/>
      <c r="AJ1745" s="2282"/>
      <c r="AK1745" s="2282"/>
      <c r="AL1745" s="1037"/>
      <c r="AX1745" s="340">
        <v>153</v>
      </c>
      <c r="AY1745" s="340" t="s">
        <v>331</v>
      </c>
      <c r="BN1745" s="340">
        <v>199.02</v>
      </c>
      <c r="BO1745" s="340" t="s">
        <v>331</v>
      </c>
      <c r="BP1745" s="1385"/>
      <c r="BV1745" s="236">
        <v>301.12</v>
      </c>
      <c r="BW1745" s="236" t="s">
        <v>322</v>
      </c>
      <c r="CB1745" s="340">
        <v>156</v>
      </c>
      <c r="CC1745" s="340" t="s">
        <v>331</v>
      </c>
      <c r="CL1745" s="236">
        <v>102.15</v>
      </c>
      <c r="CM1745" s="236" t="s">
        <v>297</v>
      </c>
      <c r="CR1745" s="340">
        <v>201.03</v>
      </c>
      <c r="CS1745" s="340" t="s">
        <v>294</v>
      </c>
      <c r="CT1745" s="1384"/>
      <c r="DF1745" s="340">
        <v>502.05</v>
      </c>
      <c r="DG1745" s="340" t="s">
        <v>335</v>
      </c>
      <c r="DV1745" s="340">
        <v>207</v>
      </c>
      <c r="DW1745" s="340" t="s">
        <v>323</v>
      </c>
      <c r="DX1745" s="1671"/>
    </row>
    <row r="1746" spans="12:128">
      <c r="L1746" s="2481">
        <v>503.08</v>
      </c>
      <c r="M1746" s="340" t="s">
        <v>335</v>
      </c>
      <c r="N1746" s="1390"/>
      <c r="O1746" s="2479"/>
      <c r="P1746" s="2282"/>
      <c r="AG1746" s="2297">
        <v>204.18</v>
      </c>
      <c r="AH1746" s="2297" t="s">
        <v>289</v>
      </c>
      <c r="AI1746" s="1390"/>
      <c r="AJ1746" s="2282"/>
      <c r="AK1746" s="2282"/>
      <c r="AL1746" s="1037"/>
      <c r="AX1746" s="340">
        <v>154</v>
      </c>
      <c r="AY1746" s="340" t="s">
        <v>331</v>
      </c>
      <c r="BN1746" s="340">
        <v>200.02</v>
      </c>
      <c r="BO1746" s="340" t="s">
        <v>331</v>
      </c>
      <c r="BP1746" s="1385"/>
      <c r="BV1746" s="236">
        <v>302.02999999999997</v>
      </c>
      <c r="BW1746" s="236" t="s">
        <v>322</v>
      </c>
      <c r="CB1746" s="340">
        <v>157</v>
      </c>
      <c r="CC1746" s="340" t="s">
        <v>331</v>
      </c>
      <c r="CL1746" s="236">
        <v>102.15</v>
      </c>
      <c r="CM1746" s="236" t="s">
        <v>316</v>
      </c>
      <c r="CR1746" s="340">
        <v>201.03</v>
      </c>
      <c r="CS1746" s="340" t="s">
        <v>307</v>
      </c>
      <c r="CT1746" s="1384"/>
      <c r="DF1746" s="340">
        <v>503.04</v>
      </c>
      <c r="DG1746" s="340" t="s">
        <v>335</v>
      </c>
      <c r="DV1746" s="340">
        <v>207</v>
      </c>
      <c r="DW1746" s="340" t="s">
        <v>342</v>
      </c>
      <c r="DX1746" s="1671"/>
    </row>
    <row r="1747" spans="12:128">
      <c r="L1747" s="2481">
        <v>503.09</v>
      </c>
      <c r="M1747" s="340" t="s">
        <v>335</v>
      </c>
      <c r="N1747" s="1390"/>
      <c r="O1747" s="2479"/>
      <c r="P1747" s="2282"/>
      <c r="AG1747" s="2297">
        <v>204.19</v>
      </c>
      <c r="AH1747" s="2297" t="s">
        <v>289</v>
      </c>
      <c r="AI1747" s="1390"/>
      <c r="AJ1747" s="2282"/>
      <c r="AK1747" s="2282"/>
      <c r="AL1747" s="1037"/>
      <c r="AX1747" s="340">
        <v>155.02000000000001</v>
      </c>
      <c r="AY1747" s="340" t="s">
        <v>331</v>
      </c>
      <c r="BN1747" s="340">
        <v>201.01</v>
      </c>
      <c r="BO1747" s="340" t="s">
        <v>294</v>
      </c>
      <c r="BP1747" s="1385"/>
      <c r="BV1747" s="236">
        <v>302.04000000000002</v>
      </c>
      <c r="BW1747" s="236" t="s">
        <v>322</v>
      </c>
      <c r="CB1747" s="340">
        <v>158</v>
      </c>
      <c r="CC1747" s="340" t="s">
        <v>331</v>
      </c>
      <c r="CL1747" s="236">
        <v>102.16</v>
      </c>
      <c r="CM1747" s="236" t="s">
        <v>297</v>
      </c>
      <c r="CR1747" s="340">
        <v>201.04</v>
      </c>
      <c r="CS1747" s="340" t="s">
        <v>294</v>
      </c>
      <c r="CT1747" s="1384"/>
      <c r="DF1747" s="340">
        <v>503.06</v>
      </c>
      <c r="DG1747" s="340" t="s">
        <v>335</v>
      </c>
      <c r="DV1747" s="340">
        <v>207.01</v>
      </c>
      <c r="DW1747" s="340" t="s">
        <v>336</v>
      </c>
      <c r="DX1747" s="1671"/>
    </row>
    <row r="1748" spans="12:128">
      <c r="L1748" s="2481">
        <v>503.1</v>
      </c>
      <c r="M1748" s="340" t="s">
        <v>335</v>
      </c>
      <c r="N1748" s="1390"/>
      <c r="O1748" s="2479"/>
      <c r="P1748" s="2282"/>
      <c r="AG1748" s="2297">
        <v>205</v>
      </c>
      <c r="AH1748" s="2297" t="s">
        <v>307</v>
      </c>
      <c r="AI1748" s="1390"/>
      <c r="AJ1748" s="2282"/>
      <c r="AK1748" s="2282"/>
      <c r="AL1748" s="1037"/>
      <c r="AX1748" s="340">
        <v>156</v>
      </c>
      <c r="AY1748" s="340" t="s">
        <v>331</v>
      </c>
      <c r="BN1748" s="340">
        <v>201.01</v>
      </c>
      <c r="BO1748" s="340" t="s">
        <v>307</v>
      </c>
      <c r="BP1748" s="1385"/>
      <c r="BV1748" s="236">
        <v>302.06</v>
      </c>
      <c r="BW1748" s="236" t="s">
        <v>322</v>
      </c>
      <c r="CB1748" s="340">
        <v>160</v>
      </c>
      <c r="CC1748" s="340" t="s">
        <v>331</v>
      </c>
      <c r="CL1748" s="236">
        <v>102.16</v>
      </c>
      <c r="CM1748" s="236" t="s">
        <v>316</v>
      </c>
      <c r="CR1748" s="340">
        <v>201.04</v>
      </c>
      <c r="CS1748" s="340" t="s">
        <v>307</v>
      </c>
      <c r="CT1748" s="1384"/>
      <c r="DF1748" s="340">
        <v>503.07</v>
      </c>
      <c r="DG1748" s="340" t="s">
        <v>335</v>
      </c>
      <c r="DV1748" s="340">
        <v>207.02</v>
      </c>
      <c r="DW1748" s="340" t="s">
        <v>336</v>
      </c>
      <c r="DX1748" s="1671"/>
    </row>
    <row r="1749" spans="12:128">
      <c r="L1749" s="2481">
        <v>504.01</v>
      </c>
      <c r="M1749" s="340" t="s">
        <v>335</v>
      </c>
      <c r="N1749" s="1390"/>
      <c r="O1749" s="2479"/>
      <c r="P1749" s="2282"/>
      <c r="AG1749" s="2297">
        <v>205</v>
      </c>
      <c r="AH1749" s="2297" t="s">
        <v>349</v>
      </c>
      <c r="AI1749" s="1390"/>
      <c r="AJ1749" s="2282"/>
      <c r="AK1749" s="2282"/>
      <c r="AL1749" s="1037"/>
      <c r="AX1749" s="340">
        <v>157</v>
      </c>
      <c r="AY1749" s="340" t="s">
        <v>331</v>
      </c>
      <c r="BN1749" s="340">
        <v>201.01</v>
      </c>
      <c r="BO1749" s="340" t="s">
        <v>336</v>
      </c>
      <c r="BP1749" s="1385"/>
      <c r="BV1749" s="236">
        <v>302.08</v>
      </c>
      <c r="BW1749" s="236" t="s">
        <v>322</v>
      </c>
      <c r="CB1749" s="340">
        <v>161</v>
      </c>
      <c r="CC1749" s="340" t="s">
        <v>331</v>
      </c>
      <c r="CL1749" s="236">
        <v>102.17</v>
      </c>
      <c r="CM1749" s="236" t="s">
        <v>297</v>
      </c>
      <c r="CR1749" s="340">
        <v>201.04</v>
      </c>
      <c r="CS1749" s="340" t="s">
        <v>323</v>
      </c>
      <c r="CT1749" s="1384"/>
      <c r="DF1749" s="340">
        <v>503.08</v>
      </c>
      <c r="DG1749" s="340" t="s">
        <v>335</v>
      </c>
      <c r="DV1749" s="340">
        <v>207.03</v>
      </c>
      <c r="DW1749" s="340" t="s">
        <v>348</v>
      </c>
      <c r="DX1749" s="1671"/>
    </row>
    <row r="1750" spans="12:128">
      <c r="L1750" s="2481">
        <v>505.06</v>
      </c>
      <c r="M1750" s="340" t="s">
        <v>335</v>
      </c>
      <c r="N1750" s="1390"/>
      <c r="O1750" s="2479"/>
      <c r="P1750" s="2282"/>
      <c r="AG1750" s="2297">
        <v>205.01</v>
      </c>
      <c r="AH1750" s="2297" t="s">
        <v>294</v>
      </c>
      <c r="AI1750" s="1390"/>
      <c r="AJ1750" s="2282"/>
      <c r="AK1750" s="2282"/>
      <c r="AL1750" s="1037"/>
      <c r="AX1750" s="340">
        <v>158</v>
      </c>
      <c r="AY1750" s="340" t="s">
        <v>331</v>
      </c>
      <c r="BN1750" s="340">
        <v>201.03</v>
      </c>
      <c r="BO1750" s="340" t="s">
        <v>294</v>
      </c>
      <c r="BP1750" s="1385"/>
      <c r="BV1750" s="236">
        <v>302.08999999999997</v>
      </c>
      <c r="BW1750" s="236" t="s">
        <v>322</v>
      </c>
      <c r="CB1750" s="340">
        <v>162</v>
      </c>
      <c r="CC1750" s="340" t="s">
        <v>331</v>
      </c>
      <c r="CL1750" s="236">
        <v>102.17</v>
      </c>
      <c r="CM1750" s="236" t="s">
        <v>316</v>
      </c>
      <c r="CR1750" s="340">
        <v>201.05</v>
      </c>
      <c r="CS1750" s="340" t="s">
        <v>342</v>
      </c>
      <c r="CT1750" s="1384"/>
      <c r="DF1750" s="340">
        <v>503.1</v>
      </c>
      <c r="DG1750" s="340" t="s">
        <v>335</v>
      </c>
      <c r="DV1750" s="340">
        <v>207.04</v>
      </c>
      <c r="DW1750" s="340" t="s">
        <v>348</v>
      </c>
      <c r="DX1750" s="1671"/>
    </row>
    <row r="1751" spans="12:128">
      <c r="L1751" s="2481">
        <v>201.01</v>
      </c>
      <c r="M1751" s="340" t="s">
        <v>336</v>
      </c>
      <c r="N1751" s="1390"/>
      <c r="O1751" s="2479"/>
      <c r="P1751" s="2282"/>
      <c r="AG1751" s="2297">
        <v>206</v>
      </c>
      <c r="AH1751" s="2297" t="s">
        <v>307</v>
      </c>
      <c r="AI1751" s="1390"/>
      <c r="AJ1751" s="2282"/>
      <c r="AK1751" s="2282"/>
      <c r="AL1751" s="1037"/>
      <c r="AX1751" s="340">
        <v>160</v>
      </c>
      <c r="AY1751" s="340" t="s">
        <v>331</v>
      </c>
      <c r="BN1751" s="340">
        <v>201.03</v>
      </c>
      <c r="BO1751" s="340" t="s">
        <v>307</v>
      </c>
      <c r="BP1751" s="1385"/>
      <c r="BV1751" s="236">
        <v>302.10000000000002</v>
      </c>
      <c r="BW1751" s="236" t="s">
        <v>322</v>
      </c>
      <c r="CB1751" s="340">
        <v>163</v>
      </c>
      <c r="CC1751" s="340" t="s">
        <v>331</v>
      </c>
      <c r="CL1751" s="236">
        <v>102.18</v>
      </c>
      <c r="CM1751" s="236" t="s">
        <v>316</v>
      </c>
      <c r="CR1751" s="340">
        <v>201.06</v>
      </c>
      <c r="CS1751" s="340" t="s">
        <v>342</v>
      </c>
      <c r="CT1751" s="1384"/>
      <c r="DF1751" s="340">
        <v>504.02</v>
      </c>
      <c r="DG1751" s="340" t="s">
        <v>335</v>
      </c>
      <c r="DV1751" s="340">
        <v>207.04</v>
      </c>
      <c r="DW1751" s="340" t="s">
        <v>349</v>
      </c>
      <c r="DX1751" s="1671"/>
    </row>
    <row r="1752" spans="12:128">
      <c r="L1752" s="2481">
        <v>201.02</v>
      </c>
      <c r="M1752" s="340" t="s">
        <v>336</v>
      </c>
      <c r="N1752" s="1390"/>
      <c r="O1752" s="2479"/>
      <c r="P1752" s="2282"/>
      <c r="AG1752" s="2297">
        <v>206.02</v>
      </c>
      <c r="AH1752" s="2297" t="s">
        <v>348</v>
      </c>
      <c r="AI1752" s="1390"/>
      <c r="AJ1752" s="2282"/>
      <c r="AK1752" s="2282"/>
      <c r="AL1752" s="1037"/>
      <c r="AX1752" s="340">
        <v>161</v>
      </c>
      <c r="AY1752" s="340" t="s">
        <v>331</v>
      </c>
      <c r="BN1752" s="340">
        <v>201.04</v>
      </c>
      <c r="BO1752" s="340" t="s">
        <v>294</v>
      </c>
      <c r="BP1752" s="1385"/>
      <c r="BV1752" s="236">
        <v>302.11</v>
      </c>
      <c r="BW1752" s="236" t="s">
        <v>322</v>
      </c>
      <c r="CB1752" s="340">
        <v>164.01</v>
      </c>
      <c r="CC1752" s="340" t="s">
        <v>331</v>
      </c>
      <c r="CL1752" s="236">
        <v>103</v>
      </c>
      <c r="CM1752" s="236" t="s">
        <v>297</v>
      </c>
      <c r="CR1752" s="340">
        <v>201.07</v>
      </c>
      <c r="CS1752" s="340" t="s">
        <v>342</v>
      </c>
      <c r="CT1752" s="1384"/>
      <c r="DF1752" s="340">
        <v>505.06</v>
      </c>
      <c r="DG1752" s="340" t="s">
        <v>335</v>
      </c>
      <c r="DV1752" s="340">
        <v>207.05</v>
      </c>
      <c r="DW1752" s="340" t="s">
        <v>348</v>
      </c>
      <c r="DX1752" s="1671"/>
    </row>
    <row r="1753" spans="12:128">
      <c r="L1753" s="2481">
        <v>203.03</v>
      </c>
      <c r="M1753" s="340" t="s">
        <v>336</v>
      </c>
      <c r="N1753" s="1390"/>
      <c r="O1753" s="2479"/>
      <c r="P1753" s="2282"/>
      <c r="AG1753" s="2297">
        <v>206.03</v>
      </c>
      <c r="AH1753" s="2297" t="s">
        <v>349</v>
      </c>
      <c r="AI1753" s="1390"/>
      <c r="AJ1753" s="2282"/>
      <c r="AK1753" s="2282"/>
      <c r="AL1753" s="1037"/>
      <c r="AX1753" s="340">
        <v>162</v>
      </c>
      <c r="AY1753" s="340" t="s">
        <v>331</v>
      </c>
      <c r="BN1753" s="340">
        <v>201.04</v>
      </c>
      <c r="BO1753" s="340" t="s">
        <v>307</v>
      </c>
      <c r="BP1753" s="1385"/>
      <c r="BV1753" s="236">
        <v>303.02</v>
      </c>
      <c r="BW1753" s="236" t="s">
        <v>322</v>
      </c>
      <c r="CB1753" s="340">
        <v>164.02</v>
      </c>
      <c r="CC1753" s="340" t="s">
        <v>331</v>
      </c>
      <c r="CL1753" s="236">
        <v>103</v>
      </c>
      <c r="CM1753" s="236" t="s">
        <v>338</v>
      </c>
      <c r="CR1753" s="340">
        <v>201.08</v>
      </c>
      <c r="CS1753" s="340" t="s">
        <v>342</v>
      </c>
      <c r="CT1753" s="1384"/>
      <c r="DF1753" s="340">
        <v>505.07</v>
      </c>
      <c r="DG1753" s="340" t="s">
        <v>335</v>
      </c>
      <c r="DV1753" s="340">
        <v>207.05</v>
      </c>
      <c r="DW1753" s="340" t="s">
        <v>349</v>
      </c>
      <c r="DX1753" s="1671"/>
    </row>
    <row r="1754" spans="12:128">
      <c r="L1754" s="2481">
        <v>203.04</v>
      </c>
      <c r="M1754" s="340" t="s">
        <v>336</v>
      </c>
      <c r="N1754" s="1390"/>
      <c r="O1754" s="2479"/>
      <c r="P1754" s="2282"/>
      <c r="AG1754" s="2297">
        <v>206.04</v>
      </c>
      <c r="AH1754" s="2297" t="s">
        <v>349</v>
      </c>
      <c r="AI1754" s="1390"/>
      <c r="AJ1754" s="2282"/>
      <c r="AK1754" s="2282"/>
      <c r="AL1754" s="1037"/>
      <c r="AX1754" s="340">
        <v>163</v>
      </c>
      <c r="AY1754" s="340" t="s">
        <v>331</v>
      </c>
      <c r="BN1754" s="340">
        <v>201.04</v>
      </c>
      <c r="BO1754" s="340" t="s">
        <v>323</v>
      </c>
      <c r="BP1754" s="1385"/>
      <c r="BV1754" s="236">
        <v>303.05</v>
      </c>
      <c r="BW1754" s="236" t="s">
        <v>322</v>
      </c>
      <c r="CB1754" s="340">
        <v>165.01</v>
      </c>
      <c r="CC1754" s="340" t="s">
        <v>331</v>
      </c>
      <c r="CL1754" s="236">
        <v>103</v>
      </c>
      <c r="CM1754" s="236" t="s">
        <v>344</v>
      </c>
      <c r="CR1754" s="340">
        <v>201.1</v>
      </c>
      <c r="CS1754" s="340" t="s">
        <v>342</v>
      </c>
      <c r="CT1754" s="1384"/>
      <c r="DF1754" s="340">
        <v>201.01</v>
      </c>
      <c r="DG1754" s="340" t="s">
        <v>336</v>
      </c>
      <c r="DV1754" s="340">
        <v>207.06</v>
      </c>
      <c r="DW1754" s="340" t="s">
        <v>348</v>
      </c>
      <c r="DX1754" s="1671"/>
    </row>
    <row r="1755" spans="12:128">
      <c r="L1755" s="2481">
        <v>207.01</v>
      </c>
      <c r="M1755" s="340" t="s">
        <v>336</v>
      </c>
      <c r="N1755" s="1390"/>
      <c r="O1755" s="2479"/>
      <c r="P1755" s="2282"/>
      <c r="AG1755" s="2297">
        <v>206.05</v>
      </c>
      <c r="AH1755" s="2297" t="s">
        <v>349</v>
      </c>
      <c r="AI1755" s="1390"/>
      <c r="AJ1755" s="2282"/>
      <c r="AK1755" s="2282"/>
      <c r="AL1755" s="1037"/>
      <c r="AX1755" s="340">
        <v>164.01</v>
      </c>
      <c r="AY1755" s="340" t="s">
        <v>331</v>
      </c>
      <c r="BN1755" s="340">
        <v>201.05</v>
      </c>
      <c r="BO1755" s="340" t="s">
        <v>342</v>
      </c>
      <c r="BP1755" s="1385"/>
      <c r="BV1755" s="236">
        <v>303.06</v>
      </c>
      <c r="BW1755" s="236" t="s">
        <v>322</v>
      </c>
      <c r="CB1755" s="340">
        <v>165.02</v>
      </c>
      <c r="CC1755" s="340" t="s">
        <v>331</v>
      </c>
      <c r="CL1755" s="338">
        <v>103.01</v>
      </c>
      <c r="CM1755" s="338" t="s">
        <v>294</v>
      </c>
      <c r="CR1755" s="340">
        <v>202</v>
      </c>
      <c r="CS1755" s="340" t="s">
        <v>349</v>
      </c>
      <c r="CT1755" s="1384"/>
      <c r="DF1755" s="340">
        <v>201.02</v>
      </c>
      <c r="DG1755" s="340" t="s">
        <v>336</v>
      </c>
      <c r="DV1755" s="340">
        <v>207.06</v>
      </c>
      <c r="DW1755" s="340" t="s">
        <v>349</v>
      </c>
      <c r="DX1755" s="1671"/>
    </row>
    <row r="1756" spans="12:128">
      <c r="L1756" s="2481">
        <v>207.02</v>
      </c>
      <c r="M1756" s="340" t="s">
        <v>336</v>
      </c>
      <c r="N1756" s="1390"/>
      <c r="O1756" s="2479"/>
      <c r="P1756" s="2282"/>
      <c r="AG1756" s="2297">
        <v>206.06</v>
      </c>
      <c r="AH1756" s="2297" t="s">
        <v>349</v>
      </c>
      <c r="AI1756" s="1390"/>
      <c r="AJ1756" s="2282"/>
      <c r="AK1756" s="2282"/>
      <c r="AL1756" s="1037"/>
      <c r="AX1756" s="340">
        <v>164.02</v>
      </c>
      <c r="AY1756" s="340" t="s">
        <v>331</v>
      </c>
      <c r="BN1756" s="340">
        <v>201.06</v>
      </c>
      <c r="BO1756" s="340" t="s">
        <v>342</v>
      </c>
      <c r="BP1756" s="1385"/>
      <c r="BV1756" s="236">
        <v>303.07</v>
      </c>
      <c r="BW1756" s="236" t="s">
        <v>322</v>
      </c>
      <c r="CB1756" s="340">
        <v>166</v>
      </c>
      <c r="CC1756" s="340" t="s">
        <v>331</v>
      </c>
      <c r="CL1756" s="236">
        <v>103.01</v>
      </c>
      <c r="CM1756" s="236" t="s">
        <v>302</v>
      </c>
      <c r="CR1756" s="340">
        <v>202.01</v>
      </c>
      <c r="CS1756" s="340" t="s">
        <v>342</v>
      </c>
      <c r="CT1756" s="1384"/>
      <c r="DF1756" s="340">
        <v>203.03</v>
      </c>
      <c r="DG1756" s="340" t="s">
        <v>336</v>
      </c>
      <c r="DV1756" s="340">
        <v>207.07</v>
      </c>
      <c r="DW1756" s="340" t="s">
        <v>348</v>
      </c>
      <c r="DX1756" s="1671"/>
    </row>
    <row r="1757" spans="12:128">
      <c r="L1757" s="2481">
        <v>208</v>
      </c>
      <c r="M1757" s="340" t="s">
        <v>336</v>
      </c>
      <c r="N1757" s="1390"/>
      <c r="O1757" s="2479"/>
      <c r="P1757" s="2282"/>
      <c r="AG1757" s="2297">
        <v>207</v>
      </c>
      <c r="AH1757" s="2297" t="s">
        <v>323</v>
      </c>
      <c r="AI1757" s="1390"/>
      <c r="AJ1757" s="2282"/>
      <c r="AK1757" s="2282"/>
      <c r="AL1757" s="1037"/>
      <c r="AX1757" s="340">
        <v>165.01</v>
      </c>
      <c r="AY1757" s="340" t="s">
        <v>331</v>
      </c>
      <c r="BN1757" s="340">
        <v>201.07</v>
      </c>
      <c r="BO1757" s="340" t="s">
        <v>342</v>
      </c>
      <c r="BP1757" s="1385"/>
      <c r="BV1757" s="236">
        <v>303.08</v>
      </c>
      <c r="BW1757" s="236" t="s">
        <v>322</v>
      </c>
      <c r="CB1757" s="340">
        <v>167</v>
      </c>
      <c r="CC1757" s="340" t="s">
        <v>331</v>
      </c>
      <c r="CL1757" s="236">
        <v>103.01</v>
      </c>
      <c r="CM1757" s="236" t="s">
        <v>331</v>
      </c>
      <c r="CR1757" s="340">
        <v>202.02</v>
      </c>
      <c r="CS1757" s="340" t="s">
        <v>323</v>
      </c>
      <c r="CT1757" s="1384"/>
      <c r="DF1757" s="340">
        <v>203.04</v>
      </c>
      <c r="DG1757" s="340" t="s">
        <v>336</v>
      </c>
      <c r="DV1757" s="340">
        <v>207.07</v>
      </c>
      <c r="DW1757" s="340" t="s">
        <v>349</v>
      </c>
      <c r="DX1757" s="1671"/>
    </row>
    <row r="1758" spans="12:128">
      <c r="L1758" s="2481">
        <v>209</v>
      </c>
      <c r="M1758" s="340" t="s">
        <v>336</v>
      </c>
      <c r="N1758" s="1390"/>
      <c r="O1758" s="2479"/>
      <c r="P1758" s="2282"/>
      <c r="AG1758" s="2297">
        <v>207</v>
      </c>
      <c r="AH1758" s="2297" t="s">
        <v>342</v>
      </c>
      <c r="AI1758" s="1390"/>
      <c r="AJ1758" s="2282"/>
      <c r="AK1758" s="2282"/>
      <c r="AL1758" s="1037"/>
      <c r="AX1758" s="340">
        <v>165.02</v>
      </c>
      <c r="AY1758" s="340" t="s">
        <v>331</v>
      </c>
      <c r="BN1758" s="340">
        <v>201.08</v>
      </c>
      <c r="BO1758" s="340" t="s">
        <v>342</v>
      </c>
      <c r="BP1758" s="1385"/>
      <c r="BV1758" s="236">
        <v>304.05</v>
      </c>
      <c r="BW1758" s="236" t="s">
        <v>322</v>
      </c>
      <c r="CB1758" s="340">
        <v>169</v>
      </c>
      <c r="CC1758" s="340" t="s">
        <v>331</v>
      </c>
      <c r="CL1758" s="236">
        <v>103.01</v>
      </c>
      <c r="CM1758" s="236" t="s">
        <v>346</v>
      </c>
      <c r="CR1758" s="340">
        <v>202.02</v>
      </c>
      <c r="CS1758" s="340" t="s">
        <v>342</v>
      </c>
      <c r="CT1758" s="1384"/>
      <c r="DF1758" s="340">
        <v>203.05</v>
      </c>
      <c r="DG1758" s="340" t="s">
        <v>336</v>
      </c>
      <c r="DV1758" s="340">
        <v>207.08</v>
      </c>
      <c r="DW1758" s="340" t="s">
        <v>349</v>
      </c>
      <c r="DX1758" s="1671"/>
    </row>
    <row r="1759" spans="12:128">
      <c r="L1759" s="2481">
        <v>211.01</v>
      </c>
      <c r="M1759" s="340" t="s">
        <v>336</v>
      </c>
      <c r="N1759" s="1390"/>
      <c r="O1759" s="2479"/>
      <c r="P1759" s="2282"/>
      <c r="AG1759" s="2297">
        <v>207.01</v>
      </c>
      <c r="AH1759" s="2297" t="s">
        <v>336</v>
      </c>
      <c r="AI1759" s="1390"/>
      <c r="AJ1759" s="2282"/>
      <c r="AK1759" s="2282"/>
      <c r="AL1759" s="1037"/>
      <c r="AX1759" s="340">
        <v>166</v>
      </c>
      <c r="AY1759" s="340" t="s">
        <v>331</v>
      </c>
      <c r="BN1759" s="340">
        <v>201.09</v>
      </c>
      <c r="BO1759" s="340" t="s">
        <v>342</v>
      </c>
      <c r="BP1759" s="1385"/>
      <c r="BV1759" s="236">
        <v>304.06</v>
      </c>
      <c r="BW1759" s="236" t="s">
        <v>322</v>
      </c>
      <c r="CB1759" s="340">
        <v>171.01</v>
      </c>
      <c r="CC1759" s="340" t="s">
        <v>331</v>
      </c>
      <c r="CL1759" s="338">
        <v>103.02</v>
      </c>
      <c r="CM1759" s="338" t="s">
        <v>294</v>
      </c>
      <c r="CR1759" s="340">
        <v>202.04</v>
      </c>
      <c r="CS1759" s="340" t="s">
        <v>289</v>
      </c>
      <c r="CT1759" s="1384"/>
      <c r="DF1759" s="340">
        <v>203.06</v>
      </c>
      <c r="DG1759" s="340" t="s">
        <v>336</v>
      </c>
      <c r="DV1759" s="340">
        <v>207.1</v>
      </c>
      <c r="DW1759" s="340" t="s">
        <v>349</v>
      </c>
      <c r="DX1759" s="1671"/>
    </row>
    <row r="1760" spans="12:128">
      <c r="L1760" s="2481">
        <v>211.02</v>
      </c>
      <c r="M1760" s="340" t="s">
        <v>336</v>
      </c>
      <c r="N1760" s="1390"/>
      <c r="O1760" s="2479"/>
      <c r="P1760" s="2282"/>
      <c r="AG1760" s="2297">
        <v>207.02</v>
      </c>
      <c r="AH1760" s="2297" t="s">
        <v>336</v>
      </c>
      <c r="AI1760" s="1390"/>
      <c r="AJ1760" s="2282"/>
      <c r="AK1760" s="2282"/>
      <c r="AL1760" s="1037"/>
      <c r="AX1760" s="340">
        <v>167</v>
      </c>
      <c r="AY1760" s="340" t="s">
        <v>331</v>
      </c>
      <c r="BN1760" s="340">
        <v>202</v>
      </c>
      <c r="BO1760" s="340" t="s">
        <v>331</v>
      </c>
      <c r="BP1760" s="1385"/>
      <c r="BV1760" s="236">
        <v>304.07</v>
      </c>
      <c r="BW1760" s="236" t="s">
        <v>322</v>
      </c>
      <c r="CB1760" s="340">
        <v>171.02</v>
      </c>
      <c r="CC1760" s="340" t="s">
        <v>331</v>
      </c>
      <c r="CL1760" s="236">
        <v>103.02</v>
      </c>
      <c r="CM1760" s="236" t="s">
        <v>323</v>
      </c>
      <c r="CR1760" s="340">
        <v>202.04</v>
      </c>
      <c r="CS1760" s="340" t="s">
        <v>294</v>
      </c>
      <c r="CT1760" s="1384"/>
      <c r="DF1760" s="340">
        <v>206.01</v>
      </c>
      <c r="DG1760" s="340" t="s">
        <v>336</v>
      </c>
      <c r="DV1760" s="340">
        <v>207.12</v>
      </c>
      <c r="DW1760" s="340" t="s">
        <v>349</v>
      </c>
      <c r="DX1760" s="1671"/>
    </row>
    <row r="1761" spans="12:128">
      <c r="L1761" s="2481">
        <v>212</v>
      </c>
      <c r="M1761" s="340" t="s">
        <v>336</v>
      </c>
      <c r="N1761" s="1390"/>
      <c r="O1761" s="2479"/>
      <c r="P1761" s="2282"/>
      <c r="AG1761" s="2297">
        <v>207.03</v>
      </c>
      <c r="AH1761" s="2297" t="s">
        <v>348</v>
      </c>
      <c r="AI1761" s="1390"/>
      <c r="AJ1761" s="2282"/>
      <c r="AK1761" s="2282"/>
      <c r="AL1761" s="1037"/>
      <c r="AX1761" s="340">
        <v>168</v>
      </c>
      <c r="AY1761" s="340" t="s">
        <v>331</v>
      </c>
      <c r="BN1761" s="340">
        <v>202</v>
      </c>
      <c r="BO1761" s="340" t="s">
        <v>349</v>
      </c>
      <c r="BP1761" s="1385"/>
      <c r="BV1761" s="236">
        <v>304.08</v>
      </c>
      <c r="BW1761" s="236" t="s">
        <v>322</v>
      </c>
      <c r="CB1761" s="340">
        <v>172</v>
      </c>
      <c r="CC1761" s="340" t="s">
        <v>331</v>
      </c>
      <c r="CL1761" s="236">
        <v>103.02</v>
      </c>
      <c r="CM1761" s="236" t="s">
        <v>331</v>
      </c>
      <c r="CR1761" s="340">
        <v>202.06</v>
      </c>
      <c r="CS1761" s="340" t="s">
        <v>289</v>
      </c>
      <c r="CT1761" s="1384"/>
      <c r="DF1761" s="340">
        <v>207.01</v>
      </c>
      <c r="DG1761" s="340" t="s">
        <v>336</v>
      </c>
      <c r="DV1761" s="340">
        <v>207.13</v>
      </c>
      <c r="DW1761" s="340" t="s">
        <v>349</v>
      </c>
      <c r="DX1761" s="1671"/>
    </row>
    <row r="1762" spans="12:128">
      <c r="L1762" s="2481">
        <v>214</v>
      </c>
      <c r="M1762" s="340" t="s">
        <v>336</v>
      </c>
      <c r="N1762" s="1390"/>
      <c r="O1762" s="2479"/>
      <c r="P1762" s="2282"/>
      <c r="AG1762" s="2297">
        <v>207.04</v>
      </c>
      <c r="AH1762" s="2297" t="s">
        <v>348</v>
      </c>
      <c r="AI1762" s="1390"/>
      <c r="AJ1762" s="2282"/>
      <c r="AK1762" s="2282"/>
      <c r="AL1762" s="1037"/>
      <c r="AX1762" s="340">
        <v>169</v>
      </c>
      <c r="AY1762" s="340" t="s">
        <v>331</v>
      </c>
      <c r="BN1762" s="340">
        <v>202.01</v>
      </c>
      <c r="BO1762" s="340" t="s">
        <v>342</v>
      </c>
      <c r="BP1762" s="1385"/>
      <c r="BV1762" s="236">
        <v>304.08999999999997</v>
      </c>
      <c r="BW1762" s="236" t="s">
        <v>322</v>
      </c>
      <c r="CB1762" s="340">
        <v>173</v>
      </c>
      <c r="CC1762" s="340" t="s">
        <v>331</v>
      </c>
      <c r="CL1762" s="236">
        <v>103.02</v>
      </c>
      <c r="CM1762" s="236" t="s">
        <v>346</v>
      </c>
      <c r="CR1762" s="340">
        <v>202.06</v>
      </c>
      <c r="CS1762" s="340" t="s">
        <v>294</v>
      </c>
      <c r="CT1762" s="1384"/>
      <c r="DF1762" s="340">
        <v>207.02</v>
      </c>
      <c r="DG1762" s="340" t="s">
        <v>336</v>
      </c>
      <c r="DV1762" s="340">
        <v>208</v>
      </c>
      <c r="DW1762" s="340" t="s">
        <v>307</v>
      </c>
      <c r="DX1762" s="1671"/>
    </row>
    <row r="1763" spans="12:128">
      <c r="L1763" s="2481">
        <v>215.01</v>
      </c>
      <c r="M1763" s="340" t="s">
        <v>336</v>
      </c>
      <c r="N1763" s="1390"/>
      <c r="O1763" s="2479"/>
      <c r="P1763" s="2282"/>
      <c r="AG1763" s="2297">
        <v>207.04</v>
      </c>
      <c r="AH1763" s="2297" t="s">
        <v>349</v>
      </c>
      <c r="AI1763" s="1390"/>
      <c r="AJ1763" s="2282"/>
      <c r="AK1763" s="2282"/>
      <c r="AL1763" s="1037"/>
      <c r="AX1763" s="340">
        <v>170</v>
      </c>
      <c r="AY1763" s="340" t="s">
        <v>331</v>
      </c>
      <c r="BN1763" s="340">
        <v>202.02</v>
      </c>
      <c r="BO1763" s="340" t="s">
        <v>323</v>
      </c>
      <c r="BP1763" s="1385"/>
      <c r="BV1763" s="236">
        <v>304.10000000000002</v>
      </c>
      <c r="BW1763" s="236" t="s">
        <v>322</v>
      </c>
      <c r="CB1763" s="340">
        <v>174.02</v>
      </c>
      <c r="CC1763" s="340" t="s">
        <v>331</v>
      </c>
      <c r="CL1763" s="236">
        <v>103.03</v>
      </c>
      <c r="CM1763" s="236" t="s">
        <v>316</v>
      </c>
      <c r="CR1763" s="340">
        <v>202.06</v>
      </c>
      <c r="CS1763" s="340" t="s">
        <v>342</v>
      </c>
      <c r="CT1763" s="1384"/>
      <c r="DF1763" s="340">
        <v>208</v>
      </c>
      <c r="DG1763" s="340" t="s">
        <v>336</v>
      </c>
      <c r="DV1763" s="340">
        <v>208</v>
      </c>
      <c r="DW1763" s="340" t="s">
        <v>336</v>
      </c>
      <c r="DX1763" s="1671"/>
    </row>
    <row r="1764" spans="12:128">
      <c r="L1764" s="2481">
        <v>215.02</v>
      </c>
      <c r="M1764" s="340" t="s">
        <v>336</v>
      </c>
      <c r="N1764" s="1390"/>
      <c r="O1764" s="2479"/>
      <c r="P1764" s="2282"/>
      <c r="AG1764" s="2297">
        <v>207.05</v>
      </c>
      <c r="AH1764" s="2297" t="s">
        <v>348</v>
      </c>
      <c r="AI1764" s="1390"/>
      <c r="AJ1764" s="2282"/>
      <c r="AK1764" s="2282"/>
      <c r="AL1764" s="1037"/>
      <c r="AX1764" s="340">
        <v>171.01</v>
      </c>
      <c r="AY1764" s="340" t="s">
        <v>331</v>
      </c>
      <c r="BN1764" s="340">
        <v>202.02</v>
      </c>
      <c r="BO1764" s="340" t="s">
        <v>342</v>
      </c>
      <c r="BP1764" s="1385"/>
      <c r="BV1764" s="236">
        <v>304.11</v>
      </c>
      <c r="BW1764" s="236" t="s">
        <v>322</v>
      </c>
      <c r="CB1764" s="340">
        <v>176</v>
      </c>
      <c r="CC1764" s="340" t="s">
        <v>331</v>
      </c>
      <c r="CL1764" s="236">
        <v>103.03</v>
      </c>
      <c r="CM1764" s="236" t="s">
        <v>323</v>
      </c>
      <c r="CR1764" s="340">
        <v>202.07</v>
      </c>
      <c r="CS1764" s="340" t="s">
        <v>342</v>
      </c>
      <c r="CT1764" s="1384"/>
      <c r="DF1764" s="340">
        <v>209</v>
      </c>
      <c r="DG1764" s="340" t="s">
        <v>336</v>
      </c>
      <c r="DV1764" s="340">
        <v>208.01</v>
      </c>
      <c r="DW1764" s="340" t="s">
        <v>349</v>
      </c>
      <c r="DX1764" s="1671"/>
    </row>
    <row r="1765" spans="12:128">
      <c r="L1765" s="2481">
        <v>216</v>
      </c>
      <c r="M1765" s="340" t="s">
        <v>336</v>
      </c>
      <c r="N1765" s="1390"/>
      <c r="O1765" s="2479"/>
      <c r="P1765" s="2282"/>
      <c r="AG1765" s="2297">
        <v>207.05</v>
      </c>
      <c r="AH1765" s="2297" t="s">
        <v>349</v>
      </c>
      <c r="AI1765" s="1390"/>
      <c r="AJ1765" s="2282"/>
      <c r="AK1765" s="2282"/>
      <c r="AL1765" s="1037"/>
      <c r="AX1765" s="340">
        <v>171.02</v>
      </c>
      <c r="AY1765" s="340" t="s">
        <v>331</v>
      </c>
      <c r="BN1765" s="340">
        <v>202.03</v>
      </c>
      <c r="BO1765" s="340" t="s">
        <v>294</v>
      </c>
      <c r="BP1765" s="1385"/>
      <c r="BV1765" s="236">
        <v>305.05</v>
      </c>
      <c r="BW1765" s="236" t="s">
        <v>322</v>
      </c>
      <c r="CB1765" s="340">
        <v>177</v>
      </c>
      <c r="CC1765" s="340" t="s">
        <v>331</v>
      </c>
      <c r="CL1765" s="236">
        <v>103.03</v>
      </c>
      <c r="CM1765" s="236" t="s">
        <v>331</v>
      </c>
      <c r="CR1765" s="340">
        <v>202.08</v>
      </c>
      <c r="CS1765" s="340" t="s">
        <v>342</v>
      </c>
      <c r="CT1765" s="1384"/>
      <c r="DF1765" s="340">
        <v>210.01</v>
      </c>
      <c r="DG1765" s="340" t="s">
        <v>336</v>
      </c>
      <c r="DV1765" s="340">
        <v>208.02</v>
      </c>
      <c r="DW1765" s="340" t="s">
        <v>349</v>
      </c>
      <c r="DX1765" s="1671"/>
    </row>
    <row r="1766" spans="12:128">
      <c r="L1766" s="2481">
        <v>217</v>
      </c>
      <c r="M1766" s="340" t="s">
        <v>336</v>
      </c>
      <c r="N1766" s="1390"/>
      <c r="O1766" s="2479"/>
      <c r="P1766" s="2282"/>
      <c r="AG1766" s="2297">
        <v>207.06</v>
      </c>
      <c r="AH1766" s="2297" t="s">
        <v>348</v>
      </c>
      <c r="AI1766" s="1390"/>
      <c r="AJ1766" s="2282"/>
      <c r="AK1766" s="2282"/>
      <c r="AL1766" s="1037"/>
      <c r="AX1766" s="340">
        <v>172</v>
      </c>
      <c r="AY1766" s="340" t="s">
        <v>331</v>
      </c>
      <c r="BN1766" s="340">
        <v>202.04</v>
      </c>
      <c r="BO1766" s="340" t="s">
        <v>289</v>
      </c>
      <c r="BP1766" s="1385"/>
      <c r="BV1766" s="236">
        <v>305.06</v>
      </c>
      <c r="BW1766" s="236" t="s">
        <v>322</v>
      </c>
      <c r="CB1766" s="340">
        <v>179.01</v>
      </c>
      <c r="CC1766" s="340" t="s">
        <v>331</v>
      </c>
      <c r="CL1766" s="236">
        <v>103.03</v>
      </c>
      <c r="CM1766" s="236" t="s">
        <v>346</v>
      </c>
      <c r="CR1766" s="340">
        <v>202.09</v>
      </c>
      <c r="CS1766" s="340" t="s">
        <v>342</v>
      </c>
      <c r="CT1766" s="1384"/>
      <c r="DF1766" s="340">
        <v>210.02</v>
      </c>
      <c r="DG1766" s="340" t="s">
        <v>336</v>
      </c>
      <c r="DV1766" s="340">
        <v>208.03</v>
      </c>
      <c r="DW1766" s="340" t="s">
        <v>348</v>
      </c>
      <c r="DX1766" s="1671"/>
    </row>
    <row r="1767" spans="12:128">
      <c r="L1767" s="2481">
        <v>219.02</v>
      </c>
      <c r="M1767" s="340" t="s">
        <v>336</v>
      </c>
      <c r="N1767" s="1390"/>
      <c r="O1767" s="2479"/>
      <c r="P1767" s="2282"/>
      <c r="AG1767" s="2297">
        <v>207.06</v>
      </c>
      <c r="AH1767" s="2297" t="s">
        <v>349</v>
      </c>
      <c r="AI1767" s="1390"/>
      <c r="AJ1767" s="2282"/>
      <c r="AK1767" s="2282"/>
      <c r="AL1767" s="1037"/>
      <c r="AX1767" s="340">
        <v>173</v>
      </c>
      <c r="AY1767" s="340" t="s">
        <v>331</v>
      </c>
      <c r="BN1767" s="340">
        <v>202.04</v>
      </c>
      <c r="BO1767" s="340" t="s">
        <v>294</v>
      </c>
      <c r="BP1767" s="1385"/>
      <c r="BV1767" s="236">
        <v>305.07</v>
      </c>
      <c r="BW1767" s="236" t="s">
        <v>322</v>
      </c>
      <c r="CB1767" s="340">
        <v>179.02</v>
      </c>
      <c r="CC1767" s="340" t="s">
        <v>331</v>
      </c>
      <c r="CL1767" s="338">
        <v>103.04</v>
      </c>
      <c r="CM1767" s="338" t="s">
        <v>289</v>
      </c>
      <c r="CR1767" s="340">
        <v>202.1</v>
      </c>
      <c r="CS1767" s="340" t="s">
        <v>289</v>
      </c>
      <c r="CT1767" s="1384"/>
      <c r="DF1767" s="340">
        <v>211.02</v>
      </c>
      <c r="DG1767" s="340" t="s">
        <v>336</v>
      </c>
      <c r="DV1767" s="340">
        <v>208.03</v>
      </c>
      <c r="DW1767" s="340" t="s">
        <v>349</v>
      </c>
      <c r="DX1767" s="1671"/>
    </row>
    <row r="1768" spans="12:128">
      <c r="L1768" s="2481">
        <v>220.02</v>
      </c>
      <c r="M1768" s="340" t="s">
        <v>336</v>
      </c>
      <c r="N1768" s="1390"/>
      <c r="O1768" s="2479"/>
      <c r="P1768" s="2282"/>
      <c r="AG1768" s="2297">
        <v>207.07</v>
      </c>
      <c r="AH1768" s="2297" t="s">
        <v>348</v>
      </c>
      <c r="AI1768" s="1390"/>
      <c r="AJ1768" s="2282"/>
      <c r="AK1768" s="2282"/>
      <c r="AL1768" s="1037"/>
      <c r="AX1768" s="340">
        <v>176</v>
      </c>
      <c r="AY1768" s="340" t="s">
        <v>331</v>
      </c>
      <c r="BN1768" s="340">
        <v>202.06</v>
      </c>
      <c r="BO1768" s="340" t="s">
        <v>289</v>
      </c>
      <c r="BP1768" s="1385"/>
      <c r="BV1768" s="236">
        <v>306.01</v>
      </c>
      <c r="BW1768" s="236" t="s">
        <v>322</v>
      </c>
      <c r="CB1768" s="340">
        <v>180.01</v>
      </c>
      <c r="CC1768" s="340" t="s">
        <v>331</v>
      </c>
      <c r="CL1768" s="236">
        <v>103.04</v>
      </c>
      <c r="CM1768" s="236" t="s">
        <v>316</v>
      </c>
      <c r="CR1768" s="340">
        <v>202.14</v>
      </c>
      <c r="CS1768" s="340" t="s">
        <v>289</v>
      </c>
      <c r="CT1768" s="1384"/>
      <c r="DF1768" s="340">
        <v>212</v>
      </c>
      <c r="DG1768" s="340" t="s">
        <v>336</v>
      </c>
      <c r="DV1768" s="340">
        <v>208.04</v>
      </c>
      <c r="DW1768" s="340" t="s">
        <v>349</v>
      </c>
      <c r="DX1768" s="1671"/>
    </row>
    <row r="1769" spans="12:128">
      <c r="L1769" s="2481">
        <v>224</v>
      </c>
      <c r="M1769" s="340" t="s">
        <v>336</v>
      </c>
      <c r="N1769" s="1390"/>
      <c r="O1769" s="2479"/>
      <c r="P1769" s="2282"/>
      <c r="AG1769" s="2297">
        <v>207.07</v>
      </c>
      <c r="AH1769" s="2297" t="s">
        <v>349</v>
      </c>
      <c r="AI1769" s="1390"/>
      <c r="AJ1769" s="2282"/>
      <c r="AK1769" s="2282"/>
      <c r="AL1769" s="1037"/>
      <c r="AX1769" s="340">
        <v>177</v>
      </c>
      <c r="AY1769" s="340" t="s">
        <v>331</v>
      </c>
      <c r="BN1769" s="340">
        <v>202.06</v>
      </c>
      <c r="BO1769" s="340" t="s">
        <v>294</v>
      </c>
      <c r="BP1769" s="1385"/>
      <c r="BV1769" s="236">
        <v>306.02</v>
      </c>
      <c r="BW1769" s="236" t="s">
        <v>322</v>
      </c>
      <c r="CB1769" s="340">
        <v>180.02</v>
      </c>
      <c r="CC1769" s="340" t="s">
        <v>331</v>
      </c>
      <c r="CL1769" s="338">
        <v>103.05</v>
      </c>
      <c r="CM1769" s="338" t="s">
        <v>289</v>
      </c>
      <c r="CR1769" s="340">
        <v>203</v>
      </c>
      <c r="CS1769" s="340" t="s">
        <v>331</v>
      </c>
      <c r="CT1769" s="1384"/>
      <c r="DF1769" s="340">
        <v>214</v>
      </c>
      <c r="DG1769" s="340" t="s">
        <v>336</v>
      </c>
      <c r="DV1769" s="340">
        <v>208.05</v>
      </c>
      <c r="DW1769" s="340" t="s">
        <v>348</v>
      </c>
      <c r="DX1769" s="1671"/>
    </row>
    <row r="1770" spans="12:128">
      <c r="L1770" s="2481">
        <v>225</v>
      </c>
      <c r="M1770" s="340" t="s">
        <v>336</v>
      </c>
      <c r="N1770" s="1390"/>
      <c r="O1770" s="2479"/>
      <c r="P1770" s="2282"/>
      <c r="AG1770" s="2297">
        <v>207.08</v>
      </c>
      <c r="AH1770" s="2297" t="s">
        <v>349</v>
      </c>
      <c r="AI1770" s="1390"/>
      <c r="AJ1770" s="2282"/>
      <c r="AK1770" s="2282"/>
      <c r="AL1770" s="1037"/>
      <c r="AX1770" s="340">
        <v>178</v>
      </c>
      <c r="AY1770" s="340" t="s">
        <v>331</v>
      </c>
      <c r="BN1770" s="340">
        <v>202.06</v>
      </c>
      <c r="BO1770" s="340" t="s">
        <v>342</v>
      </c>
      <c r="BP1770" s="1385"/>
      <c r="BV1770" s="236">
        <v>307.01</v>
      </c>
      <c r="BW1770" s="236" t="s">
        <v>322</v>
      </c>
      <c r="CB1770" s="340">
        <v>180.03</v>
      </c>
      <c r="CC1770" s="340" t="s">
        <v>331</v>
      </c>
      <c r="CL1770" s="236">
        <v>103.05</v>
      </c>
      <c r="CM1770" s="236" t="s">
        <v>302</v>
      </c>
      <c r="CR1770" s="340">
        <v>203.01</v>
      </c>
      <c r="CS1770" s="340" t="s">
        <v>342</v>
      </c>
      <c r="CT1770" s="1384"/>
      <c r="DF1770" s="340">
        <v>215.01</v>
      </c>
      <c r="DG1770" s="340" t="s">
        <v>336</v>
      </c>
      <c r="DV1770" s="340">
        <v>208.06</v>
      </c>
      <c r="DW1770" s="340" t="s">
        <v>348</v>
      </c>
      <c r="DX1770" s="1671"/>
    </row>
    <row r="1771" spans="12:128">
      <c r="L1771" s="2481">
        <v>231</v>
      </c>
      <c r="M1771" s="340" t="s">
        <v>336</v>
      </c>
      <c r="N1771" s="1390"/>
      <c r="O1771" s="2479"/>
      <c r="P1771" s="2282"/>
      <c r="AG1771" s="2297">
        <v>207.1</v>
      </c>
      <c r="AH1771" s="2297" t="s">
        <v>349</v>
      </c>
      <c r="AI1771" s="1390"/>
      <c r="AJ1771" s="2282"/>
      <c r="AK1771" s="2282"/>
      <c r="AL1771" s="1037"/>
      <c r="AX1771" s="340">
        <v>179.01</v>
      </c>
      <c r="AY1771" s="340" t="s">
        <v>331</v>
      </c>
      <c r="BN1771" s="340">
        <v>202.07</v>
      </c>
      <c r="BO1771" s="340" t="s">
        <v>342</v>
      </c>
      <c r="BP1771" s="1385"/>
      <c r="BV1771" s="236">
        <v>307.02</v>
      </c>
      <c r="BW1771" s="236" t="s">
        <v>322</v>
      </c>
      <c r="CB1771" s="340">
        <v>181</v>
      </c>
      <c r="CC1771" s="340" t="s">
        <v>331</v>
      </c>
      <c r="CL1771" s="236">
        <v>103.05</v>
      </c>
      <c r="CM1771" s="236" t="s">
        <v>316</v>
      </c>
      <c r="CR1771" s="340">
        <v>203.02</v>
      </c>
      <c r="CS1771" s="340" t="s">
        <v>342</v>
      </c>
      <c r="CT1771" s="1384"/>
      <c r="DF1771" s="340">
        <v>215.02</v>
      </c>
      <c r="DG1771" s="340" t="s">
        <v>336</v>
      </c>
      <c r="DV1771" s="340">
        <v>208.07</v>
      </c>
      <c r="DW1771" s="340" t="s">
        <v>349</v>
      </c>
      <c r="DX1771" s="1671"/>
    </row>
    <row r="1772" spans="12:128">
      <c r="L1772" s="2481">
        <v>233.03</v>
      </c>
      <c r="M1772" s="340" t="s">
        <v>336</v>
      </c>
      <c r="N1772" s="1390"/>
      <c r="O1772" s="2479"/>
      <c r="P1772" s="2282"/>
      <c r="AG1772" s="2297">
        <v>207.12</v>
      </c>
      <c r="AH1772" s="2297" t="s">
        <v>349</v>
      </c>
      <c r="AI1772" s="1390"/>
      <c r="AJ1772" s="2282"/>
      <c r="AK1772" s="2282"/>
      <c r="AL1772" s="1037"/>
      <c r="AX1772" s="340">
        <v>179.02</v>
      </c>
      <c r="AY1772" s="340" t="s">
        <v>331</v>
      </c>
      <c r="BN1772" s="340">
        <v>202.09</v>
      </c>
      <c r="BO1772" s="340" t="s">
        <v>342</v>
      </c>
      <c r="BP1772" s="1385"/>
      <c r="BV1772" s="236">
        <v>308.02999999999997</v>
      </c>
      <c r="BW1772" s="236" t="s">
        <v>322</v>
      </c>
      <c r="CB1772" s="340">
        <v>182</v>
      </c>
      <c r="CC1772" s="340" t="s">
        <v>331</v>
      </c>
      <c r="CL1772" s="236">
        <v>103.05</v>
      </c>
      <c r="CM1772" s="236" t="s">
        <v>323</v>
      </c>
      <c r="CR1772" s="340">
        <v>203.03</v>
      </c>
      <c r="CS1772" s="340" t="s">
        <v>294</v>
      </c>
      <c r="CT1772" s="1384"/>
      <c r="DF1772" s="340">
        <v>216</v>
      </c>
      <c r="DG1772" s="340" t="s">
        <v>336</v>
      </c>
      <c r="DV1772" s="340">
        <v>208.08</v>
      </c>
      <c r="DW1772" s="340" t="s">
        <v>348</v>
      </c>
      <c r="DX1772" s="1671"/>
    </row>
    <row r="1773" spans="12:128">
      <c r="L1773" s="2481">
        <v>233.04</v>
      </c>
      <c r="M1773" s="340" t="s">
        <v>336</v>
      </c>
      <c r="N1773" s="1390"/>
      <c r="O1773" s="2479"/>
      <c r="P1773" s="2282"/>
      <c r="AG1773" s="2297">
        <v>207.13</v>
      </c>
      <c r="AH1773" s="2297" t="s">
        <v>349</v>
      </c>
      <c r="AI1773" s="1390"/>
      <c r="AJ1773" s="2282"/>
      <c r="AK1773" s="2282"/>
      <c r="AL1773" s="1037"/>
      <c r="AX1773" s="340">
        <v>180.01</v>
      </c>
      <c r="AY1773" s="340" t="s">
        <v>331</v>
      </c>
      <c r="BN1773" s="340">
        <v>202.1</v>
      </c>
      <c r="BO1773" s="340" t="s">
        <v>289</v>
      </c>
      <c r="BP1773" s="1385"/>
      <c r="BV1773" s="236">
        <v>308.04000000000002</v>
      </c>
      <c r="BW1773" s="236" t="s">
        <v>322</v>
      </c>
      <c r="CB1773" s="340">
        <v>183</v>
      </c>
      <c r="CC1773" s="340" t="s">
        <v>331</v>
      </c>
      <c r="CL1773" s="338">
        <v>103.06</v>
      </c>
      <c r="CM1773" s="338" t="s">
        <v>289</v>
      </c>
      <c r="CR1773" s="340">
        <v>203.03</v>
      </c>
      <c r="CS1773" s="340" t="s">
        <v>336</v>
      </c>
      <c r="CT1773" s="1384"/>
      <c r="DF1773" s="340">
        <v>217</v>
      </c>
      <c r="DG1773" s="340" t="s">
        <v>336</v>
      </c>
      <c r="DV1773" s="340">
        <v>208.08</v>
      </c>
      <c r="DW1773" s="340" t="s">
        <v>349</v>
      </c>
      <c r="DX1773" s="1671"/>
    </row>
    <row r="1774" spans="12:128">
      <c r="L1774" s="2481">
        <v>233.05</v>
      </c>
      <c r="M1774" s="340" t="s">
        <v>336</v>
      </c>
      <c r="N1774" s="1390"/>
      <c r="O1774" s="2479"/>
      <c r="P1774" s="2282"/>
      <c r="AG1774" s="2297">
        <v>208</v>
      </c>
      <c r="AH1774" s="2297" t="s">
        <v>307</v>
      </c>
      <c r="AI1774" s="1390"/>
      <c r="AJ1774" s="2282"/>
      <c r="AK1774" s="2282"/>
      <c r="AL1774" s="1037"/>
      <c r="AX1774" s="340">
        <v>180.02</v>
      </c>
      <c r="AY1774" s="340" t="s">
        <v>331</v>
      </c>
      <c r="BN1774" s="340">
        <v>202.14</v>
      </c>
      <c r="BO1774" s="340" t="s">
        <v>289</v>
      </c>
      <c r="BP1774" s="1385"/>
      <c r="BV1774" s="236">
        <v>308.05</v>
      </c>
      <c r="BW1774" s="236" t="s">
        <v>322</v>
      </c>
      <c r="CB1774" s="340">
        <v>184</v>
      </c>
      <c r="CC1774" s="340" t="s">
        <v>331</v>
      </c>
      <c r="CL1774" s="236">
        <v>103.06</v>
      </c>
      <c r="CM1774" s="236" t="s">
        <v>302</v>
      </c>
      <c r="CR1774" s="340">
        <v>203.04</v>
      </c>
      <c r="CS1774" s="340" t="s">
        <v>336</v>
      </c>
      <c r="CT1774" s="1384"/>
      <c r="DF1774" s="340">
        <v>218.01</v>
      </c>
      <c r="DG1774" s="340" t="s">
        <v>336</v>
      </c>
      <c r="DV1774" s="340">
        <v>208.09</v>
      </c>
      <c r="DW1774" s="340" t="s">
        <v>349</v>
      </c>
      <c r="DX1774" s="1671"/>
    </row>
    <row r="1775" spans="12:128">
      <c r="L1775" s="2481">
        <v>233.06</v>
      </c>
      <c r="M1775" s="340" t="s">
        <v>336</v>
      </c>
      <c r="N1775" s="1390"/>
      <c r="O1775" s="2479"/>
      <c r="P1775" s="2282"/>
      <c r="AG1775" s="2297">
        <v>208</v>
      </c>
      <c r="AH1775" s="2297" t="s">
        <v>336</v>
      </c>
      <c r="AI1775" s="1390"/>
      <c r="AJ1775" s="2282"/>
      <c r="AK1775" s="2282"/>
      <c r="AL1775" s="1037"/>
      <c r="AX1775" s="340">
        <v>180.03</v>
      </c>
      <c r="AY1775" s="340" t="s">
        <v>331</v>
      </c>
      <c r="BN1775" s="340">
        <v>203.01</v>
      </c>
      <c r="BO1775" s="340" t="s">
        <v>294</v>
      </c>
      <c r="BP1775" s="1385"/>
      <c r="BV1775" s="236">
        <v>308.06</v>
      </c>
      <c r="BW1775" s="236" t="s">
        <v>322</v>
      </c>
      <c r="CB1775" s="340">
        <v>185</v>
      </c>
      <c r="CC1775" s="340" t="s">
        <v>331</v>
      </c>
      <c r="CL1775" s="236">
        <v>103.06</v>
      </c>
      <c r="CM1775" s="236" t="s">
        <v>323</v>
      </c>
      <c r="CR1775" s="340">
        <v>203.05</v>
      </c>
      <c r="CS1775" s="340" t="s">
        <v>336</v>
      </c>
      <c r="CT1775" s="1384"/>
      <c r="DF1775" s="340">
        <v>219.02</v>
      </c>
      <c r="DG1775" s="340" t="s">
        <v>336</v>
      </c>
      <c r="DV1775" s="340">
        <v>208.1</v>
      </c>
      <c r="DW1775" s="340" t="s">
        <v>348</v>
      </c>
      <c r="DX1775" s="1671"/>
    </row>
    <row r="1776" spans="12:128">
      <c r="L1776" s="2481">
        <v>233.08</v>
      </c>
      <c r="M1776" s="340" t="s">
        <v>336</v>
      </c>
      <c r="N1776" s="1390"/>
      <c r="O1776" s="2479"/>
      <c r="P1776" s="2282"/>
      <c r="AG1776" s="2297">
        <v>208.01</v>
      </c>
      <c r="AH1776" s="2297" t="s">
        <v>349</v>
      </c>
      <c r="AI1776" s="1390"/>
      <c r="AJ1776" s="2282"/>
      <c r="AK1776" s="2282"/>
      <c r="AL1776" s="1037"/>
      <c r="AX1776" s="340">
        <v>181</v>
      </c>
      <c r="AY1776" s="340" t="s">
        <v>331</v>
      </c>
      <c r="BN1776" s="340">
        <v>203.02</v>
      </c>
      <c r="BO1776" s="340" t="s">
        <v>342</v>
      </c>
      <c r="BP1776" s="1385"/>
      <c r="BV1776" s="236">
        <v>308.07</v>
      </c>
      <c r="BW1776" s="236" t="s">
        <v>322</v>
      </c>
      <c r="CB1776" s="340">
        <v>186.01</v>
      </c>
      <c r="CC1776" s="340" t="s">
        <v>331</v>
      </c>
      <c r="CL1776" s="338">
        <v>103.07</v>
      </c>
      <c r="CM1776" s="338" t="s">
        <v>289</v>
      </c>
      <c r="CR1776" s="340">
        <v>203.06</v>
      </c>
      <c r="CS1776" s="340" t="s">
        <v>336</v>
      </c>
      <c r="CT1776" s="1384"/>
      <c r="DF1776" s="340">
        <v>224</v>
      </c>
      <c r="DG1776" s="340" t="s">
        <v>336</v>
      </c>
      <c r="DV1776" s="340">
        <v>208.1</v>
      </c>
      <c r="DW1776" s="340" t="s">
        <v>349</v>
      </c>
      <c r="DX1776" s="1671"/>
    </row>
    <row r="1777" spans="12:128">
      <c r="L1777" s="2481">
        <v>9101.01</v>
      </c>
      <c r="M1777" s="340" t="s">
        <v>337</v>
      </c>
      <c r="N1777" s="1390"/>
      <c r="O1777" s="2479"/>
      <c r="P1777" s="2282"/>
      <c r="AG1777" s="2297">
        <v>208.02</v>
      </c>
      <c r="AH1777" s="2297" t="s">
        <v>349</v>
      </c>
      <c r="AI1777" s="1390"/>
      <c r="AJ1777" s="2282"/>
      <c r="AK1777" s="2282"/>
      <c r="AL1777" s="1037"/>
      <c r="AX1777" s="340">
        <v>182</v>
      </c>
      <c r="AY1777" s="340" t="s">
        <v>331</v>
      </c>
      <c r="BN1777" s="340">
        <v>203.04</v>
      </c>
      <c r="BO1777" s="340" t="s">
        <v>336</v>
      </c>
      <c r="BP1777" s="1385"/>
      <c r="BV1777" s="236">
        <v>309.14</v>
      </c>
      <c r="BW1777" s="236" t="s">
        <v>322</v>
      </c>
      <c r="CB1777" s="340">
        <v>186.02</v>
      </c>
      <c r="CC1777" s="340" t="s">
        <v>331</v>
      </c>
      <c r="CL1777" s="236">
        <v>103.07</v>
      </c>
      <c r="CM1777" s="236" t="s">
        <v>302</v>
      </c>
      <c r="CR1777" s="340">
        <v>203.09</v>
      </c>
      <c r="CS1777" s="340" t="s">
        <v>289</v>
      </c>
      <c r="CT1777" s="1384"/>
      <c r="DF1777" s="340">
        <v>225</v>
      </c>
      <c r="DG1777" s="340" t="s">
        <v>336</v>
      </c>
      <c r="DV1777" s="340">
        <v>208.11</v>
      </c>
      <c r="DW1777" s="340" t="s">
        <v>348</v>
      </c>
      <c r="DX1777" s="1671"/>
    </row>
    <row r="1778" spans="12:128">
      <c r="L1778" s="2481">
        <v>9101.02</v>
      </c>
      <c r="M1778" s="340" t="s">
        <v>337</v>
      </c>
      <c r="N1778" s="1390"/>
      <c r="O1778" s="2479"/>
      <c r="P1778" s="2282"/>
      <c r="AG1778" s="2297">
        <v>208.04</v>
      </c>
      <c r="AH1778" s="2297" t="s">
        <v>349</v>
      </c>
      <c r="AI1778" s="1390"/>
      <c r="AJ1778" s="2282"/>
      <c r="AK1778" s="2282"/>
      <c r="AL1778" s="1037"/>
      <c r="AX1778" s="340">
        <v>183</v>
      </c>
      <c r="AY1778" s="340" t="s">
        <v>331</v>
      </c>
      <c r="BN1778" s="340">
        <v>203.05</v>
      </c>
      <c r="BO1778" s="340" t="s">
        <v>336</v>
      </c>
      <c r="BP1778" s="1385"/>
      <c r="BV1778" s="236">
        <v>309.14999999999998</v>
      </c>
      <c r="BW1778" s="236" t="s">
        <v>322</v>
      </c>
      <c r="CB1778" s="340">
        <v>187</v>
      </c>
      <c r="CC1778" s="340" t="s">
        <v>331</v>
      </c>
      <c r="CL1778" s="236">
        <v>103.07</v>
      </c>
      <c r="CM1778" s="236" t="s">
        <v>323</v>
      </c>
      <c r="CR1778" s="340">
        <v>203.12</v>
      </c>
      <c r="CS1778" s="340" t="s">
        <v>289</v>
      </c>
      <c r="CT1778" s="1384"/>
      <c r="DF1778" s="340">
        <v>233.03</v>
      </c>
      <c r="DG1778" s="340" t="s">
        <v>336</v>
      </c>
      <c r="DV1778" s="340">
        <v>208.11</v>
      </c>
      <c r="DW1778" s="340" t="s">
        <v>349</v>
      </c>
      <c r="DX1778" s="1671"/>
    </row>
    <row r="1779" spans="12:128">
      <c r="L1779" s="2481">
        <v>9102.02</v>
      </c>
      <c r="M1779" s="340" t="s">
        <v>337</v>
      </c>
      <c r="N1779" s="1390"/>
      <c r="O1779" s="2479"/>
      <c r="P1779" s="2282"/>
      <c r="AG1779" s="2297">
        <v>208.05</v>
      </c>
      <c r="AH1779" s="2297" t="s">
        <v>348</v>
      </c>
      <c r="AI1779" s="1390"/>
      <c r="AJ1779" s="2282"/>
      <c r="AK1779" s="2282"/>
      <c r="AL1779" s="1037"/>
      <c r="AX1779" s="340">
        <v>184</v>
      </c>
      <c r="AY1779" s="340" t="s">
        <v>331</v>
      </c>
      <c r="BN1779" s="340">
        <v>203.06</v>
      </c>
      <c r="BO1779" s="340" t="s">
        <v>336</v>
      </c>
      <c r="BP1779" s="1385"/>
      <c r="BV1779" s="236">
        <v>309.16000000000003</v>
      </c>
      <c r="BW1779" s="236" t="s">
        <v>322</v>
      </c>
      <c r="CB1779" s="340">
        <v>188.01</v>
      </c>
      <c r="CC1779" s="340" t="s">
        <v>331</v>
      </c>
      <c r="CL1779" s="338">
        <v>103.08</v>
      </c>
      <c r="CM1779" s="338" t="s">
        <v>289</v>
      </c>
      <c r="CR1779" s="340">
        <v>203.13</v>
      </c>
      <c r="CS1779" s="340" t="s">
        <v>289</v>
      </c>
      <c r="CT1779" s="1384"/>
      <c r="DF1779" s="340">
        <v>233.04</v>
      </c>
      <c r="DG1779" s="340" t="s">
        <v>336</v>
      </c>
      <c r="DV1779" s="340">
        <v>208.12</v>
      </c>
      <c r="DW1779" s="340" t="s">
        <v>348</v>
      </c>
      <c r="DX1779" s="1671"/>
    </row>
    <row r="1780" spans="12:128">
      <c r="L1780" s="2481">
        <v>9105</v>
      </c>
      <c r="M1780" s="340" t="s">
        <v>337</v>
      </c>
      <c r="N1780" s="1390"/>
      <c r="O1780" s="2479"/>
      <c r="P1780" s="2282"/>
      <c r="AG1780" s="2297">
        <v>208.06</v>
      </c>
      <c r="AH1780" s="2297" t="s">
        <v>348</v>
      </c>
      <c r="AI1780" s="1390"/>
      <c r="AJ1780" s="2282"/>
      <c r="AK1780" s="2282"/>
      <c r="AL1780" s="1037"/>
      <c r="AX1780" s="340">
        <v>185</v>
      </c>
      <c r="AY1780" s="340" t="s">
        <v>331</v>
      </c>
      <c r="BN1780" s="340">
        <v>203.09</v>
      </c>
      <c r="BO1780" s="340" t="s">
        <v>289</v>
      </c>
      <c r="BP1780" s="1385"/>
      <c r="BV1780" s="236">
        <v>309.17</v>
      </c>
      <c r="BW1780" s="236" t="s">
        <v>322</v>
      </c>
      <c r="CB1780" s="340">
        <v>188.03</v>
      </c>
      <c r="CC1780" s="340" t="s">
        <v>331</v>
      </c>
      <c r="CL1780" s="236">
        <v>103.08</v>
      </c>
      <c r="CM1780" s="236" t="s">
        <v>302</v>
      </c>
      <c r="CR1780" s="340">
        <v>203.15</v>
      </c>
      <c r="CS1780" s="340" t="s">
        <v>289</v>
      </c>
      <c r="CT1780" s="1384"/>
      <c r="DF1780" s="340">
        <v>233.05</v>
      </c>
      <c r="DG1780" s="340" t="s">
        <v>336</v>
      </c>
      <c r="DV1780" s="340">
        <v>209</v>
      </c>
      <c r="DW1780" s="340" t="s">
        <v>294</v>
      </c>
      <c r="DX1780" s="1671"/>
    </row>
    <row r="1781" spans="12:128">
      <c r="L1781" s="2481">
        <v>9106.01</v>
      </c>
      <c r="M1781" s="340" t="s">
        <v>337</v>
      </c>
      <c r="N1781" s="1390"/>
      <c r="O1781" s="2479"/>
      <c r="P1781" s="2282"/>
      <c r="AG1781" s="2297">
        <v>208.07</v>
      </c>
      <c r="AH1781" s="2297" t="s">
        <v>349</v>
      </c>
      <c r="AI1781" s="1390"/>
      <c r="AJ1781" s="2282"/>
      <c r="AK1781" s="2282"/>
      <c r="AL1781" s="1037"/>
      <c r="AX1781" s="340">
        <v>186.01</v>
      </c>
      <c r="AY1781" s="340" t="s">
        <v>331</v>
      </c>
      <c r="BN1781" s="340">
        <v>203.12</v>
      </c>
      <c r="BO1781" s="340" t="s">
        <v>289</v>
      </c>
      <c r="BP1781" s="1385"/>
      <c r="BV1781" s="236">
        <v>309.18</v>
      </c>
      <c r="BW1781" s="236" t="s">
        <v>322</v>
      </c>
      <c r="CB1781" s="340">
        <v>189.01</v>
      </c>
      <c r="CC1781" s="340" t="s">
        <v>331</v>
      </c>
      <c r="CL1781" s="236">
        <v>103.08</v>
      </c>
      <c r="CM1781" s="236" t="s">
        <v>323</v>
      </c>
      <c r="CR1781" s="340">
        <v>203.16</v>
      </c>
      <c r="CS1781" s="340" t="s">
        <v>289</v>
      </c>
      <c r="CT1781" s="1384"/>
      <c r="DF1781" s="340">
        <v>233.06</v>
      </c>
      <c r="DG1781" s="340" t="s">
        <v>336</v>
      </c>
      <c r="DV1781" s="340">
        <v>209</v>
      </c>
      <c r="DW1781" s="340" t="s">
        <v>336</v>
      </c>
      <c r="DX1781" s="1671"/>
    </row>
    <row r="1782" spans="12:128">
      <c r="L1782" s="2481">
        <v>102.01</v>
      </c>
      <c r="M1782" s="340" t="s">
        <v>338</v>
      </c>
      <c r="N1782" s="1390"/>
      <c r="O1782" s="2479"/>
      <c r="P1782" s="2282"/>
      <c r="AG1782" s="2297">
        <v>208.08</v>
      </c>
      <c r="AH1782" s="2297" t="s">
        <v>348</v>
      </c>
      <c r="AI1782" s="1390"/>
      <c r="AJ1782" s="2282"/>
      <c r="AK1782" s="2282"/>
      <c r="AL1782" s="1037"/>
      <c r="AX1782" s="340">
        <v>186.02</v>
      </c>
      <c r="AY1782" s="340" t="s">
        <v>331</v>
      </c>
      <c r="BN1782" s="340">
        <v>203.13</v>
      </c>
      <c r="BO1782" s="340" t="s">
        <v>289</v>
      </c>
      <c r="BP1782" s="1385"/>
      <c r="BV1782" s="236">
        <v>310.01</v>
      </c>
      <c r="BW1782" s="236" t="s">
        <v>322</v>
      </c>
      <c r="CB1782" s="340">
        <v>189.02</v>
      </c>
      <c r="CC1782" s="340" t="s">
        <v>331</v>
      </c>
      <c r="CL1782" s="236">
        <v>103.09</v>
      </c>
      <c r="CM1782" s="236" t="s">
        <v>323</v>
      </c>
      <c r="CR1782" s="340">
        <v>203.17</v>
      </c>
      <c r="CS1782" s="340" t="s">
        <v>289</v>
      </c>
      <c r="CT1782" s="1384"/>
      <c r="DF1782" s="340">
        <v>233.08</v>
      </c>
      <c r="DG1782" s="340" t="s">
        <v>336</v>
      </c>
      <c r="DV1782" s="340">
        <v>209.04</v>
      </c>
      <c r="DW1782" s="340" t="s">
        <v>349</v>
      </c>
      <c r="DX1782" s="1671"/>
    </row>
    <row r="1783" spans="12:128">
      <c r="L1783" s="2481">
        <v>102.02</v>
      </c>
      <c r="M1783" s="340" t="s">
        <v>338</v>
      </c>
      <c r="N1783" s="1390"/>
      <c r="O1783" s="2479"/>
      <c r="P1783" s="2282"/>
      <c r="AG1783" s="2297">
        <v>208.08</v>
      </c>
      <c r="AH1783" s="2297" t="s">
        <v>349</v>
      </c>
      <c r="AI1783" s="1390"/>
      <c r="AJ1783" s="2282"/>
      <c r="AK1783" s="2282"/>
      <c r="AL1783" s="1037"/>
      <c r="AX1783" s="340">
        <v>187</v>
      </c>
      <c r="AY1783" s="340" t="s">
        <v>331</v>
      </c>
      <c r="BN1783" s="340">
        <v>203.15</v>
      </c>
      <c r="BO1783" s="340" t="s">
        <v>289</v>
      </c>
      <c r="BP1783" s="1385"/>
      <c r="BV1783" s="236">
        <v>310.02</v>
      </c>
      <c r="BW1783" s="236" t="s">
        <v>322</v>
      </c>
      <c r="CB1783" s="340">
        <v>190</v>
      </c>
      <c r="CC1783" s="340" t="s">
        <v>331</v>
      </c>
      <c r="CL1783" s="236">
        <v>104</v>
      </c>
      <c r="CM1783" s="236" t="s">
        <v>331</v>
      </c>
      <c r="CR1783" s="340">
        <v>203.18</v>
      </c>
      <c r="CS1783" s="340" t="s">
        <v>289</v>
      </c>
      <c r="CT1783" s="1384"/>
      <c r="DF1783" s="340">
        <v>9101.01</v>
      </c>
      <c r="DG1783" s="340" t="s">
        <v>337</v>
      </c>
      <c r="DV1783" s="340">
        <v>209.05</v>
      </c>
      <c r="DW1783" s="340" t="s">
        <v>348</v>
      </c>
      <c r="DX1783" s="1671"/>
    </row>
    <row r="1784" spans="12:128">
      <c r="L1784" s="2481">
        <v>103</v>
      </c>
      <c r="M1784" s="340" t="s">
        <v>338</v>
      </c>
      <c r="N1784" s="1390"/>
      <c r="O1784" s="2479"/>
      <c r="P1784" s="2282"/>
      <c r="AG1784" s="2297">
        <v>208.09</v>
      </c>
      <c r="AH1784" s="2297" t="s">
        <v>349</v>
      </c>
      <c r="AI1784" s="1390"/>
      <c r="AJ1784" s="2282"/>
      <c r="AK1784" s="2282"/>
      <c r="AL1784" s="1037"/>
      <c r="AX1784" s="340">
        <v>188.01</v>
      </c>
      <c r="AY1784" s="340" t="s">
        <v>331</v>
      </c>
      <c r="BN1784" s="340">
        <v>203.16</v>
      </c>
      <c r="BO1784" s="340" t="s">
        <v>289</v>
      </c>
      <c r="BP1784" s="1385"/>
      <c r="BV1784" s="236">
        <v>311.02999999999997</v>
      </c>
      <c r="BW1784" s="236" t="s">
        <v>322</v>
      </c>
      <c r="CB1784" s="340">
        <v>191</v>
      </c>
      <c r="CC1784" s="340" t="s">
        <v>331</v>
      </c>
      <c r="CL1784" s="236">
        <v>104</v>
      </c>
      <c r="CM1784" s="236" t="s">
        <v>338</v>
      </c>
      <c r="CR1784" s="340">
        <v>203.19</v>
      </c>
      <c r="CS1784" s="340" t="s">
        <v>289</v>
      </c>
      <c r="CT1784" s="1384"/>
      <c r="DF1784" s="340">
        <v>9102.01</v>
      </c>
      <c r="DG1784" s="340" t="s">
        <v>337</v>
      </c>
      <c r="DV1784" s="340">
        <v>209.05</v>
      </c>
      <c r="DW1784" s="340" t="s">
        <v>349</v>
      </c>
      <c r="DX1784" s="1671"/>
    </row>
    <row r="1785" spans="12:128">
      <c r="L1785" s="2481">
        <v>108.02</v>
      </c>
      <c r="M1785" s="340" t="s">
        <v>338</v>
      </c>
      <c r="N1785" s="1390"/>
      <c r="O1785" s="2479"/>
      <c r="P1785" s="2282"/>
      <c r="AG1785" s="2297">
        <v>208.1</v>
      </c>
      <c r="AH1785" s="2297" t="s">
        <v>348</v>
      </c>
      <c r="AI1785" s="1390"/>
      <c r="AJ1785" s="2282"/>
      <c r="AK1785" s="2282"/>
      <c r="AL1785" s="1037"/>
      <c r="AX1785" s="340">
        <v>188.02</v>
      </c>
      <c r="AY1785" s="340" t="s">
        <v>331</v>
      </c>
      <c r="BN1785" s="340">
        <v>203.17</v>
      </c>
      <c r="BO1785" s="340" t="s">
        <v>289</v>
      </c>
      <c r="BP1785" s="1385"/>
      <c r="BV1785" s="236">
        <v>311.04000000000002</v>
      </c>
      <c r="BW1785" s="236" t="s">
        <v>322</v>
      </c>
      <c r="CB1785" s="340">
        <v>192</v>
      </c>
      <c r="CC1785" s="340" t="s">
        <v>331</v>
      </c>
      <c r="CL1785" s="236">
        <v>104</v>
      </c>
      <c r="CM1785" s="236" t="s">
        <v>346</v>
      </c>
      <c r="CR1785" s="340">
        <v>203.2</v>
      </c>
      <c r="CS1785" s="340" t="s">
        <v>289</v>
      </c>
      <c r="CT1785" s="1384"/>
      <c r="DF1785" s="340">
        <v>9103</v>
      </c>
      <c r="DG1785" s="340" t="s">
        <v>337</v>
      </c>
      <c r="DV1785" s="340">
        <v>209.07</v>
      </c>
      <c r="DW1785" s="340" t="s">
        <v>349</v>
      </c>
      <c r="DX1785" s="1671"/>
    </row>
    <row r="1786" spans="12:128">
      <c r="L1786" s="2481">
        <v>110</v>
      </c>
      <c r="M1786" s="340" t="s">
        <v>338</v>
      </c>
      <c r="N1786" s="1390"/>
      <c r="O1786" s="2479"/>
      <c r="P1786" s="2282"/>
      <c r="AG1786" s="2297">
        <v>208.11</v>
      </c>
      <c r="AH1786" s="2297" t="s">
        <v>348</v>
      </c>
      <c r="AI1786" s="1390"/>
      <c r="AJ1786" s="2282"/>
      <c r="AK1786" s="2282"/>
      <c r="AL1786" s="1037"/>
      <c r="AX1786" s="340">
        <v>188.03</v>
      </c>
      <c r="AY1786" s="340" t="s">
        <v>331</v>
      </c>
      <c r="BN1786" s="340">
        <v>203.18</v>
      </c>
      <c r="BO1786" s="340" t="s">
        <v>289</v>
      </c>
      <c r="BP1786" s="1385"/>
      <c r="BV1786" s="236">
        <v>311.05</v>
      </c>
      <c r="BW1786" s="236" t="s">
        <v>322</v>
      </c>
      <c r="CB1786" s="340">
        <v>193.01</v>
      </c>
      <c r="CC1786" s="340" t="s">
        <v>331</v>
      </c>
      <c r="CL1786" s="338">
        <v>104.01</v>
      </c>
      <c r="CM1786" s="338" t="s">
        <v>289</v>
      </c>
      <c r="CR1786" s="340">
        <v>203.21</v>
      </c>
      <c r="CS1786" s="340" t="s">
        <v>289</v>
      </c>
      <c r="CT1786" s="1384"/>
      <c r="DF1786" s="340">
        <v>9104.01</v>
      </c>
      <c r="DG1786" s="340" t="s">
        <v>337</v>
      </c>
      <c r="DV1786" s="340">
        <v>209.08</v>
      </c>
      <c r="DW1786" s="340" t="s">
        <v>349</v>
      </c>
      <c r="DX1786" s="1671"/>
    </row>
    <row r="1787" spans="12:128">
      <c r="L1787" s="2481">
        <v>111</v>
      </c>
      <c r="M1787" s="340" t="s">
        <v>338</v>
      </c>
      <c r="N1787" s="1390"/>
      <c r="O1787" s="2479"/>
      <c r="P1787" s="2282"/>
      <c r="AG1787" s="2297">
        <v>208.11</v>
      </c>
      <c r="AH1787" s="2297" t="s">
        <v>349</v>
      </c>
      <c r="AI1787" s="1390"/>
      <c r="AJ1787" s="2282"/>
      <c r="AK1787" s="2282"/>
      <c r="AL1787" s="1037"/>
      <c r="AX1787" s="340">
        <v>189.01</v>
      </c>
      <c r="AY1787" s="340" t="s">
        <v>331</v>
      </c>
      <c r="BN1787" s="340">
        <v>203.19</v>
      </c>
      <c r="BO1787" s="340" t="s">
        <v>289</v>
      </c>
      <c r="BP1787" s="1385"/>
      <c r="BV1787" s="236">
        <v>311.06</v>
      </c>
      <c r="BW1787" s="236" t="s">
        <v>322</v>
      </c>
      <c r="CB1787" s="340">
        <v>193.02</v>
      </c>
      <c r="CC1787" s="340" t="s">
        <v>331</v>
      </c>
      <c r="CL1787" s="338">
        <v>104.01</v>
      </c>
      <c r="CM1787" s="338" t="s">
        <v>294</v>
      </c>
      <c r="CR1787" s="340">
        <v>203.22</v>
      </c>
      <c r="CS1787" s="340" t="s">
        <v>289</v>
      </c>
      <c r="CT1787" s="1384"/>
      <c r="DF1787" s="340">
        <v>9106.01</v>
      </c>
      <c r="DG1787" s="340" t="s">
        <v>337</v>
      </c>
      <c r="DV1787" s="340">
        <v>210</v>
      </c>
      <c r="DW1787" s="340" t="s">
        <v>348</v>
      </c>
      <c r="DX1787" s="1671"/>
    </row>
    <row r="1788" spans="12:128">
      <c r="L1788" s="2481">
        <v>112</v>
      </c>
      <c r="M1788" s="340" t="s">
        <v>338</v>
      </c>
      <c r="N1788" s="1390"/>
      <c r="O1788" s="2479"/>
      <c r="P1788" s="2282"/>
      <c r="AG1788" s="2297">
        <v>208.12</v>
      </c>
      <c r="AH1788" s="2297" t="s">
        <v>348</v>
      </c>
      <c r="AI1788" s="1390"/>
      <c r="AJ1788" s="2282"/>
      <c r="AK1788" s="2282"/>
      <c r="AL1788" s="1037"/>
      <c r="AX1788" s="340">
        <v>189.02</v>
      </c>
      <c r="AY1788" s="340" t="s">
        <v>331</v>
      </c>
      <c r="BN1788" s="340">
        <v>203.2</v>
      </c>
      <c r="BO1788" s="340" t="s">
        <v>289</v>
      </c>
      <c r="BP1788" s="1385"/>
      <c r="BV1788" s="236">
        <v>311.07</v>
      </c>
      <c r="BW1788" s="236" t="s">
        <v>322</v>
      </c>
      <c r="CB1788" s="340">
        <v>194.01</v>
      </c>
      <c r="CC1788" s="340" t="s">
        <v>331</v>
      </c>
      <c r="CL1788" s="236">
        <v>104.01</v>
      </c>
      <c r="CM1788" s="236" t="s">
        <v>297</v>
      </c>
      <c r="CR1788" s="340">
        <v>203.25</v>
      </c>
      <c r="CS1788" s="340" t="s">
        <v>289</v>
      </c>
      <c r="CT1788" s="1384"/>
      <c r="DF1788" s="340">
        <v>9106.02</v>
      </c>
      <c r="DG1788" s="340" t="s">
        <v>337</v>
      </c>
      <c r="DV1788" s="340">
        <v>210.01</v>
      </c>
      <c r="DW1788" s="340" t="s">
        <v>294</v>
      </c>
      <c r="DX1788" s="1671"/>
    </row>
    <row r="1789" spans="12:128">
      <c r="L1789" s="2481">
        <v>113</v>
      </c>
      <c r="M1789" s="340" t="s">
        <v>338</v>
      </c>
      <c r="N1789" s="1390"/>
      <c r="O1789" s="2479"/>
      <c r="P1789" s="2282"/>
      <c r="AG1789" s="2297">
        <v>209</v>
      </c>
      <c r="AH1789" s="2297" t="s">
        <v>294</v>
      </c>
      <c r="AI1789" s="1390"/>
      <c r="AJ1789" s="2282"/>
      <c r="AK1789" s="2282"/>
      <c r="AL1789" s="1037"/>
      <c r="AX1789" s="340">
        <v>190</v>
      </c>
      <c r="AY1789" s="340" t="s">
        <v>331</v>
      </c>
      <c r="BN1789" s="340">
        <v>203.21</v>
      </c>
      <c r="BO1789" s="340" t="s">
        <v>289</v>
      </c>
      <c r="BP1789" s="1385"/>
      <c r="BV1789" s="236">
        <v>311.08</v>
      </c>
      <c r="BW1789" s="236" t="s">
        <v>322</v>
      </c>
      <c r="CB1789" s="340">
        <v>194.02</v>
      </c>
      <c r="CC1789" s="340" t="s">
        <v>331</v>
      </c>
      <c r="CL1789" s="236">
        <v>104.01</v>
      </c>
      <c r="CM1789" s="236" t="s">
        <v>302</v>
      </c>
      <c r="CR1789" s="340">
        <v>203.26</v>
      </c>
      <c r="CS1789" s="340" t="s">
        <v>289</v>
      </c>
      <c r="CT1789" s="1384"/>
      <c r="DF1789" s="340">
        <v>102.01</v>
      </c>
      <c r="DG1789" s="340" t="s">
        <v>338</v>
      </c>
      <c r="DV1789" s="340">
        <v>210.01</v>
      </c>
      <c r="DW1789" s="340" t="s">
        <v>336</v>
      </c>
      <c r="DX1789" s="1671"/>
    </row>
    <row r="1790" spans="12:128">
      <c r="L1790" s="2481">
        <v>124.04</v>
      </c>
      <c r="M1790" s="340" t="s">
        <v>338</v>
      </c>
      <c r="N1790" s="1390"/>
      <c r="O1790" s="2479"/>
      <c r="P1790" s="2282"/>
      <c r="AG1790" s="2297">
        <v>209</v>
      </c>
      <c r="AH1790" s="2297" t="s">
        <v>336</v>
      </c>
      <c r="AI1790" s="1390"/>
      <c r="AJ1790" s="2282"/>
      <c r="AK1790" s="2282"/>
      <c r="AL1790" s="1037"/>
      <c r="AX1790" s="340">
        <v>191</v>
      </c>
      <c r="AY1790" s="340" t="s">
        <v>331</v>
      </c>
      <c r="BN1790" s="340">
        <v>203.22</v>
      </c>
      <c r="BO1790" s="340" t="s">
        <v>289</v>
      </c>
      <c r="BP1790" s="1385"/>
      <c r="BV1790" s="236">
        <v>312.02</v>
      </c>
      <c r="BW1790" s="236" t="s">
        <v>322</v>
      </c>
      <c r="CB1790" s="340">
        <v>195.01</v>
      </c>
      <c r="CC1790" s="340" t="s">
        <v>331</v>
      </c>
      <c r="CL1790" s="236">
        <v>104.01</v>
      </c>
      <c r="CM1790" s="236" t="s">
        <v>316</v>
      </c>
      <c r="CR1790" s="340">
        <v>204</v>
      </c>
      <c r="CS1790" s="340" t="s">
        <v>323</v>
      </c>
      <c r="CT1790" s="1384"/>
      <c r="DF1790" s="340">
        <v>102.02</v>
      </c>
      <c r="DG1790" s="340" t="s">
        <v>338</v>
      </c>
      <c r="DV1790" s="340">
        <v>210.02</v>
      </c>
      <c r="DW1790" s="340" t="s">
        <v>294</v>
      </c>
      <c r="DX1790" s="1671"/>
    </row>
    <row r="1791" spans="12:128">
      <c r="L1791" s="2481">
        <v>126</v>
      </c>
      <c r="M1791" s="340" t="s">
        <v>338</v>
      </c>
      <c r="N1791" s="1390"/>
      <c r="O1791" s="2479"/>
      <c r="P1791" s="2282"/>
      <c r="AG1791" s="2297">
        <v>209.04</v>
      </c>
      <c r="AH1791" s="2297" t="s">
        <v>349</v>
      </c>
      <c r="AI1791" s="1390"/>
      <c r="AJ1791" s="2282"/>
      <c r="AK1791" s="2282"/>
      <c r="AL1791" s="1037"/>
      <c r="AX1791" s="340">
        <v>192</v>
      </c>
      <c r="AY1791" s="340" t="s">
        <v>331</v>
      </c>
      <c r="BN1791" s="340">
        <v>203.23</v>
      </c>
      <c r="BO1791" s="340" t="s">
        <v>289</v>
      </c>
      <c r="BP1791" s="1385"/>
      <c r="BV1791" s="236">
        <v>312.02999999999997</v>
      </c>
      <c r="BW1791" s="236" t="s">
        <v>322</v>
      </c>
      <c r="CB1791" s="340">
        <v>195.02</v>
      </c>
      <c r="CC1791" s="340" t="s">
        <v>331</v>
      </c>
      <c r="CL1791" s="236">
        <v>104.01</v>
      </c>
      <c r="CM1791" s="236" t="s">
        <v>344</v>
      </c>
      <c r="CR1791" s="340">
        <v>204</v>
      </c>
      <c r="CS1791" s="340" t="s">
        <v>342</v>
      </c>
      <c r="CT1791" s="1384"/>
      <c r="DF1791" s="340">
        <v>103</v>
      </c>
      <c r="DG1791" s="340" t="s">
        <v>338</v>
      </c>
      <c r="DV1791" s="340">
        <v>210.02</v>
      </c>
      <c r="DW1791" s="340" t="s">
        <v>336</v>
      </c>
      <c r="DX1791" s="1671"/>
    </row>
    <row r="1792" spans="12:128">
      <c r="L1792" s="2481">
        <v>127.01</v>
      </c>
      <c r="M1792" s="340" t="s">
        <v>338</v>
      </c>
      <c r="N1792" s="1390"/>
      <c r="O1792" s="2479"/>
      <c r="P1792" s="2282"/>
      <c r="AG1792" s="2297">
        <v>209.05</v>
      </c>
      <c r="AH1792" s="2297" t="s">
        <v>348</v>
      </c>
      <c r="AI1792" s="1390"/>
      <c r="AJ1792" s="2282"/>
      <c r="AK1792" s="2282"/>
      <c r="AL1792" s="1037"/>
      <c r="AX1792" s="340">
        <v>193.01</v>
      </c>
      <c r="AY1792" s="340" t="s">
        <v>331</v>
      </c>
      <c r="BN1792" s="340">
        <v>203.25</v>
      </c>
      <c r="BO1792" s="340" t="s">
        <v>289</v>
      </c>
      <c r="BP1792" s="1385"/>
      <c r="BV1792" s="236">
        <v>312.05</v>
      </c>
      <c r="BW1792" s="236" t="s">
        <v>322</v>
      </c>
      <c r="CB1792" s="340">
        <v>196</v>
      </c>
      <c r="CC1792" s="340" t="s">
        <v>331</v>
      </c>
      <c r="CL1792" s="338">
        <v>104.02</v>
      </c>
      <c r="CM1792" s="338" t="s">
        <v>289</v>
      </c>
      <c r="CR1792" s="340">
        <v>204.01</v>
      </c>
      <c r="CS1792" s="340" t="s">
        <v>294</v>
      </c>
      <c r="CT1792" s="1384"/>
      <c r="DF1792" s="340">
        <v>108.02</v>
      </c>
      <c r="DG1792" s="340" t="s">
        <v>338</v>
      </c>
      <c r="DV1792" s="340">
        <v>211</v>
      </c>
      <c r="DW1792" s="340" t="s">
        <v>348</v>
      </c>
      <c r="DX1792" s="1671"/>
    </row>
    <row r="1793" spans="12:128">
      <c r="L1793" s="2481">
        <v>128</v>
      </c>
      <c r="M1793" s="340" t="s">
        <v>338</v>
      </c>
      <c r="N1793" s="1390"/>
      <c r="O1793" s="2479"/>
      <c r="P1793" s="2282"/>
      <c r="AG1793" s="2297">
        <v>209.05</v>
      </c>
      <c r="AH1793" s="2297" t="s">
        <v>349</v>
      </c>
      <c r="AI1793" s="1390"/>
      <c r="AJ1793" s="2282"/>
      <c r="AK1793" s="2282"/>
      <c r="AL1793" s="1037"/>
      <c r="AX1793" s="340">
        <v>193.02</v>
      </c>
      <c r="AY1793" s="340" t="s">
        <v>331</v>
      </c>
      <c r="BN1793" s="340">
        <v>203.26</v>
      </c>
      <c r="BO1793" s="340" t="s">
        <v>289</v>
      </c>
      <c r="BP1793" s="1385"/>
      <c r="BV1793" s="236">
        <v>312.06</v>
      </c>
      <c r="BW1793" s="236" t="s">
        <v>322</v>
      </c>
      <c r="CB1793" s="340">
        <v>197</v>
      </c>
      <c r="CC1793" s="340" t="s">
        <v>331</v>
      </c>
      <c r="CL1793" s="338">
        <v>104.02</v>
      </c>
      <c r="CM1793" s="338" t="s">
        <v>294</v>
      </c>
      <c r="CR1793" s="340">
        <v>204.02</v>
      </c>
      <c r="CS1793" s="340" t="s">
        <v>294</v>
      </c>
      <c r="CT1793" s="1384"/>
      <c r="DF1793" s="340">
        <v>110</v>
      </c>
      <c r="DG1793" s="340" t="s">
        <v>338</v>
      </c>
      <c r="DV1793" s="340">
        <v>211.02</v>
      </c>
      <c r="DW1793" s="340" t="s">
        <v>336</v>
      </c>
      <c r="DX1793" s="1671"/>
    </row>
    <row r="1794" spans="12:128">
      <c r="L1794" s="2481">
        <v>129</v>
      </c>
      <c r="M1794" s="340" t="s">
        <v>338</v>
      </c>
      <c r="N1794" s="1390"/>
      <c r="O1794" s="2479"/>
      <c r="P1794" s="2282"/>
      <c r="AG1794" s="2297">
        <v>209.06</v>
      </c>
      <c r="AH1794" s="2297" t="s">
        <v>349</v>
      </c>
      <c r="AI1794" s="1390"/>
      <c r="AJ1794" s="2282"/>
      <c r="AK1794" s="2282"/>
      <c r="AL1794" s="1037"/>
      <c r="AX1794" s="340">
        <v>194.01</v>
      </c>
      <c r="AY1794" s="340" t="s">
        <v>331</v>
      </c>
      <c r="BN1794" s="340">
        <v>204</v>
      </c>
      <c r="BO1794" s="340" t="s">
        <v>307</v>
      </c>
      <c r="BP1794" s="1385"/>
      <c r="BV1794" s="236">
        <v>312.07</v>
      </c>
      <c r="BW1794" s="236" t="s">
        <v>322</v>
      </c>
      <c r="CB1794" s="340">
        <v>198.01</v>
      </c>
      <c r="CC1794" s="340" t="s">
        <v>331</v>
      </c>
      <c r="CL1794" s="236">
        <v>104.02</v>
      </c>
      <c r="CM1794" s="236" t="s">
        <v>302</v>
      </c>
      <c r="CR1794" s="340">
        <v>204.04</v>
      </c>
      <c r="CS1794" s="340" t="s">
        <v>289</v>
      </c>
      <c r="CT1794" s="1384"/>
      <c r="DF1794" s="340">
        <v>111</v>
      </c>
      <c r="DG1794" s="340" t="s">
        <v>338</v>
      </c>
      <c r="DV1794" s="340">
        <v>212</v>
      </c>
      <c r="DW1794" s="340" t="s">
        <v>336</v>
      </c>
      <c r="DX1794" s="1671"/>
    </row>
    <row r="1795" spans="12:128">
      <c r="L1795" s="2481">
        <v>133</v>
      </c>
      <c r="M1795" s="340" t="s">
        <v>338</v>
      </c>
      <c r="N1795" s="1390"/>
      <c r="O1795" s="2479"/>
      <c r="P1795" s="2282"/>
      <c r="AG1795" s="2297">
        <v>209.07</v>
      </c>
      <c r="AH1795" s="2297" t="s">
        <v>349</v>
      </c>
      <c r="AI1795" s="1390"/>
      <c r="AJ1795" s="2282"/>
      <c r="AK1795" s="2282"/>
      <c r="AL1795" s="1037"/>
      <c r="AX1795" s="340">
        <v>194.02</v>
      </c>
      <c r="AY1795" s="340" t="s">
        <v>331</v>
      </c>
      <c r="BN1795" s="340">
        <v>204</v>
      </c>
      <c r="BO1795" s="340" t="s">
        <v>323</v>
      </c>
      <c r="BP1795" s="1385"/>
      <c r="BV1795" s="236">
        <v>312.08</v>
      </c>
      <c r="BW1795" s="236" t="s">
        <v>322</v>
      </c>
      <c r="CB1795" s="340">
        <v>198.02</v>
      </c>
      <c r="CC1795" s="340" t="s">
        <v>331</v>
      </c>
      <c r="CL1795" s="236">
        <v>104.02</v>
      </c>
      <c r="CM1795" s="236" t="s">
        <v>316</v>
      </c>
      <c r="CR1795" s="340">
        <v>204.06</v>
      </c>
      <c r="CS1795" s="340" t="s">
        <v>289</v>
      </c>
      <c r="CT1795" s="1384"/>
      <c r="DF1795" s="340">
        <v>112</v>
      </c>
      <c r="DG1795" s="340" t="s">
        <v>338</v>
      </c>
      <c r="DV1795" s="340">
        <v>212.01</v>
      </c>
      <c r="DW1795" s="340" t="s">
        <v>348</v>
      </c>
      <c r="DX1795" s="1671"/>
    </row>
    <row r="1796" spans="12:128">
      <c r="L1796" s="2481">
        <v>134.06</v>
      </c>
      <c r="M1796" s="340" t="s">
        <v>338</v>
      </c>
      <c r="N1796" s="1390"/>
      <c r="O1796" s="2479"/>
      <c r="P1796" s="2282"/>
      <c r="AG1796" s="2297">
        <v>209.08</v>
      </c>
      <c r="AH1796" s="2297" t="s">
        <v>349</v>
      </c>
      <c r="AI1796" s="1390"/>
      <c r="AJ1796" s="2282"/>
      <c r="AK1796" s="2282"/>
      <c r="AL1796" s="1037"/>
      <c r="AX1796" s="340">
        <v>195.01</v>
      </c>
      <c r="AY1796" s="340" t="s">
        <v>331</v>
      </c>
      <c r="BN1796" s="340">
        <v>204</v>
      </c>
      <c r="BO1796" s="340" t="s">
        <v>342</v>
      </c>
      <c r="BP1796" s="1385"/>
      <c r="BV1796" s="236">
        <v>313.01</v>
      </c>
      <c r="BW1796" s="236" t="s">
        <v>322</v>
      </c>
      <c r="CB1796" s="340">
        <v>199.02</v>
      </c>
      <c r="CC1796" s="340" t="s">
        <v>331</v>
      </c>
      <c r="CL1796" s="236">
        <v>104.02</v>
      </c>
      <c r="CM1796" s="236" t="s">
        <v>344</v>
      </c>
      <c r="CR1796" s="340">
        <v>204.15</v>
      </c>
      <c r="CS1796" s="340" t="s">
        <v>289</v>
      </c>
      <c r="CT1796" s="1384"/>
      <c r="DF1796" s="340">
        <v>113</v>
      </c>
      <c r="DG1796" s="340" t="s">
        <v>338</v>
      </c>
      <c r="DV1796" s="340">
        <v>212.03</v>
      </c>
      <c r="DW1796" s="340" t="s">
        <v>348</v>
      </c>
      <c r="DX1796" s="1671"/>
    </row>
    <row r="1797" spans="12:128">
      <c r="L1797" s="2481">
        <v>135.12</v>
      </c>
      <c r="M1797" s="340" t="s">
        <v>338</v>
      </c>
      <c r="N1797" s="1390"/>
      <c r="O1797" s="2479"/>
      <c r="P1797" s="2282"/>
      <c r="AG1797" s="2297">
        <v>210</v>
      </c>
      <c r="AH1797" s="2297" t="s">
        <v>348</v>
      </c>
      <c r="AI1797" s="1390"/>
      <c r="AJ1797" s="2282"/>
      <c r="AK1797" s="2282"/>
      <c r="AL1797" s="1037"/>
      <c r="AX1797" s="340">
        <v>195.02</v>
      </c>
      <c r="AY1797" s="340" t="s">
        <v>331</v>
      </c>
      <c r="BN1797" s="340">
        <v>204.01</v>
      </c>
      <c r="BO1797" s="340" t="s">
        <v>294</v>
      </c>
      <c r="BP1797" s="1385"/>
      <c r="BV1797" s="236">
        <v>313.06</v>
      </c>
      <c r="BW1797" s="236" t="s">
        <v>322</v>
      </c>
      <c r="CB1797" s="340">
        <v>200.02</v>
      </c>
      <c r="CC1797" s="340" t="s">
        <v>331</v>
      </c>
      <c r="CL1797" s="338">
        <v>104.03</v>
      </c>
      <c r="CM1797" s="338" t="s">
        <v>289</v>
      </c>
      <c r="CR1797" s="340">
        <v>204.18</v>
      </c>
      <c r="CS1797" s="340" t="s">
        <v>289</v>
      </c>
      <c r="CT1797" s="1384"/>
      <c r="DF1797" s="340">
        <v>126</v>
      </c>
      <c r="DG1797" s="340" t="s">
        <v>338</v>
      </c>
      <c r="DV1797" s="340">
        <v>212.05</v>
      </c>
      <c r="DW1797" s="340" t="s">
        <v>348</v>
      </c>
      <c r="DX1797" s="1671"/>
    </row>
    <row r="1798" spans="12:128">
      <c r="L1798" s="2481">
        <v>136.03</v>
      </c>
      <c r="M1798" s="340" t="s">
        <v>338</v>
      </c>
      <c r="N1798" s="1390"/>
      <c r="O1798" s="2479"/>
      <c r="P1798" s="2282"/>
      <c r="AG1798" s="2297">
        <v>210.01</v>
      </c>
      <c r="AH1798" s="2297" t="s">
        <v>294</v>
      </c>
      <c r="AI1798" s="1390"/>
      <c r="AJ1798" s="2282"/>
      <c r="AK1798" s="2282"/>
      <c r="AL1798" s="1037"/>
      <c r="AX1798" s="340">
        <v>196</v>
      </c>
      <c r="AY1798" s="340" t="s">
        <v>331</v>
      </c>
      <c r="BN1798" s="340">
        <v>204.02</v>
      </c>
      <c r="BO1798" s="340" t="s">
        <v>294</v>
      </c>
      <c r="BP1798" s="1385"/>
      <c r="BV1798" s="236">
        <v>313.08</v>
      </c>
      <c r="BW1798" s="236" t="s">
        <v>322</v>
      </c>
      <c r="CB1798" s="340">
        <v>201</v>
      </c>
      <c r="CC1798" s="340" t="s">
        <v>331</v>
      </c>
      <c r="CL1798" s="236">
        <v>104.04</v>
      </c>
      <c r="CM1798" s="236" t="s">
        <v>323</v>
      </c>
      <c r="CR1798" s="340">
        <v>204.19</v>
      </c>
      <c r="CS1798" s="340" t="s">
        <v>289</v>
      </c>
      <c r="CT1798" s="1384"/>
      <c r="DF1798" s="340">
        <v>127.01</v>
      </c>
      <c r="DG1798" s="340" t="s">
        <v>338</v>
      </c>
      <c r="DV1798" s="340">
        <v>212.06</v>
      </c>
      <c r="DW1798" s="340" t="s">
        <v>348</v>
      </c>
      <c r="DX1798" s="1671"/>
    </row>
    <row r="1799" spans="12:128">
      <c r="L1799" s="2481">
        <v>136.05000000000001</v>
      </c>
      <c r="M1799" s="340" t="s">
        <v>338</v>
      </c>
      <c r="N1799" s="1390"/>
      <c r="O1799" s="2479"/>
      <c r="P1799" s="2282"/>
      <c r="AG1799" s="2297">
        <v>210.02</v>
      </c>
      <c r="AH1799" s="2297" t="s">
        <v>294</v>
      </c>
      <c r="AI1799" s="1390"/>
      <c r="AJ1799" s="2282"/>
      <c r="AK1799" s="2282"/>
      <c r="AL1799" s="1037"/>
      <c r="AX1799" s="340">
        <v>197</v>
      </c>
      <c r="AY1799" s="340" t="s">
        <v>331</v>
      </c>
      <c r="BN1799" s="340">
        <v>204.04</v>
      </c>
      <c r="BO1799" s="340" t="s">
        <v>289</v>
      </c>
      <c r="BP1799" s="1385"/>
      <c r="BV1799" s="236">
        <v>313.08999999999997</v>
      </c>
      <c r="BW1799" s="236" t="s">
        <v>322</v>
      </c>
      <c r="CB1799" s="340">
        <v>203</v>
      </c>
      <c r="CC1799" s="340" t="s">
        <v>331</v>
      </c>
      <c r="CL1799" s="338">
        <v>104.05</v>
      </c>
      <c r="CM1799" s="338" t="s">
        <v>289</v>
      </c>
      <c r="CR1799" s="340">
        <v>204.2</v>
      </c>
      <c r="CS1799" s="340" t="s">
        <v>289</v>
      </c>
      <c r="CT1799" s="1384"/>
      <c r="DF1799" s="340">
        <v>128</v>
      </c>
      <c r="DG1799" s="340" t="s">
        <v>338</v>
      </c>
      <c r="DV1799" s="340">
        <v>212.07</v>
      </c>
      <c r="DW1799" s="340" t="s">
        <v>349</v>
      </c>
      <c r="DX1799" s="1671"/>
    </row>
    <row r="1800" spans="12:128">
      <c r="L1800" s="2481">
        <v>138.01</v>
      </c>
      <c r="M1800" s="340" t="s">
        <v>338</v>
      </c>
      <c r="N1800" s="1390"/>
      <c r="O1800" s="2479"/>
      <c r="P1800" s="2282"/>
      <c r="AG1800" s="2297">
        <v>211</v>
      </c>
      <c r="AH1800" s="2297" t="s">
        <v>348</v>
      </c>
      <c r="AI1800" s="1390"/>
      <c r="AJ1800" s="2282"/>
      <c r="AK1800" s="2282"/>
      <c r="AL1800" s="1037"/>
      <c r="AX1800" s="340">
        <v>198.01</v>
      </c>
      <c r="AY1800" s="340" t="s">
        <v>331</v>
      </c>
      <c r="BN1800" s="340">
        <v>204.06</v>
      </c>
      <c r="BO1800" s="340" t="s">
        <v>289</v>
      </c>
      <c r="BP1800" s="1385"/>
      <c r="BV1800" s="236">
        <v>313.12</v>
      </c>
      <c r="BW1800" s="236" t="s">
        <v>322</v>
      </c>
      <c r="CB1800" s="340">
        <v>4901</v>
      </c>
      <c r="CC1800" s="340" t="s">
        <v>331</v>
      </c>
      <c r="CL1800" s="338">
        <v>104.05</v>
      </c>
      <c r="CM1800" s="338" t="s">
        <v>294</v>
      </c>
      <c r="CR1800" s="340">
        <v>204.21</v>
      </c>
      <c r="CS1800" s="340" t="s">
        <v>289</v>
      </c>
      <c r="CT1800" s="1384"/>
      <c r="DF1800" s="340">
        <v>129</v>
      </c>
      <c r="DG1800" s="340" t="s">
        <v>338</v>
      </c>
      <c r="DV1800" s="340">
        <v>212.11</v>
      </c>
      <c r="DW1800" s="340" t="s">
        <v>349</v>
      </c>
      <c r="DX1800" s="1671"/>
    </row>
    <row r="1801" spans="12:128">
      <c r="L1801" s="2481">
        <v>138.02000000000001</v>
      </c>
      <c r="M1801" s="340" t="s">
        <v>338</v>
      </c>
      <c r="N1801" s="1390"/>
      <c r="O1801" s="2479"/>
      <c r="P1801" s="2282"/>
      <c r="AG1801" s="2297">
        <v>211.01</v>
      </c>
      <c r="AH1801" s="2297" t="s">
        <v>336</v>
      </c>
      <c r="AI1801" s="1390"/>
      <c r="AJ1801" s="2282"/>
      <c r="AK1801" s="2282"/>
      <c r="AL1801" s="1037"/>
      <c r="AX1801" s="340">
        <v>198.02</v>
      </c>
      <c r="AY1801" s="340" t="s">
        <v>331</v>
      </c>
      <c r="BN1801" s="340">
        <v>204.18</v>
      </c>
      <c r="BO1801" s="340" t="s">
        <v>289</v>
      </c>
      <c r="BP1801" s="1385"/>
      <c r="BV1801" s="236">
        <v>313.13</v>
      </c>
      <c r="BW1801" s="236" t="s">
        <v>322</v>
      </c>
      <c r="CB1801" s="340">
        <v>9805</v>
      </c>
      <c r="CC1801" s="340" t="s">
        <v>331</v>
      </c>
      <c r="CL1801" s="338">
        <v>104.06</v>
      </c>
      <c r="CM1801" s="338" t="s">
        <v>289</v>
      </c>
      <c r="CR1801" s="340">
        <v>205</v>
      </c>
      <c r="CS1801" s="340" t="s">
        <v>307</v>
      </c>
      <c r="CT1801" s="1384"/>
      <c r="DF1801" s="340">
        <v>133</v>
      </c>
      <c r="DG1801" s="340" t="s">
        <v>338</v>
      </c>
      <c r="DV1801" s="340">
        <v>213.06</v>
      </c>
      <c r="DW1801" s="340" t="s">
        <v>348</v>
      </c>
      <c r="DX1801" s="1671"/>
    </row>
    <row r="1802" spans="12:128">
      <c r="L1802" s="2481">
        <v>139</v>
      </c>
      <c r="M1802" s="340" t="s">
        <v>338</v>
      </c>
      <c r="N1802" s="1390"/>
      <c r="O1802" s="2479"/>
      <c r="P1802" s="2282"/>
      <c r="AG1802" s="2297">
        <v>211.02</v>
      </c>
      <c r="AH1802" s="2297" t="s">
        <v>336</v>
      </c>
      <c r="AI1802" s="1390"/>
      <c r="AJ1802" s="2282"/>
      <c r="AK1802" s="2282"/>
      <c r="AL1802" s="1037"/>
      <c r="AX1802" s="340">
        <v>199.02</v>
      </c>
      <c r="AY1802" s="340" t="s">
        <v>331</v>
      </c>
      <c r="BN1802" s="340">
        <v>204.19</v>
      </c>
      <c r="BO1802" s="340" t="s">
        <v>289</v>
      </c>
      <c r="BP1802" s="1385"/>
      <c r="BV1802" s="236">
        <v>313.14</v>
      </c>
      <c r="BW1802" s="236" t="s">
        <v>322</v>
      </c>
      <c r="CB1802" s="340">
        <v>9705</v>
      </c>
      <c r="CC1802" s="340" t="s">
        <v>333</v>
      </c>
      <c r="CL1802" s="338">
        <v>104.07</v>
      </c>
      <c r="CM1802" s="338" t="s">
        <v>289</v>
      </c>
      <c r="CR1802" s="340">
        <v>205</v>
      </c>
      <c r="CS1802" s="340" t="s">
        <v>349</v>
      </c>
      <c r="CT1802" s="1384"/>
      <c r="DF1802" s="340">
        <v>136.05000000000001</v>
      </c>
      <c r="DG1802" s="340" t="s">
        <v>338</v>
      </c>
      <c r="DV1802" s="340">
        <v>213.07</v>
      </c>
      <c r="DW1802" s="340" t="s">
        <v>348</v>
      </c>
      <c r="DX1802" s="1671"/>
    </row>
    <row r="1803" spans="12:128">
      <c r="L1803" s="2481">
        <v>140</v>
      </c>
      <c r="M1803" s="340" t="s">
        <v>338</v>
      </c>
      <c r="N1803" s="1390"/>
      <c r="O1803" s="2479"/>
      <c r="P1803" s="2282"/>
      <c r="AG1803" s="2297">
        <v>212</v>
      </c>
      <c r="AH1803" s="2297" t="s">
        <v>336</v>
      </c>
      <c r="AI1803" s="1390"/>
      <c r="AJ1803" s="2282"/>
      <c r="AK1803" s="2282"/>
      <c r="AL1803" s="1037"/>
      <c r="AX1803" s="340">
        <v>200.02</v>
      </c>
      <c r="AY1803" s="340" t="s">
        <v>331</v>
      </c>
      <c r="BN1803" s="340">
        <v>205</v>
      </c>
      <c r="BO1803" s="340" t="s">
        <v>307</v>
      </c>
      <c r="BP1803" s="1385"/>
      <c r="BV1803" s="236">
        <v>313.14999999999998</v>
      </c>
      <c r="BW1803" s="236" t="s">
        <v>322</v>
      </c>
      <c r="CB1803" s="340">
        <v>9708</v>
      </c>
      <c r="CC1803" s="340" t="s">
        <v>333</v>
      </c>
      <c r="CL1803" s="236">
        <v>104.08</v>
      </c>
      <c r="CM1803" s="236" t="s">
        <v>297</v>
      </c>
      <c r="CR1803" s="340">
        <v>205.01</v>
      </c>
      <c r="CS1803" s="340" t="s">
        <v>294</v>
      </c>
      <c r="CT1803" s="1384"/>
      <c r="DF1803" s="340">
        <v>138.01</v>
      </c>
      <c r="DG1803" s="340" t="s">
        <v>338</v>
      </c>
      <c r="DV1803" s="340">
        <v>213.11</v>
      </c>
      <c r="DW1803" s="340" t="s">
        <v>348</v>
      </c>
      <c r="DX1803" s="1671"/>
    </row>
    <row r="1804" spans="12:128">
      <c r="L1804" s="2481">
        <v>141</v>
      </c>
      <c r="M1804" s="340" t="s">
        <v>338</v>
      </c>
      <c r="N1804" s="1390"/>
      <c r="O1804" s="2479"/>
      <c r="P1804" s="2282"/>
      <c r="AG1804" s="2297">
        <v>212.01</v>
      </c>
      <c r="AH1804" s="2297" t="s">
        <v>348</v>
      </c>
      <c r="AI1804" s="1390"/>
      <c r="AJ1804" s="2282"/>
      <c r="AK1804" s="2282"/>
      <c r="AL1804" s="1037"/>
      <c r="AX1804" s="340">
        <v>202</v>
      </c>
      <c r="AY1804" s="340" t="s">
        <v>331</v>
      </c>
      <c r="BN1804" s="340">
        <v>205</v>
      </c>
      <c r="BO1804" s="340" t="s">
        <v>349</v>
      </c>
      <c r="BP1804" s="1385"/>
      <c r="BV1804" s="236">
        <v>313.16000000000003</v>
      </c>
      <c r="BW1804" s="236" t="s">
        <v>322</v>
      </c>
      <c r="CB1804" s="340">
        <v>9709</v>
      </c>
      <c r="CC1804" s="340" t="s">
        <v>333</v>
      </c>
      <c r="CL1804" s="236">
        <v>104.11</v>
      </c>
      <c r="CM1804" s="236" t="s">
        <v>297</v>
      </c>
      <c r="CR1804" s="340">
        <v>205.02</v>
      </c>
      <c r="CS1804" s="340" t="s">
        <v>294</v>
      </c>
      <c r="CT1804" s="1384"/>
      <c r="DF1804" s="340">
        <v>138.02000000000001</v>
      </c>
      <c r="DG1804" s="340" t="s">
        <v>338</v>
      </c>
      <c r="DV1804" s="340">
        <v>213.12</v>
      </c>
      <c r="DW1804" s="340" t="s">
        <v>348</v>
      </c>
      <c r="DX1804" s="1671"/>
    </row>
    <row r="1805" spans="12:128">
      <c r="L1805" s="2481">
        <v>144</v>
      </c>
      <c r="M1805" s="340" t="s">
        <v>338</v>
      </c>
      <c r="N1805" s="1390"/>
      <c r="O1805" s="2479"/>
      <c r="P1805" s="2282"/>
      <c r="AG1805" s="2297">
        <v>212.03</v>
      </c>
      <c r="AH1805" s="2297" t="s">
        <v>348</v>
      </c>
      <c r="AI1805" s="1390"/>
      <c r="AJ1805" s="2282"/>
      <c r="AK1805" s="2282"/>
      <c r="AL1805" s="1037"/>
      <c r="AX1805" s="340">
        <v>4901</v>
      </c>
      <c r="AY1805" s="340" t="s">
        <v>331</v>
      </c>
      <c r="BN1805" s="340">
        <v>205.01</v>
      </c>
      <c r="BO1805" s="340" t="s">
        <v>294</v>
      </c>
      <c r="BP1805" s="1385"/>
      <c r="BV1805" s="236">
        <v>313.17</v>
      </c>
      <c r="BW1805" s="236" t="s">
        <v>322</v>
      </c>
      <c r="CB1805" s="340">
        <v>9710.01</v>
      </c>
      <c r="CC1805" s="340" t="s">
        <v>333</v>
      </c>
      <c r="CL1805" s="236">
        <v>104.11</v>
      </c>
      <c r="CM1805" s="236" t="s">
        <v>323</v>
      </c>
      <c r="CR1805" s="340">
        <v>206</v>
      </c>
      <c r="CS1805" s="340" t="s">
        <v>307</v>
      </c>
      <c r="CT1805" s="1384"/>
      <c r="DF1805" s="340">
        <v>138.03</v>
      </c>
      <c r="DG1805" s="340" t="s">
        <v>338</v>
      </c>
      <c r="DV1805" s="340">
        <v>213.13</v>
      </c>
      <c r="DW1805" s="340" t="s">
        <v>348</v>
      </c>
      <c r="DX1805" s="1671"/>
    </row>
    <row r="1806" spans="12:128">
      <c r="L1806" s="2481">
        <v>146.06</v>
      </c>
      <c r="M1806" s="340" t="s">
        <v>338</v>
      </c>
      <c r="N1806" s="1390"/>
      <c r="O1806" s="2479"/>
      <c r="P1806" s="2282"/>
      <c r="AG1806" s="2297">
        <v>212.05</v>
      </c>
      <c r="AH1806" s="2297" t="s">
        <v>348</v>
      </c>
      <c r="AI1806" s="1390"/>
      <c r="AJ1806" s="2282"/>
      <c r="AK1806" s="2282"/>
      <c r="AL1806" s="1037"/>
      <c r="AX1806" s="340">
        <v>9805</v>
      </c>
      <c r="AY1806" s="340" t="s">
        <v>331</v>
      </c>
      <c r="BN1806" s="340">
        <v>205.02</v>
      </c>
      <c r="BO1806" s="340" t="s">
        <v>294</v>
      </c>
      <c r="BP1806" s="1385"/>
      <c r="BV1806" s="236">
        <v>313.18</v>
      </c>
      <c r="BW1806" s="236" t="s">
        <v>322</v>
      </c>
      <c r="CB1806" s="340">
        <v>9710.02</v>
      </c>
      <c r="CC1806" s="340" t="s">
        <v>333</v>
      </c>
      <c r="CL1806" s="236">
        <v>104.12</v>
      </c>
      <c r="CM1806" s="236" t="s">
        <v>323</v>
      </c>
      <c r="CR1806" s="340">
        <v>206.01</v>
      </c>
      <c r="CS1806" s="340" t="s">
        <v>336</v>
      </c>
      <c r="CT1806" s="1384"/>
      <c r="DF1806" s="340">
        <v>139</v>
      </c>
      <c r="DG1806" s="340" t="s">
        <v>338</v>
      </c>
      <c r="DV1806" s="340">
        <v>213.14</v>
      </c>
      <c r="DW1806" s="340" t="s">
        <v>348</v>
      </c>
      <c r="DX1806" s="1671"/>
    </row>
    <row r="1807" spans="12:128">
      <c r="L1807" s="2481">
        <v>147.05000000000001</v>
      </c>
      <c r="M1807" s="340" t="s">
        <v>338</v>
      </c>
      <c r="N1807" s="1390"/>
      <c r="O1807" s="2479"/>
      <c r="P1807" s="2282"/>
      <c r="AG1807" s="2297">
        <v>212.06</v>
      </c>
      <c r="AH1807" s="2297" t="s">
        <v>348</v>
      </c>
      <c r="AI1807" s="1390"/>
      <c r="AJ1807" s="2282"/>
      <c r="AK1807" s="2282"/>
      <c r="AL1807" s="1037"/>
      <c r="AX1807" s="340">
        <v>9705</v>
      </c>
      <c r="AY1807" s="340" t="s">
        <v>333</v>
      </c>
      <c r="BN1807" s="340">
        <v>206</v>
      </c>
      <c r="BO1807" s="340" t="s">
        <v>307</v>
      </c>
      <c r="BP1807" s="1385"/>
      <c r="BV1807" s="236">
        <v>313.19</v>
      </c>
      <c r="BW1807" s="236" t="s">
        <v>322</v>
      </c>
      <c r="CB1807" s="340">
        <v>9714.01</v>
      </c>
      <c r="CC1807" s="340" t="s">
        <v>333</v>
      </c>
      <c r="CL1807" s="236">
        <v>104.13</v>
      </c>
      <c r="CM1807" s="236" t="s">
        <v>323</v>
      </c>
      <c r="CR1807" s="340">
        <v>206.02</v>
      </c>
      <c r="CS1807" s="340" t="s">
        <v>336</v>
      </c>
      <c r="CT1807" s="1384"/>
      <c r="DF1807" s="340">
        <v>140</v>
      </c>
      <c r="DG1807" s="340" t="s">
        <v>338</v>
      </c>
      <c r="DV1807" s="340">
        <v>213.16</v>
      </c>
      <c r="DW1807" s="340" t="s">
        <v>348</v>
      </c>
      <c r="DX1807" s="1671"/>
    </row>
    <row r="1808" spans="12:128">
      <c r="L1808" s="2481">
        <v>147.06</v>
      </c>
      <c r="M1808" s="340" t="s">
        <v>338</v>
      </c>
      <c r="N1808" s="1390"/>
      <c r="O1808" s="2479"/>
      <c r="P1808" s="2282"/>
      <c r="AG1808" s="2297">
        <v>212.07</v>
      </c>
      <c r="AH1808" s="2297" t="s">
        <v>349</v>
      </c>
      <c r="AI1808" s="1390"/>
      <c r="AJ1808" s="2282"/>
      <c r="AK1808" s="2282"/>
      <c r="AL1808" s="1037"/>
      <c r="AX1808" s="340">
        <v>9708</v>
      </c>
      <c r="AY1808" s="340" t="s">
        <v>333</v>
      </c>
      <c r="BN1808" s="340">
        <v>206</v>
      </c>
      <c r="BO1808" s="340" t="s">
        <v>323</v>
      </c>
      <c r="BP1808" s="1385"/>
      <c r="BV1808" s="236">
        <v>313.2</v>
      </c>
      <c r="BW1808" s="236" t="s">
        <v>322</v>
      </c>
      <c r="CB1808" s="340">
        <v>9714.02</v>
      </c>
      <c r="CC1808" s="340" t="s">
        <v>333</v>
      </c>
      <c r="CL1808" s="236">
        <v>104.14</v>
      </c>
      <c r="CM1808" s="236" t="s">
        <v>323</v>
      </c>
      <c r="CR1808" s="340">
        <v>206.02</v>
      </c>
      <c r="CS1808" s="340" t="s">
        <v>348</v>
      </c>
      <c r="CT1808" s="1384"/>
      <c r="DF1808" s="340">
        <v>141</v>
      </c>
      <c r="DG1808" s="340" t="s">
        <v>338</v>
      </c>
      <c r="DV1808" s="340">
        <v>213.17</v>
      </c>
      <c r="DW1808" s="340" t="s">
        <v>348</v>
      </c>
      <c r="DX1808" s="1671"/>
    </row>
    <row r="1809" spans="12:128">
      <c r="L1809" s="2481">
        <v>148.04</v>
      </c>
      <c r="M1809" s="340" t="s">
        <v>338</v>
      </c>
      <c r="N1809" s="1390"/>
      <c r="O1809" s="2479"/>
      <c r="P1809" s="2282"/>
      <c r="AG1809" s="2297">
        <v>213.06</v>
      </c>
      <c r="AH1809" s="2297" t="s">
        <v>348</v>
      </c>
      <c r="AI1809" s="1390"/>
      <c r="AJ1809" s="2282"/>
      <c r="AK1809" s="2282"/>
      <c r="AL1809" s="1037"/>
      <c r="AX1809" s="340">
        <v>9709</v>
      </c>
      <c r="AY1809" s="340" t="s">
        <v>333</v>
      </c>
      <c r="BN1809" s="340">
        <v>206.01</v>
      </c>
      <c r="BO1809" s="340" t="s">
        <v>294</v>
      </c>
      <c r="BP1809" s="1385"/>
      <c r="BV1809" s="236">
        <v>313.20999999999998</v>
      </c>
      <c r="BW1809" s="236" t="s">
        <v>322</v>
      </c>
      <c r="CB1809" s="340">
        <v>9715.01</v>
      </c>
      <c r="CC1809" s="340" t="s">
        <v>333</v>
      </c>
      <c r="CL1809" s="236">
        <v>104.15</v>
      </c>
      <c r="CM1809" s="236" t="s">
        <v>323</v>
      </c>
      <c r="CR1809" s="340">
        <v>206.03</v>
      </c>
      <c r="CS1809" s="340" t="s">
        <v>349</v>
      </c>
      <c r="CT1809" s="1384"/>
      <c r="DF1809" s="340">
        <v>145.04</v>
      </c>
      <c r="DG1809" s="340" t="s">
        <v>338</v>
      </c>
      <c r="DV1809" s="340">
        <v>213.18</v>
      </c>
      <c r="DW1809" s="340" t="s">
        <v>348</v>
      </c>
      <c r="DX1809" s="1671"/>
    </row>
    <row r="1810" spans="12:128">
      <c r="L1810" s="2481">
        <v>148.06</v>
      </c>
      <c r="M1810" s="340" t="s">
        <v>338</v>
      </c>
      <c r="N1810" s="1390"/>
      <c r="O1810" s="2479"/>
      <c r="P1810" s="2282"/>
      <c r="AG1810" s="2297">
        <v>213.07</v>
      </c>
      <c r="AH1810" s="2297" t="s">
        <v>348</v>
      </c>
      <c r="AI1810" s="1390"/>
      <c r="AJ1810" s="2282"/>
      <c r="AK1810" s="2282"/>
      <c r="AL1810" s="1037"/>
      <c r="AX1810" s="340">
        <v>9710.01</v>
      </c>
      <c r="AY1810" s="340" t="s">
        <v>333</v>
      </c>
      <c r="BN1810" s="340">
        <v>206.02</v>
      </c>
      <c r="BO1810" s="340" t="s">
        <v>336</v>
      </c>
      <c r="BP1810" s="1385"/>
      <c r="BV1810" s="236">
        <v>313.22000000000003</v>
      </c>
      <c r="BW1810" s="236" t="s">
        <v>322</v>
      </c>
      <c r="CB1810" s="340">
        <v>9715.02</v>
      </c>
      <c r="CC1810" s="340" t="s">
        <v>333</v>
      </c>
      <c r="CL1810" s="236">
        <v>104.16</v>
      </c>
      <c r="CM1810" s="236" t="s">
        <v>297</v>
      </c>
      <c r="CR1810" s="340">
        <v>206.04</v>
      </c>
      <c r="CS1810" s="340" t="s">
        <v>349</v>
      </c>
      <c r="CT1810" s="1384"/>
      <c r="DF1810" s="340">
        <v>147.06</v>
      </c>
      <c r="DG1810" s="340" t="s">
        <v>338</v>
      </c>
      <c r="DV1810" s="340">
        <v>213.19</v>
      </c>
      <c r="DW1810" s="340" t="s">
        <v>348</v>
      </c>
      <c r="DX1810" s="1671"/>
    </row>
    <row r="1811" spans="12:128">
      <c r="L1811" s="2481">
        <v>148.07</v>
      </c>
      <c r="M1811" s="340" t="s">
        <v>338</v>
      </c>
      <c r="N1811" s="1390"/>
      <c r="O1811" s="2479"/>
      <c r="P1811" s="2282"/>
      <c r="AG1811" s="2297">
        <v>213.11</v>
      </c>
      <c r="AH1811" s="2297" t="s">
        <v>348</v>
      </c>
      <c r="AI1811" s="1390"/>
      <c r="AJ1811" s="2282"/>
      <c r="AK1811" s="2282"/>
      <c r="AL1811" s="1037"/>
      <c r="AX1811" s="340">
        <v>9710.02</v>
      </c>
      <c r="AY1811" s="340" t="s">
        <v>333</v>
      </c>
      <c r="BN1811" s="340">
        <v>206.02</v>
      </c>
      <c r="BO1811" s="340" t="s">
        <v>348</v>
      </c>
      <c r="BP1811" s="1385"/>
      <c r="BV1811" s="236">
        <v>313.23</v>
      </c>
      <c r="BW1811" s="236" t="s">
        <v>322</v>
      </c>
      <c r="CB1811" s="340">
        <v>9716</v>
      </c>
      <c r="CC1811" s="340" t="s">
        <v>333</v>
      </c>
      <c r="CL1811" s="236">
        <v>104.16</v>
      </c>
      <c r="CM1811" s="236" t="s">
        <v>323</v>
      </c>
      <c r="CR1811" s="340">
        <v>206.05</v>
      </c>
      <c r="CS1811" s="340" t="s">
        <v>349</v>
      </c>
      <c r="CT1811" s="1384"/>
      <c r="DF1811" s="340">
        <v>148.04</v>
      </c>
      <c r="DG1811" s="340" t="s">
        <v>338</v>
      </c>
      <c r="DV1811" s="340">
        <v>213.2</v>
      </c>
      <c r="DW1811" s="340" t="s">
        <v>348</v>
      </c>
      <c r="DX1811" s="1671"/>
    </row>
    <row r="1812" spans="12:128">
      <c r="L1812" s="2481">
        <v>148.09</v>
      </c>
      <c r="M1812" s="340" t="s">
        <v>338</v>
      </c>
      <c r="N1812" s="1390"/>
      <c r="O1812" s="2479"/>
      <c r="P1812" s="2282"/>
      <c r="AG1812" s="2297">
        <v>213.12</v>
      </c>
      <c r="AH1812" s="2297" t="s">
        <v>348</v>
      </c>
      <c r="AI1812" s="1390"/>
      <c r="AJ1812" s="2282"/>
      <c r="AK1812" s="2282"/>
      <c r="AL1812" s="1037"/>
      <c r="AX1812" s="340">
        <v>9714.01</v>
      </c>
      <c r="AY1812" s="340" t="s">
        <v>333</v>
      </c>
      <c r="BN1812" s="340">
        <v>206.03</v>
      </c>
      <c r="BO1812" s="340" t="s">
        <v>349</v>
      </c>
      <c r="BP1812" s="1385"/>
      <c r="BV1812" s="236">
        <v>313.24</v>
      </c>
      <c r="BW1812" s="236" t="s">
        <v>322</v>
      </c>
      <c r="CB1812" s="340">
        <v>9717</v>
      </c>
      <c r="CC1812" s="340" t="s">
        <v>333</v>
      </c>
      <c r="CL1812" s="236">
        <v>104.17</v>
      </c>
      <c r="CM1812" s="236" t="s">
        <v>323</v>
      </c>
      <c r="CR1812" s="340">
        <v>206.06</v>
      </c>
      <c r="CS1812" s="340" t="s">
        <v>349</v>
      </c>
      <c r="CT1812" s="1384"/>
      <c r="DF1812" s="340">
        <v>148.06</v>
      </c>
      <c r="DG1812" s="340" t="s">
        <v>338</v>
      </c>
      <c r="DV1812" s="340">
        <v>213.21</v>
      </c>
      <c r="DW1812" s="340" t="s">
        <v>348</v>
      </c>
      <c r="DX1812" s="1671"/>
    </row>
    <row r="1813" spans="12:128">
      <c r="L1813" s="2481">
        <v>148.1</v>
      </c>
      <c r="M1813" s="340" t="s">
        <v>338</v>
      </c>
      <c r="N1813" s="1390"/>
      <c r="O1813" s="2479"/>
      <c r="P1813" s="2282"/>
      <c r="AG1813" s="2297">
        <v>213.13</v>
      </c>
      <c r="AH1813" s="2297" t="s">
        <v>348</v>
      </c>
      <c r="AI1813" s="1390"/>
      <c r="AJ1813" s="2282"/>
      <c r="AK1813" s="2282"/>
      <c r="AL1813" s="1037"/>
      <c r="AX1813" s="340">
        <v>9715.01</v>
      </c>
      <c r="AY1813" s="340" t="s">
        <v>333</v>
      </c>
      <c r="BN1813" s="340">
        <v>206.04</v>
      </c>
      <c r="BO1813" s="340" t="s">
        <v>349</v>
      </c>
      <c r="BP1813" s="1385"/>
      <c r="BV1813" s="236">
        <v>3.03</v>
      </c>
      <c r="BW1813" s="236" t="s">
        <v>323</v>
      </c>
      <c r="CB1813" s="340">
        <v>9720</v>
      </c>
      <c r="CC1813" s="340" t="s">
        <v>333</v>
      </c>
      <c r="CL1813" s="236">
        <v>104.18</v>
      </c>
      <c r="CM1813" s="236" t="s">
        <v>323</v>
      </c>
      <c r="CR1813" s="340">
        <v>207</v>
      </c>
      <c r="CS1813" s="340" t="s">
        <v>323</v>
      </c>
      <c r="CT1813" s="1384"/>
      <c r="DF1813" s="340">
        <v>148.07</v>
      </c>
      <c r="DG1813" s="340" t="s">
        <v>338</v>
      </c>
      <c r="DV1813" s="340">
        <v>214</v>
      </c>
      <c r="DW1813" s="340" t="s">
        <v>336</v>
      </c>
      <c r="DX1813" s="1671"/>
    </row>
    <row r="1814" spans="12:128">
      <c r="L1814" s="2481">
        <v>148.11000000000001</v>
      </c>
      <c r="M1814" s="340" t="s">
        <v>338</v>
      </c>
      <c r="N1814" s="1390"/>
      <c r="O1814" s="2479"/>
      <c r="P1814" s="2282"/>
      <c r="AG1814" s="2297">
        <v>213.14</v>
      </c>
      <c r="AH1814" s="2297" t="s">
        <v>348</v>
      </c>
      <c r="AI1814" s="1390"/>
      <c r="AJ1814" s="2282"/>
      <c r="AK1814" s="2282"/>
      <c r="AL1814" s="1037"/>
      <c r="AX1814" s="340">
        <v>9715.02</v>
      </c>
      <c r="AY1814" s="340" t="s">
        <v>333</v>
      </c>
      <c r="BN1814" s="340">
        <v>206.05</v>
      </c>
      <c r="BO1814" s="340" t="s">
        <v>349</v>
      </c>
      <c r="BP1814" s="1385"/>
      <c r="BV1814" s="236">
        <v>3.04</v>
      </c>
      <c r="BW1814" s="236" t="s">
        <v>323</v>
      </c>
      <c r="CB1814" s="340">
        <v>9721</v>
      </c>
      <c r="CC1814" s="340" t="s">
        <v>333</v>
      </c>
      <c r="CL1814" s="236">
        <v>104.19</v>
      </c>
      <c r="CM1814" s="236" t="s">
        <v>297</v>
      </c>
      <c r="CR1814" s="340">
        <v>207.01</v>
      </c>
      <c r="CS1814" s="340" t="s">
        <v>336</v>
      </c>
      <c r="CT1814" s="1384"/>
      <c r="DF1814" s="340">
        <v>148.09</v>
      </c>
      <c r="DG1814" s="340" t="s">
        <v>338</v>
      </c>
      <c r="DV1814" s="340">
        <v>214.03</v>
      </c>
      <c r="DW1814" s="340" t="s">
        <v>348</v>
      </c>
      <c r="DX1814" s="1671"/>
    </row>
    <row r="1815" spans="12:128">
      <c r="L1815" s="2481">
        <v>148.13</v>
      </c>
      <c r="M1815" s="340" t="s">
        <v>338</v>
      </c>
      <c r="N1815" s="1390"/>
      <c r="O1815" s="2479"/>
      <c r="P1815" s="2282"/>
      <c r="AG1815" s="2297">
        <v>213.17</v>
      </c>
      <c r="AH1815" s="2297" t="s">
        <v>348</v>
      </c>
      <c r="AI1815" s="1390"/>
      <c r="AJ1815" s="2282"/>
      <c r="AK1815" s="2282"/>
      <c r="AL1815" s="1037"/>
      <c r="AX1815" s="340">
        <v>9716</v>
      </c>
      <c r="AY1815" s="340" t="s">
        <v>333</v>
      </c>
      <c r="BN1815" s="340">
        <v>207</v>
      </c>
      <c r="BO1815" s="340" t="s">
        <v>323</v>
      </c>
      <c r="BP1815" s="1385"/>
      <c r="BV1815" s="236">
        <v>3.05</v>
      </c>
      <c r="BW1815" s="236" t="s">
        <v>323</v>
      </c>
      <c r="CB1815" s="340">
        <v>9722</v>
      </c>
      <c r="CC1815" s="340" t="s">
        <v>333</v>
      </c>
      <c r="CL1815" s="236">
        <v>104.19</v>
      </c>
      <c r="CM1815" s="236" t="s">
        <v>323</v>
      </c>
      <c r="CR1815" s="340">
        <v>207.02</v>
      </c>
      <c r="CS1815" s="340" t="s">
        <v>336</v>
      </c>
      <c r="CT1815" s="1384"/>
      <c r="DF1815" s="340">
        <v>148.1</v>
      </c>
      <c r="DG1815" s="340" t="s">
        <v>338</v>
      </c>
      <c r="DV1815" s="340">
        <v>214.04</v>
      </c>
      <c r="DW1815" s="340" t="s">
        <v>348</v>
      </c>
      <c r="DX1815" s="1671"/>
    </row>
    <row r="1816" spans="12:128">
      <c r="L1816" s="2481">
        <v>148.13999999999999</v>
      </c>
      <c r="M1816" s="340" t="s">
        <v>338</v>
      </c>
      <c r="N1816" s="1390"/>
      <c r="O1816" s="2479"/>
      <c r="P1816" s="2282"/>
      <c r="AG1816" s="2297">
        <v>213.19</v>
      </c>
      <c r="AH1816" s="2297" t="s">
        <v>348</v>
      </c>
      <c r="AI1816" s="1390"/>
      <c r="AJ1816" s="2282"/>
      <c r="AK1816" s="2282"/>
      <c r="AL1816" s="1037"/>
      <c r="AX1816" s="340">
        <v>9720</v>
      </c>
      <c r="AY1816" s="340" t="s">
        <v>333</v>
      </c>
      <c r="BN1816" s="340">
        <v>207.02</v>
      </c>
      <c r="BO1816" s="340" t="s">
        <v>336</v>
      </c>
      <c r="BP1816" s="1385"/>
      <c r="BV1816" s="236">
        <v>3.06</v>
      </c>
      <c r="BW1816" s="236" t="s">
        <v>323</v>
      </c>
      <c r="CB1816" s="340">
        <v>9725</v>
      </c>
      <c r="CC1816" s="340" t="s">
        <v>333</v>
      </c>
      <c r="CL1816" s="236">
        <v>104.2</v>
      </c>
      <c r="CM1816" s="236" t="s">
        <v>297</v>
      </c>
      <c r="CR1816" s="340">
        <v>207.03</v>
      </c>
      <c r="CS1816" s="340" t="s">
        <v>348</v>
      </c>
      <c r="CT1816" s="1384"/>
      <c r="DF1816" s="340">
        <v>148.11000000000001</v>
      </c>
      <c r="DG1816" s="340" t="s">
        <v>338</v>
      </c>
      <c r="DV1816" s="340">
        <v>214.08</v>
      </c>
      <c r="DW1816" s="340" t="s">
        <v>349</v>
      </c>
      <c r="DX1816" s="1671"/>
    </row>
    <row r="1817" spans="12:128">
      <c r="L1817" s="2481">
        <v>148.15</v>
      </c>
      <c r="M1817" s="340" t="s">
        <v>338</v>
      </c>
      <c r="N1817" s="1390"/>
      <c r="O1817" s="2479"/>
      <c r="P1817" s="2282"/>
      <c r="AG1817" s="2297">
        <v>213.2</v>
      </c>
      <c r="AH1817" s="2297" t="s">
        <v>348</v>
      </c>
      <c r="AI1817" s="1390"/>
      <c r="AJ1817" s="2282"/>
      <c r="AK1817" s="2282"/>
      <c r="AL1817" s="1037"/>
      <c r="AX1817" s="340">
        <v>9721</v>
      </c>
      <c r="AY1817" s="340" t="s">
        <v>333</v>
      </c>
      <c r="BN1817" s="340">
        <v>207.03</v>
      </c>
      <c r="BO1817" s="340" t="s">
        <v>348</v>
      </c>
      <c r="BP1817" s="1385"/>
      <c r="BV1817" s="236">
        <v>4.01</v>
      </c>
      <c r="BW1817" s="236" t="s">
        <v>323</v>
      </c>
      <c r="CB1817" s="340">
        <v>9728</v>
      </c>
      <c r="CC1817" s="340" t="s">
        <v>333</v>
      </c>
      <c r="CL1817" s="236">
        <v>104.2</v>
      </c>
      <c r="CM1817" s="236" t="s">
        <v>323</v>
      </c>
      <c r="CR1817" s="340">
        <v>207.04</v>
      </c>
      <c r="CS1817" s="340" t="s">
        <v>348</v>
      </c>
      <c r="CT1817" s="1384"/>
      <c r="DF1817" s="340">
        <v>148.12</v>
      </c>
      <c r="DG1817" s="340" t="s">
        <v>338</v>
      </c>
      <c r="DV1817" s="340">
        <v>214.09</v>
      </c>
      <c r="DW1817" s="340" t="s">
        <v>349</v>
      </c>
      <c r="DX1817" s="1671"/>
    </row>
    <row r="1818" spans="12:128">
      <c r="L1818" s="2481">
        <v>149.06</v>
      </c>
      <c r="M1818" s="340" t="s">
        <v>338</v>
      </c>
      <c r="N1818" s="1390"/>
      <c r="O1818" s="2479"/>
      <c r="P1818" s="2282"/>
      <c r="AG1818" s="2297">
        <v>213.21</v>
      </c>
      <c r="AH1818" s="2297" t="s">
        <v>348</v>
      </c>
      <c r="AI1818" s="1390"/>
      <c r="AJ1818" s="2282"/>
      <c r="AK1818" s="2282"/>
      <c r="AL1818" s="1037"/>
      <c r="AX1818" s="340">
        <v>9722</v>
      </c>
      <c r="AY1818" s="340" t="s">
        <v>333</v>
      </c>
      <c r="BN1818" s="340">
        <v>207.04</v>
      </c>
      <c r="BO1818" s="340" t="s">
        <v>348</v>
      </c>
      <c r="BP1818" s="1385"/>
      <c r="BV1818" s="236">
        <v>4.0199999999999996</v>
      </c>
      <c r="BW1818" s="236" t="s">
        <v>323</v>
      </c>
      <c r="CB1818" s="340">
        <v>501.02</v>
      </c>
      <c r="CC1818" s="340" t="s">
        <v>335</v>
      </c>
      <c r="CL1818" s="236">
        <v>104.21</v>
      </c>
      <c r="CM1818" s="236" t="s">
        <v>297</v>
      </c>
      <c r="CR1818" s="340">
        <v>207.04</v>
      </c>
      <c r="CS1818" s="340" t="s">
        <v>349</v>
      </c>
      <c r="CT1818" s="1384"/>
      <c r="DF1818" s="340">
        <v>148.13</v>
      </c>
      <c r="DG1818" s="340" t="s">
        <v>338</v>
      </c>
      <c r="DV1818" s="340">
        <v>215.01</v>
      </c>
      <c r="DW1818" s="340" t="s">
        <v>336</v>
      </c>
      <c r="DX1818" s="1671"/>
    </row>
    <row r="1819" spans="12:128">
      <c r="L1819" s="2481">
        <v>149.09</v>
      </c>
      <c r="M1819" s="340" t="s">
        <v>338</v>
      </c>
      <c r="N1819" s="1390"/>
      <c r="O1819" s="2479"/>
      <c r="P1819" s="2282"/>
      <c r="AG1819" s="2297">
        <v>214</v>
      </c>
      <c r="AH1819" s="2297" t="s">
        <v>336</v>
      </c>
      <c r="AI1819" s="1390"/>
      <c r="AJ1819" s="2282"/>
      <c r="AK1819" s="2282"/>
      <c r="AL1819" s="1037"/>
      <c r="AX1819" s="340">
        <v>9724</v>
      </c>
      <c r="AY1819" s="340" t="s">
        <v>333</v>
      </c>
      <c r="BN1819" s="340">
        <v>207.04</v>
      </c>
      <c r="BO1819" s="340" t="s">
        <v>349</v>
      </c>
      <c r="BP1819" s="1385"/>
      <c r="BV1819" s="236">
        <v>5.0199999999999996</v>
      </c>
      <c r="BW1819" s="236" t="s">
        <v>323</v>
      </c>
      <c r="CB1819" s="340">
        <v>501.03</v>
      </c>
      <c r="CC1819" s="340" t="s">
        <v>335</v>
      </c>
      <c r="CL1819" s="236">
        <v>104.21</v>
      </c>
      <c r="CM1819" s="236" t="s">
        <v>323</v>
      </c>
      <c r="CR1819" s="340">
        <v>207.05</v>
      </c>
      <c r="CS1819" s="340" t="s">
        <v>348</v>
      </c>
      <c r="CT1819" s="1384"/>
      <c r="DF1819" s="340">
        <v>148.13999999999999</v>
      </c>
      <c r="DG1819" s="340" t="s">
        <v>338</v>
      </c>
      <c r="DV1819" s="340">
        <v>215.01</v>
      </c>
      <c r="DW1819" s="340" t="s">
        <v>342</v>
      </c>
      <c r="DX1819" s="1671"/>
    </row>
    <row r="1820" spans="12:128">
      <c r="L1820" s="2481">
        <v>150.01</v>
      </c>
      <c r="M1820" s="340" t="s">
        <v>338</v>
      </c>
      <c r="N1820" s="1390"/>
      <c r="O1820" s="2479"/>
      <c r="P1820" s="2282"/>
      <c r="AG1820" s="2297">
        <v>214.01</v>
      </c>
      <c r="AH1820" s="2297" t="s">
        <v>348</v>
      </c>
      <c r="AI1820" s="1390"/>
      <c r="AJ1820" s="2282"/>
      <c r="AK1820" s="2282"/>
      <c r="AL1820" s="1037"/>
      <c r="AX1820" s="340">
        <v>9725</v>
      </c>
      <c r="AY1820" s="340" t="s">
        <v>333</v>
      </c>
      <c r="BN1820" s="340">
        <v>207.05</v>
      </c>
      <c r="BO1820" s="340" t="s">
        <v>348</v>
      </c>
      <c r="BP1820" s="1385"/>
      <c r="BV1820" s="236">
        <v>5.03</v>
      </c>
      <c r="BW1820" s="236" t="s">
        <v>323</v>
      </c>
      <c r="CB1820" s="340">
        <v>501.04</v>
      </c>
      <c r="CC1820" s="340" t="s">
        <v>335</v>
      </c>
      <c r="CL1820" s="236">
        <v>104.22</v>
      </c>
      <c r="CM1820" s="236" t="s">
        <v>297</v>
      </c>
      <c r="CR1820" s="340">
        <v>207.06</v>
      </c>
      <c r="CS1820" s="340" t="s">
        <v>348</v>
      </c>
      <c r="CT1820" s="1384"/>
      <c r="DF1820" s="340">
        <v>148.15</v>
      </c>
      <c r="DG1820" s="340" t="s">
        <v>338</v>
      </c>
      <c r="DV1820" s="340">
        <v>215.02</v>
      </c>
      <c r="DW1820" s="340" t="s">
        <v>336</v>
      </c>
      <c r="DX1820" s="1671"/>
    </row>
    <row r="1821" spans="12:128">
      <c r="L1821" s="2481">
        <v>150.03</v>
      </c>
      <c r="M1821" s="340" t="s">
        <v>338</v>
      </c>
      <c r="N1821" s="1390"/>
      <c r="O1821" s="2479"/>
      <c r="P1821" s="2282"/>
      <c r="AG1821" s="2297">
        <v>214.03</v>
      </c>
      <c r="AH1821" s="2297" t="s">
        <v>348</v>
      </c>
      <c r="AI1821" s="1390"/>
      <c r="AJ1821" s="2282"/>
      <c r="AK1821" s="2282"/>
      <c r="AL1821" s="1037"/>
      <c r="AX1821" s="340">
        <v>9727</v>
      </c>
      <c r="AY1821" s="340" t="s">
        <v>333</v>
      </c>
      <c r="BN1821" s="340">
        <v>207.05</v>
      </c>
      <c r="BO1821" s="340" t="s">
        <v>349</v>
      </c>
      <c r="BP1821" s="1385"/>
      <c r="BV1821" s="236">
        <v>5.04</v>
      </c>
      <c r="BW1821" s="236" t="s">
        <v>323</v>
      </c>
      <c r="CB1821" s="340">
        <v>502.01</v>
      </c>
      <c r="CC1821" s="340" t="s">
        <v>335</v>
      </c>
      <c r="CL1821" s="236">
        <v>104.22</v>
      </c>
      <c r="CM1821" s="236" t="s">
        <v>323</v>
      </c>
      <c r="CR1821" s="340">
        <v>207.06</v>
      </c>
      <c r="CS1821" s="340" t="s">
        <v>349</v>
      </c>
      <c r="CT1821" s="1384"/>
      <c r="DF1821" s="340">
        <v>149.06</v>
      </c>
      <c r="DG1821" s="340" t="s">
        <v>338</v>
      </c>
      <c r="DV1821" s="340">
        <v>215.02</v>
      </c>
      <c r="DW1821" s="340" t="s">
        <v>342</v>
      </c>
      <c r="DX1821" s="1671"/>
    </row>
    <row r="1822" spans="12:128">
      <c r="L1822" s="2481">
        <v>150.05000000000001</v>
      </c>
      <c r="M1822" s="340" t="s">
        <v>338</v>
      </c>
      <c r="N1822" s="1390"/>
      <c r="O1822" s="2479"/>
      <c r="P1822" s="2282"/>
      <c r="AG1822" s="2297">
        <v>214.04</v>
      </c>
      <c r="AH1822" s="2297" t="s">
        <v>348</v>
      </c>
      <c r="AI1822" s="1390"/>
      <c r="AJ1822" s="2282"/>
      <c r="AK1822" s="2282"/>
      <c r="AL1822" s="1037"/>
      <c r="AX1822" s="340">
        <v>9728</v>
      </c>
      <c r="AY1822" s="340" t="s">
        <v>333</v>
      </c>
      <c r="BN1822" s="340">
        <v>207.06</v>
      </c>
      <c r="BO1822" s="340" t="s">
        <v>348</v>
      </c>
      <c r="BP1822" s="1385"/>
      <c r="BV1822" s="236">
        <v>6</v>
      </c>
      <c r="BW1822" s="236" t="s">
        <v>323</v>
      </c>
      <c r="CB1822" s="340">
        <v>502.03</v>
      </c>
      <c r="CC1822" s="340" t="s">
        <v>335</v>
      </c>
      <c r="CL1822" s="236">
        <v>104.23</v>
      </c>
      <c r="CM1822" s="236" t="s">
        <v>297</v>
      </c>
      <c r="CR1822" s="340">
        <v>207.07</v>
      </c>
      <c r="CS1822" s="340" t="s">
        <v>348</v>
      </c>
      <c r="CT1822" s="1384"/>
      <c r="DF1822" s="340">
        <v>149.09</v>
      </c>
      <c r="DG1822" s="340" t="s">
        <v>338</v>
      </c>
      <c r="DV1822" s="340">
        <v>215.05</v>
      </c>
      <c r="DW1822" s="340" t="s">
        <v>348</v>
      </c>
      <c r="DX1822" s="1671"/>
    </row>
    <row r="1823" spans="12:128">
      <c r="L1823" s="2481">
        <v>150.06</v>
      </c>
      <c r="M1823" s="340" t="s">
        <v>338</v>
      </c>
      <c r="N1823" s="1390"/>
      <c r="O1823" s="2479"/>
      <c r="P1823" s="2282"/>
      <c r="AG1823" s="2297">
        <v>214.08</v>
      </c>
      <c r="AH1823" s="2297" t="s">
        <v>349</v>
      </c>
      <c r="AI1823" s="1390"/>
      <c r="AJ1823" s="2282"/>
      <c r="AK1823" s="2282"/>
      <c r="AL1823" s="1037"/>
      <c r="AX1823" s="340">
        <v>501.02</v>
      </c>
      <c r="AY1823" s="340" t="s">
        <v>335</v>
      </c>
      <c r="BN1823" s="340">
        <v>207.06</v>
      </c>
      <c r="BO1823" s="340" t="s">
        <v>349</v>
      </c>
      <c r="BP1823" s="1385"/>
      <c r="BV1823" s="236">
        <v>7</v>
      </c>
      <c r="BW1823" s="236" t="s">
        <v>323</v>
      </c>
      <c r="CB1823" s="340">
        <v>502.04</v>
      </c>
      <c r="CC1823" s="340" t="s">
        <v>335</v>
      </c>
      <c r="CL1823" s="236">
        <v>104.23</v>
      </c>
      <c r="CM1823" s="236" t="s">
        <v>323</v>
      </c>
      <c r="CR1823" s="340">
        <v>207.07</v>
      </c>
      <c r="CS1823" s="340" t="s">
        <v>349</v>
      </c>
      <c r="CT1823" s="1384"/>
      <c r="DF1823" s="340">
        <v>150.01</v>
      </c>
      <c r="DG1823" s="340" t="s">
        <v>338</v>
      </c>
      <c r="DV1823" s="340">
        <v>216</v>
      </c>
      <c r="DW1823" s="340" t="s">
        <v>336</v>
      </c>
      <c r="DX1823" s="1671"/>
    </row>
    <row r="1824" spans="12:128">
      <c r="L1824" s="2481">
        <v>151.03</v>
      </c>
      <c r="M1824" s="340" t="s">
        <v>338</v>
      </c>
      <c r="N1824" s="1390"/>
      <c r="O1824" s="2479"/>
      <c r="P1824" s="2282"/>
      <c r="AG1824" s="2297">
        <v>215.01</v>
      </c>
      <c r="AH1824" s="2297" t="s">
        <v>336</v>
      </c>
      <c r="AI1824" s="1390"/>
      <c r="AJ1824" s="2282"/>
      <c r="AK1824" s="2282"/>
      <c r="AL1824" s="1037"/>
      <c r="AX1824" s="340">
        <v>501.03</v>
      </c>
      <c r="AY1824" s="340" t="s">
        <v>335</v>
      </c>
      <c r="BN1824" s="340">
        <v>207.07</v>
      </c>
      <c r="BO1824" s="340" t="s">
        <v>348</v>
      </c>
      <c r="BP1824" s="1385"/>
      <c r="BV1824" s="236">
        <v>8</v>
      </c>
      <c r="BW1824" s="236" t="s">
        <v>323</v>
      </c>
      <c r="CB1824" s="340">
        <v>502.05</v>
      </c>
      <c r="CC1824" s="340" t="s">
        <v>335</v>
      </c>
      <c r="CL1824" s="236">
        <v>104.24</v>
      </c>
      <c r="CM1824" s="236" t="s">
        <v>297</v>
      </c>
      <c r="CR1824" s="340">
        <v>207.08</v>
      </c>
      <c r="CS1824" s="340" t="s">
        <v>349</v>
      </c>
      <c r="CT1824" s="1384"/>
      <c r="DF1824" s="340">
        <v>150.03</v>
      </c>
      <c r="DG1824" s="340" t="s">
        <v>338</v>
      </c>
      <c r="DV1824" s="340">
        <v>216</v>
      </c>
      <c r="DW1824" s="340" t="s">
        <v>342</v>
      </c>
      <c r="DX1824" s="1671"/>
    </row>
    <row r="1825" spans="12:128">
      <c r="L1825" s="2481">
        <v>152.03</v>
      </c>
      <c r="M1825" s="340" t="s">
        <v>338</v>
      </c>
      <c r="N1825" s="1390"/>
      <c r="O1825" s="2479"/>
      <c r="P1825" s="2282"/>
      <c r="AG1825" s="2297">
        <v>215.01</v>
      </c>
      <c r="AH1825" s="2297" t="s">
        <v>342</v>
      </c>
      <c r="AI1825" s="1390"/>
      <c r="AJ1825" s="2282"/>
      <c r="AK1825" s="2282"/>
      <c r="AL1825" s="1037"/>
      <c r="AX1825" s="340">
        <v>501.04</v>
      </c>
      <c r="AY1825" s="340" t="s">
        <v>335</v>
      </c>
      <c r="BN1825" s="340">
        <v>207.07</v>
      </c>
      <c r="BO1825" s="340" t="s">
        <v>349</v>
      </c>
      <c r="BP1825" s="1385"/>
      <c r="BV1825" s="236">
        <v>9</v>
      </c>
      <c r="BW1825" s="236" t="s">
        <v>323</v>
      </c>
      <c r="CB1825" s="340">
        <v>503.04</v>
      </c>
      <c r="CC1825" s="340" t="s">
        <v>335</v>
      </c>
      <c r="CL1825" s="236">
        <v>104.25</v>
      </c>
      <c r="CM1825" s="236" t="s">
        <v>297</v>
      </c>
      <c r="CR1825" s="340">
        <v>207.1</v>
      </c>
      <c r="CS1825" s="340" t="s">
        <v>349</v>
      </c>
      <c r="CT1825" s="1384"/>
      <c r="DF1825" s="340">
        <v>150.05000000000001</v>
      </c>
      <c r="DG1825" s="340" t="s">
        <v>338</v>
      </c>
      <c r="DV1825" s="340">
        <v>216.04</v>
      </c>
      <c r="DW1825" s="340" t="s">
        <v>348</v>
      </c>
      <c r="DX1825" s="1671"/>
    </row>
    <row r="1826" spans="12:128">
      <c r="L1826" s="2481">
        <v>152.04</v>
      </c>
      <c r="M1826" s="340" t="s">
        <v>338</v>
      </c>
      <c r="N1826" s="1390"/>
      <c r="O1826" s="2479"/>
      <c r="P1826" s="2282"/>
      <c r="AG1826" s="2297">
        <v>215.02</v>
      </c>
      <c r="AH1826" s="2297" t="s">
        <v>336</v>
      </c>
      <c r="AI1826" s="1390"/>
      <c r="AJ1826" s="2282"/>
      <c r="AK1826" s="2282"/>
      <c r="AL1826" s="1037"/>
      <c r="AX1826" s="340">
        <v>502.01</v>
      </c>
      <c r="AY1826" s="340" t="s">
        <v>335</v>
      </c>
      <c r="BN1826" s="340">
        <v>207.08</v>
      </c>
      <c r="BO1826" s="340" t="s">
        <v>349</v>
      </c>
      <c r="BP1826" s="1385"/>
      <c r="BV1826" s="236">
        <v>10.01</v>
      </c>
      <c r="BW1826" s="236" t="s">
        <v>323</v>
      </c>
      <c r="CB1826" s="340">
        <v>503.06</v>
      </c>
      <c r="CC1826" s="340" t="s">
        <v>335</v>
      </c>
      <c r="CL1826" s="236">
        <v>104.26</v>
      </c>
      <c r="CM1826" s="236" t="s">
        <v>297</v>
      </c>
      <c r="CR1826" s="340">
        <v>207.12</v>
      </c>
      <c r="CS1826" s="340" t="s">
        <v>349</v>
      </c>
      <c r="CT1826" s="1384"/>
      <c r="DF1826" s="340">
        <v>150.06</v>
      </c>
      <c r="DG1826" s="340" t="s">
        <v>338</v>
      </c>
      <c r="DV1826" s="340">
        <v>216.09</v>
      </c>
      <c r="DW1826" s="340" t="s">
        <v>348</v>
      </c>
      <c r="DX1826" s="1671"/>
    </row>
    <row r="1827" spans="12:128">
      <c r="L1827" s="2481">
        <v>153</v>
      </c>
      <c r="M1827" s="340" t="s">
        <v>338</v>
      </c>
      <c r="N1827" s="1390"/>
      <c r="O1827" s="2479"/>
      <c r="P1827" s="2282"/>
      <c r="AG1827" s="2297">
        <v>215.04</v>
      </c>
      <c r="AH1827" s="2297" t="s">
        <v>348</v>
      </c>
      <c r="AI1827" s="1390"/>
      <c r="AJ1827" s="2282"/>
      <c r="AK1827" s="2282"/>
      <c r="AL1827" s="1037"/>
      <c r="AX1827" s="340">
        <v>502.03</v>
      </c>
      <c r="AY1827" s="340" t="s">
        <v>335</v>
      </c>
      <c r="BN1827" s="340">
        <v>207.1</v>
      </c>
      <c r="BO1827" s="340" t="s">
        <v>349</v>
      </c>
      <c r="BP1827" s="1385"/>
      <c r="BV1827" s="236">
        <v>10.02</v>
      </c>
      <c r="BW1827" s="236" t="s">
        <v>323</v>
      </c>
      <c r="CB1827" s="340">
        <v>503.07</v>
      </c>
      <c r="CC1827" s="340" t="s">
        <v>335</v>
      </c>
      <c r="CL1827" s="236">
        <v>104.27</v>
      </c>
      <c r="CM1827" s="236" t="s">
        <v>297</v>
      </c>
      <c r="CR1827" s="340">
        <v>207.13</v>
      </c>
      <c r="CS1827" s="340" t="s">
        <v>349</v>
      </c>
      <c r="CT1827" s="1384"/>
      <c r="DF1827" s="340">
        <v>151.03</v>
      </c>
      <c r="DG1827" s="340" t="s">
        <v>338</v>
      </c>
      <c r="DV1827" s="340">
        <v>216.11</v>
      </c>
      <c r="DW1827" s="340" t="s">
        <v>348</v>
      </c>
      <c r="DX1827" s="1671"/>
    </row>
    <row r="1828" spans="12:128">
      <c r="L1828" s="2481">
        <v>155.01</v>
      </c>
      <c r="M1828" s="340" t="s">
        <v>338</v>
      </c>
      <c r="N1828" s="1390"/>
      <c r="O1828" s="2479"/>
      <c r="P1828" s="2282"/>
      <c r="AG1828" s="2297">
        <v>215.05</v>
      </c>
      <c r="AH1828" s="2297" t="s">
        <v>348</v>
      </c>
      <c r="AI1828" s="1390"/>
      <c r="AJ1828" s="2282"/>
      <c r="AK1828" s="2282"/>
      <c r="AL1828" s="1037"/>
      <c r="AX1828" s="340">
        <v>502.04</v>
      </c>
      <c r="AY1828" s="340" t="s">
        <v>335</v>
      </c>
      <c r="BN1828" s="340">
        <v>207.12</v>
      </c>
      <c r="BO1828" s="340" t="s">
        <v>349</v>
      </c>
      <c r="BP1828" s="1385"/>
      <c r="BV1828" s="236">
        <v>11.01</v>
      </c>
      <c r="BW1828" s="236" t="s">
        <v>323</v>
      </c>
      <c r="CB1828" s="340">
        <v>503.08</v>
      </c>
      <c r="CC1828" s="340" t="s">
        <v>335</v>
      </c>
      <c r="CL1828" s="236">
        <v>104.28</v>
      </c>
      <c r="CM1828" s="236" t="s">
        <v>297</v>
      </c>
      <c r="CR1828" s="340">
        <v>208</v>
      </c>
      <c r="CS1828" s="340" t="s">
        <v>307</v>
      </c>
      <c r="CT1828" s="1384"/>
      <c r="DF1828" s="340">
        <v>152.03</v>
      </c>
      <c r="DG1828" s="340" t="s">
        <v>338</v>
      </c>
      <c r="DV1828" s="340">
        <v>216.12</v>
      </c>
      <c r="DW1828" s="340" t="s">
        <v>348</v>
      </c>
      <c r="DX1828" s="1671"/>
    </row>
    <row r="1829" spans="12:128">
      <c r="L1829" s="2481">
        <v>156.01</v>
      </c>
      <c r="M1829" s="340" t="s">
        <v>338</v>
      </c>
      <c r="N1829" s="1390"/>
      <c r="O1829" s="2479"/>
      <c r="P1829" s="2282"/>
      <c r="AG1829" s="2297">
        <v>216</v>
      </c>
      <c r="AH1829" s="2297" t="s">
        <v>336</v>
      </c>
      <c r="AI1829" s="1390"/>
      <c r="AJ1829" s="2282"/>
      <c r="AK1829" s="2282"/>
      <c r="AL1829" s="1037"/>
      <c r="AX1829" s="340">
        <v>502.05</v>
      </c>
      <c r="AY1829" s="340" t="s">
        <v>335</v>
      </c>
      <c r="BN1829" s="340">
        <v>207.13</v>
      </c>
      <c r="BO1829" s="340" t="s">
        <v>349</v>
      </c>
      <c r="BP1829" s="1385"/>
      <c r="BV1829" s="236">
        <v>11.03</v>
      </c>
      <c r="BW1829" s="236" t="s">
        <v>323</v>
      </c>
      <c r="CB1829" s="340">
        <v>503.09</v>
      </c>
      <c r="CC1829" s="340" t="s">
        <v>335</v>
      </c>
      <c r="CL1829" s="236">
        <v>104.29</v>
      </c>
      <c r="CM1829" s="236" t="s">
        <v>297</v>
      </c>
      <c r="CR1829" s="340">
        <v>208</v>
      </c>
      <c r="CS1829" s="340" t="s">
        <v>336</v>
      </c>
      <c r="CT1829" s="1384"/>
      <c r="DF1829" s="340">
        <v>152.04</v>
      </c>
      <c r="DG1829" s="340" t="s">
        <v>338</v>
      </c>
      <c r="DV1829" s="340">
        <v>216.14</v>
      </c>
      <c r="DW1829" s="340" t="s">
        <v>348</v>
      </c>
      <c r="DX1829" s="1671"/>
    </row>
    <row r="1830" spans="12:128">
      <c r="L1830" s="2481">
        <v>156.02000000000001</v>
      </c>
      <c r="M1830" s="340" t="s">
        <v>338</v>
      </c>
      <c r="N1830" s="1390"/>
      <c r="O1830" s="2479"/>
      <c r="P1830" s="2282"/>
      <c r="AG1830" s="2297">
        <v>216.04</v>
      </c>
      <c r="AH1830" s="2297" t="s">
        <v>348</v>
      </c>
      <c r="AI1830" s="1390"/>
      <c r="AJ1830" s="2282"/>
      <c r="AK1830" s="2282"/>
      <c r="AL1830" s="1037"/>
      <c r="AX1830" s="340">
        <v>503.06</v>
      </c>
      <c r="AY1830" s="340" t="s">
        <v>335</v>
      </c>
      <c r="BN1830" s="340">
        <v>208</v>
      </c>
      <c r="BO1830" s="340" t="s">
        <v>307</v>
      </c>
      <c r="BP1830" s="1385"/>
      <c r="BV1830" s="236">
        <v>11.04</v>
      </c>
      <c r="BW1830" s="236" t="s">
        <v>323</v>
      </c>
      <c r="CB1830" s="340">
        <v>503.1</v>
      </c>
      <c r="CC1830" s="340" t="s">
        <v>335</v>
      </c>
      <c r="CL1830" s="236">
        <v>104.3</v>
      </c>
      <c r="CM1830" s="236" t="s">
        <v>297</v>
      </c>
      <c r="CR1830" s="340">
        <v>208.01</v>
      </c>
      <c r="CS1830" s="340" t="s">
        <v>349</v>
      </c>
      <c r="CT1830" s="1384"/>
      <c r="DF1830" s="340">
        <v>153</v>
      </c>
      <c r="DG1830" s="340" t="s">
        <v>338</v>
      </c>
      <c r="DV1830" s="340">
        <v>216.17</v>
      </c>
      <c r="DW1830" s="340" t="s">
        <v>348</v>
      </c>
      <c r="DX1830" s="1671"/>
    </row>
    <row r="1831" spans="12:128">
      <c r="L1831" s="2481">
        <v>157.01</v>
      </c>
      <c r="M1831" s="340" t="s">
        <v>338</v>
      </c>
      <c r="N1831" s="1390"/>
      <c r="O1831" s="2479"/>
      <c r="P1831" s="2282"/>
      <c r="AG1831" s="2297">
        <v>216.09</v>
      </c>
      <c r="AH1831" s="2297" t="s">
        <v>348</v>
      </c>
      <c r="AI1831" s="1390"/>
      <c r="AJ1831" s="2282"/>
      <c r="AK1831" s="2282"/>
      <c r="AL1831" s="1037"/>
      <c r="AX1831" s="340">
        <v>503.07</v>
      </c>
      <c r="AY1831" s="340" t="s">
        <v>335</v>
      </c>
      <c r="BN1831" s="340">
        <v>208</v>
      </c>
      <c r="BO1831" s="340" t="s">
        <v>336</v>
      </c>
      <c r="BP1831" s="1385"/>
      <c r="BV1831" s="236">
        <v>12.03</v>
      </c>
      <c r="BW1831" s="236" t="s">
        <v>323</v>
      </c>
      <c r="CB1831" s="340">
        <v>504.02</v>
      </c>
      <c r="CC1831" s="340" t="s">
        <v>335</v>
      </c>
      <c r="CL1831" s="236">
        <v>104.31</v>
      </c>
      <c r="CM1831" s="236" t="s">
        <v>297</v>
      </c>
      <c r="CR1831" s="340">
        <v>208.02</v>
      </c>
      <c r="CS1831" s="340" t="s">
        <v>349</v>
      </c>
      <c r="CT1831" s="1384"/>
      <c r="DF1831" s="340">
        <v>155.01</v>
      </c>
      <c r="DG1831" s="340" t="s">
        <v>338</v>
      </c>
      <c r="DV1831" s="340">
        <v>217</v>
      </c>
      <c r="DW1831" s="340" t="s">
        <v>336</v>
      </c>
      <c r="DX1831" s="1671"/>
    </row>
    <row r="1832" spans="12:128">
      <c r="L1832" s="2481">
        <v>157.02000000000001</v>
      </c>
      <c r="M1832" s="340" t="s">
        <v>338</v>
      </c>
      <c r="N1832" s="1390"/>
      <c r="O1832" s="2479"/>
      <c r="P1832" s="2282"/>
      <c r="AG1832" s="2297">
        <v>216.11</v>
      </c>
      <c r="AH1832" s="2297" t="s">
        <v>348</v>
      </c>
      <c r="AI1832" s="1390"/>
      <c r="AJ1832" s="2282"/>
      <c r="AK1832" s="2282"/>
      <c r="AL1832" s="1037"/>
      <c r="AX1832" s="340">
        <v>503.08</v>
      </c>
      <c r="AY1832" s="340" t="s">
        <v>335</v>
      </c>
      <c r="BN1832" s="340">
        <v>208.01</v>
      </c>
      <c r="BO1832" s="340" t="s">
        <v>349</v>
      </c>
      <c r="BP1832" s="1385"/>
      <c r="BV1832" s="236">
        <v>12.04</v>
      </c>
      <c r="BW1832" s="236" t="s">
        <v>323</v>
      </c>
      <c r="CB1832" s="340">
        <v>505.06</v>
      </c>
      <c r="CC1832" s="340" t="s">
        <v>335</v>
      </c>
      <c r="CL1832" s="236">
        <v>104.32</v>
      </c>
      <c r="CM1832" s="236" t="s">
        <v>297</v>
      </c>
      <c r="CR1832" s="340">
        <v>208.03</v>
      </c>
      <c r="CS1832" s="340" t="s">
        <v>348</v>
      </c>
      <c r="CT1832" s="1384"/>
      <c r="DF1832" s="340">
        <v>156.01</v>
      </c>
      <c r="DG1832" s="340" t="s">
        <v>338</v>
      </c>
      <c r="DV1832" s="340">
        <v>217.04</v>
      </c>
      <c r="DW1832" s="340" t="s">
        <v>348</v>
      </c>
      <c r="DX1832" s="1671"/>
    </row>
    <row r="1833" spans="12:128">
      <c r="L1833" s="2481">
        <v>158.01</v>
      </c>
      <c r="M1833" s="340" t="s">
        <v>338</v>
      </c>
      <c r="N1833" s="1390"/>
      <c r="O1833" s="2479"/>
      <c r="P1833" s="2282"/>
      <c r="AG1833" s="2297">
        <v>216.12</v>
      </c>
      <c r="AH1833" s="2297" t="s">
        <v>348</v>
      </c>
      <c r="AI1833" s="1390"/>
      <c r="AJ1833" s="2282"/>
      <c r="AK1833" s="2282"/>
      <c r="AL1833" s="1037"/>
      <c r="AX1833" s="340">
        <v>503.09</v>
      </c>
      <c r="AY1833" s="340" t="s">
        <v>335</v>
      </c>
      <c r="BN1833" s="340">
        <v>208.02</v>
      </c>
      <c r="BO1833" s="340" t="s">
        <v>349</v>
      </c>
      <c r="BP1833" s="1385"/>
      <c r="BV1833" s="236">
        <v>12.05</v>
      </c>
      <c r="BW1833" s="236" t="s">
        <v>323</v>
      </c>
      <c r="CB1833" s="340">
        <v>201.01</v>
      </c>
      <c r="CC1833" s="340" t="s">
        <v>336</v>
      </c>
      <c r="CL1833" s="236">
        <v>104.33</v>
      </c>
      <c r="CM1833" s="236" t="s">
        <v>297</v>
      </c>
      <c r="CR1833" s="340">
        <v>208.03</v>
      </c>
      <c r="CS1833" s="340" t="s">
        <v>349</v>
      </c>
      <c r="CT1833" s="1384"/>
      <c r="DF1833" s="340">
        <v>156.02000000000001</v>
      </c>
      <c r="DG1833" s="340" t="s">
        <v>338</v>
      </c>
      <c r="DV1833" s="340">
        <v>217.06</v>
      </c>
      <c r="DW1833" s="340" t="s">
        <v>348</v>
      </c>
      <c r="DX1833" s="1671"/>
    </row>
    <row r="1834" spans="12:128">
      <c r="L1834" s="2481">
        <v>158.02000000000001</v>
      </c>
      <c r="M1834" s="340" t="s">
        <v>338</v>
      </c>
      <c r="N1834" s="1390"/>
      <c r="O1834" s="2479"/>
      <c r="P1834" s="2282"/>
      <c r="AG1834" s="2297">
        <v>216.13</v>
      </c>
      <c r="AH1834" s="2297" t="s">
        <v>348</v>
      </c>
      <c r="AI1834" s="1390"/>
      <c r="AJ1834" s="2282"/>
      <c r="AK1834" s="2282"/>
      <c r="AL1834" s="1037"/>
      <c r="AX1834" s="340">
        <v>503.1</v>
      </c>
      <c r="AY1834" s="340" t="s">
        <v>335</v>
      </c>
      <c r="BN1834" s="340">
        <v>208.03</v>
      </c>
      <c r="BO1834" s="340" t="s">
        <v>348</v>
      </c>
      <c r="BP1834" s="1385"/>
      <c r="BV1834" s="236">
        <v>12.06</v>
      </c>
      <c r="BW1834" s="236" t="s">
        <v>323</v>
      </c>
      <c r="CB1834" s="340">
        <v>201.02</v>
      </c>
      <c r="CC1834" s="340" t="s">
        <v>336</v>
      </c>
      <c r="CL1834" s="236">
        <v>104.34</v>
      </c>
      <c r="CM1834" s="236" t="s">
        <v>297</v>
      </c>
      <c r="CR1834" s="340">
        <v>208.04</v>
      </c>
      <c r="CS1834" s="340" t="s">
        <v>349</v>
      </c>
      <c r="CT1834" s="1384"/>
      <c r="DF1834" s="340">
        <v>157.01</v>
      </c>
      <c r="DG1834" s="340" t="s">
        <v>338</v>
      </c>
      <c r="DV1834" s="340">
        <v>217.07</v>
      </c>
      <c r="DW1834" s="340" t="s">
        <v>348</v>
      </c>
      <c r="DX1834" s="1671"/>
    </row>
    <row r="1835" spans="12:128">
      <c r="L1835" s="2481">
        <v>159.01</v>
      </c>
      <c r="M1835" s="340" t="s">
        <v>338</v>
      </c>
      <c r="N1835" s="1390"/>
      <c r="O1835" s="2479"/>
      <c r="P1835" s="2282"/>
      <c r="AG1835" s="2297">
        <v>216.14</v>
      </c>
      <c r="AH1835" s="2297" t="s">
        <v>348</v>
      </c>
      <c r="AI1835" s="1390"/>
      <c r="AJ1835" s="2282"/>
      <c r="AK1835" s="2282"/>
      <c r="AL1835" s="1037"/>
      <c r="AX1835" s="340">
        <v>504.02</v>
      </c>
      <c r="AY1835" s="340" t="s">
        <v>335</v>
      </c>
      <c r="BN1835" s="340">
        <v>208.03</v>
      </c>
      <c r="BO1835" s="340" t="s">
        <v>349</v>
      </c>
      <c r="BP1835" s="1385"/>
      <c r="BV1835" s="236">
        <v>12.07</v>
      </c>
      <c r="BW1835" s="236" t="s">
        <v>323</v>
      </c>
      <c r="CB1835" s="340">
        <v>203.03</v>
      </c>
      <c r="CC1835" s="340" t="s">
        <v>336</v>
      </c>
      <c r="CL1835" s="236">
        <v>104.35</v>
      </c>
      <c r="CM1835" s="236" t="s">
        <v>297</v>
      </c>
      <c r="CR1835" s="340">
        <v>208.05</v>
      </c>
      <c r="CS1835" s="340" t="s">
        <v>348</v>
      </c>
      <c r="CT1835" s="1384"/>
      <c r="DF1835" s="340">
        <v>157.02000000000001</v>
      </c>
      <c r="DG1835" s="340" t="s">
        <v>338</v>
      </c>
      <c r="DV1835" s="340">
        <v>217.08</v>
      </c>
      <c r="DW1835" s="340" t="s">
        <v>348</v>
      </c>
      <c r="DX1835" s="1671"/>
    </row>
    <row r="1836" spans="12:128">
      <c r="L1836" s="2481">
        <v>160.02000000000001</v>
      </c>
      <c r="M1836" s="340" t="s">
        <v>338</v>
      </c>
      <c r="N1836" s="1390"/>
      <c r="O1836" s="2479"/>
      <c r="P1836" s="2282"/>
      <c r="AG1836" s="2297">
        <v>216.17</v>
      </c>
      <c r="AH1836" s="2297" t="s">
        <v>348</v>
      </c>
      <c r="AI1836" s="1390"/>
      <c r="AJ1836" s="2282"/>
      <c r="AK1836" s="2282"/>
      <c r="AL1836" s="1037"/>
      <c r="AX1836" s="340">
        <v>505.06</v>
      </c>
      <c r="AY1836" s="340" t="s">
        <v>335</v>
      </c>
      <c r="BN1836" s="340">
        <v>208.04</v>
      </c>
      <c r="BO1836" s="340" t="s">
        <v>349</v>
      </c>
      <c r="BP1836" s="1385"/>
      <c r="BV1836" s="236">
        <v>12.08</v>
      </c>
      <c r="BW1836" s="236" t="s">
        <v>323</v>
      </c>
      <c r="CB1836" s="340">
        <v>203.04</v>
      </c>
      <c r="CC1836" s="340" t="s">
        <v>336</v>
      </c>
      <c r="CL1836" s="236">
        <v>104.36</v>
      </c>
      <c r="CM1836" s="236" t="s">
        <v>297</v>
      </c>
      <c r="CR1836" s="340">
        <v>208.06</v>
      </c>
      <c r="CS1836" s="340" t="s">
        <v>348</v>
      </c>
      <c r="CT1836" s="1384"/>
      <c r="DF1836" s="340">
        <v>158.01</v>
      </c>
      <c r="DG1836" s="340" t="s">
        <v>338</v>
      </c>
      <c r="DV1836" s="340">
        <v>218</v>
      </c>
      <c r="DW1836" s="340" t="s">
        <v>342</v>
      </c>
      <c r="DX1836" s="1671"/>
    </row>
    <row r="1837" spans="12:128">
      <c r="L1837" s="2481">
        <v>161</v>
      </c>
      <c r="M1837" s="340" t="s">
        <v>338</v>
      </c>
      <c r="N1837" s="1390"/>
      <c r="O1837" s="2479"/>
      <c r="P1837" s="2282"/>
      <c r="AG1837" s="2297">
        <v>217</v>
      </c>
      <c r="AH1837" s="2297" t="s">
        <v>336</v>
      </c>
      <c r="AI1837" s="1390"/>
      <c r="AJ1837" s="2282"/>
      <c r="AK1837" s="2282"/>
      <c r="AL1837" s="1037"/>
      <c r="AX1837" s="340">
        <v>505.09</v>
      </c>
      <c r="AY1837" s="340" t="s">
        <v>335</v>
      </c>
      <c r="BN1837" s="340">
        <v>208.05</v>
      </c>
      <c r="BO1837" s="340" t="s">
        <v>348</v>
      </c>
      <c r="BP1837" s="1385"/>
      <c r="BV1837" s="236">
        <v>12.09</v>
      </c>
      <c r="BW1837" s="236" t="s">
        <v>323</v>
      </c>
      <c r="CB1837" s="340">
        <v>203.05</v>
      </c>
      <c r="CC1837" s="340" t="s">
        <v>336</v>
      </c>
      <c r="CL1837" s="236">
        <v>104.37</v>
      </c>
      <c r="CM1837" s="236" t="s">
        <v>297</v>
      </c>
      <c r="CR1837" s="340">
        <v>208.07</v>
      </c>
      <c r="CS1837" s="340" t="s">
        <v>349</v>
      </c>
      <c r="CT1837" s="1384"/>
      <c r="DF1837" s="340">
        <v>158.02000000000001</v>
      </c>
      <c r="DG1837" s="340" t="s">
        <v>338</v>
      </c>
      <c r="DV1837" s="340">
        <v>218.01</v>
      </c>
      <c r="DW1837" s="340" t="s">
        <v>336</v>
      </c>
      <c r="DX1837" s="1671"/>
    </row>
    <row r="1838" spans="12:128">
      <c r="L1838" s="2481">
        <v>162</v>
      </c>
      <c r="M1838" s="340" t="s">
        <v>338</v>
      </c>
      <c r="N1838" s="1390"/>
      <c r="O1838" s="2479"/>
      <c r="P1838" s="2282"/>
      <c r="AG1838" s="2297">
        <v>217.04</v>
      </c>
      <c r="AH1838" s="2297" t="s">
        <v>348</v>
      </c>
      <c r="AI1838" s="1390"/>
      <c r="AJ1838" s="2282"/>
      <c r="AK1838" s="2282"/>
      <c r="AL1838" s="1037"/>
      <c r="AX1838" s="340">
        <v>201.01</v>
      </c>
      <c r="AY1838" s="340" t="s">
        <v>336</v>
      </c>
      <c r="BN1838" s="340">
        <v>208.07</v>
      </c>
      <c r="BO1838" s="340" t="s">
        <v>349</v>
      </c>
      <c r="BP1838" s="1385"/>
      <c r="BV1838" s="236">
        <v>13</v>
      </c>
      <c r="BW1838" s="236" t="s">
        <v>323</v>
      </c>
      <c r="CB1838" s="340">
        <v>203.06</v>
      </c>
      <c r="CC1838" s="340" t="s">
        <v>336</v>
      </c>
      <c r="CL1838" s="236">
        <v>104.38</v>
      </c>
      <c r="CM1838" s="236" t="s">
        <v>297</v>
      </c>
      <c r="CR1838" s="340">
        <v>208.08</v>
      </c>
      <c r="CS1838" s="340" t="s">
        <v>348</v>
      </c>
      <c r="CT1838" s="1384"/>
      <c r="DF1838" s="340">
        <v>159.01</v>
      </c>
      <c r="DG1838" s="340" t="s">
        <v>338</v>
      </c>
      <c r="DV1838" s="340">
        <v>218.05</v>
      </c>
      <c r="DW1838" s="340" t="s">
        <v>348</v>
      </c>
      <c r="DX1838" s="1671"/>
    </row>
    <row r="1839" spans="12:128">
      <c r="L1839" s="2481">
        <v>164.08</v>
      </c>
      <c r="M1839" s="340" t="s">
        <v>338</v>
      </c>
      <c r="N1839" s="1390"/>
      <c r="O1839" s="2479"/>
      <c r="P1839" s="2282"/>
      <c r="AG1839" s="2297">
        <v>217.08</v>
      </c>
      <c r="AH1839" s="2297" t="s">
        <v>348</v>
      </c>
      <c r="AI1839" s="1390"/>
      <c r="AJ1839" s="2282"/>
      <c r="AK1839" s="2282"/>
      <c r="AL1839" s="1037"/>
      <c r="AX1839" s="340">
        <v>203.04</v>
      </c>
      <c r="AY1839" s="340" t="s">
        <v>336</v>
      </c>
      <c r="BN1839" s="340">
        <v>208.08</v>
      </c>
      <c r="BO1839" s="340" t="s">
        <v>348</v>
      </c>
      <c r="BP1839" s="1385"/>
      <c r="BV1839" s="236">
        <v>14.01</v>
      </c>
      <c r="BW1839" s="236" t="s">
        <v>323</v>
      </c>
      <c r="CB1839" s="340">
        <v>206.01</v>
      </c>
      <c r="CC1839" s="340" t="s">
        <v>336</v>
      </c>
      <c r="CL1839" s="236">
        <v>105</v>
      </c>
      <c r="CM1839" s="236" t="s">
        <v>338</v>
      </c>
      <c r="CR1839" s="340">
        <v>208.08</v>
      </c>
      <c r="CS1839" s="340" t="s">
        <v>349</v>
      </c>
      <c r="CT1839" s="1384"/>
      <c r="DF1839" s="340">
        <v>160.01</v>
      </c>
      <c r="DG1839" s="340" t="s">
        <v>338</v>
      </c>
      <c r="DV1839" s="340">
        <v>219</v>
      </c>
      <c r="DW1839" s="340" t="s">
        <v>342</v>
      </c>
      <c r="DX1839" s="1671"/>
    </row>
    <row r="1840" spans="12:128">
      <c r="L1840" s="2481">
        <v>164.09</v>
      </c>
      <c r="M1840" s="340" t="s">
        <v>338</v>
      </c>
      <c r="N1840" s="1390"/>
      <c r="O1840" s="2479"/>
      <c r="P1840" s="2282"/>
      <c r="AG1840" s="2297">
        <v>218</v>
      </c>
      <c r="AH1840" s="2297" t="s">
        <v>342</v>
      </c>
      <c r="AI1840" s="1390"/>
      <c r="AJ1840" s="2282"/>
      <c r="AK1840" s="2282"/>
      <c r="AL1840" s="1037"/>
      <c r="AX1840" s="340">
        <v>203.05</v>
      </c>
      <c r="AY1840" s="340" t="s">
        <v>336</v>
      </c>
      <c r="BN1840" s="340">
        <v>208.08</v>
      </c>
      <c r="BO1840" s="340" t="s">
        <v>349</v>
      </c>
      <c r="BP1840" s="1385"/>
      <c r="BV1840" s="236">
        <v>14.02</v>
      </c>
      <c r="BW1840" s="236" t="s">
        <v>323</v>
      </c>
      <c r="CB1840" s="340">
        <v>206.02</v>
      </c>
      <c r="CC1840" s="340" t="s">
        <v>336</v>
      </c>
      <c r="CL1840" s="236">
        <v>105.01</v>
      </c>
      <c r="CM1840" s="236" t="s">
        <v>302</v>
      </c>
      <c r="CR1840" s="340">
        <v>208.09</v>
      </c>
      <c r="CS1840" s="340" t="s">
        <v>349</v>
      </c>
      <c r="CT1840" s="1384"/>
      <c r="DF1840" s="340">
        <v>160.02000000000001</v>
      </c>
      <c r="DG1840" s="340" t="s">
        <v>338</v>
      </c>
      <c r="DV1840" s="340">
        <v>219.02</v>
      </c>
      <c r="DW1840" s="340" t="s">
        <v>336</v>
      </c>
      <c r="DX1840" s="1671"/>
    </row>
    <row r="1841" spans="12:128">
      <c r="L1841" s="2481">
        <v>164.11</v>
      </c>
      <c r="M1841" s="340" t="s">
        <v>338</v>
      </c>
      <c r="N1841" s="1390"/>
      <c r="O1841" s="2479"/>
      <c r="P1841" s="2282"/>
      <c r="AG1841" s="2297">
        <v>218.05</v>
      </c>
      <c r="AH1841" s="2297" t="s">
        <v>348</v>
      </c>
      <c r="AI1841" s="1390"/>
      <c r="AJ1841" s="2282"/>
      <c r="AK1841" s="2282"/>
      <c r="AL1841" s="1037"/>
      <c r="AX1841" s="340">
        <v>203.06</v>
      </c>
      <c r="AY1841" s="340" t="s">
        <v>336</v>
      </c>
      <c r="BN1841" s="340">
        <v>208.09</v>
      </c>
      <c r="BO1841" s="340" t="s">
        <v>349</v>
      </c>
      <c r="BP1841" s="1385"/>
      <c r="BV1841" s="236">
        <v>15.01</v>
      </c>
      <c r="BW1841" s="236" t="s">
        <v>323</v>
      </c>
      <c r="CB1841" s="340">
        <v>207.01</v>
      </c>
      <c r="CC1841" s="340" t="s">
        <v>336</v>
      </c>
      <c r="CL1841" s="236">
        <v>105.01</v>
      </c>
      <c r="CM1841" s="236" t="s">
        <v>316</v>
      </c>
      <c r="CR1841" s="340">
        <v>208.1</v>
      </c>
      <c r="CS1841" s="340" t="s">
        <v>348</v>
      </c>
      <c r="CT1841" s="1384"/>
      <c r="DF1841" s="340">
        <v>161</v>
      </c>
      <c r="DG1841" s="340" t="s">
        <v>338</v>
      </c>
      <c r="DV1841" s="340">
        <v>219.02</v>
      </c>
      <c r="DW1841" s="340" t="s">
        <v>348</v>
      </c>
      <c r="DX1841" s="1671"/>
    </row>
    <row r="1842" spans="12:128">
      <c r="L1842" s="2481">
        <v>164.12</v>
      </c>
      <c r="M1842" s="340" t="s">
        <v>338</v>
      </c>
      <c r="N1842" s="1390"/>
      <c r="O1842" s="2479"/>
      <c r="P1842" s="2282"/>
      <c r="AG1842" s="2297">
        <v>219</v>
      </c>
      <c r="AH1842" s="2297" t="s">
        <v>342</v>
      </c>
      <c r="AI1842" s="1390"/>
      <c r="AJ1842" s="2282"/>
      <c r="AK1842" s="2282"/>
      <c r="AL1842" s="1037"/>
      <c r="AX1842" s="340">
        <v>206.02</v>
      </c>
      <c r="AY1842" s="340" t="s">
        <v>336</v>
      </c>
      <c r="BN1842" s="340">
        <v>208.1</v>
      </c>
      <c r="BO1842" s="340" t="s">
        <v>348</v>
      </c>
      <c r="BP1842" s="1385"/>
      <c r="BV1842" s="236">
        <v>15.02</v>
      </c>
      <c r="BW1842" s="236" t="s">
        <v>323</v>
      </c>
      <c r="CB1842" s="340">
        <v>207.02</v>
      </c>
      <c r="CC1842" s="340" t="s">
        <v>336</v>
      </c>
      <c r="CL1842" s="236">
        <v>105.01</v>
      </c>
      <c r="CM1842" s="236" t="s">
        <v>323</v>
      </c>
      <c r="CR1842" s="340">
        <v>208.1</v>
      </c>
      <c r="CS1842" s="340" t="s">
        <v>349</v>
      </c>
      <c r="CT1842" s="1384"/>
      <c r="DF1842" s="340">
        <v>162</v>
      </c>
      <c r="DG1842" s="340" t="s">
        <v>338</v>
      </c>
      <c r="DV1842" s="340">
        <v>220.02</v>
      </c>
      <c r="DW1842" s="340" t="s">
        <v>348</v>
      </c>
      <c r="DX1842" s="1671"/>
    </row>
    <row r="1843" spans="12:128">
      <c r="L1843" s="2481">
        <v>164.14</v>
      </c>
      <c r="M1843" s="340" t="s">
        <v>338</v>
      </c>
      <c r="N1843" s="1390"/>
      <c r="O1843" s="2479"/>
      <c r="P1843" s="2282"/>
      <c r="AG1843" s="2297">
        <v>219.02</v>
      </c>
      <c r="AH1843" s="2297" t="s">
        <v>336</v>
      </c>
      <c r="AI1843" s="1390"/>
      <c r="AJ1843" s="2282"/>
      <c r="AK1843" s="2282"/>
      <c r="AL1843" s="1037"/>
      <c r="AX1843" s="340">
        <v>207.02</v>
      </c>
      <c r="AY1843" s="340" t="s">
        <v>336</v>
      </c>
      <c r="BN1843" s="340">
        <v>208.1</v>
      </c>
      <c r="BO1843" s="340" t="s">
        <v>349</v>
      </c>
      <c r="BP1843" s="1385"/>
      <c r="BV1843" s="236">
        <v>16.010000000000002</v>
      </c>
      <c r="BW1843" s="236" t="s">
        <v>323</v>
      </c>
      <c r="CB1843" s="340">
        <v>208</v>
      </c>
      <c r="CC1843" s="340" t="s">
        <v>336</v>
      </c>
      <c r="CL1843" s="236">
        <v>105.01</v>
      </c>
      <c r="CM1843" s="236" t="s">
        <v>331</v>
      </c>
      <c r="CR1843" s="340">
        <v>208.11</v>
      </c>
      <c r="CS1843" s="340" t="s">
        <v>348</v>
      </c>
      <c r="CT1843" s="1384"/>
      <c r="DF1843" s="340">
        <v>164.08</v>
      </c>
      <c r="DG1843" s="340" t="s">
        <v>338</v>
      </c>
      <c r="DV1843" s="340">
        <v>220.04</v>
      </c>
      <c r="DW1843" s="340" t="s">
        <v>348</v>
      </c>
      <c r="DX1843" s="1671"/>
    </row>
    <row r="1844" spans="12:128">
      <c r="L1844" s="2481">
        <v>165.03</v>
      </c>
      <c r="M1844" s="340" t="s">
        <v>338</v>
      </c>
      <c r="N1844" s="1390"/>
      <c r="O1844" s="2479"/>
      <c r="P1844" s="2282"/>
      <c r="AG1844" s="2297">
        <v>220.02</v>
      </c>
      <c r="AH1844" s="2297" t="s">
        <v>336</v>
      </c>
      <c r="AI1844" s="1390"/>
      <c r="AJ1844" s="2282"/>
      <c r="AK1844" s="2282"/>
      <c r="AL1844" s="1037"/>
      <c r="AX1844" s="340">
        <v>208</v>
      </c>
      <c r="AY1844" s="340" t="s">
        <v>336</v>
      </c>
      <c r="BN1844" s="340">
        <v>208.11</v>
      </c>
      <c r="BO1844" s="340" t="s">
        <v>348</v>
      </c>
      <c r="BP1844" s="1385"/>
      <c r="BV1844" s="236">
        <v>16.02</v>
      </c>
      <c r="BW1844" s="236" t="s">
        <v>323</v>
      </c>
      <c r="CB1844" s="340">
        <v>209</v>
      </c>
      <c r="CC1844" s="340" t="s">
        <v>336</v>
      </c>
      <c r="CL1844" s="236">
        <v>105.01</v>
      </c>
      <c r="CM1844" s="236" t="s">
        <v>344</v>
      </c>
      <c r="CR1844" s="340">
        <v>208.11</v>
      </c>
      <c r="CS1844" s="340" t="s">
        <v>349</v>
      </c>
      <c r="CT1844" s="1384"/>
      <c r="DF1844" s="340">
        <v>164.09</v>
      </c>
      <c r="DG1844" s="340" t="s">
        <v>338</v>
      </c>
      <c r="DV1844" s="340">
        <v>220.07</v>
      </c>
      <c r="DW1844" s="340" t="s">
        <v>348</v>
      </c>
      <c r="DX1844" s="1671"/>
    </row>
    <row r="1845" spans="12:128">
      <c r="L1845" s="2481">
        <v>165.09</v>
      </c>
      <c r="M1845" s="340" t="s">
        <v>338</v>
      </c>
      <c r="N1845" s="1390"/>
      <c r="O1845" s="2479"/>
      <c r="P1845" s="2282"/>
      <c r="AG1845" s="2297">
        <v>220.02</v>
      </c>
      <c r="AH1845" s="2297" t="s">
        <v>348</v>
      </c>
      <c r="AI1845" s="1390"/>
      <c r="AJ1845" s="2282"/>
      <c r="AK1845" s="2282"/>
      <c r="AL1845" s="1037"/>
      <c r="AX1845" s="340">
        <v>209</v>
      </c>
      <c r="AY1845" s="340" t="s">
        <v>336</v>
      </c>
      <c r="BN1845" s="340">
        <v>208.11</v>
      </c>
      <c r="BO1845" s="340" t="s">
        <v>349</v>
      </c>
      <c r="BP1845" s="1385"/>
      <c r="BV1845" s="236">
        <v>17.010000000000002</v>
      </c>
      <c r="BW1845" s="236" t="s">
        <v>323</v>
      </c>
      <c r="CB1845" s="340">
        <v>210.01</v>
      </c>
      <c r="CC1845" s="340" t="s">
        <v>336</v>
      </c>
      <c r="CL1845" s="338">
        <v>105.02</v>
      </c>
      <c r="CM1845" s="338" t="s">
        <v>289</v>
      </c>
      <c r="CR1845" s="340">
        <v>209</v>
      </c>
      <c r="CS1845" s="340" t="s">
        <v>294</v>
      </c>
      <c r="CT1845" s="1384"/>
      <c r="DF1845" s="340">
        <v>164.12</v>
      </c>
      <c r="DG1845" s="340" t="s">
        <v>338</v>
      </c>
      <c r="DV1845" s="340">
        <v>221.01</v>
      </c>
      <c r="DW1845" s="340" t="s">
        <v>342</v>
      </c>
      <c r="DX1845" s="1671"/>
    </row>
    <row r="1846" spans="12:128">
      <c r="L1846" s="2481">
        <v>165.14</v>
      </c>
      <c r="M1846" s="340" t="s">
        <v>338</v>
      </c>
      <c r="N1846" s="1390"/>
      <c r="O1846" s="2479"/>
      <c r="P1846" s="2282"/>
      <c r="AG1846" s="2297">
        <v>220.04</v>
      </c>
      <c r="AH1846" s="2297" t="s">
        <v>348</v>
      </c>
      <c r="AI1846" s="1390"/>
      <c r="AJ1846" s="2282"/>
      <c r="AK1846" s="2282"/>
      <c r="AL1846" s="1037"/>
      <c r="AX1846" s="340">
        <v>210.01</v>
      </c>
      <c r="AY1846" s="340" t="s">
        <v>336</v>
      </c>
      <c r="BN1846" s="340">
        <v>209</v>
      </c>
      <c r="BO1846" s="340" t="s">
        <v>294</v>
      </c>
      <c r="BP1846" s="1385"/>
      <c r="BV1846" s="236">
        <v>17.05</v>
      </c>
      <c r="BW1846" s="236" t="s">
        <v>323</v>
      </c>
      <c r="CB1846" s="340">
        <v>210.02</v>
      </c>
      <c r="CC1846" s="340" t="s">
        <v>336</v>
      </c>
      <c r="CL1846" s="236">
        <v>105.02</v>
      </c>
      <c r="CM1846" s="236" t="s">
        <v>302</v>
      </c>
      <c r="CR1846" s="340">
        <v>209</v>
      </c>
      <c r="CS1846" s="340" t="s">
        <v>336</v>
      </c>
      <c r="CT1846" s="1384"/>
      <c r="DF1846" s="340">
        <v>165.03</v>
      </c>
      <c r="DG1846" s="340" t="s">
        <v>338</v>
      </c>
      <c r="DV1846" s="340">
        <v>221.02</v>
      </c>
      <c r="DW1846" s="340" t="s">
        <v>342</v>
      </c>
      <c r="DX1846" s="1671"/>
    </row>
    <row r="1847" spans="12:128">
      <c r="L1847" s="2481">
        <v>166.03</v>
      </c>
      <c r="M1847" s="340" t="s">
        <v>338</v>
      </c>
      <c r="N1847" s="1390"/>
      <c r="O1847" s="2479"/>
      <c r="P1847" s="2282"/>
      <c r="AG1847" s="2297">
        <v>221.02</v>
      </c>
      <c r="AH1847" s="2297" t="s">
        <v>342</v>
      </c>
      <c r="AI1847" s="1390"/>
      <c r="AJ1847" s="2282"/>
      <c r="AK1847" s="2282"/>
      <c r="AL1847" s="1037"/>
      <c r="AX1847" s="340">
        <v>210.02</v>
      </c>
      <c r="AY1847" s="340" t="s">
        <v>336</v>
      </c>
      <c r="BN1847" s="340">
        <v>209</v>
      </c>
      <c r="BO1847" s="340" t="s">
        <v>336</v>
      </c>
      <c r="BP1847" s="1385"/>
      <c r="BV1847" s="236">
        <v>17.059999999999999</v>
      </c>
      <c r="BW1847" s="236" t="s">
        <v>323</v>
      </c>
      <c r="CB1847" s="340">
        <v>211.02</v>
      </c>
      <c r="CC1847" s="340" t="s">
        <v>336</v>
      </c>
      <c r="CL1847" s="236">
        <v>105.02</v>
      </c>
      <c r="CM1847" s="236" t="s">
        <v>316</v>
      </c>
      <c r="CR1847" s="340">
        <v>209.04</v>
      </c>
      <c r="CS1847" s="340" t="s">
        <v>349</v>
      </c>
      <c r="CT1847" s="1384"/>
      <c r="DF1847" s="340">
        <v>165.11</v>
      </c>
      <c r="DG1847" s="340" t="s">
        <v>338</v>
      </c>
      <c r="DV1847" s="340">
        <v>221.05</v>
      </c>
      <c r="DW1847" s="340" t="s">
        <v>348</v>
      </c>
      <c r="DX1847" s="1671"/>
    </row>
    <row r="1848" spans="12:128">
      <c r="L1848" s="2481">
        <v>166.04</v>
      </c>
      <c r="M1848" s="340" t="s">
        <v>338</v>
      </c>
      <c r="N1848" s="1390"/>
      <c r="O1848" s="2479"/>
      <c r="P1848" s="2282"/>
      <c r="AG1848" s="2297">
        <v>221.05</v>
      </c>
      <c r="AH1848" s="2297" t="s">
        <v>348</v>
      </c>
      <c r="AI1848" s="1390"/>
      <c r="AJ1848" s="2282"/>
      <c r="AK1848" s="2282"/>
      <c r="AL1848" s="1037"/>
      <c r="AX1848" s="340">
        <v>211.02</v>
      </c>
      <c r="AY1848" s="340" t="s">
        <v>336</v>
      </c>
      <c r="BN1848" s="340">
        <v>209.04</v>
      </c>
      <c r="BO1848" s="340" t="s">
        <v>349</v>
      </c>
      <c r="BP1848" s="1385"/>
      <c r="BV1848" s="236">
        <v>17.079999999999998</v>
      </c>
      <c r="BW1848" s="236" t="s">
        <v>323</v>
      </c>
      <c r="CB1848" s="340">
        <v>212</v>
      </c>
      <c r="CC1848" s="340" t="s">
        <v>336</v>
      </c>
      <c r="CL1848" s="236">
        <v>105.02</v>
      </c>
      <c r="CM1848" s="236" t="s">
        <v>331</v>
      </c>
      <c r="CR1848" s="340">
        <v>209.05</v>
      </c>
      <c r="CS1848" s="340" t="s">
        <v>348</v>
      </c>
      <c r="CT1848" s="1384"/>
      <c r="DF1848" s="340">
        <v>165.14</v>
      </c>
      <c r="DG1848" s="340" t="s">
        <v>338</v>
      </c>
      <c r="DV1848" s="340">
        <v>221.06</v>
      </c>
      <c r="DW1848" s="340" t="s">
        <v>348</v>
      </c>
      <c r="DX1848" s="1671"/>
    </row>
    <row r="1849" spans="12:128">
      <c r="L1849" s="2481">
        <v>166.06</v>
      </c>
      <c r="M1849" s="340" t="s">
        <v>338</v>
      </c>
      <c r="N1849" s="1390"/>
      <c r="O1849" s="2479"/>
      <c r="P1849" s="2282"/>
      <c r="AG1849" s="2297">
        <v>221.06</v>
      </c>
      <c r="AH1849" s="2297" t="s">
        <v>348</v>
      </c>
      <c r="AI1849" s="1390"/>
      <c r="AJ1849" s="2282"/>
      <c r="AK1849" s="2282"/>
      <c r="AL1849" s="1037"/>
      <c r="AX1849" s="340">
        <v>212</v>
      </c>
      <c r="AY1849" s="340" t="s">
        <v>336</v>
      </c>
      <c r="BN1849" s="340">
        <v>209.05</v>
      </c>
      <c r="BO1849" s="340" t="s">
        <v>349</v>
      </c>
      <c r="BP1849" s="1385"/>
      <c r="BV1849" s="236">
        <v>17.09</v>
      </c>
      <c r="BW1849" s="236" t="s">
        <v>323</v>
      </c>
      <c r="CB1849" s="340">
        <v>214</v>
      </c>
      <c r="CC1849" s="340" t="s">
        <v>336</v>
      </c>
      <c r="CL1849" s="236">
        <v>105.02</v>
      </c>
      <c r="CM1849" s="236" t="s">
        <v>344</v>
      </c>
      <c r="CR1849" s="340">
        <v>209.05</v>
      </c>
      <c r="CS1849" s="340" t="s">
        <v>349</v>
      </c>
      <c r="CT1849" s="1384"/>
      <c r="DF1849" s="340">
        <v>166.03</v>
      </c>
      <c r="DG1849" s="340" t="s">
        <v>338</v>
      </c>
      <c r="DV1849" s="340">
        <v>222</v>
      </c>
      <c r="DW1849" s="340" t="s">
        <v>342</v>
      </c>
      <c r="DX1849" s="1671"/>
    </row>
    <row r="1850" spans="12:128">
      <c r="L1850" s="2481">
        <v>166.07</v>
      </c>
      <c r="M1850" s="340" t="s">
        <v>338</v>
      </c>
      <c r="N1850" s="1390"/>
      <c r="O1850" s="2479"/>
      <c r="P1850" s="2282"/>
      <c r="AG1850" s="2297">
        <v>222</v>
      </c>
      <c r="AH1850" s="2297" t="s">
        <v>342</v>
      </c>
      <c r="AI1850" s="1390"/>
      <c r="AJ1850" s="2282"/>
      <c r="AK1850" s="2282"/>
      <c r="AL1850" s="1037"/>
      <c r="AX1850" s="340">
        <v>215.01</v>
      </c>
      <c r="AY1850" s="340" t="s">
        <v>336</v>
      </c>
      <c r="BN1850" s="340">
        <v>209.06</v>
      </c>
      <c r="BO1850" s="340" t="s">
        <v>349</v>
      </c>
      <c r="BP1850" s="1385"/>
      <c r="BV1850" s="236">
        <v>17.100000000000001</v>
      </c>
      <c r="BW1850" s="236" t="s">
        <v>323</v>
      </c>
      <c r="CB1850" s="340">
        <v>215.01</v>
      </c>
      <c r="CC1850" s="340" t="s">
        <v>336</v>
      </c>
      <c r="CL1850" s="338">
        <v>105.03</v>
      </c>
      <c r="CM1850" s="338" t="s">
        <v>289</v>
      </c>
      <c r="CR1850" s="340">
        <v>209.07</v>
      </c>
      <c r="CS1850" s="340" t="s">
        <v>349</v>
      </c>
      <c r="CT1850" s="1384"/>
      <c r="DF1850" s="340">
        <v>166.06</v>
      </c>
      <c r="DG1850" s="340" t="s">
        <v>338</v>
      </c>
      <c r="DV1850" s="340">
        <v>222.01</v>
      </c>
      <c r="DW1850" s="340" t="s">
        <v>348</v>
      </c>
      <c r="DX1850" s="1671"/>
    </row>
    <row r="1851" spans="12:128">
      <c r="L1851" s="2481">
        <v>167.09</v>
      </c>
      <c r="M1851" s="340" t="s">
        <v>338</v>
      </c>
      <c r="N1851" s="1390"/>
      <c r="O1851" s="2479"/>
      <c r="P1851" s="2282"/>
      <c r="AG1851" s="2297">
        <v>222.01</v>
      </c>
      <c r="AH1851" s="2297" t="s">
        <v>348</v>
      </c>
      <c r="AI1851" s="1390"/>
      <c r="AJ1851" s="2282"/>
      <c r="AK1851" s="2282"/>
      <c r="AL1851" s="1037"/>
      <c r="AX1851" s="340">
        <v>216</v>
      </c>
      <c r="AY1851" s="340" t="s">
        <v>336</v>
      </c>
      <c r="BN1851" s="340">
        <v>209.07</v>
      </c>
      <c r="BO1851" s="340" t="s">
        <v>349</v>
      </c>
      <c r="BP1851" s="1385"/>
      <c r="BV1851" s="236">
        <v>17.11</v>
      </c>
      <c r="BW1851" s="236" t="s">
        <v>323</v>
      </c>
      <c r="CB1851" s="340">
        <v>215.02</v>
      </c>
      <c r="CC1851" s="340" t="s">
        <v>336</v>
      </c>
      <c r="CL1851" s="338">
        <v>105.03</v>
      </c>
      <c r="CM1851" s="338" t="s">
        <v>294</v>
      </c>
      <c r="CR1851" s="340">
        <v>209.08</v>
      </c>
      <c r="CS1851" s="340" t="s">
        <v>349</v>
      </c>
      <c r="CT1851" s="1384"/>
      <c r="DF1851" s="340">
        <v>166.07</v>
      </c>
      <c r="DG1851" s="340" t="s">
        <v>338</v>
      </c>
      <c r="DV1851" s="340">
        <v>222.05</v>
      </c>
      <c r="DW1851" s="340" t="s">
        <v>348</v>
      </c>
      <c r="DX1851" s="1671"/>
    </row>
    <row r="1852" spans="12:128">
      <c r="L1852" s="2481">
        <v>167.1</v>
      </c>
      <c r="M1852" s="340" t="s">
        <v>338</v>
      </c>
      <c r="N1852" s="1390"/>
      <c r="O1852" s="2479"/>
      <c r="P1852" s="2282"/>
      <c r="AG1852" s="2297">
        <v>222.05</v>
      </c>
      <c r="AH1852" s="2297" t="s">
        <v>348</v>
      </c>
      <c r="AI1852" s="1390"/>
      <c r="AJ1852" s="2282"/>
      <c r="AK1852" s="2282"/>
      <c r="AL1852" s="1037"/>
      <c r="AX1852" s="340">
        <v>217</v>
      </c>
      <c r="AY1852" s="340" t="s">
        <v>336</v>
      </c>
      <c r="BN1852" s="340">
        <v>210</v>
      </c>
      <c r="BO1852" s="340" t="s">
        <v>348</v>
      </c>
      <c r="BP1852" s="1385"/>
      <c r="BV1852" s="236">
        <v>18.010000000000002</v>
      </c>
      <c r="BW1852" s="236" t="s">
        <v>323</v>
      </c>
      <c r="CB1852" s="340">
        <v>216</v>
      </c>
      <c r="CC1852" s="340" t="s">
        <v>336</v>
      </c>
      <c r="CL1852" s="236">
        <v>105.03</v>
      </c>
      <c r="CM1852" s="236" t="s">
        <v>302</v>
      </c>
      <c r="CR1852" s="340">
        <v>210</v>
      </c>
      <c r="CS1852" s="340" t="s">
        <v>348</v>
      </c>
      <c r="CT1852" s="1384"/>
      <c r="DF1852" s="340">
        <v>167.09</v>
      </c>
      <c r="DG1852" s="340" t="s">
        <v>338</v>
      </c>
      <c r="DV1852" s="340">
        <v>222.07</v>
      </c>
      <c r="DW1852" s="340" t="s">
        <v>348</v>
      </c>
      <c r="DX1852" s="1671"/>
    </row>
    <row r="1853" spans="12:128">
      <c r="L1853" s="2481">
        <v>167.15</v>
      </c>
      <c r="M1853" s="340" t="s">
        <v>338</v>
      </c>
      <c r="N1853" s="1390"/>
      <c r="O1853" s="2479"/>
      <c r="P1853" s="2282"/>
      <c r="AG1853" s="2297">
        <v>222.06</v>
      </c>
      <c r="AH1853" s="2297" t="s">
        <v>348</v>
      </c>
      <c r="AI1853" s="1390"/>
      <c r="AJ1853" s="2282"/>
      <c r="AK1853" s="2282"/>
      <c r="AL1853" s="1037"/>
      <c r="AX1853" s="340">
        <v>218.01</v>
      </c>
      <c r="AY1853" s="340" t="s">
        <v>336</v>
      </c>
      <c r="BN1853" s="340">
        <v>210.01</v>
      </c>
      <c r="BO1853" s="340" t="s">
        <v>294</v>
      </c>
      <c r="BP1853" s="1385"/>
      <c r="BV1853" s="236">
        <v>18.02</v>
      </c>
      <c r="BW1853" s="236" t="s">
        <v>323</v>
      </c>
      <c r="CB1853" s="340">
        <v>217</v>
      </c>
      <c r="CC1853" s="340" t="s">
        <v>336</v>
      </c>
      <c r="CL1853" s="236">
        <v>105.03</v>
      </c>
      <c r="CM1853" s="236" t="s">
        <v>323</v>
      </c>
      <c r="CR1853" s="340">
        <v>210.01</v>
      </c>
      <c r="CS1853" s="340" t="s">
        <v>336</v>
      </c>
      <c r="CT1853" s="1384"/>
      <c r="DF1853" s="340">
        <v>167.1</v>
      </c>
      <c r="DG1853" s="340" t="s">
        <v>338</v>
      </c>
      <c r="DV1853" s="340">
        <v>223.01</v>
      </c>
      <c r="DW1853" s="340" t="s">
        <v>342</v>
      </c>
      <c r="DX1853" s="1671"/>
    </row>
    <row r="1854" spans="12:128">
      <c r="L1854" s="2481">
        <v>167.16</v>
      </c>
      <c r="M1854" s="340" t="s">
        <v>338</v>
      </c>
      <c r="N1854" s="1390"/>
      <c r="O1854" s="2479"/>
      <c r="P1854" s="2282"/>
      <c r="AG1854" s="2297">
        <v>222.07</v>
      </c>
      <c r="AH1854" s="2297" t="s">
        <v>348</v>
      </c>
      <c r="AI1854" s="1390"/>
      <c r="AJ1854" s="2282"/>
      <c r="AK1854" s="2282"/>
      <c r="AL1854" s="1037"/>
      <c r="AX1854" s="340">
        <v>219.02</v>
      </c>
      <c r="AY1854" s="340" t="s">
        <v>336</v>
      </c>
      <c r="BN1854" s="340">
        <v>210.01</v>
      </c>
      <c r="BO1854" s="340" t="s">
        <v>336</v>
      </c>
      <c r="BP1854" s="1385"/>
      <c r="BV1854" s="236">
        <v>19.03</v>
      </c>
      <c r="BW1854" s="236" t="s">
        <v>323</v>
      </c>
      <c r="CB1854" s="340">
        <v>218.01</v>
      </c>
      <c r="CC1854" s="340" t="s">
        <v>336</v>
      </c>
      <c r="CL1854" s="236">
        <v>105.03</v>
      </c>
      <c r="CM1854" s="236" t="s">
        <v>346</v>
      </c>
      <c r="CR1854" s="340">
        <v>210.02</v>
      </c>
      <c r="CS1854" s="340" t="s">
        <v>294</v>
      </c>
      <c r="CT1854" s="1384"/>
      <c r="DF1854" s="340">
        <v>167.17</v>
      </c>
      <c r="DG1854" s="340" t="s">
        <v>338</v>
      </c>
      <c r="DV1854" s="340">
        <v>223.02</v>
      </c>
      <c r="DW1854" s="340" t="s">
        <v>342</v>
      </c>
      <c r="DX1854" s="1671"/>
    </row>
    <row r="1855" spans="12:128">
      <c r="L1855" s="2481">
        <v>167.17</v>
      </c>
      <c r="M1855" s="340" t="s">
        <v>338</v>
      </c>
      <c r="N1855" s="1390"/>
      <c r="O1855" s="2479"/>
      <c r="P1855" s="2282"/>
      <c r="AG1855" s="2297">
        <v>223.01</v>
      </c>
      <c r="AH1855" s="2297" t="s">
        <v>342</v>
      </c>
      <c r="AI1855" s="1390"/>
      <c r="AJ1855" s="2282"/>
      <c r="AK1855" s="2282"/>
      <c r="AL1855" s="1037"/>
      <c r="AX1855" s="340">
        <v>224</v>
      </c>
      <c r="AY1855" s="340" t="s">
        <v>336</v>
      </c>
      <c r="BN1855" s="340">
        <v>210.02</v>
      </c>
      <c r="BO1855" s="340" t="s">
        <v>336</v>
      </c>
      <c r="BP1855" s="1385"/>
      <c r="BV1855" s="236">
        <v>19.079999999999998</v>
      </c>
      <c r="BW1855" s="236" t="s">
        <v>323</v>
      </c>
      <c r="CB1855" s="340">
        <v>219.02</v>
      </c>
      <c r="CC1855" s="340" t="s">
        <v>336</v>
      </c>
      <c r="CL1855" s="338">
        <v>105.04</v>
      </c>
      <c r="CM1855" s="338" t="s">
        <v>289</v>
      </c>
      <c r="CR1855" s="340">
        <v>210.02</v>
      </c>
      <c r="CS1855" s="340" t="s">
        <v>336</v>
      </c>
      <c r="CT1855" s="1384"/>
      <c r="DF1855" s="340">
        <v>167.28</v>
      </c>
      <c r="DG1855" s="340" t="s">
        <v>338</v>
      </c>
      <c r="DV1855" s="340">
        <v>224</v>
      </c>
      <c r="DW1855" s="340" t="s">
        <v>336</v>
      </c>
      <c r="DX1855" s="1671"/>
    </row>
    <row r="1856" spans="12:128">
      <c r="L1856" s="2481">
        <v>167.23</v>
      </c>
      <c r="M1856" s="340" t="s">
        <v>338</v>
      </c>
      <c r="N1856" s="1390"/>
      <c r="O1856" s="2479"/>
      <c r="P1856" s="2282"/>
      <c r="AG1856" s="2297">
        <v>223.02</v>
      </c>
      <c r="AH1856" s="2297" t="s">
        <v>342</v>
      </c>
      <c r="AI1856" s="1390"/>
      <c r="AJ1856" s="2282"/>
      <c r="AK1856" s="2282"/>
      <c r="AL1856" s="1037"/>
      <c r="AX1856" s="340">
        <v>233.03</v>
      </c>
      <c r="AY1856" s="340" t="s">
        <v>336</v>
      </c>
      <c r="BN1856" s="340">
        <v>211</v>
      </c>
      <c r="BO1856" s="340" t="s">
        <v>348</v>
      </c>
      <c r="BP1856" s="1385"/>
      <c r="BV1856" s="236">
        <v>19.100000000000001</v>
      </c>
      <c r="BW1856" s="236" t="s">
        <v>323</v>
      </c>
      <c r="CB1856" s="340">
        <v>224</v>
      </c>
      <c r="CC1856" s="340" t="s">
        <v>336</v>
      </c>
      <c r="CL1856" s="338">
        <v>105.04</v>
      </c>
      <c r="CM1856" s="338" t="s">
        <v>294</v>
      </c>
      <c r="CR1856" s="340">
        <v>211</v>
      </c>
      <c r="CS1856" s="340" t="s">
        <v>348</v>
      </c>
      <c r="CT1856" s="1384"/>
      <c r="DF1856" s="340">
        <v>167.31</v>
      </c>
      <c r="DG1856" s="340" t="s">
        <v>338</v>
      </c>
      <c r="DV1856" s="340">
        <v>224.01</v>
      </c>
      <c r="DW1856" s="340" t="s">
        <v>342</v>
      </c>
      <c r="DX1856" s="1671"/>
    </row>
    <row r="1857" spans="12:128">
      <c r="L1857" s="2481">
        <v>167.28</v>
      </c>
      <c r="M1857" s="340" t="s">
        <v>338</v>
      </c>
      <c r="N1857" s="1390"/>
      <c r="O1857" s="2479"/>
      <c r="P1857" s="2282"/>
      <c r="AG1857" s="2297">
        <v>224</v>
      </c>
      <c r="AH1857" s="2297" t="s">
        <v>336</v>
      </c>
      <c r="AI1857" s="1390"/>
      <c r="AJ1857" s="2282"/>
      <c r="AK1857" s="2282"/>
      <c r="AL1857" s="1037"/>
      <c r="AX1857" s="340">
        <v>233.04</v>
      </c>
      <c r="AY1857" s="340" t="s">
        <v>336</v>
      </c>
      <c r="BN1857" s="340">
        <v>211.02</v>
      </c>
      <c r="BO1857" s="340" t="s">
        <v>336</v>
      </c>
      <c r="BP1857" s="1385"/>
      <c r="BV1857" s="236">
        <v>19.11</v>
      </c>
      <c r="BW1857" s="236" t="s">
        <v>323</v>
      </c>
      <c r="CB1857" s="340">
        <v>225</v>
      </c>
      <c r="CC1857" s="340" t="s">
        <v>336</v>
      </c>
      <c r="CL1857" s="236">
        <v>105.04</v>
      </c>
      <c r="CM1857" s="236" t="s">
        <v>323</v>
      </c>
      <c r="CR1857" s="340">
        <v>211.02</v>
      </c>
      <c r="CS1857" s="340" t="s">
        <v>336</v>
      </c>
      <c r="CT1857" s="1384"/>
      <c r="DF1857" s="340">
        <v>167.35</v>
      </c>
      <c r="DG1857" s="340" t="s">
        <v>338</v>
      </c>
      <c r="DV1857" s="340">
        <v>224.02</v>
      </c>
      <c r="DW1857" s="340" t="s">
        <v>342</v>
      </c>
      <c r="DX1857" s="1671"/>
    </row>
    <row r="1858" spans="12:128">
      <c r="L1858" s="2481">
        <v>167.31</v>
      </c>
      <c r="M1858" s="340" t="s">
        <v>338</v>
      </c>
      <c r="N1858" s="1390"/>
      <c r="O1858" s="2479"/>
      <c r="P1858" s="2282"/>
      <c r="AG1858" s="2297">
        <v>224.01</v>
      </c>
      <c r="AH1858" s="2297" t="s">
        <v>342</v>
      </c>
      <c r="AI1858" s="1390"/>
      <c r="AJ1858" s="2282"/>
      <c r="AK1858" s="2282"/>
      <c r="AL1858" s="1037"/>
      <c r="AX1858" s="340">
        <v>233.05</v>
      </c>
      <c r="AY1858" s="340" t="s">
        <v>336</v>
      </c>
      <c r="BN1858" s="340">
        <v>212</v>
      </c>
      <c r="BO1858" s="340" t="s">
        <v>336</v>
      </c>
      <c r="BP1858" s="1385"/>
      <c r="BV1858" s="236">
        <v>19.12</v>
      </c>
      <c r="BW1858" s="236" t="s">
        <v>323</v>
      </c>
      <c r="CB1858" s="340">
        <v>232</v>
      </c>
      <c r="CC1858" s="340" t="s">
        <v>336</v>
      </c>
      <c r="CL1858" s="236">
        <v>105.04</v>
      </c>
      <c r="CM1858" s="236" t="s">
        <v>346</v>
      </c>
      <c r="CR1858" s="340">
        <v>212</v>
      </c>
      <c r="CS1858" s="340" t="s">
        <v>336</v>
      </c>
      <c r="CT1858" s="1384"/>
      <c r="DF1858" s="340">
        <v>167.36</v>
      </c>
      <c r="DG1858" s="340" t="s">
        <v>338</v>
      </c>
      <c r="DV1858" s="340">
        <v>225</v>
      </c>
      <c r="DW1858" s="340" t="s">
        <v>336</v>
      </c>
      <c r="DX1858" s="1671"/>
    </row>
    <row r="1859" spans="12:128">
      <c r="L1859" s="2481">
        <v>167.35</v>
      </c>
      <c r="M1859" s="340" t="s">
        <v>338</v>
      </c>
      <c r="N1859" s="1390"/>
      <c r="O1859" s="2479"/>
      <c r="P1859" s="2282"/>
      <c r="AG1859" s="2297">
        <v>224.02</v>
      </c>
      <c r="AH1859" s="2297" t="s">
        <v>342</v>
      </c>
      <c r="AI1859" s="1390"/>
      <c r="AJ1859" s="2282"/>
      <c r="AK1859" s="2282"/>
      <c r="AL1859" s="1037"/>
      <c r="AX1859" s="340">
        <v>233.06</v>
      </c>
      <c r="AY1859" s="340" t="s">
        <v>336</v>
      </c>
      <c r="BN1859" s="340">
        <v>212.01</v>
      </c>
      <c r="BO1859" s="340" t="s">
        <v>348</v>
      </c>
      <c r="BP1859" s="1385"/>
      <c r="BV1859" s="236">
        <v>19.13</v>
      </c>
      <c r="BW1859" s="236" t="s">
        <v>323</v>
      </c>
      <c r="CB1859" s="340">
        <v>233.03</v>
      </c>
      <c r="CC1859" s="340" t="s">
        <v>336</v>
      </c>
      <c r="CL1859" s="338">
        <v>105.05</v>
      </c>
      <c r="CM1859" s="338" t="s">
        <v>294</v>
      </c>
      <c r="CR1859" s="340">
        <v>212.01</v>
      </c>
      <c r="CS1859" s="340" t="s">
        <v>348</v>
      </c>
      <c r="CT1859" s="1384"/>
      <c r="DF1859" s="340">
        <v>167.37</v>
      </c>
      <c r="DG1859" s="340" t="s">
        <v>338</v>
      </c>
      <c r="DV1859" s="340">
        <v>225.02</v>
      </c>
      <c r="DW1859" s="340" t="s">
        <v>342</v>
      </c>
      <c r="DX1859" s="1671"/>
    </row>
    <row r="1860" spans="12:128">
      <c r="L1860" s="2481">
        <v>167.36</v>
      </c>
      <c r="M1860" s="340" t="s">
        <v>338</v>
      </c>
      <c r="N1860" s="1390"/>
      <c r="O1860" s="2479"/>
      <c r="P1860" s="2282"/>
      <c r="AG1860" s="2297">
        <v>225</v>
      </c>
      <c r="AH1860" s="2297" t="s">
        <v>336</v>
      </c>
      <c r="AI1860" s="1390"/>
      <c r="AJ1860" s="2282"/>
      <c r="AK1860" s="2282"/>
      <c r="AL1860" s="1037"/>
      <c r="AX1860" s="340">
        <v>233.08</v>
      </c>
      <c r="AY1860" s="340" t="s">
        <v>336</v>
      </c>
      <c r="BN1860" s="340">
        <v>212.03</v>
      </c>
      <c r="BO1860" s="340" t="s">
        <v>348</v>
      </c>
      <c r="BP1860" s="1385"/>
      <c r="BV1860" s="236">
        <v>19.149999999999999</v>
      </c>
      <c r="BW1860" s="236" t="s">
        <v>323</v>
      </c>
      <c r="CB1860" s="340">
        <v>233.04</v>
      </c>
      <c r="CC1860" s="340" t="s">
        <v>336</v>
      </c>
      <c r="CL1860" s="236">
        <v>105.05</v>
      </c>
      <c r="CM1860" s="236" t="s">
        <v>346</v>
      </c>
      <c r="CR1860" s="340">
        <v>212.03</v>
      </c>
      <c r="CS1860" s="340" t="s">
        <v>348</v>
      </c>
      <c r="CT1860" s="1384"/>
      <c r="DF1860" s="340">
        <v>167.4</v>
      </c>
      <c r="DG1860" s="340" t="s">
        <v>338</v>
      </c>
      <c r="DV1860" s="340">
        <v>225.03</v>
      </c>
      <c r="DW1860" s="340" t="s">
        <v>342</v>
      </c>
      <c r="DX1860" s="1671"/>
    </row>
    <row r="1861" spans="12:128">
      <c r="L1861" s="2481">
        <v>167.37</v>
      </c>
      <c r="M1861" s="340" t="s">
        <v>338</v>
      </c>
      <c r="N1861" s="1390"/>
      <c r="O1861" s="2479"/>
      <c r="P1861" s="2282"/>
      <c r="AG1861" s="2297">
        <v>225.02</v>
      </c>
      <c r="AH1861" s="2297" t="s">
        <v>342</v>
      </c>
      <c r="AI1861" s="1390"/>
      <c r="AJ1861" s="2282"/>
      <c r="AK1861" s="2282"/>
      <c r="AL1861" s="1037"/>
      <c r="AX1861" s="340">
        <v>9101.01</v>
      </c>
      <c r="AY1861" s="340" t="s">
        <v>337</v>
      </c>
      <c r="BN1861" s="340">
        <v>212.05</v>
      </c>
      <c r="BO1861" s="340" t="s">
        <v>348</v>
      </c>
      <c r="BP1861" s="1385"/>
      <c r="BV1861" s="236">
        <v>19.16</v>
      </c>
      <c r="BW1861" s="236" t="s">
        <v>323</v>
      </c>
      <c r="CB1861" s="340">
        <v>233.05</v>
      </c>
      <c r="CC1861" s="340" t="s">
        <v>336</v>
      </c>
      <c r="CL1861" s="338">
        <v>105.06</v>
      </c>
      <c r="CM1861" s="338" t="s">
        <v>294</v>
      </c>
      <c r="CR1861" s="340">
        <v>212.05</v>
      </c>
      <c r="CS1861" s="340" t="s">
        <v>348</v>
      </c>
      <c r="CT1861" s="1384"/>
      <c r="DF1861" s="340">
        <v>167.41</v>
      </c>
      <c r="DG1861" s="340" t="s">
        <v>338</v>
      </c>
      <c r="DV1861" s="340">
        <v>226.01</v>
      </c>
      <c r="DW1861" s="340" t="s">
        <v>342</v>
      </c>
      <c r="DX1861" s="1671"/>
    </row>
    <row r="1862" spans="12:128">
      <c r="L1862" s="2481">
        <v>167.39</v>
      </c>
      <c r="M1862" s="340" t="s">
        <v>338</v>
      </c>
      <c r="N1862" s="1390"/>
      <c r="O1862" s="2479"/>
      <c r="P1862" s="2282"/>
      <c r="AG1862" s="2297">
        <v>225.03</v>
      </c>
      <c r="AH1862" s="2297" t="s">
        <v>342</v>
      </c>
      <c r="AI1862" s="1390"/>
      <c r="AJ1862" s="2282"/>
      <c r="AK1862" s="2282"/>
      <c r="AL1862" s="1037"/>
      <c r="AX1862" s="340">
        <v>9101.02</v>
      </c>
      <c r="AY1862" s="340" t="s">
        <v>337</v>
      </c>
      <c r="BN1862" s="340">
        <v>212.06</v>
      </c>
      <c r="BO1862" s="340" t="s">
        <v>348</v>
      </c>
      <c r="BP1862" s="1385"/>
      <c r="BV1862" s="236">
        <v>19.170000000000002</v>
      </c>
      <c r="BW1862" s="236" t="s">
        <v>323</v>
      </c>
      <c r="CB1862" s="340">
        <v>233.06</v>
      </c>
      <c r="CC1862" s="340" t="s">
        <v>336</v>
      </c>
      <c r="CL1862" s="236">
        <v>105.06</v>
      </c>
      <c r="CM1862" s="236" t="s">
        <v>346</v>
      </c>
      <c r="CR1862" s="340">
        <v>212.06</v>
      </c>
      <c r="CS1862" s="340" t="s">
        <v>348</v>
      </c>
      <c r="CT1862" s="1384"/>
      <c r="DF1862" s="340">
        <v>167.43</v>
      </c>
      <c r="DG1862" s="340" t="s">
        <v>338</v>
      </c>
      <c r="DV1862" s="340">
        <v>226.02</v>
      </c>
      <c r="DW1862" s="340" t="s">
        <v>342</v>
      </c>
      <c r="DX1862" s="1671"/>
    </row>
    <row r="1863" spans="12:128">
      <c r="L1863" s="2481">
        <v>167.43</v>
      </c>
      <c r="M1863" s="340" t="s">
        <v>338</v>
      </c>
      <c r="N1863" s="1390"/>
      <c r="O1863" s="2479"/>
      <c r="P1863" s="2282"/>
      <c r="AG1863" s="2297">
        <v>226.01</v>
      </c>
      <c r="AH1863" s="2297" t="s">
        <v>342</v>
      </c>
      <c r="AI1863" s="1390"/>
      <c r="AJ1863" s="2282"/>
      <c r="AK1863" s="2282"/>
      <c r="AL1863" s="1037"/>
      <c r="AX1863" s="340">
        <v>9102.01</v>
      </c>
      <c r="AY1863" s="340" t="s">
        <v>337</v>
      </c>
      <c r="BN1863" s="340">
        <v>212.07</v>
      </c>
      <c r="BO1863" s="340" t="s">
        <v>349</v>
      </c>
      <c r="BP1863" s="1385"/>
      <c r="BV1863" s="236">
        <v>19.18</v>
      </c>
      <c r="BW1863" s="236" t="s">
        <v>323</v>
      </c>
      <c r="CB1863" s="340">
        <v>233.08</v>
      </c>
      <c r="CC1863" s="340" t="s">
        <v>336</v>
      </c>
      <c r="CL1863" s="236">
        <v>105.08</v>
      </c>
      <c r="CM1863" s="236" t="s">
        <v>297</v>
      </c>
      <c r="CR1863" s="340">
        <v>212.07</v>
      </c>
      <c r="CS1863" s="340" t="s">
        <v>349</v>
      </c>
      <c r="CT1863" s="1384"/>
      <c r="DF1863" s="340">
        <v>167.44</v>
      </c>
      <c r="DG1863" s="340" t="s">
        <v>338</v>
      </c>
      <c r="DV1863" s="340">
        <v>227</v>
      </c>
      <c r="DW1863" s="340" t="s">
        <v>342</v>
      </c>
      <c r="DX1863" s="1671"/>
    </row>
    <row r="1864" spans="12:128">
      <c r="L1864" s="2481">
        <v>167.44</v>
      </c>
      <c r="M1864" s="340" t="s">
        <v>338</v>
      </c>
      <c r="N1864" s="1390"/>
      <c r="O1864" s="2479"/>
      <c r="P1864" s="2282"/>
      <c r="AG1864" s="2297">
        <v>226.02</v>
      </c>
      <c r="AH1864" s="2297" t="s">
        <v>342</v>
      </c>
      <c r="AI1864" s="1390"/>
      <c r="AJ1864" s="2282"/>
      <c r="AK1864" s="2282"/>
      <c r="AL1864" s="1037"/>
      <c r="AX1864" s="340">
        <v>9104.01</v>
      </c>
      <c r="AY1864" s="340" t="s">
        <v>337</v>
      </c>
      <c r="BN1864" s="340">
        <v>212.11</v>
      </c>
      <c r="BO1864" s="340" t="s">
        <v>349</v>
      </c>
      <c r="BP1864" s="1385"/>
      <c r="BV1864" s="236">
        <v>19.190000000000001</v>
      </c>
      <c r="BW1864" s="236" t="s">
        <v>323</v>
      </c>
      <c r="CB1864" s="340">
        <v>9101.01</v>
      </c>
      <c r="CC1864" s="340" t="s">
        <v>337</v>
      </c>
      <c r="CL1864" s="236">
        <v>105.11</v>
      </c>
      <c r="CM1864" s="236" t="s">
        <v>297</v>
      </c>
      <c r="CR1864" s="340">
        <v>212.11</v>
      </c>
      <c r="CS1864" s="340" t="s">
        <v>349</v>
      </c>
      <c r="CT1864" s="1384"/>
      <c r="DF1864" s="340">
        <v>167.45</v>
      </c>
      <c r="DG1864" s="340" t="s">
        <v>338</v>
      </c>
      <c r="DV1864" s="340">
        <v>228.02</v>
      </c>
      <c r="DW1864" s="340" t="s">
        <v>342</v>
      </c>
      <c r="DX1864" s="1671"/>
    </row>
    <row r="1865" spans="12:128">
      <c r="L1865" s="2481">
        <v>167.45</v>
      </c>
      <c r="M1865" s="340" t="s">
        <v>338</v>
      </c>
      <c r="N1865" s="1390"/>
      <c r="O1865" s="2479"/>
      <c r="P1865" s="2282"/>
      <c r="AG1865" s="2297">
        <v>227</v>
      </c>
      <c r="AH1865" s="2297" t="s">
        <v>342</v>
      </c>
      <c r="AI1865" s="1390"/>
      <c r="AJ1865" s="2282"/>
      <c r="AK1865" s="2282"/>
      <c r="AL1865" s="1037"/>
      <c r="AX1865" s="340">
        <v>9105</v>
      </c>
      <c r="AY1865" s="340" t="s">
        <v>337</v>
      </c>
      <c r="BN1865" s="340">
        <v>213.06</v>
      </c>
      <c r="BO1865" s="340" t="s">
        <v>348</v>
      </c>
      <c r="BP1865" s="1385"/>
      <c r="BV1865" s="236">
        <v>19.2</v>
      </c>
      <c r="BW1865" s="236" t="s">
        <v>323</v>
      </c>
      <c r="CB1865" s="340">
        <v>9101.02</v>
      </c>
      <c r="CC1865" s="340" t="s">
        <v>337</v>
      </c>
      <c r="CL1865" s="236">
        <v>105.12</v>
      </c>
      <c r="CM1865" s="236" t="s">
        <v>297</v>
      </c>
      <c r="CR1865" s="340">
        <v>213.06</v>
      </c>
      <c r="CS1865" s="340" t="s">
        <v>348</v>
      </c>
      <c r="CT1865" s="1384"/>
      <c r="DF1865" s="340">
        <v>167.47</v>
      </c>
      <c r="DG1865" s="340" t="s">
        <v>338</v>
      </c>
      <c r="DV1865" s="340">
        <v>229.01</v>
      </c>
      <c r="DW1865" s="340" t="s">
        <v>342</v>
      </c>
      <c r="DX1865" s="1671"/>
    </row>
    <row r="1866" spans="12:128">
      <c r="L1866" s="2481">
        <v>167.47</v>
      </c>
      <c r="M1866" s="340" t="s">
        <v>338</v>
      </c>
      <c r="N1866" s="1390"/>
      <c r="O1866" s="2479"/>
      <c r="P1866" s="2282"/>
      <c r="AG1866" s="2297">
        <v>228.02</v>
      </c>
      <c r="AH1866" s="2297" t="s">
        <v>342</v>
      </c>
      <c r="AI1866" s="1390"/>
      <c r="AJ1866" s="2282"/>
      <c r="AK1866" s="2282"/>
      <c r="AL1866" s="1037"/>
      <c r="AX1866" s="340">
        <v>9106.01</v>
      </c>
      <c r="AY1866" s="340" t="s">
        <v>337</v>
      </c>
      <c r="BN1866" s="340">
        <v>213.07</v>
      </c>
      <c r="BO1866" s="340" t="s">
        <v>348</v>
      </c>
      <c r="BP1866" s="1385"/>
      <c r="BV1866" s="236">
        <v>19.21</v>
      </c>
      <c r="BW1866" s="236" t="s">
        <v>323</v>
      </c>
      <c r="CB1866" s="340">
        <v>9102.02</v>
      </c>
      <c r="CC1866" s="340" t="s">
        <v>337</v>
      </c>
      <c r="CL1866" s="236">
        <v>105.13</v>
      </c>
      <c r="CM1866" s="236" t="s">
        <v>297</v>
      </c>
      <c r="CR1866" s="340">
        <v>213.07</v>
      </c>
      <c r="CS1866" s="340" t="s">
        <v>348</v>
      </c>
      <c r="CT1866" s="1384"/>
      <c r="DF1866" s="340">
        <v>167.48</v>
      </c>
      <c r="DG1866" s="340" t="s">
        <v>338</v>
      </c>
      <c r="DV1866" s="340">
        <v>231</v>
      </c>
      <c r="DW1866" s="340" t="s">
        <v>342</v>
      </c>
      <c r="DX1866" s="1671"/>
    </row>
    <row r="1867" spans="12:128">
      <c r="L1867" s="2481">
        <v>167.48</v>
      </c>
      <c r="M1867" s="340" t="s">
        <v>338</v>
      </c>
      <c r="N1867" s="1390"/>
      <c r="O1867" s="2479"/>
      <c r="P1867" s="2282"/>
      <c r="AG1867" s="2297">
        <v>231</v>
      </c>
      <c r="AH1867" s="2297" t="s">
        <v>336</v>
      </c>
      <c r="AI1867" s="1390"/>
      <c r="AJ1867" s="2282"/>
      <c r="AK1867" s="2282"/>
      <c r="AL1867" s="1037"/>
      <c r="AX1867" s="340">
        <v>9106.02</v>
      </c>
      <c r="AY1867" s="340" t="s">
        <v>337</v>
      </c>
      <c r="BN1867" s="340">
        <v>213.11</v>
      </c>
      <c r="BO1867" s="340" t="s">
        <v>348</v>
      </c>
      <c r="BP1867" s="1385"/>
      <c r="BV1867" s="236">
        <v>19.22</v>
      </c>
      <c r="BW1867" s="236" t="s">
        <v>323</v>
      </c>
      <c r="CB1867" s="340">
        <v>9104.01</v>
      </c>
      <c r="CC1867" s="340" t="s">
        <v>337</v>
      </c>
      <c r="CL1867" s="236">
        <v>105.14</v>
      </c>
      <c r="CM1867" s="236" t="s">
        <v>297</v>
      </c>
      <c r="CR1867" s="340">
        <v>213.11</v>
      </c>
      <c r="CS1867" s="340" t="s">
        <v>348</v>
      </c>
      <c r="CT1867" s="1384"/>
      <c r="DF1867" s="340">
        <v>167.49</v>
      </c>
      <c r="DG1867" s="340" t="s">
        <v>338</v>
      </c>
      <c r="DV1867" s="340">
        <v>232</v>
      </c>
      <c r="DW1867" s="340" t="s">
        <v>342</v>
      </c>
      <c r="DX1867" s="1671"/>
    </row>
    <row r="1868" spans="12:128">
      <c r="L1868" s="2481">
        <v>167.49</v>
      </c>
      <c r="M1868" s="340" t="s">
        <v>338</v>
      </c>
      <c r="N1868" s="1390"/>
      <c r="O1868" s="2479"/>
      <c r="P1868" s="2282"/>
      <c r="AG1868" s="2297">
        <v>231</v>
      </c>
      <c r="AH1868" s="2297" t="s">
        <v>342</v>
      </c>
      <c r="AI1868" s="1390"/>
      <c r="AJ1868" s="2282"/>
      <c r="AK1868" s="2282"/>
      <c r="AL1868" s="1037"/>
      <c r="AX1868" s="340">
        <v>102.01</v>
      </c>
      <c r="AY1868" s="340" t="s">
        <v>338</v>
      </c>
      <c r="BN1868" s="340">
        <v>213.12</v>
      </c>
      <c r="BO1868" s="340" t="s">
        <v>348</v>
      </c>
      <c r="BP1868" s="1385"/>
      <c r="BV1868" s="236">
        <v>19.23</v>
      </c>
      <c r="BW1868" s="236" t="s">
        <v>323</v>
      </c>
      <c r="CB1868" s="340">
        <v>9105</v>
      </c>
      <c r="CC1868" s="340" t="s">
        <v>337</v>
      </c>
      <c r="CL1868" s="236">
        <v>105.15</v>
      </c>
      <c r="CM1868" s="236" t="s">
        <v>297</v>
      </c>
      <c r="CR1868" s="340">
        <v>213.12</v>
      </c>
      <c r="CS1868" s="340" t="s">
        <v>348</v>
      </c>
      <c r="CT1868" s="1384"/>
      <c r="DF1868" s="340">
        <v>167.5</v>
      </c>
      <c r="DG1868" s="340" t="s">
        <v>338</v>
      </c>
      <c r="DV1868" s="340">
        <v>233</v>
      </c>
      <c r="DW1868" s="340" t="s">
        <v>342</v>
      </c>
      <c r="DX1868" s="1671"/>
    </row>
    <row r="1869" spans="12:128">
      <c r="L1869" s="2481">
        <v>167.5</v>
      </c>
      <c r="M1869" s="340" t="s">
        <v>338</v>
      </c>
      <c r="N1869" s="1390"/>
      <c r="O1869" s="2479"/>
      <c r="P1869" s="2282"/>
      <c r="AG1869" s="2297">
        <v>232</v>
      </c>
      <c r="AH1869" s="2297" t="s">
        <v>342</v>
      </c>
      <c r="AI1869" s="1390"/>
      <c r="AJ1869" s="2282"/>
      <c r="AK1869" s="2282"/>
      <c r="AL1869" s="1037"/>
      <c r="AX1869" s="340">
        <v>102.02</v>
      </c>
      <c r="AY1869" s="340" t="s">
        <v>338</v>
      </c>
      <c r="BN1869" s="340">
        <v>213.13</v>
      </c>
      <c r="BO1869" s="340" t="s">
        <v>348</v>
      </c>
      <c r="BP1869" s="1385"/>
      <c r="BV1869" s="236">
        <v>101.04</v>
      </c>
      <c r="BW1869" s="236" t="s">
        <v>323</v>
      </c>
      <c r="CB1869" s="340">
        <v>9106.01</v>
      </c>
      <c r="CC1869" s="340" t="s">
        <v>337</v>
      </c>
      <c r="CL1869" s="236">
        <v>105.16</v>
      </c>
      <c r="CM1869" s="236" t="s">
        <v>297</v>
      </c>
      <c r="CR1869" s="340">
        <v>213.13</v>
      </c>
      <c r="CS1869" s="340" t="s">
        <v>348</v>
      </c>
      <c r="CT1869" s="1384"/>
      <c r="DF1869" s="340">
        <v>167.51</v>
      </c>
      <c r="DG1869" s="340" t="s">
        <v>338</v>
      </c>
      <c r="DV1869" s="340">
        <v>233.03</v>
      </c>
      <c r="DW1869" s="340" t="s">
        <v>336</v>
      </c>
      <c r="DX1869" s="1671"/>
    </row>
    <row r="1870" spans="12:128">
      <c r="L1870" s="2481">
        <v>167.51</v>
      </c>
      <c r="M1870" s="340" t="s">
        <v>338</v>
      </c>
      <c r="N1870" s="1390"/>
      <c r="O1870" s="2479"/>
      <c r="P1870" s="2282"/>
      <c r="AG1870" s="2297">
        <v>233</v>
      </c>
      <c r="AH1870" s="2297" t="s">
        <v>342</v>
      </c>
      <c r="AI1870" s="1390"/>
      <c r="AJ1870" s="2282"/>
      <c r="AK1870" s="2282"/>
      <c r="AL1870" s="1037"/>
      <c r="AX1870" s="340">
        <v>103</v>
      </c>
      <c r="AY1870" s="340" t="s">
        <v>338</v>
      </c>
      <c r="BN1870" s="340">
        <v>213.14</v>
      </c>
      <c r="BO1870" s="340" t="s">
        <v>348</v>
      </c>
      <c r="BP1870" s="1385"/>
      <c r="BV1870" s="236">
        <v>101.06</v>
      </c>
      <c r="BW1870" s="236" t="s">
        <v>323</v>
      </c>
      <c r="CB1870" s="340">
        <v>9106.02</v>
      </c>
      <c r="CC1870" s="340" t="s">
        <v>337</v>
      </c>
      <c r="CL1870" s="236">
        <v>105.17</v>
      </c>
      <c r="CM1870" s="236" t="s">
        <v>297</v>
      </c>
      <c r="CR1870" s="340">
        <v>213.14</v>
      </c>
      <c r="CS1870" s="340" t="s">
        <v>348</v>
      </c>
      <c r="CT1870" s="1384"/>
      <c r="DF1870" s="340">
        <v>167.52</v>
      </c>
      <c r="DG1870" s="340" t="s">
        <v>338</v>
      </c>
      <c r="DV1870" s="340">
        <v>233.04</v>
      </c>
      <c r="DW1870" s="340" t="s">
        <v>336</v>
      </c>
      <c r="DX1870" s="1671"/>
    </row>
    <row r="1871" spans="12:128">
      <c r="L1871" s="2481">
        <v>167.52</v>
      </c>
      <c r="M1871" s="340" t="s">
        <v>338</v>
      </c>
      <c r="N1871" s="1390"/>
      <c r="O1871" s="2479"/>
      <c r="P1871" s="2282"/>
      <c r="AG1871" s="2297">
        <v>233.03</v>
      </c>
      <c r="AH1871" s="2297" t="s">
        <v>336</v>
      </c>
      <c r="AI1871" s="1390"/>
      <c r="AJ1871" s="2282"/>
      <c r="AK1871" s="2282"/>
      <c r="AL1871" s="1037"/>
      <c r="AX1871" s="340">
        <v>108.02</v>
      </c>
      <c r="AY1871" s="340" t="s">
        <v>338</v>
      </c>
      <c r="BN1871" s="340">
        <v>213.16</v>
      </c>
      <c r="BO1871" s="340" t="s">
        <v>348</v>
      </c>
      <c r="BP1871" s="1385"/>
      <c r="BV1871" s="236">
        <v>101.07</v>
      </c>
      <c r="BW1871" s="236" t="s">
        <v>323</v>
      </c>
      <c r="CB1871" s="340">
        <v>102.01</v>
      </c>
      <c r="CC1871" s="340" t="s">
        <v>338</v>
      </c>
      <c r="CL1871" s="236">
        <v>105.18</v>
      </c>
      <c r="CM1871" s="236" t="s">
        <v>297</v>
      </c>
      <c r="CR1871" s="340">
        <v>213.16</v>
      </c>
      <c r="CS1871" s="340" t="s">
        <v>348</v>
      </c>
      <c r="CT1871" s="1384"/>
      <c r="DF1871" s="340">
        <v>167.53</v>
      </c>
      <c r="DG1871" s="340" t="s">
        <v>338</v>
      </c>
      <c r="DV1871" s="340">
        <v>233.05</v>
      </c>
      <c r="DW1871" s="340" t="s">
        <v>336</v>
      </c>
      <c r="DX1871" s="1671"/>
    </row>
    <row r="1872" spans="12:128">
      <c r="L1872" s="2481">
        <v>167.53</v>
      </c>
      <c r="M1872" s="340" t="s">
        <v>338</v>
      </c>
      <c r="N1872" s="1390"/>
      <c r="O1872" s="2479"/>
      <c r="P1872" s="2282"/>
      <c r="AG1872" s="2297">
        <v>233.04</v>
      </c>
      <c r="AH1872" s="2297" t="s">
        <v>336</v>
      </c>
      <c r="AI1872" s="1390"/>
      <c r="AJ1872" s="2282"/>
      <c r="AK1872" s="2282"/>
      <c r="AL1872" s="1037"/>
      <c r="AX1872" s="340">
        <v>110</v>
      </c>
      <c r="AY1872" s="340" t="s">
        <v>338</v>
      </c>
      <c r="BN1872" s="340">
        <v>213.17</v>
      </c>
      <c r="BO1872" s="340" t="s">
        <v>348</v>
      </c>
      <c r="BP1872" s="1385"/>
      <c r="BV1872" s="236">
        <v>101.08</v>
      </c>
      <c r="BW1872" s="236" t="s">
        <v>323</v>
      </c>
      <c r="CB1872" s="340">
        <v>102.02</v>
      </c>
      <c r="CC1872" s="340" t="s">
        <v>338</v>
      </c>
      <c r="CL1872" s="236">
        <v>105.19</v>
      </c>
      <c r="CM1872" s="236" t="s">
        <v>297</v>
      </c>
      <c r="CR1872" s="340">
        <v>213.17</v>
      </c>
      <c r="CS1872" s="340" t="s">
        <v>348</v>
      </c>
      <c r="CT1872" s="1384"/>
      <c r="DF1872" s="340">
        <v>167.55</v>
      </c>
      <c r="DG1872" s="340" t="s">
        <v>338</v>
      </c>
      <c r="DV1872" s="340">
        <v>233.06</v>
      </c>
      <c r="DW1872" s="340" t="s">
        <v>336</v>
      </c>
      <c r="DX1872" s="1671"/>
    </row>
    <row r="1873" spans="12:128">
      <c r="L1873" s="2481">
        <v>167.55</v>
      </c>
      <c r="M1873" s="340" t="s">
        <v>338</v>
      </c>
      <c r="N1873" s="1390"/>
      <c r="O1873" s="2479"/>
      <c r="P1873" s="2282"/>
      <c r="AG1873" s="2297">
        <v>233.05</v>
      </c>
      <c r="AH1873" s="2297" t="s">
        <v>336</v>
      </c>
      <c r="AI1873" s="1390"/>
      <c r="AJ1873" s="2282"/>
      <c r="AK1873" s="2282"/>
      <c r="AL1873" s="1037"/>
      <c r="AX1873" s="340">
        <v>111</v>
      </c>
      <c r="AY1873" s="340" t="s">
        <v>338</v>
      </c>
      <c r="BN1873" s="340">
        <v>213.18</v>
      </c>
      <c r="BO1873" s="340" t="s">
        <v>348</v>
      </c>
      <c r="BP1873" s="1385"/>
      <c r="BV1873" s="236">
        <v>101.09</v>
      </c>
      <c r="BW1873" s="236" t="s">
        <v>323</v>
      </c>
      <c r="CB1873" s="340">
        <v>103</v>
      </c>
      <c r="CC1873" s="340" t="s">
        <v>338</v>
      </c>
      <c r="CL1873" s="236">
        <v>105.2</v>
      </c>
      <c r="CM1873" s="236" t="s">
        <v>297</v>
      </c>
      <c r="CR1873" s="340">
        <v>213.18</v>
      </c>
      <c r="CS1873" s="340" t="s">
        <v>348</v>
      </c>
      <c r="CT1873" s="1384"/>
      <c r="DF1873" s="340">
        <v>167.56</v>
      </c>
      <c r="DG1873" s="340" t="s">
        <v>338</v>
      </c>
      <c r="DV1873" s="340">
        <v>233.08</v>
      </c>
      <c r="DW1873" s="340" t="s">
        <v>336</v>
      </c>
      <c r="DX1873" s="1671"/>
    </row>
    <row r="1874" spans="12:128">
      <c r="L1874" s="2481">
        <v>168.02</v>
      </c>
      <c r="M1874" s="340" t="s">
        <v>338</v>
      </c>
      <c r="N1874" s="1390"/>
      <c r="O1874" s="2479"/>
      <c r="P1874" s="2282"/>
      <c r="AG1874" s="2297">
        <v>233.06</v>
      </c>
      <c r="AH1874" s="2297" t="s">
        <v>336</v>
      </c>
      <c r="AI1874" s="1390"/>
      <c r="AJ1874" s="2282"/>
      <c r="AK1874" s="2282"/>
      <c r="AL1874" s="1037"/>
      <c r="AX1874" s="340">
        <v>112</v>
      </c>
      <c r="AY1874" s="340" t="s">
        <v>338</v>
      </c>
      <c r="BN1874" s="340">
        <v>213.19</v>
      </c>
      <c r="BO1874" s="340" t="s">
        <v>348</v>
      </c>
      <c r="BP1874" s="1385"/>
      <c r="BV1874" s="236">
        <v>101.1</v>
      </c>
      <c r="BW1874" s="236" t="s">
        <v>323</v>
      </c>
      <c r="CB1874" s="340">
        <v>108.02</v>
      </c>
      <c r="CC1874" s="340" t="s">
        <v>338</v>
      </c>
      <c r="CL1874" s="236">
        <v>106</v>
      </c>
      <c r="CM1874" s="236" t="s">
        <v>316</v>
      </c>
      <c r="CR1874" s="340">
        <v>213.19</v>
      </c>
      <c r="CS1874" s="340" t="s">
        <v>348</v>
      </c>
      <c r="CT1874" s="1384"/>
      <c r="DF1874" s="340">
        <v>168.02</v>
      </c>
      <c r="DG1874" s="340" t="s">
        <v>338</v>
      </c>
      <c r="DV1874" s="340">
        <v>234</v>
      </c>
      <c r="DW1874" s="340" t="s">
        <v>342</v>
      </c>
      <c r="DX1874" s="1671"/>
    </row>
    <row r="1875" spans="12:128">
      <c r="L1875" s="2481">
        <v>168.03</v>
      </c>
      <c r="M1875" s="340" t="s">
        <v>338</v>
      </c>
      <c r="N1875" s="1390"/>
      <c r="O1875" s="2479"/>
      <c r="P1875" s="2282"/>
      <c r="AG1875" s="2297">
        <v>233.08</v>
      </c>
      <c r="AH1875" s="2297" t="s">
        <v>336</v>
      </c>
      <c r="AI1875" s="1390"/>
      <c r="AJ1875" s="2282"/>
      <c r="AK1875" s="2282"/>
      <c r="AL1875" s="1037"/>
      <c r="AX1875" s="340">
        <v>113</v>
      </c>
      <c r="AY1875" s="340" t="s">
        <v>338</v>
      </c>
      <c r="BN1875" s="340">
        <v>213.2</v>
      </c>
      <c r="BO1875" s="340" t="s">
        <v>348</v>
      </c>
      <c r="BP1875" s="1385"/>
      <c r="BV1875" s="236">
        <v>101.11</v>
      </c>
      <c r="BW1875" s="236" t="s">
        <v>323</v>
      </c>
      <c r="CB1875" s="340">
        <v>110</v>
      </c>
      <c r="CC1875" s="340" t="s">
        <v>338</v>
      </c>
      <c r="CL1875" s="338">
        <v>106.01</v>
      </c>
      <c r="CM1875" s="338" t="s">
        <v>289</v>
      </c>
      <c r="CR1875" s="340">
        <v>213.2</v>
      </c>
      <c r="CS1875" s="340" t="s">
        <v>348</v>
      </c>
      <c r="CT1875" s="1384"/>
      <c r="DF1875" s="340">
        <v>168.04</v>
      </c>
      <c r="DG1875" s="340" t="s">
        <v>338</v>
      </c>
      <c r="DV1875" s="340">
        <v>235.01</v>
      </c>
      <c r="DW1875" s="340" t="s">
        <v>342</v>
      </c>
      <c r="DX1875" s="1671"/>
    </row>
    <row r="1876" spans="12:128">
      <c r="L1876" s="2481">
        <v>168.04</v>
      </c>
      <c r="M1876" s="340" t="s">
        <v>338</v>
      </c>
      <c r="N1876" s="1390"/>
      <c r="O1876" s="2479"/>
      <c r="P1876" s="2282"/>
      <c r="AG1876" s="2297">
        <v>234</v>
      </c>
      <c r="AH1876" s="2297" t="s">
        <v>342</v>
      </c>
      <c r="AI1876" s="1390"/>
      <c r="AJ1876" s="2282"/>
      <c r="AK1876" s="2282"/>
      <c r="AL1876" s="1037"/>
      <c r="AX1876" s="340">
        <v>126</v>
      </c>
      <c r="AY1876" s="340" t="s">
        <v>338</v>
      </c>
      <c r="BN1876" s="340">
        <v>213.21</v>
      </c>
      <c r="BO1876" s="340" t="s">
        <v>348</v>
      </c>
      <c r="BP1876" s="1385"/>
      <c r="BV1876" s="236">
        <v>101.12</v>
      </c>
      <c r="BW1876" s="236" t="s">
        <v>323</v>
      </c>
      <c r="CB1876" s="340">
        <v>111</v>
      </c>
      <c r="CC1876" s="340" t="s">
        <v>338</v>
      </c>
      <c r="CL1876" s="236">
        <v>106.01</v>
      </c>
      <c r="CM1876" s="236" t="s">
        <v>297</v>
      </c>
      <c r="CR1876" s="340">
        <v>213.21</v>
      </c>
      <c r="CS1876" s="340" t="s">
        <v>348</v>
      </c>
      <c r="CT1876" s="1384"/>
      <c r="DF1876" s="340">
        <v>168.08</v>
      </c>
      <c r="DG1876" s="340" t="s">
        <v>338</v>
      </c>
      <c r="DV1876" s="340">
        <v>235.02</v>
      </c>
      <c r="DW1876" s="340" t="s">
        <v>342</v>
      </c>
      <c r="DX1876" s="1671"/>
    </row>
    <row r="1877" spans="12:128">
      <c r="L1877" s="2481">
        <v>168.08</v>
      </c>
      <c r="M1877" s="340" t="s">
        <v>338</v>
      </c>
      <c r="N1877" s="1390"/>
      <c r="O1877" s="2479"/>
      <c r="P1877" s="2282"/>
      <c r="AG1877" s="2297">
        <v>235.01</v>
      </c>
      <c r="AH1877" s="2297" t="s">
        <v>342</v>
      </c>
      <c r="AI1877" s="1390"/>
      <c r="AJ1877" s="2282"/>
      <c r="AK1877" s="2282"/>
      <c r="AL1877" s="1037"/>
      <c r="AX1877" s="340">
        <v>127.01</v>
      </c>
      <c r="AY1877" s="340" t="s">
        <v>338</v>
      </c>
      <c r="BN1877" s="340">
        <v>214.03</v>
      </c>
      <c r="BO1877" s="340" t="s">
        <v>348</v>
      </c>
      <c r="BP1877" s="1385"/>
      <c r="BV1877" s="236">
        <v>101.13</v>
      </c>
      <c r="BW1877" s="236" t="s">
        <v>323</v>
      </c>
      <c r="CB1877" s="340">
        <v>112</v>
      </c>
      <c r="CC1877" s="340" t="s">
        <v>338</v>
      </c>
      <c r="CL1877" s="236">
        <v>106.01</v>
      </c>
      <c r="CM1877" s="236" t="s">
        <v>302</v>
      </c>
      <c r="CR1877" s="340">
        <v>214</v>
      </c>
      <c r="CS1877" s="340" t="s">
        <v>336</v>
      </c>
      <c r="CT1877" s="1384"/>
      <c r="DF1877" s="340">
        <v>168.1</v>
      </c>
      <c r="DG1877" s="340" t="s">
        <v>338</v>
      </c>
      <c r="DV1877" s="340">
        <v>236.01</v>
      </c>
      <c r="DW1877" s="340" t="s">
        <v>342</v>
      </c>
      <c r="DX1877" s="1671"/>
    </row>
    <row r="1878" spans="12:128">
      <c r="L1878" s="2481">
        <v>168.1</v>
      </c>
      <c r="M1878" s="340" t="s">
        <v>338</v>
      </c>
      <c r="N1878" s="1390"/>
      <c r="O1878" s="2479"/>
      <c r="P1878" s="2282"/>
      <c r="AG1878" s="2297">
        <v>235.02</v>
      </c>
      <c r="AH1878" s="2297" t="s">
        <v>342</v>
      </c>
      <c r="AI1878" s="1390"/>
      <c r="AJ1878" s="2282"/>
      <c r="AK1878" s="2282"/>
      <c r="AL1878" s="1037"/>
      <c r="AX1878" s="340">
        <v>128</v>
      </c>
      <c r="AY1878" s="340" t="s">
        <v>338</v>
      </c>
      <c r="BN1878" s="340">
        <v>214.03</v>
      </c>
      <c r="BO1878" s="340" t="s">
        <v>349</v>
      </c>
      <c r="BP1878" s="1385"/>
      <c r="BV1878" s="236">
        <v>102.03</v>
      </c>
      <c r="BW1878" s="236" t="s">
        <v>323</v>
      </c>
      <c r="CB1878" s="340">
        <v>113</v>
      </c>
      <c r="CC1878" s="340" t="s">
        <v>338</v>
      </c>
      <c r="CL1878" s="236">
        <v>106.01</v>
      </c>
      <c r="CM1878" s="236" t="s">
        <v>323</v>
      </c>
      <c r="CR1878" s="340">
        <v>214.03</v>
      </c>
      <c r="CS1878" s="340" t="s">
        <v>348</v>
      </c>
      <c r="CT1878" s="1384"/>
      <c r="DF1878" s="340">
        <v>168.11</v>
      </c>
      <c r="DG1878" s="340" t="s">
        <v>338</v>
      </c>
      <c r="DV1878" s="340">
        <v>236.02</v>
      </c>
      <c r="DW1878" s="340" t="s">
        <v>342</v>
      </c>
      <c r="DX1878" s="1671"/>
    </row>
    <row r="1879" spans="12:128">
      <c r="L1879" s="2481">
        <v>168.11</v>
      </c>
      <c r="M1879" s="340" t="s">
        <v>338</v>
      </c>
      <c r="N1879" s="1390"/>
      <c r="O1879" s="2479"/>
      <c r="P1879" s="2282"/>
      <c r="AG1879" s="2297">
        <v>236.01</v>
      </c>
      <c r="AH1879" s="2297" t="s">
        <v>342</v>
      </c>
      <c r="AI1879" s="1390"/>
      <c r="AJ1879" s="2282"/>
      <c r="AK1879" s="2282"/>
      <c r="AL1879" s="1037"/>
      <c r="AX1879" s="340">
        <v>129</v>
      </c>
      <c r="AY1879" s="340" t="s">
        <v>338</v>
      </c>
      <c r="BN1879" s="340">
        <v>214.04</v>
      </c>
      <c r="BO1879" s="340" t="s">
        <v>349</v>
      </c>
      <c r="BP1879" s="1385"/>
      <c r="BV1879" s="236">
        <v>102.05</v>
      </c>
      <c r="BW1879" s="236" t="s">
        <v>323</v>
      </c>
      <c r="CB1879" s="340">
        <v>125</v>
      </c>
      <c r="CC1879" s="340" t="s">
        <v>338</v>
      </c>
      <c r="CL1879" s="236">
        <v>106.01</v>
      </c>
      <c r="CM1879" s="236" t="s">
        <v>344</v>
      </c>
      <c r="CR1879" s="340">
        <v>214.04</v>
      </c>
      <c r="CS1879" s="340" t="s">
        <v>348</v>
      </c>
      <c r="CT1879" s="1384"/>
      <c r="DF1879" s="340">
        <v>168.13</v>
      </c>
      <c r="DG1879" s="340" t="s">
        <v>338</v>
      </c>
      <c r="DV1879" s="340">
        <v>237</v>
      </c>
      <c r="DW1879" s="340" t="s">
        <v>342</v>
      </c>
      <c r="DX1879" s="1671"/>
    </row>
    <row r="1880" spans="12:128">
      <c r="L1880" s="2481">
        <v>168.13</v>
      </c>
      <c r="M1880" s="340" t="s">
        <v>338</v>
      </c>
      <c r="N1880" s="1390"/>
      <c r="O1880" s="2479"/>
      <c r="P1880" s="2282"/>
      <c r="AG1880" s="2297">
        <v>236.02</v>
      </c>
      <c r="AH1880" s="2297" t="s">
        <v>342</v>
      </c>
      <c r="AI1880" s="1390"/>
      <c r="AJ1880" s="2282"/>
      <c r="AK1880" s="2282"/>
      <c r="AL1880" s="1037"/>
      <c r="AX1880" s="340">
        <v>136.05000000000001</v>
      </c>
      <c r="AY1880" s="340" t="s">
        <v>338</v>
      </c>
      <c r="BN1880" s="340">
        <v>214.08</v>
      </c>
      <c r="BO1880" s="340" t="s">
        <v>349</v>
      </c>
      <c r="BP1880" s="1385"/>
      <c r="BV1880" s="236">
        <v>102.06</v>
      </c>
      <c r="BW1880" s="236" t="s">
        <v>323</v>
      </c>
      <c r="CB1880" s="340">
        <v>126</v>
      </c>
      <c r="CC1880" s="340" t="s">
        <v>338</v>
      </c>
      <c r="CL1880" s="236">
        <v>106.01</v>
      </c>
      <c r="CM1880" s="236" t="s">
        <v>346</v>
      </c>
      <c r="CR1880" s="340">
        <v>214.04</v>
      </c>
      <c r="CS1880" s="340" t="s">
        <v>349</v>
      </c>
      <c r="CT1880" s="1384"/>
      <c r="DF1880" s="340">
        <v>169.09</v>
      </c>
      <c r="DG1880" s="340" t="s">
        <v>338</v>
      </c>
      <c r="DV1880" s="340">
        <v>238</v>
      </c>
      <c r="DW1880" s="340" t="s">
        <v>342</v>
      </c>
      <c r="DX1880" s="1671"/>
    </row>
    <row r="1881" spans="12:128">
      <c r="L1881" s="2481">
        <v>170.01</v>
      </c>
      <c r="M1881" s="340" t="s">
        <v>338</v>
      </c>
      <c r="N1881" s="1390"/>
      <c r="O1881" s="2479"/>
      <c r="P1881" s="2282"/>
      <c r="AG1881" s="2297">
        <v>237</v>
      </c>
      <c r="AH1881" s="2297" t="s">
        <v>342</v>
      </c>
      <c r="AI1881" s="1390"/>
      <c r="AJ1881" s="2282"/>
      <c r="AK1881" s="2282"/>
      <c r="AL1881" s="1037"/>
      <c r="AX1881" s="340">
        <v>138.01</v>
      </c>
      <c r="AY1881" s="340" t="s">
        <v>338</v>
      </c>
      <c r="BN1881" s="340">
        <v>214.09</v>
      </c>
      <c r="BO1881" s="340" t="s">
        <v>349</v>
      </c>
      <c r="BP1881" s="1385"/>
      <c r="BV1881" s="236">
        <v>102.07</v>
      </c>
      <c r="BW1881" s="236" t="s">
        <v>323</v>
      </c>
      <c r="CB1881" s="340">
        <v>127.01</v>
      </c>
      <c r="CC1881" s="340" t="s">
        <v>338</v>
      </c>
      <c r="CL1881" s="236">
        <v>106.02</v>
      </c>
      <c r="CM1881" s="236" t="s">
        <v>297</v>
      </c>
      <c r="CR1881" s="340">
        <v>214.08</v>
      </c>
      <c r="CS1881" s="340" t="s">
        <v>349</v>
      </c>
      <c r="CT1881" s="1384"/>
      <c r="DF1881" s="340">
        <v>170.01</v>
      </c>
      <c r="DG1881" s="340" t="s">
        <v>338</v>
      </c>
      <c r="DV1881" s="340">
        <v>239</v>
      </c>
      <c r="DW1881" s="340" t="s">
        <v>342</v>
      </c>
      <c r="DX1881" s="1671"/>
    </row>
    <row r="1882" spans="12:128">
      <c r="L1882" s="2481">
        <v>170.04</v>
      </c>
      <c r="M1882" s="340" t="s">
        <v>338</v>
      </c>
      <c r="N1882" s="1390"/>
      <c r="O1882" s="2479"/>
      <c r="P1882" s="2282"/>
      <c r="AG1882" s="2297">
        <v>238</v>
      </c>
      <c r="AH1882" s="2297" t="s">
        <v>342</v>
      </c>
      <c r="AI1882" s="1390"/>
      <c r="AJ1882" s="2282"/>
      <c r="AK1882" s="2282"/>
      <c r="AL1882" s="1037"/>
      <c r="AX1882" s="340">
        <v>138.02000000000001</v>
      </c>
      <c r="AY1882" s="340" t="s">
        <v>338</v>
      </c>
      <c r="BN1882" s="340">
        <v>215.01</v>
      </c>
      <c r="BO1882" s="340" t="s">
        <v>336</v>
      </c>
      <c r="BP1882" s="1385"/>
      <c r="BV1882" s="236">
        <v>102.08</v>
      </c>
      <c r="BW1882" s="236" t="s">
        <v>323</v>
      </c>
      <c r="CB1882" s="340">
        <v>128</v>
      </c>
      <c r="CC1882" s="340" t="s">
        <v>338</v>
      </c>
      <c r="CL1882" s="236">
        <v>106.02</v>
      </c>
      <c r="CM1882" s="236" t="s">
        <v>302</v>
      </c>
      <c r="CR1882" s="340">
        <v>214.09</v>
      </c>
      <c r="CS1882" s="340" t="s">
        <v>349</v>
      </c>
      <c r="CT1882" s="1384"/>
      <c r="DF1882" s="340">
        <v>170.04</v>
      </c>
      <c r="DG1882" s="340" t="s">
        <v>338</v>
      </c>
      <c r="DV1882" s="340">
        <v>240.01</v>
      </c>
      <c r="DW1882" s="340" t="s">
        <v>342</v>
      </c>
      <c r="DX1882" s="1671"/>
    </row>
    <row r="1883" spans="12:128">
      <c r="L1883" s="2481">
        <v>170.06</v>
      </c>
      <c r="M1883" s="340" t="s">
        <v>338</v>
      </c>
      <c r="N1883" s="1390"/>
      <c r="O1883" s="2479"/>
      <c r="P1883" s="2282"/>
      <c r="AG1883" s="2297">
        <v>240.01</v>
      </c>
      <c r="AH1883" s="2297" t="s">
        <v>342</v>
      </c>
      <c r="AI1883" s="1390"/>
      <c r="AJ1883" s="2282"/>
      <c r="AK1883" s="2282"/>
      <c r="AL1883" s="1037"/>
      <c r="AX1883" s="340">
        <v>138.03</v>
      </c>
      <c r="AY1883" s="340" t="s">
        <v>338</v>
      </c>
      <c r="BN1883" s="340">
        <v>215.01</v>
      </c>
      <c r="BO1883" s="340" t="s">
        <v>342</v>
      </c>
      <c r="BP1883" s="1385"/>
      <c r="BV1883" s="236">
        <v>102.09</v>
      </c>
      <c r="BW1883" s="236" t="s">
        <v>323</v>
      </c>
      <c r="CB1883" s="340">
        <v>129</v>
      </c>
      <c r="CC1883" s="340" t="s">
        <v>338</v>
      </c>
      <c r="CL1883" s="236">
        <v>106.02</v>
      </c>
      <c r="CM1883" s="236" t="s">
        <v>323</v>
      </c>
      <c r="CR1883" s="340">
        <v>215.01</v>
      </c>
      <c r="CS1883" s="340" t="s">
        <v>336</v>
      </c>
      <c r="CT1883" s="1384"/>
      <c r="DF1883" s="340">
        <v>170.06</v>
      </c>
      <c r="DG1883" s="340" t="s">
        <v>338</v>
      </c>
      <c r="DV1883" s="340">
        <v>240.02</v>
      </c>
      <c r="DW1883" s="340" t="s">
        <v>342</v>
      </c>
      <c r="DX1883" s="1671"/>
    </row>
    <row r="1884" spans="12:128">
      <c r="L1884" s="2481">
        <v>170.13</v>
      </c>
      <c r="M1884" s="340" t="s">
        <v>338</v>
      </c>
      <c r="N1884" s="1390"/>
      <c r="O1884" s="2479"/>
      <c r="P1884" s="2282"/>
      <c r="AG1884" s="2297">
        <v>240.02</v>
      </c>
      <c r="AH1884" s="2297" t="s">
        <v>342</v>
      </c>
      <c r="AI1884" s="1390"/>
      <c r="AJ1884" s="2282"/>
      <c r="AK1884" s="2282"/>
      <c r="AL1884" s="1037"/>
      <c r="AX1884" s="340">
        <v>139</v>
      </c>
      <c r="AY1884" s="340" t="s">
        <v>338</v>
      </c>
      <c r="BN1884" s="340">
        <v>215.02</v>
      </c>
      <c r="BO1884" s="340" t="s">
        <v>342</v>
      </c>
      <c r="BP1884" s="1385"/>
      <c r="BV1884" s="236">
        <v>102.1</v>
      </c>
      <c r="BW1884" s="236" t="s">
        <v>323</v>
      </c>
      <c r="CB1884" s="340">
        <v>136.05000000000001</v>
      </c>
      <c r="CC1884" s="340" t="s">
        <v>338</v>
      </c>
      <c r="CL1884" s="236">
        <v>106.02</v>
      </c>
      <c r="CM1884" s="236" t="s">
        <v>346</v>
      </c>
      <c r="CR1884" s="340">
        <v>215.01</v>
      </c>
      <c r="CS1884" s="340" t="s">
        <v>342</v>
      </c>
      <c r="CT1884" s="1384"/>
      <c r="DF1884" s="340">
        <v>170.12</v>
      </c>
      <c r="DG1884" s="340" t="s">
        <v>338</v>
      </c>
      <c r="DV1884" s="340">
        <v>240.04</v>
      </c>
      <c r="DW1884" s="340" t="s">
        <v>342</v>
      </c>
      <c r="DX1884" s="1671"/>
    </row>
    <row r="1885" spans="12:128">
      <c r="L1885" s="2481">
        <v>170.15</v>
      </c>
      <c r="M1885" s="340" t="s">
        <v>338</v>
      </c>
      <c r="N1885" s="1390"/>
      <c r="O1885" s="2479"/>
      <c r="P1885" s="2282"/>
      <c r="AG1885" s="2297">
        <v>240.04</v>
      </c>
      <c r="AH1885" s="2297" t="s">
        <v>342</v>
      </c>
      <c r="AI1885" s="1390"/>
      <c r="AJ1885" s="2282"/>
      <c r="AK1885" s="2282"/>
      <c r="AL1885" s="1037"/>
      <c r="AX1885" s="340">
        <v>140</v>
      </c>
      <c r="AY1885" s="340" t="s">
        <v>338</v>
      </c>
      <c r="BN1885" s="340">
        <v>215.05</v>
      </c>
      <c r="BO1885" s="340" t="s">
        <v>348</v>
      </c>
      <c r="BP1885" s="1385"/>
      <c r="BV1885" s="236">
        <v>103.02</v>
      </c>
      <c r="BW1885" s="236" t="s">
        <v>323</v>
      </c>
      <c r="CB1885" s="340">
        <v>137.01</v>
      </c>
      <c r="CC1885" s="340" t="s">
        <v>338</v>
      </c>
      <c r="CL1885" s="338">
        <v>106.03</v>
      </c>
      <c r="CM1885" s="338" t="s">
        <v>289</v>
      </c>
      <c r="CR1885" s="340">
        <v>215.02</v>
      </c>
      <c r="CS1885" s="340" t="s">
        <v>336</v>
      </c>
      <c r="CT1885" s="1384"/>
      <c r="DF1885" s="340">
        <v>170.13</v>
      </c>
      <c r="DG1885" s="340" t="s">
        <v>338</v>
      </c>
      <c r="DV1885" s="340">
        <v>240.05</v>
      </c>
      <c r="DW1885" s="340" t="s">
        <v>342</v>
      </c>
      <c r="DX1885" s="1671"/>
    </row>
    <row r="1886" spans="12:128">
      <c r="L1886" s="2481">
        <v>170.2</v>
      </c>
      <c r="M1886" s="340" t="s">
        <v>338</v>
      </c>
      <c r="N1886" s="1390"/>
      <c r="O1886" s="2479"/>
      <c r="P1886" s="2282"/>
      <c r="AG1886" s="2297">
        <v>240.05</v>
      </c>
      <c r="AH1886" s="2297" t="s">
        <v>342</v>
      </c>
      <c r="AI1886" s="1390"/>
      <c r="AJ1886" s="2282"/>
      <c r="AK1886" s="2282"/>
      <c r="AL1886" s="1037"/>
      <c r="AX1886" s="340">
        <v>141</v>
      </c>
      <c r="AY1886" s="340" t="s">
        <v>338</v>
      </c>
      <c r="BN1886" s="340">
        <v>216</v>
      </c>
      <c r="BO1886" s="340" t="s">
        <v>336</v>
      </c>
      <c r="BP1886" s="1385"/>
      <c r="BV1886" s="236">
        <v>103.03</v>
      </c>
      <c r="BW1886" s="236" t="s">
        <v>323</v>
      </c>
      <c r="CB1886" s="340">
        <v>138.01</v>
      </c>
      <c r="CC1886" s="340" t="s">
        <v>338</v>
      </c>
      <c r="CL1886" s="236">
        <v>106.03</v>
      </c>
      <c r="CM1886" s="236" t="s">
        <v>344</v>
      </c>
      <c r="CR1886" s="340">
        <v>215.02</v>
      </c>
      <c r="CS1886" s="340" t="s">
        <v>342</v>
      </c>
      <c r="CT1886" s="1384"/>
      <c r="DF1886" s="340">
        <v>170.15</v>
      </c>
      <c r="DG1886" s="340" t="s">
        <v>338</v>
      </c>
      <c r="DV1886" s="340">
        <v>241</v>
      </c>
      <c r="DW1886" s="340" t="s">
        <v>342</v>
      </c>
      <c r="DX1886" s="1671"/>
    </row>
    <row r="1887" spans="12:128">
      <c r="L1887" s="2481">
        <v>170.24</v>
      </c>
      <c r="M1887" s="340" t="s">
        <v>338</v>
      </c>
      <c r="N1887" s="1390"/>
      <c r="O1887" s="2479"/>
      <c r="P1887" s="2282"/>
      <c r="AG1887" s="2297">
        <v>241</v>
      </c>
      <c r="AH1887" s="2297" t="s">
        <v>342</v>
      </c>
      <c r="AI1887" s="1390"/>
      <c r="AJ1887" s="2282"/>
      <c r="AK1887" s="2282"/>
      <c r="AL1887" s="1037"/>
      <c r="AX1887" s="340">
        <v>142.01</v>
      </c>
      <c r="AY1887" s="340" t="s">
        <v>338</v>
      </c>
      <c r="BN1887" s="340">
        <v>216.04</v>
      </c>
      <c r="BO1887" s="340" t="s">
        <v>348</v>
      </c>
      <c r="BP1887" s="1385"/>
      <c r="BV1887" s="236">
        <v>103.05</v>
      </c>
      <c r="BW1887" s="236" t="s">
        <v>323</v>
      </c>
      <c r="CB1887" s="340">
        <v>138.02000000000001</v>
      </c>
      <c r="CC1887" s="340" t="s">
        <v>338</v>
      </c>
      <c r="CL1887" s="338">
        <v>106.04</v>
      </c>
      <c r="CM1887" s="338" t="s">
        <v>289</v>
      </c>
      <c r="CR1887" s="340">
        <v>215.04</v>
      </c>
      <c r="CS1887" s="340" t="s">
        <v>348</v>
      </c>
      <c r="CT1887" s="1384"/>
      <c r="DF1887" s="340">
        <v>170.18</v>
      </c>
      <c r="DG1887" s="340" t="s">
        <v>338</v>
      </c>
      <c r="DV1887" s="340">
        <v>242.01</v>
      </c>
      <c r="DW1887" s="340" t="s">
        <v>342</v>
      </c>
      <c r="DX1887" s="1671"/>
    </row>
    <row r="1888" spans="12:128">
      <c r="L1888" s="2481">
        <v>170.26</v>
      </c>
      <c r="M1888" s="340" t="s">
        <v>338</v>
      </c>
      <c r="N1888" s="1390"/>
      <c r="O1888" s="2479"/>
      <c r="P1888" s="2282"/>
      <c r="AG1888" s="2297">
        <v>242.02</v>
      </c>
      <c r="AH1888" s="2297" t="s">
        <v>342</v>
      </c>
      <c r="AI1888" s="1390"/>
      <c r="AJ1888" s="2282"/>
      <c r="AK1888" s="2282"/>
      <c r="AL1888" s="1037"/>
      <c r="AX1888" s="340">
        <v>145.04</v>
      </c>
      <c r="AY1888" s="340" t="s">
        <v>338</v>
      </c>
      <c r="BN1888" s="340">
        <v>216.06</v>
      </c>
      <c r="BO1888" s="340" t="s">
        <v>348</v>
      </c>
      <c r="BP1888" s="1385"/>
      <c r="BV1888" s="236">
        <v>103.06</v>
      </c>
      <c r="BW1888" s="236" t="s">
        <v>323</v>
      </c>
      <c r="CB1888" s="340">
        <v>138.03</v>
      </c>
      <c r="CC1888" s="340" t="s">
        <v>338</v>
      </c>
      <c r="CL1888" s="236">
        <v>106.04</v>
      </c>
      <c r="CM1888" s="236" t="s">
        <v>297</v>
      </c>
      <c r="CR1888" s="340">
        <v>215.05</v>
      </c>
      <c r="CS1888" s="340" t="s">
        <v>348</v>
      </c>
      <c r="CT1888" s="1384"/>
      <c r="DF1888" s="340">
        <v>170.2</v>
      </c>
      <c r="DG1888" s="340" t="s">
        <v>338</v>
      </c>
      <c r="DV1888" s="340">
        <v>242.02</v>
      </c>
      <c r="DW1888" s="340" t="s">
        <v>342</v>
      </c>
      <c r="DX1888" s="1671"/>
    </row>
    <row r="1889" spans="12:128">
      <c r="L1889" s="2481">
        <v>171.08</v>
      </c>
      <c r="M1889" s="340" t="s">
        <v>338</v>
      </c>
      <c r="N1889" s="1390"/>
      <c r="O1889" s="2479"/>
      <c r="P1889" s="2282"/>
      <c r="AG1889" s="2297">
        <v>243.01</v>
      </c>
      <c r="AH1889" s="2297" t="s">
        <v>342</v>
      </c>
      <c r="AI1889" s="1390"/>
      <c r="AJ1889" s="2282"/>
      <c r="AK1889" s="2282"/>
      <c r="AL1889" s="1037"/>
      <c r="AX1889" s="340">
        <v>146.06</v>
      </c>
      <c r="AY1889" s="340" t="s">
        <v>338</v>
      </c>
      <c r="BN1889" s="340">
        <v>216.09</v>
      </c>
      <c r="BO1889" s="340" t="s">
        <v>348</v>
      </c>
      <c r="BP1889" s="1385"/>
      <c r="BV1889" s="236">
        <v>103.07</v>
      </c>
      <c r="BW1889" s="236" t="s">
        <v>323</v>
      </c>
      <c r="CB1889" s="340">
        <v>139</v>
      </c>
      <c r="CC1889" s="340" t="s">
        <v>338</v>
      </c>
      <c r="CL1889" s="236">
        <v>106.04</v>
      </c>
      <c r="CM1889" s="236" t="s">
        <v>331</v>
      </c>
      <c r="CR1889" s="340">
        <v>215.06</v>
      </c>
      <c r="CS1889" s="340" t="s">
        <v>348</v>
      </c>
      <c r="CT1889" s="1384"/>
      <c r="DF1889" s="340">
        <v>170.21</v>
      </c>
      <c r="DG1889" s="340" t="s">
        <v>338</v>
      </c>
      <c r="DV1889" s="340">
        <v>243.02</v>
      </c>
      <c r="DW1889" s="340" t="s">
        <v>342</v>
      </c>
      <c r="DX1889" s="1671"/>
    </row>
    <row r="1890" spans="12:128">
      <c r="L1890" s="2481">
        <v>171.09</v>
      </c>
      <c r="M1890" s="340" t="s">
        <v>338</v>
      </c>
      <c r="N1890" s="1390"/>
      <c r="O1890" s="2479"/>
      <c r="P1890" s="2282"/>
      <c r="AG1890" s="2297">
        <v>243.02</v>
      </c>
      <c r="AH1890" s="2297" t="s">
        <v>342</v>
      </c>
      <c r="AI1890" s="1390"/>
      <c r="AJ1890" s="2282"/>
      <c r="AK1890" s="2282"/>
      <c r="AL1890" s="1037"/>
      <c r="AX1890" s="340">
        <v>146.07</v>
      </c>
      <c r="AY1890" s="340" t="s">
        <v>338</v>
      </c>
      <c r="BN1890" s="340">
        <v>216.11</v>
      </c>
      <c r="BO1890" s="340" t="s">
        <v>348</v>
      </c>
      <c r="BP1890" s="1385"/>
      <c r="BV1890" s="236">
        <v>103.08</v>
      </c>
      <c r="BW1890" s="236" t="s">
        <v>323</v>
      </c>
      <c r="CB1890" s="340">
        <v>140</v>
      </c>
      <c r="CC1890" s="340" t="s">
        <v>338</v>
      </c>
      <c r="CL1890" s="236">
        <v>106.04</v>
      </c>
      <c r="CM1890" s="236" t="s">
        <v>344</v>
      </c>
      <c r="CR1890" s="340">
        <v>216</v>
      </c>
      <c r="CS1890" s="340" t="s">
        <v>336</v>
      </c>
      <c r="CT1890" s="1384"/>
      <c r="DF1890" s="340">
        <v>170.22</v>
      </c>
      <c r="DG1890" s="340" t="s">
        <v>338</v>
      </c>
      <c r="DV1890" s="340">
        <v>244.06</v>
      </c>
      <c r="DW1890" s="340" t="s">
        <v>342</v>
      </c>
      <c r="DX1890" s="1671"/>
    </row>
    <row r="1891" spans="12:128">
      <c r="L1891" s="2481">
        <v>171.1</v>
      </c>
      <c r="M1891" s="340" t="s">
        <v>338</v>
      </c>
      <c r="N1891" s="1390"/>
      <c r="O1891" s="2479"/>
      <c r="P1891" s="2282"/>
      <c r="AG1891" s="2297">
        <v>244.06</v>
      </c>
      <c r="AH1891" s="2297" t="s">
        <v>342</v>
      </c>
      <c r="AI1891" s="1390"/>
      <c r="AJ1891" s="2282"/>
      <c r="AK1891" s="2282"/>
      <c r="AL1891" s="1037"/>
      <c r="AX1891" s="340">
        <v>147.05000000000001</v>
      </c>
      <c r="AY1891" s="340" t="s">
        <v>338</v>
      </c>
      <c r="BN1891" s="340">
        <v>216.12</v>
      </c>
      <c r="BO1891" s="340" t="s">
        <v>348</v>
      </c>
      <c r="BP1891" s="1385"/>
      <c r="BV1891" s="236">
        <v>103.09</v>
      </c>
      <c r="BW1891" s="236" t="s">
        <v>323</v>
      </c>
      <c r="CB1891" s="340">
        <v>141</v>
      </c>
      <c r="CC1891" s="340" t="s">
        <v>338</v>
      </c>
      <c r="CL1891" s="338">
        <v>106.05</v>
      </c>
      <c r="CM1891" s="338" t="s">
        <v>289</v>
      </c>
      <c r="CR1891" s="340">
        <v>216.04</v>
      </c>
      <c r="CS1891" s="340" t="s">
        <v>348</v>
      </c>
      <c r="CT1891" s="1384"/>
      <c r="DF1891" s="340">
        <v>170.24</v>
      </c>
      <c r="DG1891" s="340" t="s">
        <v>338</v>
      </c>
      <c r="DV1891" s="340">
        <v>244.09</v>
      </c>
      <c r="DW1891" s="340" t="s">
        <v>342</v>
      </c>
      <c r="DX1891" s="1671"/>
    </row>
    <row r="1892" spans="12:128">
      <c r="L1892" s="2481">
        <v>171.11</v>
      </c>
      <c r="M1892" s="340" t="s">
        <v>338</v>
      </c>
      <c r="N1892" s="1390"/>
      <c r="O1892" s="2479"/>
      <c r="P1892" s="2282"/>
      <c r="AG1892" s="2297">
        <v>244.09</v>
      </c>
      <c r="AH1892" s="2297" t="s">
        <v>342</v>
      </c>
      <c r="AI1892" s="1390"/>
      <c r="AJ1892" s="2282"/>
      <c r="AK1892" s="2282"/>
      <c r="AL1892" s="1037"/>
      <c r="AX1892" s="340">
        <v>147.06</v>
      </c>
      <c r="AY1892" s="340" t="s">
        <v>338</v>
      </c>
      <c r="BN1892" s="340">
        <v>216.14</v>
      </c>
      <c r="BO1892" s="340" t="s">
        <v>348</v>
      </c>
      <c r="BP1892" s="1385"/>
      <c r="BV1892" s="236">
        <v>104.04</v>
      </c>
      <c r="BW1892" s="236" t="s">
        <v>323</v>
      </c>
      <c r="CB1892" s="340">
        <v>143.01</v>
      </c>
      <c r="CC1892" s="340" t="s">
        <v>338</v>
      </c>
      <c r="CL1892" s="236">
        <v>106.05</v>
      </c>
      <c r="CM1892" s="236" t="s">
        <v>297</v>
      </c>
      <c r="CR1892" s="340">
        <v>216.09</v>
      </c>
      <c r="CS1892" s="340" t="s">
        <v>348</v>
      </c>
      <c r="CT1892" s="1384"/>
      <c r="DF1892" s="340">
        <v>170.25</v>
      </c>
      <c r="DG1892" s="340" t="s">
        <v>338</v>
      </c>
      <c r="DV1892" s="340">
        <v>244.11</v>
      </c>
      <c r="DW1892" s="340" t="s">
        <v>342</v>
      </c>
      <c r="DX1892" s="1671"/>
    </row>
    <row r="1893" spans="12:128">
      <c r="L1893" s="2481">
        <v>171.12</v>
      </c>
      <c r="M1893" s="340" t="s">
        <v>338</v>
      </c>
      <c r="N1893" s="1390"/>
      <c r="O1893" s="2479"/>
      <c r="P1893" s="2282"/>
      <c r="AG1893" s="2297">
        <v>244.11</v>
      </c>
      <c r="AH1893" s="2297" t="s">
        <v>342</v>
      </c>
      <c r="AI1893" s="1390"/>
      <c r="AJ1893" s="2282"/>
      <c r="AK1893" s="2282"/>
      <c r="AL1893" s="1037"/>
      <c r="AX1893" s="340">
        <v>148.04</v>
      </c>
      <c r="AY1893" s="340" t="s">
        <v>338</v>
      </c>
      <c r="BN1893" s="340">
        <v>216.17</v>
      </c>
      <c r="BO1893" s="340" t="s">
        <v>348</v>
      </c>
      <c r="BP1893" s="1385"/>
      <c r="BV1893" s="236">
        <v>104.11</v>
      </c>
      <c r="BW1893" s="236" t="s">
        <v>323</v>
      </c>
      <c r="CB1893" s="340">
        <v>144</v>
      </c>
      <c r="CC1893" s="340" t="s">
        <v>338</v>
      </c>
      <c r="CL1893" s="338">
        <v>106.06</v>
      </c>
      <c r="CM1893" s="338" t="s">
        <v>289</v>
      </c>
      <c r="CR1893" s="340">
        <v>216.11</v>
      </c>
      <c r="CS1893" s="340" t="s">
        <v>348</v>
      </c>
      <c r="CT1893" s="1384"/>
      <c r="DF1893" s="340">
        <v>170.26</v>
      </c>
      <c r="DG1893" s="340" t="s">
        <v>338</v>
      </c>
      <c r="DV1893" s="340">
        <v>244.12</v>
      </c>
      <c r="DW1893" s="340" t="s">
        <v>342</v>
      </c>
      <c r="DX1893" s="1671"/>
    </row>
    <row r="1894" spans="12:128">
      <c r="L1894" s="2481">
        <v>171.13</v>
      </c>
      <c r="M1894" s="340" t="s">
        <v>338</v>
      </c>
      <c r="N1894" s="1390"/>
      <c r="O1894" s="2479"/>
      <c r="P1894" s="2282"/>
      <c r="AG1894" s="2297">
        <v>244.12</v>
      </c>
      <c r="AH1894" s="2297" t="s">
        <v>342</v>
      </c>
      <c r="AI1894" s="1390"/>
      <c r="AJ1894" s="2282"/>
      <c r="AK1894" s="2282"/>
      <c r="AL1894" s="1037"/>
      <c r="AX1894" s="340">
        <v>148.06</v>
      </c>
      <c r="AY1894" s="340" t="s">
        <v>338</v>
      </c>
      <c r="BN1894" s="340">
        <v>217</v>
      </c>
      <c r="BO1894" s="340" t="s">
        <v>336</v>
      </c>
      <c r="BP1894" s="1385"/>
      <c r="BV1894" s="236">
        <v>104.12</v>
      </c>
      <c r="BW1894" s="236" t="s">
        <v>323</v>
      </c>
      <c r="CB1894" s="340">
        <v>145.04</v>
      </c>
      <c r="CC1894" s="340" t="s">
        <v>338</v>
      </c>
      <c r="CL1894" s="236">
        <v>106.06</v>
      </c>
      <c r="CM1894" s="236" t="s">
        <v>297</v>
      </c>
      <c r="CR1894" s="340">
        <v>216.12</v>
      </c>
      <c r="CS1894" s="340" t="s">
        <v>348</v>
      </c>
      <c r="CT1894" s="1384"/>
      <c r="DF1894" s="340">
        <v>171.08</v>
      </c>
      <c r="DG1894" s="340" t="s">
        <v>338</v>
      </c>
      <c r="DV1894" s="340">
        <v>244.13</v>
      </c>
      <c r="DW1894" s="340" t="s">
        <v>342</v>
      </c>
      <c r="DX1894" s="1671"/>
    </row>
    <row r="1895" spans="12:128">
      <c r="L1895" s="2481">
        <v>171.14</v>
      </c>
      <c r="M1895" s="340" t="s">
        <v>338</v>
      </c>
      <c r="N1895" s="1390"/>
      <c r="O1895" s="2479"/>
      <c r="P1895" s="2282"/>
      <c r="AG1895" s="2297">
        <v>244.13</v>
      </c>
      <c r="AH1895" s="2297" t="s">
        <v>342</v>
      </c>
      <c r="AI1895" s="1390"/>
      <c r="AJ1895" s="2282"/>
      <c r="AK1895" s="2282"/>
      <c r="AL1895" s="1037"/>
      <c r="AX1895" s="340">
        <v>148.07</v>
      </c>
      <c r="AY1895" s="340" t="s">
        <v>338</v>
      </c>
      <c r="BN1895" s="340">
        <v>217.04</v>
      </c>
      <c r="BO1895" s="340" t="s">
        <v>348</v>
      </c>
      <c r="BP1895" s="1385"/>
      <c r="BV1895" s="236">
        <v>104.13</v>
      </c>
      <c r="BW1895" s="236" t="s">
        <v>323</v>
      </c>
      <c r="CB1895" s="340">
        <v>146.06</v>
      </c>
      <c r="CC1895" s="340" t="s">
        <v>338</v>
      </c>
      <c r="CL1895" s="236">
        <v>106.08</v>
      </c>
      <c r="CM1895" s="236" t="s">
        <v>331</v>
      </c>
      <c r="CR1895" s="340">
        <v>216.13</v>
      </c>
      <c r="CS1895" s="340" t="s">
        <v>348</v>
      </c>
      <c r="CT1895" s="1384"/>
      <c r="DF1895" s="340">
        <v>171.09</v>
      </c>
      <c r="DG1895" s="340" t="s">
        <v>338</v>
      </c>
      <c r="DV1895" s="340">
        <v>245.07</v>
      </c>
      <c r="DW1895" s="340" t="s">
        <v>342</v>
      </c>
      <c r="DX1895" s="1671"/>
    </row>
    <row r="1896" spans="12:128">
      <c r="L1896" s="2481">
        <v>171.15</v>
      </c>
      <c r="M1896" s="340" t="s">
        <v>338</v>
      </c>
      <c r="N1896" s="1390"/>
      <c r="O1896" s="2479"/>
      <c r="P1896" s="2282"/>
      <c r="AG1896" s="2297">
        <v>245.05</v>
      </c>
      <c r="AH1896" s="2297" t="s">
        <v>342</v>
      </c>
      <c r="AI1896" s="1390"/>
      <c r="AJ1896" s="2282"/>
      <c r="AK1896" s="2282"/>
      <c r="AL1896" s="1037"/>
      <c r="AX1896" s="340">
        <v>148.09</v>
      </c>
      <c r="AY1896" s="340" t="s">
        <v>338</v>
      </c>
      <c r="BN1896" s="340">
        <v>217.06</v>
      </c>
      <c r="BO1896" s="340" t="s">
        <v>348</v>
      </c>
      <c r="BP1896" s="1385"/>
      <c r="BV1896" s="236">
        <v>104.14</v>
      </c>
      <c r="BW1896" s="236" t="s">
        <v>323</v>
      </c>
      <c r="CB1896" s="340">
        <v>147.06</v>
      </c>
      <c r="CC1896" s="340" t="s">
        <v>338</v>
      </c>
      <c r="CL1896" s="338">
        <v>106.09</v>
      </c>
      <c r="CM1896" s="338" t="s">
        <v>289</v>
      </c>
      <c r="CR1896" s="340">
        <v>216.14</v>
      </c>
      <c r="CS1896" s="340" t="s">
        <v>348</v>
      </c>
      <c r="CT1896" s="1384"/>
      <c r="DF1896" s="340">
        <v>171.1</v>
      </c>
      <c r="DG1896" s="340" t="s">
        <v>338</v>
      </c>
      <c r="DV1896" s="340">
        <v>245.09</v>
      </c>
      <c r="DW1896" s="340" t="s">
        <v>342</v>
      </c>
      <c r="DX1896" s="1671"/>
    </row>
    <row r="1897" spans="12:128">
      <c r="L1897" s="2481">
        <v>171.16</v>
      </c>
      <c r="M1897" s="340" t="s">
        <v>338</v>
      </c>
      <c r="N1897" s="1390"/>
      <c r="O1897" s="2479"/>
      <c r="P1897" s="2282"/>
      <c r="AG1897" s="2297">
        <v>245.07</v>
      </c>
      <c r="AH1897" s="2297" t="s">
        <v>342</v>
      </c>
      <c r="AI1897" s="1390"/>
      <c r="AJ1897" s="2282"/>
      <c r="AK1897" s="2282"/>
      <c r="AL1897" s="1037"/>
      <c r="AX1897" s="340">
        <v>148.1</v>
      </c>
      <c r="AY1897" s="340" t="s">
        <v>338</v>
      </c>
      <c r="BN1897" s="340">
        <v>217.07</v>
      </c>
      <c r="BO1897" s="340" t="s">
        <v>348</v>
      </c>
      <c r="BP1897" s="1385"/>
      <c r="BV1897" s="236">
        <v>104.15</v>
      </c>
      <c r="BW1897" s="236" t="s">
        <v>323</v>
      </c>
      <c r="CB1897" s="340">
        <v>148.06</v>
      </c>
      <c r="CC1897" s="340" t="s">
        <v>338</v>
      </c>
      <c r="CL1897" s="236">
        <v>106.09</v>
      </c>
      <c r="CM1897" s="236" t="s">
        <v>331</v>
      </c>
      <c r="CR1897" s="340">
        <v>216.17</v>
      </c>
      <c r="CS1897" s="340" t="s">
        <v>348</v>
      </c>
      <c r="CT1897" s="1384"/>
      <c r="DF1897" s="340">
        <v>171.11</v>
      </c>
      <c r="DG1897" s="340" t="s">
        <v>338</v>
      </c>
      <c r="DV1897" s="340">
        <v>245.17</v>
      </c>
      <c r="DW1897" s="340" t="s">
        <v>342</v>
      </c>
      <c r="DX1897" s="1671"/>
    </row>
    <row r="1898" spans="12:128">
      <c r="L1898" s="2481">
        <v>171.18</v>
      </c>
      <c r="M1898" s="340" t="s">
        <v>338</v>
      </c>
      <c r="N1898" s="1390"/>
      <c r="O1898" s="2479"/>
      <c r="P1898" s="2282"/>
      <c r="AG1898" s="2297">
        <v>245.09</v>
      </c>
      <c r="AH1898" s="2297" t="s">
        <v>342</v>
      </c>
      <c r="AI1898" s="1390"/>
      <c r="AJ1898" s="2282"/>
      <c r="AK1898" s="2282"/>
      <c r="AL1898" s="1037"/>
      <c r="AX1898" s="340">
        <v>148.11000000000001</v>
      </c>
      <c r="AY1898" s="340" t="s">
        <v>338</v>
      </c>
      <c r="BN1898" s="340">
        <v>217.08</v>
      </c>
      <c r="BO1898" s="340" t="s">
        <v>348</v>
      </c>
      <c r="BP1898" s="1385"/>
      <c r="BV1898" s="236">
        <v>104.16</v>
      </c>
      <c r="BW1898" s="236" t="s">
        <v>323</v>
      </c>
      <c r="CB1898" s="340">
        <v>148.07</v>
      </c>
      <c r="CC1898" s="340" t="s">
        <v>338</v>
      </c>
      <c r="CL1898" s="338">
        <v>106.1</v>
      </c>
      <c r="CM1898" s="338" t="s">
        <v>289</v>
      </c>
      <c r="CR1898" s="340">
        <v>217</v>
      </c>
      <c r="CS1898" s="340" t="s">
        <v>336</v>
      </c>
      <c r="CT1898" s="1384"/>
      <c r="DF1898" s="340">
        <v>171.12</v>
      </c>
      <c r="DG1898" s="340" t="s">
        <v>338</v>
      </c>
      <c r="DV1898" s="340">
        <v>249.01</v>
      </c>
      <c r="DW1898" s="340" t="s">
        <v>342</v>
      </c>
      <c r="DX1898" s="1671"/>
    </row>
    <row r="1899" spans="12:128">
      <c r="L1899" s="2481">
        <v>171.19</v>
      </c>
      <c r="M1899" s="340" t="s">
        <v>338</v>
      </c>
      <c r="N1899" s="1390"/>
      <c r="O1899" s="2479"/>
      <c r="P1899" s="2282"/>
      <c r="AG1899" s="2297">
        <v>245.12</v>
      </c>
      <c r="AH1899" s="2297" t="s">
        <v>342</v>
      </c>
      <c r="AI1899" s="1390"/>
      <c r="AJ1899" s="2282"/>
      <c r="AK1899" s="2282"/>
      <c r="AL1899" s="1037"/>
      <c r="AX1899" s="340">
        <v>148.12</v>
      </c>
      <c r="AY1899" s="340" t="s">
        <v>338</v>
      </c>
      <c r="BN1899" s="340">
        <v>218</v>
      </c>
      <c r="BO1899" s="340" t="s">
        <v>342</v>
      </c>
      <c r="BP1899" s="1385"/>
      <c r="BV1899" s="236">
        <v>104.17</v>
      </c>
      <c r="BW1899" s="236" t="s">
        <v>323</v>
      </c>
      <c r="CB1899" s="340">
        <v>148.09</v>
      </c>
      <c r="CC1899" s="340" t="s">
        <v>338</v>
      </c>
      <c r="CL1899" s="236">
        <v>106.1</v>
      </c>
      <c r="CM1899" s="236" t="s">
        <v>331</v>
      </c>
      <c r="CR1899" s="340">
        <v>217.04</v>
      </c>
      <c r="CS1899" s="340" t="s">
        <v>348</v>
      </c>
      <c r="CT1899" s="1384"/>
      <c r="DF1899" s="340">
        <v>171.13</v>
      </c>
      <c r="DG1899" s="340" t="s">
        <v>338</v>
      </c>
      <c r="DV1899" s="340">
        <v>249.05</v>
      </c>
      <c r="DW1899" s="340" t="s">
        <v>342</v>
      </c>
      <c r="DX1899" s="1671"/>
    </row>
    <row r="1900" spans="12:128">
      <c r="L1900" s="2481">
        <v>171.2</v>
      </c>
      <c r="M1900" s="340" t="s">
        <v>338</v>
      </c>
      <c r="N1900" s="1390"/>
      <c r="O1900" s="2479"/>
      <c r="P1900" s="2282"/>
      <c r="AG1900" s="2297">
        <v>245.14</v>
      </c>
      <c r="AH1900" s="2297" t="s">
        <v>342</v>
      </c>
      <c r="AI1900" s="1390"/>
      <c r="AJ1900" s="2282"/>
      <c r="AK1900" s="2282"/>
      <c r="AL1900" s="1037"/>
      <c r="AX1900" s="340">
        <v>148.13</v>
      </c>
      <c r="AY1900" s="340" t="s">
        <v>338</v>
      </c>
      <c r="BN1900" s="340">
        <v>218.01</v>
      </c>
      <c r="BO1900" s="340" t="s">
        <v>336</v>
      </c>
      <c r="BP1900" s="1385"/>
      <c r="BV1900" s="236">
        <v>104.18</v>
      </c>
      <c r="BW1900" s="236" t="s">
        <v>323</v>
      </c>
      <c r="CB1900" s="340">
        <v>148.1</v>
      </c>
      <c r="CC1900" s="340" t="s">
        <v>338</v>
      </c>
      <c r="CL1900" s="338">
        <v>106.11</v>
      </c>
      <c r="CM1900" s="338" t="s">
        <v>289</v>
      </c>
      <c r="CR1900" s="340">
        <v>217.07</v>
      </c>
      <c r="CS1900" s="340" t="s">
        <v>348</v>
      </c>
      <c r="CT1900" s="1384"/>
      <c r="DF1900" s="340">
        <v>171.14</v>
      </c>
      <c r="DG1900" s="340" t="s">
        <v>338</v>
      </c>
      <c r="DV1900" s="340">
        <v>250.07</v>
      </c>
      <c r="DW1900" s="340" t="s">
        <v>342</v>
      </c>
      <c r="DX1900" s="1671"/>
    </row>
    <row r="1901" spans="12:128">
      <c r="L1901" s="2481">
        <v>171.21</v>
      </c>
      <c r="M1901" s="340" t="s">
        <v>338</v>
      </c>
      <c r="N1901" s="1390"/>
      <c r="O1901" s="2479"/>
      <c r="P1901" s="2282"/>
      <c r="AG1901" s="2297">
        <v>245.15</v>
      </c>
      <c r="AH1901" s="2297" t="s">
        <v>342</v>
      </c>
      <c r="AI1901" s="1390"/>
      <c r="AJ1901" s="2282"/>
      <c r="AK1901" s="2282"/>
      <c r="AL1901" s="1037"/>
      <c r="AX1901" s="340">
        <v>148.13999999999999</v>
      </c>
      <c r="AY1901" s="340" t="s">
        <v>338</v>
      </c>
      <c r="BN1901" s="340">
        <v>218.03</v>
      </c>
      <c r="BO1901" s="340" t="s">
        <v>348</v>
      </c>
      <c r="BP1901" s="1385"/>
      <c r="BV1901" s="236">
        <v>104.19</v>
      </c>
      <c r="BW1901" s="236" t="s">
        <v>323</v>
      </c>
      <c r="CB1901" s="340">
        <v>148.11000000000001</v>
      </c>
      <c r="CC1901" s="340" t="s">
        <v>338</v>
      </c>
      <c r="CL1901" s="338">
        <v>106.12</v>
      </c>
      <c r="CM1901" s="338" t="s">
        <v>289</v>
      </c>
      <c r="CR1901" s="340">
        <v>217.08</v>
      </c>
      <c r="CS1901" s="340" t="s">
        <v>348</v>
      </c>
      <c r="CT1901" s="1384"/>
      <c r="DF1901" s="340">
        <v>171.15</v>
      </c>
      <c r="DG1901" s="340" t="s">
        <v>338</v>
      </c>
      <c r="DV1901" s="340">
        <v>250.11</v>
      </c>
      <c r="DW1901" s="340" t="s">
        <v>342</v>
      </c>
      <c r="DX1901" s="1671"/>
    </row>
    <row r="1902" spans="12:128">
      <c r="L1902" s="2481">
        <v>171.22</v>
      </c>
      <c r="M1902" s="340" t="s">
        <v>338</v>
      </c>
      <c r="N1902" s="1390"/>
      <c r="O1902" s="2479"/>
      <c r="P1902" s="2282"/>
      <c r="AG1902" s="2297">
        <v>245.17</v>
      </c>
      <c r="AH1902" s="2297" t="s">
        <v>342</v>
      </c>
      <c r="AI1902" s="1390"/>
      <c r="AJ1902" s="2282"/>
      <c r="AK1902" s="2282"/>
      <c r="AL1902" s="1037"/>
      <c r="AX1902" s="340">
        <v>148.15</v>
      </c>
      <c r="AY1902" s="340" t="s">
        <v>338</v>
      </c>
      <c r="BN1902" s="340">
        <v>218.05</v>
      </c>
      <c r="BO1902" s="340" t="s">
        <v>348</v>
      </c>
      <c r="BP1902" s="1385"/>
      <c r="BV1902" s="236">
        <v>104.2</v>
      </c>
      <c r="BW1902" s="236" t="s">
        <v>323</v>
      </c>
      <c r="CB1902" s="340">
        <v>148.12</v>
      </c>
      <c r="CC1902" s="340" t="s">
        <v>338</v>
      </c>
      <c r="CL1902" s="338">
        <v>106.13</v>
      </c>
      <c r="CM1902" s="338" t="s">
        <v>289</v>
      </c>
      <c r="CR1902" s="340">
        <v>218</v>
      </c>
      <c r="CS1902" s="340" t="s">
        <v>342</v>
      </c>
      <c r="CT1902" s="1384"/>
      <c r="DF1902" s="340">
        <v>171.16</v>
      </c>
      <c r="DG1902" s="340" t="s">
        <v>338</v>
      </c>
      <c r="DV1902" s="340">
        <v>250.12</v>
      </c>
      <c r="DW1902" s="340" t="s">
        <v>342</v>
      </c>
      <c r="DX1902" s="1671"/>
    </row>
    <row r="1903" spans="12:128">
      <c r="L1903" s="2481">
        <v>171.23</v>
      </c>
      <c r="M1903" s="340" t="s">
        <v>338</v>
      </c>
      <c r="N1903" s="1390"/>
      <c r="O1903" s="2479"/>
      <c r="P1903" s="2282"/>
      <c r="AG1903" s="2297">
        <v>249.05</v>
      </c>
      <c r="AH1903" s="2297" t="s">
        <v>342</v>
      </c>
      <c r="AI1903" s="1390"/>
      <c r="AJ1903" s="2282"/>
      <c r="AK1903" s="2282"/>
      <c r="AL1903" s="1037"/>
      <c r="AX1903" s="340">
        <v>150.02000000000001</v>
      </c>
      <c r="AY1903" s="340" t="s">
        <v>338</v>
      </c>
      <c r="BN1903" s="340">
        <v>218.06</v>
      </c>
      <c r="BO1903" s="340" t="s">
        <v>348</v>
      </c>
      <c r="BP1903" s="1385"/>
      <c r="BV1903" s="236">
        <v>104.21</v>
      </c>
      <c r="BW1903" s="236" t="s">
        <v>323</v>
      </c>
      <c r="CB1903" s="340">
        <v>148.13</v>
      </c>
      <c r="CC1903" s="340" t="s">
        <v>338</v>
      </c>
      <c r="CL1903" s="236">
        <v>106.13</v>
      </c>
      <c r="CM1903" s="236" t="s">
        <v>331</v>
      </c>
      <c r="CR1903" s="340">
        <v>218.01</v>
      </c>
      <c r="CS1903" s="340" t="s">
        <v>336</v>
      </c>
      <c r="CT1903" s="1384"/>
      <c r="DF1903" s="340">
        <v>171.17</v>
      </c>
      <c r="DG1903" s="340" t="s">
        <v>338</v>
      </c>
      <c r="DV1903" s="340">
        <v>250.13</v>
      </c>
      <c r="DW1903" s="340" t="s">
        <v>342</v>
      </c>
      <c r="DX1903" s="1671"/>
    </row>
    <row r="1904" spans="12:128">
      <c r="L1904" s="2481">
        <v>172</v>
      </c>
      <c r="M1904" s="340" t="s">
        <v>338</v>
      </c>
      <c r="N1904" s="1390"/>
      <c r="O1904" s="2479"/>
      <c r="P1904" s="2282"/>
      <c r="AG1904" s="2297">
        <v>250.07</v>
      </c>
      <c r="AH1904" s="2297" t="s">
        <v>342</v>
      </c>
      <c r="AI1904" s="1390"/>
      <c r="AJ1904" s="2282"/>
      <c r="AK1904" s="2282"/>
      <c r="AL1904" s="1037"/>
      <c r="AX1904" s="340">
        <v>150.05000000000001</v>
      </c>
      <c r="AY1904" s="340" t="s">
        <v>338</v>
      </c>
      <c r="BN1904" s="340">
        <v>219</v>
      </c>
      <c r="BO1904" s="340" t="s">
        <v>342</v>
      </c>
      <c r="BP1904" s="1385"/>
      <c r="BV1904" s="236">
        <v>104.22</v>
      </c>
      <c r="BW1904" s="236" t="s">
        <v>323</v>
      </c>
      <c r="CB1904" s="340">
        <v>148.13999999999999</v>
      </c>
      <c r="CC1904" s="340" t="s">
        <v>338</v>
      </c>
      <c r="CL1904" s="338">
        <v>106.14</v>
      </c>
      <c r="CM1904" s="338" t="s">
        <v>289</v>
      </c>
      <c r="CR1904" s="340">
        <v>218.05</v>
      </c>
      <c r="CS1904" s="340" t="s">
        <v>348</v>
      </c>
      <c r="CT1904" s="1384"/>
      <c r="DF1904" s="340">
        <v>171.18</v>
      </c>
      <c r="DG1904" s="340" t="s">
        <v>338</v>
      </c>
      <c r="DV1904" s="340">
        <v>250.14</v>
      </c>
      <c r="DW1904" s="340" t="s">
        <v>342</v>
      </c>
      <c r="DX1904" s="1671"/>
    </row>
    <row r="1905" spans="12:128">
      <c r="L1905" s="2481">
        <v>173.01</v>
      </c>
      <c r="M1905" s="340" t="s">
        <v>338</v>
      </c>
      <c r="N1905" s="1390"/>
      <c r="O1905" s="2479"/>
      <c r="P1905" s="2282"/>
      <c r="AG1905" s="2297">
        <v>250.09</v>
      </c>
      <c r="AH1905" s="2297" t="s">
        <v>342</v>
      </c>
      <c r="AI1905" s="1390"/>
      <c r="AJ1905" s="2282"/>
      <c r="AK1905" s="2282"/>
      <c r="AL1905" s="1037"/>
      <c r="AX1905" s="340">
        <v>150.06</v>
      </c>
      <c r="AY1905" s="340" t="s">
        <v>338</v>
      </c>
      <c r="BN1905" s="340">
        <v>219.01</v>
      </c>
      <c r="BO1905" s="340" t="s">
        <v>348</v>
      </c>
      <c r="BP1905" s="1385"/>
      <c r="BV1905" s="236">
        <v>104.23</v>
      </c>
      <c r="BW1905" s="236" t="s">
        <v>323</v>
      </c>
      <c r="CB1905" s="340">
        <v>148.15</v>
      </c>
      <c r="CC1905" s="340" t="s">
        <v>338</v>
      </c>
      <c r="CL1905" s="338">
        <v>106.15</v>
      </c>
      <c r="CM1905" s="338" t="s">
        <v>289</v>
      </c>
      <c r="CR1905" s="340">
        <v>218.06</v>
      </c>
      <c r="CS1905" s="340" t="s">
        <v>348</v>
      </c>
      <c r="CT1905" s="1384"/>
      <c r="DF1905" s="340">
        <v>171.19</v>
      </c>
      <c r="DG1905" s="340" t="s">
        <v>338</v>
      </c>
      <c r="DV1905" s="340">
        <v>250.16</v>
      </c>
      <c r="DW1905" s="340" t="s">
        <v>342</v>
      </c>
      <c r="DX1905" s="1671"/>
    </row>
    <row r="1906" spans="12:128">
      <c r="L1906" s="2481">
        <v>173.02</v>
      </c>
      <c r="M1906" s="340" t="s">
        <v>338</v>
      </c>
      <c r="N1906" s="1390"/>
      <c r="O1906" s="2479"/>
      <c r="P1906" s="2282"/>
      <c r="AG1906" s="2297">
        <v>250.11</v>
      </c>
      <c r="AH1906" s="2297" t="s">
        <v>342</v>
      </c>
      <c r="AI1906" s="1390"/>
      <c r="AJ1906" s="2282"/>
      <c r="AK1906" s="2282"/>
      <c r="AL1906" s="1037"/>
      <c r="AX1906" s="340">
        <v>151.03</v>
      </c>
      <c r="AY1906" s="340" t="s">
        <v>338</v>
      </c>
      <c r="BN1906" s="340">
        <v>219.02</v>
      </c>
      <c r="BO1906" s="340" t="s">
        <v>336</v>
      </c>
      <c r="BP1906" s="1385"/>
      <c r="BV1906" s="236">
        <v>105.01</v>
      </c>
      <c r="BW1906" s="236" t="s">
        <v>323</v>
      </c>
      <c r="CB1906" s="340">
        <v>149.06</v>
      </c>
      <c r="CC1906" s="340" t="s">
        <v>338</v>
      </c>
      <c r="CL1906" s="236">
        <v>106.18</v>
      </c>
      <c r="CM1906" s="236" t="s">
        <v>331</v>
      </c>
      <c r="CR1906" s="340">
        <v>219</v>
      </c>
      <c r="CS1906" s="340" t="s">
        <v>342</v>
      </c>
      <c r="CT1906" s="1384"/>
      <c r="DF1906" s="340">
        <v>171.2</v>
      </c>
      <c r="DG1906" s="340" t="s">
        <v>338</v>
      </c>
      <c r="DV1906" s="340">
        <v>251.06</v>
      </c>
      <c r="DW1906" s="340" t="s">
        <v>342</v>
      </c>
      <c r="DX1906" s="1671"/>
    </row>
    <row r="1907" spans="12:128">
      <c r="L1907" s="2481">
        <v>174.01</v>
      </c>
      <c r="M1907" s="340" t="s">
        <v>338</v>
      </c>
      <c r="N1907" s="1390"/>
      <c r="O1907" s="2479"/>
      <c r="P1907" s="2282"/>
      <c r="AG1907" s="2297">
        <v>250.12</v>
      </c>
      <c r="AH1907" s="2297" t="s">
        <v>342</v>
      </c>
      <c r="AI1907" s="1390"/>
      <c r="AJ1907" s="2282"/>
      <c r="AK1907" s="2282"/>
      <c r="AL1907" s="1037"/>
      <c r="AX1907" s="340">
        <v>152.03</v>
      </c>
      <c r="AY1907" s="340" t="s">
        <v>338</v>
      </c>
      <c r="BN1907" s="340">
        <v>220.02</v>
      </c>
      <c r="BO1907" s="340" t="s">
        <v>348</v>
      </c>
      <c r="BP1907" s="1385"/>
      <c r="BV1907" s="236">
        <v>105.03</v>
      </c>
      <c r="BW1907" s="236" t="s">
        <v>323</v>
      </c>
      <c r="CB1907" s="340">
        <v>150.03</v>
      </c>
      <c r="CC1907" s="340" t="s">
        <v>338</v>
      </c>
      <c r="CL1907" s="236">
        <v>106.19</v>
      </c>
      <c r="CM1907" s="236" t="s">
        <v>331</v>
      </c>
      <c r="CR1907" s="340">
        <v>219.02</v>
      </c>
      <c r="CS1907" s="340" t="s">
        <v>336</v>
      </c>
      <c r="CT1907" s="1384"/>
      <c r="DF1907" s="340">
        <v>171.22</v>
      </c>
      <c r="DG1907" s="340" t="s">
        <v>338</v>
      </c>
      <c r="DV1907" s="340">
        <v>251.07</v>
      </c>
      <c r="DW1907" s="340" t="s">
        <v>342</v>
      </c>
      <c r="DX1907" s="1671"/>
    </row>
    <row r="1908" spans="12:128">
      <c r="L1908" s="2481">
        <v>175.05</v>
      </c>
      <c r="M1908" s="340" t="s">
        <v>338</v>
      </c>
      <c r="N1908" s="1390"/>
      <c r="O1908" s="2479"/>
      <c r="P1908" s="2282"/>
      <c r="AG1908" s="2297">
        <v>250.13</v>
      </c>
      <c r="AH1908" s="2297" t="s">
        <v>342</v>
      </c>
      <c r="AI1908" s="1390"/>
      <c r="AJ1908" s="2282"/>
      <c r="AK1908" s="2282"/>
      <c r="AL1908" s="1037"/>
      <c r="AX1908" s="340">
        <v>152.04</v>
      </c>
      <c r="AY1908" s="340" t="s">
        <v>338</v>
      </c>
      <c r="BN1908" s="340">
        <v>220.04</v>
      </c>
      <c r="BO1908" s="340" t="s">
        <v>348</v>
      </c>
      <c r="BP1908" s="1385"/>
      <c r="BV1908" s="236">
        <v>105.04</v>
      </c>
      <c r="BW1908" s="236" t="s">
        <v>323</v>
      </c>
      <c r="CB1908" s="340">
        <v>150.05000000000001</v>
      </c>
      <c r="CC1908" s="340" t="s">
        <v>338</v>
      </c>
      <c r="CL1908" s="236">
        <v>106.2</v>
      </c>
      <c r="CM1908" s="236" t="s">
        <v>331</v>
      </c>
      <c r="CR1908" s="340">
        <v>219.02</v>
      </c>
      <c r="CS1908" s="340" t="s">
        <v>348</v>
      </c>
      <c r="CT1908" s="1384"/>
      <c r="DF1908" s="340">
        <v>171.23</v>
      </c>
      <c r="DG1908" s="340" t="s">
        <v>338</v>
      </c>
      <c r="DV1908" s="340">
        <v>251.08</v>
      </c>
      <c r="DW1908" s="340" t="s">
        <v>342</v>
      </c>
      <c r="DX1908" s="1671"/>
    </row>
    <row r="1909" spans="12:128">
      <c r="L1909" s="2481">
        <v>175.06</v>
      </c>
      <c r="M1909" s="340" t="s">
        <v>338</v>
      </c>
      <c r="N1909" s="1390"/>
      <c r="O1909" s="2479"/>
      <c r="P1909" s="2282"/>
      <c r="AG1909" s="2297">
        <v>250.14</v>
      </c>
      <c r="AH1909" s="2297" t="s">
        <v>342</v>
      </c>
      <c r="AI1909" s="1390"/>
      <c r="AJ1909" s="2282"/>
      <c r="AK1909" s="2282"/>
      <c r="AL1909" s="1037"/>
      <c r="AX1909" s="340">
        <v>153</v>
      </c>
      <c r="AY1909" s="340" t="s">
        <v>338</v>
      </c>
      <c r="BN1909" s="340">
        <v>220.07</v>
      </c>
      <c r="BO1909" s="340" t="s">
        <v>348</v>
      </c>
      <c r="BP1909" s="1385"/>
      <c r="BV1909" s="236">
        <v>106.01</v>
      </c>
      <c r="BW1909" s="236" t="s">
        <v>323</v>
      </c>
      <c r="CB1909" s="340">
        <v>150.06</v>
      </c>
      <c r="CC1909" s="340" t="s">
        <v>338</v>
      </c>
      <c r="CL1909" s="236">
        <v>106.21</v>
      </c>
      <c r="CM1909" s="236" t="s">
        <v>331</v>
      </c>
      <c r="CR1909" s="340">
        <v>220.02</v>
      </c>
      <c r="CS1909" s="340" t="s">
        <v>348</v>
      </c>
      <c r="CT1909" s="1384"/>
      <c r="DF1909" s="340">
        <v>172</v>
      </c>
      <c r="DG1909" s="340" t="s">
        <v>338</v>
      </c>
      <c r="DV1909" s="340">
        <v>251.1</v>
      </c>
      <c r="DW1909" s="340" t="s">
        <v>342</v>
      </c>
      <c r="DX1909" s="1671"/>
    </row>
    <row r="1910" spans="12:128">
      <c r="L1910" s="2481">
        <v>177.01</v>
      </c>
      <c r="M1910" s="340" t="s">
        <v>338</v>
      </c>
      <c r="N1910" s="1390"/>
      <c r="O1910" s="2479"/>
      <c r="P1910" s="2282"/>
      <c r="AG1910" s="2297">
        <v>250.16</v>
      </c>
      <c r="AH1910" s="2297" t="s">
        <v>342</v>
      </c>
      <c r="AI1910" s="1390"/>
      <c r="AJ1910" s="2282"/>
      <c r="AK1910" s="2282"/>
      <c r="AL1910" s="1037"/>
      <c r="AX1910" s="340">
        <v>155.01</v>
      </c>
      <c r="AY1910" s="340" t="s">
        <v>338</v>
      </c>
      <c r="BN1910" s="340">
        <v>221.02</v>
      </c>
      <c r="BO1910" s="340" t="s">
        <v>342</v>
      </c>
      <c r="BP1910" s="1385"/>
      <c r="BV1910" s="236">
        <v>106.02</v>
      </c>
      <c r="BW1910" s="236" t="s">
        <v>323</v>
      </c>
      <c r="CB1910" s="340">
        <v>151.03</v>
      </c>
      <c r="CC1910" s="340" t="s">
        <v>338</v>
      </c>
      <c r="CL1910" s="236">
        <v>106.22</v>
      </c>
      <c r="CM1910" s="236" t="s">
        <v>331</v>
      </c>
      <c r="CR1910" s="340">
        <v>220.04</v>
      </c>
      <c r="CS1910" s="340" t="s">
        <v>348</v>
      </c>
      <c r="CT1910" s="1384"/>
      <c r="DF1910" s="340">
        <v>173.01</v>
      </c>
      <c r="DG1910" s="340" t="s">
        <v>338</v>
      </c>
      <c r="DV1910" s="340">
        <v>251.12</v>
      </c>
      <c r="DW1910" s="340" t="s">
        <v>342</v>
      </c>
      <c r="DX1910" s="1671"/>
    </row>
    <row r="1911" spans="12:128">
      <c r="L1911" s="2481">
        <v>177.02</v>
      </c>
      <c r="M1911" s="340" t="s">
        <v>338</v>
      </c>
      <c r="N1911" s="1390"/>
      <c r="O1911" s="2479"/>
      <c r="P1911" s="2282"/>
      <c r="AG1911" s="2297">
        <v>251.06</v>
      </c>
      <c r="AH1911" s="2297" t="s">
        <v>342</v>
      </c>
      <c r="AI1911" s="1390"/>
      <c r="AJ1911" s="2282"/>
      <c r="AK1911" s="2282"/>
      <c r="AL1911" s="1037"/>
      <c r="AX1911" s="340">
        <v>156.01</v>
      </c>
      <c r="AY1911" s="340" t="s">
        <v>338</v>
      </c>
      <c r="BN1911" s="340">
        <v>221.04</v>
      </c>
      <c r="BO1911" s="340" t="s">
        <v>348</v>
      </c>
      <c r="BP1911" s="1385"/>
      <c r="BV1911" s="236">
        <v>107.01</v>
      </c>
      <c r="BW1911" s="236" t="s">
        <v>323</v>
      </c>
      <c r="CB1911" s="340">
        <v>152.03</v>
      </c>
      <c r="CC1911" s="340" t="s">
        <v>338</v>
      </c>
      <c r="CL1911" s="236">
        <v>106.23</v>
      </c>
      <c r="CM1911" s="236" t="s">
        <v>331</v>
      </c>
      <c r="CR1911" s="340">
        <v>220.07</v>
      </c>
      <c r="CS1911" s="340" t="s">
        <v>348</v>
      </c>
      <c r="CT1911" s="1384"/>
      <c r="DF1911" s="340">
        <v>173.02</v>
      </c>
      <c r="DG1911" s="340" t="s">
        <v>338</v>
      </c>
      <c r="DV1911" s="340">
        <v>251.13</v>
      </c>
      <c r="DW1911" s="340" t="s">
        <v>342</v>
      </c>
      <c r="DX1911" s="1671"/>
    </row>
    <row r="1912" spans="12:128">
      <c r="L1912" s="2481">
        <v>178.05</v>
      </c>
      <c r="M1912" s="340" t="s">
        <v>338</v>
      </c>
      <c r="N1912" s="1390"/>
      <c r="O1912" s="2479"/>
      <c r="P1912" s="2282"/>
      <c r="AG1912" s="2297">
        <v>251.07</v>
      </c>
      <c r="AH1912" s="2297" t="s">
        <v>342</v>
      </c>
      <c r="AI1912" s="1390"/>
      <c r="AJ1912" s="2282"/>
      <c r="AK1912" s="2282"/>
      <c r="AL1912" s="1037"/>
      <c r="AX1912" s="340">
        <v>156.02000000000001</v>
      </c>
      <c r="AY1912" s="340" t="s">
        <v>338</v>
      </c>
      <c r="BN1912" s="340">
        <v>221.05</v>
      </c>
      <c r="BO1912" s="340" t="s">
        <v>348</v>
      </c>
      <c r="BP1912" s="1385"/>
      <c r="BV1912" s="236">
        <v>107.02</v>
      </c>
      <c r="BW1912" s="236" t="s">
        <v>323</v>
      </c>
      <c r="CB1912" s="340">
        <v>152.04</v>
      </c>
      <c r="CC1912" s="340" t="s">
        <v>338</v>
      </c>
      <c r="CL1912" s="236">
        <v>106.24</v>
      </c>
      <c r="CM1912" s="236" t="s">
        <v>331</v>
      </c>
      <c r="CR1912" s="340">
        <v>221.01</v>
      </c>
      <c r="CS1912" s="340" t="s">
        <v>342</v>
      </c>
      <c r="CT1912" s="1384"/>
      <c r="DF1912" s="340">
        <v>174.01</v>
      </c>
      <c r="DG1912" s="340" t="s">
        <v>338</v>
      </c>
      <c r="DV1912" s="340">
        <v>251.14</v>
      </c>
      <c r="DW1912" s="340" t="s">
        <v>342</v>
      </c>
      <c r="DX1912" s="1671"/>
    </row>
    <row r="1913" spans="12:128">
      <c r="L1913" s="2481">
        <v>178.06</v>
      </c>
      <c r="M1913" s="340" t="s">
        <v>338</v>
      </c>
      <c r="N1913" s="1390"/>
      <c r="O1913" s="2479"/>
      <c r="P1913" s="2282"/>
      <c r="AG1913" s="2297">
        <v>251.08</v>
      </c>
      <c r="AH1913" s="2297" t="s">
        <v>342</v>
      </c>
      <c r="AI1913" s="1390"/>
      <c r="AJ1913" s="2282"/>
      <c r="AK1913" s="2282"/>
      <c r="AL1913" s="1037"/>
      <c r="AX1913" s="340">
        <v>157.01</v>
      </c>
      <c r="AY1913" s="340" t="s">
        <v>338</v>
      </c>
      <c r="BN1913" s="340">
        <v>221.06</v>
      </c>
      <c r="BO1913" s="340" t="s">
        <v>348</v>
      </c>
      <c r="BP1913" s="1385"/>
      <c r="BV1913" s="236">
        <v>108.01</v>
      </c>
      <c r="BW1913" s="236" t="s">
        <v>323</v>
      </c>
      <c r="CB1913" s="340">
        <v>153</v>
      </c>
      <c r="CC1913" s="340" t="s">
        <v>338</v>
      </c>
      <c r="CL1913" s="236">
        <v>106.25</v>
      </c>
      <c r="CM1913" s="236" t="s">
        <v>331</v>
      </c>
      <c r="CR1913" s="340">
        <v>221.02</v>
      </c>
      <c r="CS1913" s="340" t="s">
        <v>342</v>
      </c>
      <c r="CT1913" s="1384"/>
      <c r="DF1913" s="340">
        <v>175.05</v>
      </c>
      <c r="DG1913" s="340" t="s">
        <v>338</v>
      </c>
      <c r="DV1913" s="340">
        <v>251.19</v>
      </c>
      <c r="DW1913" s="340" t="s">
        <v>342</v>
      </c>
      <c r="DX1913" s="1671"/>
    </row>
    <row r="1914" spans="12:128">
      <c r="L1914" s="2481">
        <v>178.07</v>
      </c>
      <c r="M1914" s="340" t="s">
        <v>338</v>
      </c>
      <c r="N1914" s="1390"/>
      <c r="O1914" s="2479"/>
      <c r="P1914" s="2282"/>
      <c r="AG1914" s="2297">
        <v>251.1</v>
      </c>
      <c r="AH1914" s="2297" t="s">
        <v>342</v>
      </c>
      <c r="AI1914" s="1390"/>
      <c r="AJ1914" s="2282"/>
      <c r="AK1914" s="2282"/>
      <c r="AL1914" s="1037"/>
      <c r="AX1914" s="340">
        <v>157.02000000000001</v>
      </c>
      <c r="AY1914" s="340" t="s">
        <v>338</v>
      </c>
      <c r="BN1914" s="340">
        <v>222</v>
      </c>
      <c r="BO1914" s="340" t="s">
        <v>342</v>
      </c>
      <c r="BP1914" s="1385"/>
      <c r="BV1914" s="236">
        <v>108.02</v>
      </c>
      <c r="BW1914" s="236" t="s">
        <v>323</v>
      </c>
      <c r="CB1914" s="340">
        <v>155.01</v>
      </c>
      <c r="CC1914" s="340" t="s">
        <v>338</v>
      </c>
      <c r="CL1914" s="236">
        <v>106.26</v>
      </c>
      <c r="CM1914" s="236" t="s">
        <v>331</v>
      </c>
      <c r="CR1914" s="340">
        <v>221.06</v>
      </c>
      <c r="CS1914" s="340" t="s">
        <v>348</v>
      </c>
      <c r="CT1914" s="1384"/>
      <c r="DF1914" s="340">
        <v>175.06</v>
      </c>
      <c r="DG1914" s="340" t="s">
        <v>338</v>
      </c>
      <c r="DV1914" s="340">
        <v>251.2</v>
      </c>
      <c r="DW1914" s="340" t="s">
        <v>342</v>
      </c>
      <c r="DX1914" s="1671"/>
    </row>
    <row r="1915" spans="12:128">
      <c r="L1915" s="2481">
        <v>178.08</v>
      </c>
      <c r="M1915" s="340" t="s">
        <v>338</v>
      </c>
      <c r="N1915" s="1390"/>
      <c r="O1915" s="2479"/>
      <c r="P1915" s="2282"/>
      <c r="AG1915" s="2297">
        <v>251.12</v>
      </c>
      <c r="AH1915" s="2297" t="s">
        <v>342</v>
      </c>
      <c r="AI1915" s="1390"/>
      <c r="AJ1915" s="2282"/>
      <c r="AK1915" s="2282"/>
      <c r="AL1915" s="1037"/>
      <c r="AX1915" s="340">
        <v>158.01</v>
      </c>
      <c r="AY1915" s="340" t="s">
        <v>338</v>
      </c>
      <c r="BN1915" s="340">
        <v>222.01</v>
      </c>
      <c r="BO1915" s="340" t="s">
        <v>348</v>
      </c>
      <c r="BP1915" s="1385"/>
      <c r="BV1915" s="236">
        <v>108.03</v>
      </c>
      <c r="BW1915" s="236" t="s">
        <v>323</v>
      </c>
      <c r="CB1915" s="340">
        <v>156.01</v>
      </c>
      <c r="CC1915" s="340" t="s">
        <v>338</v>
      </c>
      <c r="CL1915" s="236">
        <v>107</v>
      </c>
      <c r="CM1915" s="236" t="s">
        <v>302</v>
      </c>
      <c r="CR1915" s="340">
        <v>222</v>
      </c>
      <c r="CS1915" s="340" t="s">
        <v>342</v>
      </c>
      <c r="CT1915" s="1384"/>
      <c r="DF1915" s="340">
        <v>177.01</v>
      </c>
      <c r="DG1915" s="340" t="s">
        <v>338</v>
      </c>
      <c r="DV1915" s="340">
        <v>251.21</v>
      </c>
      <c r="DW1915" s="340" t="s">
        <v>342</v>
      </c>
      <c r="DX1915" s="1671"/>
    </row>
    <row r="1916" spans="12:128">
      <c r="L1916" s="2481">
        <v>178.09</v>
      </c>
      <c r="M1916" s="340" t="s">
        <v>338</v>
      </c>
      <c r="N1916" s="1390"/>
      <c r="O1916" s="2479"/>
      <c r="P1916" s="2282"/>
      <c r="AG1916" s="2297">
        <v>251.13</v>
      </c>
      <c r="AH1916" s="2297" t="s">
        <v>342</v>
      </c>
      <c r="AI1916" s="1390"/>
      <c r="AJ1916" s="2282"/>
      <c r="AK1916" s="2282"/>
      <c r="AL1916" s="1037"/>
      <c r="AX1916" s="340">
        <v>158.02000000000001</v>
      </c>
      <c r="AY1916" s="340" t="s">
        <v>338</v>
      </c>
      <c r="BN1916" s="340">
        <v>222.05</v>
      </c>
      <c r="BO1916" s="340" t="s">
        <v>348</v>
      </c>
      <c r="BP1916" s="1385"/>
      <c r="BV1916" s="236">
        <v>201.02</v>
      </c>
      <c r="BW1916" s="236" t="s">
        <v>323</v>
      </c>
      <c r="CB1916" s="340">
        <v>156.02000000000001</v>
      </c>
      <c r="CC1916" s="340" t="s">
        <v>338</v>
      </c>
      <c r="CL1916" s="338">
        <v>107.01</v>
      </c>
      <c r="CM1916" s="338" t="s">
        <v>289</v>
      </c>
      <c r="CR1916" s="340">
        <v>222.01</v>
      </c>
      <c r="CS1916" s="340" t="s">
        <v>348</v>
      </c>
      <c r="CT1916" s="1384"/>
      <c r="DF1916" s="340">
        <v>177.02</v>
      </c>
      <c r="DG1916" s="340" t="s">
        <v>338</v>
      </c>
      <c r="DV1916" s="340">
        <v>251.22</v>
      </c>
      <c r="DW1916" s="340" t="s">
        <v>342</v>
      </c>
      <c r="DX1916" s="1671"/>
    </row>
    <row r="1917" spans="12:128">
      <c r="L1917" s="2481">
        <v>178.1</v>
      </c>
      <c r="M1917" s="340" t="s">
        <v>338</v>
      </c>
      <c r="N1917" s="1390"/>
      <c r="O1917" s="2479"/>
      <c r="P1917" s="2282"/>
      <c r="AG1917" s="2297">
        <v>251.19</v>
      </c>
      <c r="AH1917" s="2297" t="s">
        <v>342</v>
      </c>
      <c r="AI1917" s="1390"/>
      <c r="AJ1917" s="2282"/>
      <c r="AK1917" s="2282"/>
      <c r="AL1917" s="1037"/>
      <c r="AX1917" s="340">
        <v>159.01</v>
      </c>
      <c r="AY1917" s="340" t="s">
        <v>338</v>
      </c>
      <c r="BN1917" s="340">
        <v>222.06</v>
      </c>
      <c r="BO1917" s="340" t="s">
        <v>348</v>
      </c>
      <c r="BP1917" s="1385"/>
      <c r="BV1917" s="236">
        <v>201.03</v>
      </c>
      <c r="BW1917" s="236" t="s">
        <v>323</v>
      </c>
      <c r="CB1917" s="340">
        <v>157.01</v>
      </c>
      <c r="CC1917" s="340" t="s">
        <v>338</v>
      </c>
      <c r="CL1917" s="236">
        <v>107.01</v>
      </c>
      <c r="CM1917" s="236" t="s">
        <v>297</v>
      </c>
      <c r="CR1917" s="340">
        <v>222.05</v>
      </c>
      <c r="CS1917" s="340" t="s">
        <v>348</v>
      </c>
      <c r="CT1917" s="1384"/>
      <c r="DF1917" s="340">
        <v>178.05</v>
      </c>
      <c r="DG1917" s="340" t="s">
        <v>338</v>
      </c>
      <c r="DV1917" s="340">
        <v>251.23</v>
      </c>
      <c r="DW1917" s="340" t="s">
        <v>342</v>
      </c>
      <c r="DX1917" s="1671"/>
    </row>
    <row r="1918" spans="12:128">
      <c r="L1918" s="2481">
        <v>178.11</v>
      </c>
      <c r="M1918" s="340" t="s">
        <v>338</v>
      </c>
      <c r="N1918" s="1390"/>
      <c r="O1918" s="2479"/>
      <c r="P1918" s="2282"/>
      <c r="AG1918" s="2297">
        <v>251.2</v>
      </c>
      <c r="AH1918" s="2297" t="s">
        <v>342</v>
      </c>
      <c r="AI1918" s="1390"/>
      <c r="AJ1918" s="2282"/>
      <c r="AK1918" s="2282"/>
      <c r="AL1918" s="1037"/>
      <c r="AX1918" s="340">
        <v>160.01</v>
      </c>
      <c r="AY1918" s="340" t="s">
        <v>338</v>
      </c>
      <c r="BN1918" s="340">
        <v>222.07</v>
      </c>
      <c r="BO1918" s="340" t="s">
        <v>348</v>
      </c>
      <c r="BP1918" s="1385"/>
      <c r="BV1918" s="236">
        <v>201.04</v>
      </c>
      <c r="BW1918" s="236" t="s">
        <v>323</v>
      </c>
      <c r="CB1918" s="340">
        <v>157.02000000000001</v>
      </c>
      <c r="CC1918" s="340" t="s">
        <v>338</v>
      </c>
      <c r="CL1918" s="236">
        <v>107.01</v>
      </c>
      <c r="CM1918" s="236" t="s">
        <v>316</v>
      </c>
      <c r="CR1918" s="340">
        <v>222.06</v>
      </c>
      <c r="CS1918" s="340" t="s">
        <v>348</v>
      </c>
      <c r="CT1918" s="1384"/>
      <c r="DF1918" s="340">
        <v>178.06</v>
      </c>
      <c r="DG1918" s="340" t="s">
        <v>338</v>
      </c>
      <c r="DV1918" s="340">
        <v>252.05</v>
      </c>
      <c r="DW1918" s="340" t="s">
        <v>342</v>
      </c>
      <c r="DX1918" s="1671"/>
    </row>
    <row r="1919" spans="12:128">
      <c r="L1919" s="2481">
        <v>178.13</v>
      </c>
      <c r="M1919" s="340" t="s">
        <v>338</v>
      </c>
      <c r="N1919" s="1390"/>
      <c r="O1919" s="2479"/>
      <c r="P1919" s="2282"/>
      <c r="AG1919" s="2297">
        <v>251.21</v>
      </c>
      <c r="AH1919" s="2297" t="s">
        <v>342</v>
      </c>
      <c r="AI1919" s="1390"/>
      <c r="AJ1919" s="2282"/>
      <c r="AK1919" s="2282"/>
      <c r="AL1919" s="1037"/>
      <c r="AX1919" s="340">
        <v>160.02000000000001</v>
      </c>
      <c r="AY1919" s="340" t="s">
        <v>338</v>
      </c>
      <c r="BN1919" s="340">
        <v>223.01</v>
      </c>
      <c r="BO1919" s="340" t="s">
        <v>342</v>
      </c>
      <c r="BP1919" s="1385"/>
      <c r="BV1919" s="236">
        <v>202.01</v>
      </c>
      <c r="BW1919" s="236" t="s">
        <v>323</v>
      </c>
      <c r="CB1919" s="340">
        <v>158.01</v>
      </c>
      <c r="CC1919" s="340" t="s">
        <v>338</v>
      </c>
      <c r="CL1919" s="236">
        <v>107.01</v>
      </c>
      <c r="CM1919" s="236" t="s">
        <v>323</v>
      </c>
      <c r="CR1919" s="340">
        <v>222.07</v>
      </c>
      <c r="CS1919" s="340" t="s">
        <v>348</v>
      </c>
      <c r="CT1919" s="1384"/>
      <c r="DF1919" s="340">
        <v>178.08</v>
      </c>
      <c r="DG1919" s="340" t="s">
        <v>338</v>
      </c>
      <c r="DV1919" s="340">
        <v>252.08</v>
      </c>
      <c r="DW1919" s="340" t="s">
        <v>342</v>
      </c>
      <c r="DX1919" s="1671"/>
    </row>
    <row r="1920" spans="12:128">
      <c r="L1920" s="2481">
        <v>178.14</v>
      </c>
      <c r="M1920" s="340" t="s">
        <v>338</v>
      </c>
      <c r="N1920" s="1390"/>
      <c r="O1920" s="2479"/>
      <c r="P1920" s="2282"/>
      <c r="AG1920" s="2297">
        <v>251.22</v>
      </c>
      <c r="AH1920" s="2297" t="s">
        <v>342</v>
      </c>
      <c r="AI1920" s="1390"/>
      <c r="AJ1920" s="2282"/>
      <c r="AK1920" s="2282"/>
      <c r="AL1920" s="1037"/>
      <c r="AX1920" s="340">
        <v>161</v>
      </c>
      <c r="AY1920" s="340" t="s">
        <v>338</v>
      </c>
      <c r="BN1920" s="340">
        <v>223.02</v>
      </c>
      <c r="BO1920" s="340" t="s">
        <v>342</v>
      </c>
      <c r="BP1920" s="1385"/>
      <c r="BV1920" s="236">
        <v>202.02</v>
      </c>
      <c r="BW1920" s="236" t="s">
        <v>323</v>
      </c>
      <c r="CB1920" s="340">
        <v>158.02000000000001</v>
      </c>
      <c r="CC1920" s="340" t="s">
        <v>338</v>
      </c>
      <c r="CL1920" s="236">
        <v>107.01</v>
      </c>
      <c r="CM1920" s="236" t="s">
        <v>344</v>
      </c>
      <c r="CR1920" s="340">
        <v>223.01</v>
      </c>
      <c r="CS1920" s="340" t="s">
        <v>342</v>
      </c>
      <c r="CT1920" s="1384"/>
      <c r="DF1920" s="340">
        <v>178.1</v>
      </c>
      <c r="DG1920" s="340" t="s">
        <v>338</v>
      </c>
      <c r="DV1920" s="340">
        <v>252.09</v>
      </c>
      <c r="DW1920" s="340" t="s">
        <v>342</v>
      </c>
      <c r="DX1920" s="1671"/>
    </row>
    <row r="1921" spans="12:128">
      <c r="L1921" s="2481">
        <v>179.01</v>
      </c>
      <c r="M1921" s="340" t="s">
        <v>338</v>
      </c>
      <c r="N1921" s="1390"/>
      <c r="O1921" s="2479"/>
      <c r="P1921" s="2282"/>
      <c r="AG1921" s="2297">
        <v>251.23</v>
      </c>
      <c r="AH1921" s="2297" t="s">
        <v>342</v>
      </c>
      <c r="AI1921" s="1390"/>
      <c r="AJ1921" s="2282"/>
      <c r="AK1921" s="2282"/>
      <c r="AL1921" s="1037"/>
      <c r="AX1921" s="340">
        <v>162</v>
      </c>
      <c r="AY1921" s="340" t="s">
        <v>338</v>
      </c>
      <c r="BN1921" s="340">
        <v>224</v>
      </c>
      <c r="BO1921" s="340" t="s">
        <v>336</v>
      </c>
      <c r="BP1921" s="1385"/>
      <c r="BV1921" s="236">
        <v>203.01</v>
      </c>
      <c r="BW1921" s="236" t="s">
        <v>323</v>
      </c>
      <c r="CB1921" s="340">
        <v>160.01</v>
      </c>
      <c r="CC1921" s="340" t="s">
        <v>338</v>
      </c>
      <c r="CL1921" s="338">
        <v>107.02</v>
      </c>
      <c r="CM1921" s="338" t="s">
        <v>289</v>
      </c>
      <c r="CR1921" s="340">
        <v>223.02</v>
      </c>
      <c r="CS1921" s="340" t="s">
        <v>342</v>
      </c>
      <c r="CT1921" s="1384"/>
      <c r="DF1921" s="340">
        <v>178.11</v>
      </c>
      <c r="DG1921" s="340" t="s">
        <v>338</v>
      </c>
      <c r="DV1921" s="340">
        <v>252.1</v>
      </c>
      <c r="DW1921" s="340" t="s">
        <v>342</v>
      </c>
      <c r="DX1921" s="1671"/>
    </row>
    <row r="1922" spans="12:128">
      <c r="L1922" s="2481">
        <v>179.02</v>
      </c>
      <c r="M1922" s="340" t="s">
        <v>338</v>
      </c>
      <c r="N1922" s="1390"/>
      <c r="O1922" s="2479"/>
      <c r="P1922" s="2282"/>
      <c r="AG1922" s="2297">
        <v>252.05</v>
      </c>
      <c r="AH1922" s="2297" t="s">
        <v>342</v>
      </c>
      <c r="AI1922" s="1390"/>
      <c r="AJ1922" s="2282"/>
      <c r="AK1922" s="2282"/>
      <c r="AL1922" s="1037"/>
      <c r="AX1922" s="340">
        <v>163.01</v>
      </c>
      <c r="AY1922" s="340" t="s">
        <v>338</v>
      </c>
      <c r="BN1922" s="340">
        <v>224.01</v>
      </c>
      <c r="BO1922" s="340" t="s">
        <v>342</v>
      </c>
      <c r="BP1922" s="1385"/>
      <c r="BV1922" s="236">
        <v>203.02</v>
      </c>
      <c r="BW1922" s="236" t="s">
        <v>323</v>
      </c>
      <c r="CB1922" s="340">
        <v>160.02000000000001</v>
      </c>
      <c r="CC1922" s="340" t="s">
        <v>338</v>
      </c>
      <c r="CL1922" s="236">
        <v>107.02</v>
      </c>
      <c r="CM1922" s="236" t="s">
        <v>297</v>
      </c>
      <c r="CR1922" s="340">
        <v>224</v>
      </c>
      <c r="CS1922" s="340" t="s">
        <v>336</v>
      </c>
      <c r="CT1922" s="1384"/>
      <c r="DF1922" s="340">
        <v>178.12</v>
      </c>
      <c r="DG1922" s="340" t="s">
        <v>338</v>
      </c>
      <c r="DV1922" s="340">
        <v>254.01</v>
      </c>
      <c r="DW1922" s="340" t="s">
        <v>342</v>
      </c>
      <c r="DX1922" s="1671"/>
    </row>
    <row r="1923" spans="12:128">
      <c r="L1923" s="2481">
        <v>182.01</v>
      </c>
      <c r="M1923" s="340" t="s">
        <v>338</v>
      </c>
      <c r="N1923" s="1390"/>
      <c r="O1923" s="2479"/>
      <c r="P1923" s="2282"/>
      <c r="AG1923" s="2297">
        <v>252.09</v>
      </c>
      <c r="AH1923" s="2297" t="s">
        <v>342</v>
      </c>
      <c r="AI1923" s="1390"/>
      <c r="AJ1923" s="2282"/>
      <c r="AK1923" s="2282"/>
      <c r="AL1923" s="1037"/>
      <c r="AX1923" s="340">
        <v>164.08</v>
      </c>
      <c r="AY1923" s="340" t="s">
        <v>338</v>
      </c>
      <c r="BN1923" s="340">
        <v>224.02</v>
      </c>
      <c r="BO1923" s="340" t="s">
        <v>342</v>
      </c>
      <c r="BP1923" s="1385"/>
      <c r="BV1923" s="236">
        <v>204</v>
      </c>
      <c r="BW1923" s="236" t="s">
        <v>323</v>
      </c>
      <c r="CB1923" s="340">
        <v>161</v>
      </c>
      <c r="CC1923" s="340" t="s">
        <v>338</v>
      </c>
      <c r="CL1923" s="236">
        <v>107.02</v>
      </c>
      <c r="CM1923" s="236" t="s">
        <v>316</v>
      </c>
      <c r="CR1923" s="340">
        <v>224.01</v>
      </c>
      <c r="CS1923" s="340" t="s">
        <v>342</v>
      </c>
      <c r="CT1923" s="1384"/>
      <c r="DF1923" s="340">
        <v>178.13</v>
      </c>
      <c r="DG1923" s="340" t="s">
        <v>338</v>
      </c>
      <c r="DV1923" s="340">
        <v>254.07</v>
      </c>
      <c r="DW1923" s="340" t="s">
        <v>342</v>
      </c>
      <c r="DX1923" s="1671"/>
    </row>
    <row r="1924" spans="12:128">
      <c r="L1924" s="2481">
        <v>182.02</v>
      </c>
      <c r="M1924" s="340" t="s">
        <v>338</v>
      </c>
      <c r="N1924" s="1390"/>
      <c r="O1924" s="2479"/>
      <c r="P1924" s="2282"/>
      <c r="AG1924" s="2297">
        <v>252.1</v>
      </c>
      <c r="AH1924" s="2297" t="s">
        <v>342</v>
      </c>
      <c r="AI1924" s="1390"/>
      <c r="AJ1924" s="2282"/>
      <c r="AK1924" s="2282"/>
      <c r="AL1924" s="1037"/>
      <c r="AX1924" s="340">
        <v>164.09</v>
      </c>
      <c r="AY1924" s="340" t="s">
        <v>338</v>
      </c>
      <c r="BN1924" s="340">
        <v>225.01</v>
      </c>
      <c r="BO1924" s="340" t="s">
        <v>342</v>
      </c>
      <c r="BP1924" s="1385"/>
      <c r="BV1924" s="236">
        <v>205.01</v>
      </c>
      <c r="BW1924" s="236" t="s">
        <v>323</v>
      </c>
      <c r="CB1924" s="340">
        <v>162</v>
      </c>
      <c r="CC1924" s="340" t="s">
        <v>338</v>
      </c>
      <c r="CL1924" s="236">
        <v>107.02</v>
      </c>
      <c r="CM1924" s="236" t="s">
        <v>323</v>
      </c>
      <c r="CR1924" s="340">
        <v>224.02</v>
      </c>
      <c r="CS1924" s="340" t="s">
        <v>342</v>
      </c>
      <c r="CT1924" s="1384"/>
      <c r="DF1924" s="340">
        <v>178.14</v>
      </c>
      <c r="DG1924" s="340" t="s">
        <v>338</v>
      </c>
      <c r="DV1924" s="340">
        <v>254.11</v>
      </c>
      <c r="DW1924" s="340" t="s">
        <v>342</v>
      </c>
      <c r="DX1924" s="1671"/>
    </row>
    <row r="1925" spans="12:128">
      <c r="L1925" s="2481">
        <v>184</v>
      </c>
      <c r="M1925" s="340" t="s">
        <v>338</v>
      </c>
      <c r="N1925" s="1390"/>
      <c r="O1925" s="2479"/>
      <c r="P1925" s="2282"/>
      <c r="AG1925" s="2297">
        <v>254.07</v>
      </c>
      <c r="AH1925" s="2297" t="s">
        <v>342</v>
      </c>
      <c r="AI1925" s="1390"/>
      <c r="AJ1925" s="2282"/>
      <c r="AK1925" s="2282"/>
      <c r="AL1925" s="1037"/>
      <c r="AX1925" s="340">
        <v>164.12</v>
      </c>
      <c r="AY1925" s="340" t="s">
        <v>338</v>
      </c>
      <c r="BN1925" s="340">
        <v>225.03</v>
      </c>
      <c r="BO1925" s="340" t="s">
        <v>342</v>
      </c>
      <c r="BP1925" s="1385"/>
      <c r="BV1925" s="236">
        <v>205.02</v>
      </c>
      <c r="BW1925" s="236" t="s">
        <v>323</v>
      </c>
      <c r="CB1925" s="340">
        <v>163.01</v>
      </c>
      <c r="CC1925" s="340" t="s">
        <v>338</v>
      </c>
      <c r="CL1925" s="236">
        <v>107.02</v>
      </c>
      <c r="CM1925" s="236" t="s">
        <v>344</v>
      </c>
      <c r="CR1925" s="340">
        <v>225</v>
      </c>
      <c r="CS1925" s="340" t="s">
        <v>336</v>
      </c>
      <c r="CT1925" s="1384"/>
      <c r="DF1925" s="340">
        <v>179.01</v>
      </c>
      <c r="DG1925" s="340" t="s">
        <v>338</v>
      </c>
      <c r="DV1925" s="340">
        <v>254.12</v>
      </c>
      <c r="DW1925" s="340" t="s">
        <v>342</v>
      </c>
      <c r="DX1925" s="1671"/>
    </row>
    <row r="1926" spans="12:128">
      <c r="L1926" s="2481">
        <v>188</v>
      </c>
      <c r="M1926" s="340" t="s">
        <v>338</v>
      </c>
      <c r="N1926" s="1390"/>
      <c r="O1926" s="2479"/>
      <c r="P1926" s="2282"/>
      <c r="AG1926" s="2297">
        <v>254.12</v>
      </c>
      <c r="AH1926" s="2297" t="s">
        <v>342</v>
      </c>
      <c r="AI1926" s="1390"/>
      <c r="AJ1926" s="2282"/>
      <c r="AK1926" s="2282"/>
      <c r="AL1926" s="1037"/>
      <c r="AX1926" s="340">
        <v>164.14</v>
      </c>
      <c r="AY1926" s="340" t="s">
        <v>338</v>
      </c>
      <c r="BN1926" s="340">
        <v>226.01</v>
      </c>
      <c r="BO1926" s="340" t="s">
        <v>342</v>
      </c>
      <c r="BP1926" s="1385"/>
      <c r="BV1926" s="236">
        <v>206</v>
      </c>
      <c r="BW1926" s="236" t="s">
        <v>323</v>
      </c>
      <c r="CB1926" s="340">
        <v>164.08</v>
      </c>
      <c r="CC1926" s="340" t="s">
        <v>338</v>
      </c>
      <c r="CL1926" s="236">
        <v>107.04</v>
      </c>
      <c r="CM1926" s="236" t="s">
        <v>346</v>
      </c>
      <c r="CR1926" s="340">
        <v>225.01</v>
      </c>
      <c r="CS1926" s="340" t="s">
        <v>342</v>
      </c>
      <c r="CT1926" s="1384"/>
      <c r="DF1926" s="340">
        <v>181</v>
      </c>
      <c r="DG1926" s="340" t="s">
        <v>338</v>
      </c>
      <c r="DV1926" s="340">
        <v>255.01</v>
      </c>
      <c r="DW1926" s="340" t="s">
        <v>342</v>
      </c>
      <c r="DX1926" s="1671"/>
    </row>
    <row r="1927" spans="12:128">
      <c r="L1927" s="2481">
        <v>189.02</v>
      </c>
      <c r="M1927" s="340" t="s">
        <v>338</v>
      </c>
      <c r="N1927" s="1390"/>
      <c r="O1927" s="2479"/>
      <c r="P1927" s="2282"/>
      <c r="AG1927" s="2297">
        <v>255.01</v>
      </c>
      <c r="AH1927" s="2297" t="s">
        <v>342</v>
      </c>
      <c r="AI1927" s="1390"/>
      <c r="AJ1927" s="2282"/>
      <c r="AK1927" s="2282"/>
      <c r="AL1927" s="1037"/>
      <c r="AX1927" s="340">
        <v>165.03</v>
      </c>
      <c r="AY1927" s="340" t="s">
        <v>338</v>
      </c>
      <c r="BN1927" s="340">
        <v>226.02</v>
      </c>
      <c r="BO1927" s="340" t="s">
        <v>342</v>
      </c>
      <c r="BP1927" s="1385"/>
      <c r="BV1927" s="236">
        <v>207</v>
      </c>
      <c r="BW1927" s="236" t="s">
        <v>323</v>
      </c>
      <c r="CB1927" s="340">
        <v>164.09</v>
      </c>
      <c r="CC1927" s="340" t="s">
        <v>338</v>
      </c>
      <c r="CL1927" s="236">
        <v>107.05</v>
      </c>
      <c r="CM1927" s="236" t="s">
        <v>331</v>
      </c>
      <c r="CR1927" s="340">
        <v>225.02</v>
      </c>
      <c r="CS1927" s="340" t="s">
        <v>342</v>
      </c>
      <c r="CT1927" s="1384"/>
      <c r="DF1927" s="340">
        <v>182.01</v>
      </c>
      <c r="DG1927" s="340" t="s">
        <v>338</v>
      </c>
      <c r="DV1927" s="340">
        <v>255.08</v>
      </c>
      <c r="DW1927" s="340" t="s">
        <v>342</v>
      </c>
      <c r="DX1927" s="1671"/>
    </row>
    <row r="1928" spans="12:128">
      <c r="L1928" s="2481">
        <v>190</v>
      </c>
      <c r="M1928" s="340" t="s">
        <v>338</v>
      </c>
      <c r="N1928" s="1390"/>
      <c r="O1928" s="2479"/>
      <c r="P1928" s="2282"/>
      <c r="AG1928" s="2297">
        <v>255.1</v>
      </c>
      <c r="AH1928" s="2297" t="s">
        <v>342</v>
      </c>
      <c r="AI1928" s="1390"/>
      <c r="AJ1928" s="2282"/>
      <c r="AK1928" s="2282"/>
      <c r="AL1928" s="1037"/>
      <c r="AX1928" s="340">
        <v>165.04</v>
      </c>
      <c r="AY1928" s="340" t="s">
        <v>338</v>
      </c>
      <c r="BN1928" s="340">
        <v>227</v>
      </c>
      <c r="BO1928" s="340" t="s">
        <v>342</v>
      </c>
      <c r="BP1928" s="1385"/>
      <c r="BV1928" s="236">
        <v>208.01</v>
      </c>
      <c r="BW1928" s="236" t="s">
        <v>323</v>
      </c>
      <c r="CB1928" s="340">
        <v>164.12</v>
      </c>
      <c r="CC1928" s="340" t="s">
        <v>338</v>
      </c>
      <c r="CL1928" s="236">
        <v>107.05</v>
      </c>
      <c r="CM1928" s="236" t="s">
        <v>346</v>
      </c>
      <c r="CR1928" s="340">
        <v>225.03</v>
      </c>
      <c r="CS1928" s="340" t="s">
        <v>342</v>
      </c>
      <c r="CT1928" s="1384"/>
      <c r="DF1928" s="340">
        <v>182.02</v>
      </c>
      <c r="DG1928" s="340" t="s">
        <v>338</v>
      </c>
      <c r="DV1928" s="340">
        <v>255.1</v>
      </c>
      <c r="DW1928" s="340" t="s">
        <v>342</v>
      </c>
      <c r="DX1928" s="1671"/>
    </row>
    <row r="1929" spans="12:128">
      <c r="L1929" s="2481">
        <v>408.01</v>
      </c>
      <c r="M1929" s="340" t="s">
        <v>339</v>
      </c>
      <c r="N1929" s="1390"/>
      <c r="O1929" s="2479"/>
      <c r="P1929" s="2282"/>
      <c r="AG1929" s="2297">
        <v>257</v>
      </c>
      <c r="AH1929" s="2297" t="s">
        <v>342</v>
      </c>
      <c r="AI1929" s="1390"/>
      <c r="AJ1929" s="2282"/>
      <c r="AK1929" s="2282"/>
      <c r="AL1929" s="1037"/>
      <c r="AX1929" s="340">
        <v>165.05</v>
      </c>
      <c r="AY1929" s="340" t="s">
        <v>338</v>
      </c>
      <c r="BN1929" s="340">
        <v>228.02</v>
      </c>
      <c r="BO1929" s="340" t="s">
        <v>342</v>
      </c>
      <c r="BP1929" s="1385"/>
      <c r="BV1929" s="236">
        <v>208.02</v>
      </c>
      <c r="BW1929" s="236" t="s">
        <v>323</v>
      </c>
      <c r="CB1929" s="340">
        <v>165.04</v>
      </c>
      <c r="CC1929" s="340" t="s">
        <v>338</v>
      </c>
      <c r="CL1929" s="236">
        <v>107.06</v>
      </c>
      <c r="CM1929" s="236" t="s">
        <v>331</v>
      </c>
      <c r="CR1929" s="340">
        <v>226.01</v>
      </c>
      <c r="CS1929" s="340" t="s">
        <v>342</v>
      </c>
      <c r="CT1929" s="1384"/>
      <c r="DF1929" s="340">
        <v>182.04</v>
      </c>
      <c r="DG1929" s="340" t="s">
        <v>338</v>
      </c>
      <c r="DV1929" s="340">
        <v>257</v>
      </c>
      <c r="DW1929" s="340" t="s">
        <v>342</v>
      </c>
      <c r="DX1929" s="1671"/>
    </row>
    <row r="1930" spans="12:128">
      <c r="L1930" s="2481">
        <v>408.05</v>
      </c>
      <c r="M1930" s="340" t="s">
        <v>339</v>
      </c>
      <c r="N1930" s="1390"/>
      <c r="O1930" s="2479"/>
      <c r="P1930" s="2282"/>
      <c r="AG1930" s="2297">
        <v>259.02</v>
      </c>
      <c r="AH1930" s="2297" t="s">
        <v>342</v>
      </c>
      <c r="AI1930" s="1390"/>
      <c r="AJ1930" s="2282"/>
      <c r="AK1930" s="2282"/>
      <c r="AL1930" s="1037"/>
      <c r="AX1930" s="340">
        <v>165.09</v>
      </c>
      <c r="AY1930" s="340" t="s">
        <v>338</v>
      </c>
      <c r="BN1930" s="340">
        <v>229.01</v>
      </c>
      <c r="BO1930" s="340" t="s">
        <v>342</v>
      </c>
      <c r="BP1930" s="1385"/>
      <c r="BV1930" s="236">
        <v>301</v>
      </c>
      <c r="BW1930" s="236" t="s">
        <v>323</v>
      </c>
      <c r="CB1930" s="340">
        <v>165.05</v>
      </c>
      <c r="CC1930" s="340" t="s">
        <v>338</v>
      </c>
      <c r="CL1930" s="236">
        <v>107.07</v>
      </c>
      <c r="CM1930" s="236" t="s">
        <v>331</v>
      </c>
      <c r="CR1930" s="340">
        <v>226.02</v>
      </c>
      <c r="CS1930" s="340" t="s">
        <v>342</v>
      </c>
      <c r="CT1930" s="1384"/>
      <c r="DF1930" s="340">
        <v>184</v>
      </c>
      <c r="DG1930" s="340" t="s">
        <v>338</v>
      </c>
      <c r="DV1930" s="340">
        <v>260.01</v>
      </c>
      <c r="DW1930" s="340" t="s">
        <v>342</v>
      </c>
      <c r="DX1930" s="1671"/>
    </row>
    <row r="1931" spans="12:128">
      <c r="L1931" s="2481">
        <v>408.06</v>
      </c>
      <c r="M1931" s="340" t="s">
        <v>339</v>
      </c>
      <c r="N1931" s="1390"/>
      <c r="O1931" s="2479"/>
      <c r="P1931" s="2282"/>
      <c r="AG1931" s="2297">
        <v>260.01</v>
      </c>
      <c r="AH1931" s="2297" t="s">
        <v>342</v>
      </c>
      <c r="AI1931" s="1390"/>
      <c r="AJ1931" s="2282"/>
      <c r="AK1931" s="2282"/>
      <c r="AL1931" s="1037"/>
      <c r="AX1931" s="340">
        <v>165.11</v>
      </c>
      <c r="AY1931" s="340" t="s">
        <v>338</v>
      </c>
      <c r="BN1931" s="340">
        <v>232</v>
      </c>
      <c r="BO1931" s="340" t="s">
        <v>342</v>
      </c>
      <c r="BP1931" s="1385"/>
      <c r="BV1931" s="236">
        <v>302.01</v>
      </c>
      <c r="BW1931" s="236" t="s">
        <v>323</v>
      </c>
      <c r="CB1931" s="340">
        <v>165.11</v>
      </c>
      <c r="CC1931" s="340" t="s">
        <v>338</v>
      </c>
      <c r="CL1931" s="236">
        <v>107.07</v>
      </c>
      <c r="CM1931" s="236" t="s">
        <v>346</v>
      </c>
      <c r="CR1931" s="340">
        <v>227</v>
      </c>
      <c r="CS1931" s="340" t="s">
        <v>342</v>
      </c>
      <c r="CT1931" s="1384"/>
      <c r="DF1931" s="340">
        <v>188</v>
      </c>
      <c r="DG1931" s="340" t="s">
        <v>338</v>
      </c>
      <c r="DV1931" s="340">
        <v>260.02999999999997</v>
      </c>
      <c r="DW1931" s="340" t="s">
        <v>342</v>
      </c>
      <c r="DX1931" s="1671"/>
    </row>
    <row r="1932" spans="12:128">
      <c r="L1932" s="2481">
        <v>408.07</v>
      </c>
      <c r="M1932" s="340" t="s">
        <v>339</v>
      </c>
      <c r="N1932" s="1390"/>
      <c r="O1932" s="2479"/>
      <c r="P1932" s="2282"/>
      <c r="AG1932" s="2297">
        <v>260.02999999999997</v>
      </c>
      <c r="AH1932" s="2297" t="s">
        <v>342</v>
      </c>
      <c r="AI1932" s="1390"/>
      <c r="AJ1932" s="2282"/>
      <c r="AK1932" s="2282"/>
      <c r="AL1932" s="1037"/>
      <c r="AX1932" s="340">
        <v>165.14</v>
      </c>
      <c r="AY1932" s="340" t="s">
        <v>338</v>
      </c>
      <c r="BN1932" s="340">
        <v>233</v>
      </c>
      <c r="BO1932" s="340" t="s">
        <v>342</v>
      </c>
      <c r="BP1932" s="1385"/>
      <c r="BV1932" s="236">
        <v>302.02</v>
      </c>
      <c r="BW1932" s="236" t="s">
        <v>323</v>
      </c>
      <c r="CB1932" s="340">
        <v>165.14</v>
      </c>
      <c r="CC1932" s="340" t="s">
        <v>338</v>
      </c>
      <c r="CL1932" s="236">
        <v>107.08</v>
      </c>
      <c r="CM1932" s="236" t="s">
        <v>331</v>
      </c>
      <c r="CR1932" s="340">
        <v>228.02</v>
      </c>
      <c r="CS1932" s="340" t="s">
        <v>342</v>
      </c>
      <c r="CT1932" s="1384"/>
      <c r="DF1932" s="340">
        <v>189.02</v>
      </c>
      <c r="DG1932" s="340" t="s">
        <v>338</v>
      </c>
      <c r="DV1932" s="340">
        <v>260.04000000000002</v>
      </c>
      <c r="DW1932" s="340" t="s">
        <v>342</v>
      </c>
      <c r="DX1932" s="1671"/>
    </row>
    <row r="1933" spans="12:128">
      <c r="L1933" s="2481">
        <v>408.08</v>
      </c>
      <c r="M1933" s="340" t="s">
        <v>339</v>
      </c>
      <c r="N1933" s="1390"/>
      <c r="O1933" s="2479"/>
      <c r="P1933" s="2282"/>
      <c r="AG1933" s="2297">
        <v>261.01</v>
      </c>
      <c r="AH1933" s="2297" t="s">
        <v>342</v>
      </c>
      <c r="AI1933" s="1390"/>
      <c r="AJ1933" s="2282"/>
      <c r="AK1933" s="2282"/>
      <c r="AL1933" s="1037"/>
      <c r="AX1933" s="340">
        <v>166.03</v>
      </c>
      <c r="AY1933" s="340" t="s">
        <v>338</v>
      </c>
      <c r="BN1933" s="340">
        <v>233.03</v>
      </c>
      <c r="BO1933" s="340" t="s">
        <v>336</v>
      </c>
      <c r="BP1933" s="1385"/>
      <c r="BV1933" s="236">
        <v>302.05</v>
      </c>
      <c r="BW1933" s="236" t="s">
        <v>323</v>
      </c>
      <c r="CB1933" s="340">
        <v>165.15</v>
      </c>
      <c r="CC1933" s="340" t="s">
        <v>338</v>
      </c>
      <c r="CL1933" s="236">
        <v>107.08</v>
      </c>
      <c r="CM1933" s="236" t="s">
        <v>346</v>
      </c>
      <c r="CR1933" s="340">
        <v>229.01</v>
      </c>
      <c r="CS1933" s="340" t="s">
        <v>342</v>
      </c>
      <c r="CT1933" s="1384"/>
      <c r="DF1933" s="340">
        <v>190</v>
      </c>
      <c r="DG1933" s="340" t="s">
        <v>338</v>
      </c>
      <c r="DV1933" s="340">
        <v>261.02</v>
      </c>
      <c r="DW1933" s="340" t="s">
        <v>342</v>
      </c>
      <c r="DX1933" s="1671"/>
    </row>
    <row r="1934" spans="12:128">
      <c r="L1934" s="2481">
        <v>408.1</v>
      </c>
      <c r="M1934" s="340" t="s">
        <v>339</v>
      </c>
      <c r="N1934" s="1390"/>
      <c r="O1934" s="2479"/>
      <c r="P1934" s="2282"/>
      <c r="AG1934" s="2297">
        <v>266.01</v>
      </c>
      <c r="AH1934" s="2297" t="s">
        <v>342</v>
      </c>
      <c r="AI1934" s="1390"/>
      <c r="AJ1934" s="2282"/>
      <c r="AK1934" s="2282"/>
      <c r="AL1934" s="1037"/>
      <c r="AX1934" s="340">
        <v>166.06</v>
      </c>
      <c r="AY1934" s="340" t="s">
        <v>338</v>
      </c>
      <c r="BN1934" s="340">
        <v>233.04</v>
      </c>
      <c r="BO1934" s="340" t="s">
        <v>336</v>
      </c>
      <c r="BP1934" s="1385"/>
      <c r="BV1934" s="236">
        <v>303</v>
      </c>
      <c r="BW1934" s="236" t="s">
        <v>323</v>
      </c>
      <c r="CB1934" s="340">
        <v>166.03</v>
      </c>
      <c r="CC1934" s="340" t="s">
        <v>338</v>
      </c>
      <c r="CL1934" s="236">
        <v>107.09</v>
      </c>
      <c r="CM1934" s="236" t="s">
        <v>331</v>
      </c>
      <c r="CR1934" s="340">
        <v>232</v>
      </c>
      <c r="CS1934" s="340" t="s">
        <v>336</v>
      </c>
      <c r="CT1934" s="1384"/>
      <c r="DF1934" s="340">
        <v>408.01</v>
      </c>
      <c r="DG1934" s="340" t="s">
        <v>339</v>
      </c>
      <c r="DV1934" s="340">
        <v>264.01</v>
      </c>
      <c r="DW1934" s="340" t="s">
        <v>342</v>
      </c>
      <c r="DX1934" s="1671"/>
    </row>
    <row r="1935" spans="12:128">
      <c r="L1935" s="2481">
        <v>408.12</v>
      </c>
      <c r="M1935" s="340" t="s">
        <v>339</v>
      </c>
      <c r="N1935" s="1390"/>
      <c r="O1935" s="2479"/>
      <c r="P1935" s="2282"/>
      <c r="AG1935" s="2297">
        <v>267.04000000000002</v>
      </c>
      <c r="AH1935" s="2297" t="s">
        <v>342</v>
      </c>
      <c r="AI1935" s="1390"/>
      <c r="AJ1935" s="2282"/>
      <c r="AK1935" s="2282"/>
      <c r="AL1935" s="1037"/>
      <c r="AX1935" s="340">
        <v>166.07</v>
      </c>
      <c r="AY1935" s="340" t="s">
        <v>338</v>
      </c>
      <c r="BN1935" s="340">
        <v>233.05</v>
      </c>
      <c r="BO1935" s="340" t="s">
        <v>336</v>
      </c>
      <c r="BP1935" s="1385"/>
      <c r="BV1935" s="236">
        <v>401.08</v>
      </c>
      <c r="BW1935" s="236" t="s">
        <v>323</v>
      </c>
      <c r="CB1935" s="340">
        <v>166.06</v>
      </c>
      <c r="CC1935" s="340" t="s">
        <v>338</v>
      </c>
      <c r="CL1935" s="236">
        <v>107.09</v>
      </c>
      <c r="CM1935" s="236" t="s">
        <v>346</v>
      </c>
      <c r="CR1935" s="340">
        <v>232</v>
      </c>
      <c r="CS1935" s="340" t="s">
        <v>342</v>
      </c>
      <c r="CT1935" s="1384"/>
      <c r="DF1935" s="340">
        <v>408.05</v>
      </c>
      <c r="DG1935" s="340" t="s">
        <v>339</v>
      </c>
      <c r="DV1935" s="340">
        <v>265.02</v>
      </c>
      <c r="DW1935" s="340" t="s">
        <v>342</v>
      </c>
      <c r="DX1935" s="1671"/>
    </row>
    <row r="1936" spans="12:128">
      <c r="L1936" s="2481">
        <v>409.01</v>
      </c>
      <c r="M1936" s="340" t="s">
        <v>339</v>
      </c>
      <c r="N1936" s="1390"/>
      <c r="O1936" s="2479"/>
      <c r="P1936" s="2282"/>
      <c r="AG1936" s="2297">
        <v>268.08999999999997</v>
      </c>
      <c r="AH1936" s="2297" t="s">
        <v>342</v>
      </c>
      <c r="AI1936" s="1390"/>
      <c r="AJ1936" s="2282"/>
      <c r="AK1936" s="2282"/>
      <c r="AL1936" s="1037"/>
      <c r="AX1936" s="340">
        <v>167.09</v>
      </c>
      <c r="AY1936" s="340" t="s">
        <v>338</v>
      </c>
      <c r="BN1936" s="340">
        <v>233.06</v>
      </c>
      <c r="BO1936" s="340" t="s">
        <v>336</v>
      </c>
      <c r="BP1936" s="1385"/>
      <c r="BV1936" s="236">
        <v>401.09</v>
      </c>
      <c r="BW1936" s="236" t="s">
        <v>323</v>
      </c>
      <c r="CB1936" s="340">
        <v>166.07</v>
      </c>
      <c r="CC1936" s="340" t="s">
        <v>338</v>
      </c>
      <c r="CL1936" s="236">
        <v>107.1</v>
      </c>
      <c r="CM1936" s="236" t="s">
        <v>331</v>
      </c>
      <c r="CR1936" s="340">
        <v>233</v>
      </c>
      <c r="CS1936" s="340" t="s">
        <v>342</v>
      </c>
      <c r="CT1936" s="1384"/>
      <c r="DF1936" s="340">
        <v>408.06</v>
      </c>
      <c r="DG1936" s="340" t="s">
        <v>339</v>
      </c>
      <c r="DV1936" s="340">
        <v>266.01</v>
      </c>
      <c r="DW1936" s="340" t="s">
        <v>342</v>
      </c>
      <c r="DX1936" s="1671"/>
    </row>
    <row r="1937" spans="12:128">
      <c r="L1937" s="2481">
        <v>409.04</v>
      </c>
      <c r="M1937" s="340" t="s">
        <v>339</v>
      </c>
      <c r="N1937" s="1390"/>
      <c r="O1937" s="2479"/>
      <c r="P1937" s="2282"/>
      <c r="AG1937" s="2297">
        <v>268.11</v>
      </c>
      <c r="AH1937" s="2297" t="s">
        <v>342</v>
      </c>
      <c r="AI1937" s="1390"/>
      <c r="AJ1937" s="2282"/>
      <c r="AK1937" s="2282"/>
      <c r="AL1937" s="1037"/>
      <c r="AX1937" s="340">
        <v>167.1</v>
      </c>
      <c r="AY1937" s="340" t="s">
        <v>338</v>
      </c>
      <c r="BN1937" s="340">
        <v>233.08</v>
      </c>
      <c r="BO1937" s="340" t="s">
        <v>336</v>
      </c>
      <c r="BP1937" s="1385"/>
      <c r="BV1937" s="236">
        <v>401.1</v>
      </c>
      <c r="BW1937" s="236" t="s">
        <v>323</v>
      </c>
      <c r="CB1937" s="340">
        <v>167.09</v>
      </c>
      <c r="CC1937" s="340" t="s">
        <v>338</v>
      </c>
      <c r="CL1937" s="236">
        <v>107.1</v>
      </c>
      <c r="CM1937" s="236" t="s">
        <v>346</v>
      </c>
      <c r="CR1937" s="340">
        <v>233.03</v>
      </c>
      <c r="CS1937" s="340" t="s">
        <v>336</v>
      </c>
      <c r="CT1937" s="1384"/>
      <c r="DF1937" s="340">
        <v>408.07</v>
      </c>
      <c r="DG1937" s="340" t="s">
        <v>339</v>
      </c>
      <c r="DV1937" s="340">
        <v>266.02</v>
      </c>
      <c r="DW1937" s="340" t="s">
        <v>342</v>
      </c>
      <c r="DX1937" s="1671"/>
    </row>
    <row r="1938" spans="12:128">
      <c r="L1938" s="2481">
        <v>410.04</v>
      </c>
      <c r="M1938" s="340" t="s">
        <v>339</v>
      </c>
      <c r="N1938" s="1390"/>
      <c r="O1938" s="2479"/>
      <c r="P1938" s="2282"/>
      <c r="AG1938" s="2297">
        <v>268.12</v>
      </c>
      <c r="AH1938" s="2297" t="s">
        <v>342</v>
      </c>
      <c r="AI1938" s="1390"/>
      <c r="AJ1938" s="2282"/>
      <c r="AK1938" s="2282"/>
      <c r="AL1938" s="1037"/>
      <c r="AX1938" s="340">
        <v>167.16</v>
      </c>
      <c r="AY1938" s="340" t="s">
        <v>338</v>
      </c>
      <c r="BN1938" s="340">
        <v>234</v>
      </c>
      <c r="BO1938" s="340" t="s">
        <v>342</v>
      </c>
      <c r="BP1938" s="1385"/>
      <c r="BV1938" s="236">
        <v>401.11</v>
      </c>
      <c r="BW1938" s="236" t="s">
        <v>323</v>
      </c>
      <c r="CB1938" s="340">
        <v>167.1</v>
      </c>
      <c r="CC1938" s="340" t="s">
        <v>338</v>
      </c>
      <c r="CL1938" s="236">
        <v>107.11</v>
      </c>
      <c r="CM1938" s="236" t="s">
        <v>346</v>
      </c>
      <c r="CR1938" s="340">
        <v>233.04</v>
      </c>
      <c r="CS1938" s="340" t="s">
        <v>336</v>
      </c>
      <c r="CT1938" s="1384"/>
      <c r="DF1938" s="340">
        <v>408.08</v>
      </c>
      <c r="DG1938" s="340" t="s">
        <v>339</v>
      </c>
      <c r="DV1938" s="340">
        <v>267.01</v>
      </c>
      <c r="DW1938" s="340" t="s">
        <v>342</v>
      </c>
      <c r="DX1938" s="1671"/>
    </row>
    <row r="1939" spans="12:128">
      <c r="L1939" s="2481">
        <v>410.06</v>
      </c>
      <c r="M1939" s="340" t="s">
        <v>339</v>
      </c>
      <c r="N1939" s="1390"/>
      <c r="O1939" s="2479"/>
      <c r="P1939" s="2282"/>
      <c r="AG1939" s="2297">
        <v>268.14999999999998</v>
      </c>
      <c r="AH1939" s="2297" t="s">
        <v>342</v>
      </c>
      <c r="AI1939" s="1390"/>
      <c r="AJ1939" s="2282"/>
      <c r="AK1939" s="2282"/>
      <c r="AL1939" s="1037"/>
      <c r="AX1939" s="340">
        <v>167.23</v>
      </c>
      <c r="AY1939" s="340" t="s">
        <v>338</v>
      </c>
      <c r="BN1939" s="340">
        <v>235.01</v>
      </c>
      <c r="BO1939" s="340" t="s">
        <v>342</v>
      </c>
      <c r="BP1939" s="1385"/>
      <c r="BV1939" s="236">
        <v>401.13</v>
      </c>
      <c r="BW1939" s="236" t="s">
        <v>323</v>
      </c>
      <c r="CB1939" s="340">
        <v>167.16</v>
      </c>
      <c r="CC1939" s="340" t="s">
        <v>338</v>
      </c>
      <c r="CL1939" s="236">
        <v>107.12</v>
      </c>
      <c r="CM1939" s="236" t="s">
        <v>346</v>
      </c>
      <c r="CR1939" s="340">
        <v>233.05</v>
      </c>
      <c r="CS1939" s="340" t="s">
        <v>336</v>
      </c>
      <c r="CT1939" s="1384"/>
      <c r="DF1939" s="340">
        <v>408.09</v>
      </c>
      <c r="DG1939" s="340" t="s">
        <v>339</v>
      </c>
      <c r="DV1939" s="340">
        <v>267.04000000000002</v>
      </c>
      <c r="DW1939" s="340" t="s">
        <v>342</v>
      </c>
      <c r="DX1939" s="1671"/>
    </row>
    <row r="1940" spans="12:128">
      <c r="L1940" s="2481">
        <v>415.01</v>
      </c>
      <c r="M1940" s="340" t="s">
        <v>339</v>
      </c>
      <c r="N1940" s="1390"/>
      <c r="O1940" s="2479"/>
      <c r="P1940" s="2282"/>
      <c r="AG1940" s="2297">
        <v>268.16000000000003</v>
      </c>
      <c r="AH1940" s="2297" t="s">
        <v>342</v>
      </c>
      <c r="AI1940" s="1390"/>
      <c r="AJ1940" s="2282"/>
      <c r="AK1940" s="2282"/>
      <c r="AL1940" s="1037"/>
      <c r="AX1940" s="340">
        <v>167.28</v>
      </c>
      <c r="AY1940" s="340" t="s">
        <v>338</v>
      </c>
      <c r="BN1940" s="340">
        <v>235.02</v>
      </c>
      <c r="BO1940" s="340" t="s">
        <v>342</v>
      </c>
      <c r="BP1940" s="1385"/>
      <c r="BV1940" s="236">
        <v>401.17</v>
      </c>
      <c r="BW1940" s="236" t="s">
        <v>323</v>
      </c>
      <c r="CB1940" s="340">
        <v>167.17</v>
      </c>
      <c r="CC1940" s="340" t="s">
        <v>338</v>
      </c>
      <c r="CL1940" s="338">
        <v>108</v>
      </c>
      <c r="CM1940" s="338" t="s">
        <v>289</v>
      </c>
      <c r="CR1940" s="340">
        <v>233.06</v>
      </c>
      <c r="CS1940" s="340" t="s">
        <v>336</v>
      </c>
      <c r="CT1940" s="1384"/>
      <c r="DF1940" s="340">
        <v>408.11</v>
      </c>
      <c r="DG1940" s="340" t="s">
        <v>339</v>
      </c>
      <c r="DV1940" s="340">
        <v>268.08999999999997</v>
      </c>
      <c r="DW1940" s="340" t="s">
        <v>342</v>
      </c>
      <c r="DX1940" s="1671"/>
    </row>
    <row r="1941" spans="12:128">
      <c r="L1941" s="2481">
        <v>415.02</v>
      </c>
      <c r="M1941" s="340" t="s">
        <v>339</v>
      </c>
      <c r="N1941" s="1390"/>
      <c r="O1941" s="2479"/>
      <c r="P1941" s="2282"/>
      <c r="AG1941" s="2297">
        <v>268.17</v>
      </c>
      <c r="AH1941" s="2297" t="s">
        <v>342</v>
      </c>
      <c r="AI1941" s="1390"/>
      <c r="AJ1941" s="2282"/>
      <c r="AK1941" s="2282"/>
      <c r="AL1941" s="1037"/>
      <c r="AX1941" s="340">
        <v>167.31</v>
      </c>
      <c r="AY1941" s="340" t="s">
        <v>338</v>
      </c>
      <c r="BN1941" s="340">
        <v>236.01</v>
      </c>
      <c r="BO1941" s="340" t="s">
        <v>342</v>
      </c>
      <c r="BP1941" s="1385"/>
      <c r="BV1941" s="236">
        <v>401.18</v>
      </c>
      <c r="BW1941" s="236" t="s">
        <v>323</v>
      </c>
      <c r="CB1941" s="340">
        <v>167.24</v>
      </c>
      <c r="CC1941" s="340" t="s">
        <v>338</v>
      </c>
      <c r="CL1941" s="236">
        <v>108</v>
      </c>
      <c r="CM1941" s="236" t="s">
        <v>302</v>
      </c>
      <c r="CR1941" s="340">
        <v>233.08</v>
      </c>
      <c r="CS1941" s="340" t="s">
        <v>336</v>
      </c>
      <c r="CT1941" s="1384"/>
      <c r="DF1941" s="340">
        <v>408.12</v>
      </c>
      <c r="DG1941" s="340" t="s">
        <v>339</v>
      </c>
      <c r="DV1941" s="340">
        <v>268.11</v>
      </c>
      <c r="DW1941" s="340" t="s">
        <v>342</v>
      </c>
      <c r="DX1941" s="1671"/>
    </row>
    <row r="1942" spans="12:128">
      <c r="L1942" s="2481">
        <v>421</v>
      </c>
      <c r="M1942" s="340" t="s">
        <v>339</v>
      </c>
      <c r="N1942" s="1390"/>
      <c r="O1942" s="2479"/>
      <c r="P1942" s="2282"/>
      <c r="AG1942" s="2297">
        <v>268.2</v>
      </c>
      <c r="AH1942" s="2297" t="s">
        <v>342</v>
      </c>
      <c r="AI1942" s="1390"/>
      <c r="AJ1942" s="2282"/>
      <c r="AK1942" s="2282"/>
      <c r="AL1942" s="1037"/>
      <c r="AX1942" s="340">
        <v>167.35</v>
      </c>
      <c r="AY1942" s="340" t="s">
        <v>338</v>
      </c>
      <c r="BN1942" s="340">
        <v>236.02</v>
      </c>
      <c r="BO1942" s="340" t="s">
        <v>342</v>
      </c>
      <c r="BP1942" s="1385"/>
      <c r="BV1942" s="236">
        <v>401.2</v>
      </c>
      <c r="BW1942" s="236" t="s">
        <v>323</v>
      </c>
      <c r="CB1942" s="340">
        <v>167.28</v>
      </c>
      <c r="CC1942" s="340" t="s">
        <v>338</v>
      </c>
      <c r="CL1942" s="236">
        <v>108</v>
      </c>
      <c r="CM1942" s="236" t="s">
        <v>344</v>
      </c>
      <c r="CR1942" s="340">
        <v>234</v>
      </c>
      <c r="CS1942" s="340" t="s">
        <v>342</v>
      </c>
      <c r="CT1942" s="1384"/>
      <c r="DF1942" s="340">
        <v>409.01</v>
      </c>
      <c r="DG1942" s="340" t="s">
        <v>339</v>
      </c>
      <c r="DV1942" s="340">
        <v>268.12</v>
      </c>
      <c r="DW1942" s="340" t="s">
        <v>342</v>
      </c>
      <c r="DX1942" s="1671"/>
    </row>
    <row r="1943" spans="12:128">
      <c r="L1943" s="2481">
        <v>422.01</v>
      </c>
      <c r="M1943" s="340" t="s">
        <v>339</v>
      </c>
      <c r="N1943" s="1390"/>
      <c r="O1943" s="2479"/>
      <c r="P1943" s="2282"/>
      <c r="AG1943" s="2297">
        <v>268.20999999999998</v>
      </c>
      <c r="AH1943" s="2297" t="s">
        <v>342</v>
      </c>
      <c r="AI1943" s="1390"/>
      <c r="AJ1943" s="2282"/>
      <c r="AK1943" s="2282"/>
      <c r="AL1943" s="1037"/>
      <c r="AX1943" s="340">
        <v>167.36</v>
      </c>
      <c r="AY1943" s="340" t="s">
        <v>338</v>
      </c>
      <c r="BN1943" s="340">
        <v>237</v>
      </c>
      <c r="BO1943" s="340" t="s">
        <v>342</v>
      </c>
      <c r="BP1943" s="1385"/>
      <c r="BV1943" s="236">
        <v>401.21</v>
      </c>
      <c r="BW1943" s="236" t="s">
        <v>323</v>
      </c>
      <c r="CB1943" s="340">
        <v>167.31</v>
      </c>
      <c r="CC1943" s="340" t="s">
        <v>338</v>
      </c>
      <c r="CL1943" s="236">
        <v>108.01</v>
      </c>
      <c r="CM1943" s="236" t="s">
        <v>297</v>
      </c>
      <c r="CR1943" s="340">
        <v>235.01</v>
      </c>
      <c r="CS1943" s="340" t="s">
        <v>342</v>
      </c>
      <c r="CT1943" s="1384"/>
      <c r="DF1943" s="340">
        <v>410.03</v>
      </c>
      <c r="DG1943" s="340" t="s">
        <v>339</v>
      </c>
      <c r="DV1943" s="340">
        <v>268.14999999999998</v>
      </c>
      <c r="DW1943" s="340" t="s">
        <v>342</v>
      </c>
      <c r="DX1943" s="1671"/>
    </row>
    <row r="1944" spans="12:128">
      <c r="L1944" s="2481">
        <v>424</v>
      </c>
      <c r="M1944" s="340" t="s">
        <v>339</v>
      </c>
      <c r="N1944" s="1390"/>
      <c r="O1944" s="2479"/>
      <c r="P1944" s="2282"/>
      <c r="AG1944" s="2297">
        <v>269.08</v>
      </c>
      <c r="AH1944" s="2297" t="s">
        <v>342</v>
      </c>
      <c r="AI1944" s="1390"/>
      <c r="AJ1944" s="2282"/>
      <c r="AK1944" s="2282"/>
      <c r="AL1944" s="1037"/>
      <c r="AX1944" s="340">
        <v>167.37</v>
      </c>
      <c r="AY1944" s="340" t="s">
        <v>338</v>
      </c>
      <c r="BN1944" s="340">
        <v>238</v>
      </c>
      <c r="BO1944" s="340" t="s">
        <v>342</v>
      </c>
      <c r="BP1944" s="1385"/>
      <c r="BV1944" s="236">
        <v>401.22</v>
      </c>
      <c r="BW1944" s="236" t="s">
        <v>323</v>
      </c>
      <c r="CB1944" s="340">
        <v>167.35</v>
      </c>
      <c r="CC1944" s="340" t="s">
        <v>338</v>
      </c>
      <c r="CL1944" s="236">
        <v>108.01</v>
      </c>
      <c r="CM1944" s="236" t="s">
        <v>323</v>
      </c>
      <c r="CR1944" s="340">
        <v>235.02</v>
      </c>
      <c r="CS1944" s="340" t="s">
        <v>342</v>
      </c>
      <c r="CT1944" s="1384"/>
      <c r="DF1944" s="340">
        <v>410.04</v>
      </c>
      <c r="DG1944" s="340" t="s">
        <v>339</v>
      </c>
      <c r="DV1944" s="340">
        <v>268.16000000000003</v>
      </c>
      <c r="DW1944" s="340" t="s">
        <v>342</v>
      </c>
      <c r="DX1944" s="1671"/>
    </row>
    <row r="1945" spans="12:128">
      <c r="L1945" s="2481">
        <v>428</v>
      </c>
      <c r="M1945" s="340" t="s">
        <v>339</v>
      </c>
      <c r="N1945" s="1390"/>
      <c r="O1945" s="2479"/>
      <c r="P1945" s="2282"/>
      <c r="AG1945" s="2297">
        <v>269.08999999999997</v>
      </c>
      <c r="AH1945" s="2297" t="s">
        <v>342</v>
      </c>
      <c r="AI1945" s="1390"/>
      <c r="AJ1945" s="2282"/>
      <c r="AK1945" s="2282"/>
      <c r="AL1945" s="1037"/>
      <c r="AX1945" s="340">
        <v>167.4</v>
      </c>
      <c r="AY1945" s="340" t="s">
        <v>338</v>
      </c>
      <c r="BN1945" s="340">
        <v>239</v>
      </c>
      <c r="BO1945" s="340" t="s">
        <v>342</v>
      </c>
      <c r="BP1945" s="1385"/>
      <c r="BV1945" s="236">
        <v>401.23</v>
      </c>
      <c r="BW1945" s="236" t="s">
        <v>323</v>
      </c>
      <c r="CB1945" s="340">
        <v>167.36</v>
      </c>
      <c r="CC1945" s="340" t="s">
        <v>338</v>
      </c>
      <c r="CL1945" s="236">
        <v>108.02</v>
      </c>
      <c r="CM1945" s="236" t="s">
        <v>323</v>
      </c>
      <c r="CR1945" s="340">
        <v>236.01</v>
      </c>
      <c r="CS1945" s="340" t="s">
        <v>342</v>
      </c>
      <c r="CT1945" s="1384"/>
      <c r="DF1945" s="340">
        <v>410.06</v>
      </c>
      <c r="DG1945" s="340" t="s">
        <v>339</v>
      </c>
      <c r="DV1945" s="340">
        <v>268.17</v>
      </c>
      <c r="DW1945" s="340" t="s">
        <v>342</v>
      </c>
      <c r="DX1945" s="1671"/>
    </row>
    <row r="1946" spans="12:128">
      <c r="L1946" s="2481">
        <v>429.04</v>
      </c>
      <c r="M1946" s="340" t="s">
        <v>339</v>
      </c>
      <c r="N1946" s="1390"/>
      <c r="O1946" s="2479"/>
      <c r="P1946" s="2282"/>
      <c r="AG1946" s="2297">
        <v>269.11</v>
      </c>
      <c r="AH1946" s="2297" t="s">
        <v>342</v>
      </c>
      <c r="AI1946" s="1390"/>
      <c r="AJ1946" s="2282"/>
      <c r="AK1946" s="2282"/>
      <c r="AL1946" s="1037"/>
      <c r="AX1946" s="340">
        <v>167.41</v>
      </c>
      <c r="AY1946" s="340" t="s">
        <v>338</v>
      </c>
      <c r="BN1946" s="340">
        <v>240.01</v>
      </c>
      <c r="BO1946" s="340" t="s">
        <v>342</v>
      </c>
      <c r="BP1946" s="1385"/>
      <c r="BV1946" s="236">
        <v>401.24</v>
      </c>
      <c r="BW1946" s="236" t="s">
        <v>323</v>
      </c>
      <c r="CB1946" s="340">
        <v>167.37</v>
      </c>
      <c r="CC1946" s="340" t="s">
        <v>338</v>
      </c>
      <c r="CL1946" s="236">
        <v>108.02</v>
      </c>
      <c r="CM1946" s="236" t="s">
        <v>338</v>
      </c>
      <c r="CR1946" s="340">
        <v>236.02</v>
      </c>
      <c r="CS1946" s="340" t="s">
        <v>342</v>
      </c>
      <c r="CT1946" s="1384"/>
      <c r="DF1946" s="340">
        <v>413.01</v>
      </c>
      <c r="DG1946" s="340" t="s">
        <v>339</v>
      </c>
      <c r="DV1946" s="340">
        <v>268.2</v>
      </c>
      <c r="DW1946" s="340" t="s">
        <v>342</v>
      </c>
      <c r="DX1946" s="1671"/>
    </row>
    <row r="1947" spans="12:128">
      <c r="L1947" s="2481">
        <v>431</v>
      </c>
      <c r="M1947" s="340" t="s">
        <v>339</v>
      </c>
      <c r="N1947" s="1390"/>
      <c r="O1947" s="2479"/>
      <c r="P1947" s="2282"/>
      <c r="AG1947" s="2297">
        <v>269.13</v>
      </c>
      <c r="AH1947" s="2297" t="s">
        <v>342</v>
      </c>
      <c r="AI1947" s="1390"/>
      <c r="AJ1947" s="2282"/>
      <c r="AK1947" s="2282"/>
      <c r="AL1947" s="1037"/>
      <c r="AX1947" s="340">
        <v>167.42</v>
      </c>
      <c r="AY1947" s="340" t="s">
        <v>338</v>
      </c>
      <c r="BN1947" s="340">
        <v>240.02</v>
      </c>
      <c r="BO1947" s="340" t="s">
        <v>342</v>
      </c>
      <c r="BP1947" s="1385"/>
      <c r="BV1947" s="236">
        <v>401.25</v>
      </c>
      <c r="BW1947" s="236" t="s">
        <v>323</v>
      </c>
      <c r="CB1947" s="340">
        <v>167.4</v>
      </c>
      <c r="CC1947" s="340" t="s">
        <v>338</v>
      </c>
      <c r="CL1947" s="236">
        <v>108.02</v>
      </c>
      <c r="CM1947" s="236" t="s">
        <v>346</v>
      </c>
      <c r="CR1947" s="340">
        <v>237</v>
      </c>
      <c r="CS1947" s="340" t="s">
        <v>342</v>
      </c>
      <c r="CT1947" s="1384"/>
      <c r="DF1947" s="340">
        <v>415.01</v>
      </c>
      <c r="DG1947" s="340" t="s">
        <v>339</v>
      </c>
      <c r="DV1947" s="340">
        <v>269.08</v>
      </c>
      <c r="DW1947" s="340" t="s">
        <v>342</v>
      </c>
      <c r="DX1947" s="1671"/>
    </row>
    <row r="1948" spans="12:128">
      <c r="L1948" s="2481">
        <v>432.07</v>
      </c>
      <c r="M1948" s="340" t="s">
        <v>339</v>
      </c>
      <c r="N1948" s="1390"/>
      <c r="O1948" s="2479"/>
      <c r="P1948" s="2282"/>
      <c r="AG1948" s="2297">
        <v>269.14999999999998</v>
      </c>
      <c r="AH1948" s="2297" t="s">
        <v>342</v>
      </c>
      <c r="AI1948" s="1390"/>
      <c r="AJ1948" s="2282"/>
      <c r="AK1948" s="2282"/>
      <c r="AL1948" s="1037"/>
      <c r="AX1948" s="340">
        <v>167.45</v>
      </c>
      <c r="AY1948" s="340" t="s">
        <v>338</v>
      </c>
      <c r="BN1948" s="340">
        <v>240.04</v>
      </c>
      <c r="BO1948" s="340" t="s">
        <v>342</v>
      </c>
      <c r="BP1948" s="1385"/>
      <c r="BV1948" s="236">
        <v>401.26</v>
      </c>
      <c r="BW1948" s="236" t="s">
        <v>323</v>
      </c>
      <c r="CB1948" s="340">
        <v>167.43</v>
      </c>
      <c r="CC1948" s="340" t="s">
        <v>338</v>
      </c>
      <c r="CL1948" s="236">
        <v>108.03</v>
      </c>
      <c r="CM1948" s="236" t="s">
        <v>323</v>
      </c>
      <c r="CR1948" s="340">
        <v>238</v>
      </c>
      <c r="CS1948" s="340" t="s">
        <v>342</v>
      </c>
      <c r="CT1948" s="1384"/>
      <c r="DF1948" s="340">
        <v>415.02</v>
      </c>
      <c r="DG1948" s="340" t="s">
        <v>339</v>
      </c>
      <c r="DV1948" s="340">
        <v>269.13</v>
      </c>
      <c r="DW1948" s="340" t="s">
        <v>342</v>
      </c>
      <c r="DX1948" s="1671"/>
    </row>
    <row r="1949" spans="12:128">
      <c r="L1949" s="2481">
        <v>432.08</v>
      </c>
      <c r="M1949" s="340" t="s">
        <v>339</v>
      </c>
      <c r="N1949" s="1390"/>
      <c r="O1949" s="2479"/>
      <c r="P1949" s="2282"/>
      <c r="AG1949" s="2297">
        <v>269.16000000000003</v>
      </c>
      <c r="AH1949" s="2297" t="s">
        <v>342</v>
      </c>
      <c r="AI1949" s="1390"/>
      <c r="AJ1949" s="2282"/>
      <c r="AK1949" s="2282"/>
      <c r="AL1949" s="1037"/>
      <c r="AX1949" s="340">
        <v>167.46</v>
      </c>
      <c r="AY1949" s="340" t="s">
        <v>338</v>
      </c>
      <c r="BN1949" s="340">
        <v>240.05</v>
      </c>
      <c r="BO1949" s="340" t="s">
        <v>342</v>
      </c>
      <c r="BP1949" s="1385"/>
      <c r="BV1949" s="236">
        <v>401.27</v>
      </c>
      <c r="BW1949" s="236" t="s">
        <v>323</v>
      </c>
      <c r="CB1949" s="340">
        <v>167.44</v>
      </c>
      <c r="CC1949" s="340" t="s">
        <v>338</v>
      </c>
      <c r="CL1949" s="236">
        <v>108.03</v>
      </c>
      <c r="CM1949" s="236" t="s">
        <v>331</v>
      </c>
      <c r="CR1949" s="340">
        <v>239</v>
      </c>
      <c r="CS1949" s="340" t="s">
        <v>342</v>
      </c>
      <c r="CT1949" s="1384"/>
      <c r="DF1949" s="340">
        <v>416</v>
      </c>
      <c r="DG1949" s="340" t="s">
        <v>339</v>
      </c>
      <c r="DV1949" s="340">
        <v>269.14</v>
      </c>
      <c r="DW1949" s="340" t="s">
        <v>342</v>
      </c>
      <c r="DX1949" s="1671"/>
    </row>
    <row r="1950" spans="12:128">
      <c r="L1950" s="2481">
        <v>432.09</v>
      </c>
      <c r="M1950" s="340" t="s">
        <v>339</v>
      </c>
      <c r="N1950" s="1390"/>
      <c r="O1950" s="2479"/>
      <c r="P1950" s="2282"/>
      <c r="AG1950" s="2297">
        <v>270</v>
      </c>
      <c r="AH1950" s="2297" t="s">
        <v>342</v>
      </c>
      <c r="AI1950" s="1390"/>
      <c r="AJ1950" s="2282"/>
      <c r="AK1950" s="2282"/>
      <c r="AL1950" s="1037"/>
      <c r="AX1950" s="340">
        <v>167.47</v>
      </c>
      <c r="AY1950" s="340" t="s">
        <v>338</v>
      </c>
      <c r="BN1950" s="340">
        <v>241</v>
      </c>
      <c r="BO1950" s="340" t="s">
        <v>342</v>
      </c>
      <c r="BP1950" s="1385"/>
      <c r="BV1950" s="236">
        <v>401.28</v>
      </c>
      <c r="BW1950" s="236" t="s">
        <v>323</v>
      </c>
      <c r="CB1950" s="340">
        <v>167.45</v>
      </c>
      <c r="CC1950" s="340" t="s">
        <v>338</v>
      </c>
      <c r="CL1950" s="236">
        <v>108.04</v>
      </c>
      <c r="CM1950" s="236" t="s">
        <v>297</v>
      </c>
      <c r="CR1950" s="340">
        <v>240.01</v>
      </c>
      <c r="CS1950" s="340" t="s">
        <v>342</v>
      </c>
      <c r="CT1950" s="1384"/>
      <c r="DF1950" s="340">
        <v>421</v>
      </c>
      <c r="DG1950" s="340" t="s">
        <v>339</v>
      </c>
      <c r="DV1950" s="340">
        <v>269.14999999999998</v>
      </c>
      <c r="DW1950" s="340" t="s">
        <v>342</v>
      </c>
      <c r="DX1950" s="1671"/>
    </row>
    <row r="1951" spans="12:128">
      <c r="L1951" s="2481">
        <v>433.01</v>
      </c>
      <c r="M1951" s="340" t="s">
        <v>339</v>
      </c>
      <c r="N1951" s="1390"/>
      <c r="O1951" s="2479"/>
      <c r="P1951" s="2282"/>
      <c r="AG1951" s="2297">
        <v>271.05</v>
      </c>
      <c r="AH1951" s="2297" t="s">
        <v>342</v>
      </c>
      <c r="AI1951" s="1390"/>
      <c r="AJ1951" s="2282"/>
      <c r="AK1951" s="2282"/>
      <c r="AL1951" s="1037"/>
      <c r="AX1951" s="340">
        <v>167.48</v>
      </c>
      <c r="AY1951" s="340" t="s">
        <v>338</v>
      </c>
      <c r="BN1951" s="340">
        <v>242.01</v>
      </c>
      <c r="BO1951" s="340" t="s">
        <v>342</v>
      </c>
      <c r="BP1951" s="1385"/>
      <c r="BV1951" s="236">
        <v>401.29</v>
      </c>
      <c r="BW1951" s="236" t="s">
        <v>323</v>
      </c>
      <c r="CB1951" s="340">
        <v>167.46</v>
      </c>
      <c r="CC1951" s="340" t="s">
        <v>338</v>
      </c>
      <c r="CL1951" s="236">
        <v>108.04</v>
      </c>
      <c r="CM1951" s="236" t="s">
        <v>331</v>
      </c>
      <c r="CR1951" s="340">
        <v>240.02</v>
      </c>
      <c r="CS1951" s="340" t="s">
        <v>342</v>
      </c>
      <c r="CT1951" s="1384"/>
      <c r="DF1951" s="340">
        <v>422.01</v>
      </c>
      <c r="DG1951" s="340" t="s">
        <v>339</v>
      </c>
      <c r="DV1951" s="340">
        <v>269.16000000000003</v>
      </c>
      <c r="DW1951" s="340" t="s">
        <v>342</v>
      </c>
      <c r="DX1951" s="1671"/>
    </row>
    <row r="1952" spans="12:128">
      <c r="L1952" s="2481">
        <v>433.03</v>
      </c>
      <c r="M1952" s="340" t="s">
        <v>339</v>
      </c>
      <c r="N1952" s="1390"/>
      <c r="O1952" s="2479"/>
      <c r="P1952" s="2282"/>
      <c r="AG1952" s="2297">
        <v>271.06</v>
      </c>
      <c r="AH1952" s="2297" t="s">
        <v>342</v>
      </c>
      <c r="AI1952" s="1390"/>
      <c r="AJ1952" s="2282"/>
      <c r="AK1952" s="2282"/>
      <c r="AL1952" s="1037"/>
      <c r="AX1952" s="340">
        <v>167.49</v>
      </c>
      <c r="AY1952" s="340" t="s">
        <v>338</v>
      </c>
      <c r="BN1952" s="340">
        <v>242.02</v>
      </c>
      <c r="BO1952" s="340" t="s">
        <v>342</v>
      </c>
      <c r="BP1952" s="1385"/>
      <c r="BV1952" s="236">
        <v>401.3</v>
      </c>
      <c r="BW1952" s="236" t="s">
        <v>323</v>
      </c>
      <c r="CB1952" s="340">
        <v>167.47</v>
      </c>
      <c r="CC1952" s="340" t="s">
        <v>338</v>
      </c>
      <c r="CL1952" s="236">
        <v>108.05</v>
      </c>
      <c r="CM1952" s="236" t="s">
        <v>297</v>
      </c>
      <c r="CR1952" s="340">
        <v>240.04</v>
      </c>
      <c r="CS1952" s="340" t="s">
        <v>342</v>
      </c>
      <c r="CT1952" s="1384"/>
      <c r="DF1952" s="340">
        <v>424</v>
      </c>
      <c r="DG1952" s="340" t="s">
        <v>339</v>
      </c>
      <c r="DV1952" s="340">
        <v>269.17</v>
      </c>
      <c r="DW1952" s="340" t="s">
        <v>342</v>
      </c>
      <c r="DX1952" s="1671"/>
    </row>
    <row r="1953" spans="12:128">
      <c r="L1953" s="2481">
        <v>433.04</v>
      </c>
      <c r="M1953" s="340" t="s">
        <v>339</v>
      </c>
      <c r="N1953" s="1390"/>
      <c r="O1953" s="2479"/>
      <c r="P1953" s="2282"/>
      <c r="AG1953" s="2297">
        <v>271.08</v>
      </c>
      <c r="AH1953" s="2297" t="s">
        <v>342</v>
      </c>
      <c r="AI1953" s="1390"/>
      <c r="AJ1953" s="2282"/>
      <c r="AK1953" s="2282"/>
      <c r="AL1953" s="1037"/>
      <c r="AX1953" s="340">
        <v>167.5</v>
      </c>
      <c r="AY1953" s="340" t="s">
        <v>338</v>
      </c>
      <c r="BN1953" s="340">
        <v>243.01</v>
      </c>
      <c r="BO1953" s="340" t="s">
        <v>342</v>
      </c>
      <c r="BP1953" s="1385"/>
      <c r="BV1953" s="236">
        <v>401.31</v>
      </c>
      <c r="BW1953" s="236" t="s">
        <v>323</v>
      </c>
      <c r="CB1953" s="340">
        <v>167.48</v>
      </c>
      <c r="CC1953" s="340" t="s">
        <v>338</v>
      </c>
      <c r="CL1953" s="236">
        <v>108.05</v>
      </c>
      <c r="CM1953" s="236" t="s">
        <v>316</v>
      </c>
      <c r="CR1953" s="340">
        <v>240.05</v>
      </c>
      <c r="CS1953" s="340" t="s">
        <v>342</v>
      </c>
      <c r="CT1953" s="1384"/>
      <c r="DF1953" s="340">
        <v>425</v>
      </c>
      <c r="DG1953" s="340" t="s">
        <v>339</v>
      </c>
      <c r="DV1953" s="340">
        <v>270</v>
      </c>
      <c r="DW1953" s="340" t="s">
        <v>342</v>
      </c>
      <c r="DX1953" s="1671"/>
    </row>
    <row r="1954" spans="12:128">
      <c r="L1954" s="2481">
        <v>435</v>
      </c>
      <c r="M1954" s="340" t="s">
        <v>339</v>
      </c>
      <c r="N1954" s="1390"/>
      <c r="O1954" s="2479"/>
      <c r="P1954" s="2282"/>
      <c r="AG1954" s="2297">
        <v>272.02</v>
      </c>
      <c r="AH1954" s="2297" t="s">
        <v>342</v>
      </c>
      <c r="AI1954" s="1390"/>
      <c r="AJ1954" s="2282"/>
      <c r="AK1954" s="2282"/>
      <c r="AL1954" s="1037"/>
      <c r="AX1954" s="340">
        <v>167.51</v>
      </c>
      <c r="AY1954" s="340" t="s">
        <v>338</v>
      </c>
      <c r="BN1954" s="340">
        <v>244.06</v>
      </c>
      <c r="BO1954" s="340" t="s">
        <v>342</v>
      </c>
      <c r="BP1954" s="1385"/>
      <c r="BV1954" s="236">
        <v>401.32</v>
      </c>
      <c r="BW1954" s="236" t="s">
        <v>323</v>
      </c>
      <c r="CB1954" s="340">
        <v>167.49</v>
      </c>
      <c r="CC1954" s="340" t="s">
        <v>338</v>
      </c>
      <c r="CL1954" s="236">
        <v>108.05</v>
      </c>
      <c r="CM1954" s="236" t="s">
        <v>331</v>
      </c>
      <c r="CR1954" s="340">
        <v>241</v>
      </c>
      <c r="CS1954" s="340" t="s">
        <v>342</v>
      </c>
      <c r="CT1954" s="1384"/>
      <c r="DF1954" s="340">
        <v>428</v>
      </c>
      <c r="DG1954" s="340" t="s">
        <v>339</v>
      </c>
      <c r="DV1954" s="340">
        <v>271.05</v>
      </c>
      <c r="DW1954" s="340" t="s">
        <v>342</v>
      </c>
      <c r="DX1954" s="1671"/>
    </row>
    <row r="1955" spans="12:128">
      <c r="L1955" s="2481">
        <v>436</v>
      </c>
      <c r="M1955" s="340" t="s">
        <v>339</v>
      </c>
      <c r="N1955" s="1390"/>
      <c r="O1955" s="2479"/>
      <c r="P1955" s="2282"/>
      <c r="AG1955" s="2297">
        <v>272.04000000000002</v>
      </c>
      <c r="AH1955" s="2297" t="s">
        <v>342</v>
      </c>
      <c r="AI1955" s="1390"/>
      <c r="AJ1955" s="2282"/>
      <c r="AK1955" s="2282"/>
      <c r="AL1955" s="1037"/>
      <c r="AX1955" s="340">
        <v>167.52</v>
      </c>
      <c r="AY1955" s="340" t="s">
        <v>338</v>
      </c>
      <c r="BN1955" s="340">
        <v>244.08</v>
      </c>
      <c r="BO1955" s="340" t="s">
        <v>342</v>
      </c>
      <c r="BP1955" s="1385"/>
      <c r="BV1955" s="236">
        <v>401.33</v>
      </c>
      <c r="BW1955" s="236" t="s">
        <v>323</v>
      </c>
      <c r="CB1955" s="340">
        <v>167.5</v>
      </c>
      <c r="CC1955" s="340" t="s">
        <v>338</v>
      </c>
      <c r="CL1955" s="236">
        <v>108.06</v>
      </c>
      <c r="CM1955" s="236" t="s">
        <v>297</v>
      </c>
      <c r="CR1955" s="340">
        <v>242.01</v>
      </c>
      <c r="CS1955" s="340" t="s">
        <v>342</v>
      </c>
      <c r="CT1955" s="1384"/>
      <c r="DF1955" s="340">
        <v>429.03</v>
      </c>
      <c r="DG1955" s="340" t="s">
        <v>339</v>
      </c>
      <c r="DV1955" s="340">
        <v>271.06</v>
      </c>
      <c r="DW1955" s="340" t="s">
        <v>342</v>
      </c>
      <c r="DX1955" s="1671"/>
    </row>
    <row r="1956" spans="12:128">
      <c r="L1956" s="2481">
        <v>437</v>
      </c>
      <c r="M1956" s="340" t="s">
        <v>339</v>
      </c>
      <c r="N1956" s="1390"/>
      <c r="O1956" s="2479"/>
      <c r="P1956" s="2282"/>
      <c r="AG1956" s="2297">
        <v>272.06</v>
      </c>
      <c r="AH1956" s="2297" t="s">
        <v>342</v>
      </c>
      <c r="AI1956" s="1390"/>
      <c r="AJ1956" s="2282"/>
      <c r="AK1956" s="2282"/>
      <c r="AL1956" s="1037"/>
      <c r="AX1956" s="340">
        <v>167.53</v>
      </c>
      <c r="AY1956" s="340" t="s">
        <v>338</v>
      </c>
      <c r="BN1956" s="340">
        <v>244.09</v>
      </c>
      <c r="BO1956" s="340" t="s">
        <v>342</v>
      </c>
      <c r="BP1956" s="1385"/>
      <c r="BV1956" s="236">
        <v>401.34</v>
      </c>
      <c r="BW1956" s="236" t="s">
        <v>323</v>
      </c>
      <c r="CB1956" s="340">
        <v>167.51</v>
      </c>
      <c r="CC1956" s="340" t="s">
        <v>338</v>
      </c>
      <c r="CL1956" s="236">
        <v>108.06</v>
      </c>
      <c r="CM1956" s="236" t="s">
        <v>331</v>
      </c>
      <c r="CR1956" s="340">
        <v>242.02</v>
      </c>
      <c r="CS1956" s="340" t="s">
        <v>342</v>
      </c>
      <c r="CT1956" s="1384"/>
      <c r="DF1956" s="340">
        <v>429.04</v>
      </c>
      <c r="DG1956" s="340" t="s">
        <v>339</v>
      </c>
      <c r="DV1956" s="340">
        <v>272.02</v>
      </c>
      <c r="DW1956" s="340" t="s">
        <v>342</v>
      </c>
      <c r="DX1956" s="1671"/>
    </row>
    <row r="1957" spans="12:128">
      <c r="L1957" s="2481">
        <v>438.01</v>
      </c>
      <c r="M1957" s="340" t="s">
        <v>339</v>
      </c>
      <c r="N1957" s="1390"/>
      <c r="O1957" s="2479"/>
      <c r="P1957" s="2282"/>
      <c r="AG1957" s="2297">
        <v>272.07</v>
      </c>
      <c r="AH1957" s="2297" t="s">
        <v>342</v>
      </c>
      <c r="AI1957" s="1390"/>
      <c r="AJ1957" s="2282"/>
      <c r="AK1957" s="2282"/>
      <c r="AL1957" s="1037"/>
      <c r="AX1957" s="340">
        <v>167.55</v>
      </c>
      <c r="AY1957" s="340" t="s">
        <v>338</v>
      </c>
      <c r="BN1957" s="340">
        <v>244.11</v>
      </c>
      <c r="BO1957" s="340" t="s">
        <v>342</v>
      </c>
      <c r="BP1957" s="1385"/>
      <c r="BV1957" s="236">
        <v>401.35</v>
      </c>
      <c r="BW1957" s="236" t="s">
        <v>323</v>
      </c>
      <c r="CB1957" s="340">
        <v>167.52</v>
      </c>
      <c r="CC1957" s="340" t="s">
        <v>338</v>
      </c>
      <c r="CL1957" s="236">
        <v>108.07</v>
      </c>
      <c r="CM1957" s="236" t="s">
        <v>297</v>
      </c>
      <c r="CR1957" s="340">
        <v>244.06</v>
      </c>
      <c r="CS1957" s="340" t="s">
        <v>342</v>
      </c>
      <c r="CT1957" s="1384"/>
      <c r="DF1957" s="340">
        <v>431</v>
      </c>
      <c r="DG1957" s="340" t="s">
        <v>339</v>
      </c>
      <c r="DV1957" s="340">
        <v>272.04000000000002</v>
      </c>
      <c r="DW1957" s="340" t="s">
        <v>342</v>
      </c>
      <c r="DX1957" s="1671"/>
    </row>
    <row r="1958" spans="12:128">
      <c r="L1958" s="2481">
        <v>1.02</v>
      </c>
      <c r="M1958" s="340" t="s">
        <v>340</v>
      </c>
      <c r="N1958" s="1390"/>
      <c r="O1958" s="2479"/>
      <c r="P1958" s="2282"/>
      <c r="AG1958" s="2297">
        <v>272.08</v>
      </c>
      <c r="AH1958" s="2297" t="s">
        <v>342</v>
      </c>
      <c r="AI1958" s="1390"/>
      <c r="AJ1958" s="2282"/>
      <c r="AK1958" s="2282"/>
      <c r="AL1958" s="1037"/>
      <c r="AX1958" s="340">
        <v>167.56</v>
      </c>
      <c r="AY1958" s="340" t="s">
        <v>338</v>
      </c>
      <c r="BN1958" s="340">
        <v>244.12</v>
      </c>
      <c r="BO1958" s="340" t="s">
        <v>342</v>
      </c>
      <c r="BP1958" s="1385"/>
      <c r="BV1958" s="236">
        <v>401.36</v>
      </c>
      <c r="BW1958" s="236" t="s">
        <v>323</v>
      </c>
      <c r="CB1958" s="340">
        <v>167.53</v>
      </c>
      <c r="CC1958" s="340" t="s">
        <v>338</v>
      </c>
      <c r="CL1958" s="236">
        <v>108.08</v>
      </c>
      <c r="CM1958" s="236" t="s">
        <v>297</v>
      </c>
      <c r="CR1958" s="340">
        <v>244.09</v>
      </c>
      <c r="CS1958" s="340" t="s">
        <v>342</v>
      </c>
      <c r="CT1958" s="1384"/>
      <c r="DF1958" s="340">
        <v>432.07</v>
      </c>
      <c r="DG1958" s="340" t="s">
        <v>339</v>
      </c>
      <c r="DV1958" s="340">
        <v>272.06</v>
      </c>
      <c r="DW1958" s="340" t="s">
        <v>342</v>
      </c>
      <c r="DX1958" s="1671"/>
    </row>
    <row r="1959" spans="12:128">
      <c r="L1959" s="2481">
        <v>1.03</v>
      </c>
      <c r="M1959" s="340" t="s">
        <v>340</v>
      </c>
      <c r="N1959" s="1390"/>
      <c r="O1959" s="2479"/>
      <c r="P1959" s="2282"/>
      <c r="AG1959" s="2297">
        <v>272.10000000000002</v>
      </c>
      <c r="AH1959" s="2297" t="s">
        <v>342</v>
      </c>
      <c r="AI1959" s="1390"/>
      <c r="AJ1959" s="2282"/>
      <c r="AK1959" s="2282"/>
      <c r="AL1959" s="1037"/>
      <c r="AX1959" s="340">
        <v>168.02</v>
      </c>
      <c r="AY1959" s="340" t="s">
        <v>338</v>
      </c>
      <c r="BN1959" s="340">
        <v>244.13</v>
      </c>
      <c r="BO1959" s="340" t="s">
        <v>342</v>
      </c>
      <c r="BP1959" s="1385"/>
      <c r="BV1959" s="236">
        <v>401.37</v>
      </c>
      <c r="BW1959" s="236" t="s">
        <v>323</v>
      </c>
      <c r="CB1959" s="340">
        <v>167.55</v>
      </c>
      <c r="CC1959" s="340" t="s">
        <v>338</v>
      </c>
      <c r="CL1959" s="236">
        <v>108.08</v>
      </c>
      <c r="CM1959" s="236" t="s">
        <v>316</v>
      </c>
      <c r="CR1959" s="340">
        <v>244.11</v>
      </c>
      <c r="CS1959" s="340" t="s">
        <v>342</v>
      </c>
      <c r="CT1959" s="1384"/>
      <c r="DF1959" s="340">
        <v>432.08</v>
      </c>
      <c r="DG1959" s="340" t="s">
        <v>339</v>
      </c>
      <c r="DV1959" s="340">
        <v>272.07</v>
      </c>
      <c r="DW1959" s="340" t="s">
        <v>342</v>
      </c>
      <c r="DX1959" s="1671"/>
    </row>
    <row r="1960" spans="12:128">
      <c r="L1960" s="2481">
        <v>1.04</v>
      </c>
      <c r="M1960" s="340" t="s">
        <v>340</v>
      </c>
      <c r="N1960" s="1390"/>
      <c r="O1960" s="2479"/>
      <c r="P1960" s="2282"/>
      <c r="AG1960" s="2297">
        <v>272.12</v>
      </c>
      <c r="AH1960" s="2297" t="s">
        <v>342</v>
      </c>
      <c r="AI1960" s="1390"/>
      <c r="AJ1960" s="2282"/>
      <c r="AK1960" s="2282"/>
      <c r="AL1960" s="1037"/>
      <c r="AX1960" s="340">
        <v>168.04</v>
      </c>
      <c r="AY1960" s="340" t="s">
        <v>338</v>
      </c>
      <c r="BN1960" s="340">
        <v>245.05</v>
      </c>
      <c r="BO1960" s="340" t="s">
        <v>342</v>
      </c>
      <c r="BP1960" s="1385"/>
      <c r="BV1960" s="236">
        <v>401.38</v>
      </c>
      <c r="BW1960" s="236" t="s">
        <v>323</v>
      </c>
      <c r="CB1960" s="340">
        <v>167.56</v>
      </c>
      <c r="CC1960" s="340" t="s">
        <v>338</v>
      </c>
      <c r="CL1960" s="236">
        <v>108.08</v>
      </c>
      <c r="CM1960" s="236" t="s">
        <v>346</v>
      </c>
      <c r="CR1960" s="340">
        <v>244.12</v>
      </c>
      <c r="CS1960" s="340" t="s">
        <v>342</v>
      </c>
      <c r="CT1960" s="1384"/>
      <c r="DF1960" s="340">
        <v>432.09</v>
      </c>
      <c r="DG1960" s="340" t="s">
        <v>339</v>
      </c>
      <c r="DV1960" s="340">
        <v>272.08</v>
      </c>
      <c r="DW1960" s="340" t="s">
        <v>342</v>
      </c>
      <c r="DX1960" s="1671"/>
    </row>
    <row r="1961" spans="12:128">
      <c r="L1961" s="2481">
        <v>2.04</v>
      </c>
      <c r="M1961" s="340" t="s">
        <v>340</v>
      </c>
      <c r="N1961" s="1390"/>
      <c r="O1961" s="2479"/>
      <c r="P1961" s="2282"/>
      <c r="AG1961" s="2297">
        <v>273.08</v>
      </c>
      <c r="AH1961" s="2297" t="s">
        <v>342</v>
      </c>
      <c r="AI1961" s="1390"/>
      <c r="AJ1961" s="2282"/>
      <c r="AK1961" s="2282"/>
      <c r="AL1961" s="1037"/>
      <c r="AX1961" s="340">
        <v>168.08</v>
      </c>
      <c r="AY1961" s="340" t="s">
        <v>338</v>
      </c>
      <c r="BN1961" s="340">
        <v>245.07</v>
      </c>
      <c r="BO1961" s="340" t="s">
        <v>342</v>
      </c>
      <c r="BP1961" s="1385"/>
      <c r="BV1961" s="236">
        <v>401.39</v>
      </c>
      <c r="BW1961" s="236" t="s">
        <v>323</v>
      </c>
      <c r="CB1961" s="340">
        <v>168.02</v>
      </c>
      <c r="CC1961" s="340" t="s">
        <v>338</v>
      </c>
      <c r="CL1961" s="236">
        <v>108.09</v>
      </c>
      <c r="CM1961" s="236" t="s">
        <v>316</v>
      </c>
      <c r="CR1961" s="340">
        <v>244.13</v>
      </c>
      <c r="CS1961" s="340" t="s">
        <v>342</v>
      </c>
      <c r="CT1961" s="1384"/>
      <c r="DF1961" s="340">
        <v>433.01</v>
      </c>
      <c r="DG1961" s="340" t="s">
        <v>339</v>
      </c>
      <c r="DV1961" s="340">
        <v>272.08999999999997</v>
      </c>
      <c r="DW1961" s="340" t="s">
        <v>342</v>
      </c>
      <c r="DX1961" s="1671"/>
    </row>
    <row r="1962" spans="12:128">
      <c r="L1962" s="2481">
        <v>2.08</v>
      </c>
      <c r="M1962" s="340" t="s">
        <v>340</v>
      </c>
      <c r="N1962" s="1390"/>
      <c r="O1962" s="2479"/>
      <c r="P1962" s="2282"/>
      <c r="AG1962" s="2297">
        <v>273.08999999999997</v>
      </c>
      <c r="AH1962" s="2297" t="s">
        <v>342</v>
      </c>
      <c r="AI1962" s="1390"/>
      <c r="AJ1962" s="2282"/>
      <c r="AK1962" s="2282"/>
      <c r="AL1962" s="1037"/>
      <c r="AX1962" s="340">
        <v>168.09</v>
      </c>
      <c r="AY1962" s="340" t="s">
        <v>338</v>
      </c>
      <c r="BN1962" s="340">
        <v>245.09</v>
      </c>
      <c r="BO1962" s="340" t="s">
        <v>342</v>
      </c>
      <c r="BP1962" s="1385"/>
      <c r="BV1962" s="236">
        <v>402.05</v>
      </c>
      <c r="BW1962" s="236" t="s">
        <v>323</v>
      </c>
      <c r="CB1962" s="340">
        <v>168.04</v>
      </c>
      <c r="CC1962" s="340" t="s">
        <v>338</v>
      </c>
      <c r="CL1962" s="236">
        <v>108.09</v>
      </c>
      <c r="CM1962" s="236" t="s">
        <v>346</v>
      </c>
      <c r="CR1962" s="340">
        <v>245.05</v>
      </c>
      <c r="CS1962" s="340" t="s">
        <v>342</v>
      </c>
      <c r="CT1962" s="1384"/>
      <c r="DF1962" s="340">
        <v>433.03</v>
      </c>
      <c r="DG1962" s="340" t="s">
        <v>339</v>
      </c>
      <c r="DV1962" s="340">
        <v>272.10000000000002</v>
      </c>
      <c r="DW1962" s="340" t="s">
        <v>342</v>
      </c>
      <c r="DX1962" s="1671"/>
    </row>
    <row r="1963" spans="12:128">
      <c r="L1963" s="2481">
        <v>2.1</v>
      </c>
      <c r="M1963" s="340" t="s">
        <v>340</v>
      </c>
      <c r="N1963" s="1390"/>
      <c r="O1963" s="2479"/>
      <c r="P1963" s="2282"/>
      <c r="AG1963" s="2297">
        <v>273.14</v>
      </c>
      <c r="AH1963" s="2297" t="s">
        <v>342</v>
      </c>
      <c r="AI1963" s="1390"/>
      <c r="AJ1963" s="2282"/>
      <c r="AK1963" s="2282"/>
      <c r="AL1963" s="1037"/>
      <c r="AX1963" s="340">
        <v>168.1</v>
      </c>
      <c r="AY1963" s="340" t="s">
        <v>338</v>
      </c>
      <c r="BN1963" s="340">
        <v>245.14</v>
      </c>
      <c r="BO1963" s="340" t="s">
        <v>342</v>
      </c>
      <c r="BP1963" s="1385"/>
      <c r="BV1963" s="236">
        <v>402.06</v>
      </c>
      <c r="BW1963" s="236" t="s">
        <v>323</v>
      </c>
      <c r="CB1963" s="340">
        <v>168.08</v>
      </c>
      <c r="CC1963" s="340" t="s">
        <v>338</v>
      </c>
      <c r="CL1963" s="236">
        <v>108.1</v>
      </c>
      <c r="CM1963" s="236" t="s">
        <v>316</v>
      </c>
      <c r="CR1963" s="340">
        <v>245.07</v>
      </c>
      <c r="CS1963" s="340" t="s">
        <v>342</v>
      </c>
      <c r="CT1963" s="1384"/>
      <c r="DF1963" s="340">
        <v>433.04</v>
      </c>
      <c r="DG1963" s="340" t="s">
        <v>339</v>
      </c>
      <c r="DV1963" s="340">
        <v>272.11</v>
      </c>
      <c r="DW1963" s="340" t="s">
        <v>342</v>
      </c>
      <c r="DX1963" s="1671"/>
    </row>
    <row r="1964" spans="12:128">
      <c r="L1964" s="2481">
        <v>2.11</v>
      </c>
      <c r="M1964" s="340" t="s">
        <v>340</v>
      </c>
      <c r="N1964" s="1390"/>
      <c r="O1964" s="2479"/>
      <c r="P1964" s="2282"/>
      <c r="AG1964" s="2297">
        <v>273.16000000000003</v>
      </c>
      <c r="AH1964" s="2297" t="s">
        <v>342</v>
      </c>
      <c r="AI1964" s="1390"/>
      <c r="AJ1964" s="2282"/>
      <c r="AK1964" s="2282"/>
      <c r="AL1964" s="1037"/>
      <c r="AX1964" s="340">
        <v>168.11</v>
      </c>
      <c r="AY1964" s="340" t="s">
        <v>338</v>
      </c>
      <c r="BN1964" s="340">
        <v>245.17</v>
      </c>
      <c r="BO1964" s="340" t="s">
        <v>342</v>
      </c>
      <c r="BP1964" s="1385"/>
      <c r="BV1964" s="236">
        <v>402.07</v>
      </c>
      <c r="BW1964" s="236" t="s">
        <v>323</v>
      </c>
      <c r="CB1964" s="340">
        <v>168.1</v>
      </c>
      <c r="CC1964" s="340" t="s">
        <v>338</v>
      </c>
      <c r="CL1964" s="236">
        <v>108.11</v>
      </c>
      <c r="CM1964" s="236" t="s">
        <v>316</v>
      </c>
      <c r="CR1964" s="340">
        <v>245.09</v>
      </c>
      <c r="CS1964" s="340" t="s">
        <v>342</v>
      </c>
      <c r="CT1964" s="1384"/>
      <c r="DF1964" s="340">
        <v>436</v>
      </c>
      <c r="DG1964" s="340" t="s">
        <v>339</v>
      </c>
      <c r="DV1964" s="340">
        <v>272.12</v>
      </c>
      <c r="DW1964" s="340" t="s">
        <v>342</v>
      </c>
      <c r="DX1964" s="1671"/>
    </row>
    <row r="1965" spans="12:128">
      <c r="L1965" s="2481">
        <v>2.14</v>
      </c>
      <c r="M1965" s="340" t="s">
        <v>340</v>
      </c>
      <c r="N1965" s="1390"/>
      <c r="O1965" s="2479"/>
      <c r="P1965" s="2282"/>
      <c r="AG1965" s="2297">
        <v>273.17</v>
      </c>
      <c r="AH1965" s="2297" t="s">
        <v>342</v>
      </c>
      <c r="AI1965" s="1390"/>
      <c r="AJ1965" s="2282"/>
      <c r="AK1965" s="2282"/>
      <c r="AL1965" s="1037"/>
      <c r="AX1965" s="340">
        <v>169.08</v>
      </c>
      <c r="AY1965" s="340" t="s">
        <v>338</v>
      </c>
      <c r="BN1965" s="340">
        <v>245.19</v>
      </c>
      <c r="BO1965" s="340" t="s">
        <v>342</v>
      </c>
      <c r="BP1965" s="1385"/>
      <c r="BV1965" s="236">
        <v>402.08</v>
      </c>
      <c r="BW1965" s="236" t="s">
        <v>323</v>
      </c>
      <c r="CB1965" s="340">
        <v>168.11</v>
      </c>
      <c r="CC1965" s="340" t="s">
        <v>338</v>
      </c>
      <c r="CL1965" s="236">
        <v>108.12</v>
      </c>
      <c r="CM1965" s="236" t="s">
        <v>346</v>
      </c>
      <c r="CR1965" s="340">
        <v>245.17</v>
      </c>
      <c r="CS1965" s="340" t="s">
        <v>342</v>
      </c>
      <c r="CT1965" s="1384"/>
      <c r="DF1965" s="340">
        <v>437</v>
      </c>
      <c r="DG1965" s="340" t="s">
        <v>339</v>
      </c>
      <c r="DV1965" s="340">
        <v>273.08999999999997</v>
      </c>
      <c r="DW1965" s="340" t="s">
        <v>342</v>
      </c>
      <c r="DX1965" s="1671"/>
    </row>
    <row r="1966" spans="12:128">
      <c r="L1966" s="2481">
        <v>2.16</v>
      </c>
      <c r="M1966" s="340" t="s">
        <v>340</v>
      </c>
      <c r="N1966" s="1390"/>
      <c r="O1966" s="2479"/>
      <c r="P1966" s="2282"/>
      <c r="AG1966" s="2297">
        <v>273.18</v>
      </c>
      <c r="AH1966" s="2297" t="s">
        <v>342</v>
      </c>
      <c r="AI1966" s="1390"/>
      <c r="AJ1966" s="2282"/>
      <c r="AK1966" s="2282"/>
      <c r="AL1966" s="1037"/>
      <c r="AX1966" s="340">
        <v>170.04</v>
      </c>
      <c r="AY1966" s="340" t="s">
        <v>338</v>
      </c>
      <c r="BN1966" s="340">
        <v>248.05</v>
      </c>
      <c r="BO1966" s="340" t="s">
        <v>342</v>
      </c>
      <c r="BP1966" s="1385"/>
      <c r="BV1966" s="236">
        <v>402.09</v>
      </c>
      <c r="BW1966" s="236" t="s">
        <v>323</v>
      </c>
      <c r="CB1966" s="340">
        <v>168.13</v>
      </c>
      <c r="CC1966" s="340" t="s">
        <v>338</v>
      </c>
      <c r="CL1966" s="236">
        <v>108.13</v>
      </c>
      <c r="CM1966" s="236" t="s">
        <v>346</v>
      </c>
      <c r="CR1966" s="340">
        <v>245.19</v>
      </c>
      <c r="CS1966" s="340" t="s">
        <v>342</v>
      </c>
      <c r="CT1966" s="1384"/>
      <c r="DF1966" s="340">
        <v>438.01</v>
      </c>
      <c r="DG1966" s="340" t="s">
        <v>339</v>
      </c>
      <c r="DV1966" s="340">
        <v>273.14</v>
      </c>
      <c r="DW1966" s="340" t="s">
        <v>342</v>
      </c>
      <c r="DX1966" s="1671"/>
    </row>
    <row r="1967" spans="12:128">
      <c r="L1967" s="2481">
        <v>2.17</v>
      </c>
      <c r="M1967" s="340" t="s">
        <v>340</v>
      </c>
      <c r="N1967" s="1390"/>
      <c r="O1967" s="2479"/>
      <c r="P1967" s="2282"/>
      <c r="AG1967" s="2297">
        <v>273.19</v>
      </c>
      <c r="AH1967" s="2297" t="s">
        <v>342</v>
      </c>
      <c r="AI1967" s="1390"/>
      <c r="AJ1967" s="2282"/>
      <c r="AK1967" s="2282"/>
      <c r="AL1967" s="1037"/>
      <c r="AX1967" s="340">
        <v>170.06</v>
      </c>
      <c r="AY1967" s="340" t="s">
        <v>338</v>
      </c>
      <c r="BN1967" s="340">
        <v>249.04</v>
      </c>
      <c r="BO1967" s="340" t="s">
        <v>342</v>
      </c>
      <c r="BP1967" s="1385"/>
      <c r="BV1967" s="236">
        <v>402.1</v>
      </c>
      <c r="BW1967" s="236" t="s">
        <v>323</v>
      </c>
      <c r="CB1967" s="340">
        <v>169.09</v>
      </c>
      <c r="CC1967" s="340" t="s">
        <v>338</v>
      </c>
      <c r="CL1967" s="236">
        <v>108.14</v>
      </c>
      <c r="CM1967" s="236" t="s">
        <v>316</v>
      </c>
      <c r="CR1967" s="340">
        <v>249.05</v>
      </c>
      <c r="CS1967" s="340" t="s">
        <v>342</v>
      </c>
      <c r="CT1967" s="1384"/>
      <c r="DF1967" s="340">
        <v>1.02</v>
      </c>
      <c r="DG1967" s="340" t="s">
        <v>340</v>
      </c>
      <c r="DV1967" s="340">
        <v>273.16000000000003</v>
      </c>
      <c r="DW1967" s="340" t="s">
        <v>342</v>
      </c>
      <c r="DX1967" s="1671"/>
    </row>
    <row r="1968" spans="12:128">
      <c r="L1968" s="2481">
        <v>2.1800000000000002</v>
      </c>
      <c r="M1968" s="340" t="s">
        <v>340</v>
      </c>
      <c r="N1968" s="1390"/>
      <c r="O1968" s="2479"/>
      <c r="P1968" s="2282"/>
      <c r="AG1968" s="2297">
        <v>273.2</v>
      </c>
      <c r="AH1968" s="2297" t="s">
        <v>342</v>
      </c>
      <c r="AI1968" s="1390"/>
      <c r="AJ1968" s="2282"/>
      <c r="AK1968" s="2282"/>
      <c r="AL1968" s="1037"/>
      <c r="AX1968" s="340">
        <v>170.12</v>
      </c>
      <c r="AY1968" s="340" t="s">
        <v>338</v>
      </c>
      <c r="BN1968" s="340">
        <v>249.08</v>
      </c>
      <c r="BO1968" s="340" t="s">
        <v>342</v>
      </c>
      <c r="BP1968" s="1385"/>
      <c r="BV1968" s="236">
        <v>402.11</v>
      </c>
      <c r="BW1968" s="236" t="s">
        <v>323</v>
      </c>
      <c r="CB1968" s="340">
        <v>170.04</v>
      </c>
      <c r="CC1968" s="340" t="s">
        <v>338</v>
      </c>
      <c r="CL1968" s="236">
        <v>108.14</v>
      </c>
      <c r="CM1968" s="236" t="s">
        <v>346</v>
      </c>
      <c r="CR1968" s="340">
        <v>249.08</v>
      </c>
      <c r="CS1968" s="340" t="s">
        <v>342</v>
      </c>
      <c r="CT1968" s="1384"/>
      <c r="DF1968" s="340">
        <v>1.03</v>
      </c>
      <c r="DG1968" s="340" t="s">
        <v>340</v>
      </c>
      <c r="DV1968" s="340">
        <v>273.17</v>
      </c>
      <c r="DW1968" s="340" t="s">
        <v>342</v>
      </c>
      <c r="DX1968" s="1671"/>
    </row>
    <row r="1969" spans="12:128">
      <c r="L1969" s="2481">
        <v>2.19</v>
      </c>
      <c r="M1969" s="340" t="s">
        <v>340</v>
      </c>
      <c r="N1969" s="1390"/>
      <c r="O1969" s="2479"/>
      <c r="P1969" s="2282"/>
      <c r="AG1969" s="2297">
        <v>273.20999999999998</v>
      </c>
      <c r="AH1969" s="2297" t="s">
        <v>342</v>
      </c>
      <c r="AI1969" s="1390"/>
      <c r="AJ1969" s="2282"/>
      <c r="AK1969" s="2282"/>
      <c r="AL1969" s="1037"/>
      <c r="AX1969" s="340">
        <v>170.15</v>
      </c>
      <c r="AY1969" s="340" t="s">
        <v>338</v>
      </c>
      <c r="BN1969" s="340">
        <v>250.07</v>
      </c>
      <c r="BO1969" s="340" t="s">
        <v>342</v>
      </c>
      <c r="BP1969" s="1385"/>
      <c r="BV1969" s="236">
        <v>402.12</v>
      </c>
      <c r="BW1969" s="236" t="s">
        <v>323</v>
      </c>
      <c r="CB1969" s="340">
        <v>170.06</v>
      </c>
      <c r="CC1969" s="340" t="s">
        <v>338</v>
      </c>
      <c r="CL1969" s="236">
        <v>108.15</v>
      </c>
      <c r="CM1969" s="236" t="s">
        <v>316</v>
      </c>
      <c r="CR1969" s="340">
        <v>250.07</v>
      </c>
      <c r="CS1969" s="340" t="s">
        <v>342</v>
      </c>
      <c r="CT1969" s="1384"/>
      <c r="DF1969" s="340">
        <v>1.04</v>
      </c>
      <c r="DG1969" s="340" t="s">
        <v>340</v>
      </c>
      <c r="DV1969" s="340">
        <v>273.18</v>
      </c>
      <c r="DW1969" s="340" t="s">
        <v>342</v>
      </c>
      <c r="DX1969" s="1671"/>
    </row>
    <row r="1970" spans="12:128">
      <c r="L1970" s="2481">
        <v>2.2000000000000002</v>
      </c>
      <c r="M1970" s="340" t="s">
        <v>340</v>
      </c>
      <c r="N1970" s="1390"/>
      <c r="O1970" s="2479"/>
      <c r="P1970" s="2282"/>
      <c r="AG1970" s="2297">
        <v>273.23</v>
      </c>
      <c r="AH1970" s="2297" t="s">
        <v>342</v>
      </c>
      <c r="AI1970" s="1390"/>
      <c r="AJ1970" s="2282"/>
      <c r="AK1970" s="2282"/>
      <c r="AL1970" s="1037"/>
      <c r="AX1970" s="340">
        <v>170.18</v>
      </c>
      <c r="AY1970" s="340" t="s">
        <v>338</v>
      </c>
      <c r="BN1970" s="340">
        <v>250.11</v>
      </c>
      <c r="BO1970" s="340" t="s">
        <v>342</v>
      </c>
      <c r="BP1970" s="1385"/>
      <c r="BV1970" s="236">
        <v>403.01</v>
      </c>
      <c r="BW1970" s="236" t="s">
        <v>323</v>
      </c>
      <c r="CB1970" s="340">
        <v>170.12</v>
      </c>
      <c r="CC1970" s="340" t="s">
        <v>338</v>
      </c>
      <c r="CL1970" s="236">
        <v>108.16</v>
      </c>
      <c r="CM1970" s="236" t="s">
        <v>316</v>
      </c>
      <c r="CR1970" s="340">
        <v>250.11</v>
      </c>
      <c r="CS1970" s="340" t="s">
        <v>342</v>
      </c>
      <c r="CT1970" s="1384"/>
      <c r="DF1970" s="340">
        <v>2.04</v>
      </c>
      <c r="DG1970" s="340" t="s">
        <v>340</v>
      </c>
      <c r="DV1970" s="340">
        <v>273.19</v>
      </c>
      <c r="DW1970" s="340" t="s">
        <v>342</v>
      </c>
      <c r="DX1970" s="1671"/>
    </row>
    <row r="1971" spans="12:128">
      <c r="L1971" s="2481">
        <v>2.21</v>
      </c>
      <c r="M1971" s="340" t="s">
        <v>340</v>
      </c>
      <c r="N1971" s="1390"/>
      <c r="O1971" s="2479"/>
      <c r="P1971" s="2282"/>
      <c r="AG1971" s="2297">
        <v>273.24</v>
      </c>
      <c r="AH1971" s="2297" t="s">
        <v>342</v>
      </c>
      <c r="AI1971" s="1390"/>
      <c r="AJ1971" s="2282"/>
      <c r="AK1971" s="2282"/>
      <c r="AL1971" s="1037"/>
      <c r="AX1971" s="340">
        <v>170.2</v>
      </c>
      <c r="AY1971" s="340" t="s">
        <v>338</v>
      </c>
      <c r="BN1971" s="340">
        <v>250.12</v>
      </c>
      <c r="BO1971" s="340" t="s">
        <v>342</v>
      </c>
      <c r="BP1971" s="1385"/>
      <c r="BV1971" s="236">
        <v>403.02</v>
      </c>
      <c r="BW1971" s="236" t="s">
        <v>323</v>
      </c>
      <c r="CB1971" s="340">
        <v>170.15</v>
      </c>
      <c r="CC1971" s="340" t="s">
        <v>338</v>
      </c>
      <c r="CL1971" s="236">
        <v>108.17</v>
      </c>
      <c r="CM1971" s="236" t="s">
        <v>316</v>
      </c>
      <c r="CR1971" s="340">
        <v>250.12</v>
      </c>
      <c r="CS1971" s="340" t="s">
        <v>342</v>
      </c>
      <c r="CT1971" s="1384"/>
      <c r="DF1971" s="340">
        <v>2.08</v>
      </c>
      <c r="DG1971" s="340" t="s">
        <v>340</v>
      </c>
      <c r="DV1971" s="340">
        <v>273.2</v>
      </c>
      <c r="DW1971" s="340" t="s">
        <v>342</v>
      </c>
      <c r="DX1971" s="1671"/>
    </row>
    <row r="1972" spans="12:128">
      <c r="L1972" s="2481">
        <v>2.23</v>
      </c>
      <c r="M1972" s="340" t="s">
        <v>340</v>
      </c>
      <c r="N1972" s="1390"/>
      <c r="O1972" s="2479"/>
      <c r="P1972" s="2282"/>
      <c r="AG1972" s="2297">
        <v>273.25</v>
      </c>
      <c r="AH1972" s="2297" t="s">
        <v>342</v>
      </c>
      <c r="AI1972" s="1390"/>
      <c r="AJ1972" s="2282"/>
      <c r="AK1972" s="2282"/>
      <c r="AL1972" s="1037"/>
      <c r="AX1972" s="340">
        <v>170.22</v>
      </c>
      <c r="AY1972" s="340" t="s">
        <v>338</v>
      </c>
      <c r="BN1972" s="340">
        <v>250.13</v>
      </c>
      <c r="BO1972" s="340" t="s">
        <v>342</v>
      </c>
      <c r="BP1972" s="1385"/>
      <c r="BV1972" s="236">
        <v>403.03</v>
      </c>
      <c r="BW1972" s="236" t="s">
        <v>323</v>
      </c>
      <c r="CB1972" s="340">
        <v>170.2</v>
      </c>
      <c r="CC1972" s="340" t="s">
        <v>338</v>
      </c>
      <c r="CL1972" s="236">
        <v>108.19</v>
      </c>
      <c r="CM1972" s="236" t="s">
        <v>316</v>
      </c>
      <c r="CR1972" s="340">
        <v>250.13</v>
      </c>
      <c r="CS1972" s="340" t="s">
        <v>342</v>
      </c>
      <c r="CT1972" s="1384"/>
      <c r="DF1972" s="340">
        <v>2.11</v>
      </c>
      <c r="DG1972" s="340" t="s">
        <v>340</v>
      </c>
      <c r="DV1972" s="340">
        <v>273.20999999999998</v>
      </c>
      <c r="DW1972" s="340" t="s">
        <v>342</v>
      </c>
      <c r="DX1972" s="1671"/>
    </row>
    <row r="1973" spans="12:128">
      <c r="L1973" s="2481">
        <v>3.01</v>
      </c>
      <c r="M1973" s="340" t="s">
        <v>340</v>
      </c>
      <c r="N1973" s="1390"/>
      <c r="O1973" s="2479"/>
      <c r="P1973" s="2282"/>
      <c r="AG1973" s="2297">
        <v>273.26</v>
      </c>
      <c r="AH1973" s="2297" t="s">
        <v>342</v>
      </c>
      <c r="AI1973" s="1390"/>
      <c r="AJ1973" s="2282"/>
      <c r="AK1973" s="2282"/>
      <c r="AL1973" s="1037"/>
      <c r="AX1973" s="340">
        <v>170.24</v>
      </c>
      <c r="AY1973" s="340" t="s">
        <v>338</v>
      </c>
      <c r="BN1973" s="340">
        <v>250.14</v>
      </c>
      <c r="BO1973" s="340" t="s">
        <v>342</v>
      </c>
      <c r="BP1973" s="1385"/>
      <c r="BV1973" s="236">
        <v>403.04</v>
      </c>
      <c r="BW1973" s="236" t="s">
        <v>323</v>
      </c>
      <c r="CB1973" s="340">
        <v>170.21</v>
      </c>
      <c r="CC1973" s="340" t="s">
        <v>338</v>
      </c>
      <c r="CL1973" s="236">
        <v>108.2</v>
      </c>
      <c r="CM1973" s="236" t="s">
        <v>316</v>
      </c>
      <c r="CR1973" s="340">
        <v>250.14</v>
      </c>
      <c r="CS1973" s="340" t="s">
        <v>342</v>
      </c>
      <c r="CT1973" s="1384"/>
      <c r="DF1973" s="340">
        <v>2.13</v>
      </c>
      <c r="DG1973" s="340" t="s">
        <v>340</v>
      </c>
      <c r="DV1973" s="340">
        <v>273.24</v>
      </c>
      <c r="DW1973" s="340" t="s">
        <v>342</v>
      </c>
      <c r="DX1973" s="1671"/>
    </row>
    <row r="1974" spans="12:128">
      <c r="L1974" s="2481">
        <v>3.03</v>
      </c>
      <c r="M1974" s="340" t="s">
        <v>340</v>
      </c>
      <c r="N1974" s="1390"/>
      <c r="O1974" s="2479"/>
      <c r="P1974" s="2282"/>
      <c r="AG1974" s="2297">
        <v>273.27</v>
      </c>
      <c r="AH1974" s="2297" t="s">
        <v>342</v>
      </c>
      <c r="AI1974" s="1390"/>
      <c r="AJ1974" s="2282"/>
      <c r="AK1974" s="2282"/>
      <c r="AL1974" s="1037"/>
      <c r="AX1974" s="340">
        <v>170.25</v>
      </c>
      <c r="AY1974" s="340" t="s">
        <v>338</v>
      </c>
      <c r="BN1974" s="340">
        <v>250.16</v>
      </c>
      <c r="BO1974" s="340" t="s">
        <v>342</v>
      </c>
      <c r="BP1974" s="1385"/>
      <c r="BV1974" s="236">
        <v>403.05</v>
      </c>
      <c r="BW1974" s="236" t="s">
        <v>323</v>
      </c>
      <c r="CB1974" s="340">
        <v>170.22</v>
      </c>
      <c r="CC1974" s="340" t="s">
        <v>338</v>
      </c>
      <c r="CL1974" s="236">
        <v>108.2</v>
      </c>
      <c r="CM1974" s="236" t="s">
        <v>346</v>
      </c>
      <c r="CR1974" s="340">
        <v>250.16</v>
      </c>
      <c r="CS1974" s="340" t="s">
        <v>342</v>
      </c>
      <c r="CT1974" s="1384"/>
      <c r="DF1974" s="340">
        <v>2.14</v>
      </c>
      <c r="DG1974" s="340" t="s">
        <v>340</v>
      </c>
      <c r="DV1974" s="340">
        <v>273.25</v>
      </c>
      <c r="DW1974" s="340" t="s">
        <v>342</v>
      </c>
      <c r="DX1974" s="1671"/>
    </row>
    <row r="1975" spans="12:128">
      <c r="L1975" s="2481">
        <v>3.04</v>
      </c>
      <c r="M1975" s="340" t="s">
        <v>340</v>
      </c>
      <c r="N1975" s="1390"/>
      <c r="O1975" s="2479"/>
      <c r="P1975" s="2282"/>
      <c r="AG1975" s="2297">
        <v>273.27999999999997</v>
      </c>
      <c r="AH1975" s="2297" t="s">
        <v>342</v>
      </c>
      <c r="AI1975" s="1390"/>
      <c r="AJ1975" s="2282"/>
      <c r="AK1975" s="2282"/>
      <c r="AL1975" s="1037"/>
      <c r="AX1975" s="340">
        <v>170.26</v>
      </c>
      <c r="AY1975" s="340" t="s">
        <v>338</v>
      </c>
      <c r="BN1975" s="340">
        <v>250.2</v>
      </c>
      <c r="BO1975" s="340" t="s">
        <v>342</v>
      </c>
      <c r="BP1975" s="1385"/>
      <c r="BV1975" s="236">
        <v>403.08</v>
      </c>
      <c r="BW1975" s="236" t="s">
        <v>323</v>
      </c>
      <c r="CB1975" s="340">
        <v>170.24</v>
      </c>
      <c r="CC1975" s="340" t="s">
        <v>338</v>
      </c>
      <c r="CL1975" s="236">
        <v>108.21</v>
      </c>
      <c r="CM1975" s="236" t="s">
        <v>316</v>
      </c>
      <c r="CR1975" s="340">
        <v>250.2</v>
      </c>
      <c r="CS1975" s="340" t="s">
        <v>342</v>
      </c>
      <c r="CT1975" s="1384"/>
      <c r="DF1975" s="340">
        <v>2.16</v>
      </c>
      <c r="DG1975" s="340" t="s">
        <v>340</v>
      </c>
      <c r="DV1975" s="340">
        <v>273.27</v>
      </c>
      <c r="DW1975" s="340" t="s">
        <v>342</v>
      </c>
      <c r="DX1975" s="1671"/>
    </row>
    <row r="1976" spans="12:128">
      <c r="L1976" s="2481">
        <v>4.05</v>
      </c>
      <c r="M1976" s="340" t="s">
        <v>340</v>
      </c>
      <c r="N1976" s="1390"/>
      <c r="O1976" s="2479"/>
      <c r="P1976" s="2282"/>
      <c r="AG1976" s="2297">
        <v>273.29000000000002</v>
      </c>
      <c r="AH1976" s="2297" t="s">
        <v>342</v>
      </c>
      <c r="AI1976" s="1390"/>
      <c r="AJ1976" s="2282"/>
      <c r="AK1976" s="2282"/>
      <c r="AL1976" s="1037"/>
      <c r="AX1976" s="340">
        <v>171.08</v>
      </c>
      <c r="AY1976" s="340" t="s">
        <v>338</v>
      </c>
      <c r="BN1976" s="340">
        <v>250.21</v>
      </c>
      <c r="BO1976" s="340" t="s">
        <v>342</v>
      </c>
      <c r="BP1976" s="1385"/>
      <c r="BV1976" s="236">
        <v>403.1</v>
      </c>
      <c r="BW1976" s="236" t="s">
        <v>323</v>
      </c>
      <c r="CB1976" s="340">
        <v>170.25</v>
      </c>
      <c r="CC1976" s="340" t="s">
        <v>338</v>
      </c>
      <c r="CL1976" s="236">
        <v>108.21</v>
      </c>
      <c r="CM1976" s="236" t="s">
        <v>346</v>
      </c>
      <c r="CR1976" s="340">
        <v>250.21</v>
      </c>
      <c r="CS1976" s="340" t="s">
        <v>342</v>
      </c>
      <c r="CT1976" s="1384"/>
      <c r="DF1976" s="340">
        <v>2.17</v>
      </c>
      <c r="DG1976" s="340" t="s">
        <v>340</v>
      </c>
      <c r="DV1976" s="340">
        <v>273.27999999999997</v>
      </c>
      <c r="DW1976" s="340" t="s">
        <v>342</v>
      </c>
      <c r="DX1976" s="1671"/>
    </row>
    <row r="1977" spans="12:128">
      <c r="L1977" s="2481">
        <v>4.0599999999999996</v>
      </c>
      <c r="M1977" s="340" t="s">
        <v>340</v>
      </c>
      <c r="N1977" s="1390"/>
      <c r="O1977" s="2479"/>
      <c r="P1977" s="2282"/>
      <c r="AG1977" s="2297">
        <v>273.32</v>
      </c>
      <c r="AH1977" s="2297" t="s">
        <v>342</v>
      </c>
      <c r="AI1977" s="1390"/>
      <c r="AJ1977" s="2282"/>
      <c r="AK1977" s="2282"/>
      <c r="AL1977" s="1037"/>
      <c r="AX1977" s="340">
        <v>171.09</v>
      </c>
      <c r="AY1977" s="340" t="s">
        <v>338</v>
      </c>
      <c r="BN1977" s="340">
        <v>251.06</v>
      </c>
      <c r="BO1977" s="340" t="s">
        <v>342</v>
      </c>
      <c r="BP1977" s="1385"/>
      <c r="BV1977" s="236">
        <v>403.11</v>
      </c>
      <c r="BW1977" s="236" t="s">
        <v>323</v>
      </c>
      <c r="CB1977" s="340">
        <v>170.26</v>
      </c>
      <c r="CC1977" s="340" t="s">
        <v>338</v>
      </c>
      <c r="CL1977" s="236">
        <v>108.22</v>
      </c>
      <c r="CM1977" s="236" t="s">
        <v>316</v>
      </c>
      <c r="CR1977" s="340">
        <v>251.06</v>
      </c>
      <c r="CS1977" s="340" t="s">
        <v>342</v>
      </c>
      <c r="CT1977" s="1384"/>
      <c r="DF1977" s="340">
        <v>2.1800000000000002</v>
      </c>
      <c r="DG1977" s="340" t="s">
        <v>340</v>
      </c>
      <c r="DV1977" s="340">
        <v>273.29000000000002</v>
      </c>
      <c r="DW1977" s="340" t="s">
        <v>342</v>
      </c>
      <c r="DX1977" s="1671"/>
    </row>
    <row r="1978" spans="12:128">
      <c r="L1978" s="2481">
        <v>4.07</v>
      </c>
      <c r="M1978" s="340" t="s">
        <v>340</v>
      </c>
      <c r="N1978" s="1390"/>
      <c r="O1978" s="2479"/>
      <c r="P1978" s="2282"/>
      <c r="AG1978" s="2297">
        <v>274.01</v>
      </c>
      <c r="AH1978" s="2297" t="s">
        <v>342</v>
      </c>
      <c r="AI1978" s="1390"/>
      <c r="AJ1978" s="2282"/>
      <c r="AK1978" s="2282"/>
      <c r="AL1978" s="1037"/>
      <c r="AX1978" s="340">
        <v>171.1</v>
      </c>
      <c r="AY1978" s="340" t="s">
        <v>338</v>
      </c>
      <c r="BN1978" s="340">
        <v>251.07</v>
      </c>
      <c r="BO1978" s="340" t="s">
        <v>342</v>
      </c>
      <c r="BP1978" s="1385"/>
      <c r="BV1978" s="236">
        <v>403.12</v>
      </c>
      <c r="BW1978" s="236" t="s">
        <v>323</v>
      </c>
      <c r="CB1978" s="340">
        <v>171.08</v>
      </c>
      <c r="CC1978" s="340" t="s">
        <v>338</v>
      </c>
      <c r="CL1978" s="236">
        <v>108.22</v>
      </c>
      <c r="CM1978" s="236" t="s">
        <v>346</v>
      </c>
      <c r="CR1978" s="340">
        <v>251.07</v>
      </c>
      <c r="CS1978" s="340" t="s">
        <v>342</v>
      </c>
      <c r="CT1978" s="1384"/>
      <c r="DF1978" s="340">
        <v>2.19</v>
      </c>
      <c r="DG1978" s="340" t="s">
        <v>340</v>
      </c>
      <c r="DV1978" s="340">
        <v>275.01</v>
      </c>
      <c r="DW1978" s="340" t="s">
        <v>342</v>
      </c>
      <c r="DX1978" s="1671"/>
    </row>
    <row r="1979" spans="12:128">
      <c r="L1979" s="2481">
        <v>4.08</v>
      </c>
      <c r="M1979" s="340" t="s">
        <v>340</v>
      </c>
      <c r="N1979" s="1390"/>
      <c r="O1979" s="2479"/>
      <c r="P1979" s="2282"/>
      <c r="AG1979" s="2297">
        <v>275.01</v>
      </c>
      <c r="AH1979" s="2297" t="s">
        <v>342</v>
      </c>
      <c r="AI1979" s="1390"/>
      <c r="AJ1979" s="2282"/>
      <c r="AK1979" s="2282"/>
      <c r="AL1979" s="1037"/>
      <c r="AX1979" s="340">
        <v>171.11</v>
      </c>
      <c r="AY1979" s="340" t="s">
        <v>338</v>
      </c>
      <c r="BN1979" s="340">
        <v>251.08</v>
      </c>
      <c r="BO1979" s="340" t="s">
        <v>342</v>
      </c>
      <c r="BP1979" s="1385"/>
      <c r="BV1979" s="236">
        <v>403.13</v>
      </c>
      <c r="BW1979" s="236" t="s">
        <v>323</v>
      </c>
      <c r="CB1979" s="340">
        <v>171.09</v>
      </c>
      <c r="CC1979" s="340" t="s">
        <v>338</v>
      </c>
      <c r="CL1979" s="236">
        <v>108.23</v>
      </c>
      <c r="CM1979" s="236" t="s">
        <v>316</v>
      </c>
      <c r="CR1979" s="340">
        <v>251.08</v>
      </c>
      <c r="CS1979" s="340" t="s">
        <v>342</v>
      </c>
      <c r="CT1979" s="1384"/>
      <c r="DF1979" s="340">
        <v>2.2000000000000002</v>
      </c>
      <c r="DG1979" s="340" t="s">
        <v>340</v>
      </c>
      <c r="DV1979" s="340">
        <v>275.02999999999997</v>
      </c>
      <c r="DW1979" s="340" t="s">
        <v>342</v>
      </c>
      <c r="DX1979" s="1671"/>
    </row>
    <row r="1980" spans="12:128">
      <c r="L1980" s="2481">
        <v>5.05</v>
      </c>
      <c r="M1980" s="340" t="s">
        <v>340</v>
      </c>
      <c r="N1980" s="1390"/>
      <c r="O1980" s="2479"/>
      <c r="P1980" s="2282"/>
      <c r="AG1980" s="2297">
        <v>275.04000000000002</v>
      </c>
      <c r="AH1980" s="2297" t="s">
        <v>342</v>
      </c>
      <c r="AI1980" s="1390"/>
      <c r="AJ1980" s="2282"/>
      <c r="AK1980" s="2282"/>
      <c r="AL1980" s="1037"/>
      <c r="AX1980" s="340">
        <v>171.12</v>
      </c>
      <c r="AY1980" s="340" t="s">
        <v>338</v>
      </c>
      <c r="BN1980" s="340">
        <v>251.1</v>
      </c>
      <c r="BO1980" s="340" t="s">
        <v>342</v>
      </c>
      <c r="BP1980" s="1385"/>
      <c r="BV1980" s="236">
        <v>403.14</v>
      </c>
      <c r="BW1980" s="236" t="s">
        <v>323</v>
      </c>
      <c r="CB1980" s="340">
        <v>171.1</v>
      </c>
      <c r="CC1980" s="340" t="s">
        <v>338</v>
      </c>
      <c r="CL1980" s="236">
        <v>108.23</v>
      </c>
      <c r="CM1980" s="236" t="s">
        <v>346</v>
      </c>
      <c r="CR1980" s="340">
        <v>251.09</v>
      </c>
      <c r="CS1980" s="340" t="s">
        <v>342</v>
      </c>
      <c r="CT1980" s="1384"/>
      <c r="DF1980" s="340">
        <v>2.21</v>
      </c>
      <c r="DG1980" s="340" t="s">
        <v>340</v>
      </c>
      <c r="DV1980" s="340">
        <v>275.04000000000002</v>
      </c>
      <c r="DW1980" s="340" t="s">
        <v>342</v>
      </c>
      <c r="DX1980" s="1671"/>
    </row>
    <row r="1981" spans="12:128">
      <c r="L1981" s="2481">
        <v>5.07</v>
      </c>
      <c r="M1981" s="340" t="s">
        <v>340</v>
      </c>
      <c r="N1981" s="1390"/>
      <c r="O1981" s="2479"/>
      <c r="P1981" s="2282"/>
      <c r="AG1981" s="2297">
        <v>276.02999999999997</v>
      </c>
      <c r="AH1981" s="2297" t="s">
        <v>342</v>
      </c>
      <c r="AI1981" s="1390"/>
      <c r="AJ1981" s="2282"/>
      <c r="AK1981" s="2282"/>
      <c r="AL1981" s="1037"/>
      <c r="AX1981" s="340">
        <v>171.13</v>
      </c>
      <c r="AY1981" s="340" t="s">
        <v>338</v>
      </c>
      <c r="BN1981" s="340">
        <v>251.12</v>
      </c>
      <c r="BO1981" s="340" t="s">
        <v>342</v>
      </c>
      <c r="BP1981" s="1385"/>
      <c r="BV1981" s="236">
        <v>403.15</v>
      </c>
      <c r="BW1981" s="236" t="s">
        <v>323</v>
      </c>
      <c r="CB1981" s="340">
        <v>171.11</v>
      </c>
      <c r="CC1981" s="340" t="s">
        <v>338</v>
      </c>
      <c r="CL1981" s="236">
        <v>108.24</v>
      </c>
      <c r="CM1981" s="236" t="s">
        <v>316</v>
      </c>
      <c r="CR1981" s="340">
        <v>251.1</v>
      </c>
      <c r="CS1981" s="340" t="s">
        <v>342</v>
      </c>
      <c r="CT1981" s="1384"/>
      <c r="DF1981" s="340">
        <v>2.23</v>
      </c>
      <c r="DG1981" s="340" t="s">
        <v>340</v>
      </c>
      <c r="DV1981" s="340">
        <v>276.02999999999997</v>
      </c>
      <c r="DW1981" s="340" t="s">
        <v>342</v>
      </c>
      <c r="DX1981" s="1671"/>
    </row>
    <row r="1982" spans="12:128">
      <c r="L1982" s="2481">
        <v>5.09</v>
      </c>
      <c r="M1982" s="340" t="s">
        <v>340</v>
      </c>
      <c r="N1982" s="1390"/>
      <c r="O1982" s="2479"/>
      <c r="P1982" s="2282"/>
      <c r="AG1982" s="2297">
        <v>276.04000000000002</v>
      </c>
      <c r="AH1982" s="2297" t="s">
        <v>342</v>
      </c>
      <c r="AI1982" s="1390"/>
      <c r="AJ1982" s="2282"/>
      <c r="AK1982" s="2282"/>
      <c r="AL1982" s="1037"/>
      <c r="AX1982" s="340">
        <v>171.14</v>
      </c>
      <c r="AY1982" s="340" t="s">
        <v>338</v>
      </c>
      <c r="BN1982" s="340">
        <v>251.13</v>
      </c>
      <c r="BO1982" s="340" t="s">
        <v>342</v>
      </c>
      <c r="BP1982" s="1385"/>
      <c r="BV1982" s="236">
        <v>403.16</v>
      </c>
      <c r="BW1982" s="236" t="s">
        <v>323</v>
      </c>
      <c r="CB1982" s="340">
        <v>171.12</v>
      </c>
      <c r="CC1982" s="340" t="s">
        <v>338</v>
      </c>
      <c r="CL1982" s="236">
        <v>108.24</v>
      </c>
      <c r="CM1982" s="236" t="s">
        <v>346</v>
      </c>
      <c r="CR1982" s="340">
        <v>251.12</v>
      </c>
      <c r="CS1982" s="340" t="s">
        <v>342</v>
      </c>
      <c r="CT1982" s="1384"/>
      <c r="DF1982" s="340">
        <v>3.01</v>
      </c>
      <c r="DG1982" s="340" t="s">
        <v>340</v>
      </c>
      <c r="DV1982" s="340">
        <v>276.04000000000002</v>
      </c>
      <c r="DW1982" s="340" t="s">
        <v>342</v>
      </c>
      <c r="DX1982" s="1671"/>
    </row>
    <row r="1983" spans="12:128">
      <c r="L1983" s="2481">
        <v>5.12</v>
      </c>
      <c r="M1983" s="340" t="s">
        <v>340</v>
      </c>
      <c r="N1983" s="1390"/>
      <c r="O1983" s="2479"/>
      <c r="P1983" s="2282"/>
      <c r="AG1983" s="2297">
        <v>276.05</v>
      </c>
      <c r="AH1983" s="2297" t="s">
        <v>342</v>
      </c>
      <c r="AI1983" s="1390"/>
      <c r="AJ1983" s="2282"/>
      <c r="AK1983" s="2282"/>
      <c r="AL1983" s="1037"/>
      <c r="AX1983" s="340">
        <v>171.15</v>
      </c>
      <c r="AY1983" s="340" t="s">
        <v>338</v>
      </c>
      <c r="BN1983" s="340">
        <v>251.19</v>
      </c>
      <c r="BO1983" s="340" t="s">
        <v>342</v>
      </c>
      <c r="BP1983" s="1385"/>
      <c r="BV1983" s="236">
        <v>501.03</v>
      </c>
      <c r="BW1983" s="236" t="s">
        <v>323</v>
      </c>
      <c r="CB1983" s="340">
        <v>171.13</v>
      </c>
      <c r="CC1983" s="340" t="s">
        <v>338</v>
      </c>
      <c r="CL1983" s="236">
        <v>108.25</v>
      </c>
      <c r="CM1983" s="236" t="s">
        <v>346</v>
      </c>
      <c r="CR1983" s="340">
        <v>251.13</v>
      </c>
      <c r="CS1983" s="340" t="s">
        <v>342</v>
      </c>
      <c r="CT1983" s="1384"/>
      <c r="DF1983" s="340">
        <v>3.03</v>
      </c>
      <c r="DG1983" s="340" t="s">
        <v>340</v>
      </c>
      <c r="DV1983" s="340">
        <v>276.05</v>
      </c>
      <c r="DW1983" s="340" t="s">
        <v>342</v>
      </c>
      <c r="DX1983" s="1671"/>
    </row>
    <row r="1984" spans="12:128">
      <c r="L1984" s="2481">
        <v>5.13</v>
      </c>
      <c r="M1984" s="340" t="s">
        <v>340</v>
      </c>
      <c r="N1984" s="1390"/>
      <c r="O1984" s="2479"/>
      <c r="P1984" s="2282"/>
      <c r="AG1984" s="2297">
        <v>276.06</v>
      </c>
      <c r="AH1984" s="2297" t="s">
        <v>342</v>
      </c>
      <c r="AI1984" s="1390"/>
      <c r="AJ1984" s="2282"/>
      <c r="AK1984" s="2282"/>
      <c r="AL1984" s="1037"/>
      <c r="AX1984" s="340">
        <v>171.16</v>
      </c>
      <c r="AY1984" s="340" t="s">
        <v>338</v>
      </c>
      <c r="BN1984" s="340">
        <v>251.2</v>
      </c>
      <c r="BO1984" s="340" t="s">
        <v>342</v>
      </c>
      <c r="BP1984" s="1385"/>
      <c r="BV1984" s="236">
        <v>501.04</v>
      </c>
      <c r="BW1984" s="236" t="s">
        <v>323</v>
      </c>
      <c r="CB1984" s="340">
        <v>171.14</v>
      </c>
      <c r="CC1984" s="340" t="s">
        <v>338</v>
      </c>
      <c r="CL1984" s="236">
        <v>108.26</v>
      </c>
      <c r="CM1984" s="236" t="s">
        <v>346</v>
      </c>
      <c r="CR1984" s="340">
        <v>251.19</v>
      </c>
      <c r="CS1984" s="340" t="s">
        <v>342</v>
      </c>
      <c r="CT1984" s="1384"/>
      <c r="DF1984" s="340">
        <v>3.04</v>
      </c>
      <c r="DG1984" s="340" t="s">
        <v>340</v>
      </c>
      <c r="DV1984" s="340">
        <v>276.06</v>
      </c>
      <c r="DW1984" s="340" t="s">
        <v>342</v>
      </c>
      <c r="DX1984" s="1671"/>
    </row>
    <row r="1985" spans="12:128">
      <c r="L1985" s="2481">
        <v>6</v>
      </c>
      <c r="M1985" s="340" t="s">
        <v>340</v>
      </c>
      <c r="N1985" s="1390"/>
      <c r="O1985" s="2479"/>
      <c r="P1985" s="2282"/>
      <c r="AG1985" s="2297">
        <v>277.01</v>
      </c>
      <c r="AH1985" s="2297" t="s">
        <v>342</v>
      </c>
      <c r="AI1985" s="1390"/>
      <c r="AJ1985" s="2282"/>
      <c r="AK1985" s="2282"/>
      <c r="AL1985" s="1037"/>
      <c r="AX1985" s="340">
        <v>171.17</v>
      </c>
      <c r="AY1985" s="340" t="s">
        <v>338</v>
      </c>
      <c r="BN1985" s="340">
        <v>251.21</v>
      </c>
      <c r="BO1985" s="340" t="s">
        <v>342</v>
      </c>
      <c r="BP1985" s="1385"/>
      <c r="BV1985" s="236">
        <v>501.05</v>
      </c>
      <c r="BW1985" s="236" t="s">
        <v>323</v>
      </c>
      <c r="CB1985" s="340">
        <v>171.15</v>
      </c>
      <c r="CC1985" s="340" t="s">
        <v>338</v>
      </c>
      <c r="CL1985" s="236">
        <v>108.27</v>
      </c>
      <c r="CM1985" s="236" t="s">
        <v>346</v>
      </c>
      <c r="CR1985" s="340">
        <v>251.2</v>
      </c>
      <c r="CS1985" s="340" t="s">
        <v>342</v>
      </c>
      <c r="CT1985" s="1384"/>
      <c r="DF1985" s="340">
        <v>4.05</v>
      </c>
      <c r="DG1985" s="340" t="s">
        <v>340</v>
      </c>
      <c r="DV1985" s="340">
        <v>277.01</v>
      </c>
      <c r="DW1985" s="340" t="s">
        <v>342</v>
      </c>
      <c r="DX1985" s="1671"/>
    </row>
    <row r="1986" spans="12:128">
      <c r="L1986" s="2481">
        <v>7.02</v>
      </c>
      <c r="M1986" s="340" t="s">
        <v>340</v>
      </c>
      <c r="N1986" s="1390"/>
      <c r="O1986" s="2479"/>
      <c r="P1986" s="2282"/>
      <c r="AG1986" s="2297">
        <v>277.02999999999997</v>
      </c>
      <c r="AH1986" s="2297" t="s">
        <v>342</v>
      </c>
      <c r="AI1986" s="1390"/>
      <c r="AJ1986" s="2282"/>
      <c r="AK1986" s="2282"/>
      <c r="AL1986" s="1037"/>
      <c r="AX1986" s="340">
        <v>171.18</v>
      </c>
      <c r="AY1986" s="340" t="s">
        <v>338</v>
      </c>
      <c r="BN1986" s="340">
        <v>251.22</v>
      </c>
      <c r="BO1986" s="340" t="s">
        <v>342</v>
      </c>
      <c r="BP1986" s="1385"/>
      <c r="BV1986" s="236">
        <v>501.06</v>
      </c>
      <c r="BW1986" s="236" t="s">
        <v>323</v>
      </c>
      <c r="CB1986" s="340">
        <v>171.16</v>
      </c>
      <c r="CC1986" s="340" t="s">
        <v>338</v>
      </c>
      <c r="CL1986" s="236">
        <v>108.28</v>
      </c>
      <c r="CM1986" s="236" t="s">
        <v>346</v>
      </c>
      <c r="CR1986" s="340">
        <v>251.21</v>
      </c>
      <c r="CS1986" s="340" t="s">
        <v>342</v>
      </c>
      <c r="CT1986" s="1384"/>
      <c r="DF1986" s="340">
        <v>4.0599999999999996</v>
      </c>
      <c r="DG1986" s="340" t="s">
        <v>340</v>
      </c>
      <c r="DV1986" s="340">
        <v>277.02999999999997</v>
      </c>
      <c r="DW1986" s="340" t="s">
        <v>342</v>
      </c>
      <c r="DX1986" s="1671"/>
    </row>
    <row r="1987" spans="12:128">
      <c r="L1987" s="2481">
        <v>7.03</v>
      </c>
      <c r="M1987" s="340" t="s">
        <v>340</v>
      </c>
      <c r="N1987" s="1390"/>
      <c r="O1987" s="2479"/>
      <c r="P1987" s="2282"/>
      <c r="AG1987" s="2297">
        <v>277.04000000000002</v>
      </c>
      <c r="AH1987" s="2297" t="s">
        <v>342</v>
      </c>
      <c r="AI1987" s="1390"/>
      <c r="AJ1987" s="2282"/>
      <c r="AK1987" s="2282"/>
      <c r="AL1987" s="1037"/>
      <c r="AX1987" s="340">
        <v>171.19</v>
      </c>
      <c r="AY1987" s="340" t="s">
        <v>338</v>
      </c>
      <c r="BN1987" s="340">
        <v>251.23</v>
      </c>
      <c r="BO1987" s="340" t="s">
        <v>342</v>
      </c>
      <c r="BP1987" s="1385"/>
      <c r="BV1987" s="236">
        <v>502.04</v>
      </c>
      <c r="BW1987" s="236" t="s">
        <v>323</v>
      </c>
      <c r="CB1987" s="340">
        <v>171.17</v>
      </c>
      <c r="CC1987" s="340" t="s">
        <v>338</v>
      </c>
      <c r="CL1987" s="236">
        <v>109</v>
      </c>
      <c r="CM1987" s="236" t="s">
        <v>302</v>
      </c>
      <c r="CR1987" s="340">
        <v>251.22</v>
      </c>
      <c r="CS1987" s="340" t="s">
        <v>342</v>
      </c>
      <c r="CT1987" s="1384"/>
      <c r="DF1987" s="340">
        <v>4.07</v>
      </c>
      <c r="DG1987" s="340" t="s">
        <v>340</v>
      </c>
      <c r="DV1987" s="340">
        <v>277.04000000000002</v>
      </c>
      <c r="DW1987" s="340" t="s">
        <v>342</v>
      </c>
      <c r="DX1987" s="1671"/>
    </row>
    <row r="1988" spans="12:128">
      <c r="L1988" s="2481">
        <v>9.02</v>
      </c>
      <c r="M1988" s="340" t="s">
        <v>340</v>
      </c>
      <c r="N1988" s="1390"/>
      <c r="O1988" s="2479"/>
      <c r="P1988" s="2282"/>
      <c r="AG1988" s="2297">
        <v>278.02</v>
      </c>
      <c r="AH1988" s="2297" t="s">
        <v>342</v>
      </c>
      <c r="AI1988" s="1390"/>
      <c r="AJ1988" s="2282"/>
      <c r="AK1988" s="2282"/>
      <c r="AL1988" s="1037"/>
      <c r="AX1988" s="340">
        <v>171.2</v>
      </c>
      <c r="AY1988" s="340" t="s">
        <v>338</v>
      </c>
      <c r="BN1988" s="340">
        <v>252.05</v>
      </c>
      <c r="BO1988" s="340" t="s">
        <v>342</v>
      </c>
      <c r="BP1988" s="1385"/>
      <c r="BV1988" s="236">
        <v>502.05</v>
      </c>
      <c r="BW1988" s="236" t="s">
        <v>323</v>
      </c>
      <c r="CB1988" s="340">
        <v>171.18</v>
      </c>
      <c r="CC1988" s="340" t="s">
        <v>338</v>
      </c>
      <c r="CL1988" s="236">
        <v>109</v>
      </c>
      <c r="CM1988" s="236" t="s">
        <v>316</v>
      </c>
      <c r="CR1988" s="340">
        <v>251.23</v>
      </c>
      <c r="CS1988" s="340" t="s">
        <v>342</v>
      </c>
      <c r="CT1988" s="1384"/>
      <c r="DF1988" s="340">
        <v>4.08</v>
      </c>
      <c r="DG1988" s="340" t="s">
        <v>340</v>
      </c>
      <c r="DV1988" s="340">
        <v>278.01</v>
      </c>
      <c r="DW1988" s="340" t="s">
        <v>342</v>
      </c>
      <c r="DX1988" s="1671"/>
    </row>
    <row r="1989" spans="12:128">
      <c r="L1989" s="2481">
        <v>9.0299999999999994</v>
      </c>
      <c r="M1989" s="340" t="s">
        <v>340</v>
      </c>
      <c r="N1989" s="1390"/>
      <c r="O1989" s="2479"/>
      <c r="P1989" s="2282"/>
      <c r="AG1989" s="2297">
        <v>279.01</v>
      </c>
      <c r="AH1989" s="2297" t="s">
        <v>342</v>
      </c>
      <c r="AI1989" s="1390"/>
      <c r="AJ1989" s="2282"/>
      <c r="AK1989" s="2282"/>
      <c r="AL1989" s="1037"/>
      <c r="AX1989" s="340">
        <v>171.22</v>
      </c>
      <c r="AY1989" s="340" t="s">
        <v>338</v>
      </c>
      <c r="BN1989" s="340">
        <v>252.09</v>
      </c>
      <c r="BO1989" s="340" t="s">
        <v>342</v>
      </c>
      <c r="BP1989" s="1385"/>
      <c r="BV1989" s="236">
        <v>502.06</v>
      </c>
      <c r="BW1989" s="236" t="s">
        <v>323</v>
      </c>
      <c r="CB1989" s="340">
        <v>171.19</v>
      </c>
      <c r="CC1989" s="340" t="s">
        <v>338</v>
      </c>
      <c r="CL1989" s="236">
        <v>109</v>
      </c>
      <c r="CM1989" s="236" t="s">
        <v>331</v>
      </c>
      <c r="CR1989" s="340">
        <v>252.05</v>
      </c>
      <c r="CS1989" s="340" t="s">
        <v>342</v>
      </c>
      <c r="CT1989" s="1384"/>
      <c r="DF1989" s="340">
        <v>5.05</v>
      </c>
      <c r="DG1989" s="340" t="s">
        <v>340</v>
      </c>
      <c r="DV1989" s="340">
        <v>278.02</v>
      </c>
      <c r="DW1989" s="340" t="s">
        <v>342</v>
      </c>
      <c r="DX1989" s="1671"/>
    </row>
    <row r="1990" spans="12:128">
      <c r="L1990" s="2481">
        <v>9.0399999999999991</v>
      </c>
      <c r="M1990" s="340" t="s">
        <v>340</v>
      </c>
      <c r="N1990" s="1390"/>
      <c r="O1990" s="2479"/>
      <c r="P1990" s="2282"/>
      <c r="AG1990" s="2297">
        <v>279.05</v>
      </c>
      <c r="AH1990" s="2297" t="s">
        <v>342</v>
      </c>
      <c r="AI1990" s="1390"/>
      <c r="AJ1990" s="2282"/>
      <c r="AK1990" s="2282"/>
      <c r="AL1990" s="1037"/>
      <c r="AX1990" s="340">
        <v>171.23</v>
      </c>
      <c r="AY1990" s="340" t="s">
        <v>338</v>
      </c>
      <c r="BN1990" s="340">
        <v>252.1</v>
      </c>
      <c r="BO1990" s="340" t="s">
        <v>342</v>
      </c>
      <c r="BP1990" s="1385"/>
      <c r="BV1990" s="236">
        <v>502.07</v>
      </c>
      <c r="BW1990" s="236" t="s">
        <v>323</v>
      </c>
      <c r="CB1990" s="340">
        <v>171.2</v>
      </c>
      <c r="CC1990" s="340" t="s">
        <v>338</v>
      </c>
      <c r="CL1990" s="236">
        <v>109</v>
      </c>
      <c r="CM1990" s="236" t="s">
        <v>344</v>
      </c>
      <c r="CR1990" s="340">
        <v>252.08</v>
      </c>
      <c r="CS1990" s="340" t="s">
        <v>342</v>
      </c>
      <c r="CT1990" s="1384"/>
      <c r="DF1990" s="340">
        <v>5.07</v>
      </c>
      <c r="DG1990" s="340" t="s">
        <v>340</v>
      </c>
      <c r="DV1990" s="340">
        <v>279.05</v>
      </c>
      <c r="DW1990" s="340" t="s">
        <v>342</v>
      </c>
      <c r="DX1990" s="1671"/>
    </row>
    <row r="1991" spans="12:128">
      <c r="L1991" s="2481">
        <v>9.0500000000000007</v>
      </c>
      <c r="M1991" s="340" t="s">
        <v>340</v>
      </c>
      <c r="N1991" s="1390"/>
      <c r="O1991" s="2479"/>
      <c r="P1991" s="2282"/>
      <c r="AG1991" s="2297">
        <v>280.02</v>
      </c>
      <c r="AH1991" s="2297" t="s">
        <v>342</v>
      </c>
      <c r="AI1991" s="1390"/>
      <c r="AJ1991" s="2282"/>
      <c r="AK1991" s="2282"/>
      <c r="AL1991" s="1037"/>
      <c r="AX1991" s="340">
        <v>172</v>
      </c>
      <c r="AY1991" s="340" t="s">
        <v>338</v>
      </c>
      <c r="BN1991" s="340">
        <v>252.11</v>
      </c>
      <c r="BO1991" s="340" t="s">
        <v>342</v>
      </c>
      <c r="BP1991" s="1385"/>
      <c r="BV1991" s="236">
        <v>502.08</v>
      </c>
      <c r="BW1991" s="236" t="s">
        <v>323</v>
      </c>
      <c r="CB1991" s="340">
        <v>171.22</v>
      </c>
      <c r="CC1991" s="340" t="s">
        <v>338</v>
      </c>
      <c r="CL1991" s="236">
        <v>109</v>
      </c>
      <c r="CM1991" s="236" t="s">
        <v>346</v>
      </c>
      <c r="CR1991" s="340">
        <v>252.09</v>
      </c>
      <c r="CS1991" s="340" t="s">
        <v>342</v>
      </c>
      <c r="CT1991" s="1384"/>
      <c r="DF1991" s="340">
        <v>5.09</v>
      </c>
      <c r="DG1991" s="340" t="s">
        <v>340</v>
      </c>
      <c r="DV1991" s="340">
        <v>280.02</v>
      </c>
      <c r="DW1991" s="340" t="s">
        <v>342</v>
      </c>
      <c r="DX1991" s="1671"/>
    </row>
    <row r="1992" spans="12:128">
      <c r="L1992" s="2481">
        <v>10.029999999999999</v>
      </c>
      <c r="M1992" s="340" t="s">
        <v>340</v>
      </c>
      <c r="N1992" s="1390"/>
      <c r="O1992" s="2479"/>
      <c r="P1992" s="2282"/>
      <c r="AG1992" s="2297">
        <v>280.05</v>
      </c>
      <c r="AH1992" s="2297" t="s">
        <v>342</v>
      </c>
      <c r="AI1992" s="1390"/>
      <c r="AJ1992" s="2282"/>
      <c r="AK1992" s="2282"/>
      <c r="AL1992" s="1037"/>
      <c r="AX1992" s="340">
        <v>173.01</v>
      </c>
      <c r="AY1992" s="340" t="s">
        <v>338</v>
      </c>
      <c r="BN1992" s="340">
        <v>253.07</v>
      </c>
      <c r="BO1992" s="340" t="s">
        <v>342</v>
      </c>
      <c r="BP1992" s="1385"/>
      <c r="BV1992" s="236">
        <v>502.1</v>
      </c>
      <c r="BW1992" s="236" t="s">
        <v>323</v>
      </c>
      <c r="CB1992" s="340">
        <v>171.23</v>
      </c>
      <c r="CC1992" s="340" t="s">
        <v>338</v>
      </c>
      <c r="CL1992" s="338">
        <v>109.01</v>
      </c>
      <c r="CM1992" s="338" t="s">
        <v>289</v>
      </c>
      <c r="CR1992" s="340">
        <v>252.1</v>
      </c>
      <c r="CS1992" s="340" t="s">
        <v>342</v>
      </c>
      <c r="CT1992" s="1384"/>
      <c r="DF1992" s="340">
        <v>5.13</v>
      </c>
      <c r="DG1992" s="340" t="s">
        <v>340</v>
      </c>
      <c r="DV1992" s="340">
        <v>280.04000000000002</v>
      </c>
      <c r="DW1992" s="340" t="s">
        <v>342</v>
      </c>
      <c r="DX1992" s="1671"/>
    </row>
    <row r="1993" spans="12:128">
      <c r="L1993" s="2481">
        <v>19.04</v>
      </c>
      <c r="M1993" s="340" t="s">
        <v>340</v>
      </c>
      <c r="N1993" s="1390"/>
      <c r="O1993" s="2479"/>
      <c r="P1993" s="2282"/>
      <c r="AG1993" s="2297">
        <v>281.02</v>
      </c>
      <c r="AH1993" s="2297" t="s">
        <v>342</v>
      </c>
      <c r="AI1993" s="1390"/>
      <c r="AJ1993" s="2282"/>
      <c r="AK1993" s="2282"/>
      <c r="AL1993" s="1037"/>
      <c r="AX1993" s="340">
        <v>175.06</v>
      </c>
      <c r="AY1993" s="340" t="s">
        <v>338</v>
      </c>
      <c r="BN1993" s="340">
        <v>253.09</v>
      </c>
      <c r="BO1993" s="340" t="s">
        <v>342</v>
      </c>
      <c r="BP1993" s="1385"/>
      <c r="BV1993" s="236">
        <v>502.11</v>
      </c>
      <c r="BW1993" s="236" t="s">
        <v>323</v>
      </c>
      <c r="CB1993" s="340">
        <v>172</v>
      </c>
      <c r="CC1993" s="340" t="s">
        <v>338</v>
      </c>
      <c r="CL1993" s="338">
        <v>109.02</v>
      </c>
      <c r="CM1993" s="338" t="s">
        <v>289</v>
      </c>
      <c r="CR1993" s="340">
        <v>253.03</v>
      </c>
      <c r="CS1993" s="340" t="s">
        <v>342</v>
      </c>
      <c r="CT1993" s="1384"/>
      <c r="DF1993" s="340">
        <v>6</v>
      </c>
      <c r="DG1993" s="340" t="s">
        <v>340</v>
      </c>
      <c r="DV1993" s="340">
        <v>280.05</v>
      </c>
      <c r="DW1993" s="340" t="s">
        <v>342</v>
      </c>
      <c r="DX1993" s="1671"/>
    </row>
    <row r="1994" spans="12:128">
      <c r="L1994" s="2481">
        <v>19.07</v>
      </c>
      <c r="M1994" s="340" t="s">
        <v>340</v>
      </c>
      <c r="N1994" s="1390"/>
      <c r="O1994" s="2479"/>
      <c r="P1994" s="2282"/>
      <c r="AG1994" s="2297">
        <v>281.02999999999997</v>
      </c>
      <c r="AH1994" s="2297" t="s">
        <v>342</v>
      </c>
      <c r="AI1994" s="1390"/>
      <c r="AJ1994" s="2282"/>
      <c r="AK1994" s="2282"/>
      <c r="AL1994" s="1037"/>
      <c r="AX1994" s="340">
        <v>177.01</v>
      </c>
      <c r="AY1994" s="340" t="s">
        <v>338</v>
      </c>
      <c r="BN1994" s="340">
        <v>254.01</v>
      </c>
      <c r="BO1994" s="340" t="s">
        <v>342</v>
      </c>
      <c r="BP1994" s="1385"/>
      <c r="BV1994" s="236">
        <v>502.12</v>
      </c>
      <c r="BW1994" s="236" t="s">
        <v>323</v>
      </c>
      <c r="CB1994" s="340">
        <v>173.01</v>
      </c>
      <c r="CC1994" s="340" t="s">
        <v>338</v>
      </c>
      <c r="CL1994" s="236">
        <v>109.02</v>
      </c>
      <c r="CM1994" s="236" t="s">
        <v>297</v>
      </c>
      <c r="CR1994" s="340">
        <v>253.07</v>
      </c>
      <c r="CS1994" s="340" t="s">
        <v>342</v>
      </c>
      <c r="CT1994" s="1384"/>
      <c r="DF1994" s="340">
        <v>7.02</v>
      </c>
      <c r="DG1994" s="340" t="s">
        <v>340</v>
      </c>
      <c r="DV1994" s="340">
        <v>281.02</v>
      </c>
      <c r="DW1994" s="340" t="s">
        <v>342</v>
      </c>
      <c r="DX1994" s="1671"/>
    </row>
    <row r="1995" spans="12:128">
      <c r="L1995" s="2481">
        <v>19.18</v>
      </c>
      <c r="M1995" s="340" t="s">
        <v>340</v>
      </c>
      <c r="N1995" s="1390"/>
      <c r="O1995" s="2479"/>
      <c r="P1995" s="2282"/>
      <c r="AG1995" s="2297">
        <v>282</v>
      </c>
      <c r="AH1995" s="2297" t="s">
        <v>342</v>
      </c>
      <c r="AI1995" s="1390"/>
      <c r="AJ1995" s="2282"/>
      <c r="AK1995" s="2282"/>
      <c r="AL1995" s="1037"/>
      <c r="AX1995" s="340">
        <v>177.02</v>
      </c>
      <c r="AY1995" s="340" t="s">
        <v>338</v>
      </c>
      <c r="BN1995" s="340">
        <v>254.07</v>
      </c>
      <c r="BO1995" s="340" t="s">
        <v>342</v>
      </c>
      <c r="BP1995" s="1385"/>
      <c r="BV1995" s="236">
        <v>502.13</v>
      </c>
      <c r="BW1995" s="236" t="s">
        <v>323</v>
      </c>
      <c r="CB1995" s="340">
        <v>175.04</v>
      </c>
      <c r="CC1995" s="340" t="s">
        <v>338</v>
      </c>
      <c r="CL1995" s="236">
        <v>109.04</v>
      </c>
      <c r="CM1995" s="236" t="s">
        <v>297</v>
      </c>
      <c r="CR1995" s="340">
        <v>254.01</v>
      </c>
      <c r="CS1995" s="340" t="s">
        <v>342</v>
      </c>
      <c r="CT1995" s="1384"/>
      <c r="DF1995" s="340">
        <v>7.03</v>
      </c>
      <c r="DG1995" s="340" t="s">
        <v>340</v>
      </c>
      <c r="DV1995" s="340">
        <v>282</v>
      </c>
      <c r="DW1995" s="340" t="s">
        <v>342</v>
      </c>
      <c r="DX1995" s="1671"/>
    </row>
    <row r="1996" spans="12:128">
      <c r="L1996" s="2481">
        <v>19.190000000000001</v>
      </c>
      <c r="M1996" s="340" t="s">
        <v>340</v>
      </c>
      <c r="N1996" s="1390"/>
      <c r="O1996" s="2479"/>
      <c r="P1996" s="2282"/>
      <c r="AG1996" s="2297">
        <v>285</v>
      </c>
      <c r="AH1996" s="2297" t="s">
        <v>342</v>
      </c>
      <c r="AI1996" s="1390"/>
      <c r="AJ1996" s="2282"/>
      <c r="AK1996" s="2282"/>
      <c r="AL1996" s="1037"/>
      <c r="AX1996" s="340">
        <v>178.05</v>
      </c>
      <c r="AY1996" s="340" t="s">
        <v>338</v>
      </c>
      <c r="BN1996" s="340">
        <v>254.11</v>
      </c>
      <c r="BO1996" s="340" t="s">
        <v>342</v>
      </c>
      <c r="BP1996" s="1385"/>
      <c r="BV1996" s="236">
        <v>503.05</v>
      </c>
      <c r="BW1996" s="236" t="s">
        <v>323</v>
      </c>
      <c r="CB1996" s="340">
        <v>175.05</v>
      </c>
      <c r="CC1996" s="340" t="s">
        <v>338</v>
      </c>
      <c r="CL1996" s="236">
        <v>109.05</v>
      </c>
      <c r="CM1996" s="236" t="s">
        <v>297</v>
      </c>
      <c r="CR1996" s="340">
        <v>254.07</v>
      </c>
      <c r="CS1996" s="340" t="s">
        <v>342</v>
      </c>
      <c r="CT1996" s="1384"/>
      <c r="DF1996" s="340">
        <v>8.0299999999999994</v>
      </c>
      <c r="DG1996" s="340" t="s">
        <v>340</v>
      </c>
      <c r="DV1996" s="340">
        <v>285</v>
      </c>
      <c r="DW1996" s="340" t="s">
        <v>342</v>
      </c>
      <c r="DX1996" s="1671"/>
    </row>
    <row r="1997" spans="12:128">
      <c r="L1997" s="2481">
        <v>19.21</v>
      </c>
      <c r="M1997" s="340" t="s">
        <v>340</v>
      </c>
      <c r="N1997" s="1390"/>
      <c r="O1997" s="2479"/>
      <c r="P1997" s="2282"/>
      <c r="AG1997" s="2297">
        <v>286.01</v>
      </c>
      <c r="AH1997" s="2297" t="s">
        <v>342</v>
      </c>
      <c r="AI1997" s="1390"/>
      <c r="AJ1997" s="2282"/>
      <c r="AK1997" s="2282"/>
      <c r="AL1997" s="1037"/>
      <c r="AX1997" s="340">
        <v>178.06</v>
      </c>
      <c r="AY1997" s="340" t="s">
        <v>338</v>
      </c>
      <c r="BN1997" s="340">
        <v>254.12</v>
      </c>
      <c r="BO1997" s="340" t="s">
        <v>342</v>
      </c>
      <c r="BP1997" s="1385"/>
      <c r="BV1997" s="236">
        <v>503.06</v>
      </c>
      <c r="BW1997" s="236" t="s">
        <v>323</v>
      </c>
      <c r="CB1997" s="340">
        <v>175.06</v>
      </c>
      <c r="CC1997" s="340" t="s">
        <v>338</v>
      </c>
      <c r="CL1997" s="236">
        <v>109.06</v>
      </c>
      <c r="CM1997" s="236" t="s">
        <v>297</v>
      </c>
      <c r="CR1997" s="340">
        <v>254.11</v>
      </c>
      <c r="CS1997" s="340" t="s">
        <v>342</v>
      </c>
      <c r="CT1997" s="1384"/>
      <c r="DF1997" s="340">
        <v>9.02</v>
      </c>
      <c r="DG1997" s="340" t="s">
        <v>340</v>
      </c>
      <c r="DV1997" s="340">
        <v>286.01</v>
      </c>
      <c r="DW1997" s="340" t="s">
        <v>342</v>
      </c>
      <c r="DX1997" s="1671"/>
    </row>
    <row r="1998" spans="12:128">
      <c r="L1998" s="2481">
        <v>26</v>
      </c>
      <c r="M1998" s="340" t="s">
        <v>340</v>
      </c>
      <c r="N1998" s="1390"/>
      <c r="O1998" s="2479"/>
      <c r="P1998" s="2282"/>
      <c r="AG1998" s="2297">
        <v>286.02</v>
      </c>
      <c r="AH1998" s="2297" t="s">
        <v>342</v>
      </c>
      <c r="AI1998" s="1390"/>
      <c r="AJ1998" s="2282"/>
      <c r="AK1998" s="2282"/>
      <c r="AL1998" s="1037"/>
      <c r="AX1998" s="340">
        <v>178.07</v>
      </c>
      <c r="AY1998" s="340" t="s">
        <v>338</v>
      </c>
      <c r="BN1998" s="340">
        <v>254.17</v>
      </c>
      <c r="BO1998" s="340" t="s">
        <v>342</v>
      </c>
      <c r="BP1998" s="1385"/>
      <c r="BV1998" s="236">
        <v>503.11</v>
      </c>
      <c r="BW1998" s="236" t="s">
        <v>323</v>
      </c>
      <c r="CB1998" s="340">
        <v>177.01</v>
      </c>
      <c r="CC1998" s="340" t="s">
        <v>338</v>
      </c>
      <c r="CL1998" s="236">
        <v>109.07</v>
      </c>
      <c r="CM1998" s="236" t="s">
        <v>297</v>
      </c>
      <c r="CR1998" s="340">
        <v>254.12</v>
      </c>
      <c r="CS1998" s="340" t="s">
        <v>342</v>
      </c>
      <c r="CT1998" s="1384"/>
      <c r="DF1998" s="340">
        <v>9.0299999999999994</v>
      </c>
      <c r="DG1998" s="340" t="s">
        <v>340</v>
      </c>
      <c r="DV1998" s="340">
        <v>286.02</v>
      </c>
      <c r="DW1998" s="340" t="s">
        <v>342</v>
      </c>
      <c r="DX1998" s="1671"/>
    </row>
    <row r="1999" spans="12:128">
      <c r="L1999" s="2481">
        <v>27.02</v>
      </c>
      <c r="M1999" s="340" t="s">
        <v>340</v>
      </c>
      <c r="N1999" s="1390"/>
      <c r="O1999" s="2479"/>
      <c r="P1999" s="2282"/>
      <c r="AG1999" s="2297">
        <v>301</v>
      </c>
      <c r="AH1999" s="2297" t="s">
        <v>289</v>
      </c>
      <c r="AI1999" s="1390"/>
      <c r="AJ1999" s="2282"/>
      <c r="AK1999" s="2282"/>
      <c r="AL1999" s="1037"/>
      <c r="AX1999" s="340">
        <v>178.08</v>
      </c>
      <c r="AY1999" s="340" t="s">
        <v>338</v>
      </c>
      <c r="BN1999" s="340">
        <v>255.01</v>
      </c>
      <c r="BO1999" s="340" t="s">
        <v>342</v>
      </c>
      <c r="BP1999" s="1385"/>
      <c r="BV1999" s="236">
        <v>503.12</v>
      </c>
      <c r="BW1999" s="236" t="s">
        <v>323</v>
      </c>
      <c r="CB1999" s="340">
        <v>177.02</v>
      </c>
      <c r="CC1999" s="340" t="s">
        <v>338</v>
      </c>
      <c r="CL1999" s="338">
        <v>110</v>
      </c>
      <c r="CM1999" s="338" t="s">
        <v>289</v>
      </c>
      <c r="CR1999" s="340">
        <v>255.01</v>
      </c>
      <c r="CS1999" s="340" t="s">
        <v>342</v>
      </c>
      <c r="CT1999" s="1384"/>
      <c r="DF1999" s="340">
        <v>9.0399999999999991</v>
      </c>
      <c r="DG1999" s="340" t="s">
        <v>340</v>
      </c>
      <c r="DV1999" s="340">
        <v>301</v>
      </c>
      <c r="DW1999" s="340" t="s">
        <v>289</v>
      </c>
      <c r="DX1999" s="1671"/>
    </row>
    <row r="2000" spans="12:128">
      <c r="L2000" s="2481">
        <v>27.03</v>
      </c>
      <c r="M2000" s="340" t="s">
        <v>340</v>
      </c>
      <c r="N2000" s="1390"/>
      <c r="O2000" s="2479"/>
      <c r="P2000" s="2282"/>
      <c r="AG2000" s="2297">
        <v>301</v>
      </c>
      <c r="AH2000" s="2297" t="s">
        <v>323</v>
      </c>
      <c r="AI2000" s="1390"/>
      <c r="AJ2000" s="2282"/>
      <c r="AK2000" s="2282"/>
      <c r="AL2000" s="1037"/>
      <c r="AX2000" s="340">
        <v>178.09</v>
      </c>
      <c r="AY2000" s="340" t="s">
        <v>338</v>
      </c>
      <c r="BN2000" s="340">
        <v>255.09</v>
      </c>
      <c r="BO2000" s="340" t="s">
        <v>342</v>
      </c>
      <c r="BP2000" s="1385"/>
      <c r="BV2000" s="236">
        <v>503.15</v>
      </c>
      <c r="BW2000" s="236" t="s">
        <v>323</v>
      </c>
      <c r="CB2000" s="340">
        <v>178.05</v>
      </c>
      <c r="CC2000" s="340" t="s">
        <v>338</v>
      </c>
      <c r="CL2000" s="236">
        <v>110</v>
      </c>
      <c r="CM2000" s="236" t="s">
        <v>302</v>
      </c>
      <c r="CR2000" s="340">
        <v>255.1</v>
      </c>
      <c r="CS2000" s="340" t="s">
        <v>342</v>
      </c>
      <c r="CT2000" s="1384"/>
      <c r="DF2000" s="340">
        <v>9.0500000000000007</v>
      </c>
      <c r="DG2000" s="340" t="s">
        <v>340</v>
      </c>
      <c r="DV2000" s="340">
        <v>301</v>
      </c>
      <c r="DW2000" s="340" t="s">
        <v>323</v>
      </c>
      <c r="DX2000" s="1671"/>
    </row>
    <row r="2001" spans="12:128">
      <c r="L2001" s="2481">
        <v>34</v>
      </c>
      <c r="M2001" s="340" t="s">
        <v>340</v>
      </c>
      <c r="N2001" s="1390"/>
      <c r="O2001" s="2479"/>
      <c r="P2001" s="2282"/>
      <c r="AG2001" s="2297">
        <v>301.04000000000002</v>
      </c>
      <c r="AH2001" s="2297" t="s">
        <v>296</v>
      </c>
      <c r="AI2001" s="1390"/>
      <c r="AJ2001" s="2282"/>
      <c r="AK2001" s="2282"/>
      <c r="AL2001" s="1037"/>
      <c r="AX2001" s="340">
        <v>178.11</v>
      </c>
      <c r="AY2001" s="340" t="s">
        <v>338</v>
      </c>
      <c r="BN2001" s="340">
        <v>255.1</v>
      </c>
      <c r="BO2001" s="340" t="s">
        <v>342</v>
      </c>
      <c r="BP2001" s="1385"/>
      <c r="BV2001" s="236">
        <v>503.16</v>
      </c>
      <c r="BW2001" s="236" t="s">
        <v>323</v>
      </c>
      <c r="CB2001" s="340">
        <v>178.06</v>
      </c>
      <c r="CC2001" s="340" t="s">
        <v>338</v>
      </c>
      <c r="CL2001" s="236">
        <v>110</v>
      </c>
      <c r="CM2001" s="236" t="s">
        <v>338</v>
      </c>
      <c r="CR2001" s="340">
        <v>257</v>
      </c>
      <c r="CS2001" s="340" t="s">
        <v>342</v>
      </c>
      <c r="CT2001" s="1384"/>
      <c r="DF2001" s="340">
        <v>10.029999999999999</v>
      </c>
      <c r="DG2001" s="340" t="s">
        <v>340</v>
      </c>
      <c r="DV2001" s="340">
        <v>301.02</v>
      </c>
      <c r="DW2001" s="340" t="s">
        <v>294</v>
      </c>
      <c r="DX2001" s="1671"/>
    </row>
    <row r="2002" spans="12:128">
      <c r="L2002" s="2481">
        <v>35.07</v>
      </c>
      <c r="M2002" s="340" t="s">
        <v>340</v>
      </c>
      <c r="N2002" s="1390"/>
      <c r="O2002" s="2479"/>
      <c r="P2002" s="2282"/>
      <c r="AG2002" s="2297">
        <v>301.04000000000002</v>
      </c>
      <c r="AH2002" s="2297" t="s">
        <v>322</v>
      </c>
      <c r="AI2002" s="1390"/>
      <c r="AJ2002" s="2282"/>
      <c r="AK2002" s="2282"/>
      <c r="AL2002" s="1037"/>
      <c r="AX2002" s="340">
        <v>178.12</v>
      </c>
      <c r="AY2002" s="340" t="s">
        <v>338</v>
      </c>
      <c r="BN2002" s="340">
        <v>257</v>
      </c>
      <c r="BO2002" s="340" t="s">
        <v>342</v>
      </c>
      <c r="BP2002" s="1385"/>
      <c r="BV2002" s="236">
        <v>503.17</v>
      </c>
      <c r="BW2002" s="236" t="s">
        <v>323</v>
      </c>
      <c r="CB2002" s="340">
        <v>178.08</v>
      </c>
      <c r="CC2002" s="340" t="s">
        <v>338</v>
      </c>
      <c r="CL2002" s="236">
        <v>110</v>
      </c>
      <c r="CM2002" s="236" t="s">
        <v>344</v>
      </c>
      <c r="CR2002" s="340">
        <v>260.01</v>
      </c>
      <c r="CS2002" s="340" t="s">
        <v>342</v>
      </c>
      <c r="CT2002" s="1384"/>
      <c r="DF2002" s="340">
        <v>11.02</v>
      </c>
      <c r="DG2002" s="340" t="s">
        <v>340</v>
      </c>
      <c r="DV2002" s="340">
        <v>301.04000000000002</v>
      </c>
      <c r="DW2002" s="340" t="s">
        <v>296</v>
      </c>
      <c r="DX2002" s="1671"/>
    </row>
    <row r="2003" spans="12:128">
      <c r="L2003" s="2481">
        <v>35.119999999999997</v>
      </c>
      <c r="M2003" s="340" t="s">
        <v>340</v>
      </c>
      <c r="N2003" s="1390"/>
      <c r="O2003" s="2479"/>
      <c r="P2003" s="2282"/>
      <c r="AG2003" s="2297">
        <v>301.08</v>
      </c>
      <c r="AH2003" s="2297" t="s">
        <v>322</v>
      </c>
      <c r="AI2003" s="1390"/>
      <c r="AJ2003" s="2282"/>
      <c r="AK2003" s="2282"/>
      <c r="AL2003" s="1037"/>
      <c r="AX2003" s="340">
        <v>178.13</v>
      </c>
      <c r="AY2003" s="340" t="s">
        <v>338</v>
      </c>
      <c r="BN2003" s="340">
        <v>260.01</v>
      </c>
      <c r="BO2003" s="340" t="s">
        <v>342</v>
      </c>
      <c r="BP2003" s="1385"/>
      <c r="BV2003" s="236">
        <v>503.18</v>
      </c>
      <c r="BW2003" s="236" t="s">
        <v>323</v>
      </c>
      <c r="CB2003" s="340">
        <v>178.09</v>
      </c>
      <c r="CC2003" s="340" t="s">
        <v>338</v>
      </c>
      <c r="CL2003" s="236">
        <v>110.03</v>
      </c>
      <c r="CM2003" s="236" t="s">
        <v>297</v>
      </c>
      <c r="CR2003" s="340">
        <v>260.02999999999997</v>
      </c>
      <c r="CS2003" s="340" t="s">
        <v>342</v>
      </c>
      <c r="CT2003" s="1384"/>
      <c r="DF2003" s="340">
        <v>19.04</v>
      </c>
      <c r="DG2003" s="340" t="s">
        <v>340</v>
      </c>
      <c r="DV2003" s="340">
        <v>301.08</v>
      </c>
      <c r="DW2003" s="340" t="s">
        <v>322</v>
      </c>
      <c r="DX2003" s="1671"/>
    </row>
    <row r="2004" spans="12:128">
      <c r="L2004" s="2481">
        <v>35.130000000000003</v>
      </c>
      <c r="M2004" s="340" t="s">
        <v>340</v>
      </c>
      <c r="N2004" s="1390"/>
      <c r="O2004" s="2479"/>
      <c r="P2004" s="2282"/>
      <c r="AG2004" s="2297">
        <v>301.10000000000002</v>
      </c>
      <c r="AH2004" s="2297" t="s">
        <v>322</v>
      </c>
      <c r="AI2004" s="1390"/>
      <c r="AJ2004" s="2282"/>
      <c r="AK2004" s="2282"/>
      <c r="AL2004" s="1037"/>
      <c r="AX2004" s="340">
        <v>178.14</v>
      </c>
      <c r="AY2004" s="340" t="s">
        <v>338</v>
      </c>
      <c r="BN2004" s="340">
        <v>260.02999999999997</v>
      </c>
      <c r="BO2004" s="340" t="s">
        <v>342</v>
      </c>
      <c r="BP2004" s="1385"/>
      <c r="BV2004" s="236">
        <v>503.19</v>
      </c>
      <c r="BW2004" s="236" t="s">
        <v>323</v>
      </c>
      <c r="CB2004" s="340">
        <v>178.1</v>
      </c>
      <c r="CC2004" s="340" t="s">
        <v>338</v>
      </c>
      <c r="CL2004" s="236">
        <v>110.03</v>
      </c>
      <c r="CM2004" s="236" t="s">
        <v>316</v>
      </c>
      <c r="CR2004" s="340">
        <v>260.04000000000002</v>
      </c>
      <c r="CS2004" s="340" t="s">
        <v>342</v>
      </c>
      <c r="CT2004" s="1384"/>
      <c r="DF2004" s="340">
        <v>19.07</v>
      </c>
      <c r="DG2004" s="340" t="s">
        <v>340</v>
      </c>
      <c r="DV2004" s="340">
        <v>301.08999999999997</v>
      </c>
      <c r="DW2004" s="340" t="s">
        <v>322</v>
      </c>
      <c r="DX2004" s="1671"/>
    </row>
    <row r="2005" spans="12:128">
      <c r="L2005" s="2481">
        <v>35.14</v>
      </c>
      <c r="M2005" s="340" t="s">
        <v>340</v>
      </c>
      <c r="N2005" s="1390"/>
      <c r="O2005" s="2479"/>
      <c r="P2005" s="2282"/>
      <c r="AG2005" s="2297">
        <v>301.11</v>
      </c>
      <c r="AH2005" s="2297" t="s">
        <v>322</v>
      </c>
      <c r="AI2005" s="1390"/>
      <c r="AJ2005" s="2282"/>
      <c r="AK2005" s="2282"/>
      <c r="AL2005" s="1037"/>
      <c r="AX2005" s="340">
        <v>179.01</v>
      </c>
      <c r="AY2005" s="340" t="s">
        <v>338</v>
      </c>
      <c r="BN2005" s="340">
        <v>264.01</v>
      </c>
      <c r="BO2005" s="340" t="s">
        <v>342</v>
      </c>
      <c r="BP2005" s="1385"/>
      <c r="BV2005" s="236">
        <v>503.2</v>
      </c>
      <c r="BW2005" s="236" t="s">
        <v>323</v>
      </c>
      <c r="CB2005" s="340">
        <v>178.11</v>
      </c>
      <c r="CC2005" s="340" t="s">
        <v>338</v>
      </c>
      <c r="CL2005" s="236">
        <v>110.03</v>
      </c>
      <c r="CM2005" s="236" t="s">
        <v>331</v>
      </c>
      <c r="CR2005" s="340">
        <v>264.01</v>
      </c>
      <c r="CS2005" s="340" t="s">
        <v>342</v>
      </c>
      <c r="CT2005" s="1384"/>
      <c r="DF2005" s="340">
        <v>19.16</v>
      </c>
      <c r="DG2005" s="340" t="s">
        <v>340</v>
      </c>
      <c r="DV2005" s="340">
        <v>301.10000000000002</v>
      </c>
      <c r="DW2005" s="340" t="s">
        <v>322</v>
      </c>
      <c r="DX2005" s="1671"/>
    </row>
    <row r="2006" spans="12:128">
      <c r="L2006" s="2481">
        <v>36</v>
      </c>
      <c r="M2006" s="340" t="s">
        <v>340</v>
      </c>
      <c r="N2006" s="1390"/>
      <c r="O2006" s="2479"/>
      <c r="P2006" s="2282"/>
      <c r="AG2006" s="2297">
        <v>302.01</v>
      </c>
      <c r="AH2006" s="2297" t="s">
        <v>294</v>
      </c>
      <c r="AI2006" s="1390"/>
      <c r="AJ2006" s="2282"/>
      <c r="AK2006" s="2282"/>
      <c r="AL2006" s="1037"/>
      <c r="AX2006" s="340">
        <v>181</v>
      </c>
      <c r="AY2006" s="340" t="s">
        <v>338</v>
      </c>
      <c r="BN2006" s="340">
        <v>266.01</v>
      </c>
      <c r="BO2006" s="340" t="s">
        <v>342</v>
      </c>
      <c r="BP2006" s="1385"/>
      <c r="BV2006" s="236">
        <v>503.21</v>
      </c>
      <c r="BW2006" s="236" t="s">
        <v>323</v>
      </c>
      <c r="CB2006" s="340">
        <v>178.12</v>
      </c>
      <c r="CC2006" s="340" t="s">
        <v>338</v>
      </c>
      <c r="CL2006" s="236">
        <v>110.05</v>
      </c>
      <c r="CM2006" s="236" t="s">
        <v>316</v>
      </c>
      <c r="CR2006" s="340">
        <v>266.01</v>
      </c>
      <c r="CS2006" s="340" t="s">
        <v>342</v>
      </c>
      <c r="CT2006" s="1384"/>
      <c r="DF2006" s="340">
        <v>19.18</v>
      </c>
      <c r="DG2006" s="340" t="s">
        <v>340</v>
      </c>
      <c r="DV2006" s="340">
        <v>302.01</v>
      </c>
      <c r="DW2006" s="340" t="s">
        <v>294</v>
      </c>
      <c r="DX2006" s="1671"/>
    </row>
    <row r="2007" spans="12:128">
      <c r="L2007" s="2481">
        <v>38.01</v>
      </c>
      <c r="M2007" s="340" t="s">
        <v>340</v>
      </c>
      <c r="N2007" s="1390"/>
      <c r="O2007" s="2479"/>
      <c r="P2007" s="2282"/>
      <c r="AG2007" s="2297">
        <v>302.01</v>
      </c>
      <c r="AH2007" s="2297" t="s">
        <v>323</v>
      </c>
      <c r="AI2007" s="1390"/>
      <c r="AJ2007" s="2282"/>
      <c r="AK2007" s="2282"/>
      <c r="AL2007" s="1037"/>
      <c r="AX2007" s="340">
        <v>182.01</v>
      </c>
      <c r="AY2007" s="340" t="s">
        <v>338</v>
      </c>
      <c r="BN2007" s="340">
        <v>267.04000000000002</v>
      </c>
      <c r="BO2007" s="340" t="s">
        <v>342</v>
      </c>
      <c r="BP2007" s="1385"/>
      <c r="BV2007" s="236">
        <v>503.22</v>
      </c>
      <c r="BW2007" s="236" t="s">
        <v>323</v>
      </c>
      <c r="CB2007" s="340">
        <v>178.13</v>
      </c>
      <c r="CC2007" s="340" t="s">
        <v>338</v>
      </c>
      <c r="CL2007" s="236">
        <v>110.06</v>
      </c>
      <c r="CM2007" s="236" t="s">
        <v>316</v>
      </c>
      <c r="CR2007" s="340">
        <v>266.02</v>
      </c>
      <c r="CS2007" s="340" t="s">
        <v>342</v>
      </c>
      <c r="CT2007" s="1384"/>
      <c r="DF2007" s="340">
        <v>19.190000000000001</v>
      </c>
      <c r="DG2007" s="340" t="s">
        <v>340</v>
      </c>
      <c r="DV2007" s="340">
        <v>302.01</v>
      </c>
      <c r="DW2007" s="340" t="s">
        <v>323</v>
      </c>
      <c r="DX2007" s="1671"/>
    </row>
    <row r="2008" spans="12:128">
      <c r="L2008" s="2481">
        <v>42.05</v>
      </c>
      <c r="M2008" s="340" t="s">
        <v>340</v>
      </c>
      <c r="N2008" s="1390"/>
      <c r="O2008" s="2479"/>
      <c r="P2008" s="2282"/>
      <c r="AG2008" s="2297">
        <v>302.02</v>
      </c>
      <c r="AH2008" s="2297" t="s">
        <v>294</v>
      </c>
      <c r="AI2008" s="1390"/>
      <c r="AJ2008" s="2282"/>
      <c r="AK2008" s="2282"/>
      <c r="AL2008" s="1037"/>
      <c r="AX2008" s="340">
        <v>182.02</v>
      </c>
      <c r="AY2008" s="340" t="s">
        <v>338</v>
      </c>
      <c r="BN2008" s="340">
        <v>268.04000000000002</v>
      </c>
      <c r="BO2008" s="340" t="s">
        <v>342</v>
      </c>
      <c r="BP2008" s="1385"/>
      <c r="BV2008" s="236">
        <v>503.23</v>
      </c>
      <c r="BW2008" s="236" t="s">
        <v>323</v>
      </c>
      <c r="CB2008" s="340">
        <v>178.14</v>
      </c>
      <c r="CC2008" s="340" t="s">
        <v>338</v>
      </c>
      <c r="CL2008" s="236">
        <v>110.07</v>
      </c>
      <c r="CM2008" s="236" t="s">
        <v>316</v>
      </c>
      <c r="CR2008" s="340">
        <v>267.04000000000002</v>
      </c>
      <c r="CS2008" s="340" t="s">
        <v>342</v>
      </c>
      <c r="CT2008" s="1384"/>
      <c r="DF2008" s="340">
        <v>26</v>
      </c>
      <c r="DG2008" s="340" t="s">
        <v>340</v>
      </c>
      <c r="DV2008" s="340">
        <v>302.02</v>
      </c>
      <c r="DW2008" s="340" t="s">
        <v>294</v>
      </c>
      <c r="DX2008" s="1671"/>
    </row>
    <row r="2009" spans="12:128">
      <c r="L2009" s="2481">
        <v>43</v>
      </c>
      <c r="M2009" s="340" t="s">
        <v>340</v>
      </c>
      <c r="N2009" s="1390"/>
      <c r="O2009" s="2479"/>
      <c r="P2009" s="2282"/>
      <c r="AG2009" s="2297">
        <v>302.02</v>
      </c>
      <c r="AH2009" s="2297" t="s">
        <v>341</v>
      </c>
      <c r="AI2009" s="1390"/>
      <c r="AJ2009" s="2282"/>
      <c r="AK2009" s="2282"/>
      <c r="AL2009" s="1037"/>
      <c r="AX2009" s="340">
        <v>182.03</v>
      </c>
      <c r="AY2009" s="340" t="s">
        <v>338</v>
      </c>
      <c r="BN2009" s="340">
        <v>268.08999999999997</v>
      </c>
      <c r="BO2009" s="340" t="s">
        <v>342</v>
      </c>
      <c r="BP2009" s="1385"/>
      <c r="BV2009" s="236">
        <v>503.24</v>
      </c>
      <c r="BW2009" s="236" t="s">
        <v>323</v>
      </c>
      <c r="CB2009" s="340">
        <v>179.01</v>
      </c>
      <c r="CC2009" s="340" t="s">
        <v>338</v>
      </c>
      <c r="CL2009" s="236">
        <v>110.08</v>
      </c>
      <c r="CM2009" s="236" t="s">
        <v>316</v>
      </c>
      <c r="CR2009" s="340">
        <v>267.05</v>
      </c>
      <c r="CS2009" s="340" t="s">
        <v>342</v>
      </c>
      <c r="CT2009" s="1384"/>
      <c r="DF2009" s="340">
        <v>27.02</v>
      </c>
      <c r="DG2009" s="340" t="s">
        <v>340</v>
      </c>
      <c r="DV2009" s="340">
        <v>302.02</v>
      </c>
      <c r="DW2009" s="340" t="s">
        <v>341</v>
      </c>
      <c r="DX2009" s="1671"/>
    </row>
    <row r="2010" spans="12:128">
      <c r="L2010" s="2481">
        <v>47.02</v>
      </c>
      <c r="M2010" s="340" t="s">
        <v>340</v>
      </c>
      <c r="N2010" s="1390"/>
      <c r="O2010" s="2479"/>
      <c r="P2010" s="2282"/>
      <c r="AG2010" s="2297">
        <v>302.02999999999997</v>
      </c>
      <c r="AH2010" s="2297" t="s">
        <v>322</v>
      </c>
      <c r="AI2010" s="1390"/>
      <c r="AJ2010" s="2282"/>
      <c r="AK2010" s="2282"/>
      <c r="AL2010" s="1037"/>
      <c r="AX2010" s="340">
        <v>182.04</v>
      </c>
      <c r="AY2010" s="340" t="s">
        <v>338</v>
      </c>
      <c r="BN2010" s="340">
        <v>268.11</v>
      </c>
      <c r="BO2010" s="340" t="s">
        <v>342</v>
      </c>
      <c r="BP2010" s="1385"/>
      <c r="BV2010" s="236">
        <v>503.25</v>
      </c>
      <c r="BW2010" s="236" t="s">
        <v>323</v>
      </c>
      <c r="CB2010" s="340">
        <v>181</v>
      </c>
      <c r="CC2010" s="340" t="s">
        <v>338</v>
      </c>
      <c r="CL2010" s="236">
        <v>110.08</v>
      </c>
      <c r="CM2010" s="236" t="s">
        <v>331</v>
      </c>
      <c r="CR2010" s="340">
        <v>268.08999999999997</v>
      </c>
      <c r="CS2010" s="340" t="s">
        <v>342</v>
      </c>
      <c r="CT2010" s="1384"/>
      <c r="DF2010" s="340">
        <v>27.03</v>
      </c>
      <c r="DG2010" s="340" t="s">
        <v>340</v>
      </c>
      <c r="DV2010" s="340">
        <v>302.02999999999997</v>
      </c>
      <c r="DW2010" s="340" t="s">
        <v>322</v>
      </c>
      <c r="DX2010" s="1671"/>
    </row>
    <row r="2011" spans="12:128">
      <c r="L2011" s="2481">
        <v>48.13</v>
      </c>
      <c r="M2011" s="340" t="s">
        <v>340</v>
      </c>
      <c r="N2011" s="1390"/>
      <c r="O2011" s="2479"/>
      <c r="P2011" s="2282"/>
      <c r="AG2011" s="2297">
        <v>302.04000000000002</v>
      </c>
      <c r="AH2011" s="2297" t="s">
        <v>296</v>
      </c>
      <c r="AI2011" s="1390"/>
      <c r="AJ2011" s="2282"/>
      <c r="AK2011" s="2282"/>
      <c r="AL2011" s="1037"/>
      <c r="AX2011" s="340">
        <v>184</v>
      </c>
      <c r="AY2011" s="340" t="s">
        <v>338</v>
      </c>
      <c r="BN2011" s="340">
        <v>268.12</v>
      </c>
      <c r="BO2011" s="340" t="s">
        <v>342</v>
      </c>
      <c r="BP2011" s="1385"/>
      <c r="BV2011" s="236">
        <v>504.01</v>
      </c>
      <c r="BW2011" s="236" t="s">
        <v>323</v>
      </c>
      <c r="CB2011" s="340">
        <v>182.01</v>
      </c>
      <c r="CC2011" s="340" t="s">
        <v>338</v>
      </c>
      <c r="CL2011" s="236">
        <v>110.09</v>
      </c>
      <c r="CM2011" s="236" t="s">
        <v>331</v>
      </c>
      <c r="CR2011" s="340">
        <v>268.11</v>
      </c>
      <c r="CS2011" s="340" t="s">
        <v>342</v>
      </c>
      <c r="CT2011" s="1384"/>
      <c r="DF2011" s="340">
        <v>34</v>
      </c>
      <c r="DG2011" s="340" t="s">
        <v>340</v>
      </c>
      <c r="DV2011" s="340">
        <v>302.04000000000002</v>
      </c>
      <c r="DW2011" s="340" t="s">
        <v>296</v>
      </c>
      <c r="DX2011" s="1671"/>
    </row>
    <row r="2012" spans="12:128">
      <c r="L2012" s="2481">
        <v>48.15</v>
      </c>
      <c r="M2012" s="340" t="s">
        <v>340</v>
      </c>
      <c r="N2012" s="1390"/>
      <c r="O2012" s="2479"/>
      <c r="P2012" s="2282"/>
      <c r="AG2012" s="2297">
        <v>302.04000000000002</v>
      </c>
      <c r="AH2012" s="2297" t="s">
        <v>322</v>
      </c>
      <c r="AI2012" s="1390"/>
      <c r="AJ2012" s="2282"/>
      <c r="AK2012" s="2282"/>
      <c r="AL2012" s="1037"/>
      <c r="AX2012" s="340">
        <v>188</v>
      </c>
      <c r="AY2012" s="340" t="s">
        <v>338</v>
      </c>
      <c r="BN2012" s="340">
        <v>268.14</v>
      </c>
      <c r="BO2012" s="340" t="s">
        <v>342</v>
      </c>
      <c r="BP2012" s="1385"/>
      <c r="BV2012" s="236">
        <v>504.02</v>
      </c>
      <c r="BW2012" s="236" t="s">
        <v>323</v>
      </c>
      <c r="CB2012" s="340">
        <v>182.02</v>
      </c>
      <c r="CC2012" s="340" t="s">
        <v>338</v>
      </c>
      <c r="CL2012" s="236">
        <v>110.1</v>
      </c>
      <c r="CM2012" s="236" t="s">
        <v>316</v>
      </c>
      <c r="CR2012" s="340">
        <v>268.12</v>
      </c>
      <c r="CS2012" s="340" t="s">
        <v>342</v>
      </c>
      <c r="CT2012" s="1384"/>
      <c r="DF2012" s="340">
        <v>35.07</v>
      </c>
      <c r="DG2012" s="340" t="s">
        <v>340</v>
      </c>
      <c r="DV2012" s="340">
        <v>302.04000000000002</v>
      </c>
      <c r="DW2012" s="340" t="s">
        <v>322</v>
      </c>
      <c r="DX2012" s="1671"/>
    </row>
    <row r="2013" spans="12:128">
      <c r="L2013" s="2481">
        <v>48.22</v>
      </c>
      <c r="M2013" s="340" t="s">
        <v>340</v>
      </c>
      <c r="N2013" s="1390"/>
      <c r="O2013" s="2479"/>
      <c r="P2013" s="2282"/>
      <c r="AG2013" s="2297">
        <v>302.05</v>
      </c>
      <c r="AH2013" s="2297" t="s">
        <v>296</v>
      </c>
      <c r="AI2013" s="1390"/>
      <c r="AJ2013" s="2282"/>
      <c r="AK2013" s="2282"/>
      <c r="AL2013" s="1037"/>
      <c r="AX2013" s="340">
        <v>189.01</v>
      </c>
      <c r="AY2013" s="340" t="s">
        <v>338</v>
      </c>
      <c r="BN2013" s="340">
        <v>268.14999999999998</v>
      </c>
      <c r="BO2013" s="340" t="s">
        <v>342</v>
      </c>
      <c r="BP2013" s="1385"/>
      <c r="BV2013" s="236">
        <v>505.01</v>
      </c>
      <c r="BW2013" s="236" t="s">
        <v>323</v>
      </c>
      <c r="CB2013" s="340">
        <v>182.04</v>
      </c>
      <c r="CC2013" s="340" t="s">
        <v>338</v>
      </c>
      <c r="CL2013" s="236">
        <v>110.1</v>
      </c>
      <c r="CM2013" s="236" t="s">
        <v>331</v>
      </c>
      <c r="CR2013" s="340">
        <v>268.14999999999998</v>
      </c>
      <c r="CS2013" s="340" t="s">
        <v>342</v>
      </c>
      <c r="CT2013" s="1384"/>
      <c r="DF2013" s="340">
        <v>35.130000000000003</v>
      </c>
      <c r="DG2013" s="340" t="s">
        <v>340</v>
      </c>
      <c r="DV2013" s="340">
        <v>302.04000000000002</v>
      </c>
      <c r="DW2013" s="340" t="s">
        <v>341</v>
      </c>
      <c r="DX2013" s="1671"/>
    </row>
    <row r="2014" spans="12:128">
      <c r="L2014" s="2481">
        <v>48.23</v>
      </c>
      <c r="M2014" s="340" t="s">
        <v>340</v>
      </c>
      <c r="N2014" s="1390"/>
      <c r="O2014" s="2479"/>
      <c r="P2014" s="2282"/>
      <c r="AG2014" s="2297">
        <v>302.05</v>
      </c>
      <c r="AH2014" s="2297" t="s">
        <v>323</v>
      </c>
      <c r="AI2014" s="1390"/>
      <c r="AJ2014" s="2282"/>
      <c r="AK2014" s="2282"/>
      <c r="AL2014" s="1037"/>
      <c r="AX2014" s="340">
        <v>189.02</v>
      </c>
      <c r="AY2014" s="340" t="s">
        <v>338</v>
      </c>
      <c r="BN2014" s="340">
        <v>268.16000000000003</v>
      </c>
      <c r="BO2014" s="340" t="s">
        <v>342</v>
      </c>
      <c r="BP2014" s="1385"/>
      <c r="BV2014" s="236">
        <v>505.02</v>
      </c>
      <c r="BW2014" s="236" t="s">
        <v>323</v>
      </c>
      <c r="CB2014" s="340">
        <v>184</v>
      </c>
      <c r="CC2014" s="340" t="s">
        <v>338</v>
      </c>
      <c r="CL2014" s="236">
        <v>110.11</v>
      </c>
      <c r="CM2014" s="236" t="s">
        <v>331</v>
      </c>
      <c r="CR2014" s="340">
        <v>268.16000000000003</v>
      </c>
      <c r="CS2014" s="340" t="s">
        <v>342</v>
      </c>
      <c r="CT2014" s="1384"/>
      <c r="DF2014" s="340">
        <v>35.14</v>
      </c>
      <c r="DG2014" s="340" t="s">
        <v>340</v>
      </c>
      <c r="DV2014" s="340">
        <v>302.05</v>
      </c>
      <c r="DW2014" s="340" t="s">
        <v>296</v>
      </c>
      <c r="DX2014" s="1671"/>
    </row>
    <row r="2015" spans="12:128">
      <c r="L2015" s="2481">
        <v>49.02</v>
      </c>
      <c r="M2015" s="340" t="s">
        <v>340</v>
      </c>
      <c r="N2015" s="1390"/>
      <c r="O2015" s="2479"/>
      <c r="P2015" s="2282"/>
      <c r="AG2015" s="2297">
        <v>302.05</v>
      </c>
      <c r="AH2015" s="2297" t="s">
        <v>341</v>
      </c>
      <c r="AI2015" s="1390"/>
      <c r="AJ2015" s="2282"/>
      <c r="AK2015" s="2282"/>
      <c r="AL2015" s="1037"/>
      <c r="AX2015" s="340">
        <v>190</v>
      </c>
      <c r="AY2015" s="340" t="s">
        <v>338</v>
      </c>
      <c r="BN2015" s="340">
        <v>268.17</v>
      </c>
      <c r="BO2015" s="340" t="s">
        <v>342</v>
      </c>
      <c r="BP2015" s="1385"/>
      <c r="BV2015" s="236">
        <v>506.01</v>
      </c>
      <c r="BW2015" s="236" t="s">
        <v>323</v>
      </c>
      <c r="CB2015" s="340">
        <v>188</v>
      </c>
      <c r="CC2015" s="340" t="s">
        <v>338</v>
      </c>
      <c r="CL2015" s="236">
        <v>110.12</v>
      </c>
      <c r="CM2015" s="236" t="s">
        <v>331</v>
      </c>
      <c r="CR2015" s="340">
        <v>268.17</v>
      </c>
      <c r="CS2015" s="340" t="s">
        <v>342</v>
      </c>
      <c r="CT2015" s="1384"/>
      <c r="DF2015" s="340">
        <v>36</v>
      </c>
      <c r="DG2015" s="340" t="s">
        <v>340</v>
      </c>
      <c r="DV2015" s="340">
        <v>302.05</v>
      </c>
      <c r="DW2015" s="340" t="s">
        <v>323</v>
      </c>
      <c r="DX2015" s="1671"/>
    </row>
    <row r="2016" spans="12:128">
      <c r="L2016" s="2481">
        <v>54.11</v>
      </c>
      <c r="M2016" s="340" t="s">
        <v>340</v>
      </c>
      <c r="N2016" s="1390"/>
      <c r="O2016" s="2479"/>
      <c r="P2016" s="2282"/>
      <c r="AG2016" s="2297">
        <v>302.06</v>
      </c>
      <c r="AH2016" s="2297" t="s">
        <v>296</v>
      </c>
      <c r="AI2016" s="1390"/>
      <c r="AJ2016" s="2282"/>
      <c r="AK2016" s="2282"/>
      <c r="AL2016" s="1037"/>
      <c r="AX2016" s="340">
        <v>408.01</v>
      </c>
      <c r="AY2016" s="340" t="s">
        <v>339</v>
      </c>
      <c r="BN2016" s="340">
        <v>268.20999999999998</v>
      </c>
      <c r="BO2016" s="340" t="s">
        <v>342</v>
      </c>
      <c r="BP2016" s="1385"/>
      <c r="BV2016" s="236">
        <v>506.03</v>
      </c>
      <c r="BW2016" s="236" t="s">
        <v>323</v>
      </c>
      <c r="CB2016" s="340">
        <v>189.02</v>
      </c>
      <c r="CC2016" s="340" t="s">
        <v>338</v>
      </c>
      <c r="CL2016" s="236">
        <v>110.13</v>
      </c>
      <c r="CM2016" s="236" t="s">
        <v>316</v>
      </c>
      <c r="CR2016" s="340">
        <v>268.20999999999998</v>
      </c>
      <c r="CS2016" s="340" t="s">
        <v>342</v>
      </c>
      <c r="CT2016" s="1384"/>
      <c r="DF2016" s="340">
        <v>38.01</v>
      </c>
      <c r="DG2016" s="340" t="s">
        <v>340</v>
      </c>
      <c r="DV2016" s="340">
        <v>302.05</v>
      </c>
      <c r="DW2016" s="340" t="s">
        <v>341</v>
      </c>
      <c r="DX2016" s="1671"/>
    </row>
    <row r="2017" spans="12:128">
      <c r="L2017" s="2481">
        <v>54.12</v>
      </c>
      <c r="M2017" s="340" t="s">
        <v>340</v>
      </c>
      <c r="N2017" s="1390"/>
      <c r="O2017" s="2479"/>
      <c r="P2017" s="2282"/>
      <c r="AG2017" s="2297">
        <v>302.07</v>
      </c>
      <c r="AH2017" s="2297" t="s">
        <v>296</v>
      </c>
      <c r="AI2017" s="1390"/>
      <c r="AJ2017" s="2282"/>
      <c r="AK2017" s="2282"/>
      <c r="AL2017" s="1037"/>
      <c r="AX2017" s="340">
        <v>408.06</v>
      </c>
      <c r="AY2017" s="340" t="s">
        <v>339</v>
      </c>
      <c r="BN2017" s="340">
        <v>269.08</v>
      </c>
      <c r="BO2017" s="340" t="s">
        <v>342</v>
      </c>
      <c r="BP2017" s="1385"/>
      <c r="BV2017" s="236">
        <v>506.04</v>
      </c>
      <c r="BW2017" s="236" t="s">
        <v>323</v>
      </c>
      <c r="CB2017" s="340">
        <v>190</v>
      </c>
      <c r="CC2017" s="340" t="s">
        <v>338</v>
      </c>
      <c r="CL2017" s="236">
        <v>110.13</v>
      </c>
      <c r="CM2017" s="236" t="s">
        <v>331</v>
      </c>
      <c r="CR2017" s="340">
        <v>269.08</v>
      </c>
      <c r="CS2017" s="340" t="s">
        <v>342</v>
      </c>
      <c r="CT2017" s="1384"/>
      <c r="DF2017" s="340">
        <v>42.05</v>
      </c>
      <c r="DG2017" s="340" t="s">
        <v>340</v>
      </c>
      <c r="DV2017" s="340">
        <v>302.06</v>
      </c>
      <c r="DW2017" s="340" t="s">
        <v>296</v>
      </c>
      <c r="DX2017" s="1671"/>
    </row>
    <row r="2018" spans="12:128">
      <c r="L2018" s="2481">
        <v>54.13</v>
      </c>
      <c r="M2018" s="340" t="s">
        <v>340</v>
      </c>
      <c r="N2018" s="1390"/>
      <c r="O2018" s="2479"/>
      <c r="P2018" s="2282"/>
      <c r="AG2018" s="2297">
        <v>302.08</v>
      </c>
      <c r="AH2018" s="2297" t="s">
        <v>296</v>
      </c>
      <c r="AI2018" s="1390"/>
      <c r="AJ2018" s="2282"/>
      <c r="AK2018" s="2282"/>
      <c r="AL2018" s="1037"/>
      <c r="AX2018" s="340">
        <v>408.07</v>
      </c>
      <c r="AY2018" s="340" t="s">
        <v>339</v>
      </c>
      <c r="BN2018" s="340">
        <v>269.11</v>
      </c>
      <c r="BO2018" s="340" t="s">
        <v>342</v>
      </c>
      <c r="BP2018" s="1385"/>
      <c r="BV2018" s="236">
        <v>601.01</v>
      </c>
      <c r="BW2018" s="236" t="s">
        <v>323</v>
      </c>
      <c r="CB2018" s="340">
        <v>408.01</v>
      </c>
      <c r="CC2018" s="340" t="s">
        <v>339</v>
      </c>
      <c r="CL2018" s="236">
        <v>110.14</v>
      </c>
      <c r="CM2018" s="236" t="s">
        <v>331</v>
      </c>
      <c r="CR2018" s="340">
        <v>269.14</v>
      </c>
      <c r="CS2018" s="340" t="s">
        <v>342</v>
      </c>
      <c r="CT2018" s="1384"/>
      <c r="DF2018" s="340">
        <v>43</v>
      </c>
      <c r="DG2018" s="340" t="s">
        <v>340</v>
      </c>
      <c r="DV2018" s="340">
        <v>302.07</v>
      </c>
      <c r="DW2018" s="340" t="s">
        <v>296</v>
      </c>
      <c r="DX2018" s="1671"/>
    </row>
    <row r="2019" spans="12:128">
      <c r="L2019" s="2481">
        <v>58.11</v>
      </c>
      <c r="M2019" s="340" t="s">
        <v>340</v>
      </c>
      <c r="N2019" s="1390"/>
      <c r="O2019" s="2479"/>
      <c r="P2019" s="2282"/>
      <c r="AG2019" s="2297">
        <v>302.08</v>
      </c>
      <c r="AH2019" s="2297" t="s">
        <v>322</v>
      </c>
      <c r="AI2019" s="1390"/>
      <c r="AJ2019" s="2282"/>
      <c r="AK2019" s="2282"/>
      <c r="AL2019" s="1037"/>
      <c r="AX2019" s="340">
        <v>408.08</v>
      </c>
      <c r="AY2019" s="340" t="s">
        <v>339</v>
      </c>
      <c r="BN2019" s="340">
        <v>269.14999999999998</v>
      </c>
      <c r="BO2019" s="340" t="s">
        <v>342</v>
      </c>
      <c r="BP2019" s="1385"/>
      <c r="BV2019" s="236">
        <v>601.02</v>
      </c>
      <c r="BW2019" s="236" t="s">
        <v>323</v>
      </c>
      <c r="CB2019" s="340">
        <v>408.05</v>
      </c>
      <c r="CC2019" s="340" t="s">
        <v>339</v>
      </c>
      <c r="CL2019" s="236">
        <v>110.15</v>
      </c>
      <c r="CM2019" s="236" t="s">
        <v>331</v>
      </c>
      <c r="CR2019" s="340">
        <v>269.14999999999998</v>
      </c>
      <c r="CS2019" s="340" t="s">
        <v>342</v>
      </c>
      <c r="CT2019" s="1384"/>
      <c r="DF2019" s="340">
        <v>48.13</v>
      </c>
      <c r="DG2019" s="340" t="s">
        <v>340</v>
      </c>
      <c r="DV2019" s="340">
        <v>302.08</v>
      </c>
      <c r="DW2019" s="340" t="s">
        <v>296</v>
      </c>
      <c r="DX2019" s="1671"/>
    </row>
    <row r="2020" spans="12:128">
      <c r="L2020" s="2481">
        <v>58.2</v>
      </c>
      <c r="M2020" s="340" t="s">
        <v>340</v>
      </c>
      <c r="N2020" s="1390"/>
      <c r="O2020" s="2479"/>
      <c r="P2020" s="2282"/>
      <c r="AG2020" s="2297">
        <v>302.08999999999997</v>
      </c>
      <c r="AH2020" s="2297" t="s">
        <v>296</v>
      </c>
      <c r="AI2020" s="1390"/>
      <c r="AJ2020" s="2282"/>
      <c r="AK2020" s="2282"/>
      <c r="AL2020" s="1037"/>
      <c r="AX2020" s="340">
        <v>408.09</v>
      </c>
      <c r="AY2020" s="340" t="s">
        <v>339</v>
      </c>
      <c r="BN2020" s="340">
        <v>269.16000000000003</v>
      </c>
      <c r="BO2020" s="340" t="s">
        <v>342</v>
      </c>
      <c r="BP2020" s="1385"/>
      <c r="BV2020" s="236">
        <v>602.01</v>
      </c>
      <c r="BW2020" s="236" t="s">
        <v>323</v>
      </c>
      <c r="CB2020" s="340">
        <v>408.06</v>
      </c>
      <c r="CC2020" s="340" t="s">
        <v>339</v>
      </c>
      <c r="CL2020" s="236">
        <v>110.16</v>
      </c>
      <c r="CM2020" s="236" t="s">
        <v>316</v>
      </c>
      <c r="CR2020" s="340">
        <v>269.16000000000003</v>
      </c>
      <c r="CS2020" s="340" t="s">
        <v>342</v>
      </c>
      <c r="CT2020" s="1384"/>
      <c r="DF2020" s="340">
        <v>49.02</v>
      </c>
      <c r="DG2020" s="340" t="s">
        <v>340</v>
      </c>
      <c r="DV2020" s="340">
        <v>302.08</v>
      </c>
      <c r="DW2020" s="340" t="s">
        <v>322</v>
      </c>
      <c r="DX2020" s="1671"/>
    </row>
    <row r="2021" spans="12:128">
      <c r="L2021" s="2481">
        <v>59.16</v>
      </c>
      <c r="M2021" s="340" t="s">
        <v>340</v>
      </c>
      <c r="N2021" s="1390"/>
      <c r="O2021" s="2479"/>
      <c r="P2021" s="2282"/>
      <c r="AG2021" s="2297">
        <v>302.10000000000002</v>
      </c>
      <c r="AH2021" s="2297" t="s">
        <v>296</v>
      </c>
      <c r="AI2021" s="1390"/>
      <c r="AJ2021" s="2282"/>
      <c r="AK2021" s="2282"/>
      <c r="AL2021" s="1037"/>
      <c r="AX2021" s="340">
        <v>408.1</v>
      </c>
      <c r="AY2021" s="340" t="s">
        <v>339</v>
      </c>
      <c r="BN2021" s="340">
        <v>270</v>
      </c>
      <c r="BO2021" s="340" t="s">
        <v>342</v>
      </c>
      <c r="BP2021" s="1385"/>
      <c r="BV2021" s="236">
        <v>602.02</v>
      </c>
      <c r="BW2021" s="236" t="s">
        <v>323</v>
      </c>
      <c r="CB2021" s="340">
        <v>408.07</v>
      </c>
      <c r="CC2021" s="340" t="s">
        <v>339</v>
      </c>
      <c r="CL2021" s="236">
        <v>110.17</v>
      </c>
      <c r="CM2021" s="236" t="s">
        <v>316</v>
      </c>
      <c r="CR2021" s="340">
        <v>270</v>
      </c>
      <c r="CS2021" s="340" t="s">
        <v>342</v>
      </c>
      <c r="CT2021" s="1384"/>
      <c r="DF2021" s="340">
        <v>54.11</v>
      </c>
      <c r="DG2021" s="340" t="s">
        <v>340</v>
      </c>
      <c r="DV2021" s="340">
        <v>302.10000000000002</v>
      </c>
      <c r="DW2021" s="340" t="s">
        <v>296</v>
      </c>
      <c r="DX2021" s="1671"/>
    </row>
    <row r="2022" spans="12:128">
      <c r="L2022" s="2481">
        <v>59.17</v>
      </c>
      <c r="M2022" s="340" t="s">
        <v>340</v>
      </c>
      <c r="N2022" s="1390"/>
      <c r="O2022" s="2479"/>
      <c r="P2022" s="2282"/>
      <c r="AG2022" s="2297">
        <v>302.11</v>
      </c>
      <c r="AH2022" s="2297" t="s">
        <v>322</v>
      </c>
      <c r="AI2022" s="1390"/>
      <c r="AJ2022" s="2282"/>
      <c r="AK2022" s="2282"/>
      <c r="AL2022" s="1037"/>
      <c r="AX2022" s="340">
        <v>408.11</v>
      </c>
      <c r="AY2022" s="340" t="s">
        <v>339</v>
      </c>
      <c r="BN2022" s="340">
        <v>271.05</v>
      </c>
      <c r="BO2022" s="340" t="s">
        <v>342</v>
      </c>
      <c r="BP2022" s="1385"/>
      <c r="BV2022" s="236">
        <v>602.03</v>
      </c>
      <c r="BW2022" s="236" t="s">
        <v>323</v>
      </c>
      <c r="CB2022" s="340">
        <v>408.08</v>
      </c>
      <c r="CC2022" s="340" t="s">
        <v>339</v>
      </c>
      <c r="CL2022" s="236">
        <v>110.18</v>
      </c>
      <c r="CM2022" s="236" t="s">
        <v>316</v>
      </c>
      <c r="CR2022" s="340">
        <v>271.05</v>
      </c>
      <c r="CS2022" s="340" t="s">
        <v>342</v>
      </c>
      <c r="CT2022" s="1384"/>
      <c r="DF2022" s="340">
        <v>54.12</v>
      </c>
      <c r="DG2022" s="340" t="s">
        <v>340</v>
      </c>
      <c r="DV2022" s="340">
        <v>302.11</v>
      </c>
      <c r="DW2022" s="340" t="s">
        <v>322</v>
      </c>
      <c r="DX2022" s="1671"/>
    </row>
    <row r="2023" spans="12:128">
      <c r="L2023" s="2481">
        <v>59.18</v>
      </c>
      <c r="M2023" s="340" t="s">
        <v>340</v>
      </c>
      <c r="N2023" s="1390"/>
      <c r="O2023" s="2479"/>
      <c r="P2023" s="2282"/>
      <c r="AG2023" s="2297">
        <v>303</v>
      </c>
      <c r="AH2023" s="2297" t="s">
        <v>323</v>
      </c>
      <c r="AI2023" s="1390"/>
      <c r="AJ2023" s="2282"/>
      <c r="AK2023" s="2282"/>
      <c r="AL2023" s="1037"/>
      <c r="AX2023" s="340">
        <v>408.12</v>
      </c>
      <c r="AY2023" s="340" t="s">
        <v>339</v>
      </c>
      <c r="BN2023" s="340">
        <v>271.06</v>
      </c>
      <c r="BO2023" s="340" t="s">
        <v>342</v>
      </c>
      <c r="BP2023" s="1385"/>
      <c r="BV2023" s="236">
        <v>603</v>
      </c>
      <c r="BW2023" s="236" t="s">
        <v>323</v>
      </c>
      <c r="CB2023" s="340">
        <v>408.09</v>
      </c>
      <c r="CC2023" s="340" t="s">
        <v>339</v>
      </c>
      <c r="CL2023" s="236">
        <v>110.19</v>
      </c>
      <c r="CM2023" s="236" t="s">
        <v>316</v>
      </c>
      <c r="CR2023" s="340">
        <v>271.06</v>
      </c>
      <c r="CS2023" s="340" t="s">
        <v>342</v>
      </c>
      <c r="CT2023" s="1384"/>
      <c r="DF2023" s="340">
        <v>54.13</v>
      </c>
      <c r="DG2023" s="340" t="s">
        <v>340</v>
      </c>
      <c r="DV2023" s="340">
        <v>303</v>
      </c>
      <c r="DW2023" s="340" t="s">
        <v>323</v>
      </c>
      <c r="DX2023" s="1671"/>
    </row>
    <row r="2024" spans="12:128">
      <c r="L2024" s="2481">
        <v>59.21</v>
      </c>
      <c r="M2024" s="340" t="s">
        <v>340</v>
      </c>
      <c r="N2024" s="1390"/>
      <c r="O2024" s="2479"/>
      <c r="P2024" s="2282"/>
      <c r="AG2024" s="2297">
        <v>303.01</v>
      </c>
      <c r="AH2024" s="2297" t="s">
        <v>294</v>
      </c>
      <c r="AI2024" s="1390"/>
      <c r="AJ2024" s="2282"/>
      <c r="AK2024" s="2282"/>
      <c r="AL2024" s="1037"/>
      <c r="AX2024" s="340">
        <v>409.03</v>
      </c>
      <c r="AY2024" s="340" t="s">
        <v>339</v>
      </c>
      <c r="BN2024" s="340">
        <v>272.02</v>
      </c>
      <c r="BO2024" s="340" t="s">
        <v>342</v>
      </c>
      <c r="BP2024" s="1385"/>
      <c r="BV2024" s="236">
        <v>701.01</v>
      </c>
      <c r="BW2024" s="236" t="s">
        <v>323</v>
      </c>
      <c r="CB2024" s="340">
        <v>408.1</v>
      </c>
      <c r="CC2024" s="340" t="s">
        <v>339</v>
      </c>
      <c r="CL2024" s="236">
        <v>111</v>
      </c>
      <c r="CM2024" s="236" t="s">
        <v>302</v>
      </c>
      <c r="CR2024" s="340">
        <v>272.02</v>
      </c>
      <c r="CS2024" s="340" t="s">
        <v>342</v>
      </c>
      <c r="CT2024" s="1384"/>
      <c r="DF2024" s="340">
        <v>56.02</v>
      </c>
      <c r="DG2024" s="340" t="s">
        <v>340</v>
      </c>
      <c r="DV2024" s="340">
        <v>303.01</v>
      </c>
      <c r="DW2024" s="340" t="s">
        <v>294</v>
      </c>
      <c r="DX2024" s="1671"/>
    </row>
    <row r="2025" spans="12:128">
      <c r="L2025" s="2481">
        <v>59.22</v>
      </c>
      <c r="M2025" s="340" t="s">
        <v>340</v>
      </c>
      <c r="N2025" s="1390"/>
      <c r="O2025" s="2479"/>
      <c r="P2025" s="2282"/>
      <c r="AG2025" s="2297">
        <v>303.02999999999997</v>
      </c>
      <c r="AH2025" s="2297" t="s">
        <v>341</v>
      </c>
      <c r="AI2025" s="1390"/>
      <c r="AJ2025" s="2282"/>
      <c r="AK2025" s="2282"/>
      <c r="AL2025" s="1037"/>
      <c r="AX2025" s="340">
        <v>410.03</v>
      </c>
      <c r="AY2025" s="340" t="s">
        <v>339</v>
      </c>
      <c r="BN2025" s="340">
        <v>272.04000000000002</v>
      </c>
      <c r="BO2025" s="340" t="s">
        <v>342</v>
      </c>
      <c r="BP2025" s="1385"/>
      <c r="BV2025" s="236">
        <v>701.02</v>
      </c>
      <c r="BW2025" s="236" t="s">
        <v>323</v>
      </c>
      <c r="CB2025" s="340">
        <v>408.11</v>
      </c>
      <c r="CC2025" s="340" t="s">
        <v>339</v>
      </c>
      <c r="CL2025" s="236">
        <v>111</v>
      </c>
      <c r="CM2025" s="236" t="s">
        <v>338</v>
      </c>
      <c r="CR2025" s="340">
        <v>272.04000000000002</v>
      </c>
      <c r="CS2025" s="340" t="s">
        <v>342</v>
      </c>
      <c r="CT2025" s="1384"/>
      <c r="DF2025" s="340">
        <v>58.11</v>
      </c>
      <c r="DG2025" s="340" t="s">
        <v>340</v>
      </c>
      <c r="DV2025" s="340">
        <v>303.02999999999997</v>
      </c>
      <c r="DW2025" s="340" t="s">
        <v>341</v>
      </c>
      <c r="DX2025" s="1671"/>
    </row>
    <row r="2026" spans="12:128">
      <c r="L2026" s="2481">
        <v>59.23</v>
      </c>
      <c r="M2026" s="340" t="s">
        <v>340</v>
      </c>
      <c r="N2026" s="1390"/>
      <c r="O2026" s="2479"/>
      <c r="P2026" s="2282"/>
      <c r="AG2026" s="2297">
        <v>303.04000000000002</v>
      </c>
      <c r="AH2026" s="2297" t="s">
        <v>341</v>
      </c>
      <c r="AI2026" s="1390"/>
      <c r="AJ2026" s="2282"/>
      <c r="AK2026" s="2282"/>
      <c r="AL2026" s="1037"/>
      <c r="AX2026" s="340">
        <v>410.04</v>
      </c>
      <c r="AY2026" s="340" t="s">
        <v>339</v>
      </c>
      <c r="BN2026" s="340">
        <v>272.06</v>
      </c>
      <c r="BO2026" s="340" t="s">
        <v>342</v>
      </c>
      <c r="BP2026" s="1385"/>
      <c r="BV2026" s="236">
        <v>702.01</v>
      </c>
      <c r="BW2026" s="236" t="s">
        <v>323</v>
      </c>
      <c r="CB2026" s="340">
        <v>408.12</v>
      </c>
      <c r="CC2026" s="340" t="s">
        <v>339</v>
      </c>
      <c r="CL2026" s="236">
        <v>111</v>
      </c>
      <c r="CM2026" s="236" t="s">
        <v>344</v>
      </c>
      <c r="CR2026" s="340">
        <v>272.06</v>
      </c>
      <c r="CS2026" s="340" t="s">
        <v>342</v>
      </c>
      <c r="CT2026" s="1384"/>
      <c r="DF2026" s="340">
        <v>58.13</v>
      </c>
      <c r="DG2026" s="340" t="s">
        <v>340</v>
      </c>
      <c r="DV2026" s="340">
        <v>303.06</v>
      </c>
      <c r="DW2026" s="340" t="s">
        <v>296</v>
      </c>
      <c r="DX2026" s="1671"/>
    </row>
    <row r="2027" spans="12:128">
      <c r="L2027" s="2481">
        <v>59.26</v>
      </c>
      <c r="M2027" s="340" t="s">
        <v>340</v>
      </c>
      <c r="N2027" s="1390"/>
      <c r="O2027" s="2479"/>
      <c r="P2027" s="2282"/>
      <c r="AG2027" s="2297">
        <v>303.06</v>
      </c>
      <c r="AH2027" s="2297" t="s">
        <v>296</v>
      </c>
      <c r="AI2027" s="1390"/>
      <c r="AJ2027" s="2282"/>
      <c r="AK2027" s="2282"/>
      <c r="AL2027" s="1037"/>
      <c r="AX2027" s="340">
        <v>410.06</v>
      </c>
      <c r="AY2027" s="340" t="s">
        <v>339</v>
      </c>
      <c r="BN2027" s="340">
        <v>272.07</v>
      </c>
      <c r="BO2027" s="340" t="s">
        <v>342</v>
      </c>
      <c r="BP2027" s="1385"/>
      <c r="BV2027" s="236">
        <v>702.02</v>
      </c>
      <c r="BW2027" s="236" t="s">
        <v>323</v>
      </c>
      <c r="CB2027" s="340">
        <v>409.01</v>
      </c>
      <c r="CC2027" s="340" t="s">
        <v>339</v>
      </c>
      <c r="CL2027" s="236">
        <v>111.03</v>
      </c>
      <c r="CM2027" s="236" t="s">
        <v>297</v>
      </c>
      <c r="CR2027" s="340">
        <v>272.07</v>
      </c>
      <c r="CS2027" s="340" t="s">
        <v>342</v>
      </c>
      <c r="CT2027" s="1384"/>
      <c r="DF2027" s="340">
        <v>58.2</v>
      </c>
      <c r="DG2027" s="340" t="s">
        <v>340</v>
      </c>
      <c r="DV2027" s="340">
        <v>304.02</v>
      </c>
      <c r="DW2027" s="340" t="s">
        <v>294</v>
      </c>
      <c r="DX2027" s="1671"/>
    </row>
    <row r="2028" spans="12:128">
      <c r="L2028" s="2481">
        <v>59.34</v>
      </c>
      <c r="M2028" s="340" t="s">
        <v>340</v>
      </c>
      <c r="N2028" s="1390"/>
      <c r="O2028" s="2479"/>
      <c r="P2028" s="2282"/>
      <c r="AG2028" s="2297">
        <v>303.08</v>
      </c>
      <c r="AH2028" s="2297" t="s">
        <v>322</v>
      </c>
      <c r="AI2028" s="1390"/>
      <c r="AJ2028" s="2282"/>
      <c r="AK2028" s="2282"/>
      <c r="AL2028" s="1037"/>
      <c r="AX2028" s="340">
        <v>413.02</v>
      </c>
      <c r="AY2028" s="340" t="s">
        <v>339</v>
      </c>
      <c r="BN2028" s="340">
        <v>272.08</v>
      </c>
      <c r="BO2028" s="340" t="s">
        <v>342</v>
      </c>
      <c r="BP2028" s="1385"/>
      <c r="BV2028" s="236">
        <v>801</v>
      </c>
      <c r="BW2028" s="236" t="s">
        <v>323</v>
      </c>
      <c r="CB2028" s="340">
        <v>410.03</v>
      </c>
      <c r="CC2028" s="340" t="s">
        <v>339</v>
      </c>
      <c r="CL2028" s="236">
        <v>111.03</v>
      </c>
      <c r="CM2028" s="236" t="s">
        <v>316</v>
      </c>
      <c r="CR2028" s="340">
        <v>272.08</v>
      </c>
      <c r="CS2028" s="340" t="s">
        <v>342</v>
      </c>
      <c r="CT2028" s="1384"/>
      <c r="DF2028" s="340">
        <v>59.16</v>
      </c>
      <c r="DG2028" s="340" t="s">
        <v>340</v>
      </c>
      <c r="DV2028" s="340">
        <v>304.04000000000002</v>
      </c>
      <c r="DW2028" s="340" t="s">
        <v>341</v>
      </c>
      <c r="DX2028" s="1671"/>
    </row>
    <row r="2029" spans="12:128">
      <c r="L2029" s="2481">
        <v>59.37</v>
      </c>
      <c r="M2029" s="340" t="s">
        <v>340</v>
      </c>
      <c r="N2029" s="1390"/>
      <c r="O2029" s="2479"/>
      <c r="P2029" s="2282"/>
      <c r="AG2029" s="2297">
        <v>304.04000000000002</v>
      </c>
      <c r="AH2029" s="2297" t="s">
        <v>341</v>
      </c>
      <c r="AI2029" s="1390"/>
      <c r="AJ2029" s="2282"/>
      <c r="AK2029" s="2282"/>
      <c r="AL2029" s="1037"/>
      <c r="AX2029" s="340">
        <v>415.01</v>
      </c>
      <c r="AY2029" s="340" t="s">
        <v>339</v>
      </c>
      <c r="BN2029" s="340">
        <v>272.11</v>
      </c>
      <c r="BO2029" s="340" t="s">
        <v>342</v>
      </c>
      <c r="BP2029" s="1385"/>
      <c r="BV2029" s="236">
        <v>802.02</v>
      </c>
      <c r="BW2029" s="236" t="s">
        <v>323</v>
      </c>
      <c r="CB2029" s="340">
        <v>410.06</v>
      </c>
      <c r="CC2029" s="340" t="s">
        <v>339</v>
      </c>
      <c r="CL2029" s="236">
        <v>111.03</v>
      </c>
      <c r="CM2029" s="236" t="s">
        <v>331</v>
      </c>
      <c r="CR2029" s="340">
        <v>272.10000000000002</v>
      </c>
      <c r="CS2029" s="340" t="s">
        <v>342</v>
      </c>
      <c r="CT2029" s="1384"/>
      <c r="DF2029" s="340">
        <v>59.17</v>
      </c>
      <c r="DG2029" s="340" t="s">
        <v>340</v>
      </c>
      <c r="DV2029" s="340">
        <v>304.07</v>
      </c>
      <c r="DW2029" s="340" t="s">
        <v>341</v>
      </c>
      <c r="DX2029" s="1671"/>
    </row>
    <row r="2030" spans="12:128">
      <c r="L2030" s="2481">
        <v>59.38</v>
      </c>
      <c r="M2030" s="340" t="s">
        <v>340</v>
      </c>
      <c r="N2030" s="1390"/>
      <c r="O2030" s="2479"/>
      <c r="P2030" s="2282"/>
      <c r="AG2030" s="2297">
        <v>304.05</v>
      </c>
      <c r="AH2030" s="2297" t="s">
        <v>322</v>
      </c>
      <c r="AI2030" s="1390"/>
      <c r="AJ2030" s="2282"/>
      <c r="AK2030" s="2282"/>
      <c r="AL2030" s="1037"/>
      <c r="AX2030" s="340">
        <v>415.02</v>
      </c>
      <c r="AY2030" s="340" t="s">
        <v>339</v>
      </c>
      <c r="BN2030" s="340">
        <v>273.08</v>
      </c>
      <c r="BO2030" s="340" t="s">
        <v>342</v>
      </c>
      <c r="BP2030" s="1385"/>
      <c r="BV2030" s="236">
        <v>802.03</v>
      </c>
      <c r="BW2030" s="236" t="s">
        <v>323</v>
      </c>
      <c r="CB2030" s="340">
        <v>413.02</v>
      </c>
      <c r="CC2030" s="340" t="s">
        <v>339</v>
      </c>
      <c r="CL2030" s="236">
        <v>111.04</v>
      </c>
      <c r="CM2030" s="236" t="s">
        <v>331</v>
      </c>
      <c r="CR2030" s="340">
        <v>272.11</v>
      </c>
      <c r="CS2030" s="340" t="s">
        <v>342</v>
      </c>
      <c r="CT2030" s="1384"/>
      <c r="DF2030" s="340">
        <v>59.18</v>
      </c>
      <c r="DG2030" s="340" t="s">
        <v>340</v>
      </c>
      <c r="DV2030" s="340">
        <v>304.08</v>
      </c>
      <c r="DW2030" s="340" t="s">
        <v>322</v>
      </c>
      <c r="DX2030" s="1671"/>
    </row>
    <row r="2031" spans="12:128">
      <c r="L2031" s="2481">
        <v>59.42</v>
      </c>
      <c r="M2031" s="340" t="s">
        <v>340</v>
      </c>
      <c r="N2031" s="1390"/>
      <c r="O2031" s="2479"/>
      <c r="P2031" s="2282"/>
      <c r="AG2031" s="2297">
        <v>304.06</v>
      </c>
      <c r="AH2031" s="2297" t="s">
        <v>341</v>
      </c>
      <c r="AI2031" s="1390"/>
      <c r="AJ2031" s="2282"/>
      <c r="AK2031" s="2282"/>
      <c r="AL2031" s="1037"/>
      <c r="AX2031" s="340">
        <v>424</v>
      </c>
      <c r="AY2031" s="340" t="s">
        <v>339</v>
      </c>
      <c r="BN2031" s="340">
        <v>273.08999999999997</v>
      </c>
      <c r="BO2031" s="340" t="s">
        <v>342</v>
      </c>
      <c r="BP2031" s="1385"/>
      <c r="BV2031" s="236">
        <v>802.04</v>
      </c>
      <c r="BW2031" s="236" t="s">
        <v>323</v>
      </c>
      <c r="CB2031" s="340">
        <v>415.01</v>
      </c>
      <c r="CC2031" s="340" t="s">
        <v>339</v>
      </c>
      <c r="CL2031" s="236">
        <v>111.05</v>
      </c>
      <c r="CM2031" s="236" t="s">
        <v>331</v>
      </c>
      <c r="CR2031" s="340">
        <v>272.12</v>
      </c>
      <c r="CS2031" s="340" t="s">
        <v>342</v>
      </c>
      <c r="CT2031" s="1384"/>
      <c r="DF2031" s="340">
        <v>59.21</v>
      </c>
      <c r="DG2031" s="340" t="s">
        <v>340</v>
      </c>
      <c r="DV2031" s="340">
        <v>304.08999999999997</v>
      </c>
      <c r="DW2031" s="340" t="s">
        <v>341</v>
      </c>
      <c r="DX2031" s="1671"/>
    </row>
    <row r="2032" spans="12:128">
      <c r="L2032" s="2481">
        <v>59.43</v>
      </c>
      <c r="M2032" s="340" t="s">
        <v>340</v>
      </c>
      <c r="N2032" s="1390"/>
      <c r="O2032" s="2479"/>
      <c r="P2032" s="2282"/>
      <c r="AG2032" s="2297">
        <v>304.08</v>
      </c>
      <c r="AH2032" s="2297" t="s">
        <v>341</v>
      </c>
      <c r="AI2032" s="1390"/>
      <c r="AJ2032" s="2282"/>
      <c r="AK2032" s="2282"/>
      <c r="AL2032" s="1037"/>
      <c r="AX2032" s="340">
        <v>427.01</v>
      </c>
      <c r="AY2032" s="340" t="s">
        <v>339</v>
      </c>
      <c r="BN2032" s="340">
        <v>273.14</v>
      </c>
      <c r="BO2032" s="340" t="s">
        <v>342</v>
      </c>
      <c r="BP2032" s="1385"/>
      <c r="BV2032" s="236">
        <v>803</v>
      </c>
      <c r="BW2032" s="236" t="s">
        <v>323</v>
      </c>
      <c r="CB2032" s="340">
        <v>415.02</v>
      </c>
      <c r="CC2032" s="340" t="s">
        <v>339</v>
      </c>
      <c r="CL2032" s="236">
        <v>111.06</v>
      </c>
      <c r="CM2032" s="236" t="s">
        <v>316</v>
      </c>
      <c r="CR2032" s="340">
        <v>273.08</v>
      </c>
      <c r="CS2032" s="340" t="s">
        <v>342</v>
      </c>
      <c r="CT2032" s="1384"/>
      <c r="DF2032" s="340">
        <v>59.22</v>
      </c>
      <c r="DG2032" s="340" t="s">
        <v>340</v>
      </c>
      <c r="DV2032" s="340">
        <v>304.10000000000002</v>
      </c>
      <c r="DW2032" s="340" t="s">
        <v>322</v>
      </c>
      <c r="DX2032" s="1671"/>
    </row>
    <row r="2033" spans="12:128">
      <c r="L2033" s="2481">
        <v>59.44</v>
      </c>
      <c r="M2033" s="340" t="s">
        <v>340</v>
      </c>
      <c r="N2033" s="1390"/>
      <c r="O2033" s="2479"/>
      <c r="P2033" s="2282"/>
      <c r="AG2033" s="2297">
        <v>304.08999999999997</v>
      </c>
      <c r="AH2033" s="2297" t="s">
        <v>341</v>
      </c>
      <c r="AI2033" s="1390"/>
      <c r="AJ2033" s="2282"/>
      <c r="AK2033" s="2282"/>
      <c r="AL2033" s="1037"/>
      <c r="AX2033" s="340">
        <v>428</v>
      </c>
      <c r="AY2033" s="340" t="s">
        <v>339</v>
      </c>
      <c r="BN2033" s="340">
        <v>273.16000000000003</v>
      </c>
      <c r="BO2033" s="340" t="s">
        <v>342</v>
      </c>
      <c r="BP2033" s="1385"/>
      <c r="BV2033" s="236">
        <v>901</v>
      </c>
      <c r="BW2033" s="236" t="s">
        <v>323</v>
      </c>
      <c r="CB2033" s="340">
        <v>422.01</v>
      </c>
      <c r="CC2033" s="340" t="s">
        <v>339</v>
      </c>
      <c r="CL2033" s="236">
        <v>111.06</v>
      </c>
      <c r="CM2033" s="236" t="s">
        <v>331</v>
      </c>
      <c r="CR2033" s="340">
        <v>273.08999999999997</v>
      </c>
      <c r="CS2033" s="340" t="s">
        <v>342</v>
      </c>
      <c r="CT2033" s="1384"/>
      <c r="DF2033" s="340">
        <v>59.23</v>
      </c>
      <c r="DG2033" s="340" t="s">
        <v>340</v>
      </c>
      <c r="DV2033" s="340">
        <v>305</v>
      </c>
      <c r="DW2033" s="340" t="s">
        <v>296</v>
      </c>
      <c r="DX2033" s="1671"/>
    </row>
    <row r="2034" spans="12:128">
      <c r="L2034" s="2481">
        <v>59.45</v>
      </c>
      <c r="M2034" s="340" t="s">
        <v>340</v>
      </c>
      <c r="N2034" s="1390"/>
      <c r="O2034" s="2479"/>
      <c r="P2034" s="2282"/>
      <c r="AG2034" s="2297">
        <v>304.10000000000002</v>
      </c>
      <c r="AH2034" s="2297" t="s">
        <v>322</v>
      </c>
      <c r="AI2034" s="1390"/>
      <c r="AJ2034" s="2282"/>
      <c r="AK2034" s="2282"/>
      <c r="AL2034" s="1037"/>
      <c r="AX2034" s="340">
        <v>429.03</v>
      </c>
      <c r="AY2034" s="340" t="s">
        <v>339</v>
      </c>
      <c r="BN2034" s="340">
        <v>273.17</v>
      </c>
      <c r="BO2034" s="340" t="s">
        <v>342</v>
      </c>
      <c r="BP2034" s="1385"/>
      <c r="BV2034" s="236">
        <v>9800</v>
      </c>
      <c r="BW2034" s="236" t="s">
        <v>323</v>
      </c>
      <c r="CB2034" s="340">
        <v>424</v>
      </c>
      <c r="CC2034" s="340" t="s">
        <v>339</v>
      </c>
      <c r="CL2034" s="236">
        <v>111.07</v>
      </c>
      <c r="CM2034" s="236" t="s">
        <v>297</v>
      </c>
      <c r="CR2034" s="340">
        <v>273.14</v>
      </c>
      <c r="CS2034" s="340" t="s">
        <v>342</v>
      </c>
      <c r="CT2034" s="1384"/>
      <c r="DF2034" s="340">
        <v>59.26</v>
      </c>
      <c r="DG2034" s="340" t="s">
        <v>340</v>
      </c>
      <c r="DV2034" s="340">
        <v>305.01</v>
      </c>
      <c r="DW2034" s="340" t="s">
        <v>294</v>
      </c>
      <c r="DX2034" s="1671"/>
    </row>
    <row r="2035" spans="12:128">
      <c r="L2035" s="2481">
        <v>59.46</v>
      </c>
      <c r="M2035" s="340" t="s">
        <v>340</v>
      </c>
      <c r="N2035" s="1390"/>
      <c r="O2035" s="2479"/>
      <c r="P2035" s="2282"/>
      <c r="AG2035" s="2297">
        <v>305</v>
      </c>
      <c r="AH2035" s="2297" t="s">
        <v>296</v>
      </c>
      <c r="AI2035" s="1390"/>
      <c r="AJ2035" s="2282"/>
      <c r="AK2035" s="2282"/>
      <c r="AL2035" s="1037"/>
      <c r="AX2035" s="340">
        <v>429.04</v>
      </c>
      <c r="AY2035" s="340" t="s">
        <v>339</v>
      </c>
      <c r="BN2035" s="340">
        <v>273.18</v>
      </c>
      <c r="BO2035" s="340" t="s">
        <v>342</v>
      </c>
      <c r="BP2035" s="1385"/>
      <c r="BV2035" s="236">
        <v>9900</v>
      </c>
      <c r="BW2035" s="236" t="s">
        <v>323</v>
      </c>
      <c r="CB2035" s="340">
        <v>428</v>
      </c>
      <c r="CC2035" s="340" t="s">
        <v>339</v>
      </c>
      <c r="CL2035" s="236">
        <v>111.07</v>
      </c>
      <c r="CM2035" s="236" t="s">
        <v>316</v>
      </c>
      <c r="CR2035" s="340">
        <v>273.16000000000003</v>
      </c>
      <c r="CS2035" s="340" t="s">
        <v>342</v>
      </c>
      <c r="CT2035" s="1384"/>
      <c r="DF2035" s="340">
        <v>59.31</v>
      </c>
      <c r="DG2035" s="340" t="s">
        <v>340</v>
      </c>
      <c r="DV2035" s="340">
        <v>305.04000000000002</v>
      </c>
      <c r="DW2035" s="340" t="s">
        <v>294</v>
      </c>
      <c r="DX2035" s="1671"/>
    </row>
    <row r="2036" spans="12:128">
      <c r="L2036" s="2481">
        <v>59.47</v>
      </c>
      <c r="M2036" s="340" t="s">
        <v>340</v>
      </c>
      <c r="N2036" s="1390"/>
      <c r="O2036" s="2479"/>
      <c r="P2036" s="2282"/>
      <c r="AG2036" s="2297">
        <v>305.01</v>
      </c>
      <c r="AH2036" s="2297" t="s">
        <v>294</v>
      </c>
      <c r="AI2036" s="1390"/>
      <c r="AJ2036" s="2282"/>
      <c r="AK2036" s="2282"/>
      <c r="AL2036" s="1037"/>
      <c r="AX2036" s="340">
        <v>431</v>
      </c>
      <c r="AY2036" s="340" t="s">
        <v>339</v>
      </c>
      <c r="BN2036" s="340">
        <v>273.19</v>
      </c>
      <c r="BO2036" s="340" t="s">
        <v>342</v>
      </c>
      <c r="BP2036" s="1385"/>
      <c r="BV2036" s="236">
        <v>2</v>
      </c>
      <c r="BW2036" s="236" t="s">
        <v>324</v>
      </c>
      <c r="CB2036" s="340">
        <v>429.03</v>
      </c>
      <c r="CC2036" s="340" t="s">
        <v>339</v>
      </c>
      <c r="CL2036" s="236">
        <v>111.08</v>
      </c>
      <c r="CM2036" s="236" t="s">
        <v>297</v>
      </c>
      <c r="CR2036" s="340">
        <v>273.17</v>
      </c>
      <c r="CS2036" s="340" t="s">
        <v>342</v>
      </c>
      <c r="CT2036" s="1384"/>
      <c r="DF2036" s="340">
        <v>59.34</v>
      </c>
      <c r="DG2036" s="340" t="s">
        <v>340</v>
      </c>
      <c r="DV2036" s="340">
        <v>305.05</v>
      </c>
      <c r="DW2036" s="340" t="s">
        <v>294</v>
      </c>
      <c r="DX2036" s="1671"/>
    </row>
    <row r="2037" spans="12:128">
      <c r="L2037" s="2481">
        <v>59.49</v>
      </c>
      <c r="M2037" s="340" t="s">
        <v>340</v>
      </c>
      <c r="N2037" s="1390"/>
      <c r="O2037" s="2479"/>
      <c r="P2037" s="2282"/>
      <c r="AG2037" s="2297">
        <v>305.04000000000002</v>
      </c>
      <c r="AH2037" s="2297" t="s">
        <v>294</v>
      </c>
      <c r="AI2037" s="1390"/>
      <c r="AJ2037" s="2282"/>
      <c r="AK2037" s="2282"/>
      <c r="AL2037" s="1037"/>
      <c r="AX2037" s="340">
        <v>432.07</v>
      </c>
      <c r="AY2037" s="340" t="s">
        <v>339</v>
      </c>
      <c r="BN2037" s="340">
        <v>273.2</v>
      </c>
      <c r="BO2037" s="340" t="s">
        <v>342</v>
      </c>
      <c r="BP2037" s="1385"/>
      <c r="BV2037" s="236">
        <v>3.01</v>
      </c>
      <c r="BW2037" s="236" t="s">
        <v>324</v>
      </c>
      <c r="CB2037" s="340">
        <v>429.04</v>
      </c>
      <c r="CC2037" s="340" t="s">
        <v>339</v>
      </c>
      <c r="CL2037" s="236">
        <v>111.08</v>
      </c>
      <c r="CM2037" s="236" t="s">
        <v>316</v>
      </c>
      <c r="CR2037" s="340">
        <v>273.18</v>
      </c>
      <c r="CS2037" s="340" t="s">
        <v>342</v>
      </c>
      <c r="CT2037" s="1384"/>
      <c r="DF2037" s="340">
        <v>59.37</v>
      </c>
      <c r="DG2037" s="340" t="s">
        <v>340</v>
      </c>
      <c r="DV2037" s="340">
        <v>305.06</v>
      </c>
      <c r="DW2037" s="340" t="s">
        <v>322</v>
      </c>
      <c r="DX2037" s="1671"/>
    </row>
    <row r="2038" spans="12:128">
      <c r="L2038" s="2481">
        <v>59.5</v>
      </c>
      <c r="M2038" s="340" t="s">
        <v>340</v>
      </c>
      <c r="N2038" s="1390"/>
      <c r="O2038" s="2479"/>
      <c r="P2038" s="2282"/>
      <c r="AG2038" s="2297">
        <v>305.05</v>
      </c>
      <c r="AH2038" s="2297" t="s">
        <v>294</v>
      </c>
      <c r="AI2038" s="1390"/>
      <c r="AJ2038" s="2282"/>
      <c r="AK2038" s="2282"/>
      <c r="AL2038" s="1037"/>
      <c r="AX2038" s="340">
        <v>432.08</v>
      </c>
      <c r="AY2038" s="340" t="s">
        <v>339</v>
      </c>
      <c r="BN2038" s="340">
        <v>273.20999999999998</v>
      </c>
      <c r="BO2038" s="340" t="s">
        <v>342</v>
      </c>
      <c r="BP2038" s="1385"/>
      <c r="BV2038" s="236">
        <v>3.02</v>
      </c>
      <c r="BW2038" s="236" t="s">
        <v>324</v>
      </c>
      <c r="CB2038" s="340">
        <v>431</v>
      </c>
      <c r="CC2038" s="340" t="s">
        <v>339</v>
      </c>
      <c r="CL2038" s="236">
        <v>111.09</v>
      </c>
      <c r="CM2038" s="236" t="s">
        <v>297</v>
      </c>
      <c r="CR2038" s="340">
        <v>273.19</v>
      </c>
      <c r="CS2038" s="340" t="s">
        <v>342</v>
      </c>
      <c r="CT2038" s="1384"/>
      <c r="DF2038" s="340">
        <v>59.38</v>
      </c>
      <c r="DG2038" s="340" t="s">
        <v>340</v>
      </c>
      <c r="DV2038" s="340">
        <v>305.07</v>
      </c>
      <c r="DW2038" s="340" t="s">
        <v>294</v>
      </c>
      <c r="DX2038" s="1671"/>
    </row>
    <row r="2039" spans="12:128">
      <c r="L2039" s="2481">
        <v>59.54</v>
      </c>
      <c r="M2039" s="340" t="s">
        <v>340</v>
      </c>
      <c r="N2039" s="1390"/>
      <c r="O2039" s="2479"/>
      <c r="P2039" s="2282"/>
      <c r="AG2039" s="2297">
        <v>305.06</v>
      </c>
      <c r="AH2039" s="2297" t="s">
        <v>294</v>
      </c>
      <c r="AI2039" s="1390"/>
      <c r="AJ2039" s="2282"/>
      <c r="AK2039" s="2282"/>
      <c r="AL2039" s="1037"/>
      <c r="AX2039" s="340">
        <v>432.09</v>
      </c>
      <c r="AY2039" s="340" t="s">
        <v>339</v>
      </c>
      <c r="BN2039" s="340">
        <v>273.24</v>
      </c>
      <c r="BO2039" s="340" t="s">
        <v>342</v>
      </c>
      <c r="BP2039" s="1385"/>
      <c r="BV2039" s="236">
        <v>3.03</v>
      </c>
      <c r="BW2039" s="236" t="s">
        <v>324</v>
      </c>
      <c r="CB2039" s="340">
        <v>432.07</v>
      </c>
      <c r="CC2039" s="340" t="s">
        <v>339</v>
      </c>
      <c r="CL2039" s="236">
        <v>111.09</v>
      </c>
      <c r="CM2039" s="236" t="s">
        <v>316</v>
      </c>
      <c r="CR2039" s="340">
        <v>273.2</v>
      </c>
      <c r="CS2039" s="340" t="s">
        <v>342</v>
      </c>
      <c r="CT2039" s="1384"/>
      <c r="DF2039" s="340">
        <v>59.42</v>
      </c>
      <c r="DG2039" s="340" t="s">
        <v>340</v>
      </c>
      <c r="DV2039" s="340">
        <v>307.01</v>
      </c>
      <c r="DW2039" s="340" t="s">
        <v>296</v>
      </c>
      <c r="DX2039" s="1671"/>
    </row>
    <row r="2040" spans="12:128">
      <c r="L2040" s="2481">
        <v>59.55</v>
      </c>
      <c r="M2040" s="340" t="s">
        <v>340</v>
      </c>
      <c r="N2040" s="1390"/>
      <c r="O2040" s="2479"/>
      <c r="P2040" s="2282"/>
      <c r="AG2040" s="2297">
        <v>305.06</v>
      </c>
      <c r="AH2040" s="2297" t="s">
        <v>322</v>
      </c>
      <c r="AI2040" s="1390"/>
      <c r="AJ2040" s="2282"/>
      <c r="AK2040" s="2282"/>
      <c r="AL2040" s="1037"/>
      <c r="AX2040" s="340">
        <v>433.01</v>
      </c>
      <c r="AY2040" s="340" t="s">
        <v>339</v>
      </c>
      <c r="BN2040" s="340">
        <v>273.25</v>
      </c>
      <c r="BO2040" s="340" t="s">
        <v>342</v>
      </c>
      <c r="BP2040" s="1385"/>
      <c r="BV2040" s="236">
        <v>4</v>
      </c>
      <c r="BW2040" s="236" t="s">
        <v>324</v>
      </c>
      <c r="CB2040" s="340">
        <v>432.08</v>
      </c>
      <c r="CC2040" s="340" t="s">
        <v>339</v>
      </c>
      <c r="CL2040" s="236">
        <v>111.1</v>
      </c>
      <c r="CM2040" s="236" t="s">
        <v>297</v>
      </c>
      <c r="CR2040" s="340">
        <v>273.20999999999998</v>
      </c>
      <c r="CS2040" s="340" t="s">
        <v>342</v>
      </c>
      <c r="CT2040" s="1384"/>
      <c r="DF2040" s="340">
        <v>59.45</v>
      </c>
      <c r="DG2040" s="340" t="s">
        <v>340</v>
      </c>
      <c r="DV2040" s="340">
        <v>307.01</v>
      </c>
      <c r="DW2040" s="340" t="s">
        <v>322</v>
      </c>
      <c r="DX2040" s="1671"/>
    </row>
    <row r="2041" spans="12:128">
      <c r="L2041" s="2481">
        <v>59.57</v>
      </c>
      <c r="M2041" s="340" t="s">
        <v>340</v>
      </c>
      <c r="N2041" s="1390"/>
      <c r="O2041" s="2479"/>
      <c r="P2041" s="2282"/>
      <c r="AG2041" s="2297">
        <v>305.07</v>
      </c>
      <c r="AH2041" s="2297" t="s">
        <v>294</v>
      </c>
      <c r="AI2041" s="1390"/>
      <c r="AJ2041" s="2282"/>
      <c r="AK2041" s="2282"/>
      <c r="AL2041" s="1037"/>
      <c r="AX2041" s="340">
        <v>433.03</v>
      </c>
      <c r="AY2041" s="340" t="s">
        <v>339</v>
      </c>
      <c r="BN2041" s="340">
        <v>273.27</v>
      </c>
      <c r="BO2041" s="340" t="s">
        <v>342</v>
      </c>
      <c r="BP2041" s="1385"/>
      <c r="BV2041" s="236">
        <v>5.01</v>
      </c>
      <c r="BW2041" s="236" t="s">
        <v>324</v>
      </c>
      <c r="CB2041" s="340">
        <v>432.09</v>
      </c>
      <c r="CC2041" s="340" t="s">
        <v>339</v>
      </c>
      <c r="CL2041" s="236">
        <v>111.11</v>
      </c>
      <c r="CM2041" s="236" t="s">
        <v>297</v>
      </c>
      <c r="CR2041" s="340">
        <v>273.23</v>
      </c>
      <c r="CS2041" s="340" t="s">
        <v>342</v>
      </c>
      <c r="CT2041" s="1384"/>
      <c r="DF2041" s="340">
        <v>59.46</v>
      </c>
      <c r="DG2041" s="340" t="s">
        <v>340</v>
      </c>
      <c r="DV2041" s="340">
        <v>307.04000000000002</v>
      </c>
      <c r="DW2041" s="340" t="s">
        <v>296</v>
      </c>
      <c r="DX2041" s="1671"/>
    </row>
    <row r="2042" spans="12:128">
      <c r="L2042" s="2481">
        <v>59.58</v>
      </c>
      <c r="M2042" s="340" t="s">
        <v>340</v>
      </c>
      <c r="N2042" s="1390"/>
      <c r="O2042" s="2479"/>
      <c r="P2042" s="2282"/>
      <c r="AG2042" s="2297">
        <v>307.01</v>
      </c>
      <c r="AH2042" s="2297" t="s">
        <v>296</v>
      </c>
      <c r="AI2042" s="1390"/>
      <c r="AJ2042" s="2282"/>
      <c r="AK2042" s="2282"/>
      <c r="AL2042" s="1037"/>
      <c r="AX2042" s="340">
        <v>433.04</v>
      </c>
      <c r="AY2042" s="340" t="s">
        <v>339</v>
      </c>
      <c r="BN2042" s="340">
        <v>273.27999999999997</v>
      </c>
      <c r="BO2042" s="340" t="s">
        <v>342</v>
      </c>
      <c r="BP2042" s="1385"/>
      <c r="BV2042" s="236">
        <v>5.0199999999999996</v>
      </c>
      <c r="BW2042" s="236" t="s">
        <v>324</v>
      </c>
      <c r="CB2042" s="340">
        <v>433.01</v>
      </c>
      <c r="CC2042" s="340" t="s">
        <v>339</v>
      </c>
      <c r="CL2042" s="236">
        <v>111.12</v>
      </c>
      <c r="CM2042" s="236" t="s">
        <v>297</v>
      </c>
      <c r="CR2042" s="340">
        <v>273.24</v>
      </c>
      <c r="CS2042" s="340" t="s">
        <v>342</v>
      </c>
      <c r="CT2042" s="1384"/>
      <c r="DF2042" s="340">
        <v>59.47</v>
      </c>
      <c r="DG2042" s="340" t="s">
        <v>340</v>
      </c>
      <c r="DV2042" s="340">
        <v>307.05</v>
      </c>
      <c r="DW2042" s="340" t="s">
        <v>296</v>
      </c>
      <c r="DX2042" s="1671"/>
    </row>
    <row r="2043" spans="12:128">
      <c r="L2043" s="2481">
        <v>59.59</v>
      </c>
      <c r="M2043" s="340" t="s">
        <v>340</v>
      </c>
      <c r="N2043" s="1390"/>
      <c r="O2043" s="2479"/>
      <c r="P2043" s="2282"/>
      <c r="AG2043" s="2297">
        <v>307.01</v>
      </c>
      <c r="AH2043" s="2297" t="s">
        <v>322</v>
      </c>
      <c r="AI2043" s="1390"/>
      <c r="AJ2043" s="2282"/>
      <c r="AK2043" s="2282"/>
      <c r="AL2043" s="1037"/>
      <c r="AX2043" s="340">
        <v>435</v>
      </c>
      <c r="AY2043" s="340" t="s">
        <v>339</v>
      </c>
      <c r="BN2043" s="340">
        <v>273.29000000000002</v>
      </c>
      <c r="BO2043" s="340" t="s">
        <v>342</v>
      </c>
      <c r="BP2043" s="1385"/>
      <c r="BV2043" s="236">
        <v>6</v>
      </c>
      <c r="BW2043" s="236" t="s">
        <v>324</v>
      </c>
      <c r="CB2043" s="340">
        <v>433.03</v>
      </c>
      <c r="CC2043" s="340" t="s">
        <v>339</v>
      </c>
      <c r="CL2043" s="236">
        <v>111.13</v>
      </c>
      <c r="CM2043" s="236" t="s">
        <v>297</v>
      </c>
      <c r="CR2043" s="340">
        <v>273.25</v>
      </c>
      <c r="CS2043" s="340" t="s">
        <v>342</v>
      </c>
      <c r="CT2043" s="1384"/>
      <c r="DF2043" s="340">
        <v>59.49</v>
      </c>
      <c r="DG2043" s="340" t="s">
        <v>340</v>
      </c>
      <c r="DV2043" s="340">
        <v>307.06</v>
      </c>
      <c r="DW2043" s="340" t="s">
        <v>296</v>
      </c>
      <c r="DX2043" s="1671"/>
    </row>
    <row r="2044" spans="12:128">
      <c r="L2044" s="2481">
        <v>59.6</v>
      </c>
      <c r="M2044" s="340" t="s">
        <v>340</v>
      </c>
      <c r="N2044" s="1390"/>
      <c r="O2044" s="2479"/>
      <c r="P2044" s="2282"/>
      <c r="AG2044" s="2297">
        <v>307.04000000000002</v>
      </c>
      <c r="AH2044" s="2297" t="s">
        <v>289</v>
      </c>
      <c r="AI2044" s="1390"/>
      <c r="AJ2044" s="2282"/>
      <c r="AK2044" s="2282"/>
      <c r="AL2044" s="1037"/>
      <c r="AX2044" s="340">
        <v>436</v>
      </c>
      <c r="AY2044" s="340" t="s">
        <v>339</v>
      </c>
      <c r="BN2044" s="340">
        <v>273.32</v>
      </c>
      <c r="BO2044" s="340" t="s">
        <v>342</v>
      </c>
      <c r="BP2044" s="1385"/>
      <c r="BV2044" s="236">
        <v>7</v>
      </c>
      <c r="BW2044" s="236" t="s">
        <v>324</v>
      </c>
      <c r="CB2044" s="340">
        <v>433.04</v>
      </c>
      <c r="CC2044" s="340" t="s">
        <v>339</v>
      </c>
      <c r="CL2044" s="236">
        <v>111.14</v>
      </c>
      <c r="CM2044" s="236" t="s">
        <v>297</v>
      </c>
      <c r="CR2044" s="340">
        <v>273.27</v>
      </c>
      <c r="CS2044" s="340" t="s">
        <v>342</v>
      </c>
      <c r="CT2044" s="1384"/>
      <c r="DF2044" s="340">
        <v>59.5</v>
      </c>
      <c r="DG2044" s="340" t="s">
        <v>340</v>
      </c>
      <c r="DV2044" s="340">
        <v>307.07</v>
      </c>
      <c r="DW2044" s="340" t="s">
        <v>296</v>
      </c>
      <c r="DX2044" s="1671"/>
    </row>
    <row r="2045" spans="12:128">
      <c r="L2045" s="2481">
        <v>60.08</v>
      </c>
      <c r="M2045" s="340" t="s">
        <v>340</v>
      </c>
      <c r="N2045" s="1390"/>
      <c r="O2045" s="2479"/>
      <c r="P2045" s="2282"/>
      <c r="AG2045" s="2297">
        <v>307.04000000000002</v>
      </c>
      <c r="AH2045" s="2297" t="s">
        <v>296</v>
      </c>
      <c r="AI2045" s="1390"/>
      <c r="AJ2045" s="2282"/>
      <c r="AK2045" s="2282"/>
      <c r="AL2045" s="1037"/>
      <c r="AX2045" s="340">
        <v>437</v>
      </c>
      <c r="AY2045" s="340" t="s">
        <v>339</v>
      </c>
      <c r="BN2045" s="340">
        <v>275.01</v>
      </c>
      <c r="BO2045" s="340" t="s">
        <v>342</v>
      </c>
      <c r="BP2045" s="1385"/>
      <c r="BV2045" s="236">
        <v>8</v>
      </c>
      <c r="BW2045" s="236" t="s">
        <v>324</v>
      </c>
      <c r="CB2045" s="340">
        <v>436</v>
      </c>
      <c r="CC2045" s="340" t="s">
        <v>339</v>
      </c>
      <c r="CL2045" s="236">
        <v>112</v>
      </c>
      <c r="CM2045" s="236" t="s">
        <v>302</v>
      </c>
      <c r="CR2045" s="340">
        <v>273.27999999999997</v>
      </c>
      <c r="CS2045" s="340" t="s">
        <v>342</v>
      </c>
      <c r="CT2045" s="1384"/>
      <c r="DF2045" s="340">
        <v>59.52</v>
      </c>
      <c r="DG2045" s="340" t="s">
        <v>340</v>
      </c>
      <c r="DV2045" s="340">
        <v>307.08</v>
      </c>
      <c r="DW2045" s="340" t="s">
        <v>296</v>
      </c>
      <c r="DX2045" s="1671"/>
    </row>
    <row r="2046" spans="12:128">
      <c r="L2046" s="2481">
        <v>60.12</v>
      </c>
      <c r="M2046" s="340" t="s">
        <v>340</v>
      </c>
      <c r="N2046" s="1390"/>
      <c r="O2046" s="2479"/>
      <c r="P2046" s="2282"/>
      <c r="AG2046" s="2297">
        <v>307.05</v>
      </c>
      <c r="AH2046" s="2297" t="s">
        <v>296</v>
      </c>
      <c r="AI2046" s="1390"/>
      <c r="AJ2046" s="2282"/>
      <c r="AK2046" s="2282"/>
      <c r="AL2046" s="1037"/>
      <c r="AX2046" s="340">
        <v>438.01</v>
      </c>
      <c r="AY2046" s="340" t="s">
        <v>339</v>
      </c>
      <c r="BN2046" s="340">
        <v>275.02999999999997</v>
      </c>
      <c r="BO2046" s="340" t="s">
        <v>342</v>
      </c>
      <c r="BP2046" s="1385"/>
      <c r="BV2046" s="236">
        <v>9.0299999999999994</v>
      </c>
      <c r="BW2046" s="236" t="s">
        <v>324</v>
      </c>
      <c r="CB2046" s="340">
        <v>437</v>
      </c>
      <c r="CC2046" s="340" t="s">
        <v>339</v>
      </c>
      <c r="CL2046" s="236">
        <v>112</v>
      </c>
      <c r="CM2046" s="236" t="s">
        <v>338</v>
      </c>
      <c r="CR2046" s="340">
        <v>273.29000000000002</v>
      </c>
      <c r="CS2046" s="340" t="s">
        <v>342</v>
      </c>
      <c r="CT2046" s="1384"/>
      <c r="DF2046" s="340">
        <v>59.54</v>
      </c>
      <c r="DG2046" s="340" t="s">
        <v>340</v>
      </c>
      <c r="DV2046" s="340">
        <v>308.01</v>
      </c>
      <c r="DW2046" s="340" t="s">
        <v>296</v>
      </c>
      <c r="DX2046" s="1671"/>
    </row>
    <row r="2047" spans="12:128">
      <c r="L2047" s="2481">
        <v>62.02</v>
      </c>
      <c r="M2047" s="340" t="s">
        <v>340</v>
      </c>
      <c r="N2047" s="1390"/>
      <c r="O2047" s="2479"/>
      <c r="P2047" s="2282"/>
      <c r="AG2047" s="2297">
        <v>307.06</v>
      </c>
      <c r="AH2047" s="2297" t="s">
        <v>296</v>
      </c>
      <c r="AI2047" s="1390"/>
      <c r="AJ2047" s="2282"/>
      <c r="AK2047" s="2282"/>
      <c r="AL2047" s="1037"/>
      <c r="AX2047" s="340">
        <v>1.02</v>
      </c>
      <c r="AY2047" s="340" t="s">
        <v>340</v>
      </c>
      <c r="BN2047" s="340">
        <v>275.04000000000002</v>
      </c>
      <c r="BO2047" s="340" t="s">
        <v>342</v>
      </c>
      <c r="BP2047" s="1385"/>
      <c r="BV2047" s="236">
        <v>9.0399999999999991</v>
      </c>
      <c r="BW2047" s="236" t="s">
        <v>324</v>
      </c>
      <c r="CB2047" s="340">
        <v>438.01</v>
      </c>
      <c r="CC2047" s="340" t="s">
        <v>339</v>
      </c>
      <c r="CL2047" s="236">
        <v>112.02</v>
      </c>
      <c r="CM2047" s="236" t="s">
        <v>344</v>
      </c>
      <c r="CR2047" s="340">
        <v>273.32</v>
      </c>
      <c r="CS2047" s="340" t="s">
        <v>342</v>
      </c>
      <c r="CT2047" s="1384"/>
      <c r="DF2047" s="340">
        <v>59.55</v>
      </c>
      <c r="DG2047" s="340" t="s">
        <v>340</v>
      </c>
      <c r="DV2047" s="340">
        <v>308.02</v>
      </c>
      <c r="DW2047" s="340" t="s">
        <v>296</v>
      </c>
      <c r="DX2047" s="1671"/>
    </row>
    <row r="2048" spans="12:128">
      <c r="L2048" s="2481">
        <v>63.01</v>
      </c>
      <c r="M2048" s="340" t="s">
        <v>340</v>
      </c>
      <c r="N2048" s="1390"/>
      <c r="O2048" s="2479"/>
      <c r="P2048" s="2282"/>
      <c r="AG2048" s="2297">
        <v>307.07</v>
      </c>
      <c r="AH2048" s="2297" t="s">
        <v>296</v>
      </c>
      <c r="AI2048" s="1390"/>
      <c r="AJ2048" s="2282"/>
      <c r="AK2048" s="2282"/>
      <c r="AL2048" s="1037"/>
      <c r="AX2048" s="340">
        <v>1.03</v>
      </c>
      <c r="AY2048" s="340" t="s">
        <v>340</v>
      </c>
      <c r="BN2048" s="340">
        <v>276.02999999999997</v>
      </c>
      <c r="BO2048" s="340" t="s">
        <v>342</v>
      </c>
      <c r="BP2048" s="1385"/>
      <c r="BV2048" s="236">
        <v>9.0500000000000007</v>
      </c>
      <c r="BW2048" s="236" t="s">
        <v>324</v>
      </c>
      <c r="CB2048" s="340">
        <v>1.02</v>
      </c>
      <c r="CC2048" s="340" t="s">
        <v>340</v>
      </c>
      <c r="CL2048" s="236">
        <v>112.03</v>
      </c>
      <c r="CM2048" s="236" t="s">
        <v>316</v>
      </c>
      <c r="CR2048" s="340">
        <v>275.01</v>
      </c>
      <c r="CS2048" s="340" t="s">
        <v>342</v>
      </c>
      <c r="CT2048" s="1384"/>
      <c r="DF2048" s="340">
        <v>59.58</v>
      </c>
      <c r="DG2048" s="340" t="s">
        <v>340</v>
      </c>
      <c r="DV2048" s="340">
        <v>308.02999999999997</v>
      </c>
      <c r="DW2048" s="340" t="s">
        <v>322</v>
      </c>
      <c r="DX2048" s="1671"/>
    </row>
    <row r="2049" spans="12:128">
      <c r="L2049" s="2481">
        <v>63.02</v>
      </c>
      <c r="M2049" s="340" t="s">
        <v>340</v>
      </c>
      <c r="N2049" s="1390"/>
      <c r="O2049" s="2479"/>
      <c r="P2049" s="2282"/>
      <c r="AG2049" s="2297">
        <v>307.08</v>
      </c>
      <c r="AH2049" s="2297" t="s">
        <v>296</v>
      </c>
      <c r="AI2049" s="1390"/>
      <c r="AJ2049" s="2282"/>
      <c r="AK2049" s="2282"/>
      <c r="AL2049" s="1037"/>
      <c r="AX2049" s="340">
        <v>1.04</v>
      </c>
      <c r="AY2049" s="340" t="s">
        <v>340</v>
      </c>
      <c r="BN2049" s="340">
        <v>276.04000000000002</v>
      </c>
      <c r="BO2049" s="340" t="s">
        <v>342</v>
      </c>
      <c r="BP2049" s="1385"/>
      <c r="BV2049" s="236">
        <v>9.06</v>
      </c>
      <c r="BW2049" s="236" t="s">
        <v>324</v>
      </c>
      <c r="CB2049" s="340">
        <v>1.03</v>
      </c>
      <c r="CC2049" s="340" t="s">
        <v>340</v>
      </c>
      <c r="CL2049" s="236">
        <v>112.03</v>
      </c>
      <c r="CM2049" s="236" t="s">
        <v>331</v>
      </c>
      <c r="CR2049" s="340">
        <v>275.02999999999997</v>
      </c>
      <c r="CS2049" s="340" t="s">
        <v>342</v>
      </c>
      <c r="CT2049" s="1384"/>
      <c r="DF2049" s="340">
        <v>59.59</v>
      </c>
      <c r="DG2049" s="340" t="s">
        <v>340</v>
      </c>
      <c r="DV2049" s="340">
        <v>308.05</v>
      </c>
      <c r="DW2049" s="340" t="s">
        <v>322</v>
      </c>
      <c r="DX2049" s="1671"/>
    </row>
    <row r="2050" spans="12:128">
      <c r="L2050" s="2481">
        <v>64.010000000000005</v>
      </c>
      <c r="M2050" s="340" t="s">
        <v>340</v>
      </c>
      <c r="N2050" s="1390"/>
      <c r="O2050" s="2479"/>
      <c r="P2050" s="2282"/>
      <c r="AG2050" s="2297">
        <v>308.01</v>
      </c>
      <c r="AH2050" s="2297" t="s">
        <v>296</v>
      </c>
      <c r="AI2050" s="1390"/>
      <c r="AJ2050" s="2282"/>
      <c r="AK2050" s="2282"/>
      <c r="AL2050" s="1037"/>
      <c r="AX2050" s="340">
        <v>2.02</v>
      </c>
      <c r="AY2050" s="340" t="s">
        <v>340</v>
      </c>
      <c r="BN2050" s="340">
        <v>276.05</v>
      </c>
      <c r="BO2050" s="340" t="s">
        <v>342</v>
      </c>
      <c r="BP2050" s="1385"/>
      <c r="BV2050" s="236">
        <v>9.07</v>
      </c>
      <c r="BW2050" s="236" t="s">
        <v>324</v>
      </c>
      <c r="CB2050" s="340">
        <v>1.04</v>
      </c>
      <c r="CC2050" s="340" t="s">
        <v>340</v>
      </c>
      <c r="CL2050" s="236">
        <v>112.03</v>
      </c>
      <c r="CM2050" s="236" t="s">
        <v>344</v>
      </c>
      <c r="CR2050" s="340">
        <v>275.04000000000002</v>
      </c>
      <c r="CS2050" s="340" t="s">
        <v>342</v>
      </c>
      <c r="CT2050" s="1384"/>
      <c r="DF2050" s="340">
        <v>59.6</v>
      </c>
      <c r="DG2050" s="340" t="s">
        <v>340</v>
      </c>
      <c r="DV2050" s="340">
        <v>308.07</v>
      </c>
      <c r="DW2050" s="340" t="s">
        <v>322</v>
      </c>
      <c r="DX2050" s="1671"/>
    </row>
    <row r="2051" spans="12:128">
      <c r="L2051" s="2481">
        <v>64.02</v>
      </c>
      <c r="M2051" s="340" t="s">
        <v>340</v>
      </c>
      <c r="N2051" s="1390"/>
      <c r="O2051" s="2479"/>
      <c r="P2051" s="2282"/>
      <c r="AG2051" s="2297">
        <v>308.02</v>
      </c>
      <c r="AH2051" s="2297" t="s">
        <v>296</v>
      </c>
      <c r="AI2051" s="1390"/>
      <c r="AJ2051" s="2282"/>
      <c r="AK2051" s="2282"/>
      <c r="AL2051" s="1037"/>
      <c r="AX2051" s="340">
        <v>2.04</v>
      </c>
      <c r="AY2051" s="340" t="s">
        <v>340</v>
      </c>
      <c r="BN2051" s="340">
        <v>276.06</v>
      </c>
      <c r="BO2051" s="340" t="s">
        <v>342</v>
      </c>
      <c r="BP2051" s="1385"/>
      <c r="BV2051" s="236">
        <v>10.01</v>
      </c>
      <c r="BW2051" s="236" t="s">
        <v>324</v>
      </c>
      <c r="CB2051" s="340">
        <v>2.04</v>
      </c>
      <c r="CC2051" s="340" t="s">
        <v>340</v>
      </c>
      <c r="CL2051" s="236">
        <v>112.04</v>
      </c>
      <c r="CM2051" s="236" t="s">
        <v>297</v>
      </c>
      <c r="CR2051" s="340">
        <v>276.02999999999997</v>
      </c>
      <c r="CS2051" s="340" t="s">
        <v>342</v>
      </c>
      <c r="CT2051" s="1384"/>
      <c r="DF2051" s="340">
        <v>60.06</v>
      </c>
      <c r="DG2051" s="340" t="s">
        <v>340</v>
      </c>
      <c r="DV2051" s="340">
        <v>309.01</v>
      </c>
      <c r="DW2051" s="340" t="s">
        <v>341</v>
      </c>
      <c r="DX2051" s="1671"/>
    </row>
    <row r="2052" spans="12:128">
      <c r="L2052" s="2481">
        <v>66.02</v>
      </c>
      <c r="M2052" s="340" t="s">
        <v>340</v>
      </c>
      <c r="N2052" s="1390"/>
      <c r="O2052" s="2479"/>
      <c r="P2052" s="2282"/>
      <c r="AG2052" s="2297">
        <v>308.02999999999997</v>
      </c>
      <c r="AH2052" s="2297" t="s">
        <v>322</v>
      </c>
      <c r="AI2052" s="1390"/>
      <c r="AJ2052" s="2282"/>
      <c r="AK2052" s="2282"/>
      <c r="AL2052" s="1037"/>
      <c r="AX2052" s="340">
        <v>2.08</v>
      </c>
      <c r="AY2052" s="340" t="s">
        <v>340</v>
      </c>
      <c r="BN2052" s="340">
        <v>277.01</v>
      </c>
      <c r="BO2052" s="340" t="s">
        <v>342</v>
      </c>
      <c r="BP2052" s="1385"/>
      <c r="BV2052" s="236">
        <v>10.02</v>
      </c>
      <c r="BW2052" s="236" t="s">
        <v>324</v>
      </c>
      <c r="CB2052" s="340">
        <v>2.08</v>
      </c>
      <c r="CC2052" s="340" t="s">
        <v>340</v>
      </c>
      <c r="CL2052" s="236">
        <v>112.04</v>
      </c>
      <c r="CM2052" s="236" t="s">
        <v>316</v>
      </c>
      <c r="CR2052" s="340">
        <v>276.04000000000002</v>
      </c>
      <c r="CS2052" s="340" t="s">
        <v>342</v>
      </c>
      <c r="CT2052" s="1384"/>
      <c r="DF2052" s="340">
        <v>60.08</v>
      </c>
      <c r="DG2052" s="340" t="s">
        <v>340</v>
      </c>
      <c r="DV2052" s="340">
        <v>309.02</v>
      </c>
      <c r="DW2052" s="340" t="s">
        <v>289</v>
      </c>
      <c r="DX2052" s="1671"/>
    </row>
    <row r="2053" spans="12:128">
      <c r="L2053" s="2481">
        <v>66.06</v>
      </c>
      <c r="M2053" s="340" t="s">
        <v>340</v>
      </c>
      <c r="N2053" s="1390"/>
      <c r="O2053" s="2479"/>
      <c r="P2053" s="2282"/>
      <c r="AG2053" s="2297">
        <v>308.05</v>
      </c>
      <c r="AH2053" s="2297" t="s">
        <v>322</v>
      </c>
      <c r="AI2053" s="1390"/>
      <c r="AJ2053" s="2282"/>
      <c r="AK2053" s="2282"/>
      <c r="AL2053" s="1037"/>
      <c r="AX2053" s="340">
        <v>2.1</v>
      </c>
      <c r="AY2053" s="340" t="s">
        <v>340</v>
      </c>
      <c r="BN2053" s="340">
        <v>277.02999999999997</v>
      </c>
      <c r="BO2053" s="340" t="s">
        <v>342</v>
      </c>
      <c r="BP2053" s="1385"/>
      <c r="BV2053" s="236">
        <v>11.01</v>
      </c>
      <c r="BW2053" s="236" t="s">
        <v>324</v>
      </c>
      <c r="CB2053" s="340">
        <v>2.11</v>
      </c>
      <c r="CC2053" s="340" t="s">
        <v>340</v>
      </c>
      <c r="CL2053" s="236">
        <v>112.04</v>
      </c>
      <c r="CM2053" s="236" t="s">
        <v>331</v>
      </c>
      <c r="CR2053" s="340">
        <v>276.05</v>
      </c>
      <c r="CS2053" s="340" t="s">
        <v>342</v>
      </c>
      <c r="CT2053" s="1384"/>
      <c r="DF2053" s="340">
        <v>60.1</v>
      </c>
      <c r="DG2053" s="340" t="s">
        <v>340</v>
      </c>
      <c r="DV2053" s="340">
        <v>309.02999999999997</v>
      </c>
      <c r="DW2053" s="340" t="s">
        <v>289</v>
      </c>
      <c r="DX2053" s="1671"/>
    </row>
    <row r="2054" spans="12:128">
      <c r="L2054" s="2481">
        <v>66.069999999999993</v>
      </c>
      <c r="M2054" s="340" t="s">
        <v>340</v>
      </c>
      <c r="N2054" s="1390"/>
      <c r="O2054" s="2479"/>
      <c r="P2054" s="2282"/>
      <c r="AG2054" s="2297">
        <v>309.02</v>
      </c>
      <c r="AH2054" s="2297" t="s">
        <v>289</v>
      </c>
      <c r="AI2054" s="1390"/>
      <c r="AJ2054" s="2282"/>
      <c r="AK2054" s="2282"/>
      <c r="AL2054" s="1037"/>
      <c r="AX2054" s="340">
        <v>2.11</v>
      </c>
      <c r="AY2054" s="340" t="s">
        <v>340</v>
      </c>
      <c r="BN2054" s="340">
        <v>277.04000000000002</v>
      </c>
      <c r="BO2054" s="340" t="s">
        <v>342</v>
      </c>
      <c r="BP2054" s="1385"/>
      <c r="BV2054" s="236">
        <v>11.02</v>
      </c>
      <c r="BW2054" s="236" t="s">
        <v>324</v>
      </c>
      <c r="CB2054" s="340">
        <v>2.13</v>
      </c>
      <c r="CC2054" s="340" t="s">
        <v>340</v>
      </c>
      <c r="CL2054" s="236">
        <v>112.04</v>
      </c>
      <c r="CM2054" s="236" t="s">
        <v>344</v>
      </c>
      <c r="CR2054" s="340">
        <v>276.06</v>
      </c>
      <c r="CS2054" s="340" t="s">
        <v>342</v>
      </c>
      <c r="CT2054" s="1384"/>
      <c r="DF2054" s="340">
        <v>60.11</v>
      </c>
      <c r="DG2054" s="340" t="s">
        <v>340</v>
      </c>
      <c r="DV2054" s="340">
        <v>309.04000000000002</v>
      </c>
      <c r="DW2054" s="340" t="s">
        <v>289</v>
      </c>
      <c r="DX2054" s="1671"/>
    </row>
    <row r="2055" spans="12:128">
      <c r="L2055" s="2481">
        <v>69.069999999999993</v>
      </c>
      <c r="M2055" s="340" t="s">
        <v>340</v>
      </c>
      <c r="N2055" s="1390"/>
      <c r="O2055" s="2479"/>
      <c r="P2055" s="2282"/>
      <c r="AG2055" s="2297">
        <v>309.02999999999997</v>
      </c>
      <c r="AH2055" s="2297" t="s">
        <v>289</v>
      </c>
      <c r="AI2055" s="1390"/>
      <c r="AJ2055" s="2282"/>
      <c r="AK2055" s="2282"/>
      <c r="AL2055" s="1037"/>
      <c r="AX2055" s="340">
        <v>2.13</v>
      </c>
      <c r="AY2055" s="340" t="s">
        <v>340</v>
      </c>
      <c r="BN2055" s="340">
        <v>278.01</v>
      </c>
      <c r="BO2055" s="340" t="s">
        <v>342</v>
      </c>
      <c r="BP2055" s="1385"/>
      <c r="BV2055" s="236">
        <v>12</v>
      </c>
      <c r="BW2055" s="236" t="s">
        <v>324</v>
      </c>
      <c r="CB2055" s="340">
        <v>2.14</v>
      </c>
      <c r="CC2055" s="340" t="s">
        <v>340</v>
      </c>
      <c r="CL2055" s="236">
        <v>112.05</v>
      </c>
      <c r="CM2055" s="236" t="s">
        <v>297</v>
      </c>
      <c r="CR2055" s="340">
        <v>277.01</v>
      </c>
      <c r="CS2055" s="340" t="s">
        <v>342</v>
      </c>
      <c r="CT2055" s="1384"/>
      <c r="DF2055" s="340">
        <v>60.12</v>
      </c>
      <c r="DG2055" s="340" t="s">
        <v>340</v>
      </c>
      <c r="DV2055" s="340">
        <v>309.04000000000002</v>
      </c>
      <c r="DW2055" s="340" t="s">
        <v>296</v>
      </c>
      <c r="DX2055" s="1671"/>
    </row>
    <row r="2056" spans="12:128">
      <c r="L2056" s="2481">
        <v>69.09</v>
      </c>
      <c r="M2056" s="340" t="s">
        <v>340</v>
      </c>
      <c r="N2056" s="1390"/>
      <c r="O2056" s="2479"/>
      <c r="P2056" s="2282"/>
      <c r="AG2056" s="2297">
        <v>309.04000000000002</v>
      </c>
      <c r="AH2056" s="2297" t="s">
        <v>289</v>
      </c>
      <c r="AI2056" s="1390"/>
      <c r="AJ2056" s="2282"/>
      <c r="AK2056" s="2282"/>
      <c r="AL2056" s="1037"/>
      <c r="AX2056" s="340">
        <v>2.14</v>
      </c>
      <c r="AY2056" s="340" t="s">
        <v>340</v>
      </c>
      <c r="BN2056" s="340">
        <v>278.02</v>
      </c>
      <c r="BO2056" s="340" t="s">
        <v>342</v>
      </c>
      <c r="BP2056" s="1385"/>
      <c r="BV2056" s="236">
        <v>13</v>
      </c>
      <c r="BW2056" s="236" t="s">
        <v>324</v>
      </c>
      <c r="CB2056" s="340">
        <v>2.16</v>
      </c>
      <c r="CC2056" s="340" t="s">
        <v>340</v>
      </c>
      <c r="CL2056" s="236">
        <v>112.05</v>
      </c>
      <c r="CM2056" s="236" t="s">
        <v>316</v>
      </c>
      <c r="CR2056" s="340">
        <v>277.02999999999997</v>
      </c>
      <c r="CS2056" s="340" t="s">
        <v>342</v>
      </c>
      <c r="CT2056" s="1384"/>
      <c r="DF2056" s="340">
        <v>62.02</v>
      </c>
      <c r="DG2056" s="340" t="s">
        <v>340</v>
      </c>
      <c r="DV2056" s="340">
        <v>309.05</v>
      </c>
      <c r="DW2056" s="340" t="s">
        <v>296</v>
      </c>
      <c r="DX2056" s="1671"/>
    </row>
    <row r="2057" spans="12:128">
      <c r="L2057" s="2481">
        <v>69.12</v>
      </c>
      <c r="M2057" s="340" t="s">
        <v>340</v>
      </c>
      <c r="N2057" s="1390"/>
      <c r="O2057" s="2479"/>
      <c r="P2057" s="2282"/>
      <c r="AG2057" s="2297">
        <v>309.05</v>
      </c>
      <c r="AH2057" s="2297" t="s">
        <v>296</v>
      </c>
      <c r="AI2057" s="1390"/>
      <c r="AJ2057" s="2282"/>
      <c r="AK2057" s="2282"/>
      <c r="AL2057" s="1037"/>
      <c r="AX2057" s="340">
        <v>2.16</v>
      </c>
      <c r="AY2057" s="340" t="s">
        <v>340</v>
      </c>
      <c r="BN2057" s="340">
        <v>279.01</v>
      </c>
      <c r="BO2057" s="340" t="s">
        <v>342</v>
      </c>
      <c r="BP2057" s="1385"/>
      <c r="BV2057" s="236">
        <v>14.01</v>
      </c>
      <c r="BW2057" s="236" t="s">
        <v>324</v>
      </c>
      <c r="CB2057" s="340">
        <v>2.17</v>
      </c>
      <c r="CC2057" s="340" t="s">
        <v>340</v>
      </c>
      <c r="CL2057" s="236">
        <v>112.05</v>
      </c>
      <c r="CM2057" s="236" t="s">
        <v>331</v>
      </c>
      <c r="CR2057" s="340">
        <v>277.04000000000002</v>
      </c>
      <c r="CS2057" s="340" t="s">
        <v>342</v>
      </c>
      <c r="CT2057" s="1384"/>
      <c r="DF2057" s="340">
        <v>63.02</v>
      </c>
      <c r="DG2057" s="340" t="s">
        <v>340</v>
      </c>
      <c r="DV2057" s="340">
        <v>309.14999999999998</v>
      </c>
      <c r="DW2057" s="340" t="s">
        <v>322</v>
      </c>
      <c r="DX2057" s="1671"/>
    </row>
    <row r="2058" spans="12:128">
      <c r="L2058" s="2481">
        <v>70.05</v>
      </c>
      <c r="M2058" s="340" t="s">
        <v>340</v>
      </c>
      <c r="N2058" s="1390"/>
      <c r="O2058" s="2479"/>
      <c r="P2058" s="2282"/>
      <c r="AG2058" s="2297">
        <v>309.17</v>
      </c>
      <c r="AH2058" s="2297" t="s">
        <v>322</v>
      </c>
      <c r="AI2058" s="1390"/>
      <c r="AJ2058" s="2282"/>
      <c r="AK2058" s="2282"/>
      <c r="AL2058" s="1037"/>
      <c r="AX2058" s="340">
        <v>2.17</v>
      </c>
      <c r="AY2058" s="340" t="s">
        <v>340</v>
      </c>
      <c r="BN2058" s="340">
        <v>279.05</v>
      </c>
      <c r="BO2058" s="340" t="s">
        <v>342</v>
      </c>
      <c r="BP2058" s="1385"/>
      <c r="BV2058" s="236">
        <v>14.02</v>
      </c>
      <c r="BW2058" s="236" t="s">
        <v>324</v>
      </c>
      <c r="CB2058" s="340">
        <v>2.1800000000000002</v>
      </c>
      <c r="CC2058" s="340" t="s">
        <v>340</v>
      </c>
      <c r="CL2058" s="236">
        <v>112.06</v>
      </c>
      <c r="CM2058" s="236" t="s">
        <v>297</v>
      </c>
      <c r="CR2058" s="340">
        <v>278.01</v>
      </c>
      <c r="CS2058" s="340" t="s">
        <v>342</v>
      </c>
      <c r="CT2058" s="1384"/>
      <c r="DF2058" s="340">
        <v>64.010000000000005</v>
      </c>
      <c r="DG2058" s="340" t="s">
        <v>340</v>
      </c>
      <c r="DV2058" s="340">
        <v>309.16000000000003</v>
      </c>
      <c r="DW2058" s="340" t="s">
        <v>322</v>
      </c>
      <c r="DX2058" s="1671"/>
    </row>
    <row r="2059" spans="12:128">
      <c r="L2059" s="2481">
        <v>70.06</v>
      </c>
      <c r="M2059" s="340" t="s">
        <v>340</v>
      </c>
      <c r="N2059" s="1390"/>
      <c r="O2059" s="2479"/>
      <c r="P2059" s="2282"/>
      <c r="AG2059" s="2297">
        <v>309.18</v>
      </c>
      <c r="AH2059" s="2297" t="s">
        <v>322</v>
      </c>
      <c r="AI2059" s="1390"/>
      <c r="AJ2059" s="2282"/>
      <c r="AK2059" s="2282"/>
      <c r="AL2059" s="1037"/>
      <c r="AX2059" s="340">
        <v>2.1800000000000002</v>
      </c>
      <c r="AY2059" s="340" t="s">
        <v>340</v>
      </c>
      <c r="BN2059" s="340">
        <v>280.02</v>
      </c>
      <c r="BO2059" s="340" t="s">
        <v>342</v>
      </c>
      <c r="BP2059" s="1385"/>
      <c r="BV2059" s="236">
        <v>15</v>
      </c>
      <c r="BW2059" s="236" t="s">
        <v>324</v>
      </c>
      <c r="CB2059" s="340">
        <v>2.19</v>
      </c>
      <c r="CC2059" s="340" t="s">
        <v>340</v>
      </c>
      <c r="CL2059" s="236">
        <v>112.06</v>
      </c>
      <c r="CM2059" s="236" t="s">
        <v>316</v>
      </c>
      <c r="CR2059" s="340">
        <v>278.02</v>
      </c>
      <c r="CS2059" s="340" t="s">
        <v>342</v>
      </c>
      <c r="CT2059" s="1384"/>
      <c r="DF2059" s="340">
        <v>64.02</v>
      </c>
      <c r="DG2059" s="340" t="s">
        <v>340</v>
      </c>
      <c r="DV2059" s="340">
        <v>309.17</v>
      </c>
      <c r="DW2059" s="340" t="s">
        <v>322</v>
      </c>
      <c r="DX2059" s="1671"/>
    </row>
    <row r="2060" spans="12:128">
      <c r="L2060" s="2481">
        <v>70.069999999999993</v>
      </c>
      <c r="M2060" s="340" t="s">
        <v>340</v>
      </c>
      <c r="N2060" s="1390"/>
      <c r="O2060" s="2479"/>
      <c r="P2060" s="2282"/>
      <c r="AG2060" s="2297">
        <v>310.02</v>
      </c>
      <c r="AH2060" s="2297" t="s">
        <v>289</v>
      </c>
      <c r="AI2060" s="1390"/>
      <c r="AJ2060" s="2282"/>
      <c r="AK2060" s="2282"/>
      <c r="AL2060" s="1037"/>
      <c r="AX2060" s="340">
        <v>2.19</v>
      </c>
      <c r="AY2060" s="340" t="s">
        <v>340</v>
      </c>
      <c r="BN2060" s="340">
        <v>280.04000000000002</v>
      </c>
      <c r="BO2060" s="340" t="s">
        <v>342</v>
      </c>
      <c r="BP2060" s="1385"/>
      <c r="BV2060" s="236">
        <v>16.010000000000002</v>
      </c>
      <c r="BW2060" s="236" t="s">
        <v>324</v>
      </c>
      <c r="CB2060" s="340">
        <v>2.2000000000000002</v>
      </c>
      <c r="CC2060" s="340" t="s">
        <v>340</v>
      </c>
      <c r="CL2060" s="236">
        <v>112.06</v>
      </c>
      <c r="CM2060" s="236" t="s">
        <v>331</v>
      </c>
      <c r="CR2060" s="340">
        <v>279.01</v>
      </c>
      <c r="CS2060" s="340" t="s">
        <v>342</v>
      </c>
      <c r="CT2060" s="1384"/>
      <c r="DF2060" s="340">
        <v>66.02</v>
      </c>
      <c r="DG2060" s="340" t="s">
        <v>340</v>
      </c>
      <c r="DV2060" s="340">
        <v>309.18</v>
      </c>
      <c r="DW2060" s="340" t="s">
        <v>322</v>
      </c>
      <c r="DX2060" s="1671"/>
    </row>
    <row r="2061" spans="12:128">
      <c r="L2061" s="2481">
        <v>70.08</v>
      </c>
      <c r="M2061" s="340" t="s">
        <v>340</v>
      </c>
      <c r="N2061" s="1390"/>
      <c r="O2061" s="2479"/>
      <c r="P2061" s="2282"/>
      <c r="AG2061" s="2297">
        <v>310.02</v>
      </c>
      <c r="AH2061" s="2297" t="s">
        <v>322</v>
      </c>
      <c r="AI2061" s="1390"/>
      <c r="AJ2061" s="2282"/>
      <c r="AK2061" s="2282"/>
      <c r="AL2061" s="1037"/>
      <c r="AX2061" s="340">
        <v>2.2000000000000002</v>
      </c>
      <c r="AY2061" s="340" t="s">
        <v>340</v>
      </c>
      <c r="BN2061" s="340">
        <v>280.05</v>
      </c>
      <c r="BO2061" s="340" t="s">
        <v>342</v>
      </c>
      <c r="BP2061" s="1385"/>
      <c r="BV2061" s="236">
        <v>16.02</v>
      </c>
      <c r="BW2061" s="236" t="s">
        <v>324</v>
      </c>
      <c r="CB2061" s="340">
        <v>2.21</v>
      </c>
      <c r="CC2061" s="340" t="s">
        <v>340</v>
      </c>
      <c r="CL2061" s="236">
        <v>112.07</v>
      </c>
      <c r="CM2061" s="236" t="s">
        <v>297</v>
      </c>
      <c r="CR2061" s="340">
        <v>279.05</v>
      </c>
      <c r="CS2061" s="340" t="s">
        <v>342</v>
      </c>
      <c r="CT2061" s="1384"/>
      <c r="DF2061" s="340">
        <v>66.069999999999993</v>
      </c>
      <c r="DG2061" s="340" t="s">
        <v>340</v>
      </c>
      <c r="DV2061" s="340">
        <v>310.02</v>
      </c>
      <c r="DW2061" s="340" t="s">
        <v>322</v>
      </c>
      <c r="DX2061" s="1671"/>
    </row>
    <row r="2062" spans="12:128">
      <c r="L2062" s="2481">
        <v>70.09</v>
      </c>
      <c r="M2062" s="340" t="s">
        <v>340</v>
      </c>
      <c r="N2062" s="1390"/>
      <c r="O2062" s="2479"/>
      <c r="P2062" s="2282"/>
      <c r="AG2062" s="2297">
        <v>310.13</v>
      </c>
      <c r="AH2062" s="2297" t="s">
        <v>341</v>
      </c>
      <c r="AI2062" s="1390"/>
      <c r="AJ2062" s="2282"/>
      <c r="AK2062" s="2282"/>
      <c r="AL2062" s="1037"/>
      <c r="AX2062" s="340">
        <v>2.21</v>
      </c>
      <c r="AY2062" s="340" t="s">
        <v>340</v>
      </c>
      <c r="BN2062" s="340">
        <v>280.06</v>
      </c>
      <c r="BO2062" s="340" t="s">
        <v>342</v>
      </c>
      <c r="BP2062" s="1385"/>
      <c r="BV2062" s="236">
        <v>17.010000000000002</v>
      </c>
      <c r="BW2062" s="236" t="s">
        <v>324</v>
      </c>
      <c r="CB2062" s="340">
        <v>2.23</v>
      </c>
      <c r="CC2062" s="340" t="s">
        <v>340</v>
      </c>
      <c r="CL2062" s="236">
        <v>112.08</v>
      </c>
      <c r="CM2062" s="236" t="s">
        <v>297</v>
      </c>
      <c r="CR2062" s="340">
        <v>280.02</v>
      </c>
      <c r="CS2062" s="340" t="s">
        <v>342</v>
      </c>
      <c r="CT2062" s="1384"/>
      <c r="DF2062" s="340">
        <v>69.06</v>
      </c>
      <c r="DG2062" s="340" t="s">
        <v>340</v>
      </c>
      <c r="DV2062" s="340">
        <v>310.14</v>
      </c>
      <c r="DW2062" s="340" t="s">
        <v>341</v>
      </c>
      <c r="DX2062" s="1671"/>
    </row>
    <row r="2063" spans="12:128">
      <c r="L2063" s="2481">
        <v>70.099999999999994</v>
      </c>
      <c r="M2063" s="340" t="s">
        <v>340</v>
      </c>
      <c r="N2063" s="1390"/>
      <c r="O2063" s="2479"/>
      <c r="P2063" s="2282"/>
      <c r="AG2063" s="2297">
        <v>311.01</v>
      </c>
      <c r="AH2063" s="2297" t="s">
        <v>289</v>
      </c>
      <c r="AI2063" s="1390"/>
      <c r="AJ2063" s="2282"/>
      <c r="AK2063" s="2282"/>
      <c r="AL2063" s="1037"/>
      <c r="AX2063" s="340">
        <v>2.23</v>
      </c>
      <c r="AY2063" s="340" t="s">
        <v>340</v>
      </c>
      <c r="BN2063" s="340">
        <v>281.02</v>
      </c>
      <c r="BO2063" s="340" t="s">
        <v>342</v>
      </c>
      <c r="BP2063" s="1385"/>
      <c r="BV2063" s="236">
        <v>17.02</v>
      </c>
      <c r="BW2063" s="236" t="s">
        <v>324</v>
      </c>
      <c r="CB2063" s="340">
        <v>3.01</v>
      </c>
      <c r="CC2063" s="340" t="s">
        <v>340</v>
      </c>
      <c r="CL2063" s="236">
        <v>112.09</v>
      </c>
      <c r="CM2063" s="236" t="s">
        <v>297</v>
      </c>
      <c r="CR2063" s="340">
        <v>280.04000000000002</v>
      </c>
      <c r="CS2063" s="340" t="s">
        <v>342</v>
      </c>
      <c r="CT2063" s="1384"/>
      <c r="DF2063" s="340">
        <v>69.069999999999993</v>
      </c>
      <c r="DG2063" s="340" t="s">
        <v>340</v>
      </c>
      <c r="DV2063" s="340">
        <v>311.01</v>
      </c>
      <c r="DW2063" s="340" t="s">
        <v>289</v>
      </c>
      <c r="DX2063" s="1671"/>
    </row>
    <row r="2064" spans="12:128">
      <c r="L2064" s="2481">
        <v>70.11</v>
      </c>
      <c r="M2064" s="340" t="s">
        <v>340</v>
      </c>
      <c r="N2064" s="1390"/>
      <c r="O2064" s="2479"/>
      <c r="P2064" s="2282"/>
      <c r="AG2064" s="2297">
        <v>311.01</v>
      </c>
      <c r="AH2064" s="2297" t="s">
        <v>296</v>
      </c>
      <c r="AI2064" s="1390"/>
      <c r="AJ2064" s="2282"/>
      <c r="AK2064" s="2282"/>
      <c r="AL2064" s="1037"/>
      <c r="AX2064" s="340">
        <v>3.01</v>
      </c>
      <c r="AY2064" s="340" t="s">
        <v>340</v>
      </c>
      <c r="BN2064" s="340">
        <v>282</v>
      </c>
      <c r="BO2064" s="340" t="s">
        <v>342</v>
      </c>
      <c r="BP2064" s="1385"/>
      <c r="BV2064" s="236">
        <v>18.010000000000002</v>
      </c>
      <c r="BW2064" s="236" t="s">
        <v>324</v>
      </c>
      <c r="CB2064" s="340">
        <v>3.03</v>
      </c>
      <c r="CC2064" s="340" t="s">
        <v>340</v>
      </c>
      <c r="CL2064" s="236">
        <v>112.1</v>
      </c>
      <c r="CM2064" s="236" t="s">
        <v>297</v>
      </c>
      <c r="CR2064" s="340">
        <v>280.05</v>
      </c>
      <c r="CS2064" s="340" t="s">
        <v>342</v>
      </c>
      <c r="CT2064" s="1384"/>
      <c r="DF2064" s="340">
        <v>69.11</v>
      </c>
      <c r="DG2064" s="340" t="s">
        <v>340</v>
      </c>
      <c r="DV2064" s="340">
        <v>311.02</v>
      </c>
      <c r="DW2064" s="340" t="s">
        <v>289</v>
      </c>
      <c r="DX2064" s="1671"/>
    </row>
    <row r="2065" spans="12:128">
      <c r="L2065" s="2481">
        <v>70.12</v>
      </c>
      <c r="M2065" s="340" t="s">
        <v>340</v>
      </c>
      <c r="N2065" s="1390"/>
      <c r="O2065" s="2479"/>
      <c r="P2065" s="2282"/>
      <c r="AG2065" s="2297">
        <v>311.02999999999997</v>
      </c>
      <c r="AH2065" s="2297" t="s">
        <v>322</v>
      </c>
      <c r="AI2065" s="1390"/>
      <c r="AJ2065" s="2282"/>
      <c r="AK2065" s="2282"/>
      <c r="AL2065" s="1037"/>
      <c r="AX2065" s="340">
        <v>3.03</v>
      </c>
      <c r="AY2065" s="340" t="s">
        <v>340</v>
      </c>
      <c r="BN2065" s="340">
        <v>285</v>
      </c>
      <c r="BO2065" s="340" t="s">
        <v>342</v>
      </c>
      <c r="BP2065" s="1385"/>
      <c r="BV2065" s="236">
        <v>18.03</v>
      </c>
      <c r="BW2065" s="236" t="s">
        <v>324</v>
      </c>
      <c r="CB2065" s="340">
        <v>3.04</v>
      </c>
      <c r="CC2065" s="340" t="s">
        <v>340</v>
      </c>
      <c r="CL2065" s="236">
        <v>112.11</v>
      </c>
      <c r="CM2065" s="236" t="s">
        <v>297</v>
      </c>
      <c r="CR2065" s="340">
        <v>280.06</v>
      </c>
      <c r="CS2065" s="340" t="s">
        <v>342</v>
      </c>
      <c r="CT2065" s="1384"/>
      <c r="DF2065" s="340">
        <v>69.12</v>
      </c>
      <c r="DG2065" s="340" t="s">
        <v>340</v>
      </c>
      <c r="DV2065" s="340">
        <v>311.02999999999997</v>
      </c>
      <c r="DW2065" s="340" t="s">
        <v>322</v>
      </c>
      <c r="DX2065" s="1671"/>
    </row>
    <row r="2066" spans="12:128">
      <c r="L2066" s="2481">
        <v>70.13</v>
      </c>
      <c r="M2066" s="340" t="s">
        <v>340</v>
      </c>
      <c r="N2066" s="1390"/>
      <c r="O2066" s="2479"/>
      <c r="P2066" s="2282"/>
      <c r="AG2066" s="2297">
        <v>311.05</v>
      </c>
      <c r="AH2066" s="2297" t="s">
        <v>296</v>
      </c>
      <c r="AI2066" s="1390"/>
      <c r="AJ2066" s="2282"/>
      <c r="AK2066" s="2282"/>
      <c r="AL2066" s="1037"/>
      <c r="AX2066" s="340">
        <v>3.04</v>
      </c>
      <c r="AY2066" s="340" t="s">
        <v>340</v>
      </c>
      <c r="BN2066" s="340">
        <v>286.02</v>
      </c>
      <c r="BO2066" s="340" t="s">
        <v>342</v>
      </c>
      <c r="BP2066" s="1385"/>
      <c r="BV2066" s="236">
        <v>18.04</v>
      </c>
      <c r="BW2066" s="236" t="s">
        <v>324</v>
      </c>
      <c r="CB2066" s="340">
        <v>4.05</v>
      </c>
      <c r="CC2066" s="340" t="s">
        <v>340</v>
      </c>
      <c r="CL2066" s="236">
        <v>112.12</v>
      </c>
      <c r="CM2066" s="236" t="s">
        <v>297</v>
      </c>
      <c r="CR2066" s="340">
        <v>281.02</v>
      </c>
      <c r="CS2066" s="340" t="s">
        <v>342</v>
      </c>
      <c r="CT2066" s="1384"/>
      <c r="DF2066" s="340">
        <v>70.05</v>
      </c>
      <c r="DG2066" s="340" t="s">
        <v>340</v>
      </c>
      <c r="DV2066" s="340">
        <v>311.05</v>
      </c>
      <c r="DW2066" s="340" t="s">
        <v>322</v>
      </c>
      <c r="DX2066" s="1671"/>
    </row>
    <row r="2067" spans="12:128">
      <c r="L2067" s="2481">
        <v>72.02</v>
      </c>
      <c r="M2067" s="340" t="s">
        <v>340</v>
      </c>
      <c r="N2067" s="1390"/>
      <c r="O2067" s="2479"/>
      <c r="P2067" s="2282"/>
      <c r="AG2067" s="2297">
        <v>311.05</v>
      </c>
      <c r="AH2067" s="2297" t="s">
        <v>322</v>
      </c>
      <c r="AI2067" s="1390"/>
      <c r="AJ2067" s="2282"/>
      <c r="AK2067" s="2282"/>
      <c r="AL2067" s="1037"/>
      <c r="AX2067" s="340">
        <v>4.05</v>
      </c>
      <c r="AY2067" s="340" t="s">
        <v>340</v>
      </c>
      <c r="BN2067" s="340">
        <v>301</v>
      </c>
      <c r="BO2067" s="340" t="s">
        <v>289</v>
      </c>
      <c r="BP2067" s="1385"/>
      <c r="BV2067" s="236">
        <v>19.010000000000002</v>
      </c>
      <c r="BW2067" s="236" t="s">
        <v>324</v>
      </c>
      <c r="CB2067" s="340">
        <v>4.0599999999999996</v>
      </c>
      <c r="CC2067" s="340" t="s">
        <v>340</v>
      </c>
      <c r="CL2067" s="236">
        <v>112.13</v>
      </c>
      <c r="CM2067" s="236" t="s">
        <v>297</v>
      </c>
      <c r="CR2067" s="340">
        <v>282</v>
      </c>
      <c r="CS2067" s="340" t="s">
        <v>342</v>
      </c>
      <c r="CT2067" s="1384"/>
      <c r="DF2067" s="340">
        <v>70.06</v>
      </c>
      <c r="DG2067" s="340" t="s">
        <v>340</v>
      </c>
      <c r="DV2067" s="340">
        <v>311.06</v>
      </c>
      <c r="DW2067" s="340" t="s">
        <v>322</v>
      </c>
      <c r="DX2067" s="1671"/>
    </row>
    <row r="2068" spans="12:128">
      <c r="L2068" s="2481">
        <v>72.06</v>
      </c>
      <c r="M2068" s="340" t="s">
        <v>340</v>
      </c>
      <c r="N2068" s="1390"/>
      <c r="O2068" s="2479"/>
      <c r="P2068" s="2282"/>
      <c r="AG2068" s="2297">
        <v>311.06</v>
      </c>
      <c r="AH2068" s="2297" t="s">
        <v>322</v>
      </c>
      <c r="AI2068" s="1390"/>
      <c r="AJ2068" s="2282"/>
      <c r="AK2068" s="2282"/>
      <c r="AL2068" s="1037"/>
      <c r="AX2068" s="340">
        <v>4.0599999999999996</v>
      </c>
      <c r="AY2068" s="340" t="s">
        <v>340</v>
      </c>
      <c r="BN2068" s="340">
        <v>301</v>
      </c>
      <c r="BO2068" s="340" t="s">
        <v>323</v>
      </c>
      <c r="BP2068" s="1385"/>
      <c r="BV2068" s="236">
        <v>19.02</v>
      </c>
      <c r="BW2068" s="236" t="s">
        <v>324</v>
      </c>
      <c r="CB2068" s="340">
        <v>4.07</v>
      </c>
      <c r="CC2068" s="340" t="s">
        <v>340</v>
      </c>
      <c r="CL2068" s="236">
        <v>112.14</v>
      </c>
      <c r="CM2068" s="236" t="s">
        <v>297</v>
      </c>
      <c r="CR2068" s="340">
        <v>285</v>
      </c>
      <c r="CS2068" s="340" t="s">
        <v>342</v>
      </c>
      <c r="CT2068" s="1384"/>
      <c r="DF2068" s="340">
        <v>70.069999999999993</v>
      </c>
      <c r="DG2068" s="340" t="s">
        <v>340</v>
      </c>
      <c r="DV2068" s="340">
        <v>311.07</v>
      </c>
      <c r="DW2068" s="340" t="s">
        <v>322</v>
      </c>
      <c r="DX2068" s="1671"/>
    </row>
    <row r="2069" spans="12:128">
      <c r="L2069" s="2481">
        <v>73.010000000000005</v>
      </c>
      <c r="M2069" s="340" t="s">
        <v>340</v>
      </c>
      <c r="N2069" s="1390"/>
      <c r="O2069" s="2479"/>
      <c r="P2069" s="2282"/>
      <c r="AG2069" s="2297">
        <v>311.07</v>
      </c>
      <c r="AH2069" s="2297" t="s">
        <v>322</v>
      </c>
      <c r="AI2069" s="1390"/>
      <c r="AJ2069" s="2282"/>
      <c r="AK2069" s="2282"/>
      <c r="AL2069" s="1037"/>
      <c r="AX2069" s="340">
        <v>4.07</v>
      </c>
      <c r="AY2069" s="340" t="s">
        <v>340</v>
      </c>
      <c r="BN2069" s="340">
        <v>301.02</v>
      </c>
      <c r="BO2069" s="340" t="s">
        <v>294</v>
      </c>
      <c r="BP2069" s="1385"/>
      <c r="BV2069" s="236">
        <v>20.03</v>
      </c>
      <c r="BW2069" s="236" t="s">
        <v>324</v>
      </c>
      <c r="CB2069" s="340">
        <v>4.08</v>
      </c>
      <c r="CC2069" s="340" t="s">
        <v>340</v>
      </c>
      <c r="CL2069" s="236">
        <v>113</v>
      </c>
      <c r="CM2069" s="236" t="s">
        <v>302</v>
      </c>
      <c r="CR2069" s="340">
        <v>286.01</v>
      </c>
      <c r="CS2069" s="340" t="s">
        <v>342</v>
      </c>
      <c r="CT2069" s="1384"/>
      <c r="DF2069" s="340">
        <v>70.08</v>
      </c>
      <c r="DG2069" s="340" t="s">
        <v>340</v>
      </c>
      <c r="DV2069" s="340">
        <v>311.08</v>
      </c>
      <c r="DW2069" s="340" t="s">
        <v>322</v>
      </c>
      <c r="DX2069" s="1671"/>
    </row>
    <row r="2070" spans="12:128">
      <c r="L2070" s="2481">
        <v>73.02</v>
      </c>
      <c r="M2070" s="340" t="s">
        <v>340</v>
      </c>
      <c r="N2070" s="1390"/>
      <c r="O2070" s="2479"/>
      <c r="P2070" s="2282"/>
      <c r="AG2070" s="2297">
        <v>311.08</v>
      </c>
      <c r="AH2070" s="2297" t="s">
        <v>296</v>
      </c>
      <c r="AI2070" s="1390"/>
      <c r="AJ2070" s="2282"/>
      <c r="AK2070" s="2282"/>
      <c r="AL2070" s="1037"/>
      <c r="AX2070" s="340">
        <v>4.08</v>
      </c>
      <c r="AY2070" s="340" t="s">
        <v>340</v>
      </c>
      <c r="BN2070" s="340">
        <v>301.04000000000002</v>
      </c>
      <c r="BO2070" s="340" t="s">
        <v>322</v>
      </c>
      <c r="BP2070" s="1385"/>
      <c r="BV2070" s="236">
        <v>20.05</v>
      </c>
      <c r="BW2070" s="236" t="s">
        <v>324</v>
      </c>
      <c r="CB2070" s="340">
        <v>4.0999999999999996</v>
      </c>
      <c r="CC2070" s="340" t="s">
        <v>340</v>
      </c>
      <c r="CL2070" s="236">
        <v>113</v>
      </c>
      <c r="CM2070" s="236" t="s">
        <v>338</v>
      </c>
      <c r="CR2070" s="340">
        <v>286.02</v>
      </c>
      <c r="CS2070" s="340" t="s">
        <v>342</v>
      </c>
      <c r="CT2070" s="1384"/>
      <c r="DF2070" s="340">
        <v>70.09</v>
      </c>
      <c r="DG2070" s="340" t="s">
        <v>340</v>
      </c>
      <c r="DV2070" s="340">
        <v>312.02</v>
      </c>
      <c r="DW2070" s="340" t="s">
        <v>296</v>
      </c>
      <c r="DX2070" s="1671"/>
    </row>
    <row r="2071" spans="12:128">
      <c r="L2071" s="2481">
        <v>74.069999999999993</v>
      </c>
      <c r="M2071" s="340" t="s">
        <v>340</v>
      </c>
      <c r="N2071" s="1390"/>
      <c r="O2071" s="2479"/>
      <c r="P2071" s="2282"/>
      <c r="AG2071" s="2297">
        <v>311.08</v>
      </c>
      <c r="AH2071" s="2297" t="s">
        <v>322</v>
      </c>
      <c r="AI2071" s="1390"/>
      <c r="AJ2071" s="2282"/>
      <c r="AK2071" s="2282"/>
      <c r="AL2071" s="1037"/>
      <c r="AX2071" s="340">
        <v>5.05</v>
      </c>
      <c r="AY2071" s="340" t="s">
        <v>340</v>
      </c>
      <c r="BN2071" s="340">
        <v>301.08</v>
      </c>
      <c r="BO2071" s="340" t="s">
        <v>322</v>
      </c>
      <c r="BP2071" s="1385"/>
      <c r="BV2071" s="236">
        <v>20.059999999999999</v>
      </c>
      <c r="BW2071" s="236" t="s">
        <v>324</v>
      </c>
      <c r="CB2071" s="340">
        <v>5.05</v>
      </c>
      <c r="CC2071" s="340" t="s">
        <v>340</v>
      </c>
      <c r="CL2071" s="236">
        <v>113</v>
      </c>
      <c r="CM2071" s="236" t="s">
        <v>344</v>
      </c>
      <c r="CR2071" s="340">
        <v>301</v>
      </c>
      <c r="CS2071" s="340" t="s">
        <v>289</v>
      </c>
      <c r="CT2071" s="1384"/>
      <c r="DF2071" s="340">
        <v>70.099999999999994</v>
      </c>
      <c r="DG2071" s="340" t="s">
        <v>340</v>
      </c>
      <c r="DV2071" s="340">
        <v>312.02</v>
      </c>
      <c r="DW2071" s="340" t="s">
        <v>322</v>
      </c>
      <c r="DX2071" s="1671"/>
    </row>
    <row r="2072" spans="12:128">
      <c r="L2072" s="2481">
        <v>74.099999999999994</v>
      </c>
      <c r="M2072" s="340" t="s">
        <v>340</v>
      </c>
      <c r="N2072" s="1390"/>
      <c r="O2072" s="2479"/>
      <c r="P2072" s="2282"/>
      <c r="AG2072" s="2297">
        <v>312.02</v>
      </c>
      <c r="AH2072" s="2297" t="s">
        <v>296</v>
      </c>
      <c r="AI2072" s="1390"/>
      <c r="AJ2072" s="2282"/>
      <c r="AK2072" s="2282"/>
      <c r="AL2072" s="1037"/>
      <c r="AX2072" s="340">
        <v>5.07</v>
      </c>
      <c r="AY2072" s="340" t="s">
        <v>340</v>
      </c>
      <c r="BN2072" s="340">
        <v>301.08999999999997</v>
      </c>
      <c r="BO2072" s="340" t="s">
        <v>322</v>
      </c>
      <c r="BP2072" s="1385"/>
      <c r="BV2072" s="236">
        <v>20.07</v>
      </c>
      <c r="BW2072" s="236" t="s">
        <v>324</v>
      </c>
      <c r="CB2072" s="340">
        <v>5.07</v>
      </c>
      <c r="CC2072" s="340" t="s">
        <v>340</v>
      </c>
      <c r="CL2072" s="236">
        <v>113.01</v>
      </c>
      <c r="CM2072" s="236" t="s">
        <v>316</v>
      </c>
      <c r="CR2072" s="340">
        <v>301</v>
      </c>
      <c r="CS2072" s="340" t="s">
        <v>323</v>
      </c>
      <c r="CT2072" s="1384"/>
      <c r="DF2072" s="340">
        <v>70.11</v>
      </c>
      <c r="DG2072" s="340" t="s">
        <v>340</v>
      </c>
      <c r="DV2072" s="340">
        <v>312.02999999999997</v>
      </c>
      <c r="DW2072" s="340" t="s">
        <v>289</v>
      </c>
      <c r="DX2072" s="1671"/>
    </row>
    <row r="2073" spans="12:128">
      <c r="L2073" s="2481">
        <v>74.12</v>
      </c>
      <c r="M2073" s="340" t="s">
        <v>340</v>
      </c>
      <c r="N2073" s="1390"/>
      <c r="O2073" s="2479"/>
      <c r="P2073" s="2282"/>
      <c r="AG2073" s="2297">
        <v>312.02</v>
      </c>
      <c r="AH2073" s="2297" t="s">
        <v>322</v>
      </c>
      <c r="AI2073" s="1390"/>
      <c r="AJ2073" s="2282"/>
      <c r="AK2073" s="2282"/>
      <c r="AL2073" s="1037"/>
      <c r="AX2073" s="340">
        <v>5.09</v>
      </c>
      <c r="AY2073" s="340" t="s">
        <v>340</v>
      </c>
      <c r="BN2073" s="340">
        <v>301.10000000000002</v>
      </c>
      <c r="BO2073" s="340" t="s">
        <v>322</v>
      </c>
      <c r="BP2073" s="1385"/>
      <c r="BV2073" s="236">
        <v>20.079999999999998</v>
      </c>
      <c r="BW2073" s="236" t="s">
        <v>324</v>
      </c>
      <c r="CB2073" s="340">
        <v>5.09</v>
      </c>
      <c r="CC2073" s="340" t="s">
        <v>340</v>
      </c>
      <c r="CL2073" s="236">
        <v>113.01</v>
      </c>
      <c r="CM2073" s="236" t="s">
        <v>331</v>
      </c>
      <c r="CR2073" s="340">
        <v>301.04000000000002</v>
      </c>
      <c r="CS2073" s="340" t="s">
        <v>296</v>
      </c>
      <c r="CT2073" s="1384"/>
      <c r="DF2073" s="340">
        <v>70.12</v>
      </c>
      <c r="DG2073" s="340" t="s">
        <v>340</v>
      </c>
      <c r="DV2073" s="340">
        <v>312.02999999999997</v>
      </c>
      <c r="DW2073" s="340" t="s">
        <v>296</v>
      </c>
      <c r="DX2073" s="1671"/>
    </row>
    <row r="2074" spans="12:128">
      <c r="L2074" s="2481">
        <v>74.14</v>
      </c>
      <c r="M2074" s="340" t="s">
        <v>340</v>
      </c>
      <c r="N2074" s="1390"/>
      <c r="O2074" s="2479"/>
      <c r="P2074" s="2282"/>
      <c r="AG2074" s="2297">
        <v>312.02999999999997</v>
      </c>
      <c r="AH2074" s="2297" t="s">
        <v>289</v>
      </c>
      <c r="AI2074" s="1390"/>
      <c r="AJ2074" s="2282"/>
      <c r="AK2074" s="2282"/>
      <c r="AL2074" s="1037"/>
      <c r="AX2074" s="340">
        <v>5.13</v>
      </c>
      <c r="AY2074" s="340" t="s">
        <v>340</v>
      </c>
      <c r="BN2074" s="340">
        <v>302.01</v>
      </c>
      <c r="BO2074" s="340" t="s">
        <v>323</v>
      </c>
      <c r="BP2074" s="1385"/>
      <c r="BV2074" s="236">
        <v>21.01</v>
      </c>
      <c r="BW2074" s="236" t="s">
        <v>324</v>
      </c>
      <c r="CB2074" s="340">
        <v>5.12</v>
      </c>
      <c r="CC2074" s="340" t="s">
        <v>340</v>
      </c>
      <c r="CL2074" s="236">
        <v>113.02</v>
      </c>
      <c r="CM2074" s="236" t="s">
        <v>331</v>
      </c>
      <c r="CR2074" s="340">
        <v>301.04000000000002</v>
      </c>
      <c r="CS2074" s="340" t="s">
        <v>322</v>
      </c>
      <c r="CT2074" s="1384"/>
      <c r="DF2074" s="340">
        <v>70.13</v>
      </c>
      <c r="DG2074" s="340" t="s">
        <v>340</v>
      </c>
      <c r="DV2074" s="340">
        <v>312.02999999999997</v>
      </c>
      <c r="DW2074" s="340" t="s">
        <v>322</v>
      </c>
      <c r="DX2074" s="1671"/>
    </row>
    <row r="2075" spans="12:128">
      <c r="L2075" s="2481">
        <v>74.2</v>
      </c>
      <c r="M2075" s="340" t="s">
        <v>340</v>
      </c>
      <c r="N2075" s="1390"/>
      <c r="O2075" s="2479"/>
      <c r="P2075" s="2282"/>
      <c r="AG2075" s="2297">
        <v>312.02999999999997</v>
      </c>
      <c r="AH2075" s="2297" t="s">
        <v>296</v>
      </c>
      <c r="AI2075" s="1390"/>
      <c r="AJ2075" s="2282"/>
      <c r="AK2075" s="2282"/>
      <c r="AL2075" s="1037"/>
      <c r="AX2075" s="340">
        <v>6</v>
      </c>
      <c r="AY2075" s="340" t="s">
        <v>340</v>
      </c>
      <c r="BN2075" s="340">
        <v>302.02</v>
      </c>
      <c r="BO2075" s="340" t="s">
        <v>294</v>
      </c>
      <c r="BP2075" s="1385"/>
      <c r="BV2075" s="236">
        <v>21.03</v>
      </c>
      <c r="BW2075" s="236" t="s">
        <v>324</v>
      </c>
      <c r="CB2075" s="340">
        <v>5.13</v>
      </c>
      <c r="CC2075" s="340" t="s">
        <v>340</v>
      </c>
      <c r="CL2075" s="236">
        <v>113.03</v>
      </c>
      <c r="CM2075" s="236" t="s">
        <v>297</v>
      </c>
      <c r="CR2075" s="340">
        <v>301.08</v>
      </c>
      <c r="CS2075" s="340" t="s">
        <v>322</v>
      </c>
      <c r="CT2075" s="1384"/>
      <c r="DF2075" s="340">
        <v>72.02</v>
      </c>
      <c r="DG2075" s="340" t="s">
        <v>340</v>
      </c>
      <c r="DV2075" s="340">
        <v>312.04000000000002</v>
      </c>
      <c r="DW2075" s="340" t="s">
        <v>341</v>
      </c>
      <c r="DX2075" s="1671"/>
    </row>
    <row r="2076" spans="12:128">
      <c r="L2076" s="2481">
        <v>74.209999999999994</v>
      </c>
      <c r="M2076" s="340" t="s">
        <v>340</v>
      </c>
      <c r="N2076" s="1390"/>
      <c r="O2076" s="2479"/>
      <c r="P2076" s="2282"/>
      <c r="AG2076" s="2297">
        <v>312.02999999999997</v>
      </c>
      <c r="AH2076" s="2297" t="s">
        <v>322</v>
      </c>
      <c r="AI2076" s="1390"/>
      <c r="AJ2076" s="2282"/>
      <c r="AK2076" s="2282"/>
      <c r="AL2076" s="1037"/>
      <c r="AX2076" s="340">
        <v>7.02</v>
      </c>
      <c r="AY2076" s="340" t="s">
        <v>340</v>
      </c>
      <c r="BN2076" s="340">
        <v>302.02</v>
      </c>
      <c r="BO2076" s="340" t="s">
        <v>341</v>
      </c>
      <c r="BP2076" s="1385"/>
      <c r="BV2076" s="236">
        <v>21.05</v>
      </c>
      <c r="BW2076" s="236" t="s">
        <v>324</v>
      </c>
      <c r="CB2076" s="340">
        <v>6</v>
      </c>
      <c r="CC2076" s="340" t="s">
        <v>340</v>
      </c>
      <c r="CL2076" s="236">
        <v>113.03</v>
      </c>
      <c r="CM2076" s="236" t="s">
        <v>316</v>
      </c>
      <c r="CR2076" s="340">
        <v>301.08999999999997</v>
      </c>
      <c r="CS2076" s="340" t="s">
        <v>322</v>
      </c>
      <c r="CT2076" s="1384"/>
      <c r="DF2076" s="340">
        <v>72.05</v>
      </c>
      <c r="DG2076" s="340" t="s">
        <v>340</v>
      </c>
      <c r="DV2076" s="340">
        <v>312.05</v>
      </c>
      <c r="DW2076" s="340" t="s">
        <v>289</v>
      </c>
      <c r="DX2076" s="1671"/>
    </row>
    <row r="2077" spans="12:128">
      <c r="L2077" s="2481">
        <v>75.010000000000005</v>
      </c>
      <c r="M2077" s="340" t="s">
        <v>340</v>
      </c>
      <c r="N2077" s="1390"/>
      <c r="O2077" s="2479"/>
      <c r="P2077" s="2282"/>
      <c r="AG2077" s="2297">
        <v>312.04000000000002</v>
      </c>
      <c r="AH2077" s="2297" t="s">
        <v>341</v>
      </c>
      <c r="AI2077" s="1390"/>
      <c r="AJ2077" s="2282"/>
      <c r="AK2077" s="2282"/>
      <c r="AL2077" s="1037"/>
      <c r="AX2077" s="340">
        <v>7.03</v>
      </c>
      <c r="AY2077" s="340" t="s">
        <v>340</v>
      </c>
      <c r="BN2077" s="340">
        <v>302.02999999999997</v>
      </c>
      <c r="BO2077" s="340" t="s">
        <v>322</v>
      </c>
      <c r="BP2077" s="1385"/>
      <c r="BV2077" s="236">
        <v>21.06</v>
      </c>
      <c r="BW2077" s="236" t="s">
        <v>324</v>
      </c>
      <c r="CB2077" s="340">
        <v>7.02</v>
      </c>
      <c r="CC2077" s="340" t="s">
        <v>340</v>
      </c>
      <c r="CL2077" s="236">
        <v>113.04</v>
      </c>
      <c r="CM2077" s="236" t="s">
        <v>297</v>
      </c>
      <c r="CR2077" s="340">
        <v>301.10000000000002</v>
      </c>
      <c r="CS2077" s="340" t="s">
        <v>322</v>
      </c>
      <c r="CT2077" s="1384"/>
      <c r="DF2077" s="340">
        <v>72.06</v>
      </c>
      <c r="DG2077" s="340" t="s">
        <v>340</v>
      </c>
      <c r="DV2077" s="340">
        <v>312.05</v>
      </c>
      <c r="DW2077" s="340" t="s">
        <v>322</v>
      </c>
      <c r="DX2077" s="1671"/>
    </row>
    <row r="2078" spans="12:128">
      <c r="L2078" s="2481">
        <v>75.040000000000006</v>
      </c>
      <c r="M2078" s="340" t="s">
        <v>340</v>
      </c>
      <c r="N2078" s="1390"/>
      <c r="O2078" s="2479"/>
      <c r="P2078" s="2282"/>
      <c r="AG2078" s="2297">
        <v>312.05</v>
      </c>
      <c r="AH2078" s="2297" t="s">
        <v>289</v>
      </c>
      <c r="AI2078" s="1390"/>
      <c r="AJ2078" s="2282"/>
      <c r="AK2078" s="2282"/>
      <c r="AL2078" s="1037"/>
      <c r="AX2078" s="340">
        <v>8.0299999999999994</v>
      </c>
      <c r="AY2078" s="340" t="s">
        <v>340</v>
      </c>
      <c r="BN2078" s="340">
        <v>302.04000000000002</v>
      </c>
      <c r="BO2078" s="340" t="s">
        <v>296</v>
      </c>
      <c r="BP2078" s="1385"/>
      <c r="BV2078" s="236">
        <v>22.01</v>
      </c>
      <c r="BW2078" s="236" t="s">
        <v>324</v>
      </c>
      <c r="CB2078" s="340">
        <v>7.03</v>
      </c>
      <c r="CC2078" s="340" t="s">
        <v>340</v>
      </c>
      <c r="CL2078" s="236">
        <v>113.04</v>
      </c>
      <c r="CM2078" s="236" t="s">
        <v>316</v>
      </c>
      <c r="CR2078" s="340">
        <v>302.01</v>
      </c>
      <c r="CS2078" s="340" t="s">
        <v>323</v>
      </c>
      <c r="CT2078" s="1384"/>
      <c r="DF2078" s="340">
        <v>72.08</v>
      </c>
      <c r="DG2078" s="340" t="s">
        <v>340</v>
      </c>
      <c r="DV2078" s="340">
        <v>312.06</v>
      </c>
      <c r="DW2078" s="340" t="s">
        <v>289</v>
      </c>
      <c r="DX2078" s="1671"/>
    </row>
    <row r="2079" spans="12:128">
      <c r="L2079" s="2481">
        <v>75.05</v>
      </c>
      <c r="M2079" s="340" t="s">
        <v>340</v>
      </c>
      <c r="N2079" s="1390"/>
      <c r="O2079" s="2479"/>
      <c r="P2079" s="2282"/>
      <c r="AG2079" s="2297">
        <v>312.05</v>
      </c>
      <c r="AH2079" s="2297" t="s">
        <v>322</v>
      </c>
      <c r="AI2079" s="1390"/>
      <c r="AJ2079" s="2282"/>
      <c r="AK2079" s="2282"/>
      <c r="AL2079" s="1037"/>
      <c r="AX2079" s="340">
        <v>8.0500000000000007</v>
      </c>
      <c r="AY2079" s="340" t="s">
        <v>340</v>
      </c>
      <c r="BN2079" s="340">
        <v>302.04000000000002</v>
      </c>
      <c r="BO2079" s="340" t="s">
        <v>341</v>
      </c>
      <c r="BP2079" s="1385"/>
      <c r="BV2079" s="236">
        <v>22.05</v>
      </c>
      <c r="BW2079" s="236" t="s">
        <v>324</v>
      </c>
      <c r="CB2079" s="340">
        <v>8.0299999999999994</v>
      </c>
      <c r="CC2079" s="340" t="s">
        <v>340</v>
      </c>
      <c r="CL2079" s="236">
        <v>113.05</v>
      </c>
      <c r="CM2079" s="236" t="s">
        <v>297</v>
      </c>
      <c r="CR2079" s="340">
        <v>302.02</v>
      </c>
      <c r="CS2079" s="340" t="s">
        <v>294</v>
      </c>
      <c r="CT2079" s="1384"/>
      <c r="DF2079" s="340">
        <v>73.010000000000005</v>
      </c>
      <c r="DG2079" s="340" t="s">
        <v>340</v>
      </c>
      <c r="DV2079" s="340">
        <v>312.07</v>
      </c>
      <c r="DW2079" s="340" t="s">
        <v>289</v>
      </c>
      <c r="DX2079" s="1671"/>
    </row>
    <row r="2080" spans="12:128">
      <c r="L2080" s="2481">
        <v>76.03</v>
      </c>
      <c r="M2080" s="340" t="s">
        <v>340</v>
      </c>
      <c r="N2080" s="1390"/>
      <c r="O2080" s="2479"/>
      <c r="P2080" s="2282"/>
      <c r="AG2080" s="2297">
        <v>312.07</v>
      </c>
      <c r="AH2080" s="2297" t="s">
        <v>289</v>
      </c>
      <c r="AI2080" s="1390"/>
      <c r="AJ2080" s="2282"/>
      <c r="AK2080" s="2282"/>
      <c r="AL2080" s="1037"/>
      <c r="AX2080" s="340">
        <v>9.02</v>
      </c>
      <c r="AY2080" s="340" t="s">
        <v>340</v>
      </c>
      <c r="BN2080" s="340">
        <v>302.05</v>
      </c>
      <c r="BO2080" s="340" t="s">
        <v>296</v>
      </c>
      <c r="BP2080" s="1385"/>
      <c r="BV2080" s="236">
        <v>22.06</v>
      </c>
      <c r="BW2080" s="236" t="s">
        <v>324</v>
      </c>
      <c r="CB2080" s="340">
        <v>8.0500000000000007</v>
      </c>
      <c r="CC2080" s="340" t="s">
        <v>340</v>
      </c>
      <c r="CL2080" s="236">
        <v>113.06</v>
      </c>
      <c r="CM2080" s="236" t="s">
        <v>297</v>
      </c>
      <c r="CR2080" s="340">
        <v>302.02</v>
      </c>
      <c r="CS2080" s="340" t="s">
        <v>341</v>
      </c>
      <c r="CT2080" s="1384"/>
      <c r="DF2080" s="340">
        <v>73.02</v>
      </c>
      <c r="DG2080" s="340" t="s">
        <v>340</v>
      </c>
      <c r="DV2080" s="340">
        <v>312.08</v>
      </c>
      <c r="DW2080" s="340" t="s">
        <v>322</v>
      </c>
      <c r="DX2080" s="1671"/>
    </row>
    <row r="2081" spans="12:128">
      <c r="L2081" s="2481">
        <v>76.040000000000006</v>
      </c>
      <c r="M2081" s="340" t="s">
        <v>340</v>
      </c>
      <c r="N2081" s="1390"/>
      <c r="O2081" s="2479"/>
      <c r="P2081" s="2282"/>
      <c r="AG2081" s="2297">
        <v>312.07</v>
      </c>
      <c r="AH2081" s="2297" t="s">
        <v>322</v>
      </c>
      <c r="AI2081" s="1390"/>
      <c r="AJ2081" s="2282"/>
      <c r="AK2081" s="2282"/>
      <c r="AL2081" s="1037"/>
      <c r="AX2081" s="340">
        <v>9.0299999999999994</v>
      </c>
      <c r="AY2081" s="340" t="s">
        <v>340</v>
      </c>
      <c r="BN2081" s="340">
        <v>302.05</v>
      </c>
      <c r="BO2081" s="340" t="s">
        <v>323</v>
      </c>
      <c r="BP2081" s="1385"/>
      <c r="BV2081" s="236">
        <v>22.07</v>
      </c>
      <c r="BW2081" s="236" t="s">
        <v>324</v>
      </c>
      <c r="CB2081" s="340">
        <v>9.02</v>
      </c>
      <c r="CC2081" s="340" t="s">
        <v>340</v>
      </c>
      <c r="CL2081" s="236">
        <v>114</v>
      </c>
      <c r="CM2081" s="236" t="s">
        <v>297</v>
      </c>
      <c r="CR2081" s="340">
        <v>302.02999999999997</v>
      </c>
      <c r="CS2081" s="340" t="s">
        <v>322</v>
      </c>
      <c r="CT2081" s="1384"/>
      <c r="DF2081" s="340">
        <v>74.069999999999993</v>
      </c>
      <c r="DG2081" s="340" t="s">
        <v>340</v>
      </c>
      <c r="DV2081" s="340">
        <v>312.08</v>
      </c>
      <c r="DW2081" s="340" t="s">
        <v>341</v>
      </c>
      <c r="DX2081" s="1671"/>
    </row>
    <row r="2082" spans="12:128">
      <c r="L2082" s="2481">
        <v>76.05</v>
      </c>
      <c r="M2082" s="340" t="s">
        <v>340</v>
      </c>
      <c r="N2082" s="1390"/>
      <c r="O2082" s="2479"/>
      <c r="P2082" s="2282"/>
      <c r="AG2082" s="2297">
        <v>312.08</v>
      </c>
      <c r="AH2082" s="2297" t="s">
        <v>322</v>
      </c>
      <c r="AI2082" s="1390"/>
      <c r="AJ2082" s="2282"/>
      <c r="AK2082" s="2282"/>
      <c r="AL2082" s="1037"/>
      <c r="AX2082" s="340">
        <v>9.0399999999999991</v>
      </c>
      <c r="AY2082" s="340" t="s">
        <v>340</v>
      </c>
      <c r="BN2082" s="340">
        <v>302.05</v>
      </c>
      <c r="BO2082" s="340" t="s">
        <v>341</v>
      </c>
      <c r="BP2082" s="1385"/>
      <c r="BV2082" s="236">
        <v>22.08</v>
      </c>
      <c r="BW2082" s="236" t="s">
        <v>324</v>
      </c>
      <c r="CB2082" s="340">
        <v>9.0299999999999994</v>
      </c>
      <c r="CC2082" s="340" t="s">
        <v>340</v>
      </c>
      <c r="CL2082" s="236">
        <v>114</v>
      </c>
      <c r="CM2082" s="236" t="s">
        <v>302</v>
      </c>
      <c r="CR2082" s="340">
        <v>302.04000000000002</v>
      </c>
      <c r="CS2082" s="340" t="s">
        <v>296</v>
      </c>
      <c r="CT2082" s="1384"/>
      <c r="DF2082" s="340">
        <v>74.099999999999994</v>
      </c>
      <c r="DG2082" s="340" t="s">
        <v>340</v>
      </c>
      <c r="DV2082" s="340">
        <v>313.01</v>
      </c>
      <c r="DW2082" s="340" t="s">
        <v>322</v>
      </c>
      <c r="DX2082" s="1671"/>
    </row>
    <row r="2083" spans="12:128">
      <c r="L2083" s="2481">
        <v>76.099999999999994</v>
      </c>
      <c r="M2083" s="340" t="s">
        <v>340</v>
      </c>
      <c r="N2083" s="1390"/>
      <c r="O2083" s="2479"/>
      <c r="P2083" s="2282"/>
      <c r="AG2083" s="2297">
        <v>312.08</v>
      </c>
      <c r="AH2083" s="2297" t="s">
        <v>341</v>
      </c>
      <c r="AI2083" s="1390"/>
      <c r="AJ2083" s="2282"/>
      <c r="AK2083" s="2282"/>
      <c r="AL2083" s="1037"/>
      <c r="AX2083" s="340">
        <v>9.0500000000000007</v>
      </c>
      <c r="AY2083" s="340" t="s">
        <v>340</v>
      </c>
      <c r="BN2083" s="340">
        <v>302.06</v>
      </c>
      <c r="BO2083" s="340" t="s">
        <v>296</v>
      </c>
      <c r="BP2083" s="1385"/>
      <c r="BV2083" s="236">
        <v>23.02</v>
      </c>
      <c r="BW2083" s="236" t="s">
        <v>324</v>
      </c>
      <c r="CB2083" s="340">
        <v>9.0399999999999991</v>
      </c>
      <c r="CC2083" s="340" t="s">
        <v>340</v>
      </c>
      <c r="CL2083" s="236">
        <v>114</v>
      </c>
      <c r="CM2083" s="236" t="s">
        <v>344</v>
      </c>
      <c r="CR2083" s="340">
        <v>302.04000000000002</v>
      </c>
      <c r="CS2083" s="340" t="s">
        <v>322</v>
      </c>
      <c r="CT2083" s="1384"/>
      <c r="DF2083" s="340">
        <v>74.12</v>
      </c>
      <c r="DG2083" s="340" t="s">
        <v>340</v>
      </c>
      <c r="DV2083" s="340">
        <v>313.01</v>
      </c>
      <c r="DW2083" s="340" t="s">
        <v>341</v>
      </c>
      <c r="DX2083" s="1671"/>
    </row>
    <row r="2084" spans="12:128">
      <c r="L2084" s="2481">
        <v>76.12</v>
      </c>
      <c r="M2084" s="340" t="s">
        <v>340</v>
      </c>
      <c r="N2084" s="1390"/>
      <c r="O2084" s="2479"/>
      <c r="P2084" s="2282"/>
      <c r="AG2084" s="2297">
        <v>313.01</v>
      </c>
      <c r="AH2084" s="2297" t="s">
        <v>322</v>
      </c>
      <c r="AI2084" s="1390"/>
      <c r="AJ2084" s="2282"/>
      <c r="AK2084" s="2282"/>
      <c r="AL2084" s="1037"/>
      <c r="AX2084" s="340">
        <v>10.029999999999999</v>
      </c>
      <c r="AY2084" s="340" t="s">
        <v>340</v>
      </c>
      <c r="BN2084" s="340">
        <v>302.07</v>
      </c>
      <c r="BO2084" s="340" t="s">
        <v>296</v>
      </c>
      <c r="BP2084" s="1385"/>
      <c r="BV2084" s="236">
        <v>23.03</v>
      </c>
      <c r="BW2084" s="236" t="s">
        <v>324</v>
      </c>
      <c r="CB2084" s="340">
        <v>9.0500000000000007</v>
      </c>
      <c r="CC2084" s="340" t="s">
        <v>340</v>
      </c>
      <c r="CL2084" s="236">
        <v>114.05</v>
      </c>
      <c r="CM2084" s="236" t="s">
        <v>331</v>
      </c>
      <c r="CR2084" s="340">
        <v>302.04000000000002</v>
      </c>
      <c r="CS2084" s="340" t="s">
        <v>341</v>
      </c>
      <c r="CT2084" s="1384"/>
      <c r="DF2084" s="340">
        <v>74.14</v>
      </c>
      <c r="DG2084" s="340" t="s">
        <v>340</v>
      </c>
      <c r="DV2084" s="340">
        <v>313.02</v>
      </c>
      <c r="DW2084" s="340" t="s">
        <v>296</v>
      </c>
      <c r="DX2084" s="1671"/>
    </row>
    <row r="2085" spans="12:128">
      <c r="L2085" s="2481">
        <v>76.13</v>
      </c>
      <c r="M2085" s="340" t="s">
        <v>340</v>
      </c>
      <c r="N2085" s="1390"/>
      <c r="O2085" s="2479"/>
      <c r="P2085" s="2282"/>
      <c r="AG2085" s="2297">
        <v>313.02</v>
      </c>
      <c r="AH2085" s="2297" t="s">
        <v>296</v>
      </c>
      <c r="AI2085" s="1390"/>
      <c r="AJ2085" s="2282"/>
      <c r="AK2085" s="2282"/>
      <c r="AL2085" s="1037"/>
      <c r="AX2085" s="340">
        <v>11.02</v>
      </c>
      <c r="AY2085" s="340" t="s">
        <v>340</v>
      </c>
      <c r="BN2085" s="340">
        <v>302.08</v>
      </c>
      <c r="BO2085" s="340" t="s">
        <v>322</v>
      </c>
      <c r="BP2085" s="1385"/>
      <c r="BV2085" s="236">
        <v>23.04</v>
      </c>
      <c r="BW2085" s="236" t="s">
        <v>324</v>
      </c>
      <c r="CB2085" s="340">
        <v>10.029999999999999</v>
      </c>
      <c r="CC2085" s="340" t="s">
        <v>340</v>
      </c>
      <c r="CL2085" s="236">
        <v>114.06</v>
      </c>
      <c r="CM2085" s="236" t="s">
        <v>331</v>
      </c>
      <c r="CR2085" s="340">
        <v>302.05</v>
      </c>
      <c r="CS2085" s="340" t="s">
        <v>296</v>
      </c>
      <c r="CT2085" s="1384"/>
      <c r="DF2085" s="340">
        <v>74.2</v>
      </c>
      <c r="DG2085" s="340" t="s">
        <v>340</v>
      </c>
      <c r="DV2085" s="340">
        <v>313.02</v>
      </c>
      <c r="DW2085" s="340" t="s">
        <v>341</v>
      </c>
      <c r="DX2085" s="1671"/>
    </row>
    <row r="2086" spans="12:128">
      <c r="L2086" s="2481">
        <v>76.14</v>
      </c>
      <c r="M2086" s="340" t="s">
        <v>340</v>
      </c>
      <c r="N2086" s="1390"/>
      <c r="O2086" s="2479"/>
      <c r="P2086" s="2282"/>
      <c r="AG2086" s="2297">
        <v>313.02</v>
      </c>
      <c r="AH2086" s="2297" t="s">
        <v>341</v>
      </c>
      <c r="AI2086" s="1390"/>
      <c r="AJ2086" s="2282"/>
      <c r="AK2086" s="2282"/>
      <c r="AL2086" s="1037"/>
      <c r="AX2086" s="340">
        <v>19.04</v>
      </c>
      <c r="AY2086" s="340" t="s">
        <v>340</v>
      </c>
      <c r="BN2086" s="340">
        <v>302.10000000000002</v>
      </c>
      <c r="BO2086" s="340" t="s">
        <v>296</v>
      </c>
      <c r="BP2086" s="1385"/>
      <c r="BV2086" s="236">
        <v>24.03</v>
      </c>
      <c r="BW2086" s="236" t="s">
        <v>324</v>
      </c>
      <c r="CB2086" s="340">
        <v>11.02</v>
      </c>
      <c r="CC2086" s="340" t="s">
        <v>340</v>
      </c>
      <c r="CL2086" s="236">
        <v>114.07</v>
      </c>
      <c r="CM2086" s="236" t="s">
        <v>316</v>
      </c>
      <c r="CR2086" s="340">
        <v>302.05</v>
      </c>
      <c r="CS2086" s="340" t="s">
        <v>323</v>
      </c>
      <c r="CT2086" s="1384"/>
      <c r="DF2086" s="340">
        <v>74.209999999999994</v>
      </c>
      <c r="DG2086" s="340" t="s">
        <v>340</v>
      </c>
      <c r="DV2086" s="340">
        <v>313.06</v>
      </c>
      <c r="DW2086" s="340" t="s">
        <v>322</v>
      </c>
      <c r="DX2086" s="1671"/>
    </row>
    <row r="2087" spans="12:128">
      <c r="L2087" s="2481">
        <v>76.150000000000006</v>
      </c>
      <c r="M2087" s="340" t="s">
        <v>340</v>
      </c>
      <c r="N2087" s="1390"/>
      <c r="O2087" s="2479"/>
      <c r="P2087" s="2282"/>
      <c r="AG2087" s="2297">
        <v>313.06</v>
      </c>
      <c r="AH2087" s="2297" t="s">
        <v>322</v>
      </c>
      <c r="AI2087" s="1390"/>
      <c r="AJ2087" s="2282"/>
      <c r="AK2087" s="2282"/>
      <c r="AL2087" s="1037"/>
      <c r="AX2087" s="340">
        <v>19.18</v>
      </c>
      <c r="AY2087" s="340" t="s">
        <v>340</v>
      </c>
      <c r="BN2087" s="340">
        <v>302.11</v>
      </c>
      <c r="BO2087" s="340" t="s">
        <v>322</v>
      </c>
      <c r="BP2087" s="1385"/>
      <c r="BV2087" s="236">
        <v>24.1</v>
      </c>
      <c r="BW2087" s="236" t="s">
        <v>324</v>
      </c>
      <c r="CB2087" s="340">
        <v>19.04</v>
      </c>
      <c r="CC2087" s="340" t="s">
        <v>340</v>
      </c>
      <c r="CL2087" s="236">
        <v>114.07</v>
      </c>
      <c r="CM2087" s="236" t="s">
        <v>331</v>
      </c>
      <c r="CR2087" s="340">
        <v>302.05</v>
      </c>
      <c r="CS2087" s="340" t="s">
        <v>341</v>
      </c>
      <c r="CT2087" s="1384"/>
      <c r="DF2087" s="340">
        <v>75.010000000000005</v>
      </c>
      <c r="DG2087" s="340" t="s">
        <v>340</v>
      </c>
      <c r="DV2087" s="340">
        <v>313.08</v>
      </c>
      <c r="DW2087" s="340" t="s">
        <v>322</v>
      </c>
      <c r="DX2087" s="1671"/>
    </row>
    <row r="2088" spans="12:128">
      <c r="L2088" s="2481">
        <v>76.16</v>
      </c>
      <c r="M2088" s="340" t="s">
        <v>340</v>
      </c>
      <c r="N2088" s="1390"/>
      <c r="O2088" s="2479"/>
      <c r="P2088" s="2282"/>
      <c r="AG2088" s="2297">
        <v>313.08</v>
      </c>
      <c r="AH2088" s="2297" t="s">
        <v>322</v>
      </c>
      <c r="AI2088" s="1390"/>
      <c r="AJ2088" s="2282"/>
      <c r="AK2088" s="2282"/>
      <c r="AL2088" s="1037"/>
      <c r="AX2088" s="340">
        <v>19.190000000000001</v>
      </c>
      <c r="AY2088" s="340" t="s">
        <v>340</v>
      </c>
      <c r="BN2088" s="340">
        <v>303</v>
      </c>
      <c r="BO2088" s="340" t="s">
        <v>323</v>
      </c>
      <c r="BP2088" s="1385"/>
      <c r="BV2088" s="236">
        <v>24.11</v>
      </c>
      <c r="BW2088" s="236" t="s">
        <v>324</v>
      </c>
      <c r="CB2088" s="340">
        <v>19.07</v>
      </c>
      <c r="CC2088" s="340" t="s">
        <v>340</v>
      </c>
      <c r="CL2088" s="236">
        <v>114.08</v>
      </c>
      <c r="CM2088" s="236" t="s">
        <v>316</v>
      </c>
      <c r="CR2088" s="340">
        <v>302.06</v>
      </c>
      <c r="CS2088" s="340" t="s">
        <v>296</v>
      </c>
      <c r="CT2088" s="1384"/>
      <c r="DF2088" s="340">
        <v>75.040000000000006</v>
      </c>
      <c r="DG2088" s="340" t="s">
        <v>340</v>
      </c>
      <c r="DV2088" s="340">
        <v>313.08999999999997</v>
      </c>
      <c r="DW2088" s="340" t="s">
        <v>322</v>
      </c>
      <c r="DX2088" s="1671"/>
    </row>
    <row r="2089" spans="12:128">
      <c r="L2089" s="2481">
        <v>77.05</v>
      </c>
      <c r="M2089" s="340" t="s">
        <v>340</v>
      </c>
      <c r="N2089" s="1390"/>
      <c r="O2089" s="2479"/>
      <c r="P2089" s="2282"/>
      <c r="AG2089" s="2297">
        <v>313.08999999999997</v>
      </c>
      <c r="AH2089" s="2297" t="s">
        <v>322</v>
      </c>
      <c r="AI2089" s="1390"/>
      <c r="AJ2089" s="2282"/>
      <c r="AK2089" s="2282"/>
      <c r="AL2089" s="1037"/>
      <c r="AX2089" s="340">
        <v>19.21</v>
      </c>
      <c r="AY2089" s="340" t="s">
        <v>340</v>
      </c>
      <c r="BN2089" s="340">
        <v>303.01</v>
      </c>
      <c r="BO2089" s="340" t="s">
        <v>294</v>
      </c>
      <c r="BP2089" s="1385"/>
      <c r="BV2089" s="236">
        <v>24.13</v>
      </c>
      <c r="BW2089" s="236" t="s">
        <v>324</v>
      </c>
      <c r="CB2089" s="340">
        <v>19.16</v>
      </c>
      <c r="CC2089" s="340" t="s">
        <v>340</v>
      </c>
      <c r="CL2089" s="236">
        <v>114.08</v>
      </c>
      <c r="CM2089" s="236" t="s">
        <v>331</v>
      </c>
      <c r="CR2089" s="340">
        <v>302.07</v>
      </c>
      <c r="CS2089" s="340" t="s">
        <v>296</v>
      </c>
      <c r="CT2089" s="1384"/>
      <c r="DF2089" s="340">
        <v>75.05</v>
      </c>
      <c r="DG2089" s="340" t="s">
        <v>340</v>
      </c>
      <c r="DV2089" s="340">
        <v>313.13</v>
      </c>
      <c r="DW2089" s="340" t="s">
        <v>322</v>
      </c>
      <c r="DX2089" s="1671"/>
    </row>
    <row r="2090" spans="12:128">
      <c r="L2090" s="2481">
        <v>77.099999999999994</v>
      </c>
      <c r="M2090" s="340" t="s">
        <v>340</v>
      </c>
      <c r="N2090" s="1390"/>
      <c r="O2090" s="2479"/>
      <c r="P2090" s="2282"/>
      <c r="AG2090" s="2297">
        <v>313.13</v>
      </c>
      <c r="AH2090" s="2297" t="s">
        <v>322</v>
      </c>
      <c r="AI2090" s="1390"/>
      <c r="AJ2090" s="2282"/>
      <c r="AK2090" s="2282"/>
      <c r="AL2090" s="1037"/>
      <c r="AX2090" s="340">
        <v>26</v>
      </c>
      <c r="AY2090" s="340" t="s">
        <v>340</v>
      </c>
      <c r="BN2090" s="340">
        <v>303.02999999999997</v>
      </c>
      <c r="BO2090" s="340" t="s">
        <v>341</v>
      </c>
      <c r="BP2090" s="1385"/>
      <c r="BV2090" s="236">
        <v>24.14</v>
      </c>
      <c r="BW2090" s="236" t="s">
        <v>324</v>
      </c>
      <c r="CB2090" s="340">
        <v>19.18</v>
      </c>
      <c r="CC2090" s="340" t="s">
        <v>340</v>
      </c>
      <c r="CL2090" s="236">
        <v>114.09</v>
      </c>
      <c r="CM2090" s="236" t="s">
        <v>316</v>
      </c>
      <c r="CR2090" s="340">
        <v>302.08</v>
      </c>
      <c r="CS2090" s="340" t="s">
        <v>296</v>
      </c>
      <c r="CT2090" s="1384"/>
      <c r="DF2090" s="340">
        <v>76.03</v>
      </c>
      <c r="DG2090" s="340" t="s">
        <v>340</v>
      </c>
      <c r="DV2090" s="340">
        <v>313.14</v>
      </c>
      <c r="DW2090" s="340" t="s">
        <v>322</v>
      </c>
      <c r="DX2090" s="1671"/>
    </row>
    <row r="2091" spans="12:128">
      <c r="L2091" s="2481">
        <v>77.16</v>
      </c>
      <c r="M2091" s="340" t="s">
        <v>340</v>
      </c>
      <c r="N2091" s="1390"/>
      <c r="O2091" s="2479"/>
      <c r="P2091" s="2282"/>
      <c r="AG2091" s="2297">
        <v>313.14</v>
      </c>
      <c r="AH2091" s="2297" t="s">
        <v>322</v>
      </c>
      <c r="AI2091" s="1390"/>
      <c r="AJ2091" s="2282"/>
      <c r="AK2091" s="2282"/>
      <c r="AL2091" s="1037"/>
      <c r="AX2091" s="340">
        <v>27.02</v>
      </c>
      <c r="AY2091" s="340" t="s">
        <v>340</v>
      </c>
      <c r="BN2091" s="340">
        <v>303.04000000000002</v>
      </c>
      <c r="BO2091" s="340" t="s">
        <v>341</v>
      </c>
      <c r="BP2091" s="1385"/>
      <c r="BV2091" s="236">
        <v>24.15</v>
      </c>
      <c r="BW2091" s="236" t="s">
        <v>324</v>
      </c>
      <c r="CB2091" s="340">
        <v>19.190000000000001</v>
      </c>
      <c r="CC2091" s="340" t="s">
        <v>340</v>
      </c>
      <c r="CL2091" s="236">
        <v>114.09</v>
      </c>
      <c r="CM2091" s="236" t="s">
        <v>331</v>
      </c>
      <c r="CR2091" s="340">
        <v>302.08</v>
      </c>
      <c r="CS2091" s="340" t="s">
        <v>322</v>
      </c>
      <c r="CT2091" s="1384"/>
      <c r="DF2091" s="340">
        <v>76.040000000000006</v>
      </c>
      <c r="DG2091" s="340" t="s">
        <v>340</v>
      </c>
      <c r="DV2091" s="340">
        <v>313.14999999999998</v>
      </c>
      <c r="DW2091" s="340" t="s">
        <v>322</v>
      </c>
      <c r="DX2091" s="1671"/>
    </row>
    <row r="2092" spans="12:128">
      <c r="L2092" s="2481">
        <v>77.209999999999994</v>
      </c>
      <c r="M2092" s="340" t="s">
        <v>340</v>
      </c>
      <c r="N2092" s="1390"/>
      <c r="O2092" s="2479"/>
      <c r="P2092" s="2282"/>
      <c r="AG2092" s="2297">
        <v>313.14999999999998</v>
      </c>
      <c r="AH2092" s="2297" t="s">
        <v>322</v>
      </c>
      <c r="AI2092" s="1390"/>
      <c r="AJ2092" s="2282"/>
      <c r="AK2092" s="2282"/>
      <c r="AL2092" s="1037"/>
      <c r="AX2092" s="340">
        <v>27.03</v>
      </c>
      <c r="AY2092" s="340" t="s">
        <v>340</v>
      </c>
      <c r="BN2092" s="340">
        <v>303.05</v>
      </c>
      <c r="BO2092" s="340" t="s">
        <v>322</v>
      </c>
      <c r="BP2092" s="1385"/>
      <c r="BV2092" s="236">
        <v>24.16</v>
      </c>
      <c r="BW2092" s="236" t="s">
        <v>324</v>
      </c>
      <c r="CB2092" s="340">
        <v>26</v>
      </c>
      <c r="CC2092" s="340" t="s">
        <v>340</v>
      </c>
      <c r="CL2092" s="236">
        <v>114.1</v>
      </c>
      <c r="CM2092" s="236" t="s">
        <v>316</v>
      </c>
      <c r="CR2092" s="340">
        <v>302.08999999999997</v>
      </c>
      <c r="CS2092" s="340" t="s">
        <v>296</v>
      </c>
      <c r="CT2092" s="1384"/>
      <c r="DF2092" s="340">
        <v>76.05</v>
      </c>
      <c r="DG2092" s="340" t="s">
        <v>340</v>
      </c>
      <c r="DV2092" s="340">
        <v>313.16000000000003</v>
      </c>
      <c r="DW2092" s="340" t="s">
        <v>322</v>
      </c>
      <c r="DX2092" s="1671"/>
    </row>
    <row r="2093" spans="12:128">
      <c r="L2093" s="2481">
        <v>77.23</v>
      </c>
      <c r="M2093" s="340" t="s">
        <v>340</v>
      </c>
      <c r="N2093" s="1390"/>
      <c r="O2093" s="2479"/>
      <c r="P2093" s="2282"/>
      <c r="AG2093" s="2297">
        <v>313.16000000000003</v>
      </c>
      <c r="AH2093" s="2297" t="s">
        <v>322</v>
      </c>
      <c r="AI2093" s="1390"/>
      <c r="AJ2093" s="2282"/>
      <c r="AK2093" s="2282"/>
      <c r="AL2093" s="1037"/>
      <c r="AX2093" s="340">
        <v>33</v>
      </c>
      <c r="AY2093" s="340" t="s">
        <v>340</v>
      </c>
      <c r="BN2093" s="340">
        <v>303.06</v>
      </c>
      <c r="BO2093" s="340" t="s">
        <v>296</v>
      </c>
      <c r="BP2093" s="1385"/>
      <c r="BV2093" s="236">
        <v>24.18</v>
      </c>
      <c r="BW2093" s="236" t="s">
        <v>324</v>
      </c>
      <c r="CB2093" s="340">
        <v>27.02</v>
      </c>
      <c r="CC2093" s="340" t="s">
        <v>340</v>
      </c>
      <c r="CL2093" s="236">
        <v>114.1</v>
      </c>
      <c r="CM2093" s="236" t="s">
        <v>331</v>
      </c>
      <c r="CR2093" s="340">
        <v>302.10000000000002</v>
      </c>
      <c r="CS2093" s="340" t="s">
        <v>296</v>
      </c>
      <c r="CT2093" s="1384"/>
      <c r="DF2093" s="340">
        <v>76.099999999999994</v>
      </c>
      <c r="DG2093" s="340" t="s">
        <v>340</v>
      </c>
      <c r="DV2093" s="340">
        <v>313.18</v>
      </c>
      <c r="DW2093" s="340" t="s">
        <v>322</v>
      </c>
      <c r="DX2093" s="1671"/>
    </row>
    <row r="2094" spans="12:128">
      <c r="L2094" s="2481">
        <v>77.239999999999995</v>
      </c>
      <c r="M2094" s="340" t="s">
        <v>340</v>
      </c>
      <c r="N2094" s="1390"/>
      <c r="O2094" s="2479"/>
      <c r="P2094" s="2282"/>
      <c r="AG2094" s="2297">
        <v>313.18</v>
      </c>
      <c r="AH2094" s="2297" t="s">
        <v>322</v>
      </c>
      <c r="AI2094" s="1390"/>
      <c r="AJ2094" s="2282"/>
      <c r="AK2094" s="2282"/>
      <c r="AL2094" s="1037"/>
      <c r="AX2094" s="340">
        <v>34</v>
      </c>
      <c r="AY2094" s="340" t="s">
        <v>340</v>
      </c>
      <c r="BN2094" s="340">
        <v>303.08</v>
      </c>
      <c r="BO2094" s="340" t="s">
        <v>322</v>
      </c>
      <c r="BP2094" s="1385"/>
      <c r="BV2094" s="236">
        <v>24.19</v>
      </c>
      <c r="BW2094" s="236" t="s">
        <v>324</v>
      </c>
      <c r="CB2094" s="340">
        <v>27.03</v>
      </c>
      <c r="CC2094" s="340" t="s">
        <v>340</v>
      </c>
      <c r="CL2094" s="236">
        <v>114.11</v>
      </c>
      <c r="CM2094" s="236" t="s">
        <v>316</v>
      </c>
      <c r="CR2094" s="340">
        <v>302.11</v>
      </c>
      <c r="CS2094" s="340" t="s">
        <v>322</v>
      </c>
      <c r="CT2094" s="1384"/>
      <c r="DF2094" s="340">
        <v>76.12</v>
      </c>
      <c r="DG2094" s="340" t="s">
        <v>340</v>
      </c>
      <c r="DV2094" s="340">
        <v>313.19</v>
      </c>
      <c r="DW2094" s="340" t="s">
        <v>322</v>
      </c>
      <c r="DX2094" s="1671"/>
    </row>
    <row r="2095" spans="12:128">
      <c r="L2095" s="2481">
        <v>77.25</v>
      </c>
      <c r="M2095" s="340" t="s">
        <v>340</v>
      </c>
      <c r="N2095" s="1390"/>
      <c r="O2095" s="2479"/>
      <c r="P2095" s="2282"/>
      <c r="AG2095" s="2297">
        <v>313.19</v>
      </c>
      <c r="AH2095" s="2297" t="s">
        <v>322</v>
      </c>
      <c r="AI2095" s="1390"/>
      <c r="AJ2095" s="2282"/>
      <c r="AK2095" s="2282"/>
      <c r="AL2095" s="1037"/>
      <c r="AX2095" s="340">
        <v>35.07</v>
      </c>
      <c r="AY2095" s="340" t="s">
        <v>340</v>
      </c>
      <c r="BN2095" s="340">
        <v>304.01</v>
      </c>
      <c r="BO2095" s="340" t="s">
        <v>294</v>
      </c>
      <c r="BP2095" s="1385"/>
      <c r="BV2095" s="236">
        <v>24.2</v>
      </c>
      <c r="BW2095" s="236" t="s">
        <v>324</v>
      </c>
      <c r="CB2095" s="340">
        <v>33</v>
      </c>
      <c r="CC2095" s="340" t="s">
        <v>340</v>
      </c>
      <c r="CL2095" s="236">
        <v>114.11</v>
      </c>
      <c r="CM2095" s="236" t="s">
        <v>331</v>
      </c>
      <c r="CR2095" s="340">
        <v>303</v>
      </c>
      <c r="CS2095" s="340" t="s">
        <v>323</v>
      </c>
      <c r="CT2095" s="1384"/>
      <c r="DF2095" s="340">
        <v>76.13</v>
      </c>
      <c r="DG2095" s="340" t="s">
        <v>340</v>
      </c>
      <c r="DV2095" s="340">
        <v>313.2</v>
      </c>
      <c r="DW2095" s="340" t="s">
        <v>322</v>
      </c>
      <c r="DX2095" s="1671"/>
    </row>
    <row r="2096" spans="12:128">
      <c r="L2096" s="2481">
        <v>77.3</v>
      </c>
      <c r="M2096" s="340" t="s">
        <v>340</v>
      </c>
      <c r="N2096" s="1390"/>
      <c r="O2096" s="2479"/>
      <c r="P2096" s="2282"/>
      <c r="AG2096" s="2297">
        <v>313.2</v>
      </c>
      <c r="AH2096" s="2297" t="s">
        <v>322</v>
      </c>
      <c r="AI2096" s="1390"/>
      <c r="AJ2096" s="2282"/>
      <c r="AK2096" s="2282"/>
      <c r="AL2096" s="1037"/>
      <c r="AX2096" s="340">
        <v>35.130000000000003</v>
      </c>
      <c r="AY2096" s="340" t="s">
        <v>340</v>
      </c>
      <c r="BN2096" s="340">
        <v>304.02</v>
      </c>
      <c r="BO2096" s="340" t="s">
        <v>294</v>
      </c>
      <c r="BP2096" s="1385"/>
      <c r="BV2096" s="236">
        <v>24.21</v>
      </c>
      <c r="BW2096" s="236" t="s">
        <v>324</v>
      </c>
      <c r="CB2096" s="340">
        <v>34</v>
      </c>
      <c r="CC2096" s="340" t="s">
        <v>340</v>
      </c>
      <c r="CL2096" s="236">
        <v>114.12</v>
      </c>
      <c r="CM2096" s="236" t="s">
        <v>316</v>
      </c>
      <c r="CR2096" s="340">
        <v>303.01</v>
      </c>
      <c r="CS2096" s="340" t="s">
        <v>294</v>
      </c>
      <c r="CT2096" s="1384"/>
      <c r="DF2096" s="340">
        <v>76.14</v>
      </c>
      <c r="DG2096" s="340" t="s">
        <v>340</v>
      </c>
      <c r="DV2096" s="340">
        <v>313.20999999999998</v>
      </c>
      <c r="DW2096" s="340" t="s">
        <v>322</v>
      </c>
      <c r="DX2096" s="1671"/>
    </row>
    <row r="2097" spans="12:128">
      <c r="L2097" s="2481">
        <v>77.31</v>
      </c>
      <c r="M2097" s="340" t="s">
        <v>340</v>
      </c>
      <c r="N2097" s="1390"/>
      <c r="O2097" s="2479"/>
      <c r="P2097" s="2282"/>
      <c r="AG2097" s="2297">
        <v>313.20999999999998</v>
      </c>
      <c r="AH2097" s="2297" t="s">
        <v>322</v>
      </c>
      <c r="AI2097" s="1390"/>
      <c r="AJ2097" s="2282"/>
      <c r="AK2097" s="2282"/>
      <c r="AL2097" s="1037"/>
      <c r="AX2097" s="340">
        <v>35.14</v>
      </c>
      <c r="AY2097" s="340" t="s">
        <v>340</v>
      </c>
      <c r="BN2097" s="340">
        <v>304.04000000000002</v>
      </c>
      <c r="BO2097" s="340" t="s">
        <v>341</v>
      </c>
      <c r="BP2097" s="1385"/>
      <c r="BV2097" s="236">
        <v>24.22</v>
      </c>
      <c r="BW2097" s="236" t="s">
        <v>324</v>
      </c>
      <c r="CB2097" s="340">
        <v>35.07</v>
      </c>
      <c r="CC2097" s="340" t="s">
        <v>340</v>
      </c>
      <c r="CL2097" s="236">
        <v>114.12</v>
      </c>
      <c r="CM2097" s="236" t="s">
        <v>331</v>
      </c>
      <c r="CR2097" s="340">
        <v>303.02999999999997</v>
      </c>
      <c r="CS2097" s="340" t="s">
        <v>341</v>
      </c>
      <c r="CT2097" s="1384"/>
      <c r="DF2097" s="340">
        <v>76.150000000000006</v>
      </c>
      <c r="DG2097" s="340" t="s">
        <v>340</v>
      </c>
      <c r="DV2097" s="340">
        <v>313.22000000000003</v>
      </c>
      <c r="DW2097" s="340" t="s">
        <v>322</v>
      </c>
      <c r="DX2097" s="1671"/>
    </row>
    <row r="2098" spans="12:128">
      <c r="L2098" s="2481">
        <v>77.349999999999994</v>
      </c>
      <c r="M2098" s="340" t="s">
        <v>340</v>
      </c>
      <c r="N2098" s="1390"/>
      <c r="O2098" s="2479"/>
      <c r="P2098" s="2282"/>
      <c r="AG2098" s="2297">
        <v>313.22000000000003</v>
      </c>
      <c r="AH2098" s="2297" t="s">
        <v>322</v>
      </c>
      <c r="AI2098" s="1390"/>
      <c r="AJ2098" s="2282"/>
      <c r="AK2098" s="2282"/>
      <c r="AL2098" s="1037"/>
      <c r="AX2098" s="340">
        <v>36</v>
      </c>
      <c r="AY2098" s="340" t="s">
        <v>340</v>
      </c>
      <c r="BN2098" s="340">
        <v>304.05</v>
      </c>
      <c r="BO2098" s="340" t="s">
        <v>322</v>
      </c>
      <c r="BP2098" s="1385"/>
      <c r="BV2098" s="236">
        <v>24.23</v>
      </c>
      <c r="BW2098" s="236" t="s">
        <v>324</v>
      </c>
      <c r="CB2098" s="340">
        <v>35.119999999999997</v>
      </c>
      <c r="CC2098" s="340" t="s">
        <v>340</v>
      </c>
      <c r="CL2098" s="236">
        <v>114.13</v>
      </c>
      <c r="CM2098" s="236" t="s">
        <v>316</v>
      </c>
      <c r="CR2098" s="340">
        <v>303.04000000000002</v>
      </c>
      <c r="CS2098" s="340" t="s">
        <v>341</v>
      </c>
      <c r="CT2098" s="1384"/>
      <c r="DF2098" s="340">
        <v>76.16</v>
      </c>
      <c r="DG2098" s="340" t="s">
        <v>340</v>
      </c>
      <c r="DV2098" s="340">
        <v>313.23</v>
      </c>
      <c r="DW2098" s="340" t="s">
        <v>322</v>
      </c>
      <c r="DX2098" s="1671"/>
    </row>
    <row r="2099" spans="12:128">
      <c r="L2099" s="2481">
        <v>77.36</v>
      </c>
      <c r="M2099" s="340" t="s">
        <v>340</v>
      </c>
      <c r="N2099" s="1390"/>
      <c r="O2099" s="2479"/>
      <c r="P2099" s="2282"/>
      <c r="AG2099" s="2297">
        <v>313.23</v>
      </c>
      <c r="AH2099" s="2297" t="s">
        <v>322</v>
      </c>
      <c r="AI2099" s="1390"/>
      <c r="AJ2099" s="2282"/>
      <c r="AK2099" s="2282"/>
      <c r="AL2099" s="1037"/>
      <c r="AX2099" s="340">
        <v>38.020000000000003</v>
      </c>
      <c r="AY2099" s="340" t="s">
        <v>340</v>
      </c>
      <c r="BN2099" s="340">
        <v>304.07</v>
      </c>
      <c r="BO2099" s="340" t="s">
        <v>341</v>
      </c>
      <c r="BP2099" s="1385"/>
      <c r="BV2099" s="236">
        <v>25.05</v>
      </c>
      <c r="BW2099" s="236" t="s">
        <v>324</v>
      </c>
      <c r="CB2099" s="340">
        <v>35.14</v>
      </c>
      <c r="CC2099" s="340" t="s">
        <v>340</v>
      </c>
      <c r="CL2099" s="236">
        <v>114.14</v>
      </c>
      <c r="CM2099" s="236" t="s">
        <v>316</v>
      </c>
      <c r="CR2099" s="340">
        <v>303.06</v>
      </c>
      <c r="CS2099" s="340" t="s">
        <v>296</v>
      </c>
      <c r="CT2099" s="1384"/>
      <c r="DF2099" s="340">
        <v>76.19</v>
      </c>
      <c r="DG2099" s="340" t="s">
        <v>340</v>
      </c>
      <c r="DV2099" s="340">
        <v>313.24</v>
      </c>
      <c r="DW2099" s="340" t="s">
        <v>322</v>
      </c>
      <c r="DX2099" s="1671"/>
    </row>
    <row r="2100" spans="12:128">
      <c r="L2100" s="2481">
        <v>77.38</v>
      </c>
      <c r="M2100" s="340" t="s">
        <v>340</v>
      </c>
      <c r="N2100" s="1390"/>
      <c r="O2100" s="2479"/>
      <c r="P2100" s="2282"/>
      <c r="AG2100" s="2297">
        <v>313.24</v>
      </c>
      <c r="AH2100" s="2297" t="s">
        <v>322</v>
      </c>
      <c r="AI2100" s="1390"/>
      <c r="AJ2100" s="2282"/>
      <c r="AK2100" s="2282"/>
      <c r="AL2100" s="1037"/>
      <c r="AX2100" s="340">
        <v>42.05</v>
      </c>
      <c r="AY2100" s="340" t="s">
        <v>340</v>
      </c>
      <c r="BN2100" s="340">
        <v>304.08</v>
      </c>
      <c r="BO2100" s="340" t="s">
        <v>322</v>
      </c>
      <c r="BP2100" s="1385"/>
      <c r="BV2100" s="236">
        <v>25.07</v>
      </c>
      <c r="BW2100" s="236" t="s">
        <v>324</v>
      </c>
      <c r="CB2100" s="340">
        <v>36</v>
      </c>
      <c r="CC2100" s="340" t="s">
        <v>340</v>
      </c>
      <c r="CL2100" s="236">
        <v>114.15</v>
      </c>
      <c r="CM2100" s="236" t="s">
        <v>316</v>
      </c>
      <c r="CR2100" s="340">
        <v>304.02</v>
      </c>
      <c r="CS2100" s="340" t="s">
        <v>294</v>
      </c>
      <c r="CT2100" s="1384"/>
      <c r="DF2100" s="340">
        <v>76.23</v>
      </c>
      <c r="DG2100" s="340" t="s">
        <v>340</v>
      </c>
      <c r="DV2100" s="340">
        <v>314.10000000000002</v>
      </c>
      <c r="DW2100" s="340" t="s">
        <v>341</v>
      </c>
      <c r="DX2100" s="1671"/>
    </row>
    <row r="2101" spans="12:128">
      <c r="L2101" s="2481">
        <v>77.400000000000006</v>
      </c>
      <c r="M2101" s="340" t="s">
        <v>340</v>
      </c>
      <c r="N2101" s="1390"/>
      <c r="O2101" s="2479"/>
      <c r="P2101" s="2282"/>
      <c r="AG2101" s="2297">
        <v>314.10000000000002</v>
      </c>
      <c r="AH2101" s="2297" t="s">
        <v>341</v>
      </c>
      <c r="AI2101" s="1390"/>
      <c r="AJ2101" s="2282"/>
      <c r="AK2101" s="2282"/>
      <c r="AL2101" s="1037"/>
      <c r="AX2101" s="340">
        <v>43</v>
      </c>
      <c r="AY2101" s="340" t="s">
        <v>340</v>
      </c>
      <c r="BN2101" s="340">
        <v>304.10000000000002</v>
      </c>
      <c r="BO2101" s="340" t="s">
        <v>322</v>
      </c>
      <c r="BP2101" s="1385"/>
      <c r="BV2101" s="236">
        <v>25.09</v>
      </c>
      <c r="BW2101" s="236" t="s">
        <v>324</v>
      </c>
      <c r="CB2101" s="340">
        <v>42.05</v>
      </c>
      <c r="CC2101" s="340" t="s">
        <v>340</v>
      </c>
      <c r="CL2101" s="236">
        <v>114.16</v>
      </c>
      <c r="CM2101" s="236" t="s">
        <v>316</v>
      </c>
      <c r="CR2101" s="340">
        <v>304.04000000000002</v>
      </c>
      <c r="CS2101" s="340" t="s">
        <v>341</v>
      </c>
      <c r="CT2101" s="1384"/>
      <c r="DF2101" s="340">
        <v>76.239999999999995</v>
      </c>
      <c r="DG2101" s="340" t="s">
        <v>340</v>
      </c>
      <c r="DV2101" s="340">
        <v>314.11</v>
      </c>
      <c r="DW2101" s="340" t="s">
        <v>341</v>
      </c>
      <c r="DX2101" s="1671"/>
    </row>
    <row r="2102" spans="12:128">
      <c r="L2102" s="2481">
        <v>77.42</v>
      </c>
      <c r="M2102" s="340" t="s">
        <v>340</v>
      </c>
      <c r="N2102" s="1390"/>
      <c r="O2102" s="2479"/>
      <c r="P2102" s="2282"/>
      <c r="AG2102" s="2297">
        <v>314.11</v>
      </c>
      <c r="AH2102" s="2297" t="s">
        <v>341</v>
      </c>
      <c r="AI2102" s="1390"/>
      <c r="AJ2102" s="2282"/>
      <c r="AK2102" s="2282"/>
      <c r="AL2102" s="1037"/>
      <c r="AX2102" s="340">
        <v>44.01</v>
      </c>
      <c r="AY2102" s="340" t="s">
        <v>340</v>
      </c>
      <c r="BN2102" s="340">
        <v>305.01</v>
      </c>
      <c r="BO2102" s="340" t="s">
        <v>294</v>
      </c>
      <c r="BP2102" s="1385"/>
      <c r="BV2102" s="236">
        <v>25.11</v>
      </c>
      <c r="BW2102" s="236" t="s">
        <v>324</v>
      </c>
      <c r="CB2102" s="340">
        <v>42.06</v>
      </c>
      <c r="CC2102" s="340" t="s">
        <v>340</v>
      </c>
      <c r="CL2102" s="236">
        <v>114.17</v>
      </c>
      <c r="CM2102" s="236" t="s">
        <v>316</v>
      </c>
      <c r="CR2102" s="340">
        <v>304.07</v>
      </c>
      <c r="CS2102" s="340" t="s">
        <v>341</v>
      </c>
      <c r="CT2102" s="1384"/>
      <c r="DF2102" s="340">
        <v>77.05</v>
      </c>
      <c r="DG2102" s="340" t="s">
        <v>340</v>
      </c>
      <c r="DV2102" s="340">
        <v>315.02999999999997</v>
      </c>
      <c r="DW2102" s="340" t="s">
        <v>341</v>
      </c>
      <c r="DX2102" s="1671"/>
    </row>
    <row r="2103" spans="12:128">
      <c r="L2103" s="2481">
        <v>77.430000000000007</v>
      </c>
      <c r="M2103" s="340" t="s">
        <v>340</v>
      </c>
      <c r="N2103" s="1390"/>
      <c r="O2103" s="2479"/>
      <c r="P2103" s="2282"/>
      <c r="AG2103" s="2297">
        <v>315.02999999999997</v>
      </c>
      <c r="AH2103" s="2297" t="s">
        <v>341</v>
      </c>
      <c r="AI2103" s="1390"/>
      <c r="AJ2103" s="2282"/>
      <c r="AK2103" s="2282"/>
      <c r="AL2103" s="1037"/>
      <c r="AX2103" s="340">
        <v>47.02</v>
      </c>
      <c r="AY2103" s="340" t="s">
        <v>340</v>
      </c>
      <c r="BN2103" s="340">
        <v>305.04000000000002</v>
      </c>
      <c r="BO2103" s="340" t="s">
        <v>294</v>
      </c>
      <c r="BP2103" s="1385"/>
      <c r="BV2103" s="236">
        <v>25.12</v>
      </c>
      <c r="BW2103" s="236" t="s">
        <v>324</v>
      </c>
      <c r="CB2103" s="340">
        <v>43</v>
      </c>
      <c r="CC2103" s="340" t="s">
        <v>340</v>
      </c>
      <c r="CL2103" s="236">
        <v>114.18</v>
      </c>
      <c r="CM2103" s="236" t="s">
        <v>316</v>
      </c>
      <c r="CR2103" s="340">
        <v>304.08</v>
      </c>
      <c r="CS2103" s="340" t="s">
        <v>322</v>
      </c>
      <c r="CT2103" s="1384"/>
      <c r="DF2103" s="340">
        <v>77.099999999999994</v>
      </c>
      <c r="DG2103" s="340" t="s">
        <v>340</v>
      </c>
      <c r="DV2103" s="340">
        <v>315.04000000000002</v>
      </c>
      <c r="DW2103" s="340" t="s">
        <v>341</v>
      </c>
      <c r="DX2103" s="1671"/>
    </row>
    <row r="2104" spans="12:128">
      <c r="L2104" s="2481">
        <v>77.48</v>
      </c>
      <c r="M2104" s="340" t="s">
        <v>340</v>
      </c>
      <c r="N2104" s="1390"/>
      <c r="O2104" s="2479"/>
      <c r="P2104" s="2282"/>
      <c r="AG2104" s="2297">
        <v>315.04000000000002</v>
      </c>
      <c r="AH2104" s="2297" t="s">
        <v>341</v>
      </c>
      <c r="AI2104" s="1390"/>
      <c r="AJ2104" s="2282"/>
      <c r="AK2104" s="2282"/>
      <c r="AL2104" s="1037"/>
      <c r="AX2104" s="340">
        <v>48.15</v>
      </c>
      <c r="AY2104" s="340" t="s">
        <v>340</v>
      </c>
      <c r="BN2104" s="340">
        <v>305.05</v>
      </c>
      <c r="BO2104" s="340" t="s">
        <v>294</v>
      </c>
      <c r="BP2104" s="1385"/>
      <c r="BV2104" s="236">
        <v>25.13</v>
      </c>
      <c r="BW2104" s="236" t="s">
        <v>324</v>
      </c>
      <c r="CB2104" s="340">
        <v>44.01</v>
      </c>
      <c r="CC2104" s="340" t="s">
        <v>340</v>
      </c>
      <c r="CL2104" s="236">
        <v>115</v>
      </c>
      <c r="CM2104" s="236" t="s">
        <v>302</v>
      </c>
      <c r="CR2104" s="340">
        <v>304.10000000000002</v>
      </c>
      <c r="CS2104" s="340" t="s">
        <v>322</v>
      </c>
      <c r="CT2104" s="1384"/>
      <c r="DF2104" s="340">
        <v>77.16</v>
      </c>
      <c r="DG2104" s="340" t="s">
        <v>340</v>
      </c>
      <c r="DV2104" s="340">
        <v>315.05</v>
      </c>
      <c r="DW2104" s="340" t="s">
        <v>341</v>
      </c>
      <c r="DX2104" s="1671"/>
    </row>
    <row r="2105" spans="12:128">
      <c r="L2105" s="2481">
        <v>77.489999999999995</v>
      </c>
      <c r="M2105" s="340" t="s">
        <v>340</v>
      </c>
      <c r="N2105" s="1390"/>
      <c r="O2105" s="2479"/>
      <c r="P2105" s="2282"/>
      <c r="AG2105" s="2297">
        <v>315.06</v>
      </c>
      <c r="AH2105" s="2297" t="s">
        <v>341</v>
      </c>
      <c r="AI2105" s="1390"/>
      <c r="AJ2105" s="2282"/>
      <c r="AK2105" s="2282"/>
      <c r="AL2105" s="1037"/>
      <c r="AX2105" s="340">
        <v>48.16</v>
      </c>
      <c r="AY2105" s="340" t="s">
        <v>340</v>
      </c>
      <c r="BN2105" s="340">
        <v>305.06</v>
      </c>
      <c r="BO2105" s="340" t="s">
        <v>322</v>
      </c>
      <c r="BP2105" s="1385"/>
      <c r="BV2105" s="236">
        <v>25.14</v>
      </c>
      <c r="BW2105" s="236" t="s">
        <v>324</v>
      </c>
      <c r="CB2105" s="340">
        <v>47.02</v>
      </c>
      <c r="CC2105" s="340" t="s">
        <v>340</v>
      </c>
      <c r="CL2105" s="236">
        <v>115</v>
      </c>
      <c r="CM2105" s="236" t="s">
        <v>331</v>
      </c>
      <c r="CR2105" s="340">
        <v>305</v>
      </c>
      <c r="CS2105" s="340" t="s">
        <v>296</v>
      </c>
      <c r="CT2105" s="1384"/>
      <c r="DF2105" s="340">
        <v>77.209999999999994</v>
      </c>
      <c r="DG2105" s="340" t="s">
        <v>340</v>
      </c>
      <c r="DV2105" s="340">
        <v>315.06</v>
      </c>
      <c r="DW2105" s="340" t="s">
        <v>341</v>
      </c>
      <c r="DX2105" s="1671"/>
    </row>
    <row r="2106" spans="12:128">
      <c r="L2106" s="2481">
        <v>77.510000000000005</v>
      </c>
      <c r="M2106" s="340" t="s">
        <v>340</v>
      </c>
      <c r="N2106" s="1390"/>
      <c r="O2106" s="2479"/>
      <c r="P2106" s="2282"/>
      <c r="AG2106" s="2297">
        <v>315.07</v>
      </c>
      <c r="AH2106" s="2297" t="s">
        <v>341</v>
      </c>
      <c r="AI2106" s="1390"/>
      <c r="AJ2106" s="2282"/>
      <c r="AK2106" s="2282"/>
      <c r="AL2106" s="1037"/>
      <c r="AX2106" s="340">
        <v>48.21</v>
      </c>
      <c r="AY2106" s="340" t="s">
        <v>340</v>
      </c>
      <c r="BN2106" s="340">
        <v>305.07</v>
      </c>
      <c r="BO2106" s="340" t="s">
        <v>294</v>
      </c>
      <c r="BP2106" s="1385"/>
      <c r="BV2106" s="236">
        <v>25.15</v>
      </c>
      <c r="BW2106" s="236" t="s">
        <v>324</v>
      </c>
      <c r="CB2106" s="340">
        <v>48.13</v>
      </c>
      <c r="CC2106" s="340" t="s">
        <v>340</v>
      </c>
      <c r="CL2106" s="236">
        <v>115.01</v>
      </c>
      <c r="CM2106" s="236" t="s">
        <v>344</v>
      </c>
      <c r="CR2106" s="340">
        <v>305.01</v>
      </c>
      <c r="CS2106" s="340" t="s">
        <v>294</v>
      </c>
      <c r="CT2106" s="1384"/>
      <c r="DF2106" s="340">
        <v>77.23</v>
      </c>
      <c r="DG2106" s="340" t="s">
        <v>340</v>
      </c>
      <c r="DV2106" s="340">
        <v>315.07</v>
      </c>
      <c r="DW2106" s="340" t="s">
        <v>341</v>
      </c>
      <c r="DX2106" s="1671"/>
    </row>
    <row r="2107" spans="12:128">
      <c r="L2107" s="2481">
        <v>77.52</v>
      </c>
      <c r="M2107" s="340" t="s">
        <v>340</v>
      </c>
      <c r="N2107" s="1390"/>
      <c r="O2107" s="2479"/>
      <c r="P2107" s="2282"/>
      <c r="AG2107" s="2297">
        <v>315.08</v>
      </c>
      <c r="AH2107" s="2297" t="s">
        <v>341</v>
      </c>
      <c r="AI2107" s="1390"/>
      <c r="AJ2107" s="2282"/>
      <c r="AK2107" s="2282"/>
      <c r="AL2107" s="1037"/>
      <c r="AX2107" s="340">
        <v>48.23</v>
      </c>
      <c r="AY2107" s="340" t="s">
        <v>340</v>
      </c>
      <c r="BN2107" s="340">
        <v>306</v>
      </c>
      <c r="BO2107" s="340" t="s">
        <v>296</v>
      </c>
      <c r="BP2107" s="1385"/>
      <c r="BV2107" s="236">
        <v>25.16</v>
      </c>
      <c r="BW2107" s="236" t="s">
        <v>324</v>
      </c>
      <c r="CB2107" s="340">
        <v>48.21</v>
      </c>
      <c r="CC2107" s="340" t="s">
        <v>340</v>
      </c>
      <c r="CL2107" s="236">
        <v>115.02</v>
      </c>
      <c r="CM2107" s="236" t="s">
        <v>344</v>
      </c>
      <c r="CR2107" s="340">
        <v>305.04000000000002</v>
      </c>
      <c r="CS2107" s="340" t="s">
        <v>294</v>
      </c>
      <c r="CT2107" s="1384"/>
      <c r="DF2107" s="340">
        <v>77.239999999999995</v>
      </c>
      <c r="DG2107" s="340" t="s">
        <v>340</v>
      </c>
      <c r="DV2107" s="340">
        <v>315.08</v>
      </c>
      <c r="DW2107" s="340" t="s">
        <v>341</v>
      </c>
      <c r="DX2107" s="1671"/>
    </row>
    <row r="2108" spans="12:128">
      <c r="L2108" s="2481">
        <v>77.540000000000006</v>
      </c>
      <c r="M2108" s="340" t="s">
        <v>340</v>
      </c>
      <c r="N2108" s="1390"/>
      <c r="O2108" s="2479"/>
      <c r="P2108" s="2282"/>
      <c r="AG2108" s="2297">
        <v>316.01</v>
      </c>
      <c r="AH2108" s="2297" t="s">
        <v>341</v>
      </c>
      <c r="AI2108" s="1390"/>
      <c r="AJ2108" s="2282"/>
      <c r="AK2108" s="2282"/>
      <c r="AL2108" s="1037"/>
      <c r="AX2108" s="340">
        <v>49.02</v>
      </c>
      <c r="AY2108" s="340" t="s">
        <v>340</v>
      </c>
      <c r="BN2108" s="340">
        <v>307.01</v>
      </c>
      <c r="BO2108" s="340" t="s">
        <v>296</v>
      </c>
      <c r="BP2108" s="1385"/>
      <c r="BV2108" s="236">
        <v>25.17</v>
      </c>
      <c r="BW2108" s="236" t="s">
        <v>324</v>
      </c>
      <c r="CB2108" s="340">
        <v>48.23</v>
      </c>
      <c r="CC2108" s="340" t="s">
        <v>340</v>
      </c>
      <c r="CL2108" s="236">
        <v>115.04</v>
      </c>
      <c r="CM2108" s="236" t="s">
        <v>316</v>
      </c>
      <c r="CR2108" s="340">
        <v>305.05</v>
      </c>
      <c r="CS2108" s="340" t="s">
        <v>294</v>
      </c>
      <c r="CT2108" s="1384"/>
      <c r="DF2108" s="340">
        <v>77.3</v>
      </c>
      <c r="DG2108" s="340" t="s">
        <v>340</v>
      </c>
      <c r="DV2108" s="340">
        <v>316.01</v>
      </c>
      <c r="DW2108" s="340" t="s">
        <v>341</v>
      </c>
      <c r="DX2108" s="1671"/>
    </row>
    <row r="2109" spans="12:128">
      <c r="L2109" s="2481">
        <v>77.569999999999993</v>
      </c>
      <c r="M2109" s="340" t="s">
        <v>340</v>
      </c>
      <c r="N2109" s="1390"/>
      <c r="O2109" s="2479"/>
      <c r="P2109" s="2282"/>
      <c r="AG2109" s="2297">
        <v>316.02</v>
      </c>
      <c r="AH2109" s="2297" t="s">
        <v>341</v>
      </c>
      <c r="AI2109" s="1390"/>
      <c r="AJ2109" s="2282"/>
      <c r="AK2109" s="2282"/>
      <c r="AL2109" s="1037"/>
      <c r="AX2109" s="340">
        <v>53</v>
      </c>
      <c r="AY2109" s="340" t="s">
        <v>340</v>
      </c>
      <c r="BN2109" s="340">
        <v>307.01</v>
      </c>
      <c r="BO2109" s="340" t="s">
        <v>322</v>
      </c>
      <c r="BP2109" s="1385"/>
      <c r="BV2109" s="236">
        <v>26.03</v>
      </c>
      <c r="BW2109" s="236" t="s">
        <v>324</v>
      </c>
      <c r="CB2109" s="340">
        <v>49.02</v>
      </c>
      <c r="CC2109" s="340" t="s">
        <v>340</v>
      </c>
      <c r="CL2109" s="236">
        <v>115.06</v>
      </c>
      <c r="CM2109" s="236" t="s">
        <v>316</v>
      </c>
      <c r="CR2109" s="340">
        <v>305.06</v>
      </c>
      <c r="CS2109" s="340" t="s">
        <v>322</v>
      </c>
      <c r="CT2109" s="1384"/>
      <c r="DF2109" s="340">
        <v>77.31</v>
      </c>
      <c r="DG2109" s="340" t="s">
        <v>340</v>
      </c>
      <c r="DV2109" s="340">
        <v>316.02</v>
      </c>
      <c r="DW2109" s="340" t="s">
        <v>341</v>
      </c>
      <c r="DX2109" s="1671"/>
    </row>
    <row r="2110" spans="12:128">
      <c r="L2110" s="2481">
        <v>77.58</v>
      </c>
      <c r="M2110" s="340" t="s">
        <v>340</v>
      </c>
      <c r="N2110" s="1390"/>
      <c r="O2110" s="2479"/>
      <c r="P2110" s="2282"/>
      <c r="AG2110" s="2297">
        <v>316.02999999999997</v>
      </c>
      <c r="AH2110" s="2297" t="s">
        <v>341</v>
      </c>
      <c r="AI2110" s="1390"/>
      <c r="AJ2110" s="2282"/>
      <c r="AK2110" s="2282"/>
      <c r="AL2110" s="1037"/>
      <c r="AX2110" s="340">
        <v>54.11</v>
      </c>
      <c r="AY2110" s="340" t="s">
        <v>340</v>
      </c>
      <c r="BN2110" s="340">
        <v>307.02</v>
      </c>
      <c r="BO2110" s="340" t="s">
        <v>289</v>
      </c>
      <c r="BP2110" s="1385"/>
      <c r="BV2110" s="236">
        <v>26.04</v>
      </c>
      <c r="BW2110" s="236" t="s">
        <v>324</v>
      </c>
      <c r="CB2110" s="340">
        <v>54.11</v>
      </c>
      <c r="CC2110" s="340" t="s">
        <v>340</v>
      </c>
      <c r="CL2110" s="236">
        <v>115.09</v>
      </c>
      <c r="CM2110" s="236" t="s">
        <v>316</v>
      </c>
      <c r="CR2110" s="340">
        <v>305.07</v>
      </c>
      <c r="CS2110" s="340" t="s">
        <v>294</v>
      </c>
      <c r="CT2110" s="1384"/>
      <c r="DF2110" s="340">
        <v>77.349999999999994</v>
      </c>
      <c r="DG2110" s="340" t="s">
        <v>340</v>
      </c>
      <c r="DV2110" s="340">
        <v>316.02999999999997</v>
      </c>
      <c r="DW2110" s="340" t="s">
        <v>341</v>
      </c>
      <c r="DX2110" s="1671"/>
    </row>
    <row r="2111" spans="12:128">
      <c r="L2111" s="2481">
        <v>77.59</v>
      </c>
      <c r="M2111" s="340" t="s">
        <v>340</v>
      </c>
      <c r="N2111" s="1390"/>
      <c r="O2111" s="2479"/>
      <c r="P2111" s="2282"/>
      <c r="AG2111" s="2297">
        <v>316.04000000000002</v>
      </c>
      <c r="AH2111" s="2297" t="s">
        <v>341</v>
      </c>
      <c r="AI2111" s="1390"/>
      <c r="AJ2111" s="2282"/>
      <c r="AK2111" s="2282"/>
      <c r="AL2111" s="1037"/>
      <c r="AX2111" s="340">
        <v>54.12</v>
      </c>
      <c r="AY2111" s="340" t="s">
        <v>340</v>
      </c>
      <c r="BN2111" s="340">
        <v>307.04000000000002</v>
      </c>
      <c r="BO2111" s="340" t="s">
        <v>289</v>
      </c>
      <c r="BP2111" s="1385"/>
      <c r="BV2111" s="236">
        <v>26.05</v>
      </c>
      <c r="BW2111" s="236" t="s">
        <v>324</v>
      </c>
      <c r="CB2111" s="340">
        <v>54.12</v>
      </c>
      <c r="CC2111" s="340" t="s">
        <v>340</v>
      </c>
      <c r="CL2111" s="236">
        <v>115.1</v>
      </c>
      <c r="CM2111" s="236" t="s">
        <v>316</v>
      </c>
      <c r="CR2111" s="340">
        <v>307.01</v>
      </c>
      <c r="CS2111" s="340" t="s">
        <v>296</v>
      </c>
      <c r="CT2111" s="1384"/>
      <c r="DF2111" s="340">
        <v>77.36</v>
      </c>
      <c r="DG2111" s="340" t="s">
        <v>340</v>
      </c>
      <c r="DV2111" s="340">
        <v>316.04000000000002</v>
      </c>
      <c r="DW2111" s="340" t="s">
        <v>341</v>
      </c>
      <c r="DX2111" s="1671"/>
    </row>
    <row r="2112" spans="12:128">
      <c r="L2112" s="2481">
        <v>77.63</v>
      </c>
      <c r="M2112" s="340" t="s">
        <v>340</v>
      </c>
      <c r="N2112" s="1390"/>
      <c r="O2112" s="2479"/>
      <c r="P2112" s="2282"/>
      <c r="AG2112" s="2297">
        <v>316.05</v>
      </c>
      <c r="AH2112" s="2297" t="s">
        <v>341</v>
      </c>
      <c r="AI2112" s="1390"/>
      <c r="AJ2112" s="2282"/>
      <c r="AK2112" s="2282"/>
      <c r="AL2112" s="1037"/>
      <c r="AX2112" s="340">
        <v>54.13</v>
      </c>
      <c r="AY2112" s="340" t="s">
        <v>340</v>
      </c>
      <c r="BN2112" s="340">
        <v>307.04000000000002</v>
      </c>
      <c r="BO2112" s="340" t="s">
        <v>296</v>
      </c>
      <c r="BP2112" s="1385"/>
      <c r="BV2112" s="236">
        <v>26.06</v>
      </c>
      <c r="BW2112" s="236" t="s">
        <v>324</v>
      </c>
      <c r="CB2112" s="340">
        <v>54.13</v>
      </c>
      <c r="CC2112" s="340" t="s">
        <v>340</v>
      </c>
      <c r="CL2112" s="236">
        <v>115.12</v>
      </c>
      <c r="CM2112" s="236" t="s">
        <v>316</v>
      </c>
      <c r="CR2112" s="340">
        <v>307.01</v>
      </c>
      <c r="CS2112" s="340" t="s">
        <v>322</v>
      </c>
      <c r="CT2112" s="1384"/>
      <c r="DF2112" s="340">
        <v>77.38</v>
      </c>
      <c r="DG2112" s="340" t="s">
        <v>340</v>
      </c>
      <c r="DV2112" s="340">
        <v>316.05</v>
      </c>
      <c r="DW2112" s="340" t="s">
        <v>341</v>
      </c>
      <c r="DX2112" s="1671"/>
    </row>
    <row r="2113" spans="12:128">
      <c r="L2113" s="2481">
        <v>77.64</v>
      </c>
      <c r="M2113" s="340" t="s">
        <v>340</v>
      </c>
      <c r="N2113" s="1390"/>
      <c r="O2113" s="2479"/>
      <c r="P2113" s="2282"/>
      <c r="AG2113" s="2297">
        <v>317.01</v>
      </c>
      <c r="AH2113" s="2297" t="s">
        <v>341</v>
      </c>
      <c r="AI2113" s="1390"/>
      <c r="AJ2113" s="2282"/>
      <c r="AK2113" s="2282"/>
      <c r="AL2113" s="1037"/>
      <c r="AX2113" s="340">
        <v>56.02</v>
      </c>
      <c r="AY2113" s="340" t="s">
        <v>340</v>
      </c>
      <c r="BN2113" s="340">
        <v>307.05</v>
      </c>
      <c r="BO2113" s="340" t="s">
        <v>296</v>
      </c>
      <c r="BP2113" s="1385"/>
      <c r="BV2113" s="236">
        <v>27.01</v>
      </c>
      <c r="BW2113" s="236" t="s">
        <v>324</v>
      </c>
      <c r="CB2113" s="340">
        <v>56.02</v>
      </c>
      <c r="CC2113" s="340" t="s">
        <v>340</v>
      </c>
      <c r="CL2113" s="236">
        <v>115.14</v>
      </c>
      <c r="CM2113" s="236" t="s">
        <v>316</v>
      </c>
      <c r="CR2113" s="340">
        <v>307.02</v>
      </c>
      <c r="CS2113" s="340" t="s">
        <v>289</v>
      </c>
      <c r="CT2113" s="1384"/>
      <c r="DF2113" s="340">
        <v>77.39</v>
      </c>
      <c r="DG2113" s="340" t="s">
        <v>340</v>
      </c>
      <c r="DV2113" s="340">
        <v>317.01</v>
      </c>
      <c r="DW2113" s="340" t="s">
        <v>341</v>
      </c>
      <c r="DX2113" s="1671"/>
    </row>
    <row r="2114" spans="12:128">
      <c r="L2114" s="2481">
        <v>77.680000000000007</v>
      </c>
      <c r="M2114" s="340" t="s">
        <v>340</v>
      </c>
      <c r="N2114" s="1390"/>
      <c r="O2114" s="2479"/>
      <c r="P2114" s="2282"/>
      <c r="AG2114" s="2297">
        <v>317.04000000000002</v>
      </c>
      <c r="AH2114" s="2297" t="s">
        <v>341</v>
      </c>
      <c r="AI2114" s="1390"/>
      <c r="AJ2114" s="2282"/>
      <c r="AK2114" s="2282"/>
      <c r="AL2114" s="1037"/>
      <c r="AX2114" s="340">
        <v>58.07</v>
      </c>
      <c r="AY2114" s="340" t="s">
        <v>340</v>
      </c>
      <c r="BN2114" s="340">
        <v>307.06</v>
      </c>
      <c r="BO2114" s="340" t="s">
        <v>296</v>
      </c>
      <c r="BP2114" s="1385"/>
      <c r="BV2114" s="236">
        <v>27.02</v>
      </c>
      <c r="BW2114" s="236" t="s">
        <v>324</v>
      </c>
      <c r="CB2114" s="340">
        <v>58.11</v>
      </c>
      <c r="CC2114" s="340" t="s">
        <v>340</v>
      </c>
      <c r="CL2114" s="236">
        <v>115.15</v>
      </c>
      <c r="CM2114" s="236" t="s">
        <v>316</v>
      </c>
      <c r="CR2114" s="340">
        <v>307.04000000000002</v>
      </c>
      <c r="CS2114" s="340" t="s">
        <v>296</v>
      </c>
      <c r="CT2114" s="1384"/>
      <c r="DF2114" s="340">
        <v>77.400000000000006</v>
      </c>
      <c r="DG2114" s="340" t="s">
        <v>340</v>
      </c>
      <c r="DV2114" s="340">
        <v>317.04000000000002</v>
      </c>
      <c r="DW2114" s="340" t="s">
        <v>341</v>
      </c>
      <c r="DX2114" s="1671"/>
    </row>
    <row r="2115" spans="12:128">
      <c r="L2115" s="2481">
        <v>77.7</v>
      </c>
      <c r="M2115" s="340" t="s">
        <v>340</v>
      </c>
      <c r="N2115" s="1390"/>
      <c r="O2115" s="2479"/>
      <c r="P2115" s="2282"/>
      <c r="AG2115" s="2297">
        <v>317.05</v>
      </c>
      <c r="AH2115" s="2297" t="s">
        <v>341</v>
      </c>
      <c r="AI2115" s="1390"/>
      <c r="AJ2115" s="2282"/>
      <c r="AK2115" s="2282"/>
      <c r="AL2115" s="1037"/>
      <c r="AX2115" s="340">
        <v>58.11</v>
      </c>
      <c r="AY2115" s="340" t="s">
        <v>340</v>
      </c>
      <c r="BN2115" s="340">
        <v>307.07</v>
      </c>
      <c r="BO2115" s="340" t="s">
        <v>296</v>
      </c>
      <c r="BP2115" s="1385"/>
      <c r="BV2115" s="236">
        <v>9701.01</v>
      </c>
      <c r="BW2115" s="236" t="s">
        <v>325</v>
      </c>
      <c r="CB2115" s="340">
        <v>58.13</v>
      </c>
      <c r="CC2115" s="340" t="s">
        <v>340</v>
      </c>
      <c r="CL2115" s="236">
        <v>115.16</v>
      </c>
      <c r="CM2115" s="236" t="s">
        <v>316</v>
      </c>
      <c r="CR2115" s="340">
        <v>307.05</v>
      </c>
      <c r="CS2115" s="340" t="s">
        <v>296</v>
      </c>
      <c r="CT2115" s="1384"/>
      <c r="DF2115" s="340">
        <v>77.41</v>
      </c>
      <c r="DG2115" s="340" t="s">
        <v>340</v>
      </c>
      <c r="DV2115" s="340">
        <v>317.05</v>
      </c>
      <c r="DW2115" s="340" t="s">
        <v>341</v>
      </c>
      <c r="DX2115" s="1671"/>
    </row>
    <row r="2116" spans="12:128">
      <c r="L2116" s="2481">
        <v>77.709999999999994</v>
      </c>
      <c r="M2116" s="340" t="s">
        <v>340</v>
      </c>
      <c r="N2116" s="1390"/>
      <c r="O2116" s="2479"/>
      <c r="P2116" s="2282"/>
      <c r="AG2116" s="2297">
        <v>317.06</v>
      </c>
      <c r="AH2116" s="2297" t="s">
        <v>341</v>
      </c>
      <c r="AI2116" s="1390"/>
      <c r="AJ2116" s="2282"/>
      <c r="AK2116" s="2282"/>
      <c r="AL2116" s="1037"/>
      <c r="AX2116" s="340">
        <v>58.13</v>
      </c>
      <c r="AY2116" s="340" t="s">
        <v>340</v>
      </c>
      <c r="BN2116" s="340">
        <v>307.08</v>
      </c>
      <c r="BO2116" s="340" t="s">
        <v>296</v>
      </c>
      <c r="BP2116" s="1385"/>
      <c r="BV2116" s="236">
        <v>9701.0300000000007</v>
      </c>
      <c r="BW2116" s="236" t="s">
        <v>325</v>
      </c>
      <c r="CB2116" s="340">
        <v>58.2</v>
      </c>
      <c r="CC2116" s="340" t="s">
        <v>340</v>
      </c>
      <c r="CL2116" s="236">
        <v>115.18</v>
      </c>
      <c r="CM2116" s="236" t="s">
        <v>316</v>
      </c>
      <c r="CR2116" s="340">
        <v>307.06</v>
      </c>
      <c r="CS2116" s="340" t="s">
        <v>296</v>
      </c>
      <c r="CT2116" s="1384"/>
      <c r="DF2116" s="340">
        <v>77.430000000000007</v>
      </c>
      <c r="DG2116" s="340" t="s">
        <v>340</v>
      </c>
      <c r="DV2116" s="340">
        <v>317.06</v>
      </c>
      <c r="DW2116" s="340" t="s">
        <v>341</v>
      </c>
      <c r="DX2116" s="1671"/>
    </row>
    <row r="2117" spans="12:128">
      <c r="L2117" s="2481">
        <v>77.72</v>
      </c>
      <c r="M2117" s="340" t="s">
        <v>340</v>
      </c>
      <c r="N2117" s="1390"/>
      <c r="O2117" s="2479"/>
      <c r="P2117" s="2282"/>
      <c r="AG2117" s="2297">
        <v>317.07</v>
      </c>
      <c r="AH2117" s="2297" t="s">
        <v>341</v>
      </c>
      <c r="AI2117" s="1390"/>
      <c r="AJ2117" s="2282"/>
      <c r="AK2117" s="2282"/>
      <c r="AL2117" s="1037"/>
      <c r="AX2117" s="340">
        <v>58.19</v>
      </c>
      <c r="AY2117" s="340" t="s">
        <v>340</v>
      </c>
      <c r="BN2117" s="340">
        <v>308.01</v>
      </c>
      <c r="BO2117" s="340" t="s">
        <v>296</v>
      </c>
      <c r="BP2117" s="1385"/>
      <c r="BV2117" s="236">
        <v>9701.0400000000009</v>
      </c>
      <c r="BW2117" s="236" t="s">
        <v>325</v>
      </c>
      <c r="CB2117" s="340">
        <v>59.16</v>
      </c>
      <c r="CC2117" s="340" t="s">
        <v>340</v>
      </c>
      <c r="CL2117" s="236">
        <v>115.19</v>
      </c>
      <c r="CM2117" s="236" t="s">
        <v>316</v>
      </c>
      <c r="CR2117" s="340">
        <v>307.07</v>
      </c>
      <c r="CS2117" s="340" t="s">
        <v>296</v>
      </c>
      <c r="CT2117" s="1384"/>
      <c r="DF2117" s="340">
        <v>77.48</v>
      </c>
      <c r="DG2117" s="340" t="s">
        <v>340</v>
      </c>
      <c r="DV2117" s="340">
        <v>317.07</v>
      </c>
      <c r="DW2117" s="340" t="s">
        <v>341</v>
      </c>
      <c r="DX2117" s="1671"/>
    </row>
    <row r="2118" spans="12:128">
      <c r="L2118" s="2481">
        <v>77.73</v>
      </c>
      <c r="M2118" s="340" t="s">
        <v>340</v>
      </c>
      <c r="N2118" s="1390"/>
      <c r="O2118" s="2479"/>
      <c r="P2118" s="2282"/>
      <c r="AG2118" s="2297">
        <v>317.08</v>
      </c>
      <c r="AH2118" s="2297" t="s">
        <v>341</v>
      </c>
      <c r="AI2118" s="1390"/>
      <c r="AJ2118" s="2282"/>
      <c r="AK2118" s="2282"/>
      <c r="AL2118" s="1037"/>
      <c r="AX2118" s="340">
        <v>58.2</v>
      </c>
      <c r="AY2118" s="340" t="s">
        <v>340</v>
      </c>
      <c r="BN2118" s="340">
        <v>308.02</v>
      </c>
      <c r="BO2118" s="340" t="s">
        <v>296</v>
      </c>
      <c r="BP2118" s="1385"/>
      <c r="BV2118" s="236">
        <v>9702</v>
      </c>
      <c r="BW2118" s="236" t="s">
        <v>325</v>
      </c>
      <c r="CB2118" s="340">
        <v>59.17</v>
      </c>
      <c r="CC2118" s="340" t="s">
        <v>340</v>
      </c>
      <c r="CL2118" s="236">
        <v>115.2</v>
      </c>
      <c r="CM2118" s="236" t="s">
        <v>316</v>
      </c>
      <c r="CR2118" s="340">
        <v>307.08</v>
      </c>
      <c r="CS2118" s="340" t="s">
        <v>296</v>
      </c>
      <c r="CT2118" s="1384"/>
      <c r="DF2118" s="340">
        <v>77.489999999999995</v>
      </c>
      <c r="DG2118" s="340" t="s">
        <v>340</v>
      </c>
      <c r="DV2118" s="340">
        <v>317.08</v>
      </c>
      <c r="DW2118" s="340" t="s">
        <v>341</v>
      </c>
      <c r="DX2118" s="1671"/>
    </row>
    <row r="2119" spans="12:128">
      <c r="L2119" s="2481">
        <v>77.739999999999995</v>
      </c>
      <c r="M2119" s="340" t="s">
        <v>340</v>
      </c>
      <c r="N2119" s="1390"/>
      <c r="O2119" s="2479"/>
      <c r="P2119" s="2282"/>
      <c r="AG2119" s="2297">
        <v>318.04000000000002</v>
      </c>
      <c r="AH2119" s="2297" t="s">
        <v>341</v>
      </c>
      <c r="AI2119" s="1390"/>
      <c r="AJ2119" s="2282"/>
      <c r="AK2119" s="2282"/>
      <c r="AL2119" s="1037"/>
      <c r="AX2119" s="340">
        <v>59.16</v>
      </c>
      <c r="AY2119" s="340" t="s">
        <v>340</v>
      </c>
      <c r="BN2119" s="340">
        <v>308.02999999999997</v>
      </c>
      <c r="BO2119" s="340" t="s">
        <v>322</v>
      </c>
      <c r="BP2119" s="1385"/>
      <c r="BV2119" s="236">
        <v>9703.01</v>
      </c>
      <c r="BW2119" s="236" t="s">
        <v>325</v>
      </c>
      <c r="CB2119" s="340">
        <v>59.21</v>
      </c>
      <c r="CC2119" s="340" t="s">
        <v>340</v>
      </c>
      <c r="CL2119" s="236">
        <v>115.21</v>
      </c>
      <c r="CM2119" s="236" t="s">
        <v>316</v>
      </c>
      <c r="CR2119" s="340">
        <v>308.01</v>
      </c>
      <c r="CS2119" s="340" t="s">
        <v>296</v>
      </c>
      <c r="CT2119" s="1384"/>
      <c r="DF2119" s="340">
        <v>77.5</v>
      </c>
      <c r="DG2119" s="340" t="s">
        <v>340</v>
      </c>
      <c r="DV2119" s="340">
        <v>318.04000000000002</v>
      </c>
      <c r="DW2119" s="340" t="s">
        <v>341</v>
      </c>
      <c r="DX2119" s="1671"/>
    </row>
    <row r="2120" spans="12:128">
      <c r="L2120" s="2481">
        <v>77.75</v>
      </c>
      <c r="M2120" s="340" t="s">
        <v>340</v>
      </c>
      <c r="N2120" s="1390"/>
      <c r="O2120" s="2479"/>
      <c r="P2120" s="2282"/>
      <c r="AG2120" s="2297">
        <v>318.06</v>
      </c>
      <c r="AH2120" s="2297" t="s">
        <v>341</v>
      </c>
      <c r="AI2120" s="1390"/>
      <c r="AJ2120" s="2282"/>
      <c r="AK2120" s="2282"/>
      <c r="AL2120" s="1037"/>
      <c r="AX2120" s="340">
        <v>59.17</v>
      </c>
      <c r="AY2120" s="340" t="s">
        <v>340</v>
      </c>
      <c r="BN2120" s="340">
        <v>308.07</v>
      </c>
      <c r="BO2120" s="340" t="s">
        <v>322</v>
      </c>
      <c r="BP2120" s="1385"/>
      <c r="BV2120" s="236">
        <v>9703.0300000000007</v>
      </c>
      <c r="BW2120" s="236" t="s">
        <v>325</v>
      </c>
      <c r="CB2120" s="340">
        <v>59.23</v>
      </c>
      <c r="CC2120" s="340" t="s">
        <v>340</v>
      </c>
      <c r="CL2120" s="236">
        <v>115.22</v>
      </c>
      <c r="CM2120" s="236" t="s">
        <v>316</v>
      </c>
      <c r="CR2120" s="340">
        <v>308.02</v>
      </c>
      <c r="CS2120" s="340" t="s">
        <v>296</v>
      </c>
      <c r="CT2120" s="1384"/>
      <c r="DF2120" s="340">
        <v>77.510000000000005</v>
      </c>
      <c r="DG2120" s="340" t="s">
        <v>340</v>
      </c>
      <c r="DV2120" s="340">
        <v>318.06</v>
      </c>
      <c r="DW2120" s="340" t="s">
        <v>341</v>
      </c>
      <c r="DX2120" s="1671"/>
    </row>
    <row r="2121" spans="12:128">
      <c r="L2121" s="2481">
        <v>77.77</v>
      </c>
      <c r="M2121" s="340" t="s">
        <v>340</v>
      </c>
      <c r="N2121" s="1390"/>
      <c r="O2121" s="2479"/>
      <c r="P2121" s="2282"/>
      <c r="AG2121" s="2297">
        <v>318.08</v>
      </c>
      <c r="AH2121" s="2297" t="s">
        <v>341</v>
      </c>
      <c r="AI2121" s="1390"/>
      <c r="AJ2121" s="2282"/>
      <c r="AK2121" s="2282"/>
      <c r="AL2121" s="1037"/>
      <c r="AX2121" s="340">
        <v>59.18</v>
      </c>
      <c r="AY2121" s="340" t="s">
        <v>340</v>
      </c>
      <c r="BN2121" s="340">
        <v>309.01</v>
      </c>
      <c r="BO2121" s="340" t="s">
        <v>341</v>
      </c>
      <c r="BP2121" s="1385"/>
      <c r="BV2121" s="236">
        <v>9703.0400000000009</v>
      </c>
      <c r="BW2121" s="236" t="s">
        <v>325</v>
      </c>
      <c r="CB2121" s="340">
        <v>59.31</v>
      </c>
      <c r="CC2121" s="340" t="s">
        <v>340</v>
      </c>
      <c r="CL2121" s="236">
        <v>115.23</v>
      </c>
      <c r="CM2121" s="236" t="s">
        <v>316</v>
      </c>
      <c r="CR2121" s="340">
        <v>308.02999999999997</v>
      </c>
      <c r="CS2121" s="340" t="s">
        <v>322</v>
      </c>
      <c r="CT2121" s="1384"/>
      <c r="DF2121" s="340">
        <v>77.52</v>
      </c>
      <c r="DG2121" s="340" t="s">
        <v>340</v>
      </c>
      <c r="DV2121" s="340">
        <v>318.08</v>
      </c>
      <c r="DW2121" s="340" t="s">
        <v>341</v>
      </c>
      <c r="DX2121" s="1671"/>
    </row>
    <row r="2122" spans="12:128">
      <c r="L2122" s="2481">
        <v>77.78</v>
      </c>
      <c r="M2122" s="340" t="s">
        <v>340</v>
      </c>
      <c r="N2122" s="1390"/>
      <c r="O2122" s="2479"/>
      <c r="P2122" s="2282"/>
      <c r="AG2122" s="2297">
        <v>318.08999999999997</v>
      </c>
      <c r="AH2122" s="2297" t="s">
        <v>341</v>
      </c>
      <c r="AI2122" s="1390"/>
      <c r="AJ2122" s="2282"/>
      <c r="AK2122" s="2282"/>
      <c r="AL2122" s="1037"/>
      <c r="AX2122" s="340">
        <v>59.21</v>
      </c>
      <c r="AY2122" s="340" t="s">
        <v>340</v>
      </c>
      <c r="BN2122" s="340">
        <v>309.02</v>
      </c>
      <c r="BO2122" s="340" t="s">
        <v>289</v>
      </c>
      <c r="BP2122" s="1385"/>
      <c r="BV2122" s="236">
        <v>9704</v>
      </c>
      <c r="BW2122" s="236" t="s">
        <v>325</v>
      </c>
      <c r="CB2122" s="340">
        <v>59.34</v>
      </c>
      <c r="CC2122" s="340" t="s">
        <v>340</v>
      </c>
      <c r="CL2122" s="236">
        <v>115.24</v>
      </c>
      <c r="CM2122" s="236" t="s">
        <v>316</v>
      </c>
      <c r="CR2122" s="340">
        <v>308.04000000000002</v>
      </c>
      <c r="CS2122" s="340" t="s">
        <v>322</v>
      </c>
      <c r="CT2122" s="1384"/>
      <c r="DF2122" s="340">
        <v>77.540000000000006</v>
      </c>
      <c r="DG2122" s="340" t="s">
        <v>340</v>
      </c>
      <c r="DV2122" s="340">
        <v>318.08999999999997</v>
      </c>
      <c r="DW2122" s="340" t="s">
        <v>341</v>
      </c>
      <c r="DX2122" s="1671"/>
    </row>
    <row r="2123" spans="12:128">
      <c r="L2123" s="2481">
        <v>77.790000000000006</v>
      </c>
      <c r="M2123" s="340" t="s">
        <v>340</v>
      </c>
      <c r="N2123" s="1390"/>
      <c r="O2123" s="2479"/>
      <c r="P2123" s="2282"/>
      <c r="AG2123" s="2297">
        <v>319.01</v>
      </c>
      <c r="AH2123" s="2297" t="s">
        <v>341</v>
      </c>
      <c r="AI2123" s="1390"/>
      <c r="AJ2123" s="2282"/>
      <c r="AK2123" s="2282"/>
      <c r="AL2123" s="1037"/>
      <c r="AX2123" s="340">
        <v>59.22</v>
      </c>
      <c r="AY2123" s="340" t="s">
        <v>340</v>
      </c>
      <c r="BN2123" s="340">
        <v>309.04000000000002</v>
      </c>
      <c r="BO2123" s="340" t="s">
        <v>289</v>
      </c>
      <c r="BP2123" s="1385"/>
      <c r="BV2123" s="236">
        <v>9705.01</v>
      </c>
      <c r="BW2123" s="236" t="s">
        <v>325</v>
      </c>
      <c r="CB2123" s="340">
        <v>59.37</v>
      </c>
      <c r="CC2123" s="340" t="s">
        <v>340</v>
      </c>
      <c r="CL2123" s="236">
        <v>115.25</v>
      </c>
      <c r="CM2123" s="236" t="s">
        <v>316</v>
      </c>
      <c r="CR2123" s="340">
        <v>308.05</v>
      </c>
      <c r="CS2123" s="340" t="s">
        <v>322</v>
      </c>
      <c r="CT2123" s="1384"/>
      <c r="DF2123" s="340">
        <v>77.569999999999993</v>
      </c>
      <c r="DG2123" s="340" t="s">
        <v>340</v>
      </c>
      <c r="DV2123" s="340">
        <v>319.01</v>
      </c>
      <c r="DW2123" s="340" t="s">
        <v>341</v>
      </c>
      <c r="DX2123" s="1671"/>
    </row>
    <row r="2124" spans="12:128">
      <c r="L2124" s="2481">
        <v>78.05</v>
      </c>
      <c r="M2124" s="340" t="s">
        <v>340</v>
      </c>
      <c r="N2124" s="1390"/>
      <c r="O2124" s="2479"/>
      <c r="P2124" s="2282"/>
      <c r="AG2124" s="2297">
        <v>319.02</v>
      </c>
      <c r="AH2124" s="2297" t="s">
        <v>341</v>
      </c>
      <c r="AI2124" s="1390"/>
      <c r="AJ2124" s="2282"/>
      <c r="AK2124" s="2282"/>
      <c r="AL2124" s="1037"/>
      <c r="AX2124" s="340">
        <v>59.3</v>
      </c>
      <c r="AY2124" s="340" t="s">
        <v>340</v>
      </c>
      <c r="BN2124" s="340">
        <v>309.04000000000002</v>
      </c>
      <c r="BO2124" s="340" t="s">
        <v>296</v>
      </c>
      <c r="BP2124" s="1385"/>
      <c r="BV2124" s="236">
        <v>9705.02</v>
      </c>
      <c r="BW2124" s="236" t="s">
        <v>325</v>
      </c>
      <c r="CB2124" s="340">
        <v>59.38</v>
      </c>
      <c r="CC2124" s="340" t="s">
        <v>340</v>
      </c>
      <c r="CL2124" s="236">
        <v>115.26</v>
      </c>
      <c r="CM2124" s="236" t="s">
        <v>316</v>
      </c>
      <c r="CR2124" s="340">
        <v>308.07</v>
      </c>
      <c r="CS2124" s="340" t="s">
        <v>322</v>
      </c>
      <c r="CT2124" s="1384"/>
      <c r="DF2124" s="340">
        <v>77.59</v>
      </c>
      <c r="DG2124" s="340" t="s">
        <v>340</v>
      </c>
      <c r="DV2124" s="340">
        <v>319.02</v>
      </c>
      <c r="DW2124" s="340" t="s">
        <v>341</v>
      </c>
      <c r="DX2124" s="1671"/>
    </row>
    <row r="2125" spans="12:128">
      <c r="L2125" s="2481">
        <v>78.13</v>
      </c>
      <c r="M2125" s="340" t="s">
        <v>340</v>
      </c>
      <c r="N2125" s="1390"/>
      <c r="O2125" s="2479"/>
      <c r="P2125" s="2282"/>
      <c r="AG2125" s="2297">
        <v>319.02999999999997</v>
      </c>
      <c r="AH2125" s="2297" t="s">
        <v>341</v>
      </c>
      <c r="AI2125" s="1390"/>
      <c r="AJ2125" s="2282"/>
      <c r="AK2125" s="2282"/>
      <c r="AL2125" s="1037"/>
      <c r="AX2125" s="340">
        <v>59.31</v>
      </c>
      <c r="AY2125" s="340" t="s">
        <v>340</v>
      </c>
      <c r="BN2125" s="340">
        <v>309.05</v>
      </c>
      <c r="BO2125" s="340" t="s">
        <v>296</v>
      </c>
      <c r="BP2125" s="1385"/>
      <c r="BV2125" s="236">
        <v>9706</v>
      </c>
      <c r="BW2125" s="236" t="s">
        <v>325</v>
      </c>
      <c r="CB2125" s="340">
        <v>59.42</v>
      </c>
      <c r="CC2125" s="340" t="s">
        <v>340</v>
      </c>
      <c r="CL2125" s="236">
        <v>115.27</v>
      </c>
      <c r="CM2125" s="236" t="s">
        <v>316</v>
      </c>
      <c r="CR2125" s="340">
        <v>309.01</v>
      </c>
      <c r="CS2125" s="340" t="s">
        <v>341</v>
      </c>
      <c r="CT2125" s="1384"/>
      <c r="DF2125" s="340">
        <v>77.63</v>
      </c>
      <c r="DG2125" s="340" t="s">
        <v>340</v>
      </c>
      <c r="DV2125" s="340">
        <v>319.02999999999997</v>
      </c>
      <c r="DW2125" s="340" t="s">
        <v>341</v>
      </c>
      <c r="DX2125" s="1671"/>
    </row>
    <row r="2126" spans="12:128">
      <c r="L2126" s="2481">
        <v>78.14</v>
      </c>
      <c r="M2126" s="340" t="s">
        <v>340</v>
      </c>
      <c r="N2126" s="1390"/>
      <c r="O2126" s="2479"/>
      <c r="P2126" s="2282"/>
      <c r="AG2126" s="2297">
        <v>320.01</v>
      </c>
      <c r="AH2126" s="2297" t="s">
        <v>341</v>
      </c>
      <c r="AI2126" s="1390"/>
      <c r="AJ2126" s="2282"/>
      <c r="AK2126" s="2282"/>
      <c r="AL2126" s="1037"/>
      <c r="AX2126" s="340">
        <v>59.34</v>
      </c>
      <c r="AY2126" s="340" t="s">
        <v>340</v>
      </c>
      <c r="BN2126" s="340">
        <v>309.17</v>
      </c>
      <c r="BO2126" s="340" t="s">
        <v>322</v>
      </c>
      <c r="BP2126" s="1385"/>
      <c r="BV2126" s="236">
        <v>9707</v>
      </c>
      <c r="BW2126" s="236" t="s">
        <v>325</v>
      </c>
      <c r="CB2126" s="340">
        <v>59.45</v>
      </c>
      <c r="CC2126" s="340" t="s">
        <v>340</v>
      </c>
      <c r="CL2126" s="236">
        <v>115.28</v>
      </c>
      <c r="CM2126" s="236" t="s">
        <v>316</v>
      </c>
      <c r="CR2126" s="340">
        <v>309.02</v>
      </c>
      <c r="CS2126" s="340" t="s">
        <v>289</v>
      </c>
      <c r="CT2126" s="1384"/>
      <c r="DF2126" s="340">
        <v>77.64</v>
      </c>
      <c r="DG2126" s="340" t="s">
        <v>340</v>
      </c>
      <c r="DV2126" s="340">
        <v>320.01</v>
      </c>
      <c r="DW2126" s="340" t="s">
        <v>341</v>
      </c>
      <c r="DX2126" s="1671"/>
    </row>
    <row r="2127" spans="12:128">
      <c r="L2127" s="2481">
        <v>78.2</v>
      </c>
      <c r="M2127" s="340" t="s">
        <v>340</v>
      </c>
      <c r="N2127" s="1390"/>
      <c r="O2127" s="2479"/>
      <c r="P2127" s="2282"/>
      <c r="AG2127" s="2297">
        <v>320.05</v>
      </c>
      <c r="AH2127" s="2297" t="s">
        <v>341</v>
      </c>
      <c r="AI2127" s="1390"/>
      <c r="AJ2127" s="2282"/>
      <c r="AK2127" s="2282"/>
      <c r="AL2127" s="1037"/>
      <c r="AX2127" s="340">
        <v>59.37</v>
      </c>
      <c r="AY2127" s="340" t="s">
        <v>340</v>
      </c>
      <c r="BN2127" s="340">
        <v>309.18</v>
      </c>
      <c r="BO2127" s="340" t="s">
        <v>322</v>
      </c>
      <c r="BP2127" s="1385"/>
      <c r="BV2127" s="236">
        <v>9900</v>
      </c>
      <c r="BW2127" s="236" t="s">
        <v>325</v>
      </c>
      <c r="CB2127" s="340">
        <v>59.46</v>
      </c>
      <c r="CC2127" s="340" t="s">
        <v>340</v>
      </c>
      <c r="CL2127" s="236">
        <v>116</v>
      </c>
      <c r="CM2127" s="236" t="s">
        <v>302</v>
      </c>
      <c r="CR2127" s="340">
        <v>309.02999999999997</v>
      </c>
      <c r="CS2127" s="340" t="s">
        <v>289</v>
      </c>
      <c r="CT2127" s="1384"/>
      <c r="DF2127" s="340">
        <v>77.680000000000007</v>
      </c>
      <c r="DG2127" s="340" t="s">
        <v>340</v>
      </c>
      <c r="DV2127" s="340">
        <v>320.05</v>
      </c>
      <c r="DW2127" s="340" t="s">
        <v>341</v>
      </c>
      <c r="DX2127" s="1671"/>
    </row>
    <row r="2128" spans="12:128">
      <c r="L2128" s="2481">
        <v>78.209999999999994</v>
      </c>
      <c r="M2128" s="340" t="s">
        <v>340</v>
      </c>
      <c r="N2128" s="1390"/>
      <c r="O2128" s="2479"/>
      <c r="P2128" s="2282"/>
      <c r="AG2128" s="2297">
        <v>320.06</v>
      </c>
      <c r="AH2128" s="2297" t="s">
        <v>341</v>
      </c>
      <c r="AI2128" s="1390"/>
      <c r="AJ2128" s="2282"/>
      <c r="AK2128" s="2282"/>
      <c r="AL2128" s="1037"/>
      <c r="AX2128" s="340">
        <v>59.38</v>
      </c>
      <c r="AY2128" s="340" t="s">
        <v>340</v>
      </c>
      <c r="BN2128" s="340">
        <v>310.02</v>
      </c>
      <c r="BO2128" s="340" t="s">
        <v>322</v>
      </c>
      <c r="BP2128" s="1385"/>
      <c r="BV2128" s="236">
        <v>1.01</v>
      </c>
      <c r="BW2128" s="236" t="s">
        <v>328</v>
      </c>
      <c r="CB2128" s="340">
        <v>59.47</v>
      </c>
      <c r="CC2128" s="340" t="s">
        <v>340</v>
      </c>
      <c r="CL2128" s="236">
        <v>116</v>
      </c>
      <c r="CM2128" s="236" t="s">
        <v>338</v>
      </c>
      <c r="CR2128" s="340">
        <v>309.04000000000002</v>
      </c>
      <c r="CS2128" s="340" t="s">
        <v>289</v>
      </c>
      <c r="CT2128" s="1384"/>
      <c r="DF2128" s="340">
        <v>77.7</v>
      </c>
      <c r="DG2128" s="340" t="s">
        <v>340</v>
      </c>
      <c r="DV2128" s="340">
        <v>320.06</v>
      </c>
      <c r="DW2128" s="340" t="s">
        <v>341</v>
      </c>
      <c r="DX2128" s="1671"/>
    </row>
    <row r="2129" spans="12:128">
      <c r="L2129" s="2481">
        <v>78.23</v>
      </c>
      <c r="M2129" s="340" t="s">
        <v>340</v>
      </c>
      <c r="N2129" s="1390"/>
      <c r="O2129" s="2479"/>
      <c r="P2129" s="2282"/>
      <c r="AG2129" s="2297">
        <v>320.07</v>
      </c>
      <c r="AH2129" s="2297" t="s">
        <v>341</v>
      </c>
      <c r="AI2129" s="1390"/>
      <c r="AJ2129" s="2282"/>
      <c r="AK2129" s="2282"/>
      <c r="AL2129" s="1037"/>
      <c r="AX2129" s="340">
        <v>59.42</v>
      </c>
      <c r="AY2129" s="340" t="s">
        <v>340</v>
      </c>
      <c r="BN2129" s="340">
        <v>311.01</v>
      </c>
      <c r="BO2129" s="340" t="s">
        <v>289</v>
      </c>
      <c r="BP2129" s="1385"/>
      <c r="BV2129" s="236">
        <v>1.03</v>
      </c>
      <c r="BW2129" s="236" t="s">
        <v>328</v>
      </c>
      <c r="CB2129" s="340">
        <v>59.49</v>
      </c>
      <c r="CC2129" s="340" t="s">
        <v>340</v>
      </c>
      <c r="CL2129" s="236">
        <v>116.01</v>
      </c>
      <c r="CM2129" s="236" t="s">
        <v>331</v>
      </c>
      <c r="CR2129" s="340">
        <v>309.04000000000002</v>
      </c>
      <c r="CS2129" s="340" t="s">
        <v>296</v>
      </c>
      <c r="CT2129" s="1384"/>
      <c r="DF2129" s="340">
        <v>77.709999999999994</v>
      </c>
      <c r="DG2129" s="340" t="s">
        <v>340</v>
      </c>
      <c r="DV2129" s="340">
        <v>320.07</v>
      </c>
      <c r="DW2129" s="340" t="s">
        <v>341</v>
      </c>
      <c r="DX2129" s="1671"/>
    </row>
    <row r="2130" spans="12:128">
      <c r="L2130" s="2481">
        <v>78.3</v>
      </c>
      <c r="M2130" s="340" t="s">
        <v>340</v>
      </c>
      <c r="N2130" s="1390"/>
      <c r="O2130" s="2479"/>
      <c r="P2130" s="2282"/>
      <c r="AG2130" s="2297">
        <v>320.08</v>
      </c>
      <c r="AH2130" s="2297" t="s">
        <v>341</v>
      </c>
      <c r="AI2130" s="1390"/>
      <c r="AJ2130" s="2282"/>
      <c r="AK2130" s="2282"/>
      <c r="AL2130" s="1037"/>
      <c r="AX2130" s="340">
        <v>59.45</v>
      </c>
      <c r="AY2130" s="340" t="s">
        <v>340</v>
      </c>
      <c r="BN2130" s="340">
        <v>311.01</v>
      </c>
      <c r="BO2130" s="340" t="s">
        <v>296</v>
      </c>
      <c r="BP2130" s="1385"/>
      <c r="BV2130" s="236">
        <v>1.05</v>
      </c>
      <c r="BW2130" s="236" t="s">
        <v>328</v>
      </c>
      <c r="CB2130" s="340">
        <v>59.5</v>
      </c>
      <c r="CC2130" s="340" t="s">
        <v>340</v>
      </c>
      <c r="CL2130" s="236">
        <v>116.02</v>
      </c>
      <c r="CM2130" s="236" t="s">
        <v>331</v>
      </c>
      <c r="CR2130" s="340">
        <v>309.05</v>
      </c>
      <c r="CS2130" s="340" t="s">
        <v>296</v>
      </c>
      <c r="CT2130" s="1384"/>
      <c r="DF2130" s="340">
        <v>77.72</v>
      </c>
      <c r="DG2130" s="340" t="s">
        <v>340</v>
      </c>
      <c r="DV2130" s="340">
        <v>320.08</v>
      </c>
      <c r="DW2130" s="340" t="s">
        <v>341</v>
      </c>
      <c r="DX2130" s="1671"/>
    </row>
    <row r="2131" spans="12:128">
      <c r="L2131" s="2481">
        <v>78.31</v>
      </c>
      <c r="M2131" s="340" t="s">
        <v>340</v>
      </c>
      <c r="N2131" s="1390"/>
      <c r="O2131" s="2479"/>
      <c r="P2131" s="2282"/>
      <c r="AG2131" s="2297">
        <v>320.08999999999997</v>
      </c>
      <c r="AH2131" s="2297" t="s">
        <v>341</v>
      </c>
      <c r="AI2131" s="1390"/>
      <c r="AJ2131" s="2282"/>
      <c r="AK2131" s="2282"/>
      <c r="AL2131" s="1037"/>
      <c r="AX2131" s="340">
        <v>59.46</v>
      </c>
      <c r="AY2131" s="340" t="s">
        <v>340</v>
      </c>
      <c r="BN2131" s="340">
        <v>311.02</v>
      </c>
      <c r="BO2131" s="340" t="s">
        <v>289</v>
      </c>
      <c r="BP2131" s="1385"/>
      <c r="BV2131" s="236">
        <v>1.06</v>
      </c>
      <c r="BW2131" s="236" t="s">
        <v>328</v>
      </c>
      <c r="CB2131" s="340">
        <v>59.53</v>
      </c>
      <c r="CC2131" s="340" t="s">
        <v>340</v>
      </c>
      <c r="CL2131" s="236">
        <v>116.03</v>
      </c>
      <c r="CM2131" s="236" t="s">
        <v>316</v>
      </c>
      <c r="CR2131" s="340">
        <v>309.16000000000003</v>
      </c>
      <c r="CS2131" s="340" t="s">
        <v>322</v>
      </c>
      <c r="CT2131" s="1384"/>
      <c r="DF2131" s="340">
        <v>77.73</v>
      </c>
      <c r="DG2131" s="340" t="s">
        <v>340</v>
      </c>
      <c r="DV2131" s="340">
        <v>320.08999999999997</v>
      </c>
      <c r="DW2131" s="340" t="s">
        <v>341</v>
      </c>
      <c r="DX2131" s="1671"/>
    </row>
    <row r="2132" spans="12:128">
      <c r="L2132" s="2481">
        <v>78.34</v>
      </c>
      <c r="M2132" s="340" t="s">
        <v>340</v>
      </c>
      <c r="N2132" s="1390"/>
      <c r="O2132" s="2479"/>
      <c r="P2132" s="2282"/>
      <c r="AG2132" s="2297">
        <v>320.10000000000002</v>
      </c>
      <c r="AH2132" s="2297" t="s">
        <v>341</v>
      </c>
      <c r="AI2132" s="1390"/>
      <c r="AJ2132" s="2282"/>
      <c r="AK2132" s="2282"/>
      <c r="AL2132" s="1037"/>
      <c r="AX2132" s="340">
        <v>59.47</v>
      </c>
      <c r="AY2132" s="340" t="s">
        <v>340</v>
      </c>
      <c r="BN2132" s="340">
        <v>311.02999999999997</v>
      </c>
      <c r="BO2132" s="340" t="s">
        <v>322</v>
      </c>
      <c r="BP2132" s="1385"/>
      <c r="BV2132" s="236">
        <v>2.0099999999999998</v>
      </c>
      <c r="BW2132" s="236" t="s">
        <v>328</v>
      </c>
      <c r="CB2132" s="340">
        <v>59.54</v>
      </c>
      <c r="CC2132" s="340" t="s">
        <v>340</v>
      </c>
      <c r="CL2132" s="236">
        <v>116.03</v>
      </c>
      <c r="CM2132" s="236" t="s">
        <v>344</v>
      </c>
      <c r="CR2132" s="340">
        <v>309.17</v>
      </c>
      <c r="CS2132" s="340" t="s">
        <v>322</v>
      </c>
      <c r="CT2132" s="1384"/>
      <c r="DF2132" s="340">
        <v>77.739999999999995</v>
      </c>
      <c r="DG2132" s="340" t="s">
        <v>340</v>
      </c>
      <c r="DV2132" s="340">
        <v>320.10000000000002</v>
      </c>
      <c r="DW2132" s="340" t="s">
        <v>341</v>
      </c>
      <c r="DX2132" s="1671"/>
    </row>
    <row r="2133" spans="12:128">
      <c r="L2133" s="2481">
        <v>78.349999999999994</v>
      </c>
      <c r="M2133" s="340" t="s">
        <v>340</v>
      </c>
      <c r="N2133" s="1390"/>
      <c r="O2133" s="2479"/>
      <c r="P2133" s="2282"/>
      <c r="AG2133" s="2297">
        <v>320.11</v>
      </c>
      <c r="AH2133" s="2297" t="s">
        <v>341</v>
      </c>
      <c r="AI2133" s="1390"/>
      <c r="AJ2133" s="2282"/>
      <c r="AK2133" s="2282"/>
      <c r="AL2133" s="1037"/>
      <c r="AX2133" s="340">
        <v>59.49</v>
      </c>
      <c r="AY2133" s="340" t="s">
        <v>340</v>
      </c>
      <c r="BN2133" s="340">
        <v>311.05</v>
      </c>
      <c r="BO2133" s="340" t="s">
        <v>322</v>
      </c>
      <c r="BP2133" s="1385"/>
      <c r="BV2133" s="236">
        <v>2.0299999999999998</v>
      </c>
      <c r="BW2133" s="236" t="s">
        <v>328</v>
      </c>
      <c r="CB2133" s="340">
        <v>59.55</v>
      </c>
      <c r="CC2133" s="340" t="s">
        <v>340</v>
      </c>
      <c r="CL2133" s="236">
        <v>116.04</v>
      </c>
      <c r="CM2133" s="236" t="s">
        <v>344</v>
      </c>
      <c r="CR2133" s="340">
        <v>309.18</v>
      </c>
      <c r="CS2133" s="340" t="s">
        <v>322</v>
      </c>
      <c r="CT2133" s="1384"/>
      <c r="DF2133" s="340">
        <v>77.75</v>
      </c>
      <c r="DG2133" s="340" t="s">
        <v>340</v>
      </c>
      <c r="DV2133" s="340">
        <v>320.11</v>
      </c>
      <c r="DW2133" s="340" t="s">
        <v>341</v>
      </c>
      <c r="DX2133" s="1671"/>
    </row>
    <row r="2134" spans="12:128">
      <c r="L2134" s="2481">
        <v>78.37</v>
      </c>
      <c r="M2134" s="340" t="s">
        <v>340</v>
      </c>
      <c r="N2134" s="1390"/>
      <c r="O2134" s="2479"/>
      <c r="P2134" s="2282"/>
      <c r="AG2134" s="2297">
        <v>320.12</v>
      </c>
      <c r="AH2134" s="2297" t="s">
        <v>341</v>
      </c>
      <c r="AI2134" s="1390"/>
      <c r="AJ2134" s="2282"/>
      <c r="AK2134" s="2282"/>
      <c r="AL2134" s="1037"/>
      <c r="AX2134" s="340">
        <v>59.5</v>
      </c>
      <c r="AY2134" s="340" t="s">
        <v>340</v>
      </c>
      <c r="BN2134" s="340">
        <v>311.06</v>
      </c>
      <c r="BO2134" s="340" t="s">
        <v>322</v>
      </c>
      <c r="BP2134" s="1385"/>
      <c r="BV2134" s="236">
        <v>2.04</v>
      </c>
      <c r="BW2134" s="236" t="s">
        <v>328</v>
      </c>
      <c r="CB2134" s="340">
        <v>59.58</v>
      </c>
      <c r="CC2134" s="340" t="s">
        <v>340</v>
      </c>
      <c r="CL2134" s="236">
        <v>116.05</v>
      </c>
      <c r="CM2134" s="236" t="s">
        <v>316</v>
      </c>
      <c r="CR2134" s="340">
        <v>310.02</v>
      </c>
      <c r="CS2134" s="340" t="s">
        <v>322</v>
      </c>
      <c r="CT2134" s="1384"/>
      <c r="DF2134" s="340">
        <v>77.77</v>
      </c>
      <c r="DG2134" s="340" t="s">
        <v>340</v>
      </c>
      <c r="DV2134" s="340">
        <v>320.12</v>
      </c>
      <c r="DW2134" s="340" t="s">
        <v>341</v>
      </c>
      <c r="DX2134" s="1671"/>
    </row>
    <row r="2135" spans="12:128">
      <c r="L2135" s="2481">
        <v>78.38</v>
      </c>
      <c r="M2135" s="340" t="s">
        <v>340</v>
      </c>
      <c r="N2135" s="1390"/>
      <c r="O2135" s="2479"/>
      <c r="P2135" s="2282"/>
      <c r="AG2135" s="2297">
        <v>320.13</v>
      </c>
      <c r="AH2135" s="2297" t="s">
        <v>341</v>
      </c>
      <c r="AI2135" s="1390"/>
      <c r="AJ2135" s="2282"/>
      <c r="AK2135" s="2282"/>
      <c r="AL2135" s="1037"/>
      <c r="AX2135" s="340">
        <v>59.53</v>
      </c>
      <c r="AY2135" s="340" t="s">
        <v>340</v>
      </c>
      <c r="BN2135" s="340">
        <v>312.02</v>
      </c>
      <c r="BO2135" s="340" t="s">
        <v>296</v>
      </c>
      <c r="BP2135" s="1385"/>
      <c r="BV2135" s="236">
        <v>3.04</v>
      </c>
      <c r="BW2135" s="236" t="s">
        <v>328</v>
      </c>
      <c r="CB2135" s="340">
        <v>59.6</v>
      </c>
      <c r="CC2135" s="340" t="s">
        <v>340</v>
      </c>
      <c r="CL2135" s="236">
        <v>116.05</v>
      </c>
      <c r="CM2135" s="236" t="s">
        <v>344</v>
      </c>
      <c r="CR2135" s="340">
        <v>310.14</v>
      </c>
      <c r="CS2135" s="340" t="s">
        <v>341</v>
      </c>
      <c r="CT2135" s="1384"/>
      <c r="DF2135" s="340">
        <v>77.78</v>
      </c>
      <c r="DG2135" s="340" t="s">
        <v>340</v>
      </c>
      <c r="DV2135" s="340">
        <v>320.13</v>
      </c>
      <c r="DW2135" s="340" t="s">
        <v>341</v>
      </c>
      <c r="DX2135" s="1671"/>
    </row>
    <row r="2136" spans="12:128">
      <c r="L2136" s="2481">
        <v>78.41</v>
      </c>
      <c r="M2136" s="340" t="s">
        <v>340</v>
      </c>
      <c r="N2136" s="1390"/>
      <c r="O2136" s="2479"/>
      <c r="P2136" s="2282"/>
      <c r="AG2136" s="2297">
        <v>320.14</v>
      </c>
      <c r="AH2136" s="2297" t="s">
        <v>341</v>
      </c>
      <c r="AI2136" s="1390"/>
      <c r="AJ2136" s="2282"/>
      <c r="AK2136" s="2282"/>
      <c r="AL2136" s="1037"/>
      <c r="AX2136" s="340">
        <v>59.54</v>
      </c>
      <c r="AY2136" s="340" t="s">
        <v>340</v>
      </c>
      <c r="BN2136" s="340">
        <v>312.02</v>
      </c>
      <c r="BO2136" s="340" t="s">
        <v>322</v>
      </c>
      <c r="BP2136" s="1385"/>
      <c r="BV2136" s="236">
        <v>3.05</v>
      </c>
      <c r="BW2136" s="236" t="s">
        <v>328</v>
      </c>
      <c r="CB2136" s="340">
        <v>60.05</v>
      </c>
      <c r="CC2136" s="340" t="s">
        <v>340</v>
      </c>
      <c r="CL2136" s="236">
        <v>116.06</v>
      </c>
      <c r="CM2136" s="236" t="s">
        <v>344</v>
      </c>
      <c r="CR2136" s="340">
        <v>311.01</v>
      </c>
      <c r="CS2136" s="340" t="s">
        <v>289</v>
      </c>
      <c r="CT2136" s="1384"/>
      <c r="DF2136" s="340">
        <v>77.8</v>
      </c>
      <c r="DG2136" s="340" t="s">
        <v>340</v>
      </c>
      <c r="DV2136" s="340">
        <v>320.14</v>
      </c>
      <c r="DW2136" s="340" t="s">
        <v>341</v>
      </c>
      <c r="DX2136" s="1671"/>
    </row>
    <row r="2137" spans="12:128">
      <c r="L2137" s="2481">
        <v>78.42</v>
      </c>
      <c r="M2137" s="340" t="s">
        <v>340</v>
      </c>
      <c r="N2137" s="1390"/>
      <c r="O2137" s="2479"/>
      <c r="P2137" s="2282"/>
      <c r="AG2137" s="2297">
        <v>321.02999999999997</v>
      </c>
      <c r="AH2137" s="2297" t="s">
        <v>341</v>
      </c>
      <c r="AI2137" s="1390"/>
      <c r="AJ2137" s="2282"/>
      <c r="AK2137" s="2282"/>
      <c r="AL2137" s="1037"/>
      <c r="AX2137" s="340">
        <v>59.55</v>
      </c>
      <c r="AY2137" s="340" t="s">
        <v>340</v>
      </c>
      <c r="BN2137" s="340">
        <v>312.02999999999997</v>
      </c>
      <c r="BO2137" s="340" t="s">
        <v>289</v>
      </c>
      <c r="BP2137" s="1385"/>
      <c r="BV2137" s="236">
        <v>3.07</v>
      </c>
      <c r="BW2137" s="236" t="s">
        <v>328</v>
      </c>
      <c r="CB2137" s="340">
        <v>60.08</v>
      </c>
      <c r="CC2137" s="340" t="s">
        <v>340</v>
      </c>
      <c r="CL2137" s="236">
        <v>116.1</v>
      </c>
      <c r="CM2137" s="236" t="s">
        <v>316</v>
      </c>
      <c r="CR2137" s="340">
        <v>311.01</v>
      </c>
      <c r="CS2137" s="340" t="s">
        <v>296</v>
      </c>
      <c r="CT2137" s="1384"/>
      <c r="DF2137" s="340">
        <v>78.05</v>
      </c>
      <c r="DG2137" s="340" t="s">
        <v>340</v>
      </c>
      <c r="DV2137" s="340">
        <v>321.02999999999997</v>
      </c>
      <c r="DW2137" s="340" t="s">
        <v>341</v>
      </c>
      <c r="DX2137" s="1671"/>
    </row>
    <row r="2138" spans="12:128">
      <c r="L2138" s="2481">
        <v>78.430000000000007</v>
      </c>
      <c r="M2138" s="340" t="s">
        <v>340</v>
      </c>
      <c r="N2138" s="1390"/>
      <c r="O2138" s="2479"/>
      <c r="P2138" s="2282"/>
      <c r="AG2138" s="2297">
        <v>321.04000000000002</v>
      </c>
      <c r="AH2138" s="2297" t="s">
        <v>341</v>
      </c>
      <c r="AI2138" s="1390"/>
      <c r="AJ2138" s="2282"/>
      <c r="AK2138" s="2282"/>
      <c r="AL2138" s="1037"/>
      <c r="AX2138" s="340">
        <v>59.58</v>
      </c>
      <c r="AY2138" s="340" t="s">
        <v>340</v>
      </c>
      <c r="BN2138" s="340">
        <v>312.02999999999997</v>
      </c>
      <c r="BO2138" s="340" t="s">
        <v>296</v>
      </c>
      <c r="BP2138" s="1385"/>
      <c r="BV2138" s="236">
        <v>3.09</v>
      </c>
      <c r="BW2138" s="236" t="s">
        <v>328</v>
      </c>
      <c r="CB2138" s="340">
        <v>60.1</v>
      </c>
      <c r="CC2138" s="340" t="s">
        <v>340</v>
      </c>
      <c r="CL2138" s="236">
        <v>116.11</v>
      </c>
      <c r="CM2138" s="236" t="s">
        <v>316</v>
      </c>
      <c r="CR2138" s="340">
        <v>311.02</v>
      </c>
      <c r="CS2138" s="340" t="s">
        <v>289</v>
      </c>
      <c r="CT2138" s="1384"/>
      <c r="DF2138" s="340">
        <v>78.14</v>
      </c>
      <c r="DG2138" s="340" t="s">
        <v>340</v>
      </c>
      <c r="DV2138" s="340">
        <v>321.04000000000002</v>
      </c>
      <c r="DW2138" s="340" t="s">
        <v>341</v>
      </c>
      <c r="DX2138" s="1671"/>
    </row>
    <row r="2139" spans="12:128">
      <c r="L2139" s="2481">
        <v>78.44</v>
      </c>
      <c r="M2139" s="340" t="s">
        <v>340</v>
      </c>
      <c r="N2139" s="1390"/>
      <c r="O2139" s="2479"/>
      <c r="P2139" s="2282"/>
      <c r="AG2139" s="2297">
        <v>321.05</v>
      </c>
      <c r="AH2139" s="2297" t="s">
        <v>341</v>
      </c>
      <c r="AI2139" s="1390"/>
      <c r="AJ2139" s="2282"/>
      <c r="AK2139" s="2282"/>
      <c r="AL2139" s="1037"/>
      <c r="AX2139" s="340">
        <v>59.6</v>
      </c>
      <c r="AY2139" s="340" t="s">
        <v>340</v>
      </c>
      <c r="BN2139" s="340">
        <v>312.04000000000002</v>
      </c>
      <c r="BO2139" s="340" t="s">
        <v>289</v>
      </c>
      <c r="BP2139" s="1385"/>
      <c r="BV2139" s="236">
        <v>3.1</v>
      </c>
      <c r="BW2139" s="236" t="s">
        <v>328</v>
      </c>
      <c r="CB2139" s="340">
        <v>62.02</v>
      </c>
      <c r="CC2139" s="340" t="s">
        <v>340</v>
      </c>
      <c r="CL2139" s="236">
        <v>116.12</v>
      </c>
      <c r="CM2139" s="236" t="s">
        <v>316</v>
      </c>
      <c r="CR2139" s="340">
        <v>311.02999999999997</v>
      </c>
      <c r="CS2139" s="340" t="s">
        <v>322</v>
      </c>
      <c r="CT2139" s="1384"/>
      <c r="DF2139" s="340">
        <v>78.180000000000007</v>
      </c>
      <c r="DG2139" s="340" t="s">
        <v>340</v>
      </c>
      <c r="DV2139" s="340">
        <v>321.05</v>
      </c>
      <c r="DW2139" s="340" t="s">
        <v>341</v>
      </c>
      <c r="DX2139" s="1671"/>
    </row>
    <row r="2140" spans="12:128">
      <c r="L2140" s="2481">
        <v>78.45</v>
      </c>
      <c r="M2140" s="340" t="s">
        <v>340</v>
      </c>
      <c r="N2140" s="1390"/>
      <c r="O2140" s="2479"/>
      <c r="P2140" s="2282"/>
      <c r="AG2140" s="2297">
        <v>321.06</v>
      </c>
      <c r="AH2140" s="2297" t="s">
        <v>341</v>
      </c>
      <c r="AI2140" s="1390"/>
      <c r="AJ2140" s="2282"/>
      <c r="AK2140" s="2282"/>
      <c r="AL2140" s="1037"/>
      <c r="AX2140" s="340">
        <v>60.05</v>
      </c>
      <c r="AY2140" s="340" t="s">
        <v>340</v>
      </c>
      <c r="BN2140" s="340">
        <v>312.04000000000002</v>
      </c>
      <c r="BO2140" s="340" t="s">
        <v>341</v>
      </c>
      <c r="BP2140" s="1385"/>
      <c r="BV2140" s="236">
        <v>3.11</v>
      </c>
      <c r="BW2140" s="236" t="s">
        <v>328</v>
      </c>
      <c r="CB2140" s="340">
        <v>63.02</v>
      </c>
      <c r="CC2140" s="340" t="s">
        <v>340</v>
      </c>
      <c r="CL2140" s="236">
        <v>116.13</v>
      </c>
      <c r="CM2140" s="236" t="s">
        <v>316</v>
      </c>
      <c r="CR2140" s="340">
        <v>311.04000000000002</v>
      </c>
      <c r="CS2140" s="340" t="s">
        <v>322</v>
      </c>
      <c r="CT2140" s="1384"/>
      <c r="DF2140" s="340">
        <v>78.2</v>
      </c>
      <c r="DG2140" s="340" t="s">
        <v>340</v>
      </c>
      <c r="DV2140" s="340">
        <v>321.06</v>
      </c>
      <c r="DW2140" s="340" t="s">
        <v>341</v>
      </c>
      <c r="DX2140" s="1671"/>
    </row>
    <row r="2141" spans="12:128">
      <c r="L2141" s="2481">
        <v>78.459999999999994</v>
      </c>
      <c r="M2141" s="340" t="s">
        <v>340</v>
      </c>
      <c r="N2141" s="1390"/>
      <c r="O2141" s="2479"/>
      <c r="P2141" s="2282"/>
      <c r="AG2141" s="2297">
        <v>321.07</v>
      </c>
      <c r="AH2141" s="2297" t="s">
        <v>341</v>
      </c>
      <c r="AI2141" s="1390"/>
      <c r="AJ2141" s="2282"/>
      <c r="AK2141" s="2282"/>
      <c r="AL2141" s="1037"/>
      <c r="AX2141" s="340">
        <v>60.06</v>
      </c>
      <c r="AY2141" s="340" t="s">
        <v>340</v>
      </c>
      <c r="BN2141" s="340">
        <v>312.05</v>
      </c>
      <c r="BO2141" s="340" t="s">
        <v>289</v>
      </c>
      <c r="BP2141" s="1385"/>
      <c r="BV2141" s="236">
        <v>3.12</v>
      </c>
      <c r="BW2141" s="236" t="s">
        <v>328</v>
      </c>
      <c r="CB2141" s="340">
        <v>64.010000000000005</v>
      </c>
      <c r="CC2141" s="340" t="s">
        <v>340</v>
      </c>
      <c r="CL2141" s="236">
        <v>116.14</v>
      </c>
      <c r="CM2141" s="236" t="s">
        <v>316</v>
      </c>
      <c r="CR2141" s="340">
        <v>311.05</v>
      </c>
      <c r="CS2141" s="340" t="s">
        <v>322</v>
      </c>
      <c r="CT2141" s="1384"/>
      <c r="DF2141" s="340">
        <v>78.209999999999994</v>
      </c>
      <c r="DG2141" s="340" t="s">
        <v>340</v>
      </c>
      <c r="DV2141" s="340">
        <v>321.07</v>
      </c>
      <c r="DW2141" s="340" t="s">
        <v>341</v>
      </c>
      <c r="DX2141" s="1671"/>
    </row>
    <row r="2142" spans="12:128">
      <c r="L2142" s="2481">
        <v>78.47</v>
      </c>
      <c r="M2142" s="340" t="s">
        <v>340</v>
      </c>
      <c r="N2142" s="1390"/>
      <c r="O2142" s="2479"/>
      <c r="P2142" s="2282"/>
      <c r="AG2142" s="2297">
        <v>321.08</v>
      </c>
      <c r="AH2142" s="2297" t="s">
        <v>341</v>
      </c>
      <c r="AI2142" s="1390"/>
      <c r="AJ2142" s="2282"/>
      <c r="AK2142" s="2282"/>
      <c r="AL2142" s="1037"/>
      <c r="AX2142" s="340">
        <v>60.08</v>
      </c>
      <c r="AY2142" s="340" t="s">
        <v>340</v>
      </c>
      <c r="BN2142" s="340">
        <v>312.05</v>
      </c>
      <c r="BO2142" s="340" t="s">
        <v>322</v>
      </c>
      <c r="BP2142" s="1385"/>
      <c r="BV2142" s="236">
        <v>3.13</v>
      </c>
      <c r="BW2142" s="236" t="s">
        <v>328</v>
      </c>
      <c r="CB2142" s="340">
        <v>64.02</v>
      </c>
      <c r="CC2142" s="340" t="s">
        <v>340</v>
      </c>
      <c r="CL2142" s="236">
        <v>116.15</v>
      </c>
      <c r="CM2142" s="236" t="s">
        <v>316</v>
      </c>
      <c r="CR2142" s="340">
        <v>311.06</v>
      </c>
      <c r="CS2142" s="340" t="s">
        <v>322</v>
      </c>
      <c r="CT2142" s="1384"/>
      <c r="DF2142" s="340">
        <v>78.23</v>
      </c>
      <c r="DG2142" s="340" t="s">
        <v>340</v>
      </c>
      <c r="DV2142" s="340">
        <v>321.08</v>
      </c>
      <c r="DW2142" s="340" t="s">
        <v>341</v>
      </c>
      <c r="DX2142" s="1671"/>
    </row>
    <row r="2143" spans="12:128">
      <c r="L2143" s="2481">
        <v>78.48</v>
      </c>
      <c r="M2143" s="340" t="s">
        <v>340</v>
      </c>
      <c r="N2143" s="1390"/>
      <c r="O2143" s="2479"/>
      <c r="P2143" s="2282"/>
      <c r="AG2143" s="2297">
        <v>321.08999999999997</v>
      </c>
      <c r="AH2143" s="2297" t="s">
        <v>341</v>
      </c>
      <c r="AI2143" s="1390"/>
      <c r="AJ2143" s="2282"/>
      <c r="AK2143" s="2282"/>
      <c r="AL2143" s="1037"/>
      <c r="AX2143" s="340">
        <v>62.02</v>
      </c>
      <c r="AY2143" s="340" t="s">
        <v>340</v>
      </c>
      <c r="BN2143" s="340">
        <v>312.06</v>
      </c>
      <c r="BO2143" s="340" t="s">
        <v>289</v>
      </c>
      <c r="BP2143" s="1385"/>
      <c r="BV2143" s="236">
        <v>3.14</v>
      </c>
      <c r="BW2143" s="236" t="s">
        <v>328</v>
      </c>
      <c r="CB2143" s="340">
        <v>65.010000000000005</v>
      </c>
      <c r="CC2143" s="340" t="s">
        <v>340</v>
      </c>
      <c r="CL2143" s="236">
        <v>116.16</v>
      </c>
      <c r="CM2143" s="236" t="s">
        <v>316</v>
      </c>
      <c r="CR2143" s="340">
        <v>311.08</v>
      </c>
      <c r="CS2143" s="340" t="s">
        <v>322</v>
      </c>
      <c r="CT2143" s="1384"/>
      <c r="DF2143" s="340">
        <v>78.3</v>
      </c>
      <c r="DG2143" s="340" t="s">
        <v>340</v>
      </c>
      <c r="DV2143" s="340">
        <v>321.08999999999997</v>
      </c>
      <c r="DW2143" s="340" t="s">
        <v>341</v>
      </c>
      <c r="DX2143" s="1671"/>
    </row>
    <row r="2144" spans="12:128">
      <c r="L2144" s="2481">
        <v>78.489999999999995</v>
      </c>
      <c r="M2144" s="340" t="s">
        <v>340</v>
      </c>
      <c r="N2144" s="1390"/>
      <c r="O2144" s="2479"/>
      <c r="P2144" s="2282"/>
      <c r="AG2144" s="2297">
        <v>321.10000000000002</v>
      </c>
      <c r="AH2144" s="2297" t="s">
        <v>341</v>
      </c>
      <c r="AI2144" s="1390"/>
      <c r="AJ2144" s="2282"/>
      <c r="AK2144" s="2282"/>
      <c r="AL2144" s="1037"/>
      <c r="AX2144" s="340">
        <v>63.01</v>
      </c>
      <c r="AY2144" s="340" t="s">
        <v>340</v>
      </c>
      <c r="BN2144" s="340">
        <v>312.06</v>
      </c>
      <c r="BO2144" s="340" t="s">
        <v>341</v>
      </c>
      <c r="BP2144" s="1385"/>
      <c r="BV2144" s="236">
        <v>4.03</v>
      </c>
      <c r="BW2144" s="236" t="s">
        <v>328</v>
      </c>
      <c r="CB2144" s="340">
        <v>65.02</v>
      </c>
      <c r="CC2144" s="340" t="s">
        <v>340</v>
      </c>
      <c r="CL2144" s="236">
        <v>116.17</v>
      </c>
      <c r="CM2144" s="236" t="s">
        <v>316</v>
      </c>
      <c r="CR2144" s="340">
        <v>312.02</v>
      </c>
      <c r="CS2144" s="340" t="s">
        <v>296</v>
      </c>
      <c r="CT2144" s="1384"/>
      <c r="DF2144" s="340">
        <v>78.31</v>
      </c>
      <c r="DG2144" s="340" t="s">
        <v>340</v>
      </c>
      <c r="DV2144" s="340">
        <v>321.10000000000002</v>
      </c>
      <c r="DW2144" s="340" t="s">
        <v>341</v>
      </c>
      <c r="DX2144" s="1671"/>
    </row>
    <row r="2145" spans="12:128">
      <c r="L2145" s="2481">
        <v>78.5</v>
      </c>
      <c r="M2145" s="340" t="s">
        <v>340</v>
      </c>
      <c r="N2145" s="1390"/>
      <c r="O2145" s="2479"/>
      <c r="P2145" s="2282"/>
      <c r="AG2145" s="2297">
        <v>321.11</v>
      </c>
      <c r="AH2145" s="2297" t="s">
        <v>341</v>
      </c>
      <c r="AI2145" s="1390"/>
      <c r="AJ2145" s="2282"/>
      <c r="AK2145" s="2282"/>
      <c r="AL2145" s="1037"/>
      <c r="AX2145" s="340">
        <v>63.02</v>
      </c>
      <c r="AY2145" s="340" t="s">
        <v>340</v>
      </c>
      <c r="BN2145" s="340">
        <v>312.07</v>
      </c>
      <c r="BO2145" s="340" t="s">
        <v>289</v>
      </c>
      <c r="BP2145" s="1385"/>
      <c r="BV2145" s="236">
        <v>4.05</v>
      </c>
      <c r="BW2145" s="236" t="s">
        <v>328</v>
      </c>
      <c r="CB2145" s="340">
        <v>66.02</v>
      </c>
      <c r="CC2145" s="340" t="s">
        <v>340</v>
      </c>
      <c r="CL2145" s="236">
        <v>117</v>
      </c>
      <c r="CM2145" s="236" t="s">
        <v>302</v>
      </c>
      <c r="CR2145" s="340">
        <v>312.02999999999997</v>
      </c>
      <c r="CS2145" s="340" t="s">
        <v>289</v>
      </c>
      <c r="CT2145" s="1384"/>
      <c r="DF2145" s="340">
        <v>78.34</v>
      </c>
      <c r="DG2145" s="340" t="s">
        <v>340</v>
      </c>
      <c r="DV2145" s="340">
        <v>321.11</v>
      </c>
      <c r="DW2145" s="340" t="s">
        <v>341</v>
      </c>
      <c r="DX2145" s="1671"/>
    </row>
    <row r="2146" spans="12:128">
      <c r="L2146" s="2481">
        <v>78.510000000000005</v>
      </c>
      <c r="M2146" s="340" t="s">
        <v>340</v>
      </c>
      <c r="N2146" s="1390"/>
      <c r="O2146" s="2479"/>
      <c r="P2146" s="2282"/>
      <c r="AG2146" s="2297">
        <v>321.12</v>
      </c>
      <c r="AH2146" s="2297" t="s">
        <v>341</v>
      </c>
      <c r="AI2146" s="1390"/>
      <c r="AJ2146" s="2282"/>
      <c r="AK2146" s="2282"/>
      <c r="AL2146" s="1037"/>
      <c r="AX2146" s="340">
        <v>64.010000000000005</v>
      </c>
      <c r="AY2146" s="340" t="s">
        <v>340</v>
      </c>
      <c r="BN2146" s="340">
        <v>312.07</v>
      </c>
      <c r="BO2146" s="340" t="s">
        <v>322</v>
      </c>
      <c r="BP2146" s="1385"/>
      <c r="BV2146" s="236">
        <v>4.0599999999999996</v>
      </c>
      <c r="BW2146" s="236" t="s">
        <v>328</v>
      </c>
      <c r="CB2146" s="340">
        <v>66.069999999999993</v>
      </c>
      <c r="CC2146" s="340" t="s">
        <v>340</v>
      </c>
      <c r="CL2146" s="236">
        <v>117.01</v>
      </c>
      <c r="CM2146" s="236" t="s">
        <v>331</v>
      </c>
      <c r="CR2146" s="340">
        <v>312.02999999999997</v>
      </c>
      <c r="CS2146" s="340" t="s">
        <v>296</v>
      </c>
      <c r="CT2146" s="1384"/>
      <c r="DF2146" s="340">
        <v>78.349999999999994</v>
      </c>
      <c r="DG2146" s="340" t="s">
        <v>340</v>
      </c>
      <c r="DV2146" s="340">
        <v>321.12</v>
      </c>
      <c r="DW2146" s="340" t="s">
        <v>341</v>
      </c>
      <c r="DX2146" s="1671"/>
    </row>
    <row r="2147" spans="12:128">
      <c r="L2147" s="2481">
        <v>79.09</v>
      </c>
      <c r="M2147" s="340" t="s">
        <v>340</v>
      </c>
      <c r="N2147" s="1390"/>
      <c r="O2147" s="2479"/>
      <c r="P2147" s="2282"/>
      <c r="AG2147" s="2297">
        <v>321.13</v>
      </c>
      <c r="AH2147" s="2297" t="s">
        <v>341</v>
      </c>
      <c r="AI2147" s="1390"/>
      <c r="AJ2147" s="2282"/>
      <c r="AK2147" s="2282"/>
      <c r="AL2147" s="1037"/>
      <c r="AX2147" s="340">
        <v>64.02</v>
      </c>
      <c r="AY2147" s="340" t="s">
        <v>340</v>
      </c>
      <c r="BN2147" s="340">
        <v>312.08</v>
      </c>
      <c r="BO2147" s="340" t="s">
        <v>322</v>
      </c>
      <c r="BP2147" s="1385"/>
      <c r="BV2147" s="236">
        <v>4.07</v>
      </c>
      <c r="BW2147" s="236" t="s">
        <v>328</v>
      </c>
      <c r="CB2147" s="340">
        <v>69.06</v>
      </c>
      <c r="CC2147" s="340" t="s">
        <v>340</v>
      </c>
      <c r="CL2147" s="236">
        <v>117.01</v>
      </c>
      <c r="CM2147" s="236" t="s">
        <v>338</v>
      </c>
      <c r="CR2147" s="340">
        <v>312.04000000000002</v>
      </c>
      <c r="CS2147" s="340" t="s">
        <v>341</v>
      </c>
      <c r="CT2147" s="1384"/>
      <c r="DF2147" s="340">
        <v>78.37</v>
      </c>
      <c r="DG2147" s="340" t="s">
        <v>340</v>
      </c>
      <c r="DV2147" s="340">
        <v>321.13</v>
      </c>
      <c r="DW2147" s="340" t="s">
        <v>341</v>
      </c>
      <c r="DX2147" s="1671"/>
    </row>
    <row r="2148" spans="12:128">
      <c r="L2148" s="2481">
        <v>79.13</v>
      </c>
      <c r="M2148" s="340" t="s">
        <v>340</v>
      </c>
      <c r="N2148" s="1390"/>
      <c r="O2148" s="2479"/>
      <c r="P2148" s="2282"/>
      <c r="AG2148" s="2297">
        <v>322</v>
      </c>
      <c r="AH2148" s="2297" t="s">
        <v>341</v>
      </c>
      <c r="AI2148" s="1390"/>
      <c r="AJ2148" s="2282"/>
      <c r="AK2148" s="2282"/>
      <c r="AL2148" s="1037"/>
      <c r="AX2148" s="340">
        <v>65.02</v>
      </c>
      <c r="AY2148" s="340" t="s">
        <v>340</v>
      </c>
      <c r="BN2148" s="340">
        <v>312.08</v>
      </c>
      <c r="BO2148" s="340" t="s">
        <v>341</v>
      </c>
      <c r="BP2148" s="1385"/>
      <c r="BV2148" s="236">
        <v>4.09</v>
      </c>
      <c r="BW2148" s="236" t="s">
        <v>328</v>
      </c>
      <c r="CB2148" s="340">
        <v>69.069999999999993</v>
      </c>
      <c r="CC2148" s="340" t="s">
        <v>340</v>
      </c>
      <c r="CL2148" s="236">
        <v>117.02</v>
      </c>
      <c r="CM2148" s="236" t="s">
        <v>331</v>
      </c>
      <c r="CR2148" s="340">
        <v>312.05</v>
      </c>
      <c r="CS2148" s="340" t="s">
        <v>289</v>
      </c>
      <c r="CT2148" s="1384"/>
      <c r="DF2148" s="340">
        <v>78.38</v>
      </c>
      <c r="DG2148" s="340" t="s">
        <v>340</v>
      </c>
      <c r="DV2148" s="340">
        <v>322</v>
      </c>
      <c r="DW2148" s="340" t="s">
        <v>341</v>
      </c>
      <c r="DX2148" s="1671"/>
    </row>
    <row r="2149" spans="12:128">
      <c r="L2149" s="2481">
        <v>79.150000000000006</v>
      </c>
      <c r="M2149" s="340" t="s">
        <v>340</v>
      </c>
      <c r="N2149" s="1390"/>
      <c r="O2149" s="2479"/>
      <c r="P2149" s="2282"/>
      <c r="AG2149" s="2297">
        <v>323</v>
      </c>
      <c r="AH2149" s="2297" t="s">
        <v>341</v>
      </c>
      <c r="AI2149" s="1390"/>
      <c r="AJ2149" s="2282"/>
      <c r="AK2149" s="2282"/>
      <c r="AL2149" s="1037"/>
      <c r="AX2149" s="340">
        <v>66.02</v>
      </c>
      <c r="AY2149" s="340" t="s">
        <v>340</v>
      </c>
      <c r="BN2149" s="340">
        <v>313.01</v>
      </c>
      <c r="BO2149" s="340" t="s">
        <v>322</v>
      </c>
      <c r="BP2149" s="1385"/>
      <c r="BV2149" s="236">
        <v>4.0999999999999996</v>
      </c>
      <c r="BW2149" s="236" t="s">
        <v>328</v>
      </c>
      <c r="CB2149" s="340">
        <v>69.12</v>
      </c>
      <c r="CC2149" s="340" t="s">
        <v>340</v>
      </c>
      <c r="CL2149" s="236">
        <v>117.02</v>
      </c>
      <c r="CM2149" s="236" t="s">
        <v>338</v>
      </c>
      <c r="CR2149" s="340">
        <v>312.06</v>
      </c>
      <c r="CS2149" s="340" t="s">
        <v>289</v>
      </c>
      <c r="CT2149" s="1384"/>
      <c r="DF2149" s="340">
        <v>78.42</v>
      </c>
      <c r="DG2149" s="340" t="s">
        <v>340</v>
      </c>
      <c r="DV2149" s="340">
        <v>323</v>
      </c>
      <c r="DW2149" s="340" t="s">
        <v>341</v>
      </c>
      <c r="DX2149" s="1671"/>
    </row>
    <row r="2150" spans="12:128">
      <c r="L2150" s="2481">
        <v>79.16</v>
      </c>
      <c r="M2150" s="340" t="s">
        <v>340</v>
      </c>
      <c r="N2150" s="1390"/>
      <c r="O2150" s="2479"/>
      <c r="P2150" s="2282"/>
      <c r="AG2150" s="2297">
        <v>324.01</v>
      </c>
      <c r="AH2150" s="2297" t="s">
        <v>341</v>
      </c>
      <c r="AI2150" s="1390"/>
      <c r="AJ2150" s="2282"/>
      <c r="AK2150" s="2282"/>
      <c r="AL2150" s="1037"/>
      <c r="AX2150" s="340">
        <v>66.06</v>
      </c>
      <c r="AY2150" s="340" t="s">
        <v>340</v>
      </c>
      <c r="BN2150" s="340">
        <v>313.01</v>
      </c>
      <c r="BO2150" s="340" t="s">
        <v>341</v>
      </c>
      <c r="BP2150" s="1385"/>
      <c r="BV2150" s="236">
        <v>5.01</v>
      </c>
      <c r="BW2150" s="236" t="s">
        <v>328</v>
      </c>
      <c r="CB2150" s="340">
        <v>70.05</v>
      </c>
      <c r="CC2150" s="340" t="s">
        <v>340</v>
      </c>
      <c r="CL2150" s="236">
        <v>117.04</v>
      </c>
      <c r="CM2150" s="236" t="s">
        <v>344</v>
      </c>
      <c r="CR2150" s="340">
        <v>312.07</v>
      </c>
      <c r="CS2150" s="340" t="s">
        <v>289</v>
      </c>
      <c r="CT2150" s="1384"/>
      <c r="DF2150" s="340">
        <v>78.430000000000007</v>
      </c>
      <c r="DG2150" s="340" t="s">
        <v>340</v>
      </c>
      <c r="DV2150" s="340">
        <v>324.01</v>
      </c>
      <c r="DW2150" s="340" t="s">
        <v>341</v>
      </c>
      <c r="DX2150" s="1671"/>
    </row>
    <row r="2151" spans="12:128">
      <c r="L2151" s="2481">
        <v>79.17</v>
      </c>
      <c r="M2151" s="340" t="s">
        <v>340</v>
      </c>
      <c r="N2151" s="1390"/>
      <c r="O2151" s="2479"/>
      <c r="P2151" s="2282"/>
      <c r="AG2151" s="2297">
        <v>328.02</v>
      </c>
      <c r="AH2151" s="2297" t="s">
        <v>341</v>
      </c>
      <c r="AI2151" s="1390"/>
      <c r="AJ2151" s="2282"/>
      <c r="AK2151" s="2282"/>
      <c r="AL2151" s="1037"/>
      <c r="AX2151" s="340">
        <v>66.069999999999993</v>
      </c>
      <c r="AY2151" s="340" t="s">
        <v>340</v>
      </c>
      <c r="BN2151" s="340">
        <v>313.02</v>
      </c>
      <c r="BO2151" s="340" t="s">
        <v>296</v>
      </c>
      <c r="BP2151" s="1385"/>
      <c r="BV2151" s="236">
        <v>5.03</v>
      </c>
      <c r="BW2151" s="236" t="s">
        <v>328</v>
      </c>
      <c r="CB2151" s="340">
        <v>70.06</v>
      </c>
      <c r="CC2151" s="340" t="s">
        <v>340</v>
      </c>
      <c r="CL2151" s="236">
        <v>117.08</v>
      </c>
      <c r="CM2151" s="236" t="s">
        <v>316</v>
      </c>
      <c r="CR2151" s="340">
        <v>312.07</v>
      </c>
      <c r="CS2151" s="340" t="s">
        <v>322</v>
      </c>
      <c r="CT2151" s="1384"/>
      <c r="DF2151" s="340">
        <v>78.44</v>
      </c>
      <c r="DG2151" s="340" t="s">
        <v>340</v>
      </c>
      <c r="DV2151" s="340">
        <v>328.02</v>
      </c>
      <c r="DW2151" s="340" t="s">
        <v>341</v>
      </c>
      <c r="DX2151" s="1671"/>
    </row>
    <row r="2152" spans="12:128">
      <c r="L2152" s="2481">
        <v>79.180000000000007</v>
      </c>
      <c r="M2152" s="340" t="s">
        <v>340</v>
      </c>
      <c r="N2152" s="1390"/>
      <c r="O2152" s="2479"/>
      <c r="P2152" s="2282"/>
      <c r="AG2152" s="2297">
        <v>328.05</v>
      </c>
      <c r="AH2152" s="2297" t="s">
        <v>341</v>
      </c>
      <c r="AI2152" s="1390"/>
      <c r="AJ2152" s="2282"/>
      <c r="AK2152" s="2282"/>
      <c r="AL2152" s="1037"/>
      <c r="AX2152" s="340">
        <v>69.06</v>
      </c>
      <c r="AY2152" s="340" t="s">
        <v>340</v>
      </c>
      <c r="BN2152" s="340">
        <v>313.02</v>
      </c>
      <c r="BO2152" s="340" t="s">
        <v>341</v>
      </c>
      <c r="BP2152" s="1385"/>
      <c r="BV2152" s="236">
        <v>5.04</v>
      </c>
      <c r="BW2152" s="236" t="s">
        <v>328</v>
      </c>
      <c r="CB2152" s="340">
        <v>70.069999999999993</v>
      </c>
      <c r="CC2152" s="340" t="s">
        <v>340</v>
      </c>
      <c r="CL2152" s="236">
        <v>117.12</v>
      </c>
      <c r="CM2152" s="236" t="s">
        <v>316</v>
      </c>
      <c r="CR2152" s="340">
        <v>312.08</v>
      </c>
      <c r="CS2152" s="340" t="s">
        <v>322</v>
      </c>
      <c r="CT2152" s="1384"/>
      <c r="DF2152" s="340">
        <v>78.459999999999994</v>
      </c>
      <c r="DG2152" s="340" t="s">
        <v>340</v>
      </c>
      <c r="DV2152" s="340">
        <v>328.05</v>
      </c>
      <c r="DW2152" s="340" t="s">
        <v>341</v>
      </c>
      <c r="DX2152" s="1671"/>
    </row>
    <row r="2153" spans="12:128">
      <c r="L2153" s="2481">
        <v>79.19</v>
      </c>
      <c r="M2153" s="340" t="s">
        <v>340</v>
      </c>
      <c r="N2153" s="1390"/>
      <c r="O2153" s="2479"/>
      <c r="P2153" s="2282"/>
      <c r="AG2153" s="2297">
        <v>329.01</v>
      </c>
      <c r="AH2153" s="2297" t="s">
        <v>341</v>
      </c>
      <c r="AI2153" s="1390"/>
      <c r="AJ2153" s="2282"/>
      <c r="AK2153" s="2282"/>
      <c r="AL2153" s="1037"/>
      <c r="AX2153" s="340">
        <v>69.069999999999993</v>
      </c>
      <c r="AY2153" s="340" t="s">
        <v>340</v>
      </c>
      <c r="BN2153" s="340">
        <v>313.06</v>
      </c>
      <c r="BO2153" s="340" t="s">
        <v>322</v>
      </c>
      <c r="BP2153" s="1385"/>
      <c r="BV2153" s="236">
        <v>6.01</v>
      </c>
      <c r="BW2153" s="236" t="s">
        <v>328</v>
      </c>
      <c r="CB2153" s="340">
        <v>70.08</v>
      </c>
      <c r="CC2153" s="340" t="s">
        <v>340</v>
      </c>
      <c r="CL2153" s="236">
        <v>117.13</v>
      </c>
      <c r="CM2153" s="236" t="s">
        <v>316</v>
      </c>
      <c r="CR2153" s="340">
        <v>312.08</v>
      </c>
      <c r="CS2153" s="340" t="s">
        <v>341</v>
      </c>
      <c r="CT2153" s="1384"/>
      <c r="DF2153" s="340">
        <v>78.47</v>
      </c>
      <c r="DG2153" s="340" t="s">
        <v>340</v>
      </c>
      <c r="DV2153" s="340">
        <v>329.01</v>
      </c>
      <c r="DW2153" s="340" t="s">
        <v>341</v>
      </c>
      <c r="DX2153" s="1671"/>
    </row>
    <row r="2154" spans="12:128">
      <c r="L2154" s="2481">
        <v>302.02</v>
      </c>
      <c r="M2154" s="340" t="s">
        <v>341</v>
      </c>
      <c r="N2154" s="1390"/>
      <c r="O2154" s="2479"/>
      <c r="P2154" s="2282"/>
      <c r="AG2154" s="2297">
        <v>329.02</v>
      </c>
      <c r="AH2154" s="2297" t="s">
        <v>341</v>
      </c>
      <c r="AI2154" s="1390"/>
      <c r="AJ2154" s="2282"/>
      <c r="AK2154" s="2282"/>
      <c r="AL2154" s="1037"/>
      <c r="AX2154" s="340">
        <v>69.12</v>
      </c>
      <c r="AY2154" s="340" t="s">
        <v>340</v>
      </c>
      <c r="BN2154" s="340">
        <v>313.08</v>
      </c>
      <c r="BO2154" s="340" t="s">
        <v>322</v>
      </c>
      <c r="BP2154" s="1385"/>
      <c r="BV2154" s="236">
        <v>6.03</v>
      </c>
      <c r="BW2154" s="236" t="s">
        <v>328</v>
      </c>
      <c r="CB2154" s="340">
        <v>70.09</v>
      </c>
      <c r="CC2154" s="340" t="s">
        <v>340</v>
      </c>
      <c r="CL2154" s="236">
        <v>117.14</v>
      </c>
      <c r="CM2154" s="236" t="s">
        <v>316</v>
      </c>
      <c r="CR2154" s="340">
        <v>313.01</v>
      </c>
      <c r="CS2154" s="340" t="s">
        <v>322</v>
      </c>
      <c r="CT2154" s="1384"/>
      <c r="DF2154" s="340">
        <v>78.48</v>
      </c>
      <c r="DG2154" s="340" t="s">
        <v>340</v>
      </c>
      <c r="DV2154" s="340">
        <v>329.02</v>
      </c>
      <c r="DW2154" s="340" t="s">
        <v>341</v>
      </c>
      <c r="DX2154" s="1671"/>
    </row>
    <row r="2155" spans="12:128">
      <c r="L2155" s="2481">
        <v>302.05</v>
      </c>
      <c r="M2155" s="340" t="s">
        <v>341</v>
      </c>
      <c r="N2155" s="1390"/>
      <c r="O2155" s="2479"/>
      <c r="P2155" s="2282"/>
      <c r="AG2155" s="2297">
        <v>329.05</v>
      </c>
      <c r="AH2155" s="2297" t="s">
        <v>341</v>
      </c>
      <c r="AI2155" s="1390"/>
      <c r="AJ2155" s="2282"/>
      <c r="AK2155" s="2282"/>
      <c r="AL2155" s="1037"/>
      <c r="AX2155" s="340">
        <v>70.05</v>
      </c>
      <c r="AY2155" s="340" t="s">
        <v>340</v>
      </c>
      <c r="BN2155" s="340">
        <v>313.08999999999997</v>
      </c>
      <c r="BO2155" s="340" t="s">
        <v>322</v>
      </c>
      <c r="BP2155" s="1385"/>
      <c r="BV2155" s="236">
        <v>6.04</v>
      </c>
      <c r="BW2155" s="236" t="s">
        <v>328</v>
      </c>
      <c r="CB2155" s="340">
        <v>70.099999999999994</v>
      </c>
      <c r="CC2155" s="340" t="s">
        <v>340</v>
      </c>
      <c r="CL2155" s="236">
        <v>117.15</v>
      </c>
      <c r="CM2155" s="236" t="s">
        <v>316</v>
      </c>
      <c r="CR2155" s="340">
        <v>313.02</v>
      </c>
      <c r="CS2155" s="340" t="s">
        <v>296</v>
      </c>
      <c r="CT2155" s="1384"/>
      <c r="DF2155" s="340">
        <v>78.489999999999995</v>
      </c>
      <c r="DG2155" s="340" t="s">
        <v>340</v>
      </c>
      <c r="DV2155" s="340">
        <v>329.05</v>
      </c>
      <c r="DW2155" s="340" t="s">
        <v>341</v>
      </c>
      <c r="DX2155" s="1671"/>
    </row>
    <row r="2156" spans="12:128">
      <c r="L2156" s="2481">
        <v>303.02999999999997</v>
      </c>
      <c r="M2156" s="340" t="s">
        <v>341</v>
      </c>
      <c r="N2156" s="1390"/>
      <c r="O2156" s="2479"/>
      <c r="P2156" s="2282"/>
      <c r="AG2156" s="2297">
        <v>330.05</v>
      </c>
      <c r="AH2156" s="2297" t="s">
        <v>341</v>
      </c>
      <c r="AI2156" s="1390"/>
      <c r="AJ2156" s="2282"/>
      <c r="AK2156" s="2282"/>
      <c r="AL2156" s="1037"/>
      <c r="AX2156" s="340">
        <v>70.06</v>
      </c>
      <c r="AY2156" s="340" t="s">
        <v>340</v>
      </c>
      <c r="BN2156" s="340">
        <v>313.13</v>
      </c>
      <c r="BO2156" s="340" t="s">
        <v>322</v>
      </c>
      <c r="BP2156" s="1385"/>
      <c r="BV2156" s="236">
        <v>7.03</v>
      </c>
      <c r="BW2156" s="236" t="s">
        <v>328</v>
      </c>
      <c r="CB2156" s="340">
        <v>70.11</v>
      </c>
      <c r="CC2156" s="340" t="s">
        <v>340</v>
      </c>
      <c r="CL2156" s="236">
        <v>117.16</v>
      </c>
      <c r="CM2156" s="236" t="s">
        <v>316</v>
      </c>
      <c r="CR2156" s="340">
        <v>313.02</v>
      </c>
      <c r="CS2156" s="340" t="s">
        <v>341</v>
      </c>
      <c r="CT2156" s="1384"/>
      <c r="DF2156" s="340">
        <v>78.5</v>
      </c>
      <c r="DG2156" s="340" t="s">
        <v>340</v>
      </c>
      <c r="DV2156" s="340">
        <v>330.05</v>
      </c>
      <c r="DW2156" s="340" t="s">
        <v>341</v>
      </c>
      <c r="DX2156" s="1671"/>
    </row>
    <row r="2157" spans="12:128">
      <c r="L2157" s="2481">
        <v>303.04000000000002</v>
      </c>
      <c r="M2157" s="340" t="s">
        <v>341</v>
      </c>
      <c r="N2157" s="1390"/>
      <c r="O2157" s="2479"/>
      <c r="P2157" s="2282"/>
      <c r="AG2157" s="2297">
        <v>330.06</v>
      </c>
      <c r="AH2157" s="2297" t="s">
        <v>341</v>
      </c>
      <c r="AI2157" s="1390"/>
      <c r="AJ2157" s="2282"/>
      <c r="AK2157" s="2282"/>
      <c r="AL2157" s="1037"/>
      <c r="AX2157" s="340">
        <v>70.069999999999993</v>
      </c>
      <c r="AY2157" s="340" t="s">
        <v>340</v>
      </c>
      <c r="BN2157" s="340">
        <v>313.14</v>
      </c>
      <c r="BO2157" s="340" t="s">
        <v>322</v>
      </c>
      <c r="BP2157" s="1385"/>
      <c r="BV2157" s="236">
        <v>7.04</v>
      </c>
      <c r="BW2157" s="236" t="s">
        <v>328</v>
      </c>
      <c r="CB2157" s="340">
        <v>70.12</v>
      </c>
      <c r="CC2157" s="340" t="s">
        <v>340</v>
      </c>
      <c r="CL2157" s="236">
        <v>117.21</v>
      </c>
      <c r="CM2157" s="236" t="s">
        <v>344</v>
      </c>
      <c r="CR2157" s="340">
        <v>313.06</v>
      </c>
      <c r="CS2157" s="340" t="s">
        <v>322</v>
      </c>
      <c r="CT2157" s="1384"/>
      <c r="DF2157" s="340">
        <v>78.53</v>
      </c>
      <c r="DG2157" s="340" t="s">
        <v>340</v>
      </c>
      <c r="DV2157" s="340">
        <v>330.06</v>
      </c>
      <c r="DW2157" s="340" t="s">
        <v>341</v>
      </c>
      <c r="DX2157" s="1671"/>
    </row>
    <row r="2158" spans="12:128">
      <c r="L2158" s="2481">
        <v>304.04000000000002</v>
      </c>
      <c r="M2158" s="340" t="s">
        <v>341</v>
      </c>
      <c r="N2158" s="1390"/>
      <c r="O2158" s="2479"/>
      <c r="P2158" s="2282"/>
      <c r="AG2158" s="2297">
        <v>331.02</v>
      </c>
      <c r="AH2158" s="2297" t="s">
        <v>341</v>
      </c>
      <c r="AI2158" s="1390"/>
      <c r="AJ2158" s="2282"/>
      <c r="AK2158" s="2282"/>
      <c r="AL2158" s="1037"/>
      <c r="AX2158" s="340">
        <v>70.08</v>
      </c>
      <c r="AY2158" s="340" t="s">
        <v>340</v>
      </c>
      <c r="BN2158" s="340">
        <v>313.14999999999998</v>
      </c>
      <c r="BO2158" s="340" t="s">
        <v>322</v>
      </c>
      <c r="BP2158" s="1385"/>
      <c r="BV2158" s="236">
        <v>7.05</v>
      </c>
      <c r="BW2158" s="236" t="s">
        <v>328</v>
      </c>
      <c r="CB2158" s="340">
        <v>70.13</v>
      </c>
      <c r="CC2158" s="340" t="s">
        <v>340</v>
      </c>
      <c r="CL2158" s="236">
        <v>117.22</v>
      </c>
      <c r="CM2158" s="236" t="s">
        <v>344</v>
      </c>
      <c r="CR2158" s="340">
        <v>313.08</v>
      </c>
      <c r="CS2158" s="340" t="s">
        <v>322</v>
      </c>
      <c r="CT2158" s="1384"/>
      <c r="DF2158" s="340">
        <v>79.09</v>
      </c>
      <c r="DG2158" s="340" t="s">
        <v>340</v>
      </c>
      <c r="DV2158" s="340">
        <v>331.01</v>
      </c>
      <c r="DW2158" s="340" t="s">
        <v>341</v>
      </c>
      <c r="DX2158" s="1671"/>
    </row>
    <row r="2159" spans="12:128">
      <c r="L2159" s="2481">
        <v>304.06</v>
      </c>
      <c r="M2159" s="340" t="s">
        <v>341</v>
      </c>
      <c r="N2159" s="1390"/>
      <c r="O2159" s="2479"/>
      <c r="P2159" s="2282"/>
      <c r="AG2159" s="2297">
        <v>401.01</v>
      </c>
      <c r="AH2159" s="2297" t="s">
        <v>281</v>
      </c>
      <c r="AI2159" s="1390"/>
      <c r="AJ2159" s="2282"/>
      <c r="AK2159" s="2282"/>
      <c r="AL2159" s="1037"/>
      <c r="AX2159" s="340">
        <v>70.09</v>
      </c>
      <c r="AY2159" s="340" t="s">
        <v>340</v>
      </c>
      <c r="BN2159" s="340">
        <v>313.16000000000003</v>
      </c>
      <c r="BO2159" s="340" t="s">
        <v>322</v>
      </c>
      <c r="BP2159" s="1385"/>
      <c r="BV2159" s="236">
        <v>8.0399999999999991</v>
      </c>
      <c r="BW2159" s="236" t="s">
        <v>328</v>
      </c>
      <c r="CB2159" s="340">
        <v>72.02</v>
      </c>
      <c r="CC2159" s="340" t="s">
        <v>340</v>
      </c>
      <c r="CL2159" s="236">
        <v>117.31</v>
      </c>
      <c r="CM2159" s="236" t="s">
        <v>344</v>
      </c>
      <c r="CR2159" s="340">
        <v>313.08999999999997</v>
      </c>
      <c r="CS2159" s="340" t="s">
        <v>322</v>
      </c>
      <c r="CT2159" s="1384"/>
      <c r="DF2159" s="340">
        <v>79.150000000000006</v>
      </c>
      <c r="DG2159" s="340" t="s">
        <v>340</v>
      </c>
      <c r="DV2159" s="340">
        <v>331.02</v>
      </c>
      <c r="DW2159" s="340" t="s">
        <v>341</v>
      </c>
      <c r="DX2159" s="1671"/>
    </row>
    <row r="2160" spans="12:128">
      <c r="L2160" s="2481">
        <v>304.08</v>
      </c>
      <c r="M2160" s="340" t="s">
        <v>341</v>
      </c>
      <c r="N2160" s="1390"/>
      <c r="O2160" s="2479"/>
      <c r="P2160" s="2282"/>
      <c r="AG2160" s="2297">
        <v>401.02</v>
      </c>
      <c r="AH2160" s="2297" t="s">
        <v>289</v>
      </c>
      <c r="AI2160" s="1390"/>
      <c r="AJ2160" s="2282"/>
      <c r="AK2160" s="2282"/>
      <c r="AL2160" s="1037"/>
      <c r="AX2160" s="340">
        <v>70.099999999999994</v>
      </c>
      <c r="AY2160" s="340" t="s">
        <v>340</v>
      </c>
      <c r="BN2160" s="340">
        <v>313.18</v>
      </c>
      <c r="BO2160" s="340" t="s">
        <v>322</v>
      </c>
      <c r="BP2160" s="1385"/>
      <c r="BV2160" s="236">
        <v>8.0500000000000007</v>
      </c>
      <c r="BW2160" s="236" t="s">
        <v>328</v>
      </c>
      <c r="CB2160" s="340">
        <v>72.06</v>
      </c>
      <c r="CC2160" s="340" t="s">
        <v>340</v>
      </c>
      <c r="CL2160" s="236">
        <v>117.32</v>
      </c>
      <c r="CM2160" s="236" t="s">
        <v>344</v>
      </c>
      <c r="CR2160" s="340">
        <v>313.13</v>
      </c>
      <c r="CS2160" s="340" t="s">
        <v>322</v>
      </c>
      <c r="CT2160" s="1384"/>
      <c r="DF2160" s="340">
        <v>79.16</v>
      </c>
      <c r="DG2160" s="340" t="s">
        <v>340</v>
      </c>
      <c r="DV2160" s="340">
        <v>401.01</v>
      </c>
      <c r="DW2160" s="340" t="s">
        <v>281</v>
      </c>
      <c r="DX2160" s="1671"/>
    </row>
    <row r="2161" spans="12:128">
      <c r="L2161" s="2481">
        <v>304.08999999999997</v>
      </c>
      <c r="M2161" s="340" t="s">
        <v>341</v>
      </c>
      <c r="N2161" s="1390"/>
      <c r="O2161" s="2479"/>
      <c r="P2161" s="2282"/>
      <c r="AG2161" s="2297">
        <v>401.02</v>
      </c>
      <c r="AH2161" s="2297" t="s">
        <v>314</v>
      </c>
      <c r="AI2161" s="1390"/>
      <c r="AJ2161" s="2282"/>
      <c r="AK2161" s="2282"/>
      <c r="AL2161" s="1037"/>
      <c r="AX2161" s="340">
        <v>70.11</v>
      </c>
      <c r="AY2161" s="340" t="s">
        <v>340</v>
      </c>
      <c r="BN2161" s="340">
        <v>313.19</v>
      </c>
      <c r="BO2161" s="340" t="s">
        <v>322</v>
      </c>
      <c r="BP2161" s="1385"/>
      <c r="BV2161" s="236">
        <v>8.08</v>
      </c>
      <c r="BW2161" s="236" t="s">
        <v>328</v>
      </c>
      <c r="CB2161" s="340">
        <v>72.08</v>
      </c>
      <c r="CC2161" s="340" t="s">
        <v>340</v>
      </c>
      <c r="CL2161" s="236">
        <v>118</v>
      </c>
      <c r="CM2161" s="236" t="s">
        <v>302</v>
      </c>
      <c r="CR2161" s="340">
        <v>313.14</v>
      </c>
      <c r="CS2161" s="340" t="s">
        <v>322</v>
      </c>
      <c r="CT2161" s="1384"/>
      <c r="DF2161" s="340">
        <v>79.17</v>
      </c>
      <c r="DG2161" s="340" t="s">
        <v>340</v>
      </c>
      <c r="DV2161" s="340">
        <v>401.01</v>
      </c>
      <c r="DW2161" s="340" t="s">
        <v>289</v>
      </c>
      <c r="DX2161" s="1671"/>
    </row>
    <row r="2162" spans="12:128">
      <c r="L2162" s="2481">
        <v>310.13</v>
      </c>
      <c r="M2162" s="340" t="s">
        <v>341</v>
      </c>
      <c r="N2162" s="1390"/>
      <c r="O2162" s="2479"/>
      <c r="P2162" s="2282"/>
      <c r="AG2162" s="2297">
        <v>401.08</v>
      </c>
      <c r="AH2162" s="2297" t="s">
        <v>323</v>
      </c>
      <c r="AI2162" s="1390"/>
      <c r="AJ2162" s="2282"/>
      <c r="AK2162" s="2282"/>
      <c r="AL2162" s="1037"/>
      <c r="AX2162" s="340">
        <v>70.12</v>
      </c>
      <c r="AY2162" s="340" t="s">
        <v>340</v>
      </c>
      <c r="BN2162" s="340">
        <v>313.2</v>
      </c>
      <c r="BO2162" s="340" t="s">
        <v>322</v>
      </c>
      <c r="BP2162" s="1385"/>
      <c r="BV2162" s="236">
        <v>8.09</v>
      </c>
      <c r="BW2162" s="236" t="s">
        <v>328</v>
      </c>
      <c r="CB2162" s="340">
        <v>73.010000000000005</v>
      </c>
      <c r="CC2162" s="340" t="s">
        <v>340</v>
      </c>
      <c r="CL2162" s="236">
        <v>118</v>
      </c>
      <c r="CM2162" s="236" t="s">
        <v>331</v>
      </c>
      <c r="CR2162" s="340">
        <v>313.14999999999998</v>
      </c>
      <c r="CS2162" s="340" t="s">
        <v>322</v>
      </c>
      <c r="CT2162" s="1384"/>
      <c r="DF2162" s="340">
        <v>79.180000000000007</v>
      </c>
      <c r="DG2162" s="340" t="s">
        <v>340</v>
      </c>
      <c r="DV2162" s="340">
        <v>401.02</v>
      </c>
      <c r="DW2162" s="340" t="s">
        <v>289</v>
      </c>
      <c r="DX2162" s="1671"/>
    </row>
    <row r="2163" spans="12:128">
      <c r="L2163" s="2481">
        <v>312.04000000000002</v>
      </c>
      <c r="M2163" s="340" t="s">
        <v>341</v>
      </c>
      <c r="N2163" s="1390"/>
      <c r="O2163" s="2479"/>
      <c r="P2163" s="2282"/>
      <c r="AG2163" s="2297">
        <v>401.1</v>
      </c>
      <c r="AH2163" s="2297" t="s">
        <v>323</v>
      </c>
      <c r="AI2163" s="1390"/>
      <c r="AJ2163" s="2282"/>
      <c r="AK2163" s="2282"/>
      <c r="AL2163" s="1037"/>
      <c r="AX2163" s="340">
        <v>70.13</v>
      </c>
      <c r="AY2163" s="340" t="s">
        <v>340</v>
      </c>
      <c r="BN2163" s="340">
        <v>313.20999999999998</v>
      </c>
      <c r="BO2163" s="340" t="s">
        <v>322</v>
      </c>
      <c r="BP2163" s="1385"/>
      <c r="BV2163" s="236">
        <v>8.1</v>
      </c>
      <c r="BW2163" s="236" t="s">
        <v>328</v>
      </c>
      <c r="CB2163" s="340">
        <v>74.069999999999993</v>
      </c>
      <c r="CC2163" s="340" t="s">
        <v>340</v>
      </c>
      <c r="CL2163" s="236">
        <v>118.02</v>
      </c>
      <c r="CM2163" s="236" t="s">
        <v>316</v>
      </c>
      <c r="CR2163" s="340">
        <v>313.16000000000003</v>
      </c>
      <c r="CS2163" s="340" t="s">
        <v>322</v>
      </c>
      <c r="CT2163" s="1384"/>
      <c r="DF2163" s="340">
        <v>79.19</v>
      </c>
      <c r="DG2163" s="340" t="s">
        <v>340</v>
      </c>
      <c r="DV2163" s="340">
        <v>401.02</v>
      </c>
      <c r="DW2163" s="340" t="s">
        <v>314</v>
      </c>
      <c r="DX2163" s="1671"/>
    </row>
    <row r="2164" spans="12:128">
      <c r="L2164" s="2481">
        <v>312.08</v>
      </c>
      <c r="M2164" s="340" t="s">
        <v>341</v>
      </c>
      <c r="N2164" s="1390"/>
      <c r="O2164" s="2479"/>
      <c r="P2164" s="2282"/>
      <c r="AG2164" s="2297">
        <v>401.11</v>
      </c>
      <c r="AH2164" s="2297" t="s">
        <v>323</v>
      </c>
      <c r="AI2164" s="1390"/>
      <c r="AJ2164" s="2282"/>
      <c r="AK2164" s="2282"/>
      <c r="AL2164" s="1037"/>
      <c r="AX2164" s="340">
        <v>72.02</v>
      </c>
      <c r="AY2164" s="340" t="s">
        <v>340</v>
      </c>
      <c r="BN2164" s="340">
        <v>313.22000000000003</v>
      </c>
      <c r="BO2164" s="340" t="s">
        <v>322</v>
      </c>
      <c r="BP2164" s="1385"/>
      <c r="BV2164" s="236">
        <v>8.11</v>
      </c>
      <c r="BW2164" s="236" t="s">
        <v>328</v>
      </c>
      <c r="CB2164" s="340">
        <v>74.099999999999994</v>
      </c>
      <c r="CC2164" s="340" t="s">
        <v>340</v>
      </c>
      <c r="CL2164" s="236">
        <v>118.04</v>
      </c>
      <c r="CM2164" s="236" t="s">
        <v>316</v>
      </c>
      <c r="CR2164" s="340">
        <v>313.18</v>
      </c>
      <c r="CS2164" s="340" t="s">
        <v>322</v>
      </c>
      <c r="CT2164" s="1384"/>
      <c r="DF2164" s="340">
        <v>302.02</v>
      </c>
      <c r="DG2164" s="340" t="s">
        <v>341</v>
      </c>
      <c r="DV2164" s="340">
        <v>401.08</v>
      </c>
      <c r="DW2164" s="340" t="s">
        <v>323</v>
      </c>
      <c r="DX2164" s="1671"/>
    </row>
    <row r="2165" spans="12:128">
      <c r="L2165" s="2481">
        <v>313.02</v>
      </c>
      <c r="M2165" s="340" t="s">
        <v>341</v>
      </c>
      <c r="N2165" s="1390"/>
      <c r="O2165" s="2479"/>
      <c r="P2165" s="2282"/>
      <c r="AG2165" s="2297">
        <v>401.13</v>
      </c>
      <c r="AH2165" s="2297" t="s">
        <v>323</v>
      </c>
      <c r="AI2165" s="1390"/>
      <c r="AJ2165" s="2282"/>
      <c r="AK2165" s="2282"/>
      <c r="AL2165" s="1037"/>
      <c r="AX2165" s="340">
        <v>72.06</v>
      </c>
      <c r="AY2165" s="340" t="s">
        <v>340</v>
      </c>
      <c r="BN2165" s="340">
        <v>313.23</v>
      </c>
      <c r="BO2165" s="340" t="s">
        <v>322</v>
      </c>
      <c r="BP2165" s="1385"/>
      <c r="BV2165" s="236">
        <v>8.1199999999999992</v>
      </c>
      <c r="BW2165" s="236" t="s">
        <v>328</v>
      </c>
      <c r="CB2165" s="340">
        <v>74.12</v>
      </c>
      <c r="CC2165" s="340" t="s">
        <v>340</v>
      </c>
      <c r="CL2165" s="236">
        <v>118.05</v>
      </c>
      <c r="CM2165" s="236" t="s">
        <v>316</v>
      </c>
      <c r="CR2165" s="340">
        <v>313.19</v>
      </c>
      <c r="CS2165" s="340" t="s">
        <v>322</v>
      </c>
      <c r="CT2165" s="1384"/>
      <c r="DF2165" s="340">
        <v>302.04000000000002</v>
      </c>
      <c r="DG2165" s="340" t="s">
        <v>341</v>
      </c>
      <c r="DV2165" s="340">
        <v>401.1</v>
      </c>
      <c r="DW2165" s="340" t="s">
        <v>323</v>
      </c>
      <c r="DX2165" s="1671"/>
    </row>
    <row r="2166" spans="12:128">
      <c r="L2166" s="2481">
        <v>314.10000000000002</v>
      </c>
      <c r="M2166" s="340" t="s">
        <v>341</v>
      </c>
      <c r="N2166" s="1390"/>
      <c r="O2166" s="2479"/>
      <c r="P2166" s="2282"/>
      <c r="AG2166" s="2297">
        <v>401.17</v>
      </c>
      <c r="AH2166" s="2297" t="s">
        <v>323</v>
      </c>
      <c r="AI2166" s="1390"/>
      <c r="AJ2166" s="2282"/>
      <c r="AK2166" s="2282"/>
      <c r="AL2166" s="1037"/>
      <c r="AX2166" s="340">
        <v>72.069999999999993</v>
      </c>
      <c r="AY2166" s="340" t="s">
        <v>340</v>
      </c>
      <c r="BN2166" s="340">
        <v>314.04000000000002</v>
      </c>
      <c r="BO2166" s="340" t="s">
        <v>341</v>
      </c>
      <c r="BP2166" s="1385"/>
      <c r="BV2166" s="236">
        <v>8.1300000000000008</v>
      </c>
      <c r="BW2166" s="236" t="s">
        <v>328</v>
      </c>
      <c r="CB2166" s="340">
        <v>74.14</v>
      </c>
      <c r="CC2166" s="340" t="s">
        <v>340</v>
      </c>
      <c r="CL2166" s="236">
        <v>118.06</v>
      </c>
      <c r="CM2166" s="236" t="s">
        <v>316</v>
      </c>
      <c r="CR2166" s="340">
        <v>313.2</v>
      </c>
      <c r="CS2166" s="340" t="s">
        <v>322</v>
      </c>
      <c r="CT2166" s="1384"/>
      <c r="DF2166" s="340">
        <v>302.05</v>
      </c>
      <c r="DG2166" s="340" t="s">
        <v>341</v>
      </c>
      <c r="DV2166" s="340">
        <v>401.11</v>
      </c>
      <c r="DW2166" s="340" t="s">
        <v>323</v>
      </c>
      <c r="DX2166" s="1671"/>
    </row>
    <row r="2167" spans="12:128">
      <c r="L2167" s="2481">
        <v>314.11</v>
      </c>
      <c r="M2167" s="340" t="s">
        <v>341</v>
      </c>
      <c r="N2167" s="1390"/>
      <c r="O2167" s="2479"/>
      <c r="P2167" s="2282"/>
      <c r="AG2167" s="2297">
        <v>401.18</v>
      </c>
      <c r="AH2167" s="2297" t="s">
        <v>323</v>
      </c>
      <c r="AI2167" s="1390"/>
      <c r="AJ2167" s="2282"/>
      <c r="AK2167" s="2282"/>
      <c r="AL2167" s="1037"/>
      <c r="AX2167" s="340">
        <v>72.08</v>
      </c>
      <c r="AY2167" s="340" t="s">
        <v>340</v>
      </c>
      <c r="BN2167" s="340">
        <v>314.11</v>
      </c>
      <c r="BO2167" s="340" t="s">
        <v>341</v>
      </c>
      <c r="BP2167" s="1385"/>
      <c r="BV2167" s="236">
        <v>8.14</v>
      </c>
      <c r="BW2167" s="236" t="s">
        <v>328</v>
      </c>
      <c r="CB2167" s="340">
        <v>74.2</v>
      </c>
      <c r="CC2167" s="340" t="s">
        <v>340</v>
      </c>
      <c r="CL2167" s="236">
        <v>118.21</v>
      </c>
      <c r="CM2167" s="236" t="s">
        <v>344</v>
      </c>
      <c r="CR2167" s="340">
        <v>313.20999999999998</v>
      </c>
      <c r="CS2167" s="340" t="s">
        <v>322</v>
      </c>
      <c r="CT2167" s="1384"/>
      <c r="DF2167" s="340">
        <v>303.02999999999997</v>
      </c>
      <c r="DG2167" s="340" t="s">
        <v>341</v>
      </c>
      <c r="DV2167" s="340">
        <v>401.13</v>
      </c>
      <c r="DW2167" s="340" t="s">
        <v>323</v>
      </c>
      <c r="DX2167" s="1671"/>
    </row>
    <row r="2168" spans="12:128">
      <c r="L2168" s="2481">
        <v>315.02999999999997</v>
      </c>
      <c r="M2168" s="340" t="s">
        <v>341</v>
      </c>
      <c r="N2168" s="1390"/>
      <c r="O2168" s="2479"/>
      <c r="P2168" s="2282"/>
      <c r="AG2168" s="2297">
        <v>401.2</v>
      </c>
      <c r="AH2168" s="2297" t="s">
        <v>323</v>
      </c>
      <c r="AI2168" s="1390"/>
      <c r="AJ2168" s="2282"/>
      <c r="AK2168" s="2282"/>
      <c r="AL2168" s="1037"/>
      <c r="AX2168" s="340">
        <v>73.010000000000005</v>
      </c>
      <c r="AY2168" s="340" t="s">
        <v>340</v>
      </c>
      <c r="BN2168" s="340">
        <v>315.02999999999997</v>
      </c>
      <c r="BO2168" s="340" t="s">
        <v>341</v>
      </c>
      <c r="BP2168" s="1385"/>
      <c r="BV2168" s="236">
        <v>9.01</v>
      </c>
      <c r="BW2168" s="236" t="s">
        <v>328</v>
      </c>
      <c r="CB2168" s="340">
        <v>74.209999999999994</v>
      </c>
      <c r="CC2168" s="340" t="s">
        <v>340</v>
      </c>
      <c r="CL2168" s="236">
        <v>118.22</v>
      </c>
      <c r="CM2168" s="236" t="s">
        <v>344</v>
      </c>
      <c r="CR2168" s="340">
        <v>313.22000000000003</v>
      </c>
      <c r="CS2168" s="340" t="s">
        <v>322</v>
      </c>
      <c r="CT2168" s="1384"/>
      <c r="DF2168" s="340">
        <v>304.04000000000002</v>
      </c>
      <c r="DG2168" s="340" t="s">
        <v>341</v>
      </c>
      <c r="DV2168" s="340">
        <v>401.17</v>
      </c>
      <c r="DW2168" s="340" t="s">
        <v>323</v>
      </c>
      <c r="DX2168" s="1671"/>
    </row>
    <row r="2169" spans="12:128">
      <c r="L2169" s="2481">
        <v>315.04000000000002</v>
      </c>
      <c r="M2169" s="340" t="s">
        <v>341</v>
      </c>
      <c r="N2169" s="1390"/>
      <c r="O2169" s="2479"/>
      <c r="P2169" s="2282"/>
      <c r="AG2169" s="2297">
        <v>401.23</v>
      </c>
      <c r="AH2169" s="2297" t="s">
        <v>323</v>
      </c>
      <c r="AI2169" s="1390"/>
      <c r="AJ2169" s="2282"/>
      <c r="AK2169" s="2282"/>
      <c r="AL2169" s="1037"/>
      <c r="AX2169" s="340">
        <v>74.069999999999993</v>
      </c>
      <c r="AY2169" s="340" t="s">
        <v>340</v>
      </c>
      <c r="BN2169" s="340">
        <v>315.04000000000002</v>
      </c>
      <c r="BO2169" s="340" t="s">
        <v>341</v>
      </c>
      <c r="BP2169" s="1385"/>
      <c r="BV2169" s="236">
        <v>9.02</v>
      </c>
      <c r="BW2169" s="236" t="s">
        <v>328</v>
      </c>
      <c r="CB2169" s="340">
        <v>75.010000000000005</v>
      </c>
      <c r="CC2169" s="340" t="s">
        <v>340</v>
      </c>
      <c r="CL2169" s="236">
        <v>118.32</v>
      </c>
      <c r="CM2169" s="236" t="s">
        <v>344</v>
      </c>
      <c r="CR2169" s="340">
        <v>313.23</v>
      </c>
      <c r="CS2169" s="340" t="s">
        <v>322</v>
      </c>
      <c r="CT2169" s="1384"/>
      <c r="DF2169" s="340">
        <v>304.07</v>
      </c>
      <c r="DG2169" s="340" t="s">
        <v>341</v>
      </c>
      <c r="DV2169" s="340">
        <v>401.18</v>
      </c>
      <c r="DW2169" s="340" t="s">
        <v>323</v>
      </c>
      <c r="DX2169" s="1671"/>
    </row>
    <row r="2170" spans="12:128">
      <c r="L2170" s="2481">
        <v>315.06</v>
      </c>
      <c r="M2170" s="340" t="s">
        <v>341</v>
      </c>
      <c r="N2170" s="1390"/>
      <c r="O2170" s="2479"/>
      <c r="P2170" s="2282"/>
      <c r="AG2170" s="2297">
        <v>401.24</v>
      </c>
      <c r="AH2170" s="2297" t="s">
        <v>323</v>
      </c>
      <c r="AI2170" s="1390"/>
      <c r="AJ2170" s="2282"/>
      <c r="AK2170" s="2282"/>
      <c r="AL2170" s="1037"/>
      <c r="AX2170" s="340">
        <v>74.099999999999994</v>
      </c>
      <c r="AY2170" s="340" t="s">
        <v>340</v>
      </c>
      <c r="BN2170" s="340">
        <v>315.05</v>
      </c>
      <c r="BO2170" s="340" t="s">
        <v>341</v>
      </c>
      <c r="BP2170" s="1385"/>
      <c r="BV2170" s="236">
        <v>10.01</v>
      </c>
      <c r="BW2170" s="236" t="s">
        <v>328</v>
      </c>
      <c r="CB2170" s="340">
        <v>75.040000000000006</v>
      </c>
      <c r="CC2170" s="340" t="s">
        <v>340</v>
      </c>
      <c r="CL2170" s="236">
        <v>118.34</v>
      </c>
      <c r="CM2170" s="236" t="s">
        <v>344</v>
      </c>
      <c r="CR2170" s="340">
        <v>314.04000000000002</v>
      </c>
      <c r="CS2170" s="340" t="s">
        <v>341</v>
      </c>
      <c r="CT2170" s="1384"/>
      <c r="DF2170" s="340">
        <v>304.08999999999997</v>
      </c>
      <c r="DG2170" s="340" t="s">
        <v>341</v>
      </c>
      <c r="DV2170" s="340">
        <v>401.2</v>
      </c>
      <c r="DW2170" s="340" t="s">
        <v>323</v>
      </c>
      <c r="DX2170" s="1671"/>
    </row>
    <row r="2171" spans="12:128">
      <c r="L2171" s="2481">
        <v>315.07</v>
      </c>
      <c r="M2171" s="340" t="s">
        <v>341</v>
      </c>
      <c r="N2171" s="1390"/>
      <c r="O2171" s="2479"/>
      <c r="P2171" s="2282"/>
      <c r="AG2171" s="2297">
        <v>401.25</v>
      </c>
      <c r="AH2171" s="2297" t="s">
        <v>323</v>
      </c>
      <c r="AI2171" s="1390"/>
      <c r="AJ2171" s="2282"/>
      <c r="AK2171" s="2282"/>
      <c r="AL2171" s="1037"/>
      <c r="AX2171" s="340">
        <v>74.12</v>
      </c>
      <c r="AY2171" s="340" t="s">
        <v>340</v>
      </c>
      <c r="BN2171" s="340">
        <v>315.06</v>
      </c>
      <c r="BO2171" s="340" t="s">
        <v>341</v>
      </c>
      <c r="BP2171" s="1385"/>
      <c r="BV2171" s="236">
        <v>10.02</v>
      </c>
      <c r="BW2171" s="236" t="s">
        <v>328</v>
      </c>
      <c r="CB2171" s="340">
        <v>75.05</v>
      </c>
      <c r="CC2171" s="340" t="s">
        <v>340</v>
      </c>
      <c r="CL2171" s="236">
        <v>118.35</v>
      </c>
      <c r="CM2171" s="236" t="s">
        <v>344</v>
      </c>
      <c r="CR2171" s="340">
        <v>314.10000000000002</v>
      </c>
      <c r="CS2171" s="340" t="s">
        <v>341</v>
      </c>
      <c r="CT2171" s="1384"/>
      <c r="DF2171" s="340">
        <v>309.01</v>
      </c>
      <c r="DG2171" s="340" t="s">
        <v>341</v>
      </c>
      <c r="DV2171" s="340">
        <v>401.23</v>
      </c>
      <c r="DW2171" s="340" t="s">
        <v>323</v>
      </c>
      <c r="DX2171" s="1671"/>
    </row>
    <row r="2172" spans="12:128">
      <c r="L2172" s="2481">
        <v>315.08</v>
      </c>
      <c r="M2172" s="340" t="s">
        <v>341</v>
      </c>
      <c r="N2172" s="1390"/>
      <c r="O2172" s="2479"/>
      <c r="P2172" s="2282"/>
      <c r="AG2172" s="2297">
        <v>401.26</v>
      </c>
      <c r="AH2172" s="2297" t="s">
        <v>323</v>
      </c>
      <c r="AI2172" s="1390"/>
      <c r="AJ2172" s="2282"/>
      <c r="AK2172" s="2282"/>
      <c r="AL2172" s="1037"/>
      <c r="AX2172" s="340">
        <v>74.14</v>
      </c>
      <c r="AY2172" s="340" t="s">
        <v>340</v>
      </c>
      <c r="BN2172" s="340">
        <v>315.07</v>
      </c>
      <c r="BO2172" s="340" t="s">
        <v>341</v>
      </c>
      <c r="BP2172" s="1385"/>
      <c r="BV2172" s="236">
        <v>11.04</v>
      </c>
      <c r="BW2172" s="236" t="s">
        <v>328</v>
      </c>
      <c r="CB2172" s="340">
        <v>76.03</v>
      </c>
      <c r="CC2172" s="340" t="s">
        <v>340</v>
      </c>
      <c r="CL2172" s="236">
        <v>118.36</v>
      </c>
      <c r="CM2172" s="236" t="s">
        <v>344</v>
      </c>
      <c r="CR2172" s="340">
        <v>314.11</v>
      </c>
      <c r="CS2172" s="340" t="s">
        <v>341</v>
      </c>
      <c r="CT2172" s="1384"/>
      <c r="DF2172" s="340">
        <v>310.14</v>
      </c>
      <c r="DG2172" s="340" t="s">
        <v>341</v>
      </c>
      <c r="DV2172" s="340">
        <v>401.24</v>
      </c>
      <c r="DW2172" s="340" t="s">
        <v>323</v>
      </c>
      <c r="DX2172" s="1671"/>
    </row>
    <row r="2173" spans="12:128">
      <c r="L2173" s="2481">
        <v>316.01</v>
      </c>
      <c r="M2173" s="340" t="s">
        <v>341</v>
      </c>
      <c r="N2173" s="1390"/>
      <c r="O2173" s="2479"/>
      <c r="P2173" s="2282"/>
      <c r="AG2173" s="2297">
        <v>401.27</v>
      </c>
      <c r="AH2173" s="2297" t="s">
        <v>323</v>
      </c>
      <c r="AI2173" s="1390"/>
      <c r="AJ2173" s="2282"/>
      <c r="AK2173" s="2282"/>
      <c r="AL2173" s="1037"/>
      <c r="AX2173" s="340">
        <v>74.2</v>
      </c>
      <c r="AY2173" s="340" t="s">
        <v>340</v>
      </c>
      <c r="BN2173" s="340">
        <v>315.08</v>
      </c>
      <c r="BO2173" s="340" t="s">
        <v>341</v>
      </c>
      <c r="BP2173" s="1385"/>
      <c r="BV2173" s="236">
        <v>11.05</v>
      </c>
      <c r="BW2173" s="236" t="s">
        <v>328</v>
      </c>
      <c r="CB2173" s="340">
        <v>76.040000000000006</v>
      </c>
      <c r="CC2173" s="340" t="s">
        <v>340</v>
      </c>
      <c r="CL2173" s="236">
        <v>118.37</v>
      </c>
      <c r="CM2173" s="236" t="s">
        <v>344</v>
      </c>
      <c r="CR2173" s="340">
        <v>315.04000000000002</v>
      </c>
      <c r="CS2173" s="340" t="s">
        <v>341</v>
      </c>
      <c r="CT2173" s="1384"/>
      <c r="DF2173" s="340">
        <v>312.04000000000002</v>
      </c>
      <c r="DG2173" s="340" t="s">
        <v>341</v>
      </c>
      <c r="DV2173" s="340">
        <v>401.25</v>
      </c>
      <c r="DW2173" s="340" t="s">
        <v>323</v>
      </c>
      <c r="DX2173" s="1671"/>
    </row>
    <row r="2174" spans="12:128">
      <c r="L2174" s="2481">
        <v>316.02</v>
      </c>
      <c r="M2174" s="340" t="s">
        <v>341</v>
      </c>
      <c r="N2174" s="1390"/>
      <c r="O2174" s="2479"/>
      <c r="P2174" s="2282"/>
      <c r="AG2174" s="2297">
        <v>401.28</v>
      </c>
      <c r="AH2174" s="2297" t="s">
        <v>323</v>
      </c>
      <c r="AI2174" s="1390"/>
      <c r="AJ2174" s="2282"/>
      <c r="AK2174" s="2282"/>
      <c r="AL2174" s="1037"/>
      <c r="AX2174" s="340">
        <v>74.209999999999994</v>
      </c>
      <c r="AY2174" s="340" t="s">
        <v>340</v>
      </c>
      <c r="BN2174" s="340">
        <v>316.01</v>
      </c>
      <c r="BO2174" s="340" t="s">
        <v>341</v>
      </c>
      <c r="BP2174" s="1385"/>
      <c r="BV2174" s="236">
        <v>11.06</v>
      </c>
      <c r="BW2174" s="236" t="s">
        <v>328</v>
      </c>
      <c r="CB2174" s="340">
        <v>76.05</v>
      </c>
      <c r="CC2174" s="340" t="s">
        <v>340</v>
      </c>
      <c r="CL2174" s="236">
        <v>118.38</v>
      </c>
      <c r="CM2174" s="236" t="s">
        <v>344</v>
      </c>
      <c r="CR2174" s="340">
        <v>315.05</v>
      </c>
      <c r="CS2174" s="340" t="s">
        <v>341</v>
      </c>
      <c r="CT2174" s="1384"/>
      <c r="DF2174" s="340">
        <v>312.08</v>
      </c>
      <c r="DG2174" s="340" t="s">
        <v>341</v>
      </c>
      <c r="DV2174" s="340">
        <v>401.26</v>
      </c>
      <c r="DW2174" s="340" t="s">
        <v>323</v>
      </c>
      <c r="DX2174" s="1671"/>
    </row>
    <row r="2175" spans="12:128">
      <c r="L2175" s="2481">
        <v>316.02999999999997</v>
      </c>
      <c r="M2175" s="340" t="s">
        <v>341</v>
      </c>
      <c r="N2175" s="1390"/>
      <c r="O2175" s="2479"/>
      <c r="P2175" s="2282"/>
      <c r="AG2175" s="2297">
        <v>401.29</v>
      </c>
      <c r="AH2175" s="2297" t="s">
        <v>323</v>
      </c>
      <c r="AI2175" s="1390"/>
      <c r="AJ2175" s="2282"/>
      <c r="AK2175" s="2282"/>
      <c r="AL2175" s="1037"/>
      <c r="AX2175" s="340">
        <v>75.010000000000005</v>
      </c>
      <c r="AY2175" s="340" t="s">
        <v>340</v>
      </c>
      <c r="BN2175" s="340">
        <v>316.02</v>
      </c>
      <c r="BO2175" s="340" t="s">
        <v>341</v>
      </c>
      <c r="BP2175" s="1385"/>
      <c r="BV2175" s="236">
        <v>11.07</v>
      </c>
      <c r="BW2175" s="236" t="s">
        <v>328</v>
      </c>
      <c r="CB2175" s="340">
        <v>76.099999999999994</v>
      </c>
      <c r="CC2175" s="340" t="s">
        <v>340</v>
      </c>
      <c r="CL2175" s="236">
        <v>119</v>
      </c>
      <c r="CM2175" s="236" t="s">
        <v>331</v>
      </c>
      <c r="CR2175" s="340">
        <v>315.06</v>
      </c>
      <c r="CS2175" s="340" t="s">
        <v>341</v>
      </c>
      <c r="CT2175" s="1384"/>
      <c r="DF2175" s="340">
        <v>313.01</v>
      </c>
      <c r="DG2175" s="340" t="s">
        <v>341</v>
      </c>
      <c r="DV2175" s="340">
        <v>401.28</v>
      </c>
      <c r="DW2175" s="340" t="s">
        <v>323</v>
      </c>
      <c r="DX2175" s="1671"/>
    </row>
    <row r="2176" spans="12:128">
      <c r="L2176" s="2481">
        <v>316.04000000000002</v>
      </c>
      <c r="M2176" s="340" t="s">
        <v>341</v>
      </c>
      <c r="N2176" s="1390"/>
      <c r="O2176" s="2479"/>
      <c r="P2176" s="2282"/>
      <c r="AG2176" s="2297">
        <v>401.3</v>
      </c>
      <c r="AH2176" s="2297" t="s">
        <v>323</v>
      </c>
      <c r="AI2176" s="1390"/>
      <c r="AJ2176" s="2282"/>
      <c r="AK2176" s="2282"/>
      <c r="AL2176" s="1037"/>
      <c r="AX2176" s="340">
        <v>75.040000000000006</v>
      </c>
      <c r="AY2176" s="340" t="s">
        <v>340</v>
      </c>
      <c r="BN2176" s="340">
        <v>316.02999999999997</v>
      </c>
      <c r="BO2176" s="340" t="s">
        <v>341</v>
      </c>
      <c r="BP2176" s="1385"/>
      <c r="BV2176" s="236">
        <v>11.08</v>
      </c>
      <c r="BW2176" s="236" t="s">
        <v>328</v>
      </c>
      <c r="CB2176" s="340">
        <v>76.12</v>
      </c>
      <c r="CC2176" s="340" t="s">
        <v>340</v>
      </c>
      <c r="CL2176" s="236">
        <v>119.01</v>
      </c>
      <c r="CM2176" s="236" t="s">
        <v>302</v>
      </c>
      <c r="CR2176" s="340">
        <v>315.07</v>
      </c>
      <c r="CS2176" s="340" t="s">
        <v>341</v>
      </c>
      <c r="CT2176" s="1384"/>
      <c r="DF2176" s="340">
        <v>313.02</v>
      </c>
      <c r="DG2176" s="340" t="s">
        <v>341</v>
      </c>
      <c r="DV2176" s="340">
        <v>401.29</v>
      </c>
      <c r="DW2176" s="340" t="s">
        <v>323</v>
      </c>
      <c r="DX2176" s="1671"/>
    </row>
    <row r="2177" spans="12:128">
      <c r="L2177" s="2481">
        <v>316.05</v>
      </c>
      <c r="M2177" s="340" t="s">
        <v>341</v>
      </c>
      <c r="N2177" s="1390"/>
      <c r="O2177" s="2479"/>
      <c r="P2177" s="2282"/>
      <c r="AG2177" s="2297">
        <v>401.31</v>
      </c>
      <c r="AH2177" s="2297" t="s">
        <v>323</v>
      </c>
      <c r="AI2177" s="1390"/>
      <c r="AJ2177" s="2282"/>
      <c r="AK2177" s="2282"/>
      <c r="AL2177" s="1037"/>
      <c r="AX2177" s="340">
        <v>75.05</v>
      </c>
      <c r="AY2177" s="340" t="s">
        <v>340</v>
      </c>
      <c r="BN2177" s="340">
        <v>316.04000000000002</v>
      </c>
      <c r="BO2177" s="340" t="s">
        <v>341</v>
      </c>
      <c r="BP2177" s="1385"/>
      <c r="BV2177" s="236">
        <v>12.02</v>
      </c>
      <c r="BW2177" s="236" t="s">
        <v>328</v>
      </c>
      <c r="CB2177" s="340">
        <v>76.13</v>
      </c>
      <c r="CC2177" s="340" t="s">
        <v>340</v>
      </c>
      <c r="CL2177" s="236">
        <v>119.01</v>
      </c>
      <c r="CM2177" s="236" t="s">
        <v>344</v>
      </c>
      <c r="CR2177" s="340">
        <v>315.08</v>
      </c>
      <c r="CS2177" s="340" t="s">
        <v>341</v>
      </c>
      <c r="CT2177" s="1384"/>
      <c r="DF2177" s="340">
        <v>314.10000000000002</v>
      </c>
      <c r="DG2177" s="340" t="s">
        <v>341</v>
      </c>
      <c r="DV2177" s="340">
        <v>401.3</v>
      </c>
      <c r="DW2177" s="340" t="s">
        <v>323</v>
      </c>
      <c r="DX2177" s="1671"/>
    </row>
    <row r="2178" spans="12:128">
      <c r="L2178" s="2481">
        <v>317.01</v>
      </c>
      <c r="M2178" s="340" t="s">
        <v>341</v>
      </c>
      <c r="N2178" s="1390"/>
      <c r="O2178" s="2479"/>
      <c r="P2178" s="2282"/>
      <c r="AG2178" s="2297">
        <v>401.32</v>
      </c>
      <c r="AH2178" s="2297" t="s">
        <v>323</v>
      </c>
      <c r="AI2178" s="1390"/>
      <c r="AJ2178" s="2282"/>
      <c r="AK2178" s="2282"/>
      <c r="AL2178" s="1037"/>
      <c r="AX2178" s="340">
        <v>76.03</v>
      </c>
      <c r="AY2178" s="340" t="s">
        <v>340</v>
      </c>
      <c r="BN2178" s="340">
        <v>316.05</v>
      </c>
      <c r="BO2178" s="340" t="s">
        <v>341</v>
      </c>
      <c r="BP2178" s="1385"/>
      <c r="BV2178" s="236">
        <v>12.03</v>
      </c>
      <c r="BW2178" s="236" t="s">
        <v>328</v>
      </c>
      <c r="CB2178" s="340">
        <v>76.14</v>
      </c>
      <c r="CC2178" s="340" t="s">
        <v>340</v>
      </c>
      <c r="CL2178" s="236">
        <v>119.02</v>
      </c>
      <c r="CM2178" s="236" t="s">
        <v>344</v>
      </c>
      <c r="CR2178" s="340">
        <v>316.01</v>
      </c>
      <c r="CS2178" s="340" t="s">
        <v>341</v>
      </c>
      <c r="CT2178" s="1384"/>
      <c r="DF2178" s="340">
        <v>314.11</v>
      </c>
      <c r="DG2178" s="340" t="s">
        <v>341</v>
      </c>
      <c r="DV2178" s="340">
        <v>401.31</v>
      </c>
      <c r="DW2178" s="340" t="s">
        <v>323</v>
      </c>
      <c r="DX2178" s="1671"/>
    </row>
    <row r="2179" spans="12:128">
      <c r="L2179" s="2481">
        <v>317.04000000000002</v>
      </c>
      <c r="M2179" s="340" t="s">
        <v>341</v>
      </c>
      <c r="N2179" s="1390"/>
      <c r="O2179" s="2479"/>
      <c r="P2179" s="2282"/>
      <c r="AG2179" s="2297">
        <v>401.33</v>
      </c>
      <c r="AH2179" s="2297" t="s">
        <v>323</v>
      </c>
      <c r="AI2179" s="1390"/>
      <c r="AJ2179" s="2282"/>
      <c r="AK2179" s="2282"/>
      <c r="AL2179" s="1037"/>
      <c r="AX2179" s="340">
        <v>76.040000000000006</v>
      </c>
      <c r="AY2179" s="340" t="s">
        <v>340</v>
      </c>
      <c r="BN2179" s="340">
        <v>317.01</v>
      </c>
      <c r="BO2179" s="340" t="s">
        <v>341</v>
      </c>
      <c r="BP2179" s="1385"/>
      <c r="BV2179" s="236">
        <v>12.04</v>
      </c>
      <c r="BW2179" s="236" t="s">
        <v>328</v>
      </c>
      <c r="CB2179" s="340">
        <v>76.16</v>
      </c>
      <c r="CC2179" s="340" t="s">
        <v>340</v>
      </c>
      <c r="CL2179" s="236">
        <v>119.03</v>
      </c>
      <c r="CM2179" s="236" t="s">
        <v>302</v>
      </c>
      <c r="CR2179" s="340">
        <v>316.02</v>
      </c>
      <c r="CS2179" s="340" t="s">
        <v>341</v>
      </c>
      <c r="CT2179" s="1384"/>
      <c r="DF2179" s="340">
        <v>315.02999999999997</v>
      </c>
      <c r="DG2179" s="340" t="s">
        <v>341</v>
      </c>
      <c r="DV2179" s="340">
        <v>401.32</v>
      </c>
      <c r="DW2179" s="340" t="s">
        <v>323</v>
      </c>
      <c r="DX2179" s="1671"/>
    </row>
    <row r="2180" spans="12:128">
      <c r="L2180" s="2481">
        <v>317.05</v>
      </c>
      <c r="M2180" s="340" t="s">
        <v>341</v>
      </c>
      <c r="N2180" s="1390"/>
      <c r="O2180" s="2479"/>
      <c r="P2180" s="2282"/>
      <c r="AG2180" s="2297">
        <v>401.34</v>
      </c>
      <c r="AH2180" s="2297" t="s">
        <v>323</v>
      </c>
      <c r="AI2180" s="1390"/>
      <c r="AJ2180" s="2282"/>
      <c r="AK2180" s="2282"/>
      <c r="AL2180" s="1037"/>
      <c r="AX2180" s="340">
        <v>76.05</v>
      </c>
      <c r="AY2180" s="340" t="s">
        <v>340</v>
      </c>
      <c r="BN2180" s="340">
        <v>317.04000000000002</v>
      </c>
      <c r="BO2180" s="340" t="s">
        <v>341</v>
      </c>
      <c r="BP2180" s="1385"/>
      <c r="BV2180" s="236">
        <v>13</v>
      </c>
      <c r="BW2180" s="236" t="s">
        <v>328</v>
      </c>
      <c r="CB2180" s="340">
        <v>76.209999999999994</v>
      </c>
      <c r="CC2180" s="340" t="s">
        <v>340</v>
      </c>
      <c r="CL2180" s="236">
        <v>119.04</v>
      </c>
      <c r="CM2180" s="236" t="s">
        <v>302</v>
      </c>
      <c r="CR2180" s="340">
        <v>316.02999999999997</v>
      </c>
      <c r="CS2180" s="340" t="s">
        <v>341</v>
      </c>
      <c r="CT2180" s="1384"/>
      <c r="DF2180" s="340">
        <v>315.04000000000002</v>
      </c>
      <c r="DG2180" s="340" t="s">
        <v>341</v>
      </c>
      <c r="DV2180" s="340">
        <v>401.33</v>
      </c>
      <c r="DW2180" s="340" t="s">
        <v>323</v>
      </c>
      <c r="DX2180" s="1671"/>
    </row>
    <row r="2181" spans="12:128">
      <c r="L2181" s="2481">
        <v>317.06</v>
      </c>
      <c r="M2181" s="340" t="s">
        <v>341</v>
      </c>
      <c r="N2181" s="1390"/>
      <c r="O2181" s="2479"/>
      <c r="P2181" s="2282"/>
      <c r="AG2181" s="2297">
        <v>401.35</v>
      </c>
      <c r="AH2181" s="2297" t="s">
        <v>323</v>
      </c>
      <c r="AI2181" s="1390"/>
      <c r="AJ2181" s="2282"/>
      <c r="AK2181" s="2282"/>
      <c r="AL2181" s="1037"/>
      <c r="AX2181" s="340">
        <v>76.099999999999994</v>
      </c>
      <c r="AY2181" s="340" t="s">
        <v>340</v>
      </c>
      <c r="BN2181" s="340">
        <v>317.05</v>
      </c>
      <c r="BO2181" s="340" t="s">
        <v>341</v>
      </c>
      <c r="BP2181" s="1385"/>
      <c r="BV2181" s="236">
        <v>14.02</v>
      </c>
      <c r="BW2181" s="236" t="s">
        <v>328</v>
      </c>
      <c r="CB2181" s="340">
        <v>76.23</v>
      </c>
      <c r="CC2181" s="340" t="s">
        <v>340</v>
      </c>
      <c r="CL2181" s="236">
        <v>119.05</v>
      </c>
      <c r="CM2181" s="236" t="s">
        <v>302</v>
      </c>
      <c r="CR2181" s="340">
        <v>316.04000000000002</v>
      </c>
      <c r="CS2181" s="340" t="s">
        <v>341</v>
      </c>
      <c r="CT2181" s="1384"/>
      <c r="DF2181" s="340">
        <v>315.05</v>
      </c>
      <c r="DG2181" s="340" t="s">
        <v>341</v>
      </c>
      <c r="DV2181" s="340">
        <v>401.34</v>
      </c>
      <c r="DW2181" s="340" t="s">
        <v>323</v>
      </c>
      <c r="DX2181" s="1671"/>
    </row>
    <row r="2182" spans="12:128">
      <c r="L2182" s="2481">
        <v>317.07</v>
      </c>
      <c r="M2182" s="340" t="s">
        <v>341</v>
      </c>
      <c r="N2182" s="1390"/>
      <c r="O2182" s="2479"/>
      <c r="P2182" s="2282"/>
      <c r="AG2182" s="2297">
        <v>401.36</v>
      </c>
      <c r="AH2182" s="2297" t="s">
        <v>323</v>
      </c>
      <c r="AI2182" s="1390"/>
      <c r="AJ2182" s="2282"/>
      <c r="AK2182" s="2282"/>
      <c r="AL2182" s="1037"/>
      <c r="AX2182" s="340">
        <v>76.12</v>
      </c>
      <c r="AY2182" s="340" t="s">
        <v>340</v>
      </c>
      <c r="BN2182" s="340">
        <v>317.06</v>
      </c>
      <c r="BO2182" s="340" t="s">
        <v>341</v>
      </c>
      <c r="BP2182" s="1385"/>
      <c r="BV2182" s="236">
        <v>14.04</v>
      </c>
      <c r="BW2182" s="236" t="s">
        <v>328</v>
      </c>
      <c r="CB2182" s="340">
        <v>76.239999999999995</v>
      </c>
      <c r="CC2182" s="340" t="s">
        <v>340</v>
      </c>
      <c r="CL2182" s="236">
        <v>119.05</v>
      </c>
      <c r="CM2182" s="236" t="s">
        <v>316</v>
      </c>
      <c r="CR2182" s="340">
        <v>316.05</v>
      </c>
      <c r="CS2182" s="340" t="s">
        <v>341</v>
      </c>
      <c r="CT2182" s="1384"/>
      <c r="DF2182" s="340">
        <v>315.06</v>
      </c>
      <c r="DG2182" s="340" t="s">
        <v>341</v>
      </c>
      <c r="DV2182" s="340">
        <v>401.35</v>
      </c>
      <c r="DW2182" s="340" t="s">
        <v>323</v>
      </c>
      <c r="DX2182" s="1671"/>
    </row>
    <row r="2183" spans="12:128">
      <c r="L2183" s="2481">
        <v>317.08</v>
      </c>
      <c r="M2183" s="340" t="s">
        <v>341</v>
      </c>
      <c r="N2183" s="1390"/>
      <c r="O2183" s="2479"/>
      <c r="P2183" s="2282"/>
      <c r="AG2183" s="2297">
        <v>401.37</v>
      </c>
      <c r="AH2183" s="2297" t="s">
        <v>323</v>
      </c>
      <c r="AI2183" s="1390"/>
      <c r="AJ2183" s="2282"/>
      <c r="AK2183" s="2282"/>
      <c r="AL2183" s="1037"/>
      <c r="AX2183" s="340">
        <v>76.14</v>
      </c>
      <c r="AY2183" s="340" t="s">
        <v>340</v>
      </c>
      <c r="BN2183" s="340">
        <v>317.07</v>
      </c>
      <c r="BO2183" s="340" t="s">
        <v>341</v>
      </c>
      <c r="BP2183" s="1385"/>
      <c r="BV2183" s="236">
        <v>14.05</v>
      </c>
      <c r="BW2183" s="236" t="s">
        <v>328</v>
      </c>
      <c r="CB2183" s="340">
        <v>77.05</v>
      </c>
      <c r="CC2183" s="340" t="s">
        <v>340</v>
      </c>
      <c r="CL2183" s="236">
        <v>119.07</v>
      </c>
      <c r="CM2183" s="236" t="s">
        <v>316</v>
      </c>
      <c r="CR2183" s="340">
        <v>317.01</v>
      </c>
      <c r="CS2183" s="340" t="s">
        <v>341</v>
      </c>
      <c r="CT2183" s="1384"/>
      <c r="DF2183" s="340">
        <v>315.07</v>
      </c>
      <c r="DG2183" s="340" t="s">
        <v>341</v>
      </c>
      <c r="DV2183" s="340">
        <v>401.36</v>
      </c>
      <c r="DW2183" s="340" t="s">
        <v>323</v>
      </c>
      <c r="DX2183" s="1671"/>
    </row>
    <row r="2184" spans="12:128">
      <c r="L2184" s="2481">
        <v>318.04000000000002</v>
      </c>
      <c r="M2184" s="340" t="s">
        <v>341</v>
      </c>
      <c r="N2184" s="1390"/>
      <c r="O2184" s="2479"/>
      <c r="P2184" s="2282"/>
      <c r="AG2184" s="2297">
        <v>401.38</v>
      </c>
      <c r="AH2184" s="2297" t="s">
        <v>323</v>
      </c>
      <c r="AI2184" s="1390"/>
      <c r="AJ2184" s="2282"/>
      <c r="AK2184" s="2282"/>
      <c r="AL2184" s="1037"/>
      <c r="AX2184" s="340">
        <v>76.16</v>
      </c>
      <c r="AY2184" s="340" t="s">
        <v>340</v>
      </c>
      <c r="BN2184" s="340">
        <v>317.08</v>
      </c>
      <c r="BO2184" s="340" t="s">
        <v>341</v>
      </c>
      <c r="BP2184" s="1385"/>
      <c r="BV2184" s="236">
        <v>14.06</v>
      </c>
      <c r="BW2184" s="236" t="s">
        <v>328</v>
      </c>
      <c r="CB2184" s="340">
        <v>77.099999999999994</v>
      </c>
      <c r="CC2184" s="340" t="s">
        <v>340</v>
      </c>
      <c r="CL2184" s="236">
        <v>119.08</v>
      </c>
      <c r="CM2184" s="236" t="s">
        <v>316</v>
      </c>
      <c r="CR2184" s="340">
        <v>317.04000000000002</v>
      </c>
      <c r="CS2184" s="340" t="s">
        <v>341</v>
      </c>
      <c r="CT2184" s="1384"/>
      <c r="DF2184" s="340">
        <v>315.08</v>
      </c>
      <c r="DG2184" s="340" t="s">
        <v>341</v>
      </c>
      <c r="DV2184" s="340">
        <v>401.37</v>
      </c>
      <c r="DW2184" s="340" t="s">
        <v>323</v>
      </c>
      <c r="DX2184" s="1671"/>
    </row>
    <row r="2185" spans="12:128">
      <c r="L2185" s="2481">
        <v>318.06</v>
      </c>
      <c r="M2185" s="340" t="s">
        <v>341</v>
      </c>
      <c r="N2185" s="1390"/>
      <c r="O2185" s="2479"/>
      <c r="P2185" s="2282"/>
      <c r="AG2185" s="2297">
        <v>402.02</v>
      </c>
      <c r="AH2185" s="2297" t="s">
        <v>281</v>
      </c>
      <c r="AI2185" s="1390"/>
      <c r="AJ2185" s="2282"/>
      <c r="AK2185" s="2282"/>
      <c r="AL2185" s="1037"/>
      <c r="AX2185" s="340">
        <v>76.209999999999994</v>
      </c>
      <c r="AY2185" s="340" t="s">
        <v>340</v>
      </c>
      <c r="BN2185" s="340">
        <v>318.04000000000002</v>
      </c>
      <c r="BO2185" s="340" t="s">
        <v>341</v>
      </c>
      <c r="BP2185" s="1385"/>
      <c r="BV2185" s="236">
        <v>15.01</v>
      </c>
      <c r="BW2185" s="236" t="s">
        <v>328</v>
      </c>
      <c r="CB2185" s="340">
        <v>77.16</v>
      </c>
      <c r="CC2185" s="340" t="s">
        <v>340</v>
      </c>
      <c r="CL2185" s="236">
        <v>119.08</v>
      </c>
      <c r="CM2185" s="236" t="s">
        <v>344</v>
      </c>
      <c r="CR2185" s="340">
        <v>317.05</v>
      </c>
      <c r="CS2185" s="340" t="s">
        <v>341</v>
      </c>
      <c r="CT2185" s="1384"/>
      <c r="DF2185" s="340">
        <v>316.01</v>
      </c>
      <c r="DG2185" s="340" t="s">
        <v>341</v>
      </c>
      <c r="DV2185" s="340">
        <v>401.38</v>
      </c>
      <c r="DW2185" s="340" t="s">
        <v>323</v>
      </c>
      <c r="DX2185" s="1671"/>
    </row>
    <row r="2186" spans="12:128">
      <c r="L2186" s="2481">
        <v>318.08</v>
      </c>
      <c r="M2186" s="340" t="s">
        <v>341</v>
      </c>
      <c r="N2186" s="1390"/>
      <c r="O2186" s="2479"/>
      <c r="P2186" s="2282"/>
      <c r="AG2186" s="2297">
        <v>402.02</v>
      </c>
      <c r="AH2186" s="2297" t="s">
        <v>314</v>
      </c>
      <c r="AI2186" s="1390"/>
      <c r="AJ2186" s="2282"/>
      <c r="AK2186" s="2282"/>
      <c r="AL2186" s="1037"/>
      <c r="AX2186" s="340">
        <v>76.23</v>
      </c>
      <c r="AY2186" s="340" t="s">
        <v>340</v>
      </c>
      <c r="BN2186" s="340">
        <v>318.05</v>
      </c>
      <c r="BO2186" s="340" t="s">
        <v>341</v>
      </c>
      <c r="BP2186" s="1385"/>
      <c r="BV2186" s="236">
        <v>15.02</v>
      </c>
      <c r="BW2186" s="236" t="s">
        <v>328</v>
      </c>
      <c r="CB2186" s="340">
        <v>77.209999999999994</v>
      </c>
      <c r="CC2186" s="340" t="s">
        <v>340</v>
      </c>
      <c r="CL2186" s="236">
        <v>119.09</v>
      </c>
      <c r="CM2186" s="236" t="s">
        <v>316</v>
      </c>
      <c r="CR2186" s="340">
        <v>317.06</v>
      </c>
      <c r="CS2186" s="340" t="s">
        <v>341</v>
      </c>
      <c r="CT2186" s="1384"/>
      <c r="DF2186" s="340">
        <v>316.02</v>
      </c>
      <c r="DG2186" s="340" t="s">
        <v>341</v>
      </c>
      <c r="DV2186" s="340">
        <v>402.01</v>
      </c>
      <c r="DW2186" s="340" t="s">
        <v>314</v>
      </c>
      <c r="DX2186" s="1671"/>
    </row>
    <row r="2187" spans="12:128">
      <c r="L2187" s="2481">
        <v>318.08999999999997</v>
      </c>
      <c r="M2187" s="340" t="s">
        <v>341</v>
      </c>
      <c r="N2187" s="1390"/>
      <c r="O2187" s="2479"/>
      <c r="P2187" s="2282"/>
      <c r="AG2187" s="2297">
        <v>402.04</v>
      </c>
      <c r="AH2187" s="2297" t="s">
        <v>289</v>
      </c>
      <c r="AI2187" s="1390"/>
      <c r="AJ2187" s="2282"/>
      <c r="AK2187" s="2282"/>
      <c r="AL2187" s="1037"/>
      <c r="AX2187" s="340">
        <v>76.239999999999995</v>
      </c>
      <c r="AY2187" s="340" t="s">
        <v>340</v>
      </c>
      <c r="BN2187" s="340">
        <v>318.06</v>
      </c>
      <c r="BO2187" s="340" t="s">
        <v>341</v>
      </c>
      <c r="BP2187" s="1385"/>
      <c r="BV2187" s="236">
        <v>16.02</v>
      </c>
      <c r="BW2187" s="236" t="s">
        <v>328</v>
      </c>
      <c r="CB2187" s="340">
        <v>77.23</v>
      </c>
      <c r="CC2187" s="340" t="s">
        <v>340</v>
      </c>
      <c r="CL2187" s="236">
        <v>119.09</v>
      </c>
      <c r="CM2187" s="236" t="s">
        <v>344</v>
      </c>
      <c r="CR2187" s="340">
        <v>317.07</v>
      </c>
      <c r="CS2187" s="340" t="s">
        <v>341</v>
      </c>
      <c r="CT2187" s="1384"/>
      <c r="DF2187" s="340">
        <v>316.02999999999997</v>
      </c>
      <c r="DG2187" s="340" t="s">
        <v>341</v>
      </c>
      <c r="DV2187" s="340">
        <v>402.02</v>
      </c>
      <c r="DW2187" s="340" t="s">
        <v>281</v>
      </c>
      <c r="DX2187" s="1671"/>
    </row>
    <row r="2188" spans="12:128">
      <c r="L2188" s="2481">
        <v>319.01</v>
      </c>
      <c r="M2188" s="340" t="s">
        <v>341</v>
      </c>
      <c r="N2188" s="1390"/>
      <c r="O2188" s="2479"/>
      <c r="P2188" s="2282"/>
      <c r="AG2188" s="2297">
        <v>402.05</v>
      </c>
      <c r="AH2188" s="2297" t="s">
        <v>289</v>
      </c>
      <c r="AI2188" s="1390"/>
      <c r="AJ2188" s="2282"/>
      <c r="AK2188" s="2282"/>
      <c r="AL2188" s="1037"/>
      <c r="AX2188" s="340">
        <v>77.05</v>
      </c>
      <c r="AY2188" s="340" t="s">
        <v>340</v>
      </c>
      <c r="BN2188" s="340">
        <v>318.08</v>
      </c>
      <c r="BO2188" s="340" t="s">
        <v>341</v>
      </c>
      <c r="BP2188" s="1385"/>
      <c r="BV2188" s="236">
        <v>16.03</v>
      </c>
      <c r="BW2188" s="236" t="s">
        <v>328</v>
      </c>
      <c r="CB2188" s="340">
        <v>77.239999999999995</v>
      </c>
      <c r="CC2188" s="340" t="s">
        <v>340</v>
      </c>
      <c r="CL2188" s="236">
        <v>119.1</v>
      </c>
      <c r="CM2188" s="236" t="s">
        <v>316</v>
      </c>
      <c r="CR2188" s="340">
        <v>317.08</v>
      </c>
      <c r="CS2188" s="340" t="s">
        <v>341</v>
      </c>
      <c r="CT2188" s="1384"/>
      <c r="DF2188" s="340">
        <v>316.04000000000002</v>
      </c>
      <c r="DG2188" s="340" t="s">
        <v>341</v>
      </c>
      <c r="DV2188" s="340">
        <v>402.02</v>
      </c>
      <c r="DW2188" s="340" t="s">
        <v>314</v>
      </c>
      <c r="DX2188" s="1671"/>
    </row>
    <row r="2189" spans="12:128">
      <c r="L2189" s="2481">
        <v>319.02</v>
      </c>
      <c r="M2189" s="340" t="s">
        <v>341</v>
      </c>
      <c r="N2189" s="1390"/>
      <c r="O2189" s="2479"/>
      <c r="P2189" s="2282"/>
      <c r="AG2189" s="2297">
        <v>402.06</v>
      </c>
      <c r="AH2189" s="2297" t="s">
        <v>289</v>
      </c>
      <c r="AI2189" s="1390"/>
      <c r="AJ2189" s="2282"/>
      <c r="AK2189" s="2282"/>
      <c r="AL2189" s="1037"/>
      <c r="AX2189" s="340">
        <v>77.099999999999994</v>
      </c>
      <c r="AY2189" s="340" t="s">
        <v>340</v>
      </c>
      <c r="BN2189" s="340">
        <v>318.08999999999997</v>
      </c>
      <c r="BO2189" s="340" t="s">
        <v>341</v>
      </c>
      <c r="BP2189" s="1385"/>
      <c r="BV2189" s="236">
        <v>16.04</v>
      </c>
      <c r="BW2189" s="236" t="s">
        <v>328</v>
      </c>
      <c r="CB2189" s="340">
        <v>77.3</v>
      </c>
      <c r="CC2189" s="340" t="s">
        <v>340</v>
      </c>
      <c r="CL2189" s="236">
        <v>119.1</v>
      </c>
      <c r="CM2189" s="236" t="s">
        <v>344</v>
      </c>
      <c r="CR2189" s="340">
        <v>318.04000000000002</v>
      </c>
      <c r="CS2189" s="340" t="s">
        <v>341</v>
      </c>
      <c r="CT2189" s="1384"/>
      <c r="DF2189" s="340">
        <v>316.05</v>
      </c>
      <c r="DG2189" s="340" t="s">
        <v>341</v>
      </c>
      <c r="DV2189" s="340">
        <v>402.03</v>
      </c>
      <c r="DW2189" s="340" t="s">
        <v>289</v>
      </c>
      <c r="DX2189" s="1671"/>
    </row>
    <row r="2190" spans="12:128">
      <c r="L2190" s="2481">
        <v>319.02999999999997</v>
      </c>
      <c r="M2190" s="340" t="s">
        <v>341</v>
      </c>
      <c r="N2190" s="1390"/>
      <c r="O2190" s="2479"/>
      <c r="P2190" s="2282"/>
      <c r="AG2190" s="2297">
        <v>402.06</v>
      </c>
      <c r="AH2190" s="2297" t="s">
        <v>323</v>
      </c>
      <c r="AI2190" s="1390"/>
      <c r="AJ2190" s="2282"/>
      <c r="AK2190" s="2282"/>
      <c r="AL2190" s="1037"/>
      <c r="AX2190" s="340">
        <v>77.16</v>
      </c>
      <c r="AY2190" s="340" t="s">
        <v>340</v>
      </c>
      <c r="BN2190" s="340">
        <v>319.01</v>
      </c>
      <c r="BO2190" s="340" t="s">
        <v>341</v>
      </c>
      <c r="BP2190" s="1385"/>
      <c r="BV2190" s="236">
        <v>17.010000000000002</v>
      </c>
      <c r="BW2190" s="236" t="s">
        <v>328</v>
      </c>
      <c r="CB2190" s="340">
        <v>77.31</v>
      </c>
      <c r="CC2190" s="340" t="s">
        <v>340</v>
      </c>
      <c r="CL2190" s="236">
        <v>119.11</v>
      </c>
      <c r="CM2190" s="236" t="s">
        <v>316</v>
      </c>
      <c r="CR2190" s="340">
        <v>318.08</v>
      </c>
      <c r="CS2190" s="340" t="s">
        <v>341</v>
      </c>
      <c r="CT2190" s="1384"/>
      <c r="DF2190" s="340">
        <v>317.01</v>
      </c>
      <c r="DG2190" s="340" t="s">
        <v>341</v>
      </c>
      <c r="DV2190" s="340">
        <v>402.04</v>
      </c>
      <c r="DW2190" s="340" t="s">
        <v>289</v>
      </c>
      <c r="DX2190" s="1671"/>
    </row>
    <row r="2191" spans="12:128">
      <c r="L2191" s="2481">
        <v>320.01</v>
      </c>
      <c r="M2191" s="340" t="s">
        <v>341</v>
      </c>
      <c r="N2191" s="1390"/>
      <c r="O2191" s="2479"/>
      <c r="P2191" s="2282"/>
      <c r="AG2191" s="2297">
        <v>402.09</v>
      </c>
      <c r="AH2191" s="2297" t="s">
        <v>323</v>
      </c>
      <c r="AI2191" s="1390"/>
      <c r="AJ2191" s="2282"/>
      <c r="AK2191" s="2282"/>
      <c r="AL2191" s="1037"/>
      <c r="AX2191" s="340">
        <v>77.209999999999994</v>
      </c>
      <c r="AY2191" s="340" t="s">
        <v>340</v>
      </c>
      <c r="BN2191" s="340">
        <v>319.02</v>
      </c>
      <c r="BO2191" s="340" t="s">
        <v>341</v>
      </c>
      <c r="BP2191" s="1385"/>
      <c r="BV2191" s="236">
        <v>17.05</v>
      </c>
      <c r="BW2191" s="236" t="s">
        <v>328</v>
      </c>
      <c r="CB2191" s="340">
        <v>77.349999999999994</v>
      </c>
      <c r="CC2191" s="340" t="s">
        <v>340</v>
      </c>
      <c r="CL2191" s="236">
        <v>119.11</v>
      </c>
      <c r="CM2191" s="236" t="s">
        <v>344</v>
      </c>
      <c r="CR2191" s="340">
        <v>318.08999999999997</v>
      </c>
      <c r="CS2191" s="340" t="s">
        <v>341</v>
      </c>
      <c r="CT2191" s="1384"/>
      <c r="DF2191" s="340">
        <v>317.04000000000002</v>
      </c>
      <c r="DG2191" s="340" t="s">
        <v>341</v>
      </c>
      <c r="DV2191" s="340">
        <v>402.06</v>
      </c>
      <c r="DW2191" s="340" t="s">
        <v>289</v>
      </c>
      <c r="DX2191" s="1671"/>
    </row>
    <row r="2192" spans="12:128">
      <c r="L2192" s="2481">
        <v>320.05</v>
      </c>
      <c r="M2192" s="340" t="s">
        <v>341</v>
      </c>
      <c r="N2192" s="1390"/>
      <c r="O2192" s="2479"/>
      <c r="P2192" s="2282"/>
      <c r="AG2192" s="2297">
        <v>402.1</v>
      </c>
      <c r="AH2192" s="2297" t="s">
        <v>323</v>
      </c>
      <c r="AI2192" s="1390"/>
      <c r="AJ2192" s="2282"/>
      <c r="AK2192" s="2282"/>
      <c r="AL2192" s="1037"/>
      <c r="AX2192" s="340">
        <v>77.23</v>
      </c>
      <c r="AY2192" s="340" t="s">
        <v>340</v>
      </c>
      <c r="BN2192" s="340">
        <v>319.02999999999997</v>
      </c>
      <c r="BO2192" s="340" t="s">
        <v>341</v>
      </c>
      <c r="BP2192" s="1385"/>
      <c r="BV2192" s="236">
        <v>18.010000000000002</v>
      </c>
      <c r="BW2192" s="236" t="s">
        <v>328</v>
      </c>
      <c r="CB2192" s="340">
        <v>77.36</v>
      </c>
      <c r="CC2192" s="340" t="s">
        <v>340</v>
      </c>
      <c r="CL2192" s="236">
        <v>119.12</v>
      </c>
      <c r="CM2192" s="236" t="s">
        <v>344</v>
      </c>
      <c r="CR2192" s="340">
        <v>319.01</v>
      </c>
      <c r="CS2192" s="340" t="s">
        <v>341</v>
      </c>
      <c r="CT2192" s="1384"/>
      <c r="DF2192" s="340">
        <v>317.05</v>
      </c>
      <c r="DG2192" s="340" t="s">
        <v>341</v>
      </c>
      <c r="DV2192" s="340">
        <v>402.06</v>
      </c>
      <c r="DW2192" s="340" t="s">
        <v>323</v>
      </c>
      <c r="DX2192" s="1671"/>
    </row>
    <row r="2193" spans="12:128">
      <c r="L2193" s="2481">
        <v>320.06</v>
      </c>
      <c r="M2193" s="340" t="s">
        <v>341</v>
      </c>
      <c r="N2193" s="1390"/>
      <c r="O2193" s="2479"/>
      <c r="P2193" s="2282"/>
      <c r="AG2193" s="2297">
        <v>403.01</v>
      </c>
      <c r="AH2193" s="2297" t="s">
        <v>314</v>
      </c>
      <c r="AI2193" s="1390"/>
      <c r="AJ2193" s="2282"/>
      <c r="AK2193" s="2282"/>
      <c r="AL2193" s="1037"/>
      <c r="AX2193" s="340">
        <v>77.239999999999995</v>
      </c>
      <c r="AY2193" s="340" t="s">
        <v>340</v>
      </c>
      <c r="BN2193" s="340">
        <v>320.01</v>
      </c>
      <c r="BO2193" s="340" t="s">
        <v>341</v>
      </c>
      <c r="BP2193" s="1385"/>
      <c r="BV2193" s="236">
        <v>18.02</v>
      </c>
      <c r="BW2193" s="236" t="s">
        <v>328</v>
      </c>
      <c r="CB2193" s="340">
        <v>77.38</v>
      </c>
      <c r="CC2193" s="340" t="s">
        <v>340</v>
      </c>
      <c r="CL2193" s="236">
        <v>119.13</v>
      </c>
      <c r="CM2193" s="236" t="s">
        <v>344</v>
      </c>
      <c r="CR2193" s="340">
        <v>319.02</v>
      </c>
      <c r="CS2193" s="340" t="s">
        <v>341</v>
      </c>
      <c r="CT2193" s="1384"/>
      <c r="DF2193" s="340">
        <v>317.06</v>
      </c>
      <c r="DG2193" s="340" t="s">
        <v>341</v>
      </c>
      <c r="DV2193" s="340">
        <v>402.09</v>
      </c>
      <c r="DW2193" s="340" t="s">
        <v>323</v>
      </c>
      <c r="DX2193" s="1671"/>
    </row>
    <row r="2194" spans="12:128">
      <c r="L2194" s="2481">
        <v>320.07</v>
      </c>
      <c r="M2194" s="340" t="s">
        <v>341</v>
      </c>
      <c r="N2194" s="1390"/>
      <c r="O2194" s="2479"/>
      <c r="P2194" s="2282"/>
      <c r="AG2194" s="2297">
        <v>403.02</v>
      </c>
      <c r="AH2194" s="2297" t="s">
        <v>314</v>
      </c>
      <c r="AI2194" s="1390"/>
      <c r="AJ2194" s="2282"/>
      <c r="AK2194" s="2282"/>
      <c r="AL2194" s="1037"/>
      <c r="AX2194" s="340">
        <v>77.25</v>
      </c>
      <c r="AY2194" s="340" t="s">
        <v>340</v>
      </c>
      <c r="BN2194" s="340">
        <v>320.05</v>
      </c>
      <c r="BO2194" s="340" t="s">
        <v>341</v>
      </c>
      <c r="BP2194" s="1385"/>
      <c r="BV2194" s="236">
        <v>19.04</v>
      </c>
      <c r="BW2194" s="236" t="s">
        <v>328</v>
      </c>
      <c r="CB2194" s="340">
        <v>77.39</v>
      </c>
      <c r="CC2194" s="340" t="s">
        <v>340</v>
      </c>
      <c r="CL2194" s="236">
        <v>120</v>
      </c>
      <c r="CM2194" s="236" t="s">
        <v>302</v>
      </c>
      <c r="CR2194" s="340">
        <v>319.02999999999997</v>
      </c>
      <c r="CS2194" s="340" t="s">
        <v>341</v>
      </c>
      <c r="CT2194" s="1384"/>
      <c r="DF2194" s="340">
        <v>317.07</v>
      </c>
      <c r="DG2194" s="340" t="s">
        <v>341</v>
      </c>
      <c r="DV2194" s="340">
        <v>402.1</v>
      </c>
      <c r="DW2194" s="340" t="s">
        <v>323</v>
      </c>
      <c r="DX2194" s="1671"/>
    </row>
    <row r="2195" spans="12:128">
      <c r="L2195" s="2481">
        <v>320.08</v>
      </c>
      <c r="M2195" s="340" t="s">
        <v>341</v>
      </c>
      <c r="N2195" s="1390"/>
      <c r="O2195" s="2479"/>
      <c r="P2195" s="2282"/>
      <c r="AG2195" s="2297">
        <v>403.02</v>
      </c>
      <c r="AH2195" s="2297" t="s">
        <v>323</v>
      </c>
      <c r="AI2195" s="1390"/>
      <c r="AJ2195" s="2282"/>
      <c r="AK2195" s="2282"/>
      <c r="AL2195" s="1037"/>
      <c r="AX2195" s="340">
        <v>77.3</v>
      </c>
      <c r="AY2195" s="340" t="s">
        <v>340</v>
      </c>
      <c r="BN2195" s="340">
        <v>320.06</v>
      </c>
      <c r="BO2195" s="340" t="s">
        <v>341</v>
      </c>
      <c r="BP2195" s="1385"/>
      <c r="BV2195" s="236">
        <v>19.07</v>
      </c>
      <c r="BW2195" s="236" t="s">
        <v>328</v>
      </c>
      <c r="CB2195" s="340">
        <v>77.400000000000006</v>
      </c>
      <c r="CC2195" s="340" t="s">
        <v>340</v>
      </c>
      <c r="CL2195" s="236">
        <v>120</v>
      </c>
      <c r="CM2195" s="236" t="s">
        <v>338</v>
      </c>
      <c r="CR2195" s="340">
        <v>320.01</v>
      </c>
      <c r="CS2195" s="340" t="s">
        <v>341</v>
      </c>
      <c r="CT2195" s="1384"/>
      <c r="DF2195" s="340">
        <v>317.08</v>
      </c>
      <c r="DG2195" s="340" t="s">
        <v>341</v>
      </c>
      <c r="DV2195" s="340">
        <v>403.01</v>
      </c>
      <c r="DW2195" s="340" t="s">
        <v>314</v>
      </c>
      <c r="DX2195" s="1671"/>
    </row>
    <row r="2196" spans="12:128">
      <c r="L2196" s="2481">
        <v>320.08999999999997</v>
      </c>
      <c r="M2196" s="340" t="s">
        <v>341</v>
      </c>
      <c r="N2196" s="1390"/>
      <c r="O2196" s="2479"/>
      <c r="P2196" s="2282"/>
      <c r="AG2196" s="2297">
        <v>403.03</v>
      </c>
      <c r="AH2196" s="2297" t="s">
        <v>323</v>
      </c>
      <c r="AI2196" s="1390"/>
      <c r="AJ2196" s="2282"/>
      <c r="AK2196" s="2282"/>
      <c r="AL2196" s="1037"/>
      <c r="AX2196" s="340">
        <v>77.31</v>
      </c>
      <c r="AY2196" s="340" t="s">
        <v>340</v>
      </c>
      <c r="BN2196" s="340">
        <v>320.07</v>
      </c>
      <c r="BO2196" s="340" t="s">
        <v>341</v>
      </c>
      <c r="BP2196" s="1385"/>
      <c r="BV2196" s="236">
        <v>19.079999999999998</v>
      </c>
      <c r="BW2196" s="236" t="s">
        <v>328</v>
      </c>
      <c r="CB2196" s="340">
        <v>77.41</v>
      </c>
      <c r="CC2196" s="340" t="s">
        <v>340</v>
      </c>
      <c r="CL2196" s="236">
        <v>120.01</v>
      </c>
      <c r="CM2196" s="236" t="s">
        <v>316</v>
      </c>
      <c r="CR2196" s="340">
        <v>320.05</v>
      </c>
      <c r="CS2196" s="340" t="s">
        <v>341</v>
      </c>
      <c r="CT2196" s="1384"/>
      <c r="DF2196" s="340">
        <v>318.04000000000002</v>
      </c>
      <c r="DG2196" s="340" t="s">
        <v>341</v>
      </c>
      <c r="DV2196" s="340">
        <v>403.02</v>
      </c>
      <c r="DW2196" s="340" t="s">
        <v>314</v>
      </c>
      <c r="DX2196" s="1671"/>
    </row>
    <row r="2197" spans="12:128">
      <c r="L2197" s="2481">
        <v>320.10000000000002</v>
      </c>
      <c r="M2197" s="340" t="s">
        <v>341</v>
      </c>
      <c r="N2197" s="1390"/>
      <c r="O2197" s="2479"/>
      <c r="P2197" s="2282"/>
      <c r="AG2197" s="2297">
        <v>403.1</v>
      </c>
      <c r="AH2197" s="2297" t="s">
        <v>323</v>
      </c>
      <c r="AI2197" s="1390"/>
      <c r="AJ2197" s="2282"/>
      <c r="AK2197" s="2282"/>
      <c r="AL2197" s="1037"/>
      <c r="AX2197" s="340">
        <v>77.349999999999994</v>
      </c>
      <c r="AY2197" s="340" t="s">
        <v>340</v>
      </c>
      <c r="BN2197" s="340">
        <v>320.08</v>
      </c>
      <c r="BO2197" s="340" t="s">
        <v>341</v>
      </c>
      <c r="BP2197" s="1385"/>
      <c r="BV2197" s="236">
        <v>19.09</v>
      </c>
      <c r="BW2197" s="236" t="s">
        <v>328</v>
      </c>
      <c r="CB2197" s="340">
        <v>77.430000000000007</v>
      </c>
      <c r="CC2197" s="340" t="s">
        <v>340</v>
      </c>
      <c r="CL2197" s="236">
        <v>120.01</v>
      </c>
      <c r="CM2197" s="236" t="s">
        <v>331</v>
      </c>
      <c r="CR2197" s="340">
        <v>320.06</v>
      </c>
      <c r="CS2197" s="340" t="s">
        <v>341</v>
      </c>
      <c r="CT2197" s="1384"/>
      <c r="DF2197" s="340">
        <v>318.06</v>
      </c>
      <c r="DG2197" s="340" t="s">
        <v>341</v>
      </c>
      <c r="DV2197" s="340">
        <v>403.03</v>
      </c>
      <c r="DW2197" s="340" t="s">
        <v>314</v>
      </c>
      <c r="DX2197" s="1671"/>
    </row>
    <row r="2198" spans="12:128">
      <c r="L2198" s="2481">
        <v>320.11</v>
      </c>
      <c r="M2198" s="340" t="s">
        <v>341</v>
      </c>
      <c r="N2198" s="1390"/>
      <c r="O2198" s="2479"/>
      <c r="P2198" s="2282"/>
      <c r="AG2198" s="2297">
        <v>404.01</v>
      </c>
      <c r="AH2198" s="2297" t="s">
        <v>289</v>
      </c>
      <c r="AI2198" s="1390"/>
      <c r="AJ2198" s="2282"/>
      <c r="AK2198" s="2282"/>
      <c r="AL2198" s="1037"/>
      <c r="AX2198" s="340">
        <v>77.38</v>
      </c>
      <c r="AY2198" s="340" t="s">
        <v>340</v>
      </c>
      <c r="BN2198" s="340">
        <v>320.08999999999997</v>
      </c>
      <c r="BO2198" s="340" t="s">
        <v>341</v>
      </c>
      <c r="BP2198" s="1385"/>
      <c r="BV2198" s="236">
        <v>19.100000000000001</v>
      </c>
      <c r="BW2198" s="236" t="s">
        <v>328</v>
      </c>
      <c r="CB2198" s="340">
        <v>77.48</v>
      </c>
      <c r="CC2198" s="340" t="s">
        <v>340</v>
      </c>
      <c r="CL2198" s="236">
        <v>120.01</v>
      </c>
      <c r="CM2198" s="236" t="s">
        <v>344</v>
      </c>
      <c r="CR2198" s="340">
        <v>320.07</v>
      </c>
      <c r="CS2198" s="340" t="s">
        <v>341</v>
      </c>
      <c r="CT2198" s="1384"/>
      <c r="DF2198" s="340">
        <v>318.08</v>
      </c>
      <c r="DG2198" s="340" t="s">
        <v>341</v>
      </c>
      <c r="DV2198" s="340">
        <v>403.1</v>
      </c>
      <c r="DW2198" s="340" t="s">
        <v>323</v>
      </c>
      <c r="DX2198" s="1671"/>
    </row>
    <row r="2199" spans="12:128">
      <c r="L2199" s="2481">
        <v>320.12</v>
      </c>
      <c r="M2199" s="340" t="s">
        <v>341</v>
      </c>
      <c r="N2199" s="1390"/>
      <c r="O2199" s="2479"/>
      <c r="P2199" s="2282"/>
      <c r="AG2199" s="2297">
        <v>404.02</v>
      </c>
      <c r="AH2199" s="2297" t="s">
        <v>289</v>
      </c>
      <c r="AI2199" s="1390"/>
      <c r="AJ2199" s="2282"/>
      <c r="AK2199" s="2282"/>
      <c r="AL2199" s="1037"/>
      <c r="AX2199" s="340">
        <v>77.39</v>
      </c>
      <c r="AY2199" s="340" t="s">
        <v>340</v>
      </c>
      <c r="BN2199" s="340">
        <v>320.10000000000002</v>
      </c>
      <c r="BO2199" s="340" t="s">
        <v>341</v>
      </c>
      <c r="BP2199" s="1385"/>
      <c r="BV2199" s="236">
        <v>19.11</v>
      </c>
      <c r="BW2199" s="236" t="s">
        <v>328</v>
      </c>
      <c r="CB2199" s="340">
        <v>77.489999999999995</v>
      </c>
      <c r="CC2199" s="340" t="s">
        <v>340</v>
      </c>
      <c r="CL2199" s="236">
        <v>120.02</v>
      </c>
      <c r="CM2199" s="236" t="s">
        <v>316</v>
      </c>
      <c r="CR2199" s="340">
        <v>320.08</v>
      </c>
      <c r="CS2199" s="340" t="s">
        <v>341</v>
      </c>
      <c r="CT2199" s="1384"/>
      <c r="DF2199" s="340">
        <v>318.08999999999997</v>
      </c>
      <c r="DG2199" s="340" t="s">
        <v>341</v>
      </c>
      <c r="DV2199" s="340">
        <v>404.01</v>
      </c>
      <c r="DW2199" s="340" t="s">
        <v>289</v>
      </c>
      <c r="DX2199" s="1671"/>
    </row>
    <row r="2200" spans="12:128">
      <c r="L2200" s="2481">
        <v>320.13</v>
      </c>
      <c r="M2200" s="340" t="s">
        <v>341</v>
      </c>
      <c r="N2200" s="1390"/>
      <c r="O2200" s="2479"/>
      <c r="P2200" s="2282"/>
      <c r="AG2200" s="2297">
        <v>405.02</v>
      </c>
      <c r="AH2200" s="2297" t="s">
        <v>289</v>
      </c>
      <c r="AI2200" s="1390"/>
      <c r="AJ2200" s="2282"/>
      <c r="AK2200" s="2282"/>
      <c r="AL2200" s="1037"/>
      <c r="AX2200" s="340">
        <v>77.400000000000006</v>
      </c>
      <c r="AY2200" s="340" t="s">
        <v>340</v>
      </c>
      <c r="BN2200" s="340">
        <v>320.11</v>
      </c>
      <c r="BO2200" s="340" t="s">
        <v>341</v>
      </c>
      <c r="BP2200" s="1385"/>
      <c r="BV2200" s="236">
        <v>19.13</v>
      </c>
      <c r="BW2200" s="236" t="s">
        <v>328</v>
      </c>
      <c r="CB2200" s="340">
        <v>77.510000000000005</v>
      </c>
      <c r="CC2200" s="340" t="s">
        <v>340</v>
      </c>
      <c r="CL2200" s="236">
        <v>120.02</v>
      </c>
      <c r="CM2200" s="236" t="s">
        <v>331</v>
      </c>
      <c r="CR2200" s="340">
        <v>320.08999999999997</v>
      </c>
      <c r="CS2200" s="340" t="s">
        <v>341</v>
      </c>
      <c r="CT2200" s="1384"/>
      <c r="DF2200" s="340">
        <v>319.01</v>
      </c>
      <c r="DG2200" s="340" t="s">
        <v>341</v>
      </c>
      <c r="DV2200" s="340">
        <v>404.02</v>
      </c>
      <c r="DW2200" s="340" t="s">
        <v>289</v>
      </c>
      <c r="DX2200" s="1671"/>
    </row>
    <row r="2201" spans="12:128">
      <c r="L2201" s="2481">
        <v>320.14</v>
      </c>
      <c r="M2201" s="340" t="s">
        <v>341</v>
      </c>
      <c r="N2201" s="1390"/>
      <c r="O2201" s="2479"/>
      <c r="P2201" s="2282"/>
      <c r="AG2201" s="2297">
        <v>405.05</v>
      </c>
      <c r="AH2201" s="2297" t="s">
        <v>289</v>
      </c>
      <c r="AI2201" s="1390"/>
      <c r="AJ2201" s="2282"/>
      <c r="AK2201" s="2282"/>
      <c r="AL2201" s="1037"/>
      <c r="AX2201" s="340">
        <v>77.41</v>
      </c>
      <c r="AY2201" s="340" t="s">
        <v>340</v>
      </c>
      <c r="BN2201" s="340">
        <v>320.12</v>
      </c>
      <c r="BO2201" s="340" t="s">
        <v>341</v>
      </c>
      <c r="BP2201" s="1385"/>
      <c r="BV2201" s="236">
        <v>19.14</v>
      </c>
      <c r="BW2201" s="236" t="s">
        <v>328</v>
      </c>
      <c r="CB2201" s="340">
        <v>77.52</v>
      </c>
      <c r="CC2201" s="340" t="s">
        <v>340</v>
      </c>
      <c r="CL2201" s="236">
        <v>120.02</v>
      </c>
      <c r="CM2201" s="236" t="s">
        <v>344</v>
      </c>
      <c r="CR2201" s="340">
        <v>320.10000000000002</v>
      </c>
      <c r="CS2201" s="340" t="s">
        <v>341</v>
      </c>
      <c r="CT2201" s="1384"/>
      <c r="DF2201" s="340">
        <v>319.02</v>
      </c>
      <c r="DG2201" s="340" t="s">
        <v>341</v>
      </c>
      <c r="DV2201" s="340">
        <v>405.02</v>
      </c>
      <c r="DW2201" s="340" t="s">
        <v>289</v>
      </c>
      <c r="DX2201" s="1671"/>
    </row>
    <row r="2202" spans="12:128">
      <c r="L2202" s="2481">
        <v>321.02999999999997</v>
      </c>
      <c r="M2202" s="340" t="s">
        <v>341</v>
      </c>
      <c r="N2202" s="1390"/>
      <c r="O2202" s="2479"/>
      <c r="P2202" s="2282"/>
      <c r="AG2202" s="2297">
        <v>405.06</v>
      </c>
      <c r="AH2202" s="2297" t="s">
        <v>289</v>
      </c>
      <c r="AI2202" s="1390"/>
      <c r="AJ2202" s="2282"/>
      <c r="AK2202" s="2282"/>
      <c r="AL2202" s="1037"/>
      <c r="AX2202" s="340">
        <v>77.430000000000007</v>
      </c>
      <c r="AY2202" s="340" t="s">
        <v>340</v>
      </c>
      <c r="BN2202" s="340">
        <v>320.13</v>
      </c>
      <c r="BO2202" s="340" t="s">
        <v>341</v>
      </c>
      <c r="BP2202" s="1385"/>
      <c r="BV2202" s="236">
        <v>19.149999999999999</v>
      </c>
      <c r="BW2202" s="236" t="s">
        <v>328</v>
      </c>
      <c r="CB2202" s="340">
        <v>77.540000000000006</v>
      </c>
      <c r="CC2202" s="340" t="s">
        <v>340</v>
      </c>
      <c r="CL2202" s="236">
        <v>120.03</v>
      </c>
      <c r="CM2202" s="236" t="s">
        <v>344</v>
      </c>
      <c r="CR2202" s="340">
        <v>320.11</v>
      </c>
      <c r="CS2202" s="340" t="s">
        <v>341</v>
      </c>
      <c r="CT2202" s="1384"/>
      <c r="DF2202" s="340">
        <v>319.02999999999997</v>
      </c>
      <c r="DG2202" s="340" t="s">
        <v>341</v>
      </c>
      <c r="DV2202" s="340">
        <v>405.05</v>
      </c>
      <c r="DW2202" s="340" t="s">
        <v>289</v>
      </c>
      <c r="DX2202" s="1671"/>
    </row>
    <row r="2203" spans="12:128">
      <c r="L2203" s="2481">
        <v>321.04000000000002</v>
      </c>
      <c r="M2203" s="340" t="s">
        <v>341</v>
      </c>
      <c r="N2203" s="1390"/>
      <c r="O2203" s="2479"/>
      <c r="P2203" s="2282"/>
      <c r="AG2203" s="2297">
        <v>406.02</v>
      </c>
      <c r="AH2203" s="2297" t="s">
        <v>289</v>
      </c>
      <c r="AI2203" s="1390"/>
      <c r="AJ2203" s="2282"/>
      <c r="AK2203" s="2282"/>
      <c r="AL2203" s="1037"/>
      <c r="AX2203" s="340">
        <v>77.48</v>
      </c>
      <c r="AY2203" s="340" t="s">
        <v>340</v>
      </c>
      <c r="BN2203" s="340">
        <v>320.14</v>
      </c>
      <c r="BO2203" s="340" t="s">
        <v>341</v>
      </c>
      <c r="BP2203" s="1385"/>
      <c r="BV2203" s="236">
        <v>19.16</v>
      </c>
      <c r="BW2203" s="236" t="s">
        <v>328</v>
      </c>
      <c r="CB2203" s="340">
        <v>77.569999999999993</v>
      </c>
      <c r="CC2203" s="340" t="s">
        <v>340</v>
      </c>
      <c r="CL2203" s="236">
        <v>120.04</v>
      </c>
      <c r="CM2203" s="236" t="s">
        <v>344</v>
      </c>
      <c r="CR2203" s="340">
        <v>320.12</v>
      </c>
      <c r="CS2203" s="340" t="s">
        <v>341</v>
      </c>
      <c r="CT2203" s="1384"/>
      <c r="DF2203" s="340">
        <v>320.01</v>
      </c>
      <c r="DG2203" s="340" t="s">
        <v>341</v>
      </c>
      <c r="DV2203" s="340">
        <v>405.06</v>
      </c>
      <c r="DW2203" s="340" t="s">
        <v>289</v>
      </c>
      <c r="DX2203" s="1671"/>
    </row>
    <row r="2204" spans="12:128">
      <c r="L2204" s="2481">
        <v>321.05</v>
      </c>
      <c r="M2204" s="340" t="s">
        <v>341</v>
      </c>
      <c r="N2204" s="1390"/>
      <c r="O2204" s="2479"/>
      <c r="P2204" s="2282"/>
      <c r="AG2204" s="2297">
        <v>406.02</v>
      </c>
      <c r="AH2204" s="2297" t="s">
        <v>314</v>
      </c>
      <c r="AI2204" s="1390"/>
      <c r="AJ2204" s="2282"/>
      <c r="AK2204" s="2282"/>
      <c r="AL2204" s="1037"/>
      <c r="AX2204" s="340">
        <v>77.489999999999995</v>
      </c>
      <c r="AY2204" s="340" t="s">
        <v>340</v>
      </c>
      <c r="BN2204" s="340">
        <v>321.02999999999997</v>
      </c>
      <c r="BO2204" s="340" t="s">
        <v>341</v>
      </c>
      <c r="BP2204" s="1385"/>
      <c r="BV2204" s="236">
        <v>20.03</v>
      </c>
      <c r="BW2204" s="236" t="s">
        <v>328</v>
      </c>
      <c r="CB2204" s="340">
        <v>77.59</v>
      </c>
      <c r="CC2204" s="340" t="s">
        <v>340</v>
      </c>
      <c r="CL2204" s="236">
        <v>121</v>
      </c>
      <c r="CM2204" s="236" t="s">
        <v>302</v>
      </c>
      <c r="CR2204" s="340">
        <v>320.13</v>
      </c>
      <c r="CS2204" s="340" t="s">
        <v>341</v>
      </c>
      <c r="CT2204" s="1384"/>
      <c r="DF2204" s="340">
        <v>320.05</v>
      </c>
      <c r="DG2204" s="340" t="s">
        <v>341</v>
      </c>
      <c r="DV2204" s="340">
        <v>406.01</v>
      </c>
      <c r="DW2204" s="340" t="s">
        <v>289</v>
      </c>
      <c r="DX2204" s="1671"/>
    </row>
    <row r="2205" spans="12:128">
      <c r="L2205" s="2481">
        <v>321.06</v>
      </c>
      <c r="M2205" s="340" t="s">
        <v>341</v>
      </c>
      <c r="N2205" s="1390"/>
      <c r="O2205" s="2479"/>
      <c r="P2205" s="2282"/>
      <c r="AG2205" s="2297">
        <v>407.01</v>
      </c>
      <c r="AH2205" s="2297" t="s">
        <v>289</v>
      </c>
      <c r="AI2205" s="1390"/>
      <c r="AJ2205" s="2282"/>
      <c r="AK2205" s="2282"/>
      <c r="AL2205" s="1037"/>
      <c r="AX2205" s="340">
        <v>77.510000000000005</v>
      </c>
      <c r="AY2205" s="340" t="s">
        <v>340</v>
      </c>
      <c r="BN2205" s="340">
        <v>321.04000000000002</v>
      </c>
      <c r="BO2205" s="340" t="s">
        <v>341</v>
      </c>
      <c r="BP2205" s="1385"/>
      <c r="BV2205" s="236">
        <v>20.05</v>
      </c>
      <c r="BW2205" s="236" t="s">
        <v>328</v>
      </c>
      <c r="CB2205" s="340">
        <v>77.63</v>
      </c>
      <c r="CC2205" s="340" t="s">
        <v>340</v>
      </c>
      <c r="CL2205" s="236">
        <v>121</v>
      </c>
      <c r="CM2205" s="236" t="s">
        <v>338</v>
      </c>
      <c r="CR2205" s="340">
        <v>320.14</v>
      </c>
      <c r="CS2205" s="340" t="s">
        <v>341</v>
      </c>
      <c r="CT2205" s="1384"/>
      <c r="DF2205" s="340">
        <v>320.06</v>
      </c>
      <c r="DG2205" s="340" t="s">
        <v>341</v>
      </c>
      <c r="DV2205" s="340">
        <v>406.02</v>
      </c>
      <c r="DW2205" s="340" t="s">
        <v>289</v>
      </c>
      <c r="DX2205" s="1671"/>
    </row>
    <row r="2206" spans="12:128">
      <c r="L2206" s="2481">
        <v>321.07</v>
      </c>
      <c r="M2206" s="340" t="s">
        <v>341</v>
      </c>
      <c r="N2206" s="1390"/>
      <c r="O2206" s="2479"/>
      <c r="P2206" s="2282"/>
      <c r="AG2206" s="2297">
        <v>407.01</v>
      </c>
      <c r="AH2206" s="2297" t="s">
        <v>314</v>
      </c>
      <c r="AI2206" s="1390"/>
      <c r="AJ2206" s="2282"/>
      <c r="AK2206" s="2282"/>
      <c r="AL2206" s="1037"/>
      <c r="AX2206" s="340">
        <v>77.52</v>
      </c>
      <c r="AY2206" s="340" t="s">
        <v>340</v>
      </c>
      <c r="BN2206" s="340">
        <v>321.05</v>
      </c>
      <c r="BO2206" s="340" t="s">
        <v>341</v>
      </c>
      <c r="BP2206" s="1385"/>
      <c r="BV2206" s="236">
        <v>20.079999999999998</v>
      </c>
      <c r="BW2206" s="236" t="s">
        <v>328</v>
      </c>
      <c r="CB2206" s="340">
        <v>77.64</v>
      </c>
      <c r="CC2206" s="340" t="s">
        <v>340</v>
      </c>
      <c r="CL2206" s="236">
        <v>121.01</v>
      </c>
      <c r="CM2206" s="236" t="s">
        <v>331</v>
      </c>
      <c r="CR2206" s="340">
        <v>321.02999999999997</v>
      </c>
      <c r="CS2206" s="340" t="s">
        <v>341</v>
      </c>
      <c r="CT2206" s="1384"/>
      <c r="DF2206" s="340">
        <v>320.07</v>
      </c>
      <c r="DG2206" s="340" t="s">
        <v>341</v>
      </c>
      <c r="DV2206" s="340">
        <v>406.02</v>
      </c>
      <c r="DW2206" s="340" t="s">
        <v>314</v>
      </c>
      <c r="DX2206" s="1671"/>
    </row>
    <row r="2207" spans="12:128">
      <c r="L2207" s="2481">
        <v>321.08</v>
      </c>
      <c r="M2207" s="340" t="s">
        <v>341</v>
      </c>
      <c r="N2207" s="1390"/>
      <c r="O2207" s="2479"/>
      <c r="P2207" s="2282"/>
      <c r="AG2207" s="2297">
        <v>407.02</v>
      </c>
      <c r="AH2207" s="2297" t="s">
        <v>314</v>
      </c>
      <c r="AI2207" s="1390"/>
      <c r="AJ2207" s="2282"/>
      <c r="AK2207" s="2282"/>
      <c r="AL2207" s="1037"/>
      <c r="AX2207" s="340">
        <v>77.540000000000006</v>
      </c>
      <c r="AY2207" s="340" t="s">
        <v>340</v>
      </c>
      <c r="BN2207" s="340">
        <v>321.06</v>
      </c>
      <c r="BO2207" s="340" t="s">
        <v>341</v>
      </c>
      <c r="BP2207" s="1385"/>
      <c r="BV2207" s="236">
        <v>20.100000000000001</v>
      </c>
      <c r="BW2207" s="236" t="s">
        <v>328</v>
      </c>
      <c r="CB2207" s="340">
        <v>77.680000000000007</v>
      </c>
      <c r="CC2207" s="340" t="s">
        <v>340</v>
      </c>
      <c r="CL2207" s="236">
        <v>121.02</v>
      </c>
      <c r="CM2207" s="236" t="s">
        <v>331</v>
      </c>
      <c r="CR2207" s="340">
        <v>321.04000000000002</v>
      </c>
      <c r="CS2207" s="340" t="s">
        <v>341</v>
      </c>
      <c r="CT2207" s="1384"/>
      <c r="DF2207" s="340">
        <v>320.08</v>
      </c>
      <c r="DG2207" s="340" t="s">
        <v>341</v>
      </c>
      <c r="DV2207" s="340">
        <v>407.01</v>
      </c>
      <c r="DW2207" s="340" t="s">
        <v>289</v>
      </c>
      <c r="DX2207" s="1671"/>
    </row>
    <row r="2208" spans="12:128">
      <c r="L2208" s="2481">
        <v>321.08999999999997</v>
      </c>
      <c r="M2208" s="340" t="s">
        <v>341</v>
      </c>
      <c r="N2208" s="1390"/>
      <c r="O2208" s="2479"/>
      <c r="P2208" s="2282"/>
      <c r="AG2208" s="2297">
        <v>408.01</v>
      </c>
      <c r="AH2208" s="2297" t="s">
        <v>339</v>
      </c>
      <c r="AI2208" s="1390"/>
      <c r="AJ2208" s="2282"/>
      <c r="AK2208" s="2282"/>
      <c r="AL2208" s="1037"/>
      <c r="AX2208" s="340">
        <v>77.569999999999993</v>
      </c>
      <c r="AY2208" s="340" t="s">
        <v>340</v>
      </c>
      <c r="BN2208" s="340">
        <v>321.07</v>
      </c>
      <c r="BO2208" s="340" t="s">
        <v>341</v>
      </c>
      <c r="BP2208" s="1385"/>
      <c r="BV2208" s="236">
        <v>20.11</v>
      </c>
      <c r="BW2208" s="236" t="s">
        <v>328</v>
      </c>
      <c r="CB2208" s="340">
        <v>77.7</v>
      </c>
      <c r="CC2208" s="340" t="s">
        <v>340</v>
      </c>
      <c r="CL2208" s="236">
        <v>121.03</v>
      </c>
      <c r="CM2208" s="236" t="s">
        <v>316</v>
      </c>
      <c r="CR2208" s="340">
        <v>321.05</v>
      </c>
      <c r="CS2208" s="340" t="s">
        <v>341</v>
      </c>
      <c r="CT2208" s="1384"/>
      <c r="DF2208" s="340">
        <v>320.08999999999997</v>
      </c>
      <c r="DG2208" s="340" t="s">
        <v>341</v>
      </c>
      <c r="DV2208" s="340">
        <v>407.01</v>
      </c>
      <c r="DW2208" s="340" t="s">
        <v>314</v>
      </c>
      <c r="DX2208" s="1671"/>
    </row>
    <row r="2209" spans="12:128">
      <c r="L2209" s="2481">
        <v>321.10000000000002</v>
      </c>
      <c r="M2209" s="340" t="s">
        <v>341</v>
      </c>
      <c r="N2209" s="1390"/>
      <c r="O2209" s="2479"/>
      <c r="P2209" s="2282"/>
      <c r="AG2209" s="2297">
        <v>408.05</v>
      </c>
      <c r="AH2209" s="2297" t="s">
        <v>339</v>
      </c>
      <c r="AI2209" s="1390"/>
      <c r="AJ2209" s="2282"/>
      <c r="AK2209" s="2282"/>
      <c r="AL2209" s="1037"/>
      <c r="AX2209" s="340">
        <v>77.58</v>
      </c>
      <c r="AY2209" s="340" t="s">
        <v>340</v>
      </c>
      <c r="BN2209" s="340">
        <v>321.08</v>
      </c>
      <c r="BO2209" s="340" t="s">
        <v>341</v>
      </c>
      <c r="BP2209" s="1385"/>
      <c r="BV2209" s="236">
        <v>20.12</v>
      </c>
      <c r="BW2209" s="236" t="s">
        <v>328</v>
      </c>
      <c r="CB2209" s="340">
        <v>77.709999999999994</v>
      </c>
      <c r="CC2209" s="340" t="s">
        <v>340</v>
      </c>
      <c r="CL2209" s="236">
        <v>121.03</v>
      </c>
      <c r="CM2209" s="236" t="s">
        <v>331</v>
      </c>
      <c r="CR2209" s="340">
        <v>321.06</v>
      </c>
      <c r="CS2209" s="340" t="s">
        <v>341</v>
      </c>
      <c r="CT2209" s="1384"/>
      <c r="DF2209" s="340">
        <v>320.10000000000002</v>
      </c>
      <c r="DG2209" s="340" t="s">
        <v>341</v>
      </c>
      <c r="DV2209" s="340">
        <v>407.02</v>
      </c>
      <c r="DW2209" s="340" t="s">
        <v>289</v>
      </c>
      <c r="DX2209" s="1671"/>
    </row>
    <row r="2210" spans="12:128">
      <c r="L2210" s="2481">
        <v>321.11</v>
      </c>
      <c r="M2210" s="340" t="s">
        <v>341</v>
      </c>
      <c r="N2210" s="1390"/>
      <c r="O2210" s="2479"/>
      <c r="P2210" s="2282"/>
      <c r="AG2210" s="2297">
        <v>408.06</v>
      </c>
      <c r="AH2210" s="2297" t="s">
        <v>339</v>
      </c>
      <c r="AI2210" s="1390"/>
      <c r="AJ2210" s="2282"/>
      <c r="AK2210" s="2282"/>
      <c r="AL2210" s="1037"/>
      <c r="AX2210" s="340">
        <v>77.59</v>
      </c>
      <c r="AY2210" s="340" t="s">
        <v>340</v>
      </c>
      <c r="BN2210" s="340">
        <v>321.08999999999997</v>
      </c>
      <c r="BO2210" s="340" t="s">
        <v>341</v>
      </c>
      <c r="BP2210" s="1385"/>
      <c r="BV2210" s="236">
        <v>20.14</v>
      </c>
      <c r="BW2210" s="236" t="s">
        <v>328</v>
      </c>
      <c r="CB2210" s="340">
        <v>77.72</v>
      </c>
      <c r="CC2210" s="340" t="s">
        <v>340</v>
      </c>
      <c r="CL2210" s="236">
        <v>121.04</v>
      </c>
      <c r="CM2210" s="236" t="s">
        <v>331</v>
      </c>
      <c r="CR2210" s="340">
        <v>321.07</v>
      </c>
      <c r="CS2210" s="340" t="s">
        <v>341</v>
      </c>
      <c r="CT2210" s="1384"/>
      <c r="DF2210" s="340">
        <v>320.11</v>
      </c>
      <c r="DG2210" s="340" t="s">
        <v>341</v>
      </c>
      <c r="DV2210" s="340">
        <v>408.01</v>
      </c>
      <c r="DW2210" s="340" t="s">
        <v>339</v>
      </c>
      <c r="DX2210" s="1671"/>
    </row>
    <row r="2211" spans="12:128">
      <c r="L2211" s="2481">
        <v>321.12</v>
      </c>
      <c r="M2211" s="340" t="s">
        <v>341</v>
      </c>
      <c r="N2211" s="1390"/>
      <c r="O2211" s="2479"/>
      <c r="P2211" s="2282"/>
      <c r="AG2211" s="2297">
        <v>408.07</v>
      </c>
      <c r="AH2211" s="2297" t="s">
        <v>339</v>
      </c>
      <c r="AI2211" s="1390"/>
      <c r="AJ2211" s="2282"/>
      <c r="AK2211" s="2282"/>
      <c r="AL2211" s="1037"/>
      <c r="AX2211" s="340">
        <v>77.63</v>
      </c>
      <c r="AY2211" s="340" t="s">
        <v>340</v>
      </c>
      <c r="BN2211" s="340">
        <v>321.10000000000002</v>
      </c>
      <c r="BO2211" s="340" t="s">
        <v>341</v>
      </c>
      <c r="BP2211" s="1385"/>
      <c r="BV2211" s="236">
        <v>20.16</v>
      </c>
      <c r="BW2211" s="236" t="s">
        <v>328</v>
      </c>
      <c r="CB2211" s="340">
        <v>77.73</v>
      </c>
      <c r="CC2211" s="340" t="s">
        <v>340</v>
      </c>
      <c r="CL2211" s="236">
        <v>121.05</v>
      </c>
      <c r="CM2211" s="236" t="s">
        <v>331</v>
      </c>
      <c r="CR2211" s="340">
        <v>321.08</v>
      </c>
      <c r="CS2211" s="340" t="s">
        <v>341</v>
      </c>
      <c r="CT2211" s="1384"/>
      <c r="DF2211" s="340">
        <v>320.12</v>
      </c>
      <c r="DG2211" s="340" t="s">
        <v>341</v>
      </c>
      <c r="DV2211" s="340">
        <v>408.02</v>
      </c>
      <c r="DW2211" s="340" t="s">
        <v>289</v>
      </c>
      <c r="DX2211" s="1671"/>
    </row>
    <row r="2212" spans="12:128">
      <c r="L2212" s="2481">
        <v>321.13</v>
      </c>
      <c r="M2212" s="340" t="s">
        <v>341</v>
      </c>
      <c r="N2212" s="1390"/>
      <c r="O2212" s="2479"/>
      <c r="P2212" s="2282"/>
      <c r="AG2212" s="2297">
        <v>408.08</v>
      </c>
      <c r="AH2212" s="2297" t="s">
        <v>339</v>
      </c>
      <c r="AI2212" s="1390"/>
      <c r="AJ2212" s="2282"/>
      <c r="AK2212" s="2282"/>
      <c r="AL2212" s="1037"/>
      <c r="AX2212" s="340">
        <v>77.64</v>
      </c>
      <c r="AY2212" s="340" t="s">
        <v>340</v>
      </c>
      <c r="BN2212" s="340">
        <v>321.11</v>
      </c>
      <c r="BO2212" s="340" t="s">
        <v>341</v>
      </c>
      <c r="BP2212" s="1385"/>
      <c r="BV2212" s="236">
        <v>20.170000000000002</v>
      </c>
      <c r="BW2212" s="236" t="s">
        <v>328</v>
      </c>
      <c r="CB2212" s="340">
        <v>77.739999999999995</v>
      </c>
      <c r="CC2212" s="340" t="s">
        <v>340</v>
      </c>
      <c r="CL2212" s="236">
        <v>121.06</v>
      </c>
      <c r="CM2212" s="236" t="s">
        <v>316</v>
      </c>
      <c r="CR2212" s="340">
        <v>321.08999999999997</v>
      </c>
      <c r="CS2212" s="340" t="s">
        <v>341</v>
      </c>
      <c r="CT2212" s="1384"/>
      <c r="DF2212" s="340">
        <v>320.13</v>
      </c>
      <c r="DG2212" s="340" t="s">
        <v>341</v>
      </c>
      <c r="DV2212" s="340">
        <v>408.05</v>
      </c>
      <c r="DW2212" s="340" t="s">
        <v>339</v>
      </c>
      <c r="DX2212" s="1671"/>
    </row>
    <row r="2213" spans="12:128">
      <c r="L2213" s="2481">
        <v>322</v>
      </c>
      <c r="M2213" s="340" t="s">
        <v>341</v>
      </c>
      <c r="N2213" s="1390"/>
      <c r="O2213" s="2479"/>
      <c r="P2213" s="2282"/>
      <c r="AG2213" s="2297">
        <v>408.1</v>
      </c>
      <c r="AH2213" s="2297" t="s">
        <v>339</v>
      </c>
      <c r="AI2213" s="1390"/>
      <c r="AJ2213" s="2282"/>
      <c r="AK2213" s="2282"/>
      <c r="AL2213" s="1037"/>
      <c r="AX2213" s="340">
        <v>77.680000000000007</v>
      </c>
      <c r="AY2213" s="340" t="s">
        <v>340</v>
      </c>
      <c r="BN2213" s="340">
        <v>321.12</v>
      </c>
      <c r="BO2213" s="340" t="s">
        <v>341</v>
      </c>
      <c r="BP2213" s="1385"/>
      <c r="BV2213" s="236">
        <v>20.18</v>
      </c>
      <c r="BW2213" s="236" t="s">
        <v>328</v>
      </c>
      <c r="CB2213" s="340">
        <v>77.75</v>
      </c>
      <c r="CC2213" s="340" t="s">
        <v>340</v>
      </c>
      <c r="CL2213" s="236">
        <v>121.07</v>
      </c>
      <c r="CM2213" s="236" t="s">
        <v>316</v>
      </c>
      <c r="CR2213" s="340">
        <v>321.10000000000002</v>
      </c>
      <c r="CS2213" s="340" t="s">
        <v>341</v>
      </c>
      <c r="CT2213" s="1384"/>
      <c r="DF2213" s="340">
        <v>320.14</v>
      </c>
      <c r="DG2213" s="340" t="s">
        <v>341</v>
      </c>
      <c r="DV2213" s="340">
        <v>408.06</v>
      </c>
      <c r="DW2213" s="340" t="s">
        <v>339</v>
      </c>
      <c r="DX2213" s="1671"/>
    </row>
    <row r="2214" spans="12:128">
      <c r="L2214" s="2481">
        <v>323</v>
      </c>
      <c r="M2214" s="340" t="s">
        <v>341</v>
      </c>
      <c r="N2214" s="1390"/>
      <c r="O2214" s="2479"/>
      <c r="P2214" s="2282"/>
      <c r="AG2214" s="2297">
        <v>408.12</v>
      </c>
      <c r="AH2214" s="2297" t="s">
        <v>339</v>
      </c>
      <c r="AI2214" s="1390"/>
      <c r="AJ2214" s="2282"/>
      <c r="AK2214" s="2282"/>
      <c r="AL2214" s="1037"/>
      <c r="AX2214" s="340">
        <v>77.7</v>
      </c>
      <c r="AY2214" s="340" t="s">
        <v>340</v>
      </c>
      <c r="BN2214" s="340">
        <v>321.13</v>
      </c>
      <c r="BO2214" s="340" t="s">
        <v>341</v>
      </c>
      <c r="BP2214" s="1385"/>
      <c r="BV2214" s="236">
        <v>20.190000000000001</v>
      </c>
      <c r="BW2214" s="236" t="s">
        <v>328</v>
      </c>
      <c r="CB2214" s="340">
        <v>77.760000000000005</v>
      </c>
      <c r="CC2214" s="340" t="s">
        <v>340</v>
      </c>
      <c r="CL2214" s="236">
        <v>121.08</v>
      </c>
      <c r="CM2214" s="236" t="s">
        <v>316</v>
      </c>
      <c r="CR2214" s="340">
        <v>321.11</v>
      </c>
      <c r="CS2214" s="340" t="s">
        <v>341</v>
      </c>
      <c r="CT2214" s="1384"/>
      <c r="DF2214" s="340">
        <v>321.02999999999997</v>
      </c>
      <c r="DG2214" s="340" t="s">
        <v>341</v>
      </c>
      <c r="DV2214" s="340">
        <v>408.07</v>
      </c>
      <c r="DW2214" s="340" t="s">
        <v>339</v>
      </c>
      <c r="DX2214" s="1671"/>
    </row>
    <row r="2215" spans="12:128">
      <c r="L2215" s="2481">
        <v>324.01</v>
      </c>
      <c r="M2215" s="340" t="s">
        <v>341</v>
      </c>
      <c r="N2215" s="1390"/>
      <c r="O2215" s="2479"/>
      <c r="P2215" s="2282"/>
      <c r="AG2215" s="2297">
        <v>409.01</v>
      </c>
      <c r="AH2215" s="2297" t="s">
        <v>314</v>
      </c>
      <c r="AI2215" s="1390"/>
      <c r="AJ2215" s="2282"/>
      <c r="AK2215" s="2282"/>
      <c r="AL2215" s="1037"/>
      <c r="AX2215" s="340">
        <v>77.709999999999994</v>
      </c>
      <c r="AY2215" s="340" t="s">
        <v>340</v>
      </c>
      <c r="BN2215" s="340">
        <v>322</v>
      </c>
      <c r="BO2215" s="340" t="s">
        <v>341</v>
      </c>
      <c r="BP2215" s="1385"/>
      <c r="BV2215" s="236">
        <v>20.2</v>
      </c>
      <c r="BW2215" s="236" t="s">
        <v>328</v>
      </c>
      <c r="CB2215" s="340">
        <v>77.77</v>
      </c>
      <c r="CC2215" s="340" t="s">
        <v>340</v>
      </c>
      <c r="CL2215" s="236">
        <v>121.09</v>
      </c>
      <c r="CM2215" s="236" t="s">
        <v>316</v>
      </c>
      <c r="CR2215" s="340">
        <v>321.12</v>
      </c>
      <c r="CS2215" s="340" t="s">
        <v>341</v>
      </c>
      <c r="CT2215" s="1384"/>
      <c r="DF2215" s="340">
        <v>321.04000000000002</v>
      </c>
      <c r="DG2215" s="340" t="s">
        <v>341</v>
      </c>
      <c r="DV2215" s="340">
        <v>408.08</v>
      </c>
      <c r="DW2215" s="340" t="s">
        <v>339</v>
      </c>
      <c r="DX2215" s="1671"/>
    </row>
    <row r="2216" spans="12:128">
      <c r="L2216" s="2481">
        <v>328.02</v>
      </c>
      <c r="M2216" s="340" t="s">
        <v>341</v>
      </c>
      <c r="N2216" s="1390"/>
      <c r="O2216" s="2479"/>
      <c r="P2216" s="2282"/>
      <c r="AG2216" s="2297">
        <v>409.01</v>
      </c>
      <c r="AH2216" s="2297" t="s">
        <v>339</v>
      </c>
      <c r="AI2216" s="1390"/>
      <c r="AJ2216" s="2282"/>
      <c r="AK2216" s="2282"/>
      <c r="AL2216" s="1037"/>
      <c r="AX2216" s="340">
        <v>77.72</v>
      </c>
      <c r="AY2216" s="340" t="s">
        <v>340</v>
      </c>
      <c r="BN2216" s="340">
        <v>323</v>
      </c>
      <c r="BO2216" s="340" t="s">
        <v>341</v>
      </c>
      <c r="BP2216" s="1385"/>
      <c r="BV2216" s="236">
        <v>20.21</v>
      </c>
      <c r="BW2216" s="236" t="s">
        <v>328</v>
      </c>
      <c r="CB2216" s="340">
        <v>77.78</v>
      </c>
      <c r="CC2216" s="340" t="s">
        <v>340</v>
      </c>
      <c r="CL2216" s="236">
        <v>121.1</v>
      </c>
      <c r="CM2216" s="236" t="s">
        <v>316</v>
      </c>
      <c r="CR2216" s="340">
        <v>321.13</v>
      </c>
      <c r="CS2216" s="340" t="s">
        <v>341</v>
      </c>
      <c r="CT2216" s="1384"/>
      <c r="DF2216" s="340">
        <v>321.05</v>
      </c>
      <c r="DG2216" s="340" t="s">
        <v>341</v>
      </c>
      <c r="DV2216" s="340">
        <v>408.09</v>
      </c>
      <c r="DW2216" s="340" t="s">
        <v>339</v>
      </c>
      <c r="DX2216" s="1671"/>
    </row>
    <row r="2217" spans="12:128">
      <c r="L2217" s="2481">
        <v>328.05</v>
      </c>
      <c r="M2217" s="340" t="s">
        <v>341</v>
      </c>
      <c r="N2217" s="1390"/>
      <c r="O2217" s="2479"/>
      <c r="P2217" s="2282"/>
      <c r="AG2217" s="2297">
        <v>409.04</v>
      </c>
      <c r="AH2217" s="2297" t="s">
        <v>339</v>
      </c>
      <c r="AI2217" s="1390"/>
      <c r="AJ2217" s="2282"/>
      <c r="AK2217" s="2282"/>
      <c r="AL2217" s="1037"/>
      <c r="AX2217" s="340">
        <v>77.73</v>
      </c>
      <c r="AY2217" s="340" t="s">
        <v>340</v>
      </c>
      <c r="BN2217" s="340">
        <v>324.01</v>
      </c>
      <c r="BO2217" s="340" t="s">
        <v>341</v>
      </c>
      <c r="BP2217" s="1385"/>
      <c r="BV2217" s="236">
        <v>20.22</v>
      </c>
      <c r="BW2217" s="236" t="s">
        <v>328</v>
      </c>
      <c r="CB2217" s="340">
        <v>77.8</v>
      </c>
      <c r="CC2217" s="340" t="s">
        <v>340</v>
      </c>
      <c r="CL2217" s="236">
        <v>121.13</v>
      </c>
      <c r="CM2217" s="236" t="s">
        <v>344</v>
      </c>
      <c r="CR2217" s="340">
        <v>322</v>
      </c>
      <c r="CS2217" s="340" t="s">
        <v>341</v>
      </c>
      <c r="CT2217" s="1384"/>
      <c r="DF2217" s="340">
        <v>321.06</v>
      </c>
      <c r="DG2217" s="340" t="s">
        <v>341</v>
      </c>
      <c r="DV2217" s="340">
        <v>408.11</v>
      </c>
      <c r="DW2217" s="340" t="s">
        <v>339</v>
      </c>
      <c r="DX2217" s="1671"/>
    </row>
    <row r="2218" spans="12:128">
      <c r="L2218" s="2481">
        <v>329.01</v>
      </c>
      <c r="M2218" s="340" t="s">
        <v>341</v>
      </c>
      <c r="N2218" s="1390"/>
      <c r="O2218" s="2479"/>
      <c r="P2218" s="2282"/>
      <c r="AG2218" s="2297">
        <v>409.06</v>
      </c>
      <c r="AH2218" s="2297" t="s">
        <v>314</v>
      </c>
      <c r="AI2218" s="1390"/>
      <c r="AJ2218" s="2282"/>
      <c r="AK2218" s="2282"/>
      <c r="AL2218" s="1037"/>
      <c r="AX2218" s="340">
        <v>77.739999999999995</v>
      </c>
      <c r="AY2218" s="340" t="s">
        <v>340</v>
      </c>
      <c r="BN2218" s="340">
        <v>326.02</v>
      </c>
      <c r="BO2218" s="340" t="s">
        <v>341</v>
      </c>
      <c r="BP2218" s="1385"/>
      <c r="BV2218" s="236">
        <v>20.23</v>
      </c>
      <c r="BW2218" s="236" t="s">
        <v>328</v>
      </c>
      <c r="CB2218" s="340">
        <v>78.05</v>
      </c>
      <c r="CC2218" s="340" t="s">
        <v>340</v>
      </c>
      <c r="CL2218" s="236">
        <v>121.24</v>
      </c>
      <c r="CM2218" s="236" t="s">
        <v>344</v>
      </c>
      <c r="CR2218" s="340">
        <v>323</v>
      </c>
      <c r="CS2218" s="340" t="s">
        <v>341</v>
      </c>
      <c r="CT2218" s="1384"/>
      <c r="DF2218" s="340">
        <v>321.07</v>
      </c>
      <c r="DG2218" s="340" t="s">
        <v>341</v>
      </c>
      <c r="DV2218" s="340">
        <v>408.12</v>
      </c>
      <c r="DW2218" s="340" t="s">
        <v>339</v>
      </c>
      <c r="DX2218" s="1671"/>
    </row>
    <row r="2219" spans="12:128">
      <c r="L2219" s="2481">
        <v>329.02</v>
      </c>
      <c r="M2219" s="340" t="s">
        <v>341</v>
      </c>
      <c r="N2219" s="1390"/>
      <c r="O2219" s="2479"/>
      <c r="P2219" s="2282"/>
      <c r="AG2219" s="2297">
        <v>409.07</v>
      </c>
      <c r="AH2219" s="2297" t="s">
        <v>314</v>
      </c>
      <c r="AI2219" s="1390"/>
      <c r="AJ2219" s="2282"/>
      <c r="AK2219" s="2282"/>
      <c r="AL2219" s="1037"/>
      <c r="AX2219" s="340">
        <v>77.75</v>
      </c>
      <c r="AY2219" s="340" t="s">
        <v>340</v>
      </c>
      <c r="BN2219" s="340">
        <v>327</v>
      </c>
      <c r="BO2219" s="340" t="s">
        <v>341</v>
      </c>
      <c r="BP2219" s="1385"/>
      <c r="BV2219" s="236">
        <v>20.239999999999998</v>
      </c>
      <c r="BW2219" s="236" t="s">
        <v>328</v>
      </c>
      <c r="CB2219" s="340">
        <v>78.14</v>
      </c>
      <c r="CC2219" s="340" t="s">
        <v>340</v>
      </c>
      <c r="CL2219" s="236">
        <v>121.25</v>
      </c>
      <c r="CM2219" s="236" t="s">
        <v>344</v>
      </c>
      <c r="CR2219" s="340">
        <v>324.01</v>
      </c>
      <c r="CS2219" s="340" t="s">
        <v>341</v>
      </c>
      <c r="CT2219" s="1384"/>
      <c r="DF2219" s="340">
        <v>321.08</v>
      </c>
      <c r="DG2219" s="340" t="s">
        <v>341</v>
      </c>
      <c r="DV2219" s="340">
        <v>409.01</v>
      </c>
      <c r="DW2219" s="340" t="s">
        <v>339</v>
      </c>
      <c r="DX2219" s="1671"/>
    </row>
    <row r="2220" spans="12:128">
      <c r="L2220" s="2481">
        <v>329.05</v>
      </c>
      <c r="M2220" s="340" t="s">
        <v>341</v>
      </c>
      <c r="N2220" s="1390"/>
      <c r="O2220" s="2479"/>
      <c r="P2220" s="2282"/>
      <c r="AG2220" s="2297">
        <v>409.08</v>
      </c>
      <c r="AH2220" s="2297" t="s">
        <v>314</v>
      </c>
      <c r="AI2220" s="1390"/>
      <c r="AJ2220" s="2282"/>
      <c r="AK2220" s="2282"/>
      <c r="AL2220" s="1037"/>
      <c r="AX2220" s="340">
        <v>77.760000000000005</v>
      </c>
      <c r="AY2220" s="340" t="s">
        <v>340</v>
      </c>
      <c r="BN2220" s="340">
        <v>328.02</v>
      </c>
      <c r="BO2220" s="340" t="s">
        <v>341</v>
      </c>
      <c r="BP2220" s="1385"/>
      <c r="BV2220" s="236">
        <v>20.25</v>
      </c>
      <c r="BW2220" s="236" t="s">
        <v>328</v>
      </c>
      <c r="CB2220" s="340">
        <v>78.180000000000007</v>
      </c>
      <c r="CC2220" s="340" t="s">
        <v>340</v>
      </c>
      <c r="CL2220" s="236">
        <v>121.26</v>
      </c>
      <c r="CM2220" s="236" t="s">
        <v>344</v>
      </c>
      <c r="CR2220" s="340">
        <v>325</v>
      </c>
      <c r="CS2220" s="340" t="s">
        <v>341</v>
      </c>
      <c r="CT2220" s="1384"/>
      <c r="DF2220" s="340">
        <v>321.08999999999997</v>
      </c>
      <c r="DG2220" s="340" t="s">
        <v>341</v>
      </c>
      <c r="DV2220" s="340">
        <v>409.06</v>
      </c>
      <c r="DW2220" s="340" t="s">
        <v>314</v>
      </c>
      <c r="DX2220" s="1671"/>
    </row>
    <row r="2221" spans="12:128">
      <c r="L2221" s="2481">
        <v>330.05</v>
      </c>
      <c r="M2221" s="340" t="s">
        <v>341</v>
      </c>
      <c r="N2221" s="1390"/>
      <c r="O2221" s="2479"/>
      <c r="P2221" s="2282"/>
      <c r="AG2221" s="2297">
        <v>409.09</v>
      </c>
      <c r="AH2221" s="2297" t="s">
        <v>314</v>
      </c>
      <c r="AI2221" s="1390"/>
      <c r="AJ2221" s="2282"/>
      <c r="AK2221" s="2282"/>
      <c r="AL2221" s="1037"/>
      <c r="AX2221" s="340">
        <v>77.77</v>
      </c>
      <c r="AY2221" s="340" t="s">
        <v>340</v>
      </c>
      <c r="BN2221" s="340">
        <v>328.04</v>
      </c>
      <c r="BO2221" s="340" t="s">
        <v>341</v>
      </c>
      <c r="BP2221" s="1385"/>
      <c r="BV2221" s="236">
        <v>9900</v>
      </c>
      <c r="BW2221" s="236" t="s">
        <v>328</v>
      </c>
      <c r="CB2221" s="340">
        <v>78.2</v>
      </c>
      <c r="CC2221" s="340" t="s">
        <v>340</v>
      </c>
      <c r="CL2221" s="236">
        <v>121.27</v>
      </c>
      <c r="CM2221" s="236" t="s">
        <v>344</v>
      </c>
      <c r="CR2221" s="340">
        <v>326.02</v>
      </c>
      <c r="CS2221" s="340" t="s">
        <v>341</v>
      </c>
      <c r="CT2221" s="1384"/>
      <c r="DF2221" s="340">
        <v>321.10000000000002</v>
      </c>
      <c r="DG2221" s="340" t="s">
        <v>341</v>
      </c>
      <c r="DV2221" s="340">
        <v>409.07</v>
      </c>
      <c r="DW2221" s="340" t="s">
        <v>314</v>
      </c>
      <c r="DX2221" s="1671"/>
    </row>
    <row r="2222" spans="12:128">
      <c r="L2222" s="2481">
        <v>330.06</v>
      </c>
      <c r="M2222" s="340" t="s">
        <v>341</v>
      </c>
      <c r="N2222" s="1390"/>
      <c r="O2222" s="2479"/>
      <c r="P2222" s="2282"/>
      <c r="AG2222" s="2297">
        <v>409.1</v>
      </c>
      <c r="AH2222" s="2297" t="s">
        <v>314</v>
      </c>
      <c r="AI2222" s="1390"/>
      <c r="AJ2222" s="2282"/>
      <c r="AK2222" s="2282"/>
      <c r="AL2222" s="1037"/>
      <c r="AX2222" s="340">
        <v>77.78</v>
      </c>
      <c r="AY2222" s="340" t="s">
        <v>340</v>
      </c>
      <c r="BN2222" s="340">
        <v>328.05</v>
      </c>
      <c r="BO2222" s="340" t="s">
        <v>341</v>
      </c>
      <c r="BP2222" s="1385"/>
      <c r="BV2222" s="236">
        <v>1.01</v>
      </c>
      <c r="BW2222" s="236" t="s">
        <v>329</v>
      </c>
      <c r="CB2222" s="340">
        <v>78.209999999999994</v>
      </c>
      <c r="CC2222" s="340" t="s">
        <v>340</v>
      </c>
      <c r="CL2222" s="236">
        <v>121.28</v>
      </c>
      <c r="CM2222" s="236" t="s">
        <v>344</v>
      </c>
      <c r="CR2222" s="340">
        <v>327</v>
      </c>
      <c r="CS2222" s="340" t="s">
        <v>341</v>
      </c>
      <c r="CT2222" s="1384"/>
      <c r="DF2222" s="340">
        <v>321.11</v>
      </c>
      <c r="DG2222" s="340" t="s">
        <v>341</v>
      </c>
      <c r="DV2222" s="340">
        <v>409.08</v>
      </c>
      <c r="DW2222" s="340" t="s">
        <v>314</v>
      </c>
      <c r="DX2222" s="1671"/>
    </row>
    <row r="2223" spans="12:128">
      <c r="L2223" s="2481">
        <v>331.02</v>
      </c>
      <c r="M2223" s="340" t="s">
        <v>341</v>
      </c>
      <c r="N2223" s="1390"/>
      <c r="O2223" s="2479"/>
      <c r="P2223" s="2282"/>
      <c r="AG2223" s="2297">
        <v>409.11</v>
      </c>
      <c r="AH2223" s="2297" t="s">
        <v>314</v>
      </c>
      <c r="AI2223" s="1390"/>
      <c r="AJ2223" s="2282"/>
      <c r="AK2223" s="2282"/>
      <c r="AL2223" s="1037"/>
      <c r="AX2223" s="340">
        <v>78.05</v>
      </c>
      <c r="AY2223" s="340" t="s">
        <v>340</v>
      </c>
      <c r="BN2223" s="340">
        <v>329.02</v>
      </c>
      <c r="BO2223" s="340" t="s">
        <v>341</v>
      </c>
      <c r="BP2223" s="1385"/>
      <c r="BV2223" s="236">
        <v>1.02</v>
      </c>
      <c r="BW2223" s="236" t="s">
        <v>329</v>
      </c>
      <c r="CB2223" s="340">
        <v>78.23</v>
      </c>
      <c r="CC2223" s="340" t="s">
        <v>340</v>
      </c>
      <c r="CL2223" s="236">
        <v>121.3</v>
      </c>
      <c r="CM2223" s="236" t="s">
        <v>344</v>
      </c>
      <c r="CR2223" s="340">
        <v>328.02</v>
      </c>
      <c r="CS2223" s="340" t="s">
        <v>341</v>
      </c>
      <c r="CT2223" s="1384"/>
      <c r="DF2223" s="340">
        <v>321.12</v>
      </c>
      <c r="DG2223" s="340" t="s">
        <v>341</v>
      </c>
      <c r="DV2223" s="340">
        <v>409.09</v>
      </c>
      <c r="DW2223" s="340" t="s">
        <v>314</v>
      </c>
      <c r="DX2223" s="1671"/>
    </row>
    <row r="2224" spans="12:128">
      <c r="L2224" s="2481">
        <v>201.05</v>
      </c>
      <c r="M2224" s="340" t="s">
        <v>342</v>
      </c>
      <c r="N2224" s="1390"/>
      <c r="O2224" s="2479"/>
      <c r="P2224" s="2282"/>
      <c r="AG2224" s="2297">
        <v>409.12</v>
      </c>
      <c r="AH2224" s="2297" t="s">
        <v>314</v>
      </c>
      <c r="AI2224" s="1390"/>
      <c r="AJ2224" s="2282"/>
      <c r="AK2224" s="2282"/>
      <c r="AL2224" s="1037"/>
      <c r="AX2224" s="340">
        <v>78.12</v>
      </c>
      <c r="AY2224" s="340" t="s">
        <v>340</v>
      </c>
      <c r="BN2224" s="340">
        <v>330.05</v>
      </c>
      <c r="BO2224" s="340" t="s">
        <v>341</v>
      </c>
      <c r="BP2224" s="1385"/>
      <c r="BV2224" s="236">
        <v>2.0099999999999998</v>
      </c>
      <c r="BW2224" s="236" t="s">
        <v>329</v>
      </c>
      <c r="CB2224" s="340">
        <v>78.3</v>
      </c>
      <c r="CC2224" s="340" t="s">
        <v>340</v>
      </c>
      <c r="CL2224" s="236">
        <v>121.31</v>
      </c>
      <c r="CM2224" s="236" t="s">
        <v>344</v>
      </c>
      <c r="CR2224" s="340">
        <v>328.04</v>
      </c>
      <c r="CS2224" s="340" t="s">
        <v>341</v>
      </c>
      <c r="CT2224" s="1384"/>
      <c r="DF2224" s="340">
        <v>321.13</v>
      </c>
      <c r="DG2224" s="340" t="s">
        <v>341</v>
      </c>
      <c r="DV2224" s="340">
        <v>409.1</v>
      </c>
      <c r="DW2224" s="340" t="s">
        <v>314</v>
      </c>
      <c r="DX2224" s="1671"/>
    </row>
    <row r="2225" spans="12:128">
      <c r="L2225" s="2481">
        <v>201.06</v>
      </c>
      <c r="M2225" s="340" t="s">
        <v>342</v>
      </c>
      <c r="N2225" s="1390"/>
      <c r="O2225" s="2479"/>
      <c r="P2225" s="2282"/>
      <c r="AG2225" s="2297">
        <v>410.03</v>
      </c>
      <c r="AH2225" s="2297" t="s">
        <v>314</v>
      </c>
      <c r="AI2225" s="1390"/>
      <c r="AJ2225" s="2282"/>
      <c r="AK2225" s="2282"/>
      <c r="AL2225" s="1037"/>
      <c r="AX2225" s="340">
        <v>78.13</v>
      </c>
      <c r="AY2225" s="340" t="s">
        <v>340</v>
      </c>
      <c r="BN2225" s="340">
        <v>330.06</v>
      </c>
      <c r="BO2225" s="340" t="s">
        <v>341</v>
      </c>
      <c r="BP2225" s="1385"/>
      <c r="BV2225" s="236">
        <v>2.02</v>
      </c>
      <c r="BW2225" s="236" t="s">
        <v>329</v>
      </c>
      <c r="CB2225" s="340">
        <v>78.31</v>
      </c>
      <c r="CC2225" s="340" t="s">
        <v>340</v>
      </c>
      <c r="CL2225" s="236">
        <v>121.32</v>
      </c>
      <c r="CM2225" s="236" t="s">
        <v>344</v>
      </c>
      <c r="CR2225" s="340">
        <v>328.05</v>
      </c>
      <c r="CS2225" s="340" t="s">
        <v>341</v>
      </c>
      <c r="CT2225" s="1384"/>
      <c r="DF2225" s="340">
        <v>322</v>
      </c>
      <c r="DG2225" s="340" t="s">
        <v>341</v>
      </c>
      <c r="DV2225" s="340">
        <v>409.11</v>
      </c>
      <c r="DW2225" s="340" t="s">
        <v>314</v>
      </c>
      <c r="DX2225" s="1671"/>
    </row>
    <row r="2226" spans="12:128">
      <c r="L2226" s="2481">
        <v>201.07</v>
      </c>
      <c r="M2226" s="340" t="s">
        <v>342</v>
      </c>
      <c r="N2226" s="1390"/>
      <c r="O2226" s="2479"/>
      <c r="P2226" s="2282"/>
      <c r="AG2226" s="2297">
        <v>410.04</v>
      </c>
      <c r="AH2226" s="2297" t="s">
        <v>339</v>
      </c>
      <c r="AI2226" s="1390"/>
      <c r="AJ2226" s="2282"/>
      <c r="AK2226" s="2282"/>
      <c r="AL2226" s="1037"/>
      <c r="AX2226" s="340">
        <v>78.14</v>
      </c>
      <c r="AY2226" s="340" t="s">
        <v>340</v>
      </c>
      <c r="BN2226" s="340">
        <v>330.08</v>
      </c>
      <c r="BO2226" s="340" t="s">
        <v>341</v>
      </c>
      <c r="BP2226" s="1385"/>
      <c r="BV2226" s="236">
        <v>2.0299999999999998</v>
      </c>
      <c r="BW2226" s="236" t="s">
        <v>329</v>
      </c>
      <c r="CB2226" s="340">
        <v>78.34</v>
      </c>
      <c r="CC2226" s="340" t="s">
        <v>340</v>
      </c>
      <c r="CL2226" s="236">
        <v>121.33</v>
      </c>
      <c r="CM2226" s="236" t="s">
        <v>344</v>
      </c>
      <c r="CR2226" s="340">
        <v>329.01</v>
      </c>
      <c r="CS2226" s="340" t="s">
        <v>341</v>
      </c>
      <c r="CT2226" s="1384"/>
      <c r="DF2226" s="340">
        <v>323</v>
      </c>
      <c r="DG2226" s="340" t="s">
        <v>341</v>
      </c>
      <c r="DV2226" s="340">
        <v>409.13</v>
      </c>
      <c r="DW2226" s="340" t="s">
        <v>314</v>
      </c>
      <c r="DX2226" s="1671"/>
    </row>
    <row r="2227" spans="12:128">
      <c r="L2227" s="2481">
        <v>201.08</v>
      </c>
      <c r="M2227" s="340" t="s">
        <v>342</v>
      </c>
      <c r="N2227" s="1390"/>
      <c r="O2227" s="2479"/>
      <c r="P2227" s="2282"/>
      <c r="AG2227" s="2297">
        <v>410.05</v>
      </c>
      <c r="AH2227" s="2297" t="s">
        <v>314</v>
      </c>
      <c r="AI2227" s="1390"/>
      <c r="AJ2227" s="2282"/>
      <c r="AK2227" s="2282"/>
      <c r="AL2227" s="1037"/>
      <c r="AX2227" s="340">
        <v>78.180000000000007</v>
      </c>
      <c r="AY2227" s="340" t="s">
        <v>340</v>
      </c>
      <c r="BN2227" s="340">
        <v>331.02</v>
      </c>
      <c r="BO2227" s="340" t="s">
        <v>341</v>
      </c>
      <c r="BP2227" s="1385"/>
      <c r="BV2227" s="236">
        <v>3.02</v>
      </c>
      <c r="BW2227" s="236" t="s">
        <v>329</v>
      </c>
      <c r="CB2227" s="340">
        <v>78.349999999999994</v>
      </c>
      <c r="CC2227" s="340" t="s">
        <v>340</v>
      </c>
      <c r="CL2227" s="236">
        <v>122</v>
      </c>
      <c r="CM2227" s="236" t="s">
        <v>331</v>
      </c>
      <c r="CR2227" s="340">
        <v>329.02</v>
      </c>
      <c r="CS2227" s="340" t="s">
        <v>341</v>
      </c>
      <c r="CT2227" s="1384"/>
      <c r="DF2227" s="340">
        <v>324.01</v>
      </c>
      <c r="DG2227" s="340" t="s">
        <v>341</v>
      </c>
      <c r="DV2227" s="340">
        <v>410.03</v>
      </c>
      <c r="DW2227" s="340" t="s">
        <v>339</v>
      </c>
      <c r="DX2227" s="1671"/>
    </row>
    <row r="2228" spans="12:128">
      <c r="L2228" s="2481">
        <v>202.01</v>
      </c>
      <c r="M2228" s="340" t="s">
        <v>342</v>
      </c>
      <c r="N2228" s="1390"/>
      <c r="O2228" s="2479"/>
      <c r="P2228" s="2282"/>
      <c r="AG2228" s="2297">
        <v>410.06</v>
      </c>
      <c r="AH2228" s="2297" t="s">
        <v>314</v>
      </c>
      <c r="AI2228" s="1390"/>
      <c r="AJ2228" s="2282"/>
      <c r="AK2228" s="2282"/>
      <c r="AL2228" s="1037"/>
      <c r="AX2228" s="340">
        <v>78.2</v>
      </c>
      <c r="AY2228" s="340" t="s">
        <v>340</v>
      </c>
      <c r="BN2228" s="340">
        <v>401.01</v>
      </c>
      <c r="BO2228" s="340" t="s">
        <v>281</v>
      </c>
      <c r="BP2228" s="1385"/>
      <c r="BV2228" s="236">
        <v>3.03</v>
      </c>
      <c r="BW2228" s="236" t="s">
        <v>329</v>
      </c>
      <c r="CB2228" s="340">
        <v>78.37</v>
      </c>
      <c r="CC2228" s="340" t="s">
        <v>340</v>
      </c>
      <c r="CL2228" s="236">
        <v>122.01</v>
      </c>
      <c r="CM2228" s="236" t="s">
        <v>302</v>
      </c>
      <c r="CR2228" s="340">
        <v>330.05</v>
      </c>
      <c r="CS2228" s="340" t="s">
        <v>341</v>
      </c>
      <c r="CT2228" s="1384"/>
      <c r="DF2228" s="340">
        <v>328.02</v>
      </c>
      <c r="DG2228" s="340" t="s">
        <v>341</v>
      </c>
      <c r="DV2228" s="340">
        <v>410.04</v>
      </c>
      <c r="DW2228" s="340" t="s">
        <v>314</v>
      </c>
      <c r="DX2228" s="1671"/>
    </row>
    <row r="2229" spans="12:128">
      <c r="L2229" s="2481">
        <v>202.02</v>
      </c>
      <c r="M2229" s="340" t="s">
        <v>342</v>
      </c>
      <c r="N2229" s="1390"/>
      <c r="O2229" s="2479"/>
      <c r="P2229" s="2282"/>
      <c r="AG2229" s="2297">
        <v>410.06</v>
      </c>
      <c r="AH2229" s="2297" t="s">
        <v>339</v>
      </c>
      <c r="AI2229" s="1390"/>
      <c r="AJ2229" s="2282"/>
      <c r="AK2229" s="2282"/>
      <c r="AL2229" s="1037"/>
      <c r="AX2229" s="340">
        <v>78.209999999999994</v>
      </c>
      <c r="AY2229" s="340" t="s">
        <v>340</v>
      </c>
      <c r="BN2229" s="340">
        <v>401.01</v>
      </c>
      <c r="BO2229" s="340" t="s">
        <v>289</v>
      </c>
      <c r="BP2229" s="1385"/>
      <c r="BV2229" s="236">
        <v>3.04</v>
      </c>
      <c r="BW2229" s="236" t="s">
        <v>329</v>
      </c>
      <c r="CB2229" s="340">
        <v>78.38</v>
      </c>
      <c r="CC2229" s="340" t="s">
        <v>340</v>
      </c>
      <c r="CL2229" s="236">
        <v>122.01</v>
      </c>
      <c r="CM2229" s="236" t="s">
        <v>338</v>
      </c>
      <c r="CR2229" s="340">
        <v>330.06</v>
      </c>
      <c r="CS2229" s="340" t="s">
        <v>341</v>
      </c>
      <c r="CT2229" s="1384"/>
      <c r="DF2229" s="340">
        <v>328.05</v>
      </c>
      <c r="DG2229" s="340" t="s">
        <v>341</v>
      </c>
      <c r="DV2229" s="340">
        <v>410.04</v>
      </c>
      <c r="DW2229" s="340" t="s">
        <v>339</v>
      </c>
      <c r="DX2229" s="1671"/>
    </row>
    <row r="2230" spans="12:128">
      <c r="L2230" s="2481">
        <v>202.07</v>
      </c>
      <c r="M2230" s="340" t="s">
        <v>342</v>
      </c>
      <c r="N2230" s="1390"/>
      <c r="O2230" s="2479"/>
      <c r="P2230" s="2282"/>
      <c r="AG2230" s="2297">
        <v>411.04</v>
      </c>
      <c r="AH2230" s="2297" t="s">
        <v>314</v>
      </c>
      <c r="AI2230" s="1390"/>
      <c r="AJ2230" s="2282"/>
      <c r="AK2230" s="2282"/>
      <c r="AL2230" s="1037"/>
      <c r="AX2230" s="340">
        <v>78.23</v>
      </c>
      <c r="AY2230" s="340" t="s">
        <v>340</v>
      </c>
      <c r="BN2230" s="340">
        <v>401.02</v>
      </c>
      <c r="BO2230" s="340" t="s">
        <v>281</v>
      </c>
      <c r="BP2230" s="1385"/>
      <c r="BV2230" s="236">
        <v>4.01</v>
      </c>
      <c r="BW2230" s="236" t="s">
        <v>329</v>
      </c>
      <c r="CB2230" s="340">
        <v>78.41</v>
      </c>
      <c r="CC2230" s="340" t="s">
        <v>340</v>
      </c>
      <c r="CL2230" s="236">
        <v>122.02</v>
      </c>
      <c r="CM2230" s="236" t="s">
        <v>302</v>
      </c>
      <c r="CR2230" s="340">
        <v>331.02</v>
      </c>
      <c r="CS2230" s="340" t="s">
        <v>341</v>
      </c>
      <c r="CT2230" s="1384"/>
      <c r="DF2230" s="340">
        <v>329.01</v>
      </c>
      <c r="DG2230" s="340" t="s">
        <v>341</v>
      </c>
      <c r="DV2230" s="340">
        <v>410.06</v>
      </c>
      <c r="DW2230" s="340" t="s">
        <v>314</v>
      </c>
      <c r="DX2230" s="1671"/>
    </row>
    <row r="2231" spans="12:128">
      <c r="L2231" s="2481">
        <v>202.09</v>
      </c>
      <c r="M2231" s="340" t="s">
        <v>342</v>
      </c>
      <c r="N2231" s="1390"/>
      <c r="O2231" s="2479"/>
      <c r="P2231" s="2282"/>
      <c r="AG2231" s="2297">
        <v>411.05</v>
      </c>
      <c r="AH2231" s="2297" t="s">
        <v>314</v>
      </c>
      <c r="AI2231" s="1390"/>
      <c r="AJ2231" s="2282"/>
      <c r="AK2231" s="2282"/>
      <c r="AL2231" s="1037"/>
      <c r="AX2231" s="340">
        <v>78.3</v>
      </c>
      <c r="AY2231" s="340" t="s">
        <v>340</v>
      </c>
      <c r="BN2231" s="340">
        <v>401.02</v>
      </c>
      <c r="BO2231" s="340" t="s">
        <v>289</v>
      </c>
      <c r="BP2231" s="1385"/>
      <c r="BV2231" s="236">
        <v>4.0199999999999996</v>
      </c>
      <c r="BW2231" s="236" t="s">
        <v>329</v>
      </c>
      <c r="CB2231" s="340">
        <v>78.42</v>
      </c>
      <c r="CC2231" s="340" t="s">
        <v>340</v>
      </c>
      <c r="CL2231" s="236">
        <v>122.02</v>
      </c>
      <c r="CM2231" s="236" t="s">
        <v>338</v>
      </c>
      <c r="CR2231" s="340">
        <v>401.01</v>
      </c>
      <c r="CS2231" s="340" t="s">
        <v>281</v>
      </c>
      <c r="CT2231" s="1384"/>
      <c r="DF2231" s="340">
        <v>329.02</v>
      </c>
      <c r="DG2231" s="340" t="s">
        <v>341</v>
      </c>
      <c r="DV2231" s="340">
        <v>410.06</v>
      </c>
      <c r="DW2231" s="340" t="s">
        <v>339</v>
      </c>
      <c r="DX2231" s="1671"/>
    </row>
    <row r="2232" spans="12:128">
      <c r="L2232" s="2481">
        <v>203.01</v>
      </c>
      <c r="M2232" s="340" t="s">
        <v>342</v>
      </c>
      <c r="N2232" s="1390"/>
      <c r="O2232" s="2479"/>
      <c r="P2232" s="2282"/>
      <c r="AG2232" s="2297">
        <v>412.01</v>
      </c>
      <c r="AH2232" s="2297" t="s">
        <v>314</v>
      </c>
      <c r="AI2232" s="1390"/>
      <c r="AJ2232" s="2282"/>
      <c r="AK2232" s="2282"/>
      <c r="AL2232" s="1037"/>
      <c r="AX2232" s="340">
        <v>78.31</v>
      </c>
      <c r="AY2232" s="340" t="s">
        <v>340</v>
      </c>
      <c r="BN2232" s="340">
        <v>401.08</v>
      </c>
      <c r="BO2232" s="340" t="s">
        <v>323</v>
      </c>
      <c r="BP2232" s="1385"/>
      <c r="BV2232" s="236">
        <v>5.01</v>
      </c>
      <c r="BW2232" s="236" t="s">
        <v>329</v>
      </c>
      <c r="CB2232" s="340">
        <v>78.430000000000007</v>
      </c>
      <c r="CC2232" s="340" t="s">
        <v>340</v>
      </c>
      <c r="CL2232" s="236">
        <v>122.03</v>
      </c>
      <c r="CM2232" s="236" t="s">
        <v>344</v>
      </c>
      <c r="CR2232" s="340">
        <v>401.02</v>
      </c>
      <c r="CS2232" s="340" t="s">
        <v>281</v>
      </c>
      <c r="CT2232" s="1384"/>
      <c r="DF2232" s="340">
        <v>329.05</v>
      </c>
      <c r="DG2232" s="340" t="s">
        <v>341</v>
      </c>
      <c r="DV2232" s="340">
        <v>411.04</v>
      </c>
      <c r="DW2232" s="340" t="s">
        <v>314</v>
      </c>
      <c r="DX2232" s="1671"/>
    </row>
    <row r="2233" spans="12:128">
      <c r="L2233" s="2481">
        <v>203.02</v>
      </c>
      <c r="M2233" s="340" t="s">
        <v>342</v>
      </c>
      <c r="N2233" s="1390"/>
      <c r="O2233" s="2479"/>
      <c r="P2233" s="2282"/>
      <c r="AG2233" s="2297">
        <v>413.04</v>
      </c>
      <c r="AH2233" s="2297" t="s">
        <v>314</v>
      </c>
      <c r="AI2233" s="1390"/>
      <c r="AJ2233" s="2282"/>
      <c r="AK2233" s="2282"/>
      <c r="AL2233" s="1037"/>
      <c r="AX2233" s="340">
        <v>78.34</v>
      </c>
      <c r="AY2233" s="340" t="s">
        <v>340</v>
      </c>
      <c r="BN2233" s="340">
        <v>401.1</v>
      </c>
      <c r="BO2233" s="340" t="s">
        <v>323</v>
      </c>
      <c r="BP2233" s="1385"/>
      <c r="BV2233" s="236">
        <v>5.0199999999999996</v>
      </c>
      <c r="BW2233" s="236" t="s">
        <v>329</v>
      </c>
      <c r="CB2233" s="340">
        <v>78.44</v>
      </c>
      <c r="CC2233" s="340" t="s">
        <v>340</v>
      </c>
      <c r="CL2233" s="236">
        <v>122.06</v>
      </c>
      <c r="CM2233" s="236" t="s">
        <v>316</v>
      </c>
      <c r="CR2233" s="340">
        <v>401.02</v>
      </c>
      <c r="CS2233" s="340" t="s">
        <v>289</v>
      </c>
      <c r="CT2233" s="1384"/>
      <c r="DF2233" s="340">
        <v>330.05</v>
      </c>
      <c r="DG2233" s="340" t="s">
        <v>341</v>
      </c>
      <c r="DV2233" s="340">
        <v>411.05</v>
      </c>
      <c r="DW2233" s="340" t="s">
        <v>314</v>
      </c>
      <c r="DX2233" s="1671"/>
    </row>
    <row r="2234" spans="12:128">
      <c r="L2234" s="2481">
        <v>204</v>
      </c>
      <c r="M2234" s="340" t="s">
        <v>342</v>
      </c>
      <c r="N2234" s="1390"/>
      <c r="O2234" s="2479"/>
      <c r="P2234" s="2282"/>
      <c r="AG2234" s="2297">
        <v>414.02</v>
      </c>
      <c r="AH2234" s="2297" t="s">
        <v>314</v>
      </c>
      <c r="AI2234" s="1390"/>
      <c r="AJ2234" s="2282"/>
      <c r="AK2234" s="2282"/>
      <c r="AL2234" s="1037"/>
      <c r="AX2234" s="340">
        <v>78.349999999999994</v>
      </c>
      <c r="AY2234" s="340" t="s">
        <v>340</v>
      </c>
      <c r="BN2234" s="340">
        <v>401.11</v>
      </c>
      <c r="BO2234" s="340" t="s">
        <v>323</v>
      </c>
      <c r="BP2234" s="1385"/>
      <c r="BV2234" s="236">
        <v>6.01</v>
      </c>
      <c r="BW2234" s="236" t="s">
        <v>329</v>
      </c>
      <c r="CB2234" s="340">
        <v>78.45</v>
      </c>
      <c r="CC2234" s="340" t="s">
        <v>340</v>
      </c>
      <c r="CL2234" s="236">
        <v>122.07</v>
      </c>
      <c r="CM2234" s="236" t="s">
        <v>316</v>
      </c>
      <c r="CR2234" s="340">
        <v>401.02</v>
      </c>
      <c r="CS2234" s="340" t="s">
        <v>314</v>
      </c>
      <c r="CT2234" s="1384"/>
      <c r="DF2234" s="340">
        <v>330.06</v>
      </c>
      <c r="DG2234" s="340" t="s">
        <v>341</v>
      </c>
      <c r="DV2234" s="340">
        <v>412.03</v>
      </c>
      <c r="DW2234" s="340" t="s">
        <v>314</v>
      </c>
      <c r="DX2234" s="1671"/>
    </row>
    <row r="2235" spans="12:128">
      <c r="L2235" s="2481">
        <v>207</v>
      </c>
      <c r="M2235" s="340" t="s">
        <v>342</v>
      </c>
      <c r="N2235" s="1390"/>
      <c r="O2235" s="2479"/>
      <c r="P2235" s="2282"/>
      <c r="AG2235" s="2297">
        <v>415.01</v>
      </c>
      <c r="AH2235" s="2297" t="s">
        <v>314</v>
      </c>
      <c r="AI2235" s="1390"/>
      <c r="AJ2235" s="2282"/>
      <c r="AK2235" s="2282"/>
      <c r="AL2235" s="1037"/>
      <c r="AX2235" s="340">
        <v>78.37</v>
      </c>
      <c r="AY2235" s="340" t="s">
        <v>340</v>
      </c>
      <c r="BN2235" s="340">
        <v>401.13</v>
      </c>
      <c r="BO2235" s="340" t="s">
        <v>323</v>
      </c>
      <c r="BP2235" s="1385"/>
      <c r="BV2235" s="236">
        <v>6.04</v>
      </c>
      <c r="BW2235" s="236" t="s">
        <v>329</v>
      </c>
      <c r="CB2235" s="340">
        <v>78.459999999999994</v>
      </c>
      <c r="CC2235" s="340" t="s">
        <v>340</v>
      </c>
      <c r="CL2235" s="236">
        <v>122.07</v>
      </c>
      <c r="CM2235" s="236" t="s">
        <v>344</v>
      </c>
      <c r="CR2235" s="340">
        <v>401.08</v>
      </c>
      <c r="CS2235" s="340" t="s">
        <v>323</v>
      </c>
      <c r="CT2235" s="1384"/>
      <c r="DF2235" s="340">
        <v>331.01</v>
      </c>
      <c r="DG2235" s="340" t="s">
        <v>341</v>
      </c>
      <c r="DV2235" s="340">
        <v>413.01</v>
      </c>
      <c r="DW2235" s="340" t="s">
        <v>339</v>
      </c>
      <c r="DX2235" s="1671"/>
    </row>
    <row r="2236" spans="12:128">
      <c r="L2236" s="2481">
        <v>215.01</v>
      </c>
      <c r="M2236" s="340" t="s">
        <v>342</v>
      </c>
      <c r="N2236" s="1390"/>
      <c r="O2236" s="2479"/>
      <c r="P2236" s="2282"/>
      <c r="AG2236" s="2297">
        <v>415.01</v>
      </c>
      <c r="AH2236" s="2297" t="s">
        <v>339</v>
      </c>
      <c r="AI2236" s="1390"/>
      <c r="AJ2236" s="2282"/>
      <c r="AK2236" s="2282"/>
      <c r="AL2236" s="1037"/>
      <c r="AX2236" s="340">
        <v>78.38</v>
      </c>
      <c r="AY2236" s="340" t="s">
        <v>340</v>
      </c>
      <c r="BN2236" s="340">
        <v>401.17</v>
      </c>
      <c r="BO2236" s="340" t="s">
        <v>323</v>
      </c>
      <c r="BP2236" s="1385"/>
      <c r="BV2236" s="236">
        <v>6.05</v>
      </c>
      <c r="BW2236" s="236" t="s">
        <v>329</v>
      </c>
      <c r="CB2236" s="340">
        <v>78.47</v>
      </c>
      <c r="CC2236" s="340" t="s">
        <v>340</v>
      </c>
      <c r="CL2236" s="236">
        <v>122.08</v>
      </c>
      <c r="CM2236" s="236" t="s">
        <v>316</v>
      </c>
      <c r="CR2236" s="340">
        <v>401.1</v>
      </c>
      <c r="CS2236" s="340" t="s">
        <v>323</v>
      </c>
      <c r="CT2236" s="1384"/>
      <c r="DF2236" s="340">
        <v>331.02</v>
      </c>
      <c r="DG2236" s="340" t="s">
        <v>341</v>
      </c>
      <c r="DV2236" s="340">
        <v>413.03</v>
      </c>
      <c r="DW2236" s="340" t="s">
        <v>314</v>
      </c>
      <c r="DX2236" s="1671"/>
    </row>
    <row r="2237" spans="12:128">
      <c r="L2237" s="2481">
        <v>218</v>
      </c>
      <c r="M2237" s="340" t="s">
        <v>342</v>
      </c>
      <c r="N2237" s="1390"/>
      <c r="O2237" s="2479"/>
      <c r="P2237" s="2282"/>
      <c r="AG2237" s="2297">
        <v>415.02</v>
      </c>
      <c r="AH2237" s="2297" t="s">
        <v>314</v>
      </c>
      <c r="AI2237" s="1390"/>
      <c r="AJ2237" s="2282"/>
      <c r="AK2237" s="2282"/>
      <c r="AL2237" s="1037"/>
      <c r="AX2237" s="340">
        <v>78.42</v>
      </c>
      <c r="AY2237" s="340" t="s">
        <v>340</v>
      </c>
      <c r="BN2237" s="340">
        <v>401.18</v>
      </c>
      <c r="BO2237" s="340" t="s">
        <v>323</v>
      </c>
      <c r="BP2237" s="1385"/>
      <c r="BV2237" s="236">
        <v>6.06</v>
      </c>
      <c r="BW2237" s="236" t="s">
        <v>329</v>
      </c>
      <c r="CB2237" s="340">
        <v>78.48</v>
      </c>
      <c r="CC2237" s="340" t="s">
        <v>340</v>
      </c>
      <c r="CL2237" s="236">
        <v>122.08</v>
      </c>
      <c r="CM2237" s="236" t="s">
        <v>344</v>
      </c>
      <c r="CR2237" s="340">
        <v>401.11</v>
      </c>
      <c r="CS2237" s="340" t="s">
        <v>323</v>
      </c>
      <c r="CT2237" s="1384"/>
      <c r="DF2237" s="340">
        <v>201.05</v>
      </c>
      <c r="DG2237" s="340" t="s">
        <v>342</v>
      </c>
      <c r="DV2237" s="340">
        <v>413.04</v>
      </c>
      <c r="DW2237" s="340" t="s">
        <v>314</v>
      </c>
      <c r="DX2237" s="1671"/>
    </row>
    <row r="2238" spans="12:128">
      <c r="L2238" s="2481">
        <v>219</v>
      </c>
      <c r="M2238" s="340" t="s">
        <v>342</v>
      </c>
      <c r="N2238" s="1390"/>
      <c r="O2238" s="2479"/>
      <c r="P2238" s="2282"/>
      <c r="AG2238" s="2297">
        <v>415.02</v>
      </c>
      <c r="AH2238" s="2297" t="s">
        <v>339</v>
      </c>
      <c r="AI2238" s="1390"/>
      <c r="AJ2238" s="2282"/>
      <c r="AK2238" s="2282"/>
      <c r="AL2238" s="1037"/>
      <c r="AX2238" s="340">
        <v>78.430000000000007</v>
      </c>
      <c r="AY2238" s="340" t="s">
        <v>340</v>
      </c>
      <c r="BN2238" s="340">
        <v>401.2</v>
      </c>
      <c r="BO2238" s="340" t="s">
        <v>323</v>
      </c>
      <c r="BP2238" s="1385"/>
      <c r="BV2238" s="236">
        <v>6.07</v>
      </c>
      <c r="BW2238" s="236" t="s">
        <v>329</v>
      </c>
      <c r="CB2238" s="340">
        <v>78.489999999999995</v>
      </c>
      <c r="CC2238" s="340" t="s">
        <v>340</v>
      </c>
      <c r="CL2238" s="236">
        <v>122.09</v>
      </c>
      <c r="CM2238" s="236" t="s">
        <v>316</v>
      </c>
      <c r="CR2238" s="340">
        <v>401.13</v>
      </c>
      <c r="CS2238" s="340" t="s">
        <v>323</v>
      </c>
      <c r="CT2238" s="1384"/>
      <c r="DF2238" s="340">
        <v>201.06</v>
      </c>
      <c r="DG2238" s="340" t="s">
        <v>342</v>
      </c>
      <c r="DV2238" s="340">
        <v>415.01</v>
      </c>
      <c r="DW2238" s="340" t="s">
        <v>314</v>
      </c>
      <c r="DX2238" s="1671"/>
    </row>
    <row r="2239" spans="12:128">
      <c r="L2239" s="2481">
        <v>221.02</v>
      </c>
      <c r="M2239" s="340" t="s">
        <v>342</v>
      </c>
      <c r="N2239" s="1390"/>
      <c r="O2239" s="2479"/>
      <c r="P2239" s="2282"/>
      <c r="AG2239" s="2297">
        <v>416.01</v>
      </c>
      <c r="AH2239" s="2297" t="s">
        <v>314</v>
      </c>
      <c r="AI2239" s="1390"/>
      <c r="AJ2239" s="2282"/>
      <c r="AK2239" s="2282"/>
      <c r="AL2239" s="1037"/>
      <c r="AX2239" s="340">
        <v>78.44</v>
      </c>
      <c r="AY2239" s="340" t="s">
        <v>340</v>
      </c>
      <c r="BN2239" s="340">
        <v>401.23</v>
      </c>
      <c r="BO2239" s="340" t="s">
        <v>323</v>
      </c>
      <c r="BP2239" s="1385"/>
      <c r="BV2239" s="236">
        <v>7.03</v>
      </c>
      <c r="BW2239" s="236" t="s">
        <v>329</v>
      </c>
      <c r="CB2239" s="340">
        <v>78.5</v>
      </c>
      <c r="CC2239" s="340" t="s">
        <v>340</v>
      </c>
      <c r="CL2239" s="236">
        <v>122.09</v>
      </c>
      <c r="CM2239" s="236" t="s">
        <v>344</v>
      </c>
      <c r="CR2239" s="340">
        <v>401.17</v>
      </c>
      <c r="CS2239" s="340" t="s">
        <v>323</v>
      </c>
      <c r="CT2239" s="1384"/>
      <c r="DF2239" s="340">
        <v>201.07</v>
      </c>
      <c r="DG2239" s="340" t="s">
        <v>342</v>
      </c>
      <c r="DV2239" s="340">
        <v>415.01</v>
      </c>
      <c r="DW2239" s="340" t="s">
        <v>339</v>
      </c>
      <c r="DX2239" s="1671"/>
    </row>
    <row r="2240" spans="12:128">
      <c r="L2240" s="2481">
        <v>222</v>
      </c>
      <c r="M2240" s="340" t="s">
        <v>342</v>
      </c>
      <c r="N2240" s="1390"/>
      <c r="O2240" s="2479"/>
      <c r="P2240" s="2282"/>
      <c r="AG2240" s="2297">
        <v>418.02</v>
      </c>
      <c r="AH2240" s="2297" t="s">
        <v>289</v>
      </c>
      <c r="AI2240" s="1390"/>
      <c r="AJ2240" s="2282"/>
      <c r="AK2240" s="2282"/>
      <c r="AL2240" s="1037"/>
      <c r="AX2240" s="340">
        <v>78.45</v>
      </c>
      <c r="AY2240" s="340" t="s">
        <v>340</v>
      </c>
      <c r="BN2240" s="340">
        <v>401.25</v>
      </c>
      <c r="BO2240" s="340" t="s">
        <v>323</v>
      </c>
      <c r="BP2240" s="1385"/>
      <c r="BV2240" s="236">
        <v>7.04</v>
      </c>
      <c r="BW2240" s="236" t="s">
        <v>329</v>
      </c>
      <c r="CB2240" s="340">
        <v>78.53</v>
      </c>
      <c r="CC2240" s="340" t="s">
        <v>340</v>
      </c>
      <c r="CL2240" s="236">
        <v>122.1</v>
      </c>
      <c r="CM2240" s="236" t="s">
        <v>316</v>
      </c>
      <c r="CR2240" s="340">
        <v>401.18</v>
      </c>
      <c r="CS2240" s="340" t="s">
        <v>323</v>
      </c>
      <c r="CT2240" s="1384"/>
      <c r="DF2240" s="340">
        <v>201.08</v>
      </c>
      <c r="DG2240" s="340" t="s">
        <v>342</v>
      </c>
      <c r="DV2240" s="340">
        <v>415.02</v>
      </c>
      <c r="DW2240" s="340" t="s">
        <v>339</v>
      </c>
      <c r="DX2240" s="1671"/>
    </row>
    <row r="2241" spans="12:128">
      <c r="L2241" s="2481">
        <v>223.01</v>
      </c>
      <c r="M2241" s="340" t="s">
        <v>342</v>
      </c>
      <c r="N2241" s="1390"/>
      <c r="O2241" s="2479"/>
      <c r="P2241" s="2282"/>
      <c r="AG2241" s="2297">
        <v>419</v>
      </c>
      <c r="AH2241" s="2297" t="s">
        <v>289</v>
      </c>
      <c r="AI2241" s="1390"/>
      <c r="AJ2241" s="2282"/>
      <c r="AK2241" s="2282"/>
      <c r="AL2241" s="1037"/>
      <c r="AX2241" s="340">
        <v>78.459999999999994</v>
      </c>
      <c r="AY2241" s="340" t="s">
        <v>340</v>
      </c>
      <c r="BN2241" s="340">
        <v>401.26</v>
      </c>
      <c r="BO2241" s="340" t="s">
        <v>323</v>
      </c>
      <c r="BP2241" s="1385"/>
      <c r="BV2241" s="236">
        <v>7.05</v>
      </c>
      <c r="BW2241" s="236" t="s">
        <v>329</v>
      </c>
      <c r="CB2241" s="340">
        <v>79.09</v>
      </c>
      <c r="CC2241" s="340" t="s">
        <v>340</v>
      </c>
      <c r="CL2241" s="236">
        <v>122.11</v>
      </c>
      <c r="CM2241" s="236" t="s">
        <v>316</v>
      </c>
      <c r="CR2241" s="340">
        <v>401.2</v>
      </c>
      <c r="CS2241" s="340" t="s">
        <v>323</v>
      </c>
      <c r="CT2241" s="1384"/>
      <c r="DF2241" s="340">
        <v>202.01</v>
      </c>
      <c r="DG2241" s="340" t="s">
        <v>342</v>
      </c>
      <c r="DV2241" s="340">
        <v>416</v>
      </c>
      <c r="DW2241" s="340" t="s">
        <v>339</v>
      </c>
      <c r="DX2241" s="1671"/>
    </row>
    <row r="2242" spans="12:128">
      <c r="L2242" s="2481">
        <v>223.02</v>
      </c>
      <c r="M2242" s="340" t="s">
        <v>342</v>
      </c>
      <c r="N2242" s="1390"/>
      <c r="O2242" s="2479"/>
      <c r="P2242" s="2282"/>
      <c r="AG2242" s="2297">
        <v>420</v>
      </c>
      <c r="AH2242" s="2297" t="s">
        <v>289</v>
      </c>
      <c r="AI2242" s="1390"/>
      <c r="AJ2242" s="2282"/>
      <c r="AK2242" s="2282"/>
      <c r="AL2242" s="1037"/>
      <c r="AX2242" s="340">
        <v>78.47</v>
      </c>
      <c r="AY2242" s="340" t="s">
        <v>340</v>
      </c>
      <c r="BN2242" s="340">
        <v>401.28</v>
      </c>
      <c r="BO2242" s="340" t="s">
        <v>323</v>
      </c>
      <c r="BP2242" s="1385"/>
      <c r="BV2242" s="236">
        <v>7.06</v>
      </c>
      <c r="BW2242" s="236" t="s">
        <v>329</v>
      </c>
      <c r="CB2242" s="340">
        <v>79.13</v>
      </c>
      <c r="CC2242" s="340" t="s">
        <v>340</v>
      </c>
      <c r="CL2242" s="236">
        <v>122.12</v>
      </c>
      <c r="CM2242" s="236" t="s">
        <v>316</v>
      </c>
      <c r="CR2242" s="340">
        <v>401.23</v>
      </c>
      <c r="CS2242" s="340" t="s">
        <v>323</v>
      </c>
      <c r="CT2242" s="1384"/>
      <c r="DF2242" s="340">
        <v>202.02</v>
      </c>
      <c r="DG2242" s="340" t="s">
        <v>342</v>
      </c>
      <c r="DV2242" s="340">
        <v>416.01</v>
      </c>
      <c r="DW2242" s="340" t="s">
        <v>314</v>
      </c>
      <c r="DX2242" s="1671"/>
    </row>
    <row r="2243" spans="12:128">
      <c r="L2243" s="2481">
        <v>224.01</v>
      </c>
      <c r="M2243" s="340" t="s">
        <v>342</v>
      </c>
      <c r="N2243" s="1390"/>
      <c r="O2243" s="2479"/>
      <c r="P2243" s="2282"/>
      <c r="AG2243" s="2297">
        <v>421</v>
      </c>
      <c r="AH2243" s="2297" t="s">
        <v>339</v>
      </c>
      <c r="AI2243" s="1390"/>
      <c r="AJ2243" s="2282"/>
      <c r="AK2243" s="2282"/>
      <c r="AL2243" s="1037"/>
      <c r="AX2243" s="340">
        <v>78.48</v>
      </c>
      <c r="AY2243" s="340" t="s">
        <v>340</v>
      </c>
      <c r="BN2243" s="340">
        <v>401.29</v>
      </c>
      <c r="BO2243" s="340" t="s">
        <v>323</v>
      </c>
      <c r="BP2243" s="1385"/>
      <c r="BV2243" s="236">
        <v>7.07</v>
      </c>
      <c r="BW2243" s="236" t="s">
        <v>329</v>
      </c>
      <c r="CB2243" s="340">
        <v>79.150000000000006</v>
      </c>
      <c r="CC2243" s="340" t="s">
        <v>340</v>
      </c>
      <c r="CL2243" s="236">
        <v>122.13</v>
      </c>
      <c r="CM2243" s="236" t="s">
        <v>316</v>
      </c>
      <c r="CR2243" s="340">
        <v>401.25</v>
      </c>
      <c r="CS2243" s="340" t="s">
        <v>323</v>
      </c>
      <c r="CT2243" s="1384"/>
      <c r="DF2243" s="340">
        <v>202.07</v>
      </c>
      <c r="DG2243" s="340" t="s">
        <v>342</v>
      </c>
      <c r="DV2243" s="340">
        <v>418.01</v>
      </c>
      <c r="DW2243" s="340" t="s">
        <v>289</v>
      </c>
      <c r="DX2243" s="1671"/>
    </row>
    <row r="2244" spans="12:128">
      <c r="L2244" s="2481">
        <v>224.02</v>
      </c>
      <c r="M2244" s="340" t="s">
        <v>342</v>
      </c>
      <c r="N2244" s="1390"/>
      <c r="O2244" s="2479"/>
      <c r="P2244" s="2282"/>
      <c r="AG2244" s="2297">
        <v>422</v>
      </c>
      <c r="AH2244" s="2297" t="s">
        <v>289</v>
      </c>
      <c r="AI2244" s="1390"/>
      <c r="AJ2244" s="2282"/>
      <c r="AK2244" s="2282"/>
      <c r="AL2244" s="1037"/>
      <c r="AX2244" s="340">
        <v>78.5</v>
      </c>
      <c r="AY2244" s="340" t="s">
        <v>340</v>
      </c>
      <c r="BN2244" s="340">
        <v>401.3</v>
      </c>
      <c r="BO2244" s="340" t="s">
        <v>323</v>
      </c>
      <c r="BP2244" s="1385"/>
      <c r="BV2244" s="236">
        <v>8.0299999999999994</v>
      </c>
      <c r="BW2244" s="236" t="s">
        <v>329</v>
      </c>
      <c r="CB2244" s="340">
        <v>79.16</v>
      </c>
      <c r="CC2244" s="340" t="s">
        <v>340</v>
      </c>
      <c r="CL2244" s="236">
        <v>123</v>
      </c>
      <c r="CM2244" s="236" t="s">
        <v>302</v>
      </c>
      <c r="CR2244" s="340">
        <v>401.26</v>
      </c>
      <c r="CS2244" s="340" t="s">
        <v>323</v>
      </c>
      <c r="CT2244" s="1384"/>
      <c r="DF2244" s="340">
        <v>203.01</v>
      </c>
      <c r="DG2244" s="340" t="s">
        <v>342</v>
      </c>
      <c r="DV2244" s="340">
        <v>418.02</v>
      </c>
      <c r="DW2244" s="340" t="s">
        <v>289</v>
      </c>
      <c r="DX2244" s="1671"/>
    </row>
    <row r="2245" spans="12:128">
      <c r="L2245" s="2481">
        <v>225.02</v>
      </c>
      <c r="M2245" s="340" t="s">
        <v>342</v>
      </c>
      <c r="N2245" s="1390"/>
      <c r="O2245" s="2479"/>
      <c r="P2245" s="2282"/>
      <c r="AG2245" s="2297">
        <v>422.01</v>
      </c>
      <c r="AH2245" s="2297" t="s">
        <v>339</v>
      </c>
      <c r="AI2245" s="1390"/>
      <c r="AJ2245" s="2282"/>
      <c r="AK2245" s="2282"/>
      <c r="AL2245" s="1037"/>
      <c r="AX2245" s="340">
        <v>78.53</v>
      </c>
      <c r="AY2245" s="340" t="s">
        <v>340</v>
      </c>
      <c r="BN2245" s="340">
        <v>401.31</v>
      </c>
      <c r="BO2245" s="340" t="s">
        <v>323</v>
      </c>
      <c r="BP2245" s="1385"/>
      <c r="BV2245" s="236">
        <v>8.0399999999999991</v>
      </c>
      <c r="BW2245" s="236" t="s">
        <v>329</v>
      </c>
      <c r="CB2245" s="340">
        <v>79.17</v>
      </c>
      <c r="CC2245" s="340" t="s">
        <v>340</v>
      </c>
      <c r="CL2245" s="236">
        <v>123.01</v>
      </c>
      <c r="CM2245" s="236" t="s">
        <v>316</v>
      </c>
      <c r="CR2245" s="340">
        <v>401.28</v>
      </c>
      <c r="CS2245" s="340" t="s">
        <v>323</v>
      </c>
      <c r="CT2245" s="1384"/>
      <c r="DF2245" s="340">
        <v>203.02</v>
      </c>
      <c r="DG2245" s="340" t="s">
        <v>342</v>
      </c>
      <c r="DV2245" s="340">
        <v>419</v>
      </c>
      <c r="DW2245" s="340" t="s">
        <v>289</v>
      </c>
      <c r="DX2245" s="1671"/>
    </row>
    <row r="2246" spans="12:128">
      <c r="L2246" s="2481">
        <v>225.03</v>
      </c>
      <c r="M2246" s="340" t="s">
        <v>342</v>
      </c>
      <c r="N2246" s="1390"/>
      <c r="O2246" s="2479"/>
      <c r="P2246" s="2282"/>
      <c r="AG2246" s="2297">
        <v>423.01</v>
      </c>
      <c r="AH2246" s="2297" t="s">
        <v>289</v>
      </c>
      <c r="AI2246" s="1390"/>
      <c r="AJ2246" s="2282"/>
      <c r="AK2246" s="2282"/>
      <c r="AL2246" s="1037"/>
      <c r="AX2246" s="340">
        <v>79.09</v>
      </c>
      <c r="AY2246" s="340" t="s">
        <v>340</v>
      </c>
      <c r="BN2246" s="340">
        <v>401.32</v>
      </c>
      <c r="BO2246" s="340" t="s">
        <v>323</v>
      </c>
      <c r="BP2246" s="1385"/>
      <c r="BV2246" s="236">
        <v>8.0500000000000007</v>
      </c>
      <c r="BW2246" s="236" t="s">
        <v>329</v>
      </c>
      <c r="CB2246" s="340">
        <v>79.180000000000007</v>
      </c>
      <c r="CC2246" s="340" t="s">
        <v>340</v>
      </c>
      <c r="CL2246" s="236">
        <v>123.01</v>
      </c>
      <c r="CM2246" s="236" t="s">
        <v>331</v>
      </c>
      <c r="CR2246" s="340">
        <v>401.29</v>
      </c>
      <c r="CS2246" s="340" t="s">
        <v>323</v>
      </c>
      <c r="CT2246" s="1384"/>
      <c r="DF2246" s="340">
        <v>204</v>
      </c>
      <c r="DG2246" s="340" t="s">
        <v>342</v>
      </c>
      <c r="DV2246" s="340">
        <v>420</v>
      </c>
      <c r="DW2246" s="340" t="s">
        <v>289</v>
      </c>
      <c r="DX2246" s="1671"/>
    </row>
    <row r="2247" spans="12:128">
      <c r="L2247" s="2481">
        <v>226.01</v>
      </c>
      <c r="M2247" s="340" t="s">
        <v>342</v>
      </c>
      <c r="N2247" s="1390"/>
      <c r="O2247" s="2479"/>
      <c r="P2247" s="2282"/>
      <c r="AG2247" s="2297">
        <v>423.02</v>
      </c>
      <c r="AH2247" s="2297" t="s">
        <v>289</v>
      </c>
      <c r="AI2247" s="1390"/>
      <c r="AJ2247" s="2282"/>
      <c r="AK2247" s="2282"/>
      <c r="AL2247" s="1037"/>
      <c r="AX2247" s="340">
        <v>79.16</v>
      </c>
      <c r="AY2247" s="340" t="s">
        <v>340</v>
      </c>
      <c r="BN2247" s="340">
        <v>401.33</v>
      </c>
      <c r="BO2247" s="340" t="s">
        <v>323</v>
      </c>
      <c r="BP2247" s="1385"/>
      <c r="BV2247" s="236">
        <v>8.06</v>
      </c>
      <c r="BW2247" s="236" t="s">
        <v>329</v>
      </c>
      <c r="CB2247" s="340">
        <v>79.19</v>
      </c>
      <c r="CC2247" s="340" t="s">
        <v>340</v>
      </c>
      <c r="CL2247" s="236">
        <v>123.02</v>
      </c>
      <c r="CM2247" s="236" t="s">
        <v>331</v>
      </c>
      <c r="CR2247" s="340">
        <v>401.3</v>
      </c>
      <c r="CS2247" s="340" t="s">
        <v>323</v>
      </c>
      <c r="CT2247" s="1384"/>
      <c r="DF2247" s="340">
        <v>207</v>
      </c>
      <c r="DG2247" s="340" t="s">
        <v>342</v>
      </c>
      <c r="DV2247" s="340">
        <v>421</v>
      </c>
      <c r="DW2247" s="340" t="s">
        <v>289</v>
      </c>
      <c r="DX2247" s="1671"/>
    </row>
    <row r="2248" spans="12:128">
      <c r="L2248" s="2481">
        <v>226.02</v>
      </c>
      <c r="M2248" s="340" t="s">
        <v>342</v>
      </c>
      <c r="N2248" s="1390"/>
      <c r="O2248" s="2479"/>
      <c r="P2248" s="2282"/>
      <c r="AG2248" s="2297">
        <v>424</v>
      </c>
      <c r="AH2248" s="2297" t="s">
        <v>339</v>
      </c>
      <c r="AI2248" s="1390"/>
      <c r="AJ2248" s="2282"/>
      <c r="AK2248" s="2282"/>
      <c r="AL2248" s="1037"/>
      <c r="AX2248" s="340">
        <v>79.17</v>
      </c>
      <c r="AY2248" s="340" t="s">
        <v>340</v>
      </c>
      <c r="BN2248" s="340">
        <v>401.35</v>
      </c>
      <c r="BO2248" s="340" t="s">
        <v>323</v>
      </c>
      <c r="BP2248" s="1385"/>
      <c r="BV2248" s="236">
        <v>8.07</v>
      </c>
      <c r="BW2248" s="236" t="s">
        <v>329</v>
      </c>
      <c r="CB2248" s="340">
        <v>302.02</v>
      </c>
      <c r="CC2248" s="340" t="s">
        <v>341</v>
      </c>
      <c r="CL2248" s="236">
        <v>123.03</v>
      </c>
      <c r="CM2248" s="236" t="s">
        <v>316</v>
      </c>
      <c r="CR2248" s="340">
        <v>401.31</v>
      </c>
      <c r="CS2248" s="340" t="s">
        <v>323</v>
      </c>
      <c r="CT2248" s="1384"/>
      <c r="DF2248" s="340">
        <v>215.01</v>
      </c>
      <c r="DG2248" s="340" t="s">
        <v>342</v>
      </c>
      <c r="DV2248" s="340">
        <v>421</v>
      </c>
      <c r="DW2248" s="340" t="s">
        <v>339</v>
      </c>
      <c r="DX2248" s="1671"/>
    </row>
    <row r="2249" spans="12:128">
      <c r="L2249" s="2481">
        <v>227</v>
      </c>
      <c r="M2249" s="340" t="s">
        <v>342</v>
      </c>
      <c r="N2249" s="1390"/>
      <c r="O2249" s="2479"/>
      <c r="P2249" s="2282"/>
      <c r="AG2249" s="2297">
        <v>425.01</v>
      </c>
      <c r="AH2249" s="2297" t="s">
        <v>289</v>
      </c>
      <c r="AI2249" s="1390"/>
      <c r="AJ2249" s="2282"/>
      <c r="AK2249" s="2282"/>
      <c r="AL2249" s="1037"/>
      <c r="AX2249" s="340">
        <v>79.19</v>
      </c>
      <c r="AY2249" s="340" t="s">
        <v>340</v>
      </c>
      <c r="BN2249" s="340">
        <v>401.36</v>
      </c>
      <c r="BO2249" s="340" t="s">
        <v>323</v>
      </c>
      <c r="BP2249" s="1385"/>
      <c r="BV2249" s="236">
        <v>8.08</v>
      </c>
      <c r="BW2249" s="236" t="s">
        <v>329</v>
      </c>
      <c r="CB2249" s="340">
        <v>302.04000000000002</v>
      </c>
      <c r="CC2249" s="340" t="s">
        <v>341</v>
      </c>
      <c r="CL2249" s="236">
        <v>123.03</v>
      </c>
      <c r="CM2249" s="236" t="s">
        <v>338</v>
      </c>
      <c r="CR2249" s="340">
        <v>401.32</v>
      </c>
      <c r="CS2249" s="340" t="s">
        <v>323</v>
      </c>
      <c r="CT2249" s="1384"/>
      <c r="DF2249" s="340">
        <v>215.02</v>
      </c>
      <c r="DG2249" s="340" t="s">
        <v>342</v>
      </c>
      <c r="DV2249" s="340">
        <v>422</v>
      </c>
      <c r="DW2249" s="340" t="s">
        <v>289</v>
      </c>
      <c r="DX2249" s="1671"/>
    </row>
    <row r="2250" spans="12:128">
      <c r="L2250" s="2481">
        <v>228.02</v>
      </c>
      <c r="M2250" s="340" t="s">
        <v>342</v>
      </c>
      <c r="N2250" s="1390"/>
      <c r="O2250" s="2479"/>
      <c r="P2250" s="2282"/>
      <c r="AG2250" s="2297">
        <v>425.02</v>
      </c>
      <c r="AH2250" s="2297" t="s">
        <v>289</v>
      </c>
      <c r="AI2250" s="1390"/>
      <c r="AJ2250" s="2282"/>
      <c r="AK2250" s="2282"/>
      <c r="AL2250" s="1037"/>
      <c r="AX2250" s="340">
        <v>302.02</v>
      </c>
      <c r="AY2250" s="340" t="s">
        <v>341</v>
      </c>
      <c r="BN2250" s="340">
        <v>401.37</v>
      </c>
      <c r="BO2250" s="340" t="s">
        <v>323</v>
      </c>
      <c r="BP2250" s="1385"/>
      <c r="BV2250" s="236">
        <v>8.09</v>
      </c>
      <c r="BW2250" s="236" t="s">
        <v>329</v>
      </c>
      <c r="CB2250" s="340">
        <v>302.05</v>
      </c>
      <c r="CC2250" s="340" t="s">
        <v>341</v>
      </c>
      <c r="CL2250" s="236">
        <v>123.03</v>
      </c>
      <c r="CM2250" s="236" t="s">
        <v>344</v>
      </c>
      <c r="CR2250" s="340">
        <v>401.33</v>
      </c>
      <c r="CS2250" s="340" t="s">
        <v>323</v>
      </c>
      <c r="CT2250" s="1384"/>
      <c r="DF2250" s="340">
        <v>216</v>
      </c>
      <c r="DG2250" s="340" t="s">
        <v>342</v>
      </c>
      <c r="DV2250" s="340">
        <v>422.01</v>
      </c>
      <c r="DW2250" s="340" t="s">
        <v>339</v>
      </c>
      <c r="DX2250" s="1671"/>
    </row>
    <row r="2251" spans="12:128">
      <c r="L2251" s="2481">
        <v>231</v>
      </c>
      <c r="M2251" s="340" t="s">
        <v>342</v>
      </c>
      <c r="N2251" s="1390"/>
      <c r="O2251" s="2479"/>
      <c r="P2251" s="2282"/>
      <c r="AG2251" s="2297">
        <v>426.01</v>
      </c>
      <c r="AH2251" s="2297" t="s">
        <v>289</v>
      </c>
      <c r="AI2251" s="1390"/>
      <c r="AJ2251" s="2282"/>
      <c r="AK2251" s="2282"/>
      <c r="AL2251" s="1037"/>
      <c r="AX2251" s="340">
        <v>302.04000000000002</v>
      </c>
      <c r="AY2251" s="340" t="s">
        <v>341</v>
      </c>
      <c r="BN2251" s="340">
        <v>401.38</v>
      </c>
      <c r="BO2251" s="340" t="s">
        <v>323</v>
      </c>
      <c r="BP2251" s="1385"/>
      <c r="BV2251" s="236">
        <v>8.1</v>
      </c>
      <c r="BW2251" s="236" t="s">
        <v>329</v>
      </c>
      <c r="CB2251" s="340">
        <v>303.02999999999997</v>
      </c>
      <c r="CC2251" s="340" t="s">
        <v>341</v>
      </c>
      <c r="CL2251" s="236">
        <v>123.04</v>
      </c>
      <c r="CM2251" s="236" t="s">
        <v>316</v>
      </c>
      <c r="CR2251" s="340">
        <v>401.34</v>
      </c>
      <c r="CS2251" s="340" t="s">
        <v>323</v>
      </c>
      <c r="CT2251" s="1384"/>
      <c r="DF2251" s="340">
        <v>218</v>
      </c>
      <c r="DG2251" s="340" t="s">
        <v>342</v>
      </c>
      <c r="DV2251" s="340">
        <v>423.01</v>
      </c>
      <c r="DW2251" s="340" t="s">
        <v>289</v>
      </c>
      <c r="DX2251" s="1671"/>
    </row>
    <row r="2252" spans="12:128">
      <c r="L2252" s="2481">
        <v>232</v>
      </c>
      <c r="M2252" s="340" t="s">
        <v>342</v>
      </c>
      <c r="N2252" s="1390"/>
      <c r="O2252" s="2479"/>
      <c r="P2252" s="2282"/>
      <c r="AG2252" s="2297">
        <v>428</v>
      </c>
      <c r="AH2252" s="2297" t="s">
        <v>339</v>
      </c>
      <c r="AI2252" s="1390"/>
      <c r="AJ2252" s="2282"/>
      <c r="AK2252" s="2282"/>
      <c r="AL2252" s="1037"/>
      <c r="AX2252" s="340">
        <v>302.05</v>
      </c>
      <c r="AY2252" s="340" t="s">
        <v>341</v>
      </c>
      <c r="BN2252" s="340">
        <v>402.02</v>
      </c>
      <c r="BO2252" s="340" t="s">
        <v>281</v>
      </c>
      <c r="BP2252" s="1385"/>
      <c r="BV2252" s="236">
        <v>8.11</v>
      </c>
      <c r="BW2252" s="236" t="s">
        <v>329</v>
      </c>
      <c r="CB2252" s="340">
        <v>303.04000000000002</v>
      </c>
      <c r="CC2252" s="340" t="s">
        <v>341</v>
      </c>
      <c r="CL2252" s="236">
        <v>123.04</v>
      </c>
      <c r="CM2252" s="236" t="s">
        <v>338</v>
      </c>
      <c r="CR2252" s="340">
        <v>401.35</v>
      </c>
      <c r="CS2252" s="340" t="s">
        <v>323</v>
      </c>
      <c r="CT2252" s="1384"/>
      <c r="DF2252" s="340">
        <v>219</v>
      </c>
      <c r="DG2252" s="340" t="s">
        <v>342</v>
      </c>
      <c r="DV2252" s="340">
        <v>423.02</v>
      </c>
      <c r="DW2252" s="340" t="s">
        <v>289</v>
      </c>
      <c r="DX2252" s="1671"/>
    </row>
    <row r="2253" spans="12:128">
      <c r="L2253" s="2481">
        <v>233</v>
      </c>
      <c r="M2253" s="340" t="s">
        <v>342</v>
      </c>
      <c r="N2253" s="1390"/>
      <c r="O2253" s="2479"/>
      <c r="P2253" s="2282"/>
      <c r="AG2253" s="2297">
        <v>428.02</v>
      </c>
      <c r="AH2253" s="2297" t="s">
        <v>289</v>
      </c>
      <c r="AI2253" s="1390"/>
      <c r="AJ2253" s="2282"/>
      <c r="AK2253" s="2282"/>
      <c r="AL2253" s="1037"/>
      <c r="AX2253" s="340">
        <v>303.02999999999997</v>
      </c>
      <c r="AY2253" s="340" t="s">
        <v>341</v>
      </c>
      <c r="BN2253" s="340">
        <v>402.02</v>
      </c>
      <c r="BO2253" s="340" t="s">
        <v>314</v>
      </c>
      <c r="BP2253" s="1385"/>
      <c r="BV2253" s="236">
        <v>9.01</v>
      </c>
      <c r="BW2253" s="236" t="s">
        <v>329</v>
      </c>
      <c r="CB2253" s="340">
        <v>304.04000000000002</v>
      </c>
      <c r="CC2253" s="340" t="s">
        <v>341</v>
      </c>
      <c r="CL2253" s="236">
        <v>123.04</v>
      </c>
      <c r="CM2253" s="236" t="s">
        <v>344</v>
      </c>
      <c r="CR2253" s="340">
        <v>401.36</v>
      </c>
      <c r="CS2253" s="340" t="s">
        <v>323</v>
      </c>
      <c r="CT2253" s="1384"/>
      <c r="DF2253" s="340">
        <v>221.01</v>
      </c>
      <c r="DG2253" s="340" t="s">
        <v>342</v>
      </c>
      <c r="DV2253" s="340">
        <v>424</v>
      </c>
      <c r="DW2253" s="340" t="s">
        <v>289</v>
      </c>
      <c r="DX2253" s="1671"/>
    </row>
    <row r="2254" spans="12:128">
      <c r="L2254" s="2481">
        <v>234</v>
      </c>
      <c r="M2254" s="340" t="s">
        <v>342</v>
      </c>
      <c r="N2254" s="1390"/>
      <c r="O2254" s="2479"/>
      <c r="P2254" s="2282"/>
      <c r="AG2254" s="2297">
        <v>429.04</v>
      </c>
      <c r="AH2254" s="2297" t="s">
        <v>339</v>
      </c>
      <c r="AI2254" s="1390"/>
      <c r="AJ2254" s="2282"/>
      <c r="AK2254" s="2282"/>
      <c r="AL2254" s="1037"/>
      <c r="AX2254" s="340">
        <v>303.04000000000002</v>
      </c>
      <c r="AY2254" s="340" t="s">
        <v>341</v>
      </c>
      <c r="BN2254" s="340">
        <v>402.03</v>
      </c>
      <c r="BO2254" s="340" t="s">
        <v>289</v>
      </c>
      <c r="BP2254" s="1385"/>
      <c r="BV2254" s="236">
        <v>9.0299999999999994</v>
      </c>
      <c r="BW2254" s="236" t="s">
        <v>329</v>
      </c>
      <c r="CB2254" s="340">
        <v>304.07</v>
      </c>
      <c r="CC2254" s="340" t="s">
        <v>341</v>
      </c>
      <c r="CL2254" s="236">
        <v>123.05</v>
      </c>
      <c r="CM2254" s="236" t="s">
        <v>338</v>
      </c>
      <c r="CR2254" s="340">
        <v>401.37</v>
      </c>
      <c r="CS2254" s="340" t="s">
        <v>323</v>
      </c>
      <c r="CT2254" s="1384"/>
      <c r="DF2254" s="340">
        <v>221.02</v>
      </c>
      <c r="DG2254" s="340" t="s">
        <v>342</v>
      </c>
      <c r="DV2254" s="340">
        <v>424</v>
      </c>
      <c r="DW2254" s="340" t="s">
        <v>339</v>
      </c>
      <c r="DX2254" s="1671"/>
    </row>
    <row r="2255" spans="12:128">
      <c r="L2255" s="2481">
        <v>235.01</v>
      </c>
      <c r="M2255" s="340" t="s">
        <v>342</v>
      </c>
      <c r="N2255" s="1390"/>
      <c r="O2255" s="2479"/>
      <c r="P2255" s="2282"/>
      <c r="AG2255" s="2297">
        <v>431</v>
      </c>
      <c r="AH2255" s="2297" t="s">
        <v>339</v>
      </c>
      <c r="AI2255" s="1390"/>
      <c r="AJ2255" s="2282"/>
      <c r="AK2255" s="2282"/>
      <c r="AL2255" s="1037"/>
      <c r="AX2255" s="340">
        <v>304.04000000000002</v>
      </c>
      <c r="AY2255" s="340" t="s">
        <v>341</v>
      </c>
      <c r="BN2255" s="340">
        <v>402.04</v>
      </c>
      <c r="BO2255" s="340" t="s">
        <v>289</v>
      </c>
      <c r="BP2255" s="1385"/>
      <c r="BV2255" s="236">
        <v>9.0399999999999991</v>
      </c>
      <c r="BW2255" s="236" t="s">
        <v>329</v>
      </c>
      <c r="CB2255" s="340">
        <v>309.01</v>
      </c>
      <c r="CC2255" s="340" t="s">
        <v>341</v>
      </c>
      <c r="CL2255" s="236">
        <v>123.05</v>
      </c>
      <c r="CM2255" s="236" t="s">
        <v>344</v>
      </c>
      <c r="CR2255" s="340">
        <v>401.38</v>
      </c>
      <c r="CS2255" s="340" t="s">
        <v>323</v>
      </c>
      <c r="CT2255" s="1384"/>
      <c r="DF2255" s="340">
        <v>222</v>
      </c>
      <c r="DG2255" s="340" t="s">
        <v>342</v>
      </c>
      <c r="DV2255" s="340">
        <v>425</v>
      </c>
      <c r="DW2255" s="340" t="s">
        <v>339</v>
      </c>
      <c r="DX2255" s="1671"/>
    </row>
    <row r="2256" spans="12:128">
      <c r="L2256" s="2481">
        <v>235.02</v>
      </c>
      <c r="M2256" s="340" t="s">
        <v>342</v>
      </c>
      <c r="N2256" s="1390"/>
      <c r="O2256" s="2479"/>
      <c r="P2256" s="2282"/>
      <c r="AG2256" s="2297">
        <v>432.07</v>
      </c>
      <c r="AH2256" s="2297" t="s">
        <v>339</v>
      </c>
      <c r="AI2256" s="1390"/>
      <c r="AJ2256" s="2282"/>
      <c r="AK2256" s="2282"/>
      <c r="AL2256" s="1037"/>
      <c r="AX2256" s="340">
        <v>304.07</v>
      </c>
      <c r="AY2256" s="340" t="s">
        <v>341</v>
      </c>
      <c r="BN2256" s="340">
        <v>402.05</v>
      </c>
      <c r="BO2256" s="340" t="s">
        <v>289</v>
      </c>
      <c r="BP2256" s="1385"/>
      <c r="BV2256" s="236">
        <v>10.029999999999999</v>
      </c>
      <c r="BW2256" s="236" t="s">
        <v>329</v>
      </c>
      <c r="CB2256" s="340">
        <v>310.14</v>
      </c>
      <c r="CC2256" s="340" t="s">
        <v>341</v>
      </c>
      <c r="CL2256" s="236">
        <v>123.06</v>
      </c>
      <c r="CM2256" s="236" t="s">
        <v>338</v>
      </c>
      <c r="CR2256" s="340">
        <v>402.02</v>
      </c>
      <c r="CS2256" s="340" t="s">
        <v>281</v>
      </c>
      <c r="CT2256" s="1384"/>
      <c r="DF2256" s="340">
        <v>223.01</v>
      </c>
      <c r="DG2256" s="340" t="s">
        <v>342</v>
      </c>
      <c r="DV2256" s="340">
        <v>425.01</v>
      </c>
      <c r="DW2256" s="340" t="s">
        <v>289</v>
      </c>
      <c r="DX2256" s="1671"/>
    </row>
    <row r="2257" spans="12:128">
      <c r="L2257" s="2481">
        <v>236.01</v>
      </c>
      <c r="M2257" s="340" t="s">
        <v>342</v>
      </c>
      <c r="N2257" s="1390"/>
      <c r="O2257" s="2479"/>
      <c r="P2257" s="2282"/>
      <c r="AG2257" s="2297">
        <v>432.08</v>
      </c>
      <c r="AH2257" s="2297" t="s">
        <v>339</v>
      </c>
      <c r="AI2257" s="1390"/>
      <c r="AJ2257" s="2282"/>
      <c r="AK2257" s="2282"/>
      <c r="AL2257" s="1037"/>
      <c r="AX2257" s="340">
        <v>309.01</v>
      </c>
      <c r="AY2257" s="340" t="s">
        <v>341</v>
      </c>
      <c r="BN2257" s="340">
        <v>402.05</v>
      </c>
      <c r="BO2257" s="340" t="s">
        <v>323</v>
      </c>
      <c r="BP2257" s="1385"/>
      <c r="BV2257" s="236">
        <v>10.050000000000001</v>
      </c>
      <c r="BW2257" s="236" t="s">
        <v>329</v>
      </c>
      <c r="CB2257" s="340">
        <v>312.04000000000002</v>
      </c>
      <c r="CC2257" s="340" t="s">
        <v>341</v>
      </c>
      <c r="CL2257" s="236">
        <v>123.06</v>
      </c>
      <c r="CM2257" s="236" t="s">
        <v>344</v>
      </c>
      <c r="CR2257" s="340">
        <v>402.03</v>
      </c>
      <c r="CS2257" s="340" t="s">
        <v>289</v>
      </c>
      <c r="CT2257" s="1384"/>
      <c r="DF2257" s="340">
        <v>223.02</v>
      </c>
      <c r="DG2257" s="340" t="s">
        <v>342</v>
      </c>
      <c r="DV2257" s="340">
        <v>425.02</v>
      </c>
      <c r="DW2257" s="340" t="s">
        <v>289</v>
      </c>
      <c r="DX2257" s="1671"/>
    </row>
    <row r="2258" spans="12:128">
      <c r="L2258" s="2481">
        <v>236.02</v>
      </c>
      <c r="M2258" s="340" t="s">
        <v>342</v>
      </c>
      <c r="N2258" s="1390"/>
      <c r="O2258" s="2479"/>
      <c r="P2258" s="2282"/>
      <c r="AG2258" s="2297">
        <v>432.09</v>
      </c>
      <c r="AH2258" s="2297" t="s">
        <v>339</v>
      </c>
      <c r="AI2258" s="1390"/>
      <c r="AJ2258" s="2282"/>
      <c r="AK2258" s="2282"/>
      <c r="AL2258" s="1037"/>
      <c r="AX2258" s="340">
        <v>312.04000000000002</v>
      </c>
      <c r="AY2258" s="340" t="s">
        <v>341</v>
      </c>
      <c r="BN2258" s="340">
        <v>402.06</v>
      </c>
      <c r="BO2258" s="340" t="s">
        <v>289</v>
      </c>
      <c r="BP2258" s="1385"/>
      <c r="BV2258" s="236">
        <v>10.07</v>
      </c>
      <c r="BW2258" s="236" t="s">
        <v>329</v>
      </c>
      <c r="CB2258" s="340">
        <v>312.08</v>
      </c>
      <c r="CC2258" s="340" t="s">
        <v>341</v>
      </c>
      <c r="CL2258" s="236">
        <v>123.07</v>
      </c>
      <c r="CM2258" s="236" t="s">
        <v>338</v>
      </c>
      <c r="CR2258" s="340">
        <v>402.04</v>
      </c>
      <c r="CS2258" s="340" t="s">
        <v>289</v>
      </c>
      <c r="CT2258" s="1384"/>
      <c r="DF2258" s="340">
        <v>224.01</v>
      </c>
      <c r="DG2258" s="340" t="s">
        <v>342</v>
      </c>
      <c r="DV2258" s="340">
        <v>426.01</v>
      </c>
      <c r="DW2258" s="340" t="s">
        <v>289</v>
      </c>
      <c r="DX2258" s="1671"/>
    </row>
    <row r="2259" spans="12:128">
      <c r="L2259" s="2481">
        <v>237</v>
      </c>
      <c r="M2259" s="340" t="s">
        <v>342</v>
      </c>
      <c r="N2259" s="1390"/>
      <c r="O2259" s="2479"/>
      <c r="P2259" s="2282"/>
      <c r="AG2259" s="2297">
        <v>433.01</v>
      </c>
      <c r="AH2259" s="2297" t="s">
        <v>339</v>
      </c>
      <c r="AI2259" s="1390"/>
      <c r="AJ2259" s="2282"/>
      <c r="AK2259" s="2282"/>
      <c r="AL2259" s="1037"/>
      <c r="AX2259" s="340">
        <v>312.06</v>
      </c>
      <c r="AY2259" s="340" t="s">
        <v>341</v>
      </c>
      <c r="BN2259" s="340">
        <v>402.06</v>
      </c>
      <c r="BO2259" s="340" t="s">
        <v>323</v>
      </c>
      <c r="BP2259" s="1385"/>
      <c r="BV2259" s="236">
        <v>10.08</v>
      </c>
      <c r="BW2259" s="236" t="s">
        <v>329</v>
      </c>
      <c r="CB2259" s="340">
        <v>313.02</v>
      </c>
      <c r="CC2259" s="340" t="s">
        <v>341</v>
      </c>
      <c r="CL2259" s="236">
        <v>123.07</v>
      </c>
      <c r="CM2259" s="236" t="s">
        <v>344</v>
      </c>
      <c r="CR2259" s="340">
        <v>402.05</v>
      </c>
      <c r="CS2259" s="340" t="s">
        <v>289</v>
      </c>
      <c r="CT2259" s="1384"/>
      <c r="DF2259" s="340">
        <v>224.02</v>
      </c>
      <c r="DG2259" s="340" t="s">
        <v>342</v>
      </c>
      <c r="DV2259" s="340">
        <v>428</v>
      </c>
      <c r="DW2259" s="340" t="s">
        <v>339</v>
      </c>
      <c r="DX2259" s="1671"/>
    </row>
    <row r="2260" spans="12:128">
      <c r="L2260" s="2481">
        <v>238</v>
      </c>
      <c r="M2260" s="340" t="s">
        <v>342</v>
      </c>
      <c r="N2260" s="1390"/>
      <c r="O2260" s="2479"/>
      <c r="P2260" s="2282"/>
      <c r="AG2260" s="2297">
        <v>433.02</v>
      </c>
      <c r="AH2260" s="2297" t="s">
        <v>289</v>
      </c>
      <c r="AI2260" s="1390"/>
      <c r="AJ2260" s="2282"/>
      <c r="AK2260" s="2282"/>
      <c r="AL2260" s="1037"/>
      <c r="AX2260" s="340">
        <v>312.08</v>
      </c>
      <c r="AY2260" s="340" t="s">
        <v>341</v>
      </c>
      <c r="BN2260" s="340">
        <v>402.09</v>
      </c>
      <c r="BO2260" s="340" t="s">
        <v>323</v>
      </c>
      <c r="BP2260" s="1385"/>
      <c r="BV2260" s="236">
        <v>10.09</v>
      </c>
      <c r="BW2260" s="236" t="s">
        <v>329</v>
      </c>
      <c r="CB2260" s="340">
        <v>314.04000000000002</v>
      </c>
      <c r="CC2260" s="340" t="s">
        <v>341</v>
      </c>
      <c r="CL2260" s="236">
        <v>123.09</v>
      </c>
      <c r="CM2260" s="236" t="s">
        <v>344</v>
      </c>
      <c r="CR2260" s="340">
        <v>402.06</v>
      </c>
      <c r="CS2260" s="340" t="s">
        <v>289</v>
      </c>
      <c r="CT2260" s="1384"/>
      <c r="DF2260" s="340">
        <v>225.02</v>
      </c>
      <c r="DG2260" s="340" t="s">
        <v>342</v>
      </c>
      <c r="DV2260" s="340">
        <v>429.03</v>
      </c>
      <c r="DW2260" s="340" t="s">
        <v>339</v>
      </c>
      <c r="DX2260" s="1671"/>
    </row>
    <row r="2261" spans="12:128">
      <c r="L2261" s="2481">
        <v>240.01</v>
      </c>
      <c r="M2261" s="340" t="s">
        <v>342</v>
      </c>
      <c r="N2261" s="1390"/>
      <c r="O2261" s="2479"/>
      <c r="P2261" s="2282"/>
      <c r="AG2261" s="2297">
        <v>433.03</v>
      </c>
      <c r="AH2261" s="2297" t="s">
        <v>339</v>
      </c>
      <c r="AI2261" s="1390"/>
      <c r="AJ2261" s="2282"/>
      <c r="AK2261" s="2282"/>
      <c r="AL2261" s="1037"/>
      <c r="AX2261" s="340">
        <v>313.01</v>
      </c>
      <c r="AY2261" s="340" t="s">
        <v>341</v>
      </c>
      <c r="BN2261" s="340">
        <v>402.12</v>
      </c>
      <c r="BO2261" s="340" t="s">
        <v>323</v>
      </c>
      <c r="BP2261" s="1385"/>
      <c r="BV2261" s="236">
        <v>10.1</v>
      </c>
      <c r="BW2261" s="236" t="s">
        <v>329</v>
      </c>
      <c r="CB2261" s="340">
        <v>314.10000000000002</v>
      </c>
      <c r="CC2261" s="340" t="s">
        <v>341</v>
      </c>
      <c r="CL2261" s="236">
        <v>124</v>
      </c>
      <c r="CM2261" s="236" t="s">
        <v>302</v>
      </c>
      <c r="CR2261" s="340">
        <v>402.06</v>
      </c>
      <c r="CS2261" s="340" t="s">
        <v>323</v>
      </c>
      <c r="CT2261" s="1384"/>
      <c r="DF2261" s="340">
        <v>225.03</v>
      </c>
      <c r="DG2261" s="340" t="s">
        <v>342</v>
      </c>
      <c r="DV2261" s="340">
        <v>429.04</v>
      </c>
      <c r="DW2261" s="340" t="s">
        <v>339</v>
      </c>
      <c r="DX2261" s="1671"/>
    </row>
    <row r="2262" spans="12:128">
      <c r="L2262" s="2481">
        <v>240.02</v>
      </c>
      <c r="M2262" s="340" t="s">
        <v>342</v>
      </c>
      <c r="N2262" s="1390"/>
      <c r="O2262" s="2479"/>
      <c r="P2262" s="2282"/>
      <c r="AG2262" s="2297">
        <v>433.04</v>
      </c>
      <c r="AH2262" s="2297" t="s">
        <v>339</v>
      </c>
      <c r="AI2262" s="1390"/>
      <c r="AJ2262" s="2282"/>
      <c r="AK2262" s="2282"/>
      <c r="AL2262" s="1037"/>
      <c r="AX2262" s="340">
        <v>313.02</v>
      </c>
      <c r="AY2262" s="340" t="s">
        <v>341</v>
      </c>
      <c r="BN2262" s="340">
        <v>403</v>
      </c>
      <c r="BO2262" s="340" t="s">
        <v>289</v>
      </c>
      <c r="BP2262" s="1385"/>
      <c r="BV2262" s="236">
        <v>10.11</v>
      </c>
      <c r="BW2262" s="236" t="s">
        <v>329</v>
      </c>
      <c r="CB2262" s="340">
        <v>314.11</v>
      </c>
      <c r="CC2262" s="340" t="s">
        <v>341</v>
      </c>
      <c r="CL2262" s="236">
        <v>124.01</v>
      </c>
      <c r="CM2262" s="236" t="s">
        <v>316</v>
      </c>
      <c r="CR2262" s="340">
        <v>402.09</v>
      </c>
      <c r="CS2262" s="340" t="s">
        <v>323</v>
      </c>
      <c r="CT2262" s="1384"/>
      <c r="DF2262" s="340">
        <v>226.01</v>
      </c>
      <c r="DG2262" s="340" t="s">
        <v>342</v>
      </c>
      <c r="DV2262" s="340">
        <v>430.01</v>
      </c>
      <c r="DW2262" s="340" t="s">
        <v>289</v>
      </c>
      <c r="DX2262" s="1671"/>
    </row>
    <row r="2263" spans="12:128">
      <c r="L2263" s="2481">
        <v>240.04</v>
      </c>
      <c r="M2263" s="340" t="s">
        <v>342</v>
      </c>
      <c r="N2263" s="1390"/>
      <c r="O2263" s="2479"/>
      <c r="P2263" s="2282"/>
      <c r="AG2263" s="2297">
        <v>435</v>
      </c>
      <c r="AH2263" s="2297" t="s">
        <v>339</v>
      </c>
      <c r="AI2263" s="1390"/>
      <c r="AJ2263" s="2282"/>
      <c r="AK2263" s="2282"/>
      <c r="AL2263" s="1037"/>
      <c r="AX2263" s="340">
        <v>314.04000000000002</v>
      </c>
      <c r="AY2263" s="340" t="s">
        <v>341</v>
      </c>
      <c r="BN2263" s="340">
        <v>403.01</v>
      </c>
      <c r="BO2263" s="340" t="s">
        <v>314</v>
      </c>
      <c r="BP2263" s="1385"/>
      <c r="BV2263" s="236">
        <v>10.119999999999999</v>
      </c>
      <c r="BW2263" s="236" t="s">
        <v>329</v>
      </c>
      <c r="CB2263" s="340">
        <v>315.04000000000002</v>
      </c>
      <c r="CC2263" s="340" t="s">
        <v>341</v>
      </c>
      <c r="CL2263" s="236">
        <v>124.01</v>
      </c>
      <c r="CM2263" s="236" t="s">
        <v>331</v>
      </c>
      <c r="CR2263" s="340">
        <v>403.01</v>
      </c>
      <c r="CS2263" s="340" t="s">
        <v>314</v>
      </c>
      <c r="CT2263" s="1384"/>
      <c r="DF2263" s="340">
        <v>226.02</v>
      </c>
      <c r="DG2263" s="340" t="s">
        <v>342</v>
      </c>
      <c r="DV2263" s="340">
        <v>430.02</v>
      </c>
      <c r="DW2263" s="340" t="s">
        <v>289</v>
      </c>
      <c r="DX2263" s="1671"/>
    </row>
    <row r="2264" spans="12:128">
      <c r="L2264" s="2481">
        <v>240.05</v>
      </c>
      <c r="M2264" s="340" t="s">
        <v>342</v>
      </c>
      <c r="N2264" s="1390"/>
      <c r="O2264" s="2479"/>
      <c r="P2264" s="2282"/>
      <c r="AG2264" s="2297">
        <v>436</v>
      </c>
      <c r="AH2264" s="2297" t="s">
        <v>339</v>
      </c>
      <c r="AI2264" s="1390"/>
      <c r="AJ2264" s="2282"/>
      <c r="AK2264" s="2282"/>
      <c r="AL2264" s="1037"/>
      <c r="AX2264" s="340">
        <v>314.11</v>
      </c>
      <c r="AY2264" s="340" t="s">
        <v>341</v>
      </c>
      <c r="BN2264" s="340">
        <v>403.02</v>
      </c>
      <c r="BO2264" s="340" t="s">
        <v>314</v>
      </c>
      <c r="BP2264" s="1385"/>
      <c r="BV2264" s="236">
        <v>10.130000000000001</v>
      </c>
      <c r="BW2264" s="236" t="s">
        <v>329</v>
      </c>
      <c r="CB2264" s="340">
        <v>315.05</v>
      </c>
      <c r="CC2264" s="340" t="s">
        <v>341</v>
      </c>
      <c r="CL2264" s="236">
        <v>124.02</v>
      </c>
      <c r="CM2264" s="236" t="s">
        <v>316</v>
      </c>
      <c r="CR2264" s="340">
        <v>403.02</v>
      </c>
      <c r="CS2264" s="340" t="s">
        <v>323</v>
      </c>
      <c r="CT2264" s="1384"/>
      <c r="DF2264" s="340">
        <v>227</v>
      </c>
      <c r="DG2264" s="340" t="s">
        <v>342</v>
      </c>
      <c r="DV2264" s="340">
        <v>431</v>
      </c>
      <c r="DW2264" s="340" t="s">
        <v>339</v>
      </c>
      <c r="DX2264" s="1671"/>
    </row>
    <row r="2265" spans="12:128">
      <c r="L2265" s="2481">
        <v>241</v>
      </c>
      <c r="M2265" s="340" t="s">
        <v>342</v>
      </c>
      <c r="N2265" s="1390"/>
      <c r="O2265" s="2479"/>
      <c r="P2265" s="2282"/>
      <c r="AG2265" s="2297">
        <v>437</v>
      </c>
      <c r="AH2265" s="2297" t="s">
        <v>339</v>
      </c>
      <c r="AI2265" s="1390"/>
      <c r="AJ2265" s="2282"/>
      <c r="AK2265" s="2282"/>
      <c r="AL2265" s="1037"/>
      <c r="AX2265" s="340">
        <v>315.02999999999997</v>
      </c>
      <c r="AY2265" s="340" t="s">
        <v>341</v>
      </c>
      <c r="BN2265" s="340">
        <v>403.02</v>
      </c>
      <c r="BO2265" s="340" t="s">
        <v>323</v>
      </c>
      <c r="BP2265" s="1385"/>
      <c r="BV2265" s="236">
        <v>11.02</v>
      </c>
      <c r="BW2265" s="236" t="s">
        <v>329</v>
      </c>
      <c r="CB2265" s="340">
        <v>315.06</v>
      </c>
      <c r="CC2265" s="340" t="s">
        <v>341</v>
      </c>
      <c r="CL2265" s="236">
        <v>124.02</v>
      </c>
      <c r="CM2265" s="236" t="s">
        <v>331</v>
      </c>
      <c r="CR2265" s="340">
        <v>403.03</v>
      </c>
      <c r="CS2265" s="340" t="s">
        <v>314</v>
      </c>
      <c r="CT2265" s="1384"/>
      <c r="DF2265" s="340">
        <v>228.02</v>
      </c>
      <c r="DG2265" s="340" t="s">
        <v>342</v>
      </c>
      <c r="DV2265" s="340">
        <v>432.07</v>
      </c>
      <c r="DW2265" s="340" t="s">
        <v>339</v>
      </c>
      <c r="DX2265" s="1671"/>
    </row>
    <row r="2266" spans="12:128">
      <c r="L2266" s="2481">
        <v>242.02</v>
      </c>
      <c r="M2266" s="340" t="s">
        <v>342</v>
      </c>
      <c r="N2266" s="1390"/>
      <c r="O2266" s="2479"/>
      <c r="P2266" s="2282"/>
      <c r="AG2266" s="2297">
        <v>438.01</v>
      </c>
      <c r="AH2266" s="2297" t="s">
        <v>339</v>
      </c>
      <c r="AI2266" s="1390"/>
      <c r="AJ2266" s="2282"/>
      <c r="AK2266" s="2282"/>
      <c r="AL2266" s="1037"/>
      <c r="AX2266" s="340">
        <v>315.04000000000002</v>
      </c>
      <c r="AY2266" s="340" t="s">
        <v>341</v>
      </c>
      <c r="BN2266" s="340">
        <v>403.03</v>
      </c>
      <c r="BO2266" s="340" t="s">
        <v>314</v>
      </c>
      <c r="BP2266" s="1385"/>
      <c r="BV2266" s="236">
        <v>11.03</v>
      </c>
      <c r="BW2266" s="236" t="s">
        <v>329</v>
      </c>
      <c r="CB2266" s="340">
        <v>315.07</v>
      </c>
      <c r="CC2266" s="340" t="s">
        <v>341</v>
      </c>
      <c r="CL2266" s="236">
        <v>124.02</v>
      </c>
      <c r="CM2266" s="236" t="s">
        <v>338</v>
      </c>
      <c r="CR2266" s="340">
        <v>403.1</v>
      </c>
      <c r="CS2266" s="340" t="s">
        <v>323</v>
      </c>
      <c r="CT2266" s="1384"/>
      <c r="DF2266" s="340">
        <v>229.01</v>
      </c>
      <c r="DG2266" s="340" t="s">
        <v>342</v>
      </c>
      <c r="DV2266" s="340">
        <v>432.08</v>
      </c>
      <c r="DW2266" s="340" t="s">
        <v>339</v>
      </c>
      <c r="DX2266" s="1671"/>
    </row>
    <row r="2267" spans="12:128">
      <c r="L2267" s="2481">
        <v>243.01</v>
      </c>
      <c r="M2267" s="340" t="s">
        <v>342</v>
      </c>
      <c r="N2267" s="1390"/>
      <c r="O2267" s="2479"/>
      <c r="P2267" s="2282"/>
      <c r="AG2267" s="2297">
        <v>501.02</v>
      </c>
      <c r="AH2267" s="2297" t="s">
        <v>335</v>
      </c>
      <c r="AI2267" s="1390"/>
      <c r="AJ2267" s="2282"/>
      <c r="AK2267" s="2282"/>
      <c r="AL2267" s="1037"/>
      <c r="AX2267" s="340">
        <v>315.05</v>
      </c>
      <c r="AY2267" s="340" t="s">
        <v>341</v>
      </c>
      <c r="BN2267" s="340">
        <v>403.1</v>
      </c>
      <c r="BO2267" s="340" t="s">
        <v>323</v>
      </c>
      <c r="BP2267" s="1385"/>
      <c r="BV2267" s="236">
        <v>11.05</v>
      </c>
      <c r="BW2267" s="236" t="s">
        <v>329</v>
      </c>
      <c r="CB2267" s="340">
        <v>315.08</v>
      </c>
      <c r="CC2267" s="340" t="s">
        <v>341</v>
      </c>
      <c r="CL2267" s="236">
        <v>124.03</v>
      </c>
      <c r="CM2267" s="236" t="s">
        <v>316</v>
      </c>
      <c r="CR2267" s="340">
        <v>404</v>
      </c>
      <c r="CS2267" s="340" t="s">
        <v>314</v>
      </c>
      <c r="CT2267" s="1384"/>
      <c r="DF2267" s="340">
        <v>231</v>
      </c>
      <c r="DG2267" s="340" t="s">
        <v>342</v>
      </c>
      <c r="DV2267" s="340">
        <v>432.09</v>
      </c>
      <c r="DW2267" s="340" t="s">
        <v>339</v>
      </c>
      <c r="DX2267" s="1671"/>
    </row>
    <row r="2268" spans="12:128">
      <c r="L2268" s="2481">
        <v>243.02</v>
      </c>
      <c r="M2268" s="340" t="s">
        <v>342</v>
      </c>
      <c r="N2268" s="1390"/>
      <c r="O2268" s="2479"/>
      <c r="P2268" s="2282"/>
      <c r="AG2268" s="2297">
        <v>501.03</v>
      </c>
      <c r="AH2268" s="2297" t="s">
        <v>323</v>
      </c>
      <c r="AI2268" s="1390"/>
      <c r="AJ2268" s="2282"/>
      <c r="AK2268" s="2282"/>
      <c r="AL2268" s="1037"/>
      <c r="AX2268" s="340">
        <v>315.06</v>
      </c>
      <c r="AY2268" s="340" t="s">
        <v>341</v>
      </c>
      <c r="BN2268" s="340">
        <v>404.01</v>
      </c>
      <c r="BO2268" s="340" t="s">
        <v>289</v>
      </c>
      <c r="BP2268" s="1385"/>
      <c r="BV2268" s="236">
        <v>11.06</v>
      </c>
      <c r="BW2268" s="236" t="s">
        <v>329</v>
      </c>
      <c r="CB2268" s="340">
        <v>316.01</v>
      </c>
      <c r="CC2268" s="340" t="s">
        <v>341</v>
      </c>
      <c r="CL2268" s="236">
        <v>124.03</v>
      </c>
      <c r="CM2268" s="236" t="s">
        <v>331</v>
      </c>
      <c r="CR2268" s="340">
        <v>404.01</v>
      </c>
      <c r="CS2268" s="340" t="s">
        <v>289</v>
      </c>
      <c r="CT2268" s="1384"/>
      <c r="DF2268" s="340">
        <v>232</v>
      </c>
      <c r="DG2268" s="340" t="s">
        <v>342</v>
      </c>
      <c r="DV2268" s="340">
        <v>433.01</v>
      </c>
      <c r="DW2268" s="340" t="s">
        <v>339</v>
      </c>
      <c r="DX2268" s="1671"/>
    </row>
    <row r="2269" spans="12:128">
      <c r="L2269" s="2481">
        <v>244.06</v>
      </c>
      <c r="M2269" s="340" t="s">
        <v>342</v>
      </c>
      <c r="N2269" s="1390"/>
      <c r="O2269" s="2479"/>
      <c r="P2269" s="2282"/>
      <c r="AG2269" s="2297">
        <v>501.03</v>
      </c>
      <c r="AH2269" s="2297" t="s">
        <v>335</v>
      </c>
      <c r="AI2269" s="1390"/>
      <c r="AJ2269" s="2282"/>
      <c r="AK2269" s="2282"/>
      <c r="AL2269" s="1037"/>
      <c r="AX2269" s="340">
        <v>315.07</v>
      </c>
      <c r="AY2269" s="340" t="s">
        <v>341</v>
      </c>
      <c r="BN2269" s="340">
        <v>404.02</v>
      </c>
      <c r="BO2269" s="340" t="s">
        <v>289</v>
      </c>
      <c r="BP2269" s="1385"/>
      <c r="BV2269" s="236">
        <v>12.04</v>
      </c>
      <c r="BW2269" s="236" t="s">
        <v>329</v>
      </c>
      <c r="CB2269" s="340">
        <v>316.02</v>
      </c>
      <c r="CC2269" s="340" t="s">
        <v>341</v>
      </c>
      <c r="CL2269" s="236">
        <v>124.03</v>
      </c>
      <c r="CM2269" s="236" t="s">
        <v>338</v>
      </c>
      <c r="CR2269" s="340">
        <v>404.02</v>
      </c>
      <c r="CS2269" s="340" t="s">
        <v>289</v>
      </c>
      <c r="CT2269" s="1384"/>
      <c r="DF2269" s="340">
        <v>233</v>
      </c>
      <c r="DG2269" s="340" t="s">
        <v>342</v>
      </c>
      <c r="DV2269" s="340">
        <v>433.03</v>
      </c>
      <c r="DW2269" s="340" t="s">
        <v>339</v>
      </c>
      <c r="DX2269" s="1671"/>
    </row>
    <row r="2270" spans="12:128">
      <c r="L2270" s="2481">
        <v>244.09</v>
      </c>
      <c r="M2270" s="340" t="s">
        <v>342</v>
      </c>
      <c r="N2270" s="1390"/>
      <c r="O2270" s="2479"/>
      <c r="P2270" s="2282"/>
      <c r="AG2270" s="2297">
        <v>501.04</v>
      </c>
      <c r="AH2270" s="2297" t="s">
        <v>323</v>
      </c>
      <c r="AI2270" s="1390"/>
      <c r="AJ2270" s="2282"/>
      <c r="AK2270" s="2282"/>
      <c r="AL2270" s="1037"/>
      <c r="AX2270" s="340">
        <v>315.08</v>
      </c>
      <c r="AY2270" s="340" t="s">
        <v>341</v>
      </c>
      <c r="BN2270" s="340">
        <v>405.02</v>
      </c>
      <c r="BO2270" s="340" t="s">
        <v>289</v>
      </c>
      <c r="BP2270" s="1385"/>
      <c r="BV2270" s="236">
        <v>12.05</v>
      </c>
      <c r="BW2270" s="236" t="s">
        <v>329</v>
      </c>
      <c r="CB2270" s="340">
        <v>316.02999999999997</v>
      </c>
      <c r="CC2270" s="340" t="s">
        <v>341</v>
      </c>
      <c r="CL2270" s="236">
        <v>124.04</v>
      </c>
      <c r="CM2270" s="236" t="s">
        <v>338</v>
      </c>
      <c r="CR2270" s="340">
        <v>405.02</v>
      </c>
      <c r="CS2270" s="340" t="s">
        <v>289</v>
      </c>
      <c r="CT2270" s="1384"/>
      <c r="DF2270" s="340">
        <v>234</v>
      </c>
      <c r="DG2270" s="340" t="s">
        <v>342</v>
      </c>
      <c r="DV2270" s="340">
        <v>433.04</v>
      </c>
      <c r="DW2270" s="340" t="s">
        <v>339</v>
      </c>
      <c r="DX2270" s="1671"/>
    </row>
    <row r="2271" spans="12:128">
      <c r="L2271" s="2481">
        <v>244.11</v>
      </c>
      <c r="M2271" s="340" t="s">
        <v>342</v>
      </c>
      <c r="N2271" s="1390"/>
      <c r="O2271" s="2479"/>
      <c r="P2271" s="2282"/>
      <c r="AG2271" s="2297">
        <v>501.04</v>
      </c>
      <c r="AH2271" s="2297" t="s">
        <v>335</v>
      </c>
      <c r="AI2271" s="1390"/>
      <c r="AJ2271" s="2282"/>
      <c r="AK2271" s="2282"/>
      <c r="AL2271" s="1037"/>
      <c r="AX2271" s="340">
        <v>316.01</v>
      </c>
      <c r="AY2271" s="340" t="s">
        <v>341</v>
      </c>
      <c r="BN2271" s="340">
        <v>405.05</v>
      </c>
      <c r="BO2271" s="340" t="s">
        <v>289</v>
      </c>
      <c r="BP2271" s="1385"/>
      <c r="BV2271" s="236">
        <v>12.06</v>
      </c>
      <c r="BW2271" s="236" t="s">
        <v>329</v>
      </c>
      <c r="CB2271" s="340">
        <v>316.04000000000002</v>
      </c>
      <c r="CC2271" s="340" t="s">
        <v>341</v>
      </c>
      <c r="CL2271" s="236">
        <v>124.04</v>
      </c>
      <c r="CM2271" s="236" t="s">
        <v>344</v>
      </c>
      <c r="CR2271" s="340">
        <v>405.03</v>
      </c>
      <c r="CS2271" s="340" t="s">
        <v>289</v>
      </c>
      <c r="CT2271" s="1384"/>
      <c r="DF2271" s="340">
        <v>235.01</v>
      </c>
      <c r="DG2271" s="340" t="s">
        <v>342</v>
      </c>
      <c r="DV2271" s="340">
        <v>436</v>
      </c>
      <c r="DW2271" s="340" t="s">
        <v>339</v>
      </c>
      <c r="DX2271" s="1671"/>
    </row>
    <row r="2272" spans="12:128">
      <c r="L2272" s="2481">
        <v>244.12</v>
      </c>
      <c r="M2272" s="340" t="s">
        <v>342</v>
      </c>
      <c r="N2272" s="1390"/>
      <c r="O2272" s="2479"/>
      <c r="P2272" s="2282"/>
      <c r="AG2272" s="2297">
        <v>501.06</v>
      </c>
      <c r="AH2272" s="2297" t="s">
        <v>323</v>
      </c>
      <c r="AI2272" s="1390"/>
      <c r="AJ2272" s="2282"/>
      <c r="AK2272" s="2282"/>
      <c r="AL2272" s="1037"/>
      <c r="AX2272" s="340">
        <v>316.02</v>
      </c>
      <c r="AY2272" s="340" t="s">
        <v>341</v>
      </c>
      <c r="BN2272" s="340">
        <v>405.06</v>
      </c>
      <c r="BO2272" s="340" t="s">
        <v>289</v>
      </c>
      <c r="BP2272" s="1385"/>
      <c r="BV2272" s="236">
        <v>12.08</v>
      </c>
      <c r="BW2272" s="236" t="s">
        <v>329</v>
      </c>
      <c r="CB2272" s="340">
        <v>316.05</v>
      </c>
      <c r="CC2272" s="340" t="s">
        <v>341</v>
      </c>
      <c r="CL2272" s="236">
        <v>124.05</v>
      </c>
      <c r="CM2272" s="236" t="s">
        <v>338</v>
      </c>
      <c r="CR2272" s="340">
        <v>405.05</v>
      </c>
      <c r="CS2272" s="340" t="s">
        <v>289</v>
      </c>
      <c r="CT2272" s="1384"/>
      <c r="DF2272" s="340">
        <v>235.02</v>
      </c>
      <c r="DG2272" s="340" t="s">
        <v>342</v>
      </c>
      <c r="DV2272" s="340">
        <v>437</v>
      </c>
      <c r="DW2272" s="340" t="s">
        <v>339</v>
      </c>
      <c r="DX2272" s="1671"/>
    </row>
    <row r="2273" spans="12:128">
      <c r="L2273" s="2481">
        <v>244.13</v>
      </c>
      <c r="M2273" s="340" t="s">
        <v>342</v>
      </c>
      <c r="N2273" s="1390"/>
      <c r="O2273" s="2479"/>
      <c r="P2273" s="2282"/>
      <c r="AG2273" s="2297">
        <v>502.01</v>
      </c>
      <c r="AH2273" s="2297" t="s">
        <v>335</v>
      </c>
      <c r="AI2273" s="1390"/>
      <c r="AJ2273" s="2282"/>
      <c r="AK2273" s="2282"/>
      <c r="AL2273" s="1037"/>
      <c r="AX2273" s="340">
        <v>316.02999999999997</v>
      </c>
      <c r="AY2273" s="340" t="s">
        <v>341</v>
      </c>
      <c r="BN2273" s="340">
        <v>406.01</v>
      </c>
      <c r="BO2273" s="340" t="s">
        <v>289</v>
      </c>
      <c r="BP2273" s="1385"/>
      <c r="BV2273" s="236">
        <v>12.09</v>
      </c>
      <c r="BW2273" s="236" t="s">
        <v>329</v>
      </c>
      <c r="CB2273" s="340">
        <v>317.01</v>
      </c>
      <c r="CC2273" s="340" t="s">
        <v>341</v>
      </c>
      <c r="CL2273" s="236">
        <v>124.05</v>
      </c>
      <c r="CM2273" s="236" t="s">
        <v>344</v>
      </c>
      <c r="CR2273" s="340">
        <v>405.06</v>
      </c>
      <c r="CS2273" s="340" t="s">
        <v>289</v>
      </c>
      <c r="CT2273" s="1384"/>
      <c r="DF2273" s="340">
        <v>236.01</v>
      </c>
      <c r="DG2273" s="340" t="s">
        <v>342</v>
      </c>
      <c r="DV2273" s="340">
        <v>438.01</v>
      </c>
      <c r="DW2273" s="340" t="s">
        <v>339</v>
      </c>
      <c r="DX2273" s="1671"/>
    </row>
    <row r="2274" spans="12:128">
      <c r="L2274" s="2481">
        <v>245.05</v>
      </c>
      <c r="M2274" s="340" t="s">
        <v>342</v>
      </c>
      <c r="N2274" s="1390"/>
      <c r="O2274" s="2479"/>
      <c r="P2274" s="2282"/>
      <c r="AG2274" s="2297">
        <v>502.03</v>
      </c>
      <c r="AH2274" s="2297" t="s">
        <v>335</v>
      </c>
      <c r="AI2274" s="1390"/>
      <c r="AJ2274" s="2282"/>
      <c r="AK2274" s="2282"/>
      <c r="AL2274" s="1037"/>
      <c r="AX2274" s="340">
        <v>316.04000000000002</v>
      </c>
      <c r="AY2274" s="340" t="s">
        <v>341</v>
      </c>
      <c r="BN2274" s="340">
        <v>406.02</v>
      </c>
      <c r="BO2274" s="340" t="s">
        <v>289</v>
      </c>
      <c r="BP2274" s="1385"/>
      <c r="BV2274" s="236">
        <v>12.1</v>
      </c>
      <c r="BW2274" s="236" t="s">
        <v>329</v>
      </c>
      <c r="CB2274" s="340">
        <v>317.04000000000002</v>
      </c>
      <c r="CC2274" s="340" t="s">
        <v>341</v>
      </c>
      <c r="CL2274" s="236">
        <v>124.07</v>
      </c>
      <c r="CM2274" s="236" t="s">
        <v>344</v>
      </c>
      <c r="CR2274" s="340">
        <v>406.01</v>
      </c>
      <c r="CS2274" s="340" t="s">
        <v>289</v>
      </c>
      <c r="CT2274" s="1384"/>
      <c r="DF2274" s="340">
        <v>236.02</v>
      </c>
      <c r="DG2274" s="340" t="s">
        <v>342</v>
      </c>
      <c r="DV2274" s="340">
        <v>501.02</v>
      </c>
      <c r="DW2274" s="340" t="s">
        <v>335</v>
      </c>
      <c r="DX2274" s="1671"/>
    </row>
    <row r="2275" spans="12:128">
      <c r="L2275" s="2481">
        <v>245.07</v>
      </c>
      <c r="M2275" s="340" t="s">
        <v>342</v>
      </c>
      <c r="N2275" s="1390"/>
      <c r="O2275" s="2479"/>
      <c r="P2275" s="2282"/>
      <c r="AG2275" s="2297">
        <v>502.04</v>
      </c>
      <c r="AH2275" s="2297" t="s">
        <v>289</v>
      </c>
      <c r="AI2275" s="1390"/>
      <c r="AJ2275" s="2282"/>
      <c r="AK2275" s="2282"/>
      <c r="AL2275" s="1037"/>
      <c r="AX2275" s="340">
        <v>316.05</v>
      </c>
      <c r="AY2275" s="340" t="s">
        <v>341</v>
      </c>
      <c r="BN2275" s="340">
        <v>407.01</v>
      </c>
      <c r="BO2275" s="340" t="s">
        <v>289</v>
      </c>
      <c r="BP2275" s="1385"/>
      <c r="BV2275" s="236">
        <v>12.11</v>
      </c>
      <c r="BW2275" s="236" t="s">
        <v>329</v>
      </c>
      <c r="CB2275" s="340">
        <v>317.05</v>
      </c>
      <c r="CC2275" s="340" t="s">
        <v>341</v>
      </c>
      <c r="CL2275" s="236">
        <v>124.08</v>
      </c>
      <c r="CM2275" s="236" t="s">
        <v>344</v>
      </c>
      <c r="CR2275" s="340">
        <v>406.02</v>
      </c>
      <c r="CS2275" s="340" t="s">
        <v>289</v>
      </c>
      <c r="CT2275" s="1384"/>
      <c r="DF2275" s="340">
        <v>237</v>
      </c>
      <c r="DG2275" s="340" t="s">
        <v>342</v>
      </c>
      <c r="DV2275" s="340">
        <v>501.03</v>
      </c>
      <c r="DW2275" s="340" t="s">
        <v>323</v>
      </c>
      <c r="DX2275" s="1671"/>
    </row>
    <row r="2276" spans="12:128">
      <c r="L2276" s="2481">
        <v>245.09</v>
      </c>
      <c r="M2276" s="340" t="s">
        <v>342</v>
      </c>
      <c r="N2276" s="1390"/>
      <c r="O2276" s="2479"/>
      <c r="P2276" s="2282"/>
      <c r="AG2276" s="2297">
        <v>502.04</v>
      </c>
      <c r="AH2276" s="2297" t="s">
        <v>323</v>
      </c>
      <c r="AI2276" s="1390"/>
      <c r="AJ2276" s="2282"/>
      <c r="AK2276" s="2282"/>
      <c r="AL2276" s="1037"/>
      <c r="AX2276" s="340">
        <v>317.01</v>
      </c>
      <c r="AY2276" s="340" t="s">
        <v>341</v>
      </c>
      <c r="BN2276" s="340">
        <v>407.01</v>
      </c>
      <c r="BO2276" s="340" t="s">
        <v>314</v>
      </c>
      <c r="BP2276" s="1385"/>
      <c r="BV2276" s="236">
        <v>13.01</v>
      </c>
      <c r="BW2276" s="236" t="s">
        <v>329</v>
      </c>
      <c r="CB2276" s="340">
        <v>317.06</v>
      </c>
      <c r="CC2276" s="340" t="s">
        <v>341</v>
      </c>
      <c r="CL2276" s="236">
        <v>124.09</v>
      </c>
      <c r="CM2276" s="236" t="s">
        <v>344</v>
      </c>
      <c r="CR2276" s="340">
        <v>407.01</v>
      </c>
      <c r="CS2276" s="340" t="s">
        <v>289</v>
      </c>
      <c r="CT2276" s="1384"/>
      <c r="DF2276" s="340">
        <v>238</v>
      </c>
      <c r="DG2276" s="340" t="s">
        <v>342</v>
      </c>
      <c r="DV2276" s="340">
        <v>501.03</v>
      </c>
      <c r="DW2276" s="340" t="s">
        <v>335</v>
      </c>
      <c r="DX2276" s="1671"/>
    </row>
    <row r="2277" spans="12:128">
      <c r="L2277" s="2481">
        <v>245.12</v>
      </c>
      <c r="M2277" s="340" t="s">
        <v>342</v>
      </c>
      <c r="N2277" s="1390"/>
      <c r="O2277" s="2479"/>
      <c r="P2277" s="2282"/>
      <c r="AG2277" s="2297">
        <v>502.04</v>
      </c>
      <c r="AH2277" s="2297" t="s">
        <v>335</v>
      </c>
      <c r="AI2277" s="1390"/>
      <c r="AJ2277" s="2282"/>
      <c r="AK2277" s="2282"/>
      <c r="AL2277" s="1037"/>
      <c r="AX2277" s="340">
        <v>317.04000000000002</v>
      </c>
      <c r="AY2277" s="340" t="s">
        <v>341</v>
      </c>
      <c r="BN2277" s="340">
        <v>407.02</v>
      </c>
      <c r="BO2277" s="340" t="s">
        <v>289</v>
      </c>
      <c r="BP2277" s="1385"/>
      <c r="BV2277" s="236">
        <v>13.02</v>
      </c>
      <c r="BW2277" s="236" t="s">
        <v>329</v>
      </c>
      <c r="CB2277" s="340">
        <v>317.07</v>
      </c>
      <c r="CC2277" s="340" t="s">
        <v>341</v>
      </c>
      <c r="CL2277" s="236">
        <v>124.1</v>
      </c>
      <c r="CM2277" s="236" t="s">
        <v>344</v>
      </c>
      <c r="CR2277" s="340">
        <v>407.01</v>
      </c>
      <c r="CS2277" s="340" t="s">
        <v>314</v>
      </c>
      <c r="CT2277" s="1384"/>
      <c r="DF2277" s="340">
        <v>239</v>
      </c>
      <c r="DG2277" s="340" t="s">
        <v>342</v>
      </c>
      <c r="DV2277" s="340">
        <v>501.04</v>
      </c>
      <c r="DW2277" s="340" t="s">
        <v>323</v>
      </c>
      <c r="DX2277" s="1671"/>
    </row>
    <row r="2278" spans="12:128">
      <c r="L2278" s="2481">
        <v>245.14</v>
      </c>
      <c r="M2278" s="340" t="s">
        <v>342</v>
      </c>
      <c r="N2278" s="1390"/>
      <c r="O2278" s="2479"/>
      <c r="P2278" s="2282"/>
      <c r="AG2278" s="2297">
        <v>502.05</v>
      </c>
      <c r="AH2278" s="2297" t="s">
        <v>289</v>
      </c>
      <c r="AI2278" s="1390"/>
      <c r="AJ2278" s="2282"/>
      <c r="AK2278" s="2282"/>
      <c r="AL2278" s="1037"/>
      <c r="AX2278" s="340">
        <v>317.05</v>
      </c>
      <c r="AY2278" s="340" t="s">
        <v>341</v>
      </c>
      <c r="BN2278" s="340">
        <v>407.02</v>
      </c>
      <c r="BO2278" s="340" t="s">
        <v>314</v>
      </c>
      <c r="BP2278" s="1385"/>
      <c r="BV2278" s="236">
        <v>14.01</v>
      </c>
      <c r="BW2278" s="236" t="s">
        <v>329</v>
      </c>
      <c r="CB2278" s="340">
        <v>317.08</v>
      </c>
      <c r="CC2278" s="340" t="s">
        <v>341</v>
      </c>
      <c r="CL2278" s="236">
        <v>124.11</v>
      </c>
      <c r="CM2278" s="236" t="s">
        <v>344</v>
      </c>
      <c r="CR2278" s="340">
        <v>407.02</v>
      </c>
      <c r="CS2278" s="340" t="s">
        <v>289</v>
      </c>
      <c r="CT2278" s="1384"/>
      <c r="DF2278" s="340">
        <v>240.01</v>
      </c>
      <c r="DG2278" s="340" t="s">
        <v>342</v>
      </c>
      <c r="DV2278" s="340">
        <v>501.04</v>
      </c>
      <c r="DW2278" s="340" t="s">
        <v>335</v>
      </c>
      <c r="DX2278" s="1671"/>
    </row>
    <row r="2279" spans="12:128">
      <c r="L2279" s="2481">
        <v>245.15</v>
      </c>
      <c r="M2279" s="340" t="s">
        <v>342</v>
      </c>
      <c r="N2279" s="1390"/>
      <c r="O2279" s="2479"/>
      <c r="P2279" s="2282"/>
      <c r="AG2279" s="2297">
        <v>502.05</v>
      </c>
      <c r="AH2279" s="2297" t="s">
        <v>335</v>
      </c>
      <c r="AI2279" s="1390"/>
      <c r="AJ2279" s="2282"/>
      <c r="AK2279" s="2282"/>
      <c r="AL2279" s="1037"/>
      <c r="AX2279" s="340">
        <v>317.06</v>
      </c>
      <c r="AY2279" s="340" t="s">
        <v>341</v>
      </c>
      <c r="BN2279" s="340">
        <v>408.01</v>
      </c>
      <c r="BO2279" s="340" t="s">
        <v>339</v>
      </c>
      <c r="BP2279" s="1385"/>
      <c r="BV2279" s="236">
        <v>14.03</v>
      </c>
      <c r="BW2279" s="236" t="s">
        <v>329</v>
      </c>
      <c r="CB2279" s="340">
        <v>318.04000000000002</v>
      </c>
      <c r="CC2279" s="340" t="s">
        <v>341</v>
      </c>
      <c r="CL2279" s="236">
        <v>124.12</v>
      </c>
      <c r="CM2279" s="236" t="s">
        <v>344</v>
      </c>
      <c r="CR2279" s="340">
        <v>407.02</v>
      </c>
      <c r="CS2279" s="340" t="s">
        <v>314</v>
      </c>
      <c r="CT2279" s="1384"/>
      <c r="DF2279" s="340">
        <v>240.02</v>
      </c>
      <c r="DG2279" s="340" t="s">
        <v>342</v>
      </c>
      <c r="DV2279" s="340">
        <v>501.06</v>
      </c>
      <c r="DW2279" s="340" t="s">
        <v>323</v>
      </c>
      <c r="DX2279" s="1671"/>
    </row>
    <row r="2280" spans="12:128">
      <c r="L2280" s="2481">
        <v>245.17</v>
      </c>
      <c r="M2280" s="340" t="s">
        <v>342</v>
      </c>
      <c r="N2280" s="1390"/>
      <c r="O2280" s="2479"/>
      <c r="P2280" s="2282"/>
      <c r="AG2280" s="2297">
        <v>502.06</v>
      </c>
      <c r="AH2280" s="2297" t="s">
        <v>323</v>
      </c>
      <c r="AI2280" s="1390"/>
      <c r="AJ2280" s="2282"/>
      <c r="AK2280" s="2282"/>
      <c r="AL2280" s="1037"/>
      <c r="AX2280" s="340">
        <v>317.07</v>
      </c>
      <c r="AY2280" s="340" t="s">
        <v>341</v>
      </c>
      <c r="BN2280" s="340">
        <v>408.02</v>
      </c>
      <c r="BO2280" s="340" t="s">
        <v>289</v>
      </c>
      <c r="BP2280" s="1385"/>
      <c r="BV2280" s="236">
        <v>14.04</v>
      </c>
      <c r="BW2280" s="236" t="s">
        <v>329</v>
      </c>
      <c r="CB2280" s="340">
        <v>318.08</v>
      </c>
      <c r="CC2280" s="340" t="s">
        <v>341</v>
      </c>
      <c r="CL2280" s="236">
        <v>124.13</v>
      </c>
      <c r="CM2280" s="236" t="s">
        <v>344</v>
      </c>
      <c r="CR2280" s="340">
        <v>408.01</v>
      </c>
      <c r="CS2280" s="340" t="s">
        <v>339</v>
      </c>
      <c r="CT2280" s="1384"/>
      <c r="DF2280" s="340">
        <v>240.04</v>
      </c>
      <c r="DG2280" s="340" t="s">
        <v>342</v>
      </c>
      <c r="DV2280" s="340">
        <v>502.01</v>
      </c>
      <c r="DW2280" s="340" t="s">
        <v>318</v>
      </c>
      <c r="DX2280" s="1671"/>
    </row>
    <row r="2281" spans="12:128">
      <c r="L2281" s="2481">
        <v>249.05</v>
      </c>
      <c r="M2281" s="340" t="s">
        <v>342</v>
      </c>
      <c r="N2281" s="1390"/>
      <c r="O2281" s="2479"/>
      <c r="P2281" s="2282"/>
      <c r="AG2281" s="2297">
        <v>502.07</v>
      </c>
      <c r="AH2281" s="2297" t="s">
        <v>289</v>
      </c>
      <c r="AI2281" s="1390"/>
      <c r="AJ2281" s="2282"/>
      <c r="AK2281" s="2282"/>
      <c r="AL2281" s="1037"/>
      <c r="AX2281" s="340">
        <v>317.08</v>
      </c>
      <c r="AY2281" s="340" t="s">
        <v>341</v>
      </c>
      <c r="BN2281" s="340">
        <v>408.06</v>
      </c>
      <c r="BO2281" s="340" t="s">
        <v>339</v>
      </c>
      <c r="BP2281" s="1385"/>
      <c r="BV2281" s="236">
        <v>15</v>
      </c>
      <c r="BW2281" s="236" t="s">
        <v>329</v>
      </c>
      <c r="CB2281" s="340">
        <v>318.08999999999997</v>
      </c>
      <c r="CC2281" s="340" t="s">
        <v>341</v>
      </c>
      <c r="CL2281" s="236">
        <v>124.14</v>
      </c>
      <c r="CM2281" s="236" t="s">
        <v>344</v>
      </c>
      <c r="CR2281" s="340">
        <v>408.02</v>
      </c>
      <c r="CS2281" s="340" t="s">
        <v>289</v>
      </c>
      <c r="CT2281" s="1384"/>
      <c r="DF2281" s="340">
        <v>240.05</v>
      </c>
      <c r="DG2281" s="340" t="s">
        <v>342</v>
      </c>
      <c r="DV2281" s="340">
        <v>502.01</v>
      </c>
      <c r="DW2281" s="340" t="s">
        <v>335</v>
      </c>
      <c r="DX2281" s="1671"/>
    </row>
    <row r="2282" spans="12:128">
      <c r="L2282" s="2481">
        <v>250.07</v>
      </c>
      <c r="M2282" s="340" t="s">
        <v>342</v>
      </c>
      <c r="N2282" s="1390"/>
      <c r="O2282" s="2479"/>
      <c r="P2282" s="2282"/>
      <c r="AG2282" s="2297">
        <v>502.07</v>
      </c>
      <c r="AH2282" s="2297" t="s">
        <v>323</v>
      </c>
      <c r="AI2282" s="1390"/>
      <c r="AJ2282" s="2282"/>
      <c r="AK2282" s="2282"/>
      <c r="AL2282" s="1037"/>
      <c r="AX2282" s="340">
        <v>318.04000000000002</v>
      </c>
      <c r="AY2282" s="340" t="s">
        <v>341</v>
      </c>
      <c r="BN2282" s="340">
        <v>408.07</v>
      </c>
      <c r="BO2282" s="340" t="s">
        <v>339</v>
      </c>
      <c r="BP2282" s="1385"/>
      <c r="BV2282" s="236">
        <v>16</v>
      </c>
      <c r="BW2282" s="236" t="s">
        <v>329</v>
      </c>
      <c r="CB2282" s="340">
        <v>319.01</v>
      </c>
      <c r="CC2282" s="340" t="s">
        <v>341</v>
      </c>
      <c r="CL2282" s="236">
        <v>124.15</v>
      </c>
      <c r="CM2282" s="236" t="s">
        <v>344</v>
      </c>
      <c r="CR2282" s="340">
        <v>408.05</v>
      </c>
      <c r="CS2282" s="340" t="s">
        <v>339</v>
      </c>
      <c r="CT2282" s="1384"/>
      <c r="DF2282" s="340">
        <v>241</v>
      </c>
      <c r="DG2282" s="340" t="s">
        <v>342</v>
      </c>
      <c r="DV2282" s="340">
        <v>502.03</v>
      </c>
      <c r="DW2282" s="340" t="s">
        <v>335</v>
      </c>
      <c r="DX2282" s="1671"/>
    </row>
    <row r="2283" spans="12:128">
      <c r="L2283" s="2481">
        <v>250.09</v>
      </c>
      <c r="M2283" s="340" t="s">
        <v>342</v>
      </c>
      <c r="N2283" s="1390"/>
      <c r="O2283" s="2479"/>
      <c r="P2283" s="2282"/>
      <c r="AG2283" s="2297">
        <v>502.08</v>
      </c>
      <c r="AH2283" s="2297" t="s">
        <v>323</v>
      </c>
      <c r="AI2283" s="1390"/>
      <c r="AJ2283" s="2282"/>
      <c r="AK2283" s="2282"/>
      <c r="AL2283" s="1037"/>
      <c r="AX2283" s="340">
        <v>318.05</v>
      </c>
      <c r="AY2283" s="340" t="s">
        <v>341</v>
      </c>
      <c r="BN2283" s="340">
        <v>408.08</v>
      </c>
      <c r="BO2283" s="340" t="s">
        <v>339</v>
      </c>
      <c r="BP2283" s="1385"/>
      <c r="BV2283" s="236">
        <v>17</v>
      </c>
      <c r="BW2283" s="236" t="s">
        <v>329</v>
      </c>
      <c r="CB2283" s="340">
        <v>319.02</v>
      </c>
      <c r="CC2283" s="340" t="s">
        <v>341</v>
      </c>
      <c r="CL2283" s="236">
        <v>125</v>
      </c>
      <c r="CM2283" s="236" t="s">
        <v>302</v>
      </c>
      <c r="CR2283" s="340">
        <v>408.06</v>
      </c>
      <c r="CS2283" s="340" t="s">
        <v>339</v>
      </c>
      <c r="CT2283" s="1384"/>
      <c r="DF2283" s="340">
        <v>242.01</v>
      </c>
      <c r="DG2283" s="340" t="s">
        <v>342</v>
      </c>
      <c r="DV2283" s="340">
        <v>502.04</v>
      </c>
      <c r="DW2283" s="340" t="s">
        <v>289</v>
      </c>
      <c r="DX2283" s="1671"/>
    </row>
    <row r="2284" spans="12:128">
      <c r="L2284" s="2481">
        <v>250.11</v>
      </c>
      <c r="M2284" s="340" t="s">
        <v>342</v>
      </c>
      <c r="N2284" s="1390"/>
      <c r="O2284" s="2479"/>
      <c r="P2284" s="2282"/>
      <c r="AG2284" s="2297">
        <v>502.1</v>
      </c>
      <c r="AH2284" s="2297" t="s">
        <v>323</v>
      </c>
      <c r="AI2284" s="1390"/>
      <c r="AJ2284" s="2282"/>
      <c r="AK2284" s="2282"/>
      <c r="AL2284" s="1037"/>
      <c r="AX2284" s="340">
        <v>318.06</v>
      </c>
      <c r="AY2284" s="340" t="s">
        <v>341</v>
      </c>
      <c r="BN2284" s="340">
        <v>408.09</v>
      </c>
      <c r="BO2284" s="340" t="s">
        <v>339</v>
      </c>
      <c r="BP2284" s="1385"/>
      <c r="BV2284" s="236">
        <v>18</v>
      </c>
      <c r="BW2284" s="236" t="s">
        <v>329</v>
      </c>
      <c r="CB2284" s="340">
        <v>319.02999999999997</v>
      </c>
      <c r="CC2284" s="340" t="s">
        <v>341</v>
      </c>
      <c r="CL2284" s="236">
        <v>125</v>
      </c>
      <c r="CM2284" s="236" t="s">
        <v>338</v>
      </c>
      <c r="CR2284" s="340">
        <v>408.07</v>
      </c>
      <c r="CS2284" s="340" t="s">
        <v>339</v>
      </c>
      <c r="CT2284" s="1384"/>
      <c r="DF2284" s="340">
        <v>242.02</v>
      </c>
      <c r="DG2284" s="340" t="s">
        <v>342</v>
      </c>
      <c r="DV2284" s="340">
        <v>502.04</v>
      </c>
      <c r="DW2284" s="340" t="s">
        <v>323</v>
      </c>
      <c r="DX2284" s="1671"/>
    </row>
    <row r="2285" spans="12:128">
      <c r="L2285" s="2481">
        <v>250.12</v>
      </c>
      <c r="M2285" s="340" t="s">
        <v>342</v>
      </c>
      <c r="N2285" s="1390"/>
      <c r="O2285" s="2479"/>
      <c r="P2285" s="2282"/>
      <c r="AG2285" s="2297">
        <v>502.12</v>
      </c>
      <c r="AH2285" s="2297" t="s">
        <v>323</v>
      </c>
      <c r="AI2285" s="1390"/>
      <c r="AJ2285" s="2282"/>
      <c r="AK2285" s="2282"/>
      <c r="AL2285" s="1037"/>
      <c r="AX2285" s="340">
        <v>318.08</v>
      </c>
      <c r="AY2285" s="340" t="s">
        <v>341</v>
      </c>
      <c r="BN2285" s="340">
        <v>408.1</v>
      </c>
      <c r="BO2285" s="340" t="s">
        <v>339</v>
      </c>
      <c r="BP2285" s="1385"/>
      <c r="BV2285" s="236">
        <v>19</v>
      </c>
      <c r="BW2285" s="236" t="s">
        <v>329</v>
      </c>
      <c r="CB2285" s="340">
        <v>320.01</v>
      </c>
      <c r="CC2285" s="340" t="s">
        <v>341</v>
      </c>
      <c r="CL2285" s="236">
        <v>125.01</v>
      </c>
      <c r="CM2285" s="236" t="s">
        <v>316</v>
      </c>
      <c r="CR2285" s="340">
        <v>408.08</v>
      </c>
      <c r="CS2285" s="340" t="s">
        <v>339</v>
      </c>
      <c r="CT2285" s="1384"/>
      <c r="DF2285" s="340">
        <v>243.02</v>
      </c>
      <c r="DG2285" s="340" t="s">
        <v>342</v>
      </c>
      <c r="DV2285" s="340">
        <v>502.04</v>
      </c>
      <c r="DW2285" s="340" t="s">
        <v>335</v>
      </c>
      <c r="DX2285" s="1671"/>
    </row>
    <row r="2286" spans="12:128">
      <c r="L2286" s="2481">
        <v>250.13</v>
      </c>
      <c r="M2286" s="340" t="s">
        <v>342</v>
      </c>
      <c r="N2286" s="1390"/>
      <c r="O2286" s="2479"/>
      <c r="P2286" s="2282"/>
      <c r="AG2286" s="2297">
        <v>502.13</v>
      </c>
      <c r="AH2286" s="2297" t="s">
        <v>323</v>
      </c>
      <c r="AI2286" s="1390"/>
      <c r="AJ2286" s="2282"/>
      <c r="AK2286" s="2282"/>
      <c r="AL2286" s="1037"/>
      <c r="AX2286" s="340">
        <v>318.08999999999997</v>
      </c>
      <c r="AY2286" s="340" t="s">
        <v>341</v>
      </c>
      <c r="BN2286" s="340">
        <v>408.11</v>
      </c>
      <c r="BO2286" s="340" t="s">
        <v>339</v>
      </c>
      <c r="BP2286" s="1385"/>
      <c r="BV2286" s="236">
        <v>20.010000000000002</v>
      </c>
      <c r="BW2286" s="236" t="s">
        <v>329</v>
      </c>
      <c r="CB2286" s="340">
        <v>320.05</v>
      </c>
      <c r="CC2286" s="340" t="s">
        <v>341</v>
      </c>
      <c r="CL2286" s="236">
        <v>125.01</v>
      </c>
      <c r="CM2286" s="236" t="s">
        <v>331</v>
      </c>
      <c r="CR2286" s="340">
        <v>408.09</v>
      </c>
      <c r="CS2286" s="340" t="s">
        <v>339</v>
      </c>
      <c r="CT2286" s="1384"/>
      <c r="DF2286" s="340">
        <v>244.06</v>
      </c>
      <c r="DG2286" s="340" t="s">
        <v>342</v>
      </c>
      <c r="DV2286" s="340">
        <v>502.05</v>
      </c>
      <c r="DW2286" s="340" t="s">
        <v>289</v>
      </c>
      <c r="DX2286" s="1671"/>
    </row>
    <row r="2287" spans="12:128">
      <c r="L2287" s="2481">
        <v>250.14</v>
      </c>
      <c r="M2287" s="340" t="s">
        <v>342</v>
      </c>
      <c r="N2287" s="1390"/>
      <c r="O2287" s="2479"/>
      <c r="P2287" s="2282"/>
      <c r="AG2287" s="2297">
        <v>503.04</v>
      </c>
      <c r="AH2287" s="2297" t="s">
        <v>335</v>
      </c>
      <c r="AI2287" s="1390"/>
      <c r="AJ2287" s="2282"/>
      <c r="AK2287" s="2282"/>
      <c r="AL2287" s="1037"/>
      <c r="AX2287" s="340">
        <v>319.01</v>
      </c>
      <c r="AY2287" s="340" t="s">
        <v>341</v>
      </c>
      <c r="BN2287" s="340">
        <v>408.12</v>
      </c>
      <c r="BO2287" s="340" t="s">
        <v>339</v>
      </c>
      <c r="BP2287" s="1385"/>
      <c r="BV2287" s="236">
        <v>20.02</v>
      </c>
      <c r="BW2287" s="236" t="s">
        <v>329</v>
      </c>
      <c r="CB2287" s="340">
        <v>320.06</v>
      </c>
      <c r="CC2287" s="340" t="s">
        <v>341</v>
      </c>
      <c r="CL2287" s="236">
        <v>125.02</v>
      </c>
      <c r="CM2287" s="236" t="s">
        <v>331</v>
      </c>
      <c r="CR2287" s="340">
        <v>408.1</v>
      </c>
      <c r="CS2287" s="340" t="s">
        <v>339</v>
      </c>
      <c r="CT2287" s="1384"/>
      <c r="DF2287" s="340">
        <v>244.09</v>
      </c>
      <c r="DG2287" s="340" t="s">
        <v>342</v>
      </c>
      <c r="DV2287" s="340">
        <v>502.05</v>
      </c>
      <c r="DW2287" s="340" t="s">
        <v>335</v>
      </c>
      <c r="DX2287" s="1671"/>
    </row>
    <row r="2288" spans="12:128">
      <c r="L2288" s="2481">
        <v>250.16</v>
      </c>
      <c r="M2288" s="340" t="s">
        <v>342</v>
      </c>
      <c r="N2288" s="1390"/>
      <c r="O2288" s="2479"/>
      <c r="P2288" s="2282"/>
      <c r="AG2288" s="2297">
        <v>503.05</v>
      </c>
      <c r="AH2288" s="2297" t="s">
        <v>323</v>
      </c>
      <c r="AI2288" s="1390"/>
      <c r="AJ2288" s="2282"/>
      <c r="AK2288" s="2282"/>
      <c r="AL2288" s="1037"/>
      <c r="AX2288" s="340">
        <v>319.02</v>
      </c>
      <c r="AY2288" s="340" t="s">
        <v>341</v>
      </c>
      <c r="BN2288" s="340">
        <v>409.03</v>
      </c>
      <c r="BO2288" s="340" t="s">
        <v>339</v>
      </c>
      <c r="BP2288" s="1385"/>
      <c r="BV2288" s="236">
        <v>21</v>
      </c>
      <c r="BW2288" s="236" t="s">
        <v>329</v>
      </c>
      <c r="CB2288" s="340">
        <v>320.07</v>
      </c>
      <c r="CC2288" s="340" t="s">
        <v>341</v>
      </c>
      <c r="CL2288" s="236">
        <v>125.02</v>
      </c>
      <c r="CM2288" s="236" t="s">
        <v>344</v>
      </c>
      <c r="CR2288" s="340">
        <v>408.11</v>
      </c>
      <c r="CS2288" s="340" t="s">
        <v>339</v>
      </c>
      <c r="CT2288" s="1384"/>
      <c r="DF2288" s="340">
        <v>244.11</v>
      </c>
      <c r="DG2288" s="340" t="s">
        <v>342</v>
      </c>
      <c r="DV2288" s="340">
        <v>502.06</v>
      </c>
      <c r="DW2288" s="340" t="s">
        <v>289</v>
      </c>
      <c r="DX2288" s="1671"/>
    </row>
    <row r="2289" spans="12:128">
      <c r="L2289" s="2481">
        <v>251.06</v>
      </c>
      <c r="M2289" s="340" t="s">
        <v>342</v>
      </c>
      <c r="N2289" s="1390"/>
      <c r="O2289" s="2479"/>
      <c r="P2289" s="2282"/>
      <c r="AG2289" s="2297">
        <v>503.06</v>
      </c>
      <c r="AH2289" s="2297" t="s">
        <v>318</v>
      </c>
      <c r="AI2289" s="1390"/>
      <c r="AJ2289" s="2282"/>
      <c r="AK2289" s="2282"/>
      <c r="AL2289" s="1037"/>
      <c r="AX2289" s="340">
        <v>319.02999999999997</v>
      </c>
      <c r="AY2289" s="340" t="s">
        <v>341</v>
      </c>
      <c r="BN2289" s="340">
        <v>409.06</v>
      </c>
      <c r="BO2289" s="340" t="s">
        <v>314</v>
      </c>
      <c r="BP2289" s="1385"/>
      <c r="BV2289" s="236">
        <v>22.01</v>
      </c>
      <c r="BW2289" s="236" t="s">
        <v>329</v>
      </c>
      <c r="CB2289" s="340">
        <v>320.08</v>
      </c>
      <c r="CC2289" s="340" t="s">
        <v>341</v>
      </c>
      <c r="CL2289" s="236">
        <v>125.03</v>
      </c>
      <c r="CM2289" s="236" t="s">
        <v>316</v>
      </c>
      <c r="CR2289" s="340">
        <v>408.12</v>
      </c>
      <c r="CS2289" s="340" t="s">
        <v>339</v>
      </c>
      <c r="CT2289" s="1384"/>
      <c r="DF2289" s="340">
        <v>244.12</v>
      </c>
      <c r="DG2289" s="340" t="s">
        <v>342</v>
      </c>
      <c r="DV2289" s="340">
        <v>502.06</v>
      </c>
      <c r="DW2289" s="340" t="s">
        <v>323</v>
      </c>
      <c r="DX2289" s="1671"/>
    </row>
    <row r="2290" spans="12:128">
      <c r="L2290" s="2481">
        <v>251.07</v>
      </c>
      <c r="M2290" s="340" t="s">
        <v>342</v>
      </c>
      <c r="N2290" s="1390"/>
      <c r="O2290" s="2479"/>
      <c r="P2290" s="2282"/>
      <c r="AG2290" s="2297">
        <v>503.06</v>
      </c>
      <c r="AH2290" s="2297" t="s">
        <v>323</v>
      </c>
      <c r="AI2290" s="1390"/>
      <c r="AJ2290" s="2282"/>
      <c r="AK2290" s="2282"/>
      <c r="AL2290" s="1037"/>
      <c r="AX2290" s="340">
        <v>320.01</v>
      </c>
      <c r="AY2290" s="340" t="s">
        <v>341</v>
      </c>
      <c r="BN2290" s="340">
        <v>409.07</v>
      </c>
      <c r="BO2290" s="340" t="s">
        <v>314</v>
      </c>
      <c r="BP2290" s="1385"/>
      <c r="BV2290" s="236">
        <v>22.02</v>
      </c>
      <c r="BW2290" s="236" t="s">
        <v>329</v>
      </c>
      <c r="CB2290" s="340">
        <v>320.08999999999997</v>
      </c>
      <c r="CC2290" s="340" t="s">
        <v>341</v>
      </c>
      <c r="CL2290" s="236">
        <v>125.04</v>
      </c>
      <c r="CM2290" s="236" t="s">
        <v>316</v>
      </c>
      <c r="CR2290" s="340">
        <v>409.01</v>
      </c>
      <c r="CS2290" s="340" t="s">
        <v>339</v>
      </c>
      <c r="CT2290" s="1384"/>
      <c r="DF2290" s="340">
        <v>244.13</v>
      </c>
      <c r="DG2290" s="340" t="s">
        <v>342</v>
      </c>
      <c r="DV2290" s="340">
        <v>502.07</v>
      </c>
      <c r="DW2290" s="340" t="s">
        <v>289</v>
      </c>
      <c r="DX2290" s="1671"/>
    </row>
    <row r="2291" spans="12:128">
      <c r="L2291" s="2481">
        <v>251.08</v>
      </c>
      <c r="M2291" s="340" t="s">
        <v>342</v>
      </c>
      <c r="N2291" s="1390"/>
      <c r="O2291" s="2479"/>
      <c r="P2291" s="2282"/>
      <c r="AG2291" s="2297">
        <v>503.06</v>
      </c>
      <c r="AH2291" s="2297" t="s">
        <v>335</v>
      </c>
      <c r="AI2291" s="1390"/>
      <c r="AJ2291" s="2282"/>
      <c r="AK2291" s="2282"/>
      <c r="AL2291" s="1037"/>
      <c r="AX2291" s="340">
        <v>320.05</v>
      </c>
      <c r="AY2291" s="340" t="s">
        <v>341</v>
      </c>
      <c r="BN2291" s="340">
        <v>409.08</v>
      </c>
      <c r="BO2291" s="340" t="s">
        <v>314</v>
      </c>
      <c r="BP2291" s="1385"/>
      <c r="BV2291" s="236">
        <v>22.03</v>
      </c>
      <c r="BW2291" s="236" t="s">
        <v>329</v>
      </c>
      <c r="CB2291" s="340">
        <v>320.10000000000002</v>
      </c>
      <c r="CC2291" s="340" t="s">
        <v>341</v>
      </c>
      <c r="CL2291" s="236">
        <v>125.06</v>
      </c>
      <c r="CM2291" s="236" t="s">
        <v>344</v>
      </c>
      <c r="CR2291" s="340">
        <v>409.06</v>
      </c>
      <c r="CS2291" s="340" t="s">
        <v>314</v>
      </c>
      <c r="CT2291" s="1384"/>
      <c r="DF2291" s="340">
        <v>245.07</v>
      </c>
      <c r="DG2291" s="340" t="s">
        <v>342</v>
      </c>
      <c r="DV2291" s="340">
        <v>502.07</v>
      </c>
      <c r="DW2291" s="340" t="s">
        <v>323</v>
      </c>
      <c r="DX2291" s="1671"/>
    </row>
    <row r="2292" spans="12:128">
      <c r="L2292" s="2481">
        <v>251.1</v>
      </c>
      <c r="M2292" s="340" t="s">
        <v>342</v>
      </c>
      <c r="N2292" s="1390"/>
      <c r="O2292" s="2479"/>
      <c r="P2292" s="2282"/>
      <c r="AG2292" s="2297">
        <v>503.07</v>
      </c>
      <c r="AH2292" s="2297" t="s">
        <v>335</v>
      </c>
      <c r="AI2292" s="1390"/>
      <c r="AJ2292" s="2282"/>
      <c r="AK2292" s="2282"/>
      <c r="AL2292" s="1037"/>
      <c r="AX2292" s="340">
        <v>320.06</v>
      </c>
      <c r="AY2292" s="340" t="s">
        <v>341</v>
      </c>
      <c r="BN2292" s="340">
        <v>409.09</v>
      </c>
      <c r="BO2292" s="340" t="s">
        <v>314</v>
      </c>
      <c r="BP2292" s="1385"/>
      <c r="BV2292" s="236">
        <v>23.02</v>
      </c>
      <c r="BW2292" s="236" t="s">
        <v>329</v>
      </c>
      <c r="CB2292" s="340">
        <v>320.11</v>
      </c>
      <c r="CC2292" s="340" t="s">
        <v>341</v>
      </c>
      <c r="CL2292" s="236">
        <v>125.08</v>
      </c>
      <c r="CM2292" s="236" t="s">
        <v>344</v>
      </c>
      <c r="CR2292" s="340">
        <v>409.07</v>
      </c>
      <c r="CS2292" s="340" t="s">
        <v>314</v>
      </c>
      <c r="CT2292" s="1384"/>
      <c r="DF2292" s="340">
        <v>245.09</v>
      </c>
      <c r="DG2292" s="340" t="s">
        <v>342</v>
      </c>
      <c r="DV2292" s="340">
        <v>502.08</v>
      </c>
      <c r="DW2292" s="340" t="s">
        <v>323</v>
      </c>
      <c r="DX2292" s="1671"/>
    </row>
    <row r="2293" spans="12:128">
      <c r="L2293" s="2481">
        <v>251.12</v>
      </c>
      <c r="M2293" s="340" t="s">
        <v>342</v>
      </c>
      <c r="N2293" s="1390"/>
      <c r="O2293" s="2479"/>
      <c r="P2293" s="2282"/>
      <c r="AG2293" s="2297">
        <v>503.08</v>
      </c>
      <c r="AH2293" s="2297" t="s">
        <v>335</v>
      </c>
      <c r="AI2293" s="1390"/>
      <c r="AJ2293" s="2282"/>
      <c r="AK2293" s="2282"/>
      <c r="AL2293" s="1037"/>
      <c r="AX2293" s="340">
        <v>320.07</v>
      </c>
      <c r="AY2293" s="340" t="s">
        <v>341</v>
      </c>
      <c r="BN2293" s="340">
        <v>409.1</v>
      </c>
      <c r="BO2293" s="340" t="s">
        <v>314</v>
      </c>
      <c r="BP2293" s="1385"/>
      <c r="BV2293" s="236">
        <v>23.03</v>
      </c>
      <c r="BW2293" s="236" t="s">
        <v>329</v>
      </c>
      <c r="CB2293" s="340">
        <v>320.12</v>
      </c>
      <c r="CC2293" s="340" t="s">
        <v>341</v>
      </c>
      <c r="CL2293" s="236">
        <v>125.09</v>
      </c>
      <c r="CM2293" s="236" t="s">
        <v>344</v>
      </c>
      <c r="CR2293" s="340">
        <v>409.08</v>
      </c>
      <c r="CS2293" s="340" t="s">
        <v>314</v>
      </c>
      <c r="CT2293" s="1384"/>
      <c r="DF2293" s="340">
        <v>245.17</v>
      </c>
      <c r="DG2293" s="340" t="s">
        <v>342</v>
      </c>
      <c r="DV2293" s="340">
        <v>502.1</v>
      </c>
      <c r="DW2293" s="340" t="s">
        <v>323</v>
      </c>
      <c r="DX2293" s="1671"/>
    </row>
    <row r="2294" spans="12:128">
      <c r="L2294" s="2481">
        <v>251.13</v>
      </c>
      <c r="M2294" s="340" t="s">
        <v>342</v>
      </c>
      <c r="N2294" s="1390"/>
      <c r="O2294" s="2479"/>
      <c r="P2294" s="2282"/>
      <c r="AG2294" s="2297">
        <v>503.09</v>
      </c>
      <c r="AH2294" s="2297" t="s">
        <v>335</v>
      </c>
      <c r="AI2294" s="1390"/>
      <c r="AJ2294" s="2282"/>
      <c r="AK2294" s="2282"/>
      <c r="AL2294" s="1037"/>
      <c r="AX2294" s="340">
        <v>320.08</v>
      </c>
      <c r="AY2294" s="340" t="s">
        <v>341</v>
      </c>
      <c r="BN2294" s="340">
        <v>409.11</v>
      </c>
      <c r="BO2294" s="340" t="s">
        <v>314</v>
      </c>
      <c r="BP2294" s="1385"/>
      <c r="BV2294" s="236">
        <v>23.04</v>
      </c>
      <c r="BW2294" s="236" t="s">
        <v>329</v>
      </c>
      <c r="CB2294" s="340">
        <v>320.13</v>
      </c>
      <c r="CC2294" s="340" t="s">
        <v>341</v>
      </c>
      <c r="CL2294" s="236">
        <v>125.1</v>
      </c>
      <c r="CM2294" s="236" t="s">
        <v>344</v>
      </c>
      <c r="CR2294" s="340">
        <v>409.09</v>
      </c>
      <c r="CS2294" s="340" t="s">
        <v>314</v>
      </c>
      <c r="CT2294" s="1384"/>
      <c r="DF2294" s="340">
        <v>249.01</v>
      </c>
      <c r="DG2294" s="340" t="s">
        <v>342</v>
      </c>
      <c r="DV2294" s="340">
        <v>502.11</v>
      </c>
      <c r="DW2294" s="340" t="s">
        <v>323</v>
      </c>
      <c r="DX2294" s="1671"/>
    </row>
    <row r="2295" spans="12:128">
      <c r="L2295" s="2481">
        <v>251.19</v>
      </c>
      <c r="M2295" s="340" t="s">
        <v>342</v>
      </c>
      <c r="N2295" s="1390"/>
      <c r="O2295" s="2479"/>
      <c r="P2295" s="2282"/>
      <c r="AG2295" s="2297">
        <v>503.1</v>
      </c>
      <c r="AH2295" s="2297" t="s">
        <v>335</v>
      </c>
      <c r="AI2295" s="1390"/>
      <c r="AJ2295" s="2282"/>
      <c r="AK2295" s="2282"/>
      <c r="AL2295" s="1037"/>
      <c r="AX2295" s="340">
        <v>320.08999999999997</v>
      </c>
      <c r="AY2295" s="340" t="s">
        <v>341</v>
      </c>
      <c r="BN2295" s="340">
        <v>409.12</v>
      </c>
      <c r="BO2295" s="340" t="s">
        <v>314</v>
      </c>
      <c r="BP2295" s="1385"/>
      <c r="BV2295" s="236">
        <v>24.01</v>
      </c>
      <c r="BW2295" s="236" t="s">
        <v>329</v>
      </c>
      <c r="CB2295" s="340">
        <v>320.14</v>
      </c>
      <c r="CC2295" s="340" t="s">
        <v>341</v>
      </c>
      <c r="CL2295" s="236">
        <v>125.11</v>
      </c>
      <c r="CM2295" s="236" t="s">
        <v>344</v>
      </c>
      <c r="CR2295" s="340">
        <v>409.1</v>
      </c>
      <c r="CS2295" s="340" t="s">
        <v>314</v>
      </c>
      <c r="CT2295" s="1384"/>
      <c r="DF2295" s="340">
        <v>249.05</v>
      </c>
      <c r="DG2295" s="340" t="s">
        <v>342</v>
      </c>
      <c r="DV2295" s="340">
        <v>502.12</v>
      </c>
      <c r="DW2295" s="340" t="s">
        <v>323</v>
      </c>
      <c r="DX2295" s="1671"/>
    </row>
    <row r="2296" spans="12:128">
      <c r="L2296" s="2481">
        <v>251.2</v>
      </c>
      <c r="M2296" s="340" t="s">
        <v>342</v>
      </c>
      <c r="N2296" s="1390"/>
      <c r="O2296" s="2479"/>
      <c r="P2296" s="2282"/>
      <c r="AG2296" s="2297">
        <v>503.11</v>
      </c>
      <c r="AH2296" s="2297" t="s">
        <v>323</v>
      </c>
      <c r="AI2296" s="1390"/>
      <c r="AJ2296" s="2282"/>
      <c r="AK2296" s="2282"/>
      <c r="AL2296" s="1037"/>
      <c r="AX2296" s="340">
        <v>320.10000000000002</v>
      </c>
      <c r="AY2296" s="340" t="s">
        <v>341</v>
      </c>
      <c r="BN2296" s="340">
        <v>409.13</v>
      </c>
      <c r="BO2296" s="340" t="s">
        <v>314</v>
      </c>
      <c r="BP2296" s="1385"/>
      <c r="BV2296" s="236">
        <v>24.02</v>
      </c>
      <c r="BW2296" s="236" t="s">
        <v>329</v>
      </c>
      <c r="CB2296" s="340">
        <v>321.02999999999997</v>
      </c>
      <c r="CC2296" s="340" t="s">
        <v>341</v>
      </c>
      <c r="CL2296" s="236">
        <v>125.12</v>
      </c>
      <c r="CM2296" s="236" t="s">
        <v>344</v>
      </c>
      <c r="CR2296" s="340">
        <v>409.11</v>
      </c>
      <c r="CS2296" s="340" t="s">
        <v>314</v>
      </c>
      <c r="CT2296" s="1384"/>
      <c r="DF2296" s="340">
        <v>250.07</v>
      </c>
      <c r="DG2296" s="340" t="s">
        <v>342</v>
      </c>
      <c r="DV2296" s="340">
        <v>502.13</v>
      </c>
      <c r="DW2296" s="340" t="s">
        <v>323</v>
      </c>
      <c r="DX2296" s="1671"/>
    </row>
    <row r="2297" spans="12:128">
      <c r="L2297" s="2481">
        <v>251.21</v>
      </c>
      <c r="M2297" s="340" t="s">
        <v>342</v>
      </c>
      <c r="N2297" s="1390"/>
      <c r="O2297" s="2479"/>
      <c r="P2297" s="2282"/>
      <c r="AG2297" s="2297">
        <v>503.12</v>
      </c>
      <c r="AH2297" s="2297" t="s">
        <v>323</v>
      </c>
      <c r="AI2297" s="1390"/>
      <c r="AJ2297" s="2282"/>
      <c r="AK2297" s="2282"/>
      <c r="AL2297" s="1037"/>
      <c r="AX2297" s="340">
        <v>320.11</v>
      </c>
      <c r="AY2297" s="340" t="s">
        <v>341</v>
      </c>
      <c r="BN2297" s="340">
        <v>410.03</v>
      </c>
      <c r="BO2297" s="340" t="s">
        <v>339</v>
      </c>
      <c r="BP2297" s="1385"/>
      <c r="BV2297" s="236">
        <v>25.03</v>
      </c>
      <c r="BW2297" s="236" t="s">
        <v>329</v>
      </c>
      <c r="CB2297" s="340">
        <v>321.04000000000002</v>
      </c>
      <c r="CC2297" s="340" t="s">
        <v>341</v>
      </c>
      <c r="CL2297" s="236">
        <v>125.13</v>
      </c>
      <c r="CM2297" s="236" t="s">
        <v>344</v>
      </c>
      <c r="CR2297" s="340">
        <v>409.12</v>
      </c>
      <c r="CS2297" s="340" t="s">
        <v>314</v>
      </c>
      <c r="CT2297" s="1384"/>
      <c r="DF2297" s="340">
        <v>250.11</v>
      </c>
      <c r="DG2297" s="340" t="s">
        <v>342</v>
      </c>
      <c r="DV2297" s="340">
        <v>503.04</v>
      </c>
      <c r="DW2297" s="340" t="s">
        <v>335</v>
      </c>
      <c r="DX2297" s="1671"/>
    </row>
    <row r="2298" spans="12:128">
      <c r="L2298" s="2481">
        <v>251.22</v>
      </c>
      <c r="M2298" s="340" t="s">
        <v>342</v>
      </c>
      <c r="N2298" s="1390"/>
      <c r="O2298" s="2479"/>
      <c r="P2298" s="2282"/>
      <c r="AG2298" s="2297">
        <v>503.15</v>
      </c>
      <c r="AH2298" s="2297" t="s">
        <v>323</v>
      </c>
      <c r="AI2298" s="1390"/>
      <c r="AJ2298" s="2282"/>
      <c r="AK2298" s="2282"/>
      <c r="AL2298" s="1037"/>
      <c r="AX2298" s="340">
        <v>320.12</v>
      </c>
      <c r="AY2298" s="340" t="s">
        <v>341</v>
      </c>
      <c r="BN2298" s="340">
        <v>410.04</v>
      </c>
      <c r="BO2298" s="340" t="s">
        <v>314</v>
      </c>
      <c r="BP2298" s="1385"/>
      <c r="BV2298" s="236">
        <v>25.04</v>
      </c>
      <c r="BW2298" s="236" t="s">
        <v>329</v>
      </c>
      <c r="CB2298" s="340">
        <v>321.05</v>
      </c>
      <c r="CC2298" s="340" t="s">
        <v>341</v>
      </c>
      <c r="CL2298" s="236">
        <v>125.14</v>
      </c>
      <c r="CM2298" s="236" t="s">
        <v>344</v>
      </c>
      <c r="CR2298" s="340">
        <v>409.13</v>
      </c>
      <c r="CS2298" s="340" t="s">
        <v>314</v>
      </c>
      <c r="CT2298" s="1384"/>
      <c r="DF2298" s="340">
        <v>250.12</v>
      </c>
      <c r="DG2298" s="340" t="s">
        <v>342</v>
      </c>
      <c r="DV2298" s="340">
        <v>503.05</v>
      </c>
      <c r="DW2298" s="340" t="s">
        <v>323</v>
      </c>
      <c r="DX2298" s="1671"/>
    </row>
    <row r="2299" spans="12:128">
      <c r="L2299" s="2481">
        <v>251.23</v>
      </c>
      <c r="M2299" s="340" t="s">
        <v>342</v>
      </c>
      <c r="N2299" s="1390"/>
      <c r="O2299" s="2479"/>
      <c r="P2299" s="2282"/>
      <c r="AG2299" s="2297">
        <v>503.16</v>
      </c>
      <c r="AH2299" s="2297" t="s">
        <v>289</v>
      </c>
      <c r="AI2299" s="1390"/>
      <c r="AJ2299" s="2282"/>
      <c r="AK2299" s="2282"/>
      <c r="AL2299" s="1037"/>
      <c r="AX2299" s="340">
        <v>320.13</v>
      </c>
      <c r="AY2299" s="340" t="s">
        <v>341</v>
      </c>
      <c r="BN2299" s="340">
        <v>410.04</v>
      </c>
      <c r="BO2299" s="340" t="s">
        <v>339</v>
      </c>
      <c r="BP2299" s="1385"/>
      <c r="BV2299" s="236">
        <v>25.05</v>
      </c>
      <c r="BW2299" s="236" t="s">
        <v>329</v>
      </c>
      <c r="CB2299" s="340">
        <v>321.06</v>
      </c>
      <c r="CC2299" s="340" t="s">
        <v>341</v>
      </c>
      <c r="CL2299" s="236">
        <v>125.15</v>
      </c>
      <c r="CM2299" s="236" t="s">
        <v>344</v>
      </c>
      <c r="CR2299" s="340">
        <v>410.03</v>
      </c>
      <c r="CS2299" s="340" t="s">
        <v>339</v>
      </c>
      <c r="CT2299" s="1384"/>
      <c r="DF2299" s="340">
        <v>250.13</v>
      </c>
      <c r="DG2299" s="340" t="s">
        <v>342</v>
      </c>
      <c r="DV2299" s="340">
        <v>503.06</v>
      </c>
      <c r="DW2299" s="340" t="s">
        <v>318</v>
      </c>
      <c r="DX2299" s="1671"/>
    </row>
    <row r="2300" spans="12:128">
      <c r="L2300" s="2481">
        <v>252.05</v>
      </c>
      <c r="M2300" s="340" t="s">
        <v>342</v>
      </c>
      <c r="N2300" s="1390"/>
      <c r="O2300" s="2479"/>
      <c r="P2300" s="2282"/>
      <c r="AG2300" s="2297">
        <v>503.16</v>
      </c>
      <c r="AH2300" s="2297" t="s">
        <v>323</v>
      </c>
      <c r="AI2300" s="1390"/>
      <c r="AJ2300" s="2282"/>
      <c r="AK2300" s="2282"/>
      <c r="AL2300" s="1037"/>
      <c r="AX2300" s="340">
        <v>320.14</v>
      </c>
      <c r="AY2300" s="340" t="s">
        <v>341</v>
      </c>
      <c r="BN2300" s="340">
        <v>410.05</v>
      </c>
      <c r="BO2300" s="340" t="s">
        <v>314</v>
      </c>
      <c r="BP2300" s="1385"/>
      <c r="BV2300" s="236">
        <v>25.06</v>
      </c>
      <c r="BW2300" s="236" t="s">
        <v>329</v>
      </c>
      <c r="CB2300" s="340">
        <v>321.07</v>
      </c>
      <c r="CC2300" s="340" t="s">
        <v>341</v>
      </c>
      <c r="CL2300" s="236">
        <v>126</v>
      </c>
      <c r="CM2300" s="236" t="s">
        <v>316</v>
      </c>
      <c r="CR2300" s="340">
        <v>410.04</v>
      </c>
      <c r="CS2300" s="340" t="s">
        <v>314</v>
      </c>
      <c r="CT2300" s="1384"/>
      <c r="DF2300" s="340">
        <v>250.14</v>
      </c>
      <c r="DG2300" s="340" t="s">
        <v>342</v>
      </c>
      <c r="DV2300" s="340">
        <v>503.06</v>
      </c>
      <c r="DW2300" s="340" t="s">
        <v>323</v>
      </c>
      <c r="DX2300" s="1671"/>
    </row>
    <row r="2301" spans="12:128">
      <c r="L2301" s="2481">
        <v>252.09</v>
      </c>
      <c r="M2301" s="340" t="s">
        <v>342</v>
      </c>
      <c r="N2301" s="1390"/>
      <c r="O2301" s="2479"/>
      <c r="P2301" s="2282"/>
      <c r="AG2301" s="2297">
        <v>503.18</v>
      </c>
      <c r="AH2301" s="2297" t="s">
        <v>323</v>
      </c>
      <c r="AI2301" s="1390"/>
      <c r="AJ2301" s="2282"/>
      <c r="AK2301" s="2282"/>
      <c r="AL2301" s="1037"/>
      <c r="AX2301" s="340">
        <v>321.02999999999997</v>
      </c>
      <c r="AY2301" s="340" t="s">
        <v>341</v>
      </c>
      <c r="BN2301" s="340">
        <v>410.06</v>
      </c>
      <c r="BO2301" s="340" t="s">
        <v>314</v>
      </c>
      <c r="BP2301" s="1385"/>
      <c r="BV2301" s="236">
        <v>25.07</v>
      </c>
      <c r="BW2301" s="236" t="s">
        <v>329</v>
      </c>
      <c r="CB2301" s="340">
        <v>321.08</v>
      </c>
      <c r="CC2301" s="340" t="s">
        <v>341</v>
      </c>
      <c r="CL2301" s="236">
        <v>126</v>
      </c>
      <c r="CM2301" s="236" t="s">
        <v>338</v>
      </c>
      <c r="CR2301" s="340">
        <v>410.05</v>
      </c>
      <c r="CS2301" s="340" t="s">
        <v>314</v>
      </c>
      <c r="CT2301" s="1384"/>
      <c r="DF2301" s="340">
        <v>250.16</v>
      </c>
      <c r="DG2301" s="340" t="s">
        <v>342</v>
      </c>
      <c r="DV2301" s="340">
        <v>503.06</v>
      </c>
      <c r="DW2301" s="340" t="s">
        <v>335</v>
      </c>
      <c r="DX2301" s="1671"/>
    </row>
    <row r="2302" spans="12:128">
      <c r="L2302" s="2481">
        <v>252.1</v>
      </c>
      <c r="M2302" s="340" t="s">
        <v>342</v>
      </c>
      <c r="N2302" s="1390"/>
      <c r="O2302" s="2479"/>
      <c r="P2302" s="2282"/>
      <c r="AG2302" s="2297">
        <v>503.19</v>
      </c>
      <c r="AH2302" s="2297" t="s">
        <v>323</v>
      </c>
      <c r="AI2302" s="1390"/>
      <c r="AJ2302" s="2282"/>
      <c r="AK2302" s="2282"/>
      <c r="AL2302" s="1037"/>
      <c r="AX2302" s="340">
        <v>321.04000000000002</v>
      </c>
      <c r="AY2302" s="340" t="s">
        <v>341</v>
      </c>
      <c r="BN2302" s="340">
        <v>410.06</v>
      </c>
      <c r="BO2302" s="340" t="s">
        <v>339</v>
      </c>
      <c r="BP2302" s="1385"/>
      <c r="BV2302" s="236">
        <v>26.02</v>
      </c>
      <c r="BW2302" s="236" t="s">
        <v>329</v>
      </c>
      <c r="CB2302" s="340">
        <v>321.08999999999997</v>
      </c>
      <c r="CC2302" s="340" t="s">
        <v>341</v>
      </c>
      <c r="CL2302" s="236">
        <v>126.01</v>
      </c>
      <c r="CM2302" s="236" t="s">
        <v>302</v>
      </c>
      <c r="CR2302" s="340">
        <v>410.06</v>
      </c>
      <c r="CS2302" s="340" t="s">
        <v>314</v>
      </c>
      <c r="CT2302" s="1384"/>
      <c r="DF2302" s="340">
        <v>251.06</v>
      </c>
      <c r="DG2302" s="340" t="s">
        <v>342</v>
      </c>
      <c r="DV2302" s="340">
        <v>503.07</v>
      </c>
      <c r="DW2302" s="340" t="s">
        <v>335</v>
      </c>
      <c r="DX2302" s="1671"/>
    </row>
    <row r="2303" spans="12:128">
      <c r="L2303" s="2481">
        <v>254.07</v>
      </c>
      <c r="M2303" s="340" t="s">
        <v>342</v>
      </c>
      <c r="N2303" s="1390"/>
      <c r="O2303" s="2479"/>
      <c r="P2303" s="2282"/>
      <c r="AG2303" s="2297">
        <v>503.2</v>
      </c>
      <c r="AH2303" s="2297" t="s">
        <v>323</v>
      </c>
      <c r="AI2303" s="1390"/>
      <c r="AJ2303" s="2282"/>
      <c r="AK2303" s="2282"/>
      <c r="AL2303" s="1037"/>
      <c r="AX2303" s="340">
        <v>321.05</v>
      </c>
      <c r="AY2303" s="340" t="s">
        <v>341</v>
      </c>
      <c r="BN2303" s="340">
        <v>411.04</v>
      </c>
      <c r="BO2303" s="340" t="s">
        <v>314</v>
      </c>
      <c r="BP2303" s="1385"/>
      <c r="BV2303" s="236">
        <v>26.04</v>
      </c>
      <c r="BW2303" s="236" t="s">
        <v>329</v>
      </c>
      <c r="CB2303" s="340">
        <v>321.10000000000002</v>
      </c>
      <c r="CC2303" s="340" t="s">
        <v>341</v>
      </c>
      <c r="CL2303" s="236">
        <v>126.01</v>
      </c>
      <c r="CM2303" s="236" t="s">
        <v>331</v>
      </c>
      <c r="CR2303" s="340">
        <v>410.06</v>
      </c>
      <c r="CS2303" s="340" t="s">
        <v>339</v>
      </c>
      <c r="CT2303" s="1384"/>
      <c r="DF2303" s="340">
        <v>251.07</v>
      </c>
      <c r="DG2303" s="340" t="s">
        <v>342</v>
      </c>
      <c r="DV2303" s="340">
        <v>503.08</v>
      </c>
      <c r="DW2303" s="340" t="s">
        <v>335</v>
      </c>
      <c r="DX2303" s="1671"/>
    </row>
    <row r="2304" spans="12:128">
      <c r="L2304" s="2481">
        <v>254.12</v>
      </c>
      <c r="M2304" s="340" t="s">
        <v>342</v>
      </c>
      <c r="N2304" s="1390"/>
      <c r="O2304" s="2479"/>
      <c r="P2304" s="2282"/>
      <c r="AG2304" s="2297">
        <v>503.21</v>
      </c>
      <c r="AH2304" s="2297" t="s">
        <v>323</v>
      </c>
      <c r="AI2304" s="1390"/>
      <c r="AJ2304" s="2282"/>
      <c r="AK2304" s="2282"/>
      <c r="AL2304" s="1037"/>
      <c r="AX2304" s="340">
        <v>321.06</v>
      </c>
      <c r="AY2304" s="340" t="s">
        <v>341</v>
      </c>
      <c r="BN2304" s="340">
        <v>411.06</v>
      </c>
      <c r="BO2304" s="340" t="s">
        <v>314</v>
      </c>
      <c r="BP2304" s="1385"/>
      <c r="BV2304" s="236">
        <v>26.05</v>
      </c>
      <c r="BW2304" s="236" t="s">
        <v>329</v>
      </c>
      <c r="CB2304" s="340">
        <v>321.11</v>
      </c>
      <c r="CC2304" s="340" t="s">
        <v>341</v>
      </c>
      <c r="CL2304" s="236">
        <v>126.01</v>
      </c>
      <c r="CM2304" s="236" t="s">
        <v>344</v>
      </c>
      <c r="CR2304" s="340">
        <v>411.04</v>
      </c>
      <c r="CS2304" s="340" t="s">
        <v>314</v>
      </c>
      <c r="CT2304" s="1384"/>
      <c r="DF2304" s="340">
        <v>251.08</v>
      </c>
      <c r="DG2304" s="340" t="s">
        <v>342</v>
      </c>
      <c r="DV2304" s="340">
        <v>503.1</v>
      </c>
      <c r="DW2304" s="340" t="s">
        <v>335</v>
      </c>
      <c r="DX2304" s="1671"/>
    </row>
    <row r="2305" spans="12:128">
      <c r="L2305" s="2481">
        <v>255.01</v>
      </c>
      <c r="M2305" s="340" t="s">
        <v>342</v>
      </c>
      <c r="N2305" s="1390"/>
      <c r="O2305" s="2479"/>
      <c r="P2305" s="2282"/>
      <c r="AG2305" s="2297">
        <v>503.22</v>
      </c>
      <c r="AH2305" s="2297" t="s">
        <v>323</v>
      </c>
      <c r="AI2305" s="1390"/>
      <c r="AJ2305" s="2282"/>
      <c r="AK2305" s="2282"/>
      <c r="AL2305" s="1037"/>
      <c r="AX2305" s="340">
        <v>321.07</v>
      </c>
      <c r="AY2305" s="340" t="s">
        <v>341</v>
      </c>
      <c r="BN2305" s="340">
        <v>412.03</v>
      </c>
      <c r="BO2305" s="340" t="s">
        <v>314</v>
      </c>
      <c r="BP2305" s="1385"/>
      <c r="BV2305" s="236">
        <v>26.07</v>
      </c>
      <c r="BW2305" s="236" t="s">
        <v>329</v>
      </c>
      <c r="CB2305" s="340">
        <v>321.12</v>
      </c>
      <c r="CC2305" s="340" t="s">
        <v>341</v>
      </c>
      <c r="CL2305" s="236">
        <v>126.02</v>
      </c>
      <c r="CM2305" s="236" t="s">
        <v>302</v>
      </c>
      <c r="CR2305" s="340">
        <v>412.01</v>
      </c>
      <c r="CS2305" s="340" t="s">
        <v>314</v>
      </c>
      <c r="CT2305" s="1384"/>
      <c r="DF2305" s="340">
        <v>251.1</v>
      </c>
      <c r="DG2305" s="340" t="s">
        <v>342</v>
      </c>
      <c r="DV2305" s="340">
        <v>503.11</v>
      </c>
      <c r="DW2305" s="340" t="s">
        <v>323</v>
      </c>
      <c r="DX2305" s="1671"/>
    </row>
    <row r="2306" spans="12:128">
      <c r="L2306" s="2481">
        <v>255.1</v>
      </c>
      <c r="M2306" s="340" t="s">
        <v>342</v>
      </c>
      <c r="N2306" s="1390"/>
      <c r="O2306" s="2479"/>
      <c r="P2306" s="2282"/>
      <c r="AG2306" s="2297">
        <v>503.23</v>
      </c>
      <c r="AH2306" s="2297" t="s">
        <v>323</v>
      </c>
      <c r="AI2306" s="1390"/>
      <c r="AJ2306" s="2282"/>
      <c r="AK2306" s="2282"/>
      <c r="AL2306" s="1037"/>
      <c r="AX2306" s="340">
        <v>321.08</v>
      </c>
      <c r="AY2306" s="340" t="s">
        <v>341</v>
      </c>
      <c r="BN2306" s="340">
        <v>413.02</v>
      </c>
      <c r="BO2306" s="340" t="s">
        <v>339</v>
      </c>
      <c r="BP2306" s="1385"/>
      <c r="BV2306" s="236">
        <v>26.08</v>
      </c>
      <c r="BW2306" s="236" t="s">
        <v>329</v>
      </c>
      <c r="CB2306" s="340">
        <v>321.13</v>
      </c>
      <c r="CC2306" s="340" t="s">
        <v>341</v>
      </c>
      <c r="CL2306" s="236">
        <v>126.02</v>
      </c>
      <c r="CM2306" s="236" t="s">
        <v>331</v>
      </c>
      <c r="CR2306" s="340">
        <v>412.03</v>
      </c>
      <c r="CS2306" s="340" t="s">
        <v>314</v>
      </c>
      <c r="CT2306" s="1384"/>
      <c r="DF2306" s="340">
        <v>251.12</v>
      </c>
      <c r="DG2306" s="340" t="s">
        <v>342</v>
      </c>
      <c r="DV2306" s="340">
        <v>503.12</v>
      </c>
      <c r="DW2306" s="340" t="s">
        <v>323</v>
      </c>
      <c r="DX2306" s="1671"/>
    </row>
    <row r="2307" spans="12:128">
      <c r="L2307" s="2481">
        <v>257</v>
      </c>
      <c r="M2307" s="340" t="s">
        <v>342</v>
      </c>
      <c r="N2307" s="1390"/>
      <c r="O2307" s="2479"/>
      <c r="P2307" s="2282"/>
      <c r="AG2307" s="2297">
        <v>503.24</v>
      </c>
      <c r="AH2307" s="2297" t="s">
        <v>323</v>
      </c>
      <c r="AI2307" s="1390"/>
      <c r="AJ2307" s="2282"/>
      <c r="AK2307" s="2282"/>
      <c r="AL2307" s="1037"/>
      <c r="AX2307" s="340">
        <v>321.08999999999997</v>
      </c>
      <c r="AY2307" s="340" t="s">
        <v>341</v>
      </c>
      <c r="BN2307" s="340">
        <v>413.03</v>
      </c>
      <c r="BO2307" s="340" t="s">
        <v>314</v>
      </c>
      <c r="BP2307" s="1385"/>
      <c r="BV2307" s="236">
        <v>26.09</v>
      </c>
      <c r="BW2307" s="236" t="s">
        <v>329</v>
      </c>
      <c r="CB2307" s="340">
        <v>322</v>
      </c>
      <c r="CC2307" s="340" t="s">
        <v>341</v>
      </c>
      <c r="CL2307" s="236">
        <v>126.02</v>
      </c>
      <c r="CM2307" s="236" t="s">
        <v>344</v>
      </c>
      <c r="CR2307" s="340">
        <v>413.02</v>
      </c>
      <c r="CS2307" s="340" t="s">
        <v>339</v>
      </c>
      <c r="CT2307" s="1384"/>
      <c r="DF2307" s="340">
        <v>251.13</v>
      </c>
      <c r="DG2307" s="340" t="s">
        <v>342</v>
      </c>
      <c r="DV2307" s="340">
        <v>503.15</v>
      </c>
      <c r="DW2307" s="340" t="s">
        <v>323</v>
      </c>
      <c r="DX2307" s="1671"/>
    </row>
    <row r="2308" spans="12:128">
      <c r="L2308" s="2481">
        <v>259.02</v>
      </c>
      <c r="M2308" s="340" t="s">
        <v>342</v>
      </c>
      <c r="N2308" s="1390"/>
      <c r="O2308" s="2479"/>
      <c r="P2308" s="2282"/>
      <c r="AG2308" s="2297">
        <v>503.25</v>
      </c>
      <c r="AH2308" s="2297" t="s">
        <v>323</v>
      </c>
      <c r="AI2308" s="1390"/>
      <c r="AJ2308" s="2282"/>
      <c r="AK2308" s="2282"/>
      <c r="AL2308" s="1037"/>
      <c r="AX2308" s="340">
        <v>321.10000000000002</v>
      </c>
      <c r="AY2308" s="340" t="s">
        <v>341</v>
      </c>
      <c r="BN2308" s="340">
        <v>414.02</v>
      </c>
      <c r="BO2308" s="340" t="s">
        <v>314</v>
      </c>
      <c r="BP2308" s="1385"/>
      <c r="BV2308" s="236">
        <v>26.1</v>
      </c>
      <c r="BW2308" s="236" t="s">
        <v>329</v>
      </c>
      <c r="CB2308" s="340">
        <v>323</v>
      </c>
      <c r="CC2308" s="340" t="s">
        <v>341</v>
      </c>
      <c r="CL2308" s="236">
        <v>127.01</v>
      </c>
      <c r="CM2308" s="236" t="s">
        <v>316</v>
      </c>
      <c r="CR2308" s="340">
        <v>413.03</v>
      </c>
      <c r="CS2308" s="340" t="s">
        <v>314</v>
      </c>
      <c r="CT2308" s="1384"/>
      <c r="DF2308" s="340">
        <v>251.14</v>
      </c>
      <c r="DG2308" s="340" t="s">
        <v>342</v>
      </c>
      <c r="DV2308" s="340">
        <v>503.16</v>
      </c>
      <c r="DW2308" s="340" t="s">
        <v>323</v>
      </c>
      <c r="DX2308" s="1671"/>
    </row>
    <row r="2309" spans="12:128">
      <c r="L2309" s="2481">
        <v>260.01</v>
      </c>
      <c r="M2309" s="340" t="s">
        <v>342</v>
      </c>
      <c r="N2309" s="1390"/>
      <c r="O2309" s="2479"/>
      <c r="P2309" s="2282"/>
      <c r="AG2309" s="2297">
        <v>504.01</v>
      </c>
      <c r="AH2309" s="2297" t="s">
        <v>289</v>
      </c>
      <c r="AI2309" s="1390"/>
      <c r="AJ2309" s="2282"/>
      <c r="AK2309" s="2282"/>
      <c r="AL2309" s="1037"/>
      <c r="AX2309" s="340">
        <v>321.11</v>
      </c>
      <c r="AY2309" s="340" t="s">
        <v>341</v>
      </c>
      <c r="BN2309" s="340">
        <v>415.01</v>
      </c>
      <c r="BO2309" s="340" t="s">
        <v>314</v>
      </c>
      <c r="BP2309" s="1385"/>
      <c r="BV2309" s="236">
        <v>27.03</v>
      </c>
      <c r="BW2309" s="236" t="s">
        <v>329</v>
      </c>
      <c r="CB2309" s="340">
        <v>324.01</v>
      </c>
      <c r="CC2309" s="340" t="s">
        <v>341</v>
      </c>
      <c r="CL2309" s="236">
        <v>127.01</v>
      </c>
      <c r="CM2309" s="236" t="s">
        <v>331</v>
      </c>
      <c r="CR2309" s="340">
        <v>415.01</v>
      </c>
      <c r="CS2309" s="340" t="s">
        <v>314</v>
      </c>
      <c r="CT2309" s="1384"/>
      <c r="DF2309" s="340">
        <v>251.19</v>
      </c>
      <c r="DG2309" s="340" t="s">
        <v>342</v>
      </c>
      <c r="DV2309" s="340">
        <v>503.17</v>
      </c>
      <c r="DW2309" s="340" t="s">
        <v>323</v>
      </c>
      <c r="DX2309" s="1671"/>
    </row>
    <row r="2310" spans="12:128">
      <c r="L2310" s="2481">
        <v>260.02999999999997</v>
      </c>
      <c r="M2310" s="340" t="s">
        <v>342</v>
      </c>
      <c r="N2310" s="1390"/>
      <c r="O2310" s="2479"/>
      <c r="P2310" s="2282"/>
      <c r="AG2310" s="2297">
        <v>504.01</v>
      </c>
      <c r="AH2310" s="2297" t="s">
        <v>335</v>
      </c>
      <c r="AI2310" s="1390"/>
      <c r="AJ2310" s="2282"/>
      <c r="AK2310" s="2282"/>
      <c r="AL2310" s="1037"/>
      <c r="AX2310" s="340">
        <v>321.12</v>
      </c>
      <c r="AY2310" s="340" t="s">
        <v>341</v>
      </c>
      <c r="BN2310" s="340">
        <v>415.01</v>
      </c>
      <c r="BO2310" s="340" t="s">
        <v>339</v>
      </c>
      <c r="BP2310" s="1385"/>
      <c r="BV2310" s="236">
        <v>27.04</v>
      </c>
      <c r="BW2310" s="236" t="s">
        <v>329</v>
      </c>
      <c r="CB2310" s="340">
        <v>325</v>
      </c>
      <c r="CC2310" s="340" t="s">
        <v>341</v>
      </c>
      <c r="CL2310" s="236">
        <v>127.01</v>
      </c>
      <c r="CM2310" s="236" t="s">
        <v>338</v>
      </c>
      <c r="CR2310" s="340">
        <v>415.01</v>
      </c>
      <c r="CS2310" s="340" t="s">
        <v>339</v>
      </c>
      <c r="CT2310" s="1384"/>
      <c r="DF2310" s="340">
        <v>251.2</v>
      </c>
      <c r="DG2310" s="340" t="s">
        <v>342</v>
      </c>
      <c r="DV2310" s="340">
        <v>503.18</v>
      </c>
      <c r="DW2310" s="340" t="s">
        <v>323</v>
      </c>
      <c r="DX2310" s="1671"/>
    </row>
    <row r="2311" spans="12:128">
      <c r="L2311" s="2481">
        <v>261.01</v>
      </c>
      <c r="M2311" s="340" t="s">
        <v>342</v>
      </c>
      <c r="N2311" s="1390"/>
      <c r="O2311" s="2479"/>
      <c r="P2311" s="2282"/>
      <c r="AG2311" s="2297">
        <v>504.02</v>
      </c>
      <c r="AH2311" s="2297" t="s">
        <v>289</v>
      </c>
      <c r="AI2311" s="1390"/>
      <c r="AJ2311" s="2282"/>
      <c r="AK2311" s="2282"/>
      <c r="AL2311" s="1037"/>
      <c r="AX2311" s="340">
        <v>321.13</v>
      </c>
      <c r="AY2311" s="340" t="s">
        <v>341</v>
      </c>
      <c r="BN2311" s="340">
        <v>415.02</v>
      </c>
      <c r="BO2311" s="340" t="s">
        <v>339</v>
      </c>
      <c r="BP2311" s="1385"/>
      <c r="BV2311" s="236">
        <v>27.05</v>
      </c>
      <c r="BW2311" s="236" t="s">
        <v>329</v>
      </c>
      <c r="CB2311" s="340">
        <v>326.02</v>
      </c>
      <c r="CC2311" s="340" t="s">
        <v>341</v>
      </c>
      <c r="CL2311" s="236">
        <v>127.01</v>
      </c>
      <c r="CM2311" s="236" t="s">
        <v>344</v>
      </c>
      <c r="CR2311" s="340">
        <v>415.02</v>
      </c>
      <c r="CS2311" s="340" t="s">
        <v>314</v>
      </c>
      <c r="CT2311" s="1384"/>
      <c r="DF2311" s="340">
        <v>251.21</v>
      </c>
      <c r="DG2311" s="340" t="s">
        <v>342</v>
      </c>
      <c r="DV2311" s="340">
        <v>503.19</v>
      </c>
      <c r="DW2311" s="340" t="s">
        <v>323</v>
      </c>
      <c r="DX2311" s="1671"/>
    </row>
    <row r="2312" spans="12:128">
      <c r="L2312" s="2481">
        <v>266.01</v>
      </c>
      <c r="M2312" s="340" t="s">
        <v>342</v>
      </c>
      <c r="N2312" s="1390"/>
      <c r="O2312" s="2479"/>
      <c r="P2312" s="2282"/>
      <c r="AG2312" s="2297">
        <v>504.02</v>
      </c>
      <c r="AH2312" s="2297" t="s">
        <v>318</v>
      </c>
      <c r="AI2312" s="1390"/>
      <c r="AJ2312" s="2282"/>
      <c r="AK2312" s="2282"/>
      <c r="AL2312" s="1037"/>
      <c r="AX2312" s="340">
        <v>322</v>
      </c>
      <c r="AY2312" s="340" t="s">
        <v>341</v>
      </c>
      <c r="BN2312" s="340">
        <v>416.01</v>
      </c>
      <c r="BO2312" s="340" t="s">
        <v>314</v>
      </c>
      <c r="BP2312" s="1385"/>
      <c r="BV2312" s="236">
        <v>27.06</v>
      </c>
      <c r="BW2312" s="236" t="s">
        <v>329</v>
      </c>
      <c r="CB2312" s="340">
        <v>327</v>
      </c>
      <c r="CC2312" s="340" t="s">
        <v>341</v>
      </c>
      <c r="CL2312" s="236">
        <v>127.02</v>
      </c>
      <c r="CM2312" s="236" t="s">
        <v>302</v>
      </c>
      <c r="CR2312" s="340">
        <v>415.02</v>
      </c>
      <c r="CS2312" s="340" t="s">
        <v>339</v>
      </c>
      <c r="CT2312" s="1384"/>
      <c r="DF2312" s="340">
        <v>251.22</v>
      </c>
      <c r="DG2312" s="340" t="s">
        <v>342</v>
      </c>
      <c r="DV2312" s="340">
        <v>503.2</v>
      </c>
      <c r="DW2312" s="340" t="s">
        <v>323</v>
      </c>
      <c r="DX2312" s="1671"/>
    </row>
    <row r="2313" spans="12:128">
      <c r="L2313" s="2481">
        <v>267.04000000000002</v>
      </c>
      <c r="M2313" s="340" t="s">
        <v>342</v>
      </c>
      <c r="N2313" s="1390"/>
      <c r="O2313" s="2479"/>
      <c r="P2313" s="2282"/>
      <c r="AG2313" s="2297">
        <v>504.02</v>
      </c>
      <c r="AH2313" s="2297" t="s">
        <v>323</v>
      </c>
      <c r="AI2313" s="1390"/>
      <c r="AJ2313" s="2282"/>
      <c r="AK2313" s="2282"/>
      <c r="AL2313" s="1037"/>
      <c r="AX2313" s="340">
        <v>323</v>
      </c>
      <c r="AY2313" s="340" t="s">
        <v>341</v>
      </c>
      <c r="BN2313" s="340">
        <v>418.01</v>
      </c>
      <c r="BO2313" s="340" t="s">
        <v>289</v>
      </c>
      <c r="BP2313" s="1385"/>
      <c r="BV2313" s="236">
        <v>9800</v>
      </c>
      <c r="BW2313" s="236" t="s">
        <v>329</v>
      </c>
      <c r="CB2313" s="340">
        <v>328.02</v>
      </c>
      <c r="CC2313" s="340" t="s">
        <v>341</v>
      </c>
      <c r="CL2313" s="236">
        <v>127.02</v>
      </c>
      <c r="CM2313" s="236" t="s">
        <v>316</v>
      </c>
      <c r="CR2313" s="340">
        <v>416.01</v>
      </c>
      <c r="CS2313" s="340" t="s">
        <v>314</v>
      </c>
      <c r="CT2313" s="1384"/>
      <c r="DF2313" s="340">
        <v>251.23</v>
      </c>
      <c r="DG2313" s="340" t="s">
        <v>342</v>
      </c>
      <c r="DV2313" s="340">
        <v>503.21</v>
      </c>
      <c r="DW2313" s="340" t="s">
        <v>323</v>
      </c>
      <c r="DX2313" s="1671"/>
    </row>
    <row r="2314" spans="12:128">
      <c r="L2314" s="2481">
        <v>268.08999999999997</v>
      </c>
      <c r="M2314" s="340" t="s">
        <v>342</v>
      </c>
      <c r="N2314" s="1390"/>
      <c r="O2314" s="2479"/>
      <c r="P2314" s="2282"/>
      <c r="AG2314" s="2297">
        <v>505.01</v>
      </c>
      <c r="AH2314" s="2297" t="s">
        <v>289</v>
      </c>
      <c r="AI2314" s="1390"/>
      <c r="AJ2314" s="2282"/>
      <c r="AK2314" s="2282"/>
      <c r="AL2314" s="1037"/>
      <c r="AX2314" s="340">
        <v>324.01</v>
      </c>
      <c r="AY2314" s="340" t="s">
        <v>341</v>
      </c>
      <c r="BN2314" s="340">
        <v>419</v>
      </c>
      <c r="BO2314" s="340" t="s">
        <v>289</v>
      </c>
      <c r="BP2314" s="1385"/>
      <c r="BV2314" s="236">
        <v>9801</v>
      </c>
      <c r="BW2314" s="236" t="s">
        <v>329</v>
      </c>
      <c r="CB2314" s="340">
        <v>328.04</v>
      </c>
      <c r="CC2314" s="340" t="s">
        <v>341</v>
      </c>
      <c r="CL2314" s="236">
        <v>127.02</v>
      </c>
      <c r="CM2314" s="236" t="s">
        <v>331</v>
      </c>
      <c r="CR2314" s="340">
        <v>418.01</v>
      </c>
      <c r="CS2314" s="340" t="s">
        <v>289</v>
      </c>
      <c r="CT2314" s="1384"/>
      <c r="DF2314" s="340">
        <v>252.05</v>
      </c>
      <c r="DG2314" s="340" t="s">
        <v>342</v>
      </c>
      <c r="DV2314" s="340">
        <v>503.22</v>
      </c>
      <c r="DW2314" s="340" t="s">
        <v>323</v>
      </c>
      <c r="DX2314" s="1671"/>
    </row>
    <row r="2315" spans="12:128">
      <c r="L2315" s="2481">
        <v>268.11</v>
      </c>
      <c r="M2315" s="340" t="s">
        <v>342</v>
      </c>
      <c r="N2315" s="1390"/>
      <c r="O2315" s="2479"/>
      <c r="P2315" s="2282"/>
      <c r="AG2315" s="2297">
        <v>505.02</v>
      </c>
      <c r="AH2315" s="2297" t="s">
        <v>323</v>
      </c>
      <c r="AI2315" s="1390"/>
      <c r="AJ2315" s="2282"/>
      <c r="AK2315" s="2282"/>
      <c r="AL2315" s="1037"/>
      <c r="AX2315" s="340">
        <v>326.02</v>
      </c>
      <c r="AY2315" s="340" t="s">
        <v>341</v>
      </c>
      <c r="BN2315" s="340">
        <v>420</v>
      </c>
      <c r="BO2315" s="340" t="s">
        <v>289</v>
      </c>
      <c r="BP2315" s="1385"/>
      <c r="BV2315" s="236">
        <v>1</v>
      </c>
      <c r="BW2315" s="236" t="s">
        <v>330</v>
      </c>
      <c r="CB2315" s="340">
        <v>328.05</v>
      </c>
      <c r="CC2315" s="340" t="s">
        <v>341</v>
      </c>
      <c r="CL2315" s="236">
        <v>127.02</v>
      </c>
      <c r="CM2315" s="236" t="s">
        <v>344</v>
      </c>
      <c r="CR2315" s="340">
        <v>418.02</v>
      </c>
      <c r="CS2315" s="340" t="s">
        <v>289</v>
      </c>
      <c r="CT2315" s="1384"/>
      <c r="DF2315" s="340">
        <v>252.08</v>
      </c>
      <c r="DG2315" s="340" t="s">
        <v>342</v>
      </c>
      <c r="DV2315" s="340">
        <v>503.23</v>
      </c>
      <c r="DW2315" s="340" t="s">
        <v>323</v>
      </c>
      <c r="DX2315" s="1671"/>
    </row>
    <row r="2316" spans="12:128">
      <c r="L2316" s="2481">
        <v>268.12</v>
      </c>
      <c r="M2316" s="340" t="s">
        <v>342</v>
      </c>
      <c r="N2316" s="1390"/>
      <c r="O2316" s="2479"/>
      <c r="P2316" s="2282"/>
      <c r="AG2316" s="2297">
        <v>505.04</v>
      </c>
      <c r="AH2316" s="2297" t="s">
        <v>318</v>
      </c>
      <c r="AI2316" s="1390"/>
      <c r="AJ2316" s="2282"/>
      <c r="AK2316" s="2282"/>
      <c r="AL2316" s="1037"/>
      <c r="AX2316" s="340">
        <v>327</v>
      </c>
      <c r="AY2316" s="340" t="s">
        <v>341</v>
      </c>
      <c r="BN2316" s="340">
        <v>421</v>
      </c>
      <c r="BO2316" s="340" t="s">
        <v>289</v>
      </c>
      <c r="BP2316" s="1385"/>
      <c r="BV2316" s="236">
        <v>2</v>
      </c>
      <c r="BW2316" s="236" t="s">
        <v>330</v>
      </c>
      <c r="CB2316" s="340">
        <v>329.01</v>
      </c>
      <c r="CC2316" s="340" t="s">
        <v>341</v>
      </c>
      <c r="CL2316" s="236">
        <v>127.03</v>
      </c>
      <c r="CM2316" s="236" t="s">
        <v>302</v>
      </c>
      <c r="CR2316" s="340">
        <v>419</v>
      </c>
      <c r="CS2316" s="340" t="s">
        <v>289</v>
      </c>
      <c r="CT2316" s="1384"/>
      <c r="DF2316" s="340">
        <v>252.09</v>
      </c>
      <c r="DG2316" s="340" t="s">
        <v>342</v>
      </c>
      <c r="DV2316" s="340">
        <v>503.24</v>
      </c>
      <c r="DW2316" s="340" t="s">
        <v>323</v>
      </c>
      <c r="DX2316" s="1671"/>
    </row>
    <row r="2317" spans="12:128">
      <c r="L2317" s="2481">
        <v>268.14999999999998</v>
      </c>
      <c r="M2317" s="340" t="s">
        <v>342</v>
      </c>
      <c r="N2317" s="1390"/>
      <c r="O2317" s="2479"/>
      <c r="P2317" s="2282"/>
      <c r="AG2317" s="2297">
        <v>505.05</v>
      </c>
      <c r="AH2317" s="2297" t="s">
        <v>318</v>
      </c>
      <c r="AI2317" s="1390"/>
      <c r="AJ2317" s="2282"/>
      <c r="AK2317" s="2282"/>
      <c r="AL2317" s="1037"/>
      <c r="AX2317" s="340">
        <v>328.02</v>
      </c>
      <c r="AY2317" s="340" t="s">
        <v>341</v>
      </c>
      <c r="BN2317" s="340">
        <v>422</v>
      </c>
      <c r="BO2317" s="340" t="s">
        <v>289</v>
      </c>
      <c r="BP2317" s="1385"/>
      <c r="BV2317" s="236">
        <v>3</v>
      </c>
      <c r="BW2317" s="236" t="s">
        <v>330</v>
      </c>
      <c r="CB2317" s="340">
        <v>329.02</v>
      </c>
      <c r="CC2317" s="340" t="s">
        <v>341</v>
      </c>
      <c r="CL2317" s="236">
        <v>127.04</v>
      </c>
      <c r="CM2317" s="236" t="s">
        <v>302</v>
      </c>
      <c r="CR2317" s="340">
        <v>420</v>
      </c>
      <c r="CS2317" s="340" t="s">
        <v>289</v>
      </c>
      <c r="CT2317" s="1384"/>
      <c r="DF2317" s="340">
        <v>252.1</v>
      </c>
      <c r="DG2317" s="340" t="s">
        <v>342</v>
      </c>
      <c r="DV2317" s="340">
        <v>503.25</v>
      </c>
      <c r="DW2317" s="340" t="s">
        <v>323</v>
      </c>
      <c r="DX2317" s="1671"/>
    </row>
    <row r="2318" spans="12:128">
      <c r="L2318" s="2481">
        <v>268.16000000000003</v>
      </c>
      <c r="M2318" s="340" t="s">
        <v>342</v>
      </c>
      <c r="N2318" s="1390"/>
      <c r="O2318" s="2479"/>
      <c r="P2318" s="2282"/>
      <c r="AG2318" s="2297">
        <v>505.06</v>
      </c>
      <c r="AH2318" s="2297" t="s">
        <v>318</v>
      </c>
      <c r="AI2318" s="1390"/>
      <c r="AJ2318" s="2282"/>
      <c r="AK2318" s="2282"/>
      <c r="AL2318" s="1037"/>
      <c r="AX2318" s="340">
        <v>328.04</v>
      </c>
      <c r="AY2318" s="340" t="s">
        <v>341</v>
      </c>
      <c r="BN2318" s="340">
        <v>423.01</v>
      </c>
      <c r="BO2318" s="340" t="s">
        <v>289</v>
      </c>
      <c r="BP2318" s="1385"/>
      <c r="BV2318" s="236">
        <v>4</v>
      </c>
      <c r="BW2318" s="236" t="s">
        <v>330</v>
      </c>
      <c r="CB2318" s="340">
        <v>330.05</v>
      </c>
      <c r="CC2318" s="340" t="s">
        <v>341</v>
      </c>
      <c r="CL2318" s="236">
        <v>128</v>
      </c>
      <c r="CM2318" s="236" t="s">
        <v>302</v>
      </c>
      <c r="CR2318" s="340">
        <v>421</v>
      </c>
      <c r="CS2318" s="340" t="s">
        <v>289</v>
      </c>
      <c r="CT2318" s="1384"/>
      <c r="DF2318" s="340">
        <v>254.01</v>
      </c>
      <c r="DG2318" s="340" t="s">
        <v>342</v>
      </c>
      <c r="DV2318" s="340">
        <v>504.01</v>
      </c>
      <c r="DW2318" s="340" t="s">
        <v>289</v>
      </c>
      <c r="DX2318" s="1671"/>
    </row>
    <row r="2319" spans="12:128">
      <c r="L2319" s="2481">
        <v>268.17</v>
      </c>
      <c r="M2319" s="340" t="s">
        <v>342</v>
      </c>
      <c r="N2319" s="1390"/>
      <c r="O2319" s="2479"/>
      <c r="P2319" s="2282"/>
      <c r="AG2319" s="2297">
        <v>505.06</v>
      </c>
      <c r="AH2319" s="2297" t="s">
        <v>335</v>
      </c>
      <c r="AI2319" s="1390"/>
      <c r="AJ2319" s="2282"/>
      <c r="AK2319" s="2282"/>
      <c r="AL2319" s="1037"/>
      <c r="AX2319" s="340">
        <v>328.05</v>
      </c>
      <c r="AY2319" s="340" t="s">
        <v>341</v>
      </c>
      <c r="BN2319" s="340">
        <v>423.02</v>
      </c>
      <c r="BO2319" s="340" t="s">
        <v>289</v>
      </c>
      <c r="BP2319" s="1385"/>
      <c r="BV2319" s="236">
        <v>5.01</v>
      </c>
      <c r="BW2319" s="236" t="s">
        <v>330</v>
      </c>
      <c r="CB2319" s="340">
        <v>330.06</v>
      </c>
      <c r="CC2319" s="340" t="s">
        <v>341</v>
      </c>
      <c r="CL2319" s="236">
        <v>128</v>
      </c>
      <c r="CM2319" s="236" t="s">
        <v>316</v>
      </c>
      <c r="CR2319" s="340">
        <v>422</v>
      </c>
      <c r="CS2319" s="340" t="s">
        <v>289</v>
      </c>
      <c r="CT2319" s="1384"/>
      <c r="DF2319" s="340">
        <v>254.07</v>
      </c>
      <c r="DG2319" s="340" t="s">
        <v>342</v>
      </c>
      <c r="DV2319" s="340">
        <v>504.02</v>
      </c>
      <c r="DW2319" s="340" t="s">
        <v>289</v>
      </c>
      <c r="DX2319" s="1671"/>
    </row>
    <row r="2320" spans="12:128">
      <c r="L2320" s="2481">
        <v>268.2</v>
      </c>
      <c r="M2320" s="340" t="s">
        <v>342</v>
      </c>
      <c r="N2320" s="1390"/>
      <c r="O2320" s="2479"/>
      <c r="P2320" s="2282"/>
      <c r="AG2320" s="2297">
        <v>505.07</v>
      </c>
      <c r="AH2320" s="2297" t="s">
        <v>318</v>
      </c>
      <c r="AI2320" s="1390"/>
      <c r="AJ2320" s="2282"/>
      <c r="AK2320" s="2282"/>
      <c r="AL2320" s="1037"/>
      <c r="AX2320" s="340">
        <v>329.02</v>
      </c>
      <c r="AY2320" s="340" t="s">
        <v>341</v>
      </c>
      <c r="BN2320" s="340">
        <v>424</v>
      </c>
      <c r="BO2320" s="340" t="s">
        <v>289</v>
      </c>
      <c r="BP2320" s="1385"/>
      <c r="BV2320" s="236">
        <v>5.0199999999999996</v>
      </c>
      <c r="BW2320" s="236" t="s">
        <v>330</v>
      </c>
      <c r="CB2320" s="340">
        <v>331.02</v>
      </c>
      <c r="CC2320" s="340" t="s">
        <v>341</v>
      </c>
      <c r="CL2320" s="236">
        <v>128</v>
      </c>
      <c r="CM2320" s="236" t="s">
        <v>338</v>
      </c>
      <c r="CR2320" s="340">
        <v>422.01</v>
      </c>
      <c r="CS2320" s="340" t="s">
        <v>339</v>
      </c>
      <c r="CT2320" s="1384"/>
      <c r="DF2320" s="340">
        <v>254.11</v>
      </c>
      <c r="DG2320" s="340" t="s">
        <v>342</v>
      </c>
      <c r="DV2320" s="340">
        <v>504.02</v>
      </c>
      <c r="DW2320" s="340" t="s">
        <v>323</v>
      </c>
      <c r="DX2320" s="1671"/>
    </row>
    <row r="2321" spans="12:128">
      <c r="L2321" s="2481">
        <v>268.20999999999998</v>
      </c>
      <c r="M2321" s="340" t="s">
        <v>342</v>
      </c>
      <c r="N2321" s="1390"/>
      <c r="O2321" s="2479"/>
      <c r="P2321" s="2282"/>
      <c r="AG2321" s="2297">
        <v>505.08</v>
      </c>
      <c r="AH2321" s="2297" t="s">
        <v>318</v>
      </c>
      <c r="AI2321" s="1390"/>
      <c r="AJ2321" s="2282"/>
      <c r="AK2321" s="2282"/>
      <c r="AL2321" s="1037"/>
      <c r="AX2321" s="340">
        <v>330.05</v>
      </c>
      <c r="AY2321" s="340" t="s">
        <v>341</v>
      </c>
      <c r="BN2321" s="340">
        <v>424</v>
      </c>
      <c r="BO2321" s="340" t="s">
        <v>339</v>
      </c>
      <c r="BP2321" s="1385"/>
      <c r="BV2321" s="236">
        <v>6.03</v>
      </c>
      <c r="BW2321" s="236" t="s">
        <v>330</v>
      </c>
      <c r="CB2321" s="340">
        <v>201.05</v>
      </c>
      <c r="CC2321" s="340" t="s">
        <v>342</v>
      </c>
      <c r="CL2321" s="236">
        <v>128.01</v>
      </c>
      <c r="CM2321" s="236" t="s">
        <v>331</v>
      </c>
      <c r="CR2321" s="340">
        <v>423.01</v>
      </c>
      <c r="CS2321" s="340" t="s">
        <v>289</v>
      </c>
      <c r="CT2321" s="1384"/>
      <c r="DF2321" s="340">
        <v>254.12</v>
      </c>
      <c r="DG2321" s="340" t="s">
        <v>342</v>
      </c>
      <c r="DV2321" s="340">
        <v>504.02</v>
      </c>
      <c r="DW2321" s="340" t="s">
        <v>335</v>
      </c>
      <c r="DX2321" s="1671"/>
    </row>
    <row r="2322" spans="12:128">
      <c r="L2322" s="2481">
        <v>269.08</v>
      </c>
      <c r="M2322" s="340" t="s">
        <v>342</v>
      </c>
      <c r="N2322" s="1390"/>
      <c r="O2322" s="2479"/>
      <c r="P2322" s="2282"/>
      <c r="AG2322" s="2297">
        <v>505.09</v>
      </c>
      <c r="AH2322" s="2297" t="s">
        <v>318</v>
      </c>
      <c r="AI2322" s="1390"/>
      <c r="AJ2322" s="2282"/>
      <c r="AK2322" s="2282"/>
      <c r="AL2322" s="1037"/>
      <c r="AX2322" s="340">
        <v>330.06</v>
      </c>
      <c r="AY2322" s="340" t="s">
        <v>341</v>
      </c>
      <c r="BN2322" s="340">
        <v>425.01</v>
      </c>
      <c r="BO2322" s="340" t="s">
        <v>289</v>
      </c>
      <c r="BP2322" s="1385"/>
      <c r="BV2322" s="236">
        <v>6.04</v>
      </c>
      <c r="BW2322" s="236" t="s">
        <v>330</v>
      </c>
      <c r="CB2322" s="340">
        <v>201.06</v>
      </c>
      <c r="CC2322" s="340" t="s">
        <v>342</v>
      </c>
      <c r="CL2322" s="236">
        <v>128.02000000000001</v>
      </c>
      <c r="CM2322" s="236" t="s">
        <v>331</v>
      </c>
      <c r="CR2322" s="340">
        <v>423.02</v>
      </c>
      <c r="CS2322" s="340" t="s">
        <v>289</v>
      </c>
      <c r="CT2322" s="1384"/>
      <c r="DF2322" s="340">
        <v>255.01</v>
      </c>
      <c r="DG2322" s="340" t="s">
        <v>342</v>
      </c>
      <c r="DV2322" s="340">
        <v>505.01</v>
      </c>
      <c r="DW2322" s="340" t="s">
        <v>289</v>
      </c>
      <c r="DX2322" s="1671"/>
    </row>
    <row r="2323" spans="12:128">
      <c r="L2323" s="2481">
        <v>269.08999999999997</v>
      </c>
      <c r="M2323" s="340" t="s">
        <v>342</v>
      </c>
      <c r="N2323" s="1390"/>
      <c r="O2323" s="2479"/>
      <c r="P2323" s="2282"/>
      <c r="AG2323" s="2297">
        <v>506.01</v>
      </c>
      <c r="AH2323" s="2297" t="s">
        <v>289</v>
      </c>
      <c r="AI2323" s="1390"/>
      <c r="AJ2323" s="2282"/>
      <c r="AK2323" s="2282"/>
      <c r="AL2323" s="1037"/>
      <c r="AX2323" s="340">
        <v>330.08</v>
      </c>
      <c r="AY2323" s="340" t="s">
        <v>341</v>
      </c>
      <c r="BN2323" s="340">
        <v>425.02</v>
      </c>
      <c r="BO2323" s="340" t="s">
        <v>289</v>
      </c>
      <c r="BP2323" s="1385"/>
      <c r="BV2323" s="236">
        <v>6.06</v>
      </c>
      <c r="BW2323" s="236" t="s">
        <v>330</v>
      </c>
      <c r="CB2323" s="340">
        <v>201.07</v>
      </c>
      <c r="CC2323" s="340" t="s">
        <v>342</v>
      </c>
      <c r="CL2323" s="236">
        <v>128.02000000000001</v>
      </c>
      <c r="CM2323" s="236" t="s">
        <v>344</v>
      </c>
      <c r="CR2323" s="340">
        <v>424</v>
      </c>
      <c r="CS2323" s="340" t="s">
        <v>289</v>
      </c>
      <c r="CT2323" s="1384"/>
      <c r="DF2323" s="340">
        <v>255.08</v>
      </c>
      <c r="DG2323" s="340" t="s">
        <v>342</v>
      </c>
      <c r="DV2323" s="340">
        <v>505.02</v>
      </c>
      <c r="DW2323" s="340" t="s">
        <v>289</v>
      </c>
      <c r="DX2323" s="1671"/>
    </row>
    <row r="2324" spans="12:128">
      <c r="L2324" s="2481">
        <v>269.11</v>
      </c>
      <c r="M2324" s="340" t="s">
        <v>342</v>
      </c>
      <c r="N2324" s="1390"/>
      <c r="O2324" s="2479"/>
      <c r="P2324" s="2282"/>
      <c r="AG2324" s="2297">
        <v>506.01</v>
      </c>
      <c r="AH2324" s="2297" t="s">
        <v>318</v>
      </c>
      <c r="AI2324" s="1390"/>
      <c r="AJ2324" s="2282"/>
      <c r="AK2324" s="2282"/>
      <c r="AL2324" s="1037"/>
      <c r="AX2324" s="340">
        <v>331.02</v>
      </c>
      <c r="AY2324" s="340" t="s">
        <v>341</v>
      </c>
      <c r="BN2324" s="340">
        <v>426.01</v>
      </c>
      <c r="BO2324" s="340" t="s">
        <v>289</v>
      </c>
      <c r="BP2324" s="1385"/>
      <c r="BV2324" s="236">
        <v>6.07</v>
      </c>
      <c r="BW2324" s="236" t="s">
        <v>330</v>
      </c>
      <c r="CB2324" s="340">
        <v>201.08</v>
      </c>
      <c r="CC2324" s="340" t="s">
        <v>342</v>
      </c>
      <c r="CL2324" s="236">
        <v>128.03</v>
      </c>
      <c r="CM2324" s="236" t="s">
        <v>344</v>
      </c>
      <c r="CR2324" s="340">
        <v>424</v>
      </c>
      <c r="CS2324" s="340" t="s">
        <v>339</v>
      </c>
      <c r="CT2324" s="1384"/>
      <c r="DF2324" s="340">
        <v>255.1</v>
      </c>
      <c r="DG2324" s="340" t="s">
        <v>342</v>
      </c>
      <c r="DV2324" s="340">
        <v>505.02</v>
      </c>
      <c r="DW2324" s="340" t="s">
        <v>323</v>
      </c>
      <c r="DX2324" s="1671"/>
    </row>
    <row r="2325" spans="12:128">
      <c r="L2325" s="2481">
        <v>269.13</v>
      </c>
      <c r="M2325" s="340" t="s">
        <v>342</v>
      </c>
      <c r="N2325" s="1390"/>
      <c r="O2325" s="2479"/>
      <c r="P2325" s="2282"/>
      <c r="AG2325" s="2297">
        <v>506.02</v>
      </c>
      <c r="AH2325" s="2297" t="s">
        <v>289</v>
      </c>
      <c r="AI2325" s="1390"/>
      <c r="AJ2325" s="2282"/>
      <c r="AK2325" s="2282"/>
      <c r="AL2325" s="1037"/>
      <c r="AX2325" s="340">
        <v>201.05</v>
      </c>
      <c r="AY2325" s="340" t="s">
        <v>342</v>
      </c>
      <c r="BN2325" s="340">
        <v>426.02</v>
      </c>
      <c r="BO2325" s="340" t="s">
        <v>289</v>
      </c>
      <c r="BP2325" s="1385"/>
      <c r="BV2325" s="236">
        <v>6.1</v>
      </c>
      <c r="BW2325" s="236" t="s">
        <v>330</v>
      </c>
      <c r="CB2325" s="340">
        <v>201.1</v>
      </c>
      <c r="CC2325" s="340" t="s">
        <v>342</v>
      </c>
      <c r="CL2325" s="236">
        <v>128.04</v>
      </c>
      <c r="CM2325" s="236" t="s">
        <v>344</v>
      </c>
      <c r="CR2325" s="340">
        <v>425.01</v>
      </c>
      <c r="CS2325" s="340" t="s">
        <v>289</v>
      </c>
      <c r="CT2325" s="1384"/>
      <c r="DF2325" s="340">
        <v>257</v>
      </c>
      <c r="DG2325" s="340" t="s">
        <v>342</v>
      </c>
      <c r="DV2325" s="340">
        <v>505.04</v>
      </c>
      <c r="DW2325" s="340" t="s">
        <v>318</v>
      </c>
      <c r="DX2325" s="1671"/>
    </row>
    <row r="2326" spans="12:128">
      <c r="L2326" s="2481">
        <v>269.14999999999998</v>
      </c>
      <c r="M2326" s="340" t="s">
        <v>342</v>
      </c>
      <c r="N2326" s="1390"/>
      <c r="O2326" s="2479"/>
      <c r="P2326" s="2282"/>
      <c r="AG2326" s="2297">
        <v>506.02</v>
      </c>
      <c r="AH2326" s="2297" t="s">
        <v>318</v>
      </c>
      <c r="AI2326" s="1390"/>
      <c r="AJ2326" s="2282"/>
      <c r="AK2326" s="2282"/>
      <c r="AL2326" s="1037"/>
      <c r="AX2326" s="340">
        <v>201.06</v>
      </c>
      <c r="AY2326" s="340" t="s">
        <v>342</v>
      </c>
      <c r="BN2326" s="340">
        <v>427.01</v>
      </c>
      <c r="BO2326" s="340" t="s">
        <v>339</v>
      </c>
      <c r="BP2326" s="1385"/>
      <c r="BV2326" s="236">
        <v>7.01</v>
      </c>
      <c r="BW2326" s="236" t="s">
        <v>330</v>
      </c>
      <c r="CB2326" s="340">
        <v>202.01</v>
      </c>
      <c r="CC2326" s="340" t="s">
        <v>342</v>
      </c>
      <c r="CL2326" s="236">
        <v>129</v>
      </c>
      <c r="CM2326" s="236" t="s">
        <v>302</v>
      </c>
      <c r="CR2326" s="340">
        <v>425.02</v>
      </c>
      <c r="CS2326" s="340" t="s">
        <v>289</v>
      </c>
      <c r="CT2326" s="1384"/>
      <c r="DF2326" s="340">
        <v>260.01</v>
      </c>
      <c r="DG2326" s="340" t="s">
        <v>342</v>
      </c>
      <c r="DV2326" s="340">
        <v>505.05</v>
      </c>
      <c r="DW2326" s="340" t="s">
        <v>318</v>
      </c>
      <c r="DX2326" s="1671"/>
    </row>
    <row r="2327" spans="12:128">
      <c r="L2327" s="2481">
        <v>269.16000000000003</v>
      </c>
      <c r="M2327" s="340" t="s">
        <v>342</v>
      </c>
      <c r="N2327" s="1390"/>
      <c r="O2327" s="2479"/>
      <c r="P2327" s="2282"/>
      <c r="AG2327" s="2297">
        <v>506.03</v>
      </c>
      <c r="AH2327" s="2297" t="s">
        <v>318</v>
      </c>
      <c r="AI2327" s="1390"/>
      <c r="AJ2327" s="2282"/>
      <c r="AK2327" s="2282"/>
      <c r="AL2327" s="1037"/>
      <c r="AX2327" s="340">
        <v>201.07</v>
      </c>
      <c r="AY2327" s="340" t="s">
        <v>342</v>
      </c>
      <c r="BN2327" s="340">
        <v>428</v>
      </c>
      <c r="BO2327" s="340" t="s">
        <v>339</v>
      </c>
      <c r="BP2327" s="1385"/>
      <c r="BV2327" s="236">
        <v>7.02</v>
      </c>
      <c r="BW2327" s="236" t="s">
        <v>330</v>
      </c>
      <c r="CB2327" s="340">
        <v>202.02</v>
      </c>
      <c r="CC2327" s="340" t="s">
        <v>342</v>
      </c>
      <c r="CL2327" s="236">
        <v>129</v>
      </c>
      <c r="CM2327" s="236" t="s">
        <v>316</v>
      </c>
      <c r="CR2327" s="340">
        <v>426.01</v>
      </c>
      <c r="CS2327" s="340" t="s">
        <v>289</v>
      </c>
      <c r="CT2327" s="1384"/>
      <c r="DF2327" s="340">
        <v>260.02999999999997</v>
      </c>
      <c r="DG2327" s="340" t="s">
        <v>342</v>
      </c>
      <c r="DV2327" s="340">
        <v>505.06</v>
      </c>
      <c r="DW2327" s="340" t="s">
        <v>318</v>
      </c>
      <c r="DX2327" s="1671"/>
    </row>
    <row r="2328" spans="12:128">
      <c r="L2328" s="2481">
        <v>270</v>
      </c>
      <c r="M2328" s="340" t="s">
        <v>342</v>
      </c>
      <c r="N2328" s="1390"/>
      <c r="O2328" s="2479"/>
      <c r="P2328" s="2282"/>
      <c r="AG2328" s="2297">
        <v>506.04</v>
      </c>
      <c r="AH2328" s="2297" t="s">
        <v>323</v>
      </c>
      <c r="AI2328" s="1390"/>
      <c r="AJ2328" s="2282"/>
      <c r="AK2328" s="2282"/>
      <c r="AL2328" s="1037"/>
      <c r="AX2328" s="340">
        <v>201.08</v>
      </c>
      <c r="AY2328" s="340" t="s">
        <v>342</v>
      </c>
      <c r="BN2328" s="340">
        <v>429.03</v>
      </c>
      <c r="BO2328" s="340" t="s">
        <v>339</v>
      </c>
      <c r="BP2328" s="1385"/>
      <c r="BV2328" s="236">
        <v>8</v>
      </c>
      <c r="BW2328" s="236" t="s">
        <v>330</v>
      </c>
      <c r="CB2328" s="340">
        <v>202.06</v>
      </c>
      <c r="CC2328" s="340" t="s">
        <v>342</v>
      </c>
      <c r="CL2328" s="236">
        <v>129</v>
      </c>
      <c r="CM2328" s="236" t="s">
        <v>331</v>
      </c>
      <c r="CR2328" s="340">
        <v>426.02</v>
      </c>
      <c r="CS2328" s="340" t="s">
        <v>289</v>
      </c>
      <c r="CT2328" s="1384"/>
      <c r="DF2328" s="340">
        <v>260.04000000000002</v>
      </c>
      <c r="DG2328" s="340" t="s">
        <v>342</v>
      </c>
      <c r="DV2328" s="340">
        <v>505.06</v>
      </c>
      <c r="DW2328" s="340" t="s">
        <v>335</v>
      </c>
      <c r="DX2328" s="1671"/>
    </row>
    <row r="2329" spans="12:128">
      <c r="L2329" s="2481">
        <v>271.05</v>
      </c>
      <c r="M2329" s="340" t="s">
        <v>342</v>
      </c>
      <c r="N2329" s="1390"/>
      <c r="O2329" s="2479"/>
      <c r="P2329" s="2282"/>
      <c r="AG2329" s="2297">
        <v>506.05</v>
      </c>
      <c r="AH2329" s="2297" t="s">
        <v>318</v>
      </c>
      <c r="AI2329" s="1390"/>
      <c r="AJ2329" s="2282"/>
      <c r="AK2329" s="2282"/>
      <c r="AL2329" s="1037"/>
      <c r="AX2329" s="340">
        <v>201.09</v>
      </c>
      <c r="AY2329" s="340" t="s">
        <v>342</v>
      </c>
      <c r="BN2329" s="340">
        <v>429.04</v>
      </c>
      <c r="BO2329" s="340" t="s">
        <v>339</v>
      </c>
      <c r="BP2329" s="1385"/>
      <c r="BV2329" s="236">
        <v>9.01</v>
      </c>
      <c r="BW2329" s="236" t="s">
        <v>330</v>
      </c>
      <c r="CB2329" s="340">
        <v>202.07</v>
      </c>
      <c r="CC2329" s="340" t="s">
        <v>342</v>
      </c>
      <c r="CL2329" s="236">
        <v>129</v>
      </c>
      <c r="CM2329" s="236" t="s">
        <v>338</v>
      </c>
      <c r="CR2329" s="340">
        <v>428</v>
      </c>
      <c r="CS2329" s="340" t="s">
        <v>339</v>
      </c>
      <c r="CT2329" s="1384"/>
      <c r="DF2329" s="340">
        <v>261.02</v>
      </c>
      <c r="DG2329" s="340" t="s">
        <v>342</v>
      </c>
      <c r="DV2329" s="340">
        <v>505.07</v>
      </c>
      <c r="DW2329" s="340" t="s">
        <v>318</v>
      </c>
      <c r="DX2329" s="1671"/>
    </row>
    <row r="2330" spans="12:128">
      <c r="L2330" s="2481">
        <v>271.06</v>
      </c>
      <c r="M2330" s="340" t="s">
        <v>342</v>
      </c>
      <c r="N2330" s="1390"/>
      <c r="O2330" s="2479"/>
      <c r="P2330" s="2282"/>
      <c r="AG2330" s="2297">
        <v>507.02</v>
      </c>
      <c r="AH2330" s="2297" t="s">
        <v>318</v>
      </c>
      <c r="AI2330" s="1390"/>
      <c r="AJ2330" s="2282"/>
      <c r="AK2330" s="2282"/>
      <c r="AL2330" s="1037"/>
      <c r="AX2330" s="340">
        <v>202.01</v>
      </c>
      <c r="AY2330" s="340" t="s">
        <v>342</v>
      </c>
      <c r="BN2330" s="340">
        <v>430.01</v>
      </c>
      <c r="BO2330" s="340" t="s">
        <v>289</v>
      </c>
      <c r="BP2330" s="1385"/>
      <c r="BV2330" s="236">
        <v>9.02</v>
      </c>
      <c r="BW2330" s="236" t="s">
        <v>330</v>
      </c>
      <c r="CB2330" s="340">
        <v>202.08</v>
      </c>
      <c r="CC2330" s="340" t="s">
        <v>342</v>
      </c>
      <c r="CL2330" s="236">
        <v>129</v>
      </c>
      <c r="CM2330" s="236" t="s">
        <v>344</v>
      </c>
      <c r="CR2330" s="340">
        <v>429.03</v>
      </c>
      <c r="CS2330" s="340" t="s">
        <v>339</v>
      </c>
      <c r="CT2330" s="1384"/>
      <c r="DF2330" s="340">
        <v>264.01</v>
      </c>
      <c r="DG2330" s="340" t="s">
        <v>342</v>
      </c>
      <c r="DV2330" s="340">
        <v>505.07</v>
      </c>
      <c r="DW2330" s="340" t="s">
        <v>335</v>
      </c>
      <c r="DX2330" s="1671"/>
    </row>
    <row r="2331" spans="12:128">
      <c r="L2331" s="2481">
        <v>271.08</v>
      </c>
      <c r="M2331" s="340" t="s">
        <v>342</v>
      </c>
      <c r="N2331" s="1390"/>
      <c r="O2331" s="2479"/>
      <c r="P2331" s="2282"/>
      <c r="AG2331" s="2297">
        <v>507.04</v>
      </c>
      <c r="AH2331" s="2297" t="s">
        <v>318</v>
      </c>
      <c r="AI2331" s="1390"/>
      <c r="AJ2331" s="2282"/>
      <c r="AK2331" s="2282"/>
      <c r="AL2331" s="1037"/>
      <c r="AX2331" s="340">
        <v>202.02</v>
      </c>
      <c r="AY2331" s="340" t="s">
        <v>342</v>
      </c>
      <c r="BN2331" s="340">
        <v>431</v>
      </c>
      <c r="BO2331" s="340" t="s">
        <v>289</v>
      </c>
      <c r="BP2331" s="1385"/>
      <c r="BV2331" s="236">
        <v>10</v>
      </c>
      <c r="BW2331" s="236" t="s">
        <v>330</v>
      </c>
      <c r="CB2331" s="340">
        <v>202.09</v>
      </c>
      <c r="CC2331" s="340" t="s">
        <v>342</v>
      </c>
      <c r="CL2331" s="236">
        <v>130</v>
      </c>
      <c r="CM2331" s="236" t="s">
        <v>302</v>
      </c>
      <c r="CR2331" s="340">
        <v>429.04</v>
      </c>
      <c r="CS2331" s="340" t="s">
        <v>339</v>
      </c>
      <c r="CT2331" s="1384"/>
      <c r="DF2331" s="340">
        <v>265.02</v>
      </c>
      <c r="DG2331" s="340" t="s">
        <v>342</v>
      </c>
      <c r="DV2331" s="340">
        <v>505.08</v>
      </c>
      <c r="DW2331" s="340" t="s">
        <v>318</v>
      </c>
      <c r="DX2331" s="1671"/>
    </row>
    <row r="2332" spans="12:128">
      <c r="L2332" s="2481">
        <v>272.02</v>
      </c>
      <c r="M2332" s="340" t="s">
        <v>342</v>
      </c>
      <c r="N2332" s="1390"/>
      <c r="O2332" s="2479"/>
      <c r="P2332" s="2282"/>
      <c r="AG2332" s="2297">
        <v>507.06</v>
      </c>
      <c r="AH2332" s="2297" t="s">
        <v>318</v>
      </c>
      <c r="AI2332" s="1390"/>
      <c r="AJ2332" s="2282"/>
      <c r="AK2332" s="2282"/>
      <c r="AL2332" s="1037"/>
      <c r="AX2332" s="340">
        <v>202.06</v>
      </c>
      <c r="AY2332" s="340" t="s">
        <v>342</v>
      </c>
      <c r="BN2332" s="340">
        <v>431</v>
      </c>
      <c r="BO2332" s="340" t="s">
        <v>339</v>
      </c>
      <c r="BP2332" s="1385"/>
      <c r="BV2332" s="236">
        <v>11.03</v>
      </c>
      <c r="BW2332" s="236" t="s">
        <v>330</v>
      </c>
      <c r="CB2332" s="340">
        <v>203.01</v>
      </c>
      <c r="CC2332" s="340" t="s">
        <v>342</v>
      </c>
      <c r="CL2332" s="236">
        <v>130</v>
      </c>
      <c r="CM2332" s="236" t="s">
        <v>331</v>
      </c>
      <c r="CR2332" s="340">
        <v>430.01</v>
      </c>
      <c r="CS2332" s="340" t="s">
        <v>289</v>
      </c>
      <c r="CT2332" s="1384"/>
      <c r="DF2332" s="340">
        <v>266.01</v>
      </c>
      <c r="DG2332" s="340" t="s">
        <v>342</v>
      </c>
      <c r="DV2332" s="340">
        <v>505.09</v>
      </c>
      <c r="DW2332" s="340" t="s">
        <v>318</v>
      </c>
      <c r="DX2332" s="1671"/>
    </row>
    <row r="2333" spans="12:128">
      <c r="L2333" s="2481">
        <v>272.04000000000002</v>
      </c>
      <c r="M2333" s="340" t="s">
        <v>342</v>
      </c>
      <c r="N2333" s="1390"/>
      <c r="O2333" s="2479"/>
      <c r="P2333" s="2282"/>
      <c r="AG2333" s="2297">
        <v>507.07</v>
      </c>
      <c r="AH2333" s="2297" t="s">
        <v>318</v>
      </c>
      <c r="AI2333" s="1390"/>
      <c r="AJ2333" s="2282"/>
      <c r="AK2333" s="2282"/>
      <c r="AL2333" s="1037"/>
      <c r="AX2333" s="340">
        <v>202.07</v>
      </c>
      <c r="AY2333" s="340" t="s">
        <v>342</v>
      </c>
      <c r="BN2333" s="340">
        <v>432.07</v>
      </c>
      <c r="BO2333" s="340" t="s">
        <v>339</v>
      </c>
      <c r="BP2333" s="1385"/>
      <c r="BV2333" s="236">
        <v>11.05</v>
      </c>
      <c r="BW2333" s="236" t="s">
        <v>330</v>
      </c>
      <c r="CB2333" s="340">
        <v>203.02</v>
      </c>
      <c r="CC2333" s="340" t="s">
        <v>342</v>
      </c>
      <c r="CL2333" s="236">
        <v>130.01</v>
      </c>
      <c r="CM2333" s="236" t="s">
        <v>316</v>
      </c>
      <c r="CR2333" s="340">
        <v>430.02</v>
      </c>
      <c r="CS2333" s="340" t="s">
        <v>289</v>
      </c>
      <c r="CT2333" s="1384"/>
      <c r="DF2333" s="340">
        <v>266.02</v>
      </c>
      <c r="DG2333" s="340" t="s">
        <v>342</v>
      </c>
      <c r="DV2333" s="340">
        <v>506.01</v>
      </c>
      <c r="DW2333" s="340" t="s">
        <v>289</v>
      </c>
      <c r="DX2333" s="1671"/>
    </row>
    <row r="2334" spans="12:128">
      <c r="L2334" s="2481">
        <v>272.06</v>
      </c>
      <c r="M2334" s="340" t="s">
        <v>342</v>
      </c>
      <c r="N2334" s="1390"/>
      <c r="O2334" s="2479"/>
      <c r="P2334" s="2282"/>
      <c r="AG2334" s="2297">
        <v>508.07</v>
      </c>
      <c r="AH2334" s="2297" t="s">
        <v>318</v>
      </c>
      <c r="AI2334" s="1390"/>
      <c r="AJ2334" s="2282"/>
      <c r="AK2334" s="2282"/>
      <c r="AL2334" s="1037"/>
      <c r="AX2334" s="340">
        <v>202.09</v>
      </c>
      <c r="AY2334" s="340" t="s">
        <v>342</v>
      </c>
      <c r="BN2334" s="340">
        <v>432.08</v>
      </c>
      <c r="BO2334" s="340" t="s">
        <v>339</v>
      </c>
      <c r="BP2334" s="1385"/>
      <c r="BV2334" s="236">
        <v>11.06</v>
      </c>
      <c r="BW2334" s="236" t="s">
        <v>330</v>
      </c>
      <c r="CB2334" s="340">
        <v>204</v>
      </c>
      <c r="CC2334" s="340" t="s">
        <v>342</v>
      </c>
      <c r="CL2334" s="236">
        <v>130.01</v>
      </c>
      <c r="CM2334" s="236" t="s">
        <v>344</v>
      </c>
      <c r="CR2334" s="340">
        <v>431</v>
      </c>
      <c r="CS2334" s="340" t="s">
        <v>339</v>
      </c>
      <c r="CT2334" s="1384"/>
      <c r="DF2334" s="340">
        <v>267.01</v>
      </c>
      <c r="DG2334" s="340" t="s">
        <v>342</v>
      </c>
      <c r="DV2334" s="340">
        <v>506.01</v>
      </c>
      <c r="DW2334" s="340" t="s">
        <v>318</v>
      </c>
      <c r="DX2334" s="1671"/>
    </row>
    <row r="2335" spans="12:128">
      <c r="L2335" s="2481">
        <v>272.07</v>
      </c>
      <c r="M2335" s="340" t="s">
        <v>342</v>
      </c>
      <c r="N2335" s="1390"/>
      <c r="O2335" s="2479"/>
      <c r="P2335" s="2282"/>
      <c r="AG2335" s="2297">
        <v>508.09</v>
      </c>
      <c r="AH2335" s="2297" t="s">
        <v>318</v>
      </c>
      <c r="AI2335" s="1390"/>
      <c r="AJ2335" s="2282"/>
      <c r="AK2335" s="2282"/>
      <c r="AL2335" s="1037"/>
      <c r="AX2335" s="340">
        <v>203.02</v>
      </c>
      <c r="AY2335" s="340" t="s">
        <v>342</v>
      </c>
      <c r="BN2335" s="340">
        <v>432.09</v>
      </c>
      <c r="BO2335" s="340" t="s">
        <v>339</v>
      </c>
      <c r="BP2335" s="1385"/>
      <c r="BV2335" s="236">
        <v>11.07</v>
      </c>
      <c r="BW2335" s="236" t="s">
        <v>330</v>
      </c>
      <c r="CB2335" s="340">
        <v>215.01</v>
      </c>
      <c r="CC2335" s="340" t="s">
        <v>342</v>
      </c>
      <c r="CL2335" s="236">
        <v>130.02000000000001</v>
      </c>
      <c r="CM2335" s="236" t="s">
        <v>316</v>
      </c>
      <c r="CR2335" s="340">
        <v>432.07</v>
      </c>
      <c r="CS2335" s="340" t="s">
        <v>339</v>
      </c>
      <c r="CT2335" s="1384"/>
      <c r="DF2335" s="340">
        <v>267.04000000000002</v>
      </c>
      <c r="DG2335" s="340" t="s">
        <v>342</v>
      </c>
      <c r="DV2335" s="340">
        <v>506.01</v>
      </c>
      <c r="DW2335" s="340" t="s">
        <v>323</v>
      </c>
      <c r="DX2335" s="1671"/>
    </row>
    <row r="2336" spans="12:128">
      <c r="L2336" s="2481">
        <v>272.08</v>
      </c>
      <c r="M2336" s="340" t="s">
        <v>342</v>
      </c>
      <c r="N2336" s="1390"/>
      <c r="O2336" s="2479"/>
      <c r="P2336" s="2282"/>
      <c r="AG2336" s="2297">
        <v>508.1</v>
      </c>
      <c r="AH2336" s="2297" t="s">
        <v>318</v>
      </c>
      <c r="AI2336" s="1390"/>
      <c r="AJ2336" s="2282"/>
      <c r="AK2336" s="2282"/>
      <c r="AL2336" s="1037"/>
      <c r="AX2336" s="340">
        <v>204</v>
      </c>
      <c r="AY2336" s="340" t="s">
        <v>342</v>
      </c>
      <c r="BN2336" s="340">
        <v>433.01</v>
      </c>
      <c r="BO2336" s="340" t="s">
        <v>289</v>
      </c>
      <c r="BP2336" s="1385"/>
      <c r="BV2336" s="236">
        <v>11.08</v>
      </c>
      <c r="BW2336" s="236" t="s">
        <v>330</v>
      </c>
      <c r="CB2336" s="340">
        <v>215.02</v>
      </c>
      <c r="CC2336" s="340" t="s">
        <v>342</v>
      </c>
      <c r="CL2336" s="236">
        <v>130.02000000000001</v>
      </c>
      <c r="CM2336" s="236" t="s">
        <v>344</v>
      </c>
      <c r="CR2336" s="340">
        <v>432.08</v>
      </c>
      <c r="CS2336" s="340" t="s">
        <v>339</v>
      </c>
      <c r="CT2336" s="1384"/>
      <c r="DF2336" s="340">
        <v>268.08999999999997</v>
      </c>
      <c r="DG2336" s="340" t="s">
        <v>342</v>
      </c>
      <c r="DV2336" s="340">
        <v>506.02</v>
      </c>
      <c r="DW2336" s="340" t="s">
        <v>318</v>
      </c>
      <c r="DX2336" s="1671"/>
    </row>
    <row r="2337" spans="12:128">
      <c r="L2337" s="2481">
        <v>272.10000000000002</v>
      </c>
      <c r="M2337" s="340" t="s">
        <v>342</v>
      </c>
      <c r="N2337" s="1390"/>
      <c r="O2337" s="2479"/>
      <c r="P2337" s="2282"/>
      <c r="AG2337" s="2297">
        <v>508.11</v>
      </c>
      <c r="AH2337" s="2297" t="s">
        <v>318</v>
      </c>
      <c r="AI2337" s="1390"/>
      <c r="AJ2337" s="2282"/>
      <c r="AK2337" s="2282"/>
      <c r="AL2337" s="1037"/>
      <c r="AX2337" s="340">
        <v>215.01</v>
      </c>
      <c r="AY2337" s="340" t="s">
        <v>342</v>
      </c>
      <c r="BN2337" s="340">
        <v>433.01</v>
      </c>
      <c r="BO2337" s="340" t="s">
        <v>339</v>
      </c>
      <c r="BP2337" s="1385"/>
      <c r="BV2337" s="236">
        <v>12</v>
      </c>
      <c r="BW2337" s="236" t="s">
        <v>330</v>
      </c>
      <c r="CB2337" s="340">
        <v>218</v>
      </c>
      <c r="CC2337" s="340" t="s">
        <v>342</v>
      </c>
      <c r="CL2337" s="236">
        <v>130.03</v>
      </c>
      <c r="CM2337" s="236" t="s">
        <v>316</v>
      </c>
      <c r="CR2337" s="340">
        <v>432.09</v>
      </c>
      <c r="CS2337" s="340" t="s">
        <v>339</v>
      </c>
      <c r="CT2337" s="1384"/>
      <c r="DF2337" s="340">
        <v>268.11</v>
      </c>
      <c r="DG2337" s="340" t="s">
        <v>342</v>
      </c>
      <c r="DV2337" s="340">
        <v>506.04</v>
      </c>
      <c r="DW2337" s="340" t="s">
        <v>323</v>
      </c>
      <c r="DX2337" s="1671"/>
    </row>
    <row r="2338" spans="12:128">
      <c r="L2338" s="2481">
        <v>272.12</v>
      </c>
      <c r="M2338" s="340" t="s">
        <v>342</v>
      </c>
      <c r="N2338" s="1390"/>
      <c r="O2338" s="2479"/>
      <c r="P2338" s="2282"/>
      <c r="AG2338" s="2297">
        <v>508.12</v>
      </c>
      <c r="AH2338" s="2297" t="s">
        <v>318</v>
      </c>
      <c r="AI2338" s="1390"/>
      <c r="AJ2338" s="2282"/>
      <c r="AK2338" s="2282"/>
      <c r="AL2338" s="1037"/>
      <c r="AX2338" s="340">
        <v>215.02</v>
      </c>
      <c r="AY2338" s="340" t="s">
        <v>342</v>
      </c>
      <c r="BN2338" s="340">
        <v>433.03</v>
      </c>
      <c r="BO2338" s="340" t="s">
        <v>339</v>
      </c>
      <c r="BP2338" s="1385"/>
      <c r="BV2338" s="236">
        <v>13.01</v>
      </c>
      <c r="BW2338" s="236" t="s">
        <v>330</v>
      </c>
      <c r="CB2338" s="340">
        <v>219</v>
      </c>
      <c r="CC2338" s="340" t="s">
        <v>342</v>
      </c>
      <c r="CL2338" s="236">
        <v>130.04</v>
      </c>
      <c r="CM2338" s="236" t="s">
        <v>316</v>
      </c>
      <c r="CR2338" s="340">
        <v>433.01</v>
      </c>
      <c r="CS2338" s="340" t="s">
        <v>289</v>
      </c>
      <c r="CT2338" s="1384"/>
      <c r="DF2338" s="340">
        <v>268.12</v>
      </c>
      <c r="DG2338" s="340" t="s">
        <v>342</v>
      </c>
      <c r="DV2338" s="340">
        <v>506.05</v>
      </c>
      <c r="DW2338" s="340" t="s">
        <v>318</v>
      </c>
      <c r="DX2338" s="1671"/>
    </row>
    <row r="2339" spans="12:128">
      <c r="L2339" s="2481">
        <v>273.08</v>
      </c>
      <c r="M2339" s="340" t="s">
        <v>342</v>
      </c>
      <c r="N2339" s="1390"/>
      <c r="O2339" s="2479"/>
      <c r="P2339" s="2282"/>
      <c r="AG2339" s="2297">
        <v>509</v>
      </c>
      <c r="AH2339" s="2297" t="s">
        <v>289</v>
      </c>
      <c r="AI2339" s="1390"/>
      <c r="AJ2339" s="2282"/>
      <c r="AK2339" s="2282"/>
      <c r="AL2339" s="1037"/>
      <c r="AX2339" s="340">
        <v>218</v>
      </c>
      <c r="AY2339" s="340" t="s">
        <v>342</v>
      </c>
      <c r="BN2339" s="340">
        <v>433.04</v>
      </c>
      <c r="BO2339" s="340" t="s">
        <v>339</v>
      </c>
      <c r="BP2339" s="1385"/>
      <c r="BV2339" s="236">
        <v>13.02</v>
      </c>
      <c r="BW2339" s="236" t="s">
        <v>330</v>
      </c>
      <c r="CB2339" s="340">
        <v>221.01</v>
      </c>
      <c r="CC2339" s="340" t="s">
        <v>342</v>
      </c>
      <c r="CL2339" s="236">
        <v>131</v>
      </c>
      <c r="CM2339" s="236" t="s">
        <v>302</v>
      </c>
      <c r="CR2339" s="340">
        <v>433.01</v>
      </c>
      <c r="CS2339" s="340" t="s">
        <v>339</v>
      </c>
      <c r="CT2339" s="1384"/>
      <c r="DF2339" s="340">
        <v>268.14999999999998</v>
      </c>
      <c r="DG2339" s="340" t="s">
        <v>342</v>
      </c>
      <c r="DV2339" s="340">
        <v>507.04</v>
      </c>
      <c r="DW2339" s="340" t="s">
        <v>318</v>
      </c>
      <c r="DX2339" s="1671"/>
    </row>
    <row r="2340" spans="12:128">
      <c r="L2340" s="2481">
        <v>273.08999999999997</v>
      </c>
      <c r="M2340" s="340" t="s">
        <v>342</v>
      </c>
      <c r="N2340" s="1390"/>
      <c r="O2340" s="2479"/>
      <c r="P2340" s="2282"/>
      <c r="AG2340" s="2297">
        <v>509.03</v>
      </c>
      <c r="AH2340" s="2297" t="s">
        <v>318</v>
      </c>
      <c r="AI2340" s="1390"/>
      <c r="AJ2340" s="2282"/>
      <c r="AK2340" s="2282"/>
      <c r="AL2340" s="1037"/>
      <c r="AX2340" s="340">
        <v>219</v>
      </c>
      <c r="AY2340" s="340" t="s">
        <v>342</v>
      </c>
      <c r="BN2340" s="340">
        <v>435</v>
      </c>
      <c r="BO2340" s="340" t="s">
        <v>339</v>
      </c>
      <c r="BP2340" s="1385"/>
      <c r="BV2340" s="236">
        <v>14.04</v>
      </c>
      <c r="BW2340" s="236" t="s">
        <v>330</v>
      </c>
      <c r="CB2340" s="340">
        <v>221.02</v>
      </c>
      <c r="CC2340" s="340" t="s">
        <v>342</v>
      </c>
      <c r="CL2340" s="236">
        <v>131</v>
      </c>
      <c r="CM2340" s="236" t="s">
        <v>316</v>
      </c>
      <c r="CR2340" s="340">
        <v>433.03</v>
      </c>
      <c r="CS2340" s="340" t="s">
        <v>339</v>
      </c>
      <c r="CT2340" s="1384"/>
      <c r="DF2340" s="340">
        <v>268.16000000000003</v>
      </c>
      <c r="DG2340" s="340" t="s">
        <v>342</v>
      </c>
      <c r="DV2340" s="340">
        <v>507.06</v>
      </c>
      <c r="DW2340" s="340" t="s">
        <v>318</v>
      </c>
      <c r="DX2340" s="1671"/>
    </row>
    <row r="2341" spans="12:128">
      <c r="L2341" s="2481">
        <v>273.14</v>
      </c>
      <c r="M2341" s="340" t="s">
        <v>342</v>
      </c>
      <c r="N2341" s="1390"/>
      <c r="O2341" s="2479"/>
      <c r="P2341" s="2282"/>
      <c r="AG2341" s="2297">
        <v>510.01</v>
      </c>
      <c r="AH2341" s="2297" t="s">
        <v>289</v>
      </c>
      <c r="AI2341" s="1390"/>
      <c r="AJ2341" s="2282"/>
      <c r="AK2341" s="2282"/>
      <c r="AL2341" s="1037"/>
      <c r="AX2341" s="340">
        <v>221.02</v>
      </c>
      <c r="AY2341" s="340" t="s">
        <v>342</v>
      </c>
      <c r="BN2341" s="340">
        <v>436</v>
      </c>
      <c r="BO2341" s="340" t="s">
        <v>339</v>
      </c>
      <c r="BP2341" s="1385"/>
      <c r="BV2341" s="236">
        <v>14.06</v>
      </c>
      <c r="BW2341" s="236" t="s">
        <v>330</v>
      </c>
      <c r="CB2341" s="340">
        <v>222</v>
      </c>
      <c r="CC2341" s="340" t="s">
        <v>342</v>
      </c>
      <c r="CL2341" s="236">
        <v>131</v>
      </c>
      <c r="CM2341" s="236" t="s">
        <v>331</v>
      </c>
      <c r="CR2341" s="340">
        <v>433.04</v>
      </c>
      <c r="CS2341" s="340" t="s">
        <v>339</v>
      </c>
      <c r="CT2341" s="1384"/>
      <c r="DF2341" s="340">
        <v>268.17</v>
      </c>
      <c r="DG2341" s="340" t="s">
        <v>342</v>
      </c>
      <c r="DV2341" s="340">
        <v>507.07</v>
      </c>
      <c r="DW2341" s="340" t="s">
        <v>318</v>
      </c>
      <c r="DX2341" s="1671"/>
    </row>
    <row r="2342" spans="12:128">
      <c r="L2342" s="2481">
        <v>273.16000000000003</v>
      </c>
      <c r="M2342" s="340" t="s">
        <v>342</v>
      </c>
      <c r="N2342" s="1390"/>
      <c r="O2342" s="2479"/>
      <c r="P2342" s="2282"/>
      <c r="AG2342" s="2297">
        <v>510.02</v>
      </c>
      <c r="AH2342" s="2297" t="s">
        <v>289</v>
      </c>
      <c r="AI2342" s="1390"/>
      <c r="AJ2342" s="2282"/>
      <c r="AK2342" s="2282"/>
      <c r="AL2342" s="1037"/>
      <c r="AX2342" s="340">
        <v>222</v>
      </c>
      <c r="AY2342" s="340" t="s">
        <v>342</v>
      </c>
      <c r="BN2342" s="340">
        <v>437</v>
      </c>
      <c r="BO2342" s="340" t="s">
        <v>339</v>
      </c>
      <c r="BP2342" s="1385"/>
      <c r="BV2342" s="236">
        <v>14.07</v>
      </c>
      <c r="BW2342" s="236" t="s">
        <v>330</v>
      </c>
      <c r="CB2342" s="340">
        <v>223.01</v>
      </c>
      <c r="CC2342" s="340" t="s">
        <v>342</v>
      </c>
      <c r="CL2342" s="236">
        <v>131.01</v>
      </c>
      <c r="CM2342" s="236" t="s">
        <v>344</v>
      </c>
      <c r="CR2342" s="340">
        <v>436</v>
      </c>
      <c r="CS2342" s="340" t="s">
        <v>339</v>
      </c>
      <c r="CT2342" s="1384"/>
      <c r="DF2342" s="340">
        <v>268.2</v>
      </c>
      <c r="DG2342" s="340" t="s">
        <v>342</v>
      </c>
      <c r="DV2342" s="340">
        <v>508.07</v>
      </c>
      <c r="DW2342" s="340" t="s">
        <v>318</v>
      </c>
      <c r="DX2342" s="1671"/>
    </row>
    <row r="2343" spans="12:128">
      <c r="L2343" s="2481">
        <v>273.17</v>
      </c>
      <c r="M2343" s="340" t="s">
        <v>342</v>
      </c>
      <c r="N2343" s="1390"/>
      <c r="O2343" s="2479"/>
      <c r="P2343" s="2282"/>
      <c r="AG2343" s="2297">
        <v>601.02</v>
      </c>
      <c r="AH2343" s="2297" t="s">
        <v>323</v>
      </c>
      <c r="AI2343" s="1390"/>
      <c r="AJ2343" s="2282"/>
      <c r="AK2343" s="2282"/>
      <c r="AL2343" s="1037"/>
      <c r="AX2343" s="340">
        <v>223.01</v>
      </c>
      <c r="AY2343" s="340" t="s">
        <v>342</v>
      </c>
      <c r="BN2343" s="340">
        <v>438.01</v>
      </c>
      <c r="BO2343" s="340" t="s">
        <v>339</v>
      </c>
      <c r="BP2343" s="1385"/>
      <c r="BV2343" s="236">
        <v>14.08</v>
      </c>
      <c r="BW2343" s="236" t="s">
        <v>330</v>
      </c>
      <c r="CB2343" s="340">
        <v>223.02</v>
      </c>
      <c r="CC2343" s="340" t="s">
        <v>342</v>
      </c>
      <c r="CL2343" s="236">
        <v>131.02000000000001</v>
      </c>
      <c r="CM2343" s="236" t="s">
        <v>344</v>
      </c>
      <c r="CR2343" s="340">
        <v>437</v>
      </c>
      <c r="CS2343" s="340" t="s">
        <v>339</v>
      </c>
      <c r="CT2343" s="1384"/>
      <c r="DF2343" s="340">
        <v>269.08</v>
      </c>
      <c r="DG2343" s="340" t="s">
        <v>342</v>
      </c>
      <c r="DV2343" s="340">
        <v>508.1</v>
      </c>
      <c r="DW2343" s="340" t="s">
        <v>318</v>
      </c>
      <c r="DX2343" s="1671"/>
    </row>
    <row r="2344" spans="12:128">
      <c r="L2344" s="2481">
        <v>273.18</v>
      </c>
      <c r="M2344" s="340" t="s">
        <v>342</v>
      </c>
      <c r="N2344" s="1390"/>
      <c r="O2344" s="2479"/>
      <c r="P2344" s="2282"/>
      <c r="AG2344" s="2297">
        <v>601.04999999999995</v>
      </c>
      <c r="AH2344" s="2297" t="s">
        <v>305</v>
      </c>
      <c r="AI2344" s="1390"/>
      <c r="AJ2344" s="2282"/>
      <c r="AK2344" s="2282"/>
      <c r="AL2344" s="1037"/>
      <c r="AX2344" s="340">
        <v>223.02</v>
      </c>
      <c r="AY2344" s="340" t="s">
        <v>342</v>
      </c>
      <c r="BN2344" s="340">
        <v>501.02</v>
      </c>
      <c r="BO2344" s="340" t="s">
        <v>318</v>
      </c>
      <c r="BP2344" s="1385"/>
      <c r="BV2344" s="236">
        <v>14.09</v>
      </c>
      <c r="BW2344" s="236" t="s">
        <v>330</v>
      </c>
      <c r="CB2344" s="340">
        <v>224.01</v>
      </c>
      <c r="CC2344" s="340" t="s">
        <v>342</v>
      </c>
      <c r="CL2344" s="236">
        <v>131.03</v>
      </c>
      <c r="CM2344" s="236" t="s">
        <v>344</v>
      </c>
      <c r="CR2344" s="340">
        <v>438.01</v>
      </c>
      <c r="CS2344" s="340" t="s">
        <v>339</v>
      </c>
      <c r="CT2344" s="1384"/>
      <c r="DF2344" s="340">
        <v>269.13</v>
      </c>
      <c r="DG2344" s="340" t="s">
        <v>342</v>
      </c>
      <c r="DV2344" s="340">
        <v>508.11</v>
      </c>
      <c r="DW2344" s="340" t="s">
        <v>318</v>
      </c>
      <c r="DX2344" s="1671"/>
    </row>
    <row r="2345" spans="12:128">
      <c r="L2345" s="2481">
        <v>273.19</v>
      </c>
      <c r="M2345" s="340" t="s">
        <v>342</v>
      </c>
      <c r="N2345" s="1390"/>
      <c r="O2345" s="2479"/>
      <c r="P2345" s="2282"/>
      <c r="AG2345" s="2297">
        <v>601.05999999999995</v>
      </c>
      <c r="AH2345" s="2297" t="s">
        <v>305</v>
      </c>
      <c r="AI2345" s="1390"/>
      <c r="AJ2345" s="2282"/>
      <c r="AK2345" s="2282"/>
      <c r="AL2345" s="1037"/>
      <c r="AX2345" s="340">
        <v>224.01</v>
      </c>
      <c r="AY2345" s="340" t="s">
        <v>342</v>
      </c>
      <c r="BN2345" s="340">
        <v>501.02</v>
      </c>
      <c r="BO2345" s="340" t="s">
        <v>335</v>
      </c>
      <c r="BP2345" s="1385"/>
      <c r="BV2345" s="236">
        <v>14.1</v>
      </c>
      <c r="BW2345" s="236" t="s">
        <v>330</v>
      </c>
      <c r="CB2345" s="340">
        <v>224.02</v>
      </c>
      <c r="CC2345" s="340" t="s">
        <v>342</v>
      </c>
      <c r="CL2345" s="236">
        <v>132</v>
      </c>
      <c r="CM2345" s="236" t="s">
        <v>302</v>
      </c>
      <c r="CR2345" s="340">
        <v>501.02</v>
      </c>
      <c r="CS2345" s="340" t="s">
        <v>335</v>
      </c>
      <c r="CT2345" s="1384"/>
      <c r="DF2345" s="340">
        <v>269.14</v>
      </c>
      <c r="DG2345" s="340" t="s">
        <v>342</v>
      </c>
      <c r="DV2345" s="340">
        <v>508.12</v>
      </c>
      <c r="DW2345" s="340" t="s">
        <v>318</v>
      </c>
      <c r="DX2345" s="1671"/>
    </row>
    <row r="2346" spans="12:128">
      <c r="L2346" s="2481">
        <v>273.2</v>
      </c>
      <c r="M2346" s="340" t="s">
        <v>342</v>
      </c>
      <c r="N2346" s="1390"/>
      <c r="O2346" s="2479"/>
      <c r="P2346" s="2282"/>
      <c r="AG2346" s="2297">
        <v>601.07000000000005</v>
      </c>
      <c r="AH2346" s="2297" t="s">
        <v>305</v>
      </c>
      <c r="AI2346" s="1390"/>
      <c r="AJ2346" s="2282"/>
      <c r="AK2346" s="2282"/>
      <c r="AL2346" s="1037"/>
      <c r="AX2346" s="340">
        <v>224.02</v>
      </c>
      <c r="AY2346" s="340" t="s">
        <v>342</v>
      </c>
      <c r="BN2346" s="340">
        <v>501.03</v>
      </c>
      <c r="BO2346" s="340" t="s">
        <v>323</v>
      </c>
      <c r="BP2346" s="1385"/>
      <c r="BV2346" s="236">
        <v>15</v>
      </c>
      <c r="BW2346" s="236" t="s">
        <v>330</v>
      </c>
      <c r="CB2346" s="340">
        <v>225.01</v>
      </c>
      <c r="CC2346" s="340" t="s">
        <v>342</v>
      </c>
      <c r="CL2346" s="236">
        <v>132</v>
      </c>
      <c r="CM2346" s="236" t="s">
        <v>344</v>
      </c>
      <c r="CR2346" s="340">
        <v>501.03</v>
      </c>
      <c r="CS2346" s="340" t="s">
        <v>323</v>
      </c>
      <c r="CT2346" s="1384"/>
      <c r="DF2346" s="340">
        <v>269.14999999999998</v>
      </c>
      <c r="DG2346" s="340" t="s">
        <v>342</v>
      </c>
      <c r="DV2346" s="340">
        <v>509</v>
      </c>
      <c r="DW2346" s="340" t="s">
        <v>289</v>
      </c>
      <c r="DX2346" s="1671"/>
    </row>
    <row r="2347" spans="12:128">
      <c r="L2347" s="2481">
        <v>273.20999999999998</v>
      </c>
      <c r="M2347" s="340" t="s">
        <v>342</v>
      </c>
      <c r="N2347" s="1390"/>
      <c r="O2347" s="2479"/>
      <c r="P2347" s="2282"/>
      <c r="AG2347" s="2297">
        <v>601.09</v>
      </c>
      <c r="AH2347" s="2297" t="s">
        <v>289</v>
      </c>
      <c r="AI2347" s="1390"/>
      <c r="AJ2347" s="2282"/>
      <c r="AK2347" s="2282"/>
      <c r="AL2347" s="1037"/>
      <c r="AX2347" s="340">
        <v>225.01</v>
      </c>
      <c r="AY2347" s="340" t="s">
        <v>342</v>
      </c>
      <c r="BN2347" s="340">
        <v>501.03</v>
      </c>
      <c r="BO2347" s="340" t="s">
        <v>335</v>
      </c>
      <c r="BP2347" s="1385"/>
      <c r="BV2347" s="236">
        <v>16.010000000000002</v>
      </c>
      <c r="BW2347" s="236" t="s">
        <v>330</v>
      </c>
      <c r="CB2347" s="340">
        <v>225.02</v>
      </c>
      <c r="CC2347" s="340" t="s">
        <v>342</v>
      </c>
      <c r="CL2347" s="236">
        <v>132.01</v>
      </c>
      <c r="CM2347" s="236" t="s">
        <v>331</v>
      </c>
      <c r="CR2347" s="340">
        <v>501.03</v>
      </c>
      <c r="CS2347" s="340" t="s">
        <v>335</v>
      </c>
      <c r="CT2347" s="1384"/>
      <c r="DF2347" s="340">
        <v>269.16000000000003</v>
      </c>
      <c r="DG2347" s="340" t="s">
        <v>342</v>
      </c>
      <c r="DV2347" s="340">
        <v>509.05</v>
      </c>
      <c r="DW2347" s="340" t="s">
        <v>318</v>
      </c>
      <c r="DX2347" s="1671"/>
    </row>
    <row r="2348" spans="12:128">
      <c r="L2348" s="2481">
        <v>273.23</v>
      </c>
      <c r="M2348" s="340" t="s">
        <v>342</v>
      </c>
      <c r="N2348" s="1390"/>
      <c r="O2348" s="2479"/>
      <c r="P2348" s="2282"/>
      <c r="AG2348" s="2297">
        <v>601.13</v>
      </c>
      <c r="AH2348" s="2297" t="s">
        <v>289</v>
      </c>
      <c r="AI2348" s="1390"/>
      <c r="AJ2348" s="2282"/>
      <c r="AK2348" s="2282"/>
      <c r="AL2348" s="1037"/>
      <c r="AX2348" s="340">
        <v>225.03</v>
      </c>
      <c r="AY2348" s="340" t="s">
        <v>342</v>
      </c>
      <c r="BN2348" s="340">
        <v>501.04</v>
      </c>
      <c r="BO2348" s="340" t="s">
        <v>323</v>
      </c>
      <c r="BP2348" s="1385"/>
      <c r="BV2348" s="236">
        <v>16.02</v>
      </c>
      <c r="BW2348" s="236" t="s">
        <v>330</v>
      </c>
      <c r="CB2348" s="340">
        <v>225.03</v>
      </c>
      <c r="CC2348" s="340" t="s">
        <v>342</v>
      </c>
      <c r="CL2348" s="236">
        <v>132.01</v>
      </c>
      <c r="CM2348" s="236" t="s">
        <v>338</v>
      </c>
      <c r="CR2348" s="340">
        <v>501.04</v>
      </c>
      <c r="CS2348" s="340" t="s">
        <v>323</v>
      </c>
      <c r="CT2348" s="1384"/>
      <c r="DF2348" s="340">
        <v>269.17</v>
      </c>
      <c r="DG2348" s="340" t="s">
        <v>342</v>
      </c>
      <c r="DV2348" s="340">
        <v>509.09</v>
      </c>
      <c r="DW2348" s="340" t="s">
        <v>318</v>
      </c>
      <c r="DX2348" s="1671"/>
    </row>
    <row r="2349" spans="12:128">
      <c r="L2349" s="2481">
        <v>273.24</v>
      </c>
      <c r="M2349" s="340" t="s">
        <v>342</v>
      </c>
      <c r="N2349" s="1390"/>
      <c r="O2349" s="2479"/>
      <c r="P2349" s="2282"/>
      <c r="AG2349" s="2297">
        <v>601.14</v>
      </c>
      <c r="AH2349" s="2297" t="s">
        <v>289</v>
      </c>
      <c r="AI2349" s="1390"/>
      <c r="AJ2349" s="2282"/>
      <c r="AK2349" s="2282"/>
      <c r="AL2349" s="1037"/>
      <c r="AX2349" s="340">
        <v>226.01</v>
      </c>
      <c r="AY2349" s="340" t="s">
        <v>342</v>
      </c>
      <c r="BN2349" s="340">
        <v>501.04</v>
      </c>
      <c r="BO2349" s="340" t="s">
        <v>335</v>
      </c>
      <c r="BP2349" s="1385"/>
      <c r="BV2349" s="236">
        <v>17.010000000000002</v>
      </c>
      <c r="BW2349" s="236" t="s">
        <v>330</v>
      </c>
      <c r="CB2349" s="340">
        <v>226.01</v>
      </c>
      <c r="CC2349" s="340" t="s">
        <v>342</v>
      </c>
      <c r="CL2349" s="236">
        <v>132.02000000000001</v>
      </c>
      <c r="CM2349" s="236" t="s">
        <v>331</v>
      </c>
      <c r="CR2349" s="340">
        <v>501.04</v>
      </c>
      <c r="CS2349" s="340" t="s">
        <v>335</v>
      </c>
      <c r="CT2349" s="1384"/>
      <c r="DF2349" s="340">
        <v>270</v>
      </c>
      <c r="DG2349" s="340" t="s">
        <v>342</v>
      </c>
      <c r="DV2349" s="340">
        <v>510.01</v>
      </c>
      <c r="DW2349" s="340" t="s">
        <v>289</v>
      </c>
      <c r="DX2349" s="1671"/>
    </row>
    <row r="2350" spans="12:128">
      <c r="L2350" s="2481">
        <v>273.25</v>
      </c>
      <c r="M2350" s="340" t="s">
        <v>342</v>
      </c>
      <c r="N2350" s="1390"/>
      <c r="O2350" s="2479"/>
      <c r="P2350" s="2282"/>
      <c r="AG2350" s="2297">
        <v>601.15</v>
      </c>
      <c r="AH2350" s="2297" t="s">
        <v>289</v>
      </c>
      <c r="AI2350" s="1390"/>
      <c r="AJ2350" s="2282"/>
      <c r="AK2350" s="2282"/>
      <c r="AL2350" s="1037"/>
      <c r="AX2350" s="340">
        <v>226.02</v>
      </c>
      <c r="AY2350" s="340" t="s">
        <v>342</v>
      </c>
      <c r="BN2350" s="340">
        <v>501.06</v>
      </c>
      <c r="BO2350" s="340" t="s">
        <v>323</v>
      </c>
      <c r="BP2350" s="1385"/>
      <c r="BV2350" s="236">
        <v>17.02</v>
      </c>
      <c r="BW2350" s="236" t="s">
        <v>330</v>
      </c>
      <c r="CB2350" s="340">
        <v>226.02</v>
      </c>
      <c r="CC2350" s="340" t="s">
        <v>342</v>
      </c>
      <c r="CL2350" s="236">
        <v>132.02000000000001</v>
      </c>
      <c r="CM2350" s="236" t="s">
        <v>338</v>
      </c>
      <c r="CR2350" s="340">
        <v>501.05</v>
      </c>
      <c r="CS2350" s="340" t="s">
        <v>323</v>
      </c>
      <c r="CT2350" s="1384"/>
      <c r="DF2350" s="340">
        <v>271.05</v>
      </c>
      <c r="DG2350" s="340" t="s">
        <v>342</v>
      </c>
      <c r="DV2350" s="340">
        <v>510.02</v>
      </c>
      <c r="DW2350" s="340" t="s">
        <v>289</v>
      </c>
      <c r="DX2350" s="1671"/>
    </row>
    <row r="2351" spans="12:128">
      <c r="L2351" s="2481">
        <v>273.26</v>
      </c>
      <c r="M2351" s="340" t="s">
        <v>342</v>
      </c>
      <c r="N2351" s="1390"/>
      <c r="O2351" s="2479"/>
      <c r="P2351" s="2282"/>
      <c r="AG2351" s="2297">
        <v>601.16</v>
      </c>
      <c r="AH2351" s="2297" t="s">
        <v>289</v>
      </c>
      <c r="AI2351" s="1390"/>
      <c r="AJ2351" s="2282"/>
      <c r="AK2351" s="2282"/>
      <c r="AL2351" s="1037"/>
      <c r="AX2351" s="340">
        <v>227</v>
      </c>
      <c r="AY2351" s="340" t="s">
        <v>342</v>
      </c>
      <c r="BN2351" s="340">
        <v>502.01</v>
      </c>
      <c r="BO2351" s="340" t="s">
        <v>318</v>
      </c>
      <c r="BP2351" s="1385"/>
      <c r="BV2351" s="236">
        <v>17.03</v>
      </c>
      <c r="BW2351" s="236" t="s">
        <v>330</v>
      </c>
      <c r="CB2351" s="340">
        <v>227</v>
      </c>
      <c r="CC2351" s="340" t="s">
        <v>342</v>
      </c>
      <c r="CL2351" s="236">
        <v>132.03</v>
      </c>
      <c r="CM2351" s="236" t="s">
        <v>316</v>
      </c>
      <c r="CR2351" s="340">
        <v>501.06</v>
      </c>
      <c r="CS2351" s="340" t="s">
        <v>323</v>
      </c>
      <c r="CT2351" s="1384"/>
      <c r="DF2351" s="340">
        <v>271.06</v>
      </c>
      <c r="DG2351" s="340" t="s">
        <v>342</v>
      </c>
      <c r="DV2351" s="340">
        <v>601.02</v>
      </c>
      <c r="DW2351" s="340" t="s">
        <v>323</v>
      </c>
      <c r="DX2351" s="1671"/>
    </row>
    <row r="2352" spans="12:128">
      <c r="L2352" s="2481">
        <v>273.27</v>
      </c>
      <c r="M2352" s="340" t="s">
        <v>342</v>
      </c>
      <c r="N2352" s="1390"/>
      <c r="O2352" s="2479"/>
      <c r="P2352" s="2282"/>
      <c r="AG2352" s="2297">
        <v>601.17999999999995</v>
      </c>
      <c r="AH2352" s="2297" t="s">
        <v>289</v>
      </c>
      <c r="AI2352" s="1390"/>
      <c r="AJ2352" s="2282"/>
      <c r="AK2352" s="2282"/>
      <c r="AL2352" s="1037"/>
      <c r="AX2352" s="340">
        <v>228.02</v>
      </c>
      <c r="AY2352" s="340" t="s">
        <v>342</v>
      </c>
      <c r="BN2352" s="340">
        <v>502.01</v>
      </c>
      <c r="BO2352" s="340" t="s">
        <v>335</v>
      </c>
      <c r="BP2352" s="1385"/>
      <c r="BV2352" s="236">
        <v>18.03</v>
      </c>
      <c r="BW2352" s="236" t="s">
        <v>330</v>
      </c>
      <c r="CB2352" s="340">
        <v>228.02</v>
      </c>
      <c r="CC2352" s="340" t="s">
        <v>342</v>
      </c>
      <c r="CL2352" s="236">
        <v>132.04</v>
      </c>
      <c r="CM2352" s="236" t="s">
        <v>316</v>
      </c>
      <c r="CR2352" s="340">
        <v>502.01</v>
      </c>
      <c r="CS2352" s="340" t="s">
        <v>318</v>
      </c>
      <c r="CT2352" s="1384"/>
      <c r="DF2352" s="340">
        <v>272.02</v>
      </c>
      <c r="DG2352" s="340" t="s">
        <v>342</v>
      </c>
      <c r="DV2352" s="340">
        <v>601.03</v>
      </c>
      <c r="DW2352" s="340" t="s">
        <v>305</v>
      </c>
      <c r="DX2352" s="1671"/>
    </row>
    <row r="2353" spans="12:128">
      <c r="L2353" s="2481">
        <v>273.27999999999997</v>
      </c>
      <c r="M2353" s="340" t="s">
        <v>342</v>
      </c>
      <c r="N2353" s="1390"/>
      <c r="O2353" s="2479"/>
      <c r="P2353" s="2282"/>
      <c r="AG2353" s="2297">
        <v>601.19000000000005</v>
      </c>
      <c r="AH2353" s="2297" t="s">
        <v>289</v>
      </c>
      <c r="AI2353" s="1390"/>
      <c r="AJ2353" s="2282"/>
      <c r="AK2353" s="2282"/>
      <c r="AL2353" s="1037"/>
      <c r="AX2353" s="340">
        <v>229.01</v>
      </c>
      <c r="AY2353" s="340" t="s">
        <v>342</v>
      </c>
      <c r="BN2353" s="340">
        <v>502.02</v>
      </c>
      <c r="BO2353" s="340" t="s">
        <v>318</v>
      </c>
      <c r="BP2353" s="1385"/>
      <c r="BV2353" s="236">
        <v>18.04</v>
      </c>
      <c r="BW2353" s="236" t="s">
        <v>330</v>
      </c>
      <c r="CB2353" s="340">
        <v>229.01</v>
      </c>
      <c r="CC2353" s="340" t="s">
        <v>342</v>
      </c>
      <c r="CL2353" s="236">
        <v>132.05000000000001</v>
      </c>
      <c r="CM2353" s="236" t="s">
        <v>316</v>
      </c>
      <c r="CR2353" s="340">
        <v>502.01</v>
      </c>
      <c r="CS2353" s="340" t="s">
        <v>335</v>
      </c>
      <c r="CT2353" s="1384"/>
      <c r="DF2353" s="340">
        <v>272.04000000000002</v>
      </c>
      <c r="DG2353" s="340" t="s">
        <v>342</v>
      </c>
      <c r="DV2353" s="340">
        <v>601.04999999999995</v>
      </c>
      <c r="DW2353" s="340" t="s">
        <v>305</v>
      </c>
      <c r="DX2353" s="1671"/>
    </row>
    <row r="2354" spans="12:128">
      <c r="L2354" s="2481">
        <v>273.29000000000002</v>
      </c>
      <c r="M2354" s="340" t="s">
        <v>342</v>
      </c>
      <c r="N2354" s="1390"/>
      <c r="O2354" s="2479"/>
      <c r="P2354" s="2282"/>
      <c r="AG2354" s="2297">
        <v>601.20000000000005</v>
      </c>
      <c r="AH2354" s="2297" t="s">
        <v>289</v>
      </c>
      <c r="AI2354" s="1390"/>
      <c r="AJ2354" s="2282"/>
      <c r="AK2354" s="2282"/>
      <c r="AL2354" s="1037"/>
      <c r="AX2354" s="340">
        <v>232</v>
      </c>
      <c r="AY2354" s="340" t="s">
        <v>342</v>
      </c>
      <c r="BN2354" s="340">
        <v>502.03</v>
      </c>
      <c r="BO2354" s="340" t="s">
        <v>335</v>
      </c>
      <c r="BP2354" s="1385"/>
      <c r="BV2354" s="236">
        <v>18.05</v>
      </c>
      <c r="BW2354" s="236" t="s">
        <v>330</v>
      </c>
      <c r="CB2354" s="340">
        <v>232</v>
      </c>
      <c r="CC2354" s="340" t="s">
        <v>342</v>
      </c>
      <c r="CL2354" s="236">
        <v>132.06</v>
      </c>
      <c r="CM2354" s="236" t="s">
        <v>316</v>
      </c>
      <c r="CR2354" s="340">
        <v>502.03</v>
      </c>
      <c r="CS2354" s="340" t="s">
        <v>335</v>
      </c>
      <c r="CT2354" s="1384"/>
      <c r="DF2354" s="340">
        <v>272.06</v>
      </c>
      <c r="DG2354" s="340" t="s">
        <v>342</v>
      </c>
      <c r="DV2354" s="340">
        <v>601.05999999999995</v>
      </c>
      <c r="DW2354" s="340" t="s">
        <v>288</v>
      </c>
      <c r="DX2354" s="1671"/>
    </row>
    <row r="2355" spans="12:128">
      <c r="L2355" s="2481">
        <v>273.32</v>
      </c>
      <c r="M2355" s="340" t="s">
        <v>342</v>
      </c>
      <c r="N2355" s="1390"/>
      <c r="O2355" s="2479"/>
      <c r="P2355" s="2282"/>
      <c r="AG2355" s="2297">
        <v>601.21</v>
      </c>
      <c r="AH2355" s="2297" t="s">
        <v>289</v>
      </c>
      <c r="AI2355" s="1390"/>
      <c r="AJ2355" s="2282"/>
      <c r="AK2355" s="2282"/>
      <c r="AL2355" s="1037"/>
      <c r="AX2355" s="340">
        <v>233</v>
      </c>
      <c r="AY2355" s="340" t="s">
        <v>342</v>
      </c>
      <c r="BN2355" s="340">
        <v>502.04</v>
      </c>
      <c r="BO2355" s="340" t="s">
        <v>323</v>
      </c>
      <c r="BP2355" s="1385"/>
      <c r="BV2355" s="236">
        <v>18.059999999999999</v>
      </c>
      <c r="BW2355" s="236" t="s">
        <v>330</v>
      </c>
      <c r="CB2355" s="340">
        <v>233</v>
      </c>
      <c r="CC2355" s="340" t="s">
        <v>342</v>
      </c>
      <c r="CL2355" s="236">
        <v>132.07</v>
      </c>
      <c r="CM2355" s="236" t="s">
        <v>316</v>
      </c>
      <c r="CR2355" s="340">
        <v>502.04</v>
      </c>
      <c r="CS2355" s="340" t="s">
        <v>323</v>
      </c>
      <c r="CT2355" s="1384"/>
      <c r="DF2355" s="340">
        <v>272.07</v>
      </c>
      <c r="DG2355" s="340" t="s">
        <v>342</v>
      </c>
      <c r="DV2355" s="340">
        <v>601.05999999999995</v>
      </c>
      <c r="DW2355" s="340" t="s">
        <v>305</v>
      </c>
      <c r="DX2355" s="1671"/>
    </row>
    <row r="2356" spans="12:128">
      <c r="L2356" s="2481">
        <v>274.01</v>
      </c>
      <c r="M2356" s="340" t="s">
        <v>342</v>
      </c>
      <c r="N2356" s="1390"/>
      <c r="O2356" s="2479"/>
      <c r="P2356" s="2282"/>
      <c r="AG2356" s="2297">
        <v>601.22</v>
      </c>
      <c r="AH2356" s="2297" t="s">
        <v>289</v>
      </c>
      <c r="AI2356" s="1390"/>
      <c r="AJ2356" s="2282"/>
      <c r="AK2356" s="2282"/>
      <c r="AL2356" s="1037"/>
      <c r="AX2356" s="340">
        <v>234</v>
      </c>
      <c r="AY2356" s="340" t="s">
        <v>342</v>
      </c>
      <c r="BN2356" s="340">
        <v>502.04</v>
      </c>
      <c r="BO2356" s="340" t="s">
        <v>335</v>
      </c>
      <c r="BP2356" s="1385"/>
      <c r="BV2356" s="236">
        <v>9900</v>
      </c>
      <c r="BW2356" s="236" t="s">
        <v>330</v>
      </c>
      <c r="CB2356" s="340">
        <v>234</v>
      </c>
      <c r="CC2356" s="340" t="s">
        <v>342</v>
      </c>
      <c r="CL2356" s="236">
        <v>132.08000000000001</v>
      </c>
      <c r="CM2356" s="236" t="s">
        <v>316</v>
      </c>
      <c r="CR2356" s="340">
        <v>502.04</v>
      </c>
      <c r="CS2356" s="340" t="s">
        <v>335</v>
      </c>
      <c r="CT2356" s="1384"/>
      <c r="DF2356" s="340">
        <v>272.08</v>
      </c>
      <c r="DG2356" s="340" t="s">
        <v>342</v>
      </c>
      <c r="DV2356" s="340">
        <v>601.09</v>
      </c>
      <c r="DW2356" s="340" t="s">
        <v>289</v>
      </c>
      <c r="DX2356" s="1671"/>
    </row>
    <row r="2357" spans="12:128">
      <c r="L2357" s="2481">
        <v>275.01</v>
      </c>
      <c r="M2357" s="340" t="s">
        <v>342</v>
      </c>
      <c r="N2357" s="1390"/>
      <c r="O2357" s="2479"/>
      <c r="P2357" s="2282"/>
      <c r="AG2357" s="2297">
        <v>601.25</v>
      </c>
      <c r="AH2357" s="2297" t="s">
        <v>289</v>
      </c>
      <c r="AI2357" s="1390"/>
      <c r="AJ2357" s="2282"/>
      <c r="AK2357" s="2282"/>
      <c r="AL2357" s="1037"/>
      <c r="AX2357" s="340">
        <v>235.01</v>
      </c>
      <c r="AY2357" s="340" t="s">
        <v>342</v>
      </c>
      <c r="BN2357" s="340">
        <v>502.05</v>
      </c>
      <c r="BO2357" s="340" t="s">
        <v>289</v>
      </c>
      <c r="BP2357" s="1385"/>
      <c r="BV2357" s="236">
        <v>9901</v>
      </c>
      <c r="BW2357" s="236" t="s">
        <v>330</v>
      </c>
      <c r="CB2357" s="340">
        <v>235.01</v>
      </c>
      <c r="CC2357" s="340" t="s">
        <v>342</v>
      </c>
      <c r="CL2357" s="236">
        <v>133</v>
      </c>
      <c r="CM2357" s="236" t="s">
        <v>338</v>
      </c>
      <c r="CR2357" s="340">
        <v>502.05</v>
      </c>
      <c r="CS2357" s="340" t="s">
        <v>289</v>
      </c>
      <c r="CT2357" s="1384"/>
      <c r="DF2357" s="340">
        <v>272.08999999999997</v>
      </c>
      <c r="DG2357" s="340" t="s">
        <v>342</v>
      </c>
      <c r="DV2357" s="340">
        <v>601.13</v>
      </c>
      <c r="DW2357" s="340" t="s">
        <v>289</v>
      </c>
      <c r="DX2357" s="1671"/>
    </row>
    <row r="2358" spans="12:128">
      <c r="L2358" s="2481">
        <v>275.04000000000002</v>
      </c>
      <c r="M2358" s="340" t="s">
        <v>342</v>
      </c>
      <c r="N2358" s="1390"/>
      <c r="O2358" s="2479"/>
      <c r="P2358" s="2282"/>
      <c r="AG2358" s="2297">
        <v>601.27</v>
      </c>
      <c r="AH2358" s="2297" t="s">
        <v>289</v>
      </c>
      <c r="AI2358" s="1390"/>
      <c r="AJ2358" s="2282"/>
      <c r="AK2358" s="2282"/>
      <c r="AL2358" s="1037"/>
      <c r="AX2358" s="340">
        <v>235.02</v>
      </c>
      <c r="AY2358" s="340" t="s">
        <v>342</v>
      </c>
      <c r="BN2358" s="340">
        <v>502.05</v>
      </c>
      <c r="BO2358" s="340" t="s">
        <v>335</v>
      </c>
      <c r="BP2358" s="1385"/>
      <c r="BV2358" s="236">
        <v>1.07</v>
      </c>
      <c r="BW2358" s="236" t="s">
        <v>331</v>
      </c>
      <c r="CB2358" s="340">
        <v>235.02</v>
      </c>
      <c r="CC2358" s="340" t="s">
        <v>342</v>
      </c>
      <c r="CL2358" s="236">
        <v>133</v>
      </c>
      <c r="CM2358" s="236" t="s">
        <v>344</v>
      </c>
      <c r="CR2358" s="340">
        <v>502.05</v>
      </c>
      <c r="CS2358" s="340" t="s">
        <v>335</v>
      </c>
      <c r="CT2358" s="1384"/>
      <c r="DF2358" s="340">
        <v>272.10000000000002</v>
      </c>
      <c r="DG2358" s="340" t="s">
        <v>342</v>
      </c>
      <c r="DV2358" s="340">
        <v>601.14</v>
      </c>
      <c r="DW2358" s="340" t="s">
        <v>289</v>
      </c>
      <c r="DX2358" s="1671"/>
    </row>
    <row r="2359" spans="12:128">
      <c r="L2359" s="2481">
        <v>276.02999999999997</v>
      </c>
      <c r="M2359" s="340" t="s">
        <v>342</v>
      </c>
      <c r="N2359" s="1390"/>
      <c r="O2359" s="2479"/>
      <c r="P2359" s="2282"/>
      <c r="AG2359" s="2297">
        <v>602.01</v>
      </c>
      <c r="AH2359" s="2297" t="s">
        <v>288</v>
      </c>
      <c r="AI2359" s="1390"/>
      <c r="AJ2359" s="2282"/>
      <c r="AK2359" s="2282"/>
      <c r="AL2359" s="1037"/>
      <c r="AX2359" s="340">
        <v>236.01</v>
      </c>
      <c r="AY2359" s="340" t="s">
        <v>342</v>
      </c>
      <c r="BN2359" s="340">
        <v>502.06</v>
      </c>
      <c r="BO2359" s="340" t="s">
        <v>289</v>
      </c>
      <c r="BP2359" s="1385"/>
      <c r="BV2359" s="236">
        <v>1.0900000000000001</v>
      </c>
      <c r="BW2359" s="236" t="s">
        <v>331</v>
      </c>
      <c r="CB2359" s="340">
        <v>236.01</v>
      </c>
      <c r="CC2359" s="340" t="s">
        <v>342</v>
      </c>
      <c r="CL2359" s="236">
        <v>133.01</v>
      </c>
      <c r="CM2359" s="236" t="s">
        <v>302</v>
      </c>
      <c r="CR2359" s="340">
        <v>502.06</v>
      </c>
      <c r="CS2359" s="340" t="s">
        <v>289</v>
      </c>
      <c r="CT2359" s="1384"/>
      <c r="DF2359" s="340">
        <v>272.11</v>
      </c>
      <c r="DG2359" s="340" t="s">
        <v>342</v>
      </c>
      <c r="DV2359" s="340">
        <v>601.16</v>
      </c>
      <c r="DW2359" s="340" t="s">
        <v>289</v>
      </c>
      <c r="DX2359" s="1671"/>
    </row>
    <row r="2360" spans="12:128">
      <c r="L2360" s="2481">
        <v>276.04000000000002</v>
      </c>
      <c r="M2360" s="340" t="s">
        <v>342</v>
      </c>
      <c r="N2360" s="1390"/>
      <c r="O2360" s="2479"/>
      <c r="P2360" s="2282"/>
      <c r="AG2360" s="2297">
        <v>602.01</v>
      </c>
      <c r="AH2360" s="2297" t="s">
        <v>323</v>
      </c>
      <c r="AI2360" s="1390"/>
      <c r="AJ2360" s="2282"/>
      <c r="AK2360" s="2282"/>
      <c r="AL2360" s="1037"/>
      <c r="AX2360" s="340">
        <v>236.02</v>
      </c>
      <c r="AY2360" s="340" t="s">
        <v>342</v>
      </c>
      <c r="BN2360" s="340">
        <v>502.06</v>
      </c>
      <c r="BO2360" s="340" t="s">
        <v>323</v>
      </c>
      <c r="BP2360" s="1385"/>
      <c r="BV2360" s="236">
        <v>1.1499999999999999</v>
      </c>
      <c r="BW2360" s="236" t="s">
        <v>331</v>
      </c>
      <c r="CB2360" s="340">
        <v>236.02</v>
      </c>
      <c r="CC2360" s="340" t="s">
        <v>342</v>
      </c>
      <c r="CL2360" s="236">
        <v>133.01</v>
      </c>
      <c r="CM2360" s="236" t="s">
        <v>331</v>
      </c>
      <c r="CR2360" s="340">
        <v>502.06</v>
      </c>
      <c r="CS2360" s="340" t="s">
        <v>323</v>
      </c>
      <c r="CT2360" s="1384"/>
      <c r="DF2360" s="340">
        <v>272.12</v>
      </c>
      <c r="DG2360" s="340" t="s">
        <v>342</v>
      </c>
      <c r="DV2360" s="340">
        <v>601.17999999999995</v>
      </c>
      <c r="DW2360" s="340" t="s">
        <v>289</v>
      </c>
      <c r="DX2360" s="1671"/>
    </row>
    <row r="2361" spans="12:128">
      <c r="L2361" s="2481">
        <v>276.05</v>
      </c>
      <c r="M2361" s="340" t="s">
        <v>342</v>
      </c>
      <c r="N2361" s="1390"/>
      <c r="O2361" s="2479"/>
      <c r="P2361" s="2282"/>
      <c r="AG2361" s="2297">
        <v>602.02</v>
      </c>
      <c r="AH2361" s="2297" t="s">
        <v>288</v>
      </c>
      <c r="AI2361" s="1390"/>
      <c r="AJ2361" s="2282"/>
      <c r="AK2361" s="2282"/>
      <c r="AL2361" s="1037"/>
      <c r="AX2361" s="340">
        <v>237</v>
      </c>
      <c r="AY2361" s="340" t="s">
        <v>342</v>
      </c>
      <c r="BN2361" s="340">
        <v>502.07</v>
      </c>
      <c r="BO2361" s="340" t="s">
        <v>323</v>
      </c>
      <c r="BP2361" s="1385"/>
      <c r="BV2361" s="236">
        <v>1.18</v>
      </c>
      <c r="BW2361" s="236" t="s">
        <v>331</v>
      </c>
      <c r="CB2361" s="340">
        <v>237</v>
      </c>
      <c r="CC2361" s="340" t="s">
        <v>342</v>
      </c>
      <c r="CL2361" s="236">
        <v>133.02000000000001</v>
      </c>
      <c r="CM2361" s="236" t="s">
        <v>302</v>
      </c>
      <c r="CR2361" s="340">
        <v>502.07</v>
      </c>
      <c r="CS2361" s="340" t="s">
        <v>323</v>
      </c>
      <c r="CT2361" s="1384"/>
      <c r="DF2361" s="340">
        <v>273.08999999999997</v>
      </c>
      <c r="DG2361" s="340" t="s">
        <v>342</v>
      </c>
      <c r="DV2361" s="340">
        <v>601.19000000000005</v>
      </c>
      <c r="DW2361" s="340" t="s">
        <v>289</v>
      </c>
      <c r="DX2361" s="1671"/>
    </row>
    <row r="2362" spans="12:128">
      <c r="L2362" s="2481">
        <v>276.06</v>
      </c>
      <c r="M2362" s="340" t="s">
        <v>342</v>
      </c>
      <c r="N2362" s="1390"/>
      <c r="O2362" s="2479"/>
      <c r="P2362" s="2282"/>
      <c r="AG2362" s="2297">
        <v>602.02</v>
      </c>
      <c r="AH2362" s="2297" t="s">
        <v>323</v>
      </c>
      <c r="AI2362" s="1390"/>
      <c r="AJ2362" s="2282"/>
      <c r="AK2362" s="2282"/>
      <c r="AL2362" s="1037"/>
      <c r="AX2362" s="340">
        <v>238</v>
      </c>
      <c r="AY2362" s="340" t="s">
        <v>342</v>
      </c>
      <c r="BN2362" s="340">
        <v>502.08</v>
      </c>
      <c r="BO2362" s="340" t="s">
        <v>323</v>
      </c>
      <c r="BP2362" s="1385"/>
      <c r="BV2362" s="236">
        <v>1.2</v>
      </c>
      <c r="BW2362" s="236" t="s">
        <v>331</v>
      </c>
      <c r="CB2362" s="340">
        <v>238</v>
      </c>
      <c r="CC2362" s="340" t="s">
        <v>342</v>
      </c>
      <c r="CL2362" s="236">
        <v>133.02000000000001</v>
      </c>
      <c r="CM2362" s="236" t="s">
        <v>331</v>
      </c>
      <c r="CR2362" s="340">
        <v>502.08</v>
      </c>
      <c r="CS2362" s="340" t="s">
        <v>323</v>
      </c>
      <c r="CT2362" s="1384"/>
      <c r="DF2362" s="340">
        <v>273.14</v>
      </c>
      <c r="DG2362" s="340" t="s">
        <v>342</v>
      </c>
      <c r="DV2362" s="340">
        <v>601.20000000000005</v>
      </c>
      <c r="DW2362" s="340" t="s">
        <v>289</v>
      </c>
      <c r="DX2362" s="1671"/>
    </row>
    <row r="2363" spans="12:128">
      <c r="L2363" s="2481">
        <v>277.01</v>
      </c>
      <c r="M2363" s="340" t="s">
        <v>342</v>
      </c>
      <c r="N2363" s="1390"/>
      <c r="O2363" s="2479"/>
      <c r="P2363" s="2282"/>
      <c r="AG2363" s="2297">
        <v>602.03</v>
      </c>
      <c r="AH2363" s="2297" t="s">
        <v>323</v>
      </c>
      <c r="AI2363" s="1390"/>
      <c r="AJ2363" s="2282"/>
      <c r="AK2363" s="2282"/>
      <c r="AL2363" s="1037"/>
      <c r="AX2363" s="340">
        <v>239</v>
      </c>
      <c r="AY2363" s="340" t="s">
        <v>342</v>
      </c>
      <c r="BN2363" s="340">
        <v>502.1</v>
      </c>
      <c r="BO2363" s="340" t="s">
        <v>323</v>
      </c>
      <c r="BP2363" s="1385"/>
      <c r="BV2363" s="236">
        <v>1.21</v>
      </c>
      <c r="BW2363" s="236" t="s">
        <v>331</v>
      </c>
      <c r="CB2363" s="340">
        <v>239</v>
      </c>
      <c r="CC2363" s="340" t="s">
        <v>342</v>
      </c>
      <c r="CL2363" s="236">
        <v>133.05000000000001</v>
      </c>
      <c r="CM2363" s="236" t="s">
        <v>316</v>
      </c>
      <c r="CR2363" s="340">
        <v>502.1</v>
      </c>
      <c r="CS2363" s="340" t="s">
        <v>323</v>
      </c>
      <c r="CT2363" s="1384"/>
      <c r="DF2363" s="340">
        <v>273.16000000000003</v>
      </c>
      <c r="DG2363" s="340" t="s">
        <v>342</v>
      </c>
      <c r="DV2363" s="340">
        <v>601.21</v>
      </c>
      <c r="DW2363" s="340" t="s">
        <v>289</v>
      </c>
      <c r="DX2363" s="1671"/>
    </row>
    <row r="2364" spans="12:128">
      <c r="L2364" s="2481">
        <v>277.02999999999997</v>
      </c>
      <c r="M2364" s="340" t="s">
        <v>342</v>
      </c>
      <c r="N2364" s="1390"/>
      <c r="O2364" s="2479"/>
      <c r="P2364" s="2282"/>
      <c r="AG2364" s="2297">
        <v>602.07000000000005</v>
      </c>
      <c r="AH2364" s="2297" t="s">
        <v>305</v>
      </c>
      <c r="AI2364" s="1390"/>
      <c r="AJ2364" s="2282"/>
      <c r="AK2364" s="2282"/>
      <c r="AL2364" s="1037"/>
      <c r="AX2364" s="340">
        <v>240.01</v>
      </c>
      <c r="AY2364" s="340" t="s">
        <v>342</v>
      </c>
      <c r="BN2364" s="340">
        <v>502.11</v>
      </c>
      <c r="BO2364" s="340" t="s">
        <v>323</v>
      </c>
      <c r="BP2364" s="1385"/>
      <c r="BV2364" s="236">
        <v>1.22</v>
      </c>
      <c r="BW2364" s="236" t="s">
        <v>331</v>
      </c>
      <c r="CB2364" s="340">
        <v>240.01</v>
      </c>
      <c r="CC2364" s="340" t="s">
        <v>342</v>
      </c>
      <c r="CL2364" s="236">
        <v>133.07</v>
      </c>
      <c r="CM2364" s="236" t="s">
        <v>316</v>
      </c>
      <c r="CR2364" s="340">
        <v>502.11</v>
      </c>
      <c r="CS2364" s="340" t="s">
        <v>323</v>
      </c>
      <c r="CT2364" s="1384"/>
      <c r="DF2364" s="340">
        <v>273.17</v>
      </c>
      <c r="DG2364" s="340" t="s">
        <v>342</v>
      </c>
      <c r="DV2364" s="340">
        <v>601.22</v>
      </c>
      <c r="DW2364" s="340" t="s">
        <v>289</v>
      </c>
      <c r="DX2364" s="1671"/>
    </row>
    <row r="2365" spans="12:128">
      <c r="L2365" s="2481">
        <v>277.04000000000002</v>
      </c>
      <c r="M2365" s="340" t="s">
        <v>342</v>
      </c>
      <c r="N2365" s="1390"/>
      <c r="O2365" s="2479"/>
      <c r="P2365" s="2282"/>
      <c r="AG2365" s="2297">
        <v>602.08000000000004</v>
      </c>
      <c r="AH2365" s="2297" t="s">
        <v>305</v>
      </c>
      <c r="AI2365" s="1390"/>
      <c r="AJ2365" s="2282"/>
      <c r="AK2365" s="2282"/>
      <c r="AL2365" s="1037"/>
      <c r="AX2365" s="340">
        <v>240.02</v>
      </c>
      <c r="AY2365" s="340" t="s">
        <v>342</v>
      </c>
      <c r="BN2365" s="340">
        <v>502.12</v>
      </c>
      <c r="BO2365" s="340" t="s">
        <v>323</v>
      </c>
      <c r="BP2365" s="1385"/>
      <c r="BV2365" s="236">
        <v>1.23</v>
      </c>
      <c r="BW2365" s="236" t="s">
        <v>331</v>
      </c>
      <c r="CB2365" s="340">
        <v>240.02</v>
      </c>
      <c r="CC2365" s="340" t="s">
        <v>342</v>
      </c>
      <c r="CL2365" s="236">
        <v>133.1</v>
      </c>
      <c r="CM2365" s="236" t="s">
        <v>316</v>
      </c>
      <c r="CR2365" s="340">
        <v>502.12</v>
      </c>
      <c r="CS2365" s="340" t="s">
        <v>323</v>
      </c>
      <c r="CT2365" s="1384"/>
      <c r="DF2365" s="340">
        <v>273.18</v>
      </c>
      <c r="DG2365" s="340" t="s">
        <v>342</v>
      </c>
      <c r="DV2365" s="340">
        <v>601.23</v>
      </c>
      <c r="DW2365" s="340" t="s">
        <v>289</v>
      </c>
      <c r="DX2365" s="1671"/>
    </row>
    <row r="2366" spans="12:128">
      <c r="L2366" s="2481">
        <v>278.02</v>
      </c>
      <c r="M2366" s="340" t="s">
        <v>342</v>
      </c>
      <c r="N2366" s="1390"/>
      <c r="O2366" s="2479"/>
      <c r="P2366" s="2282"/>
      <c r="AG2366" s="2297">
        <v>602.09</v>
      </c>
      <c r="AH2366" s="2297" t="s">
        <v>289</v>
      </c>
      <c r="AI2366" s="1390"/>
      <c r="AJ2366" s="2282"/>
      <c r="AK2366" s="2282"/>
      <c r="AL2366" s="1037"/>
      <c r="AX2366" s="340">
        <v>240.04</v>
      </c>
      <c r="AY2366" s="340" t="s">
        <v>342</v>
      </c>
      <c r="BN2366" s="340">
        <v>502.13</v>
      </c>
      <c r="BO2366" s="340" t="s">
        <v>323</v>
      </c>
      <c r="BP2366" s="1385"/>
      <c r="BV2366" s="236">
        <v>1.24</v>
      </c>
      <c r="BW2366" s="236" t="s">
        <v>331</v>
      </c>
      <c r="CB2366" s="340">
        <v>240.04</v>
      </c>
      <c r="CC2366" s="340" t="s">
        <v>342</v>
      </c>
      <c r="CL2366" s="236">
        <v>133.11000000000001</v>
      </c>
      <c r="CM2366" s="236" t="s">
        <v>316</v>
      </c>
      <c r="CR2366" s="340">
        <v>502.13</v>
      </c>
      <c r="CS2366" s="340" t="s">
        <v>323</v>
      </c>
      <c r="CT2366" s="1384"/>
      <c r="DF2366" s="340">
        <v>273.19</v>
      </c>
      <c r="DG2366" s="340" t="s">
        <v>342</v>
      </c>
      <c r="DV2366" s="340">
        <v>601.25</v>
      </c>
      <c r="DW2366" s="340" t="s">
        <v>289</v>
      </c>
      <c r="DX2366" s="1671"/>
    </row>
    <row r="2367" spans="12:128">
      <c r="L2367" s="2481">
        <v>279.01</v>
      </c>
      <c r="M2367" s="340" t="s">
        <v>342</v>
      </c>
      <c r="N2367" s="1390"/>
      <c r="O2367" s="2479"/>
      <c r="P2367" s="2282"/>
      <c r="AG2367" s="2297">
        <v>602.1</v>
      </c>
      <c r="AH2367" s="2297" t="s">
        <v>289</v>
      </c>
      <c r="AI2367" s="1390"/>
      <c r="AJ2367" s="2282"/>
      <c r="AK2367" s="2282"/>
      <c r="AL2367" s="1037"/>
      <c r="AX2367" s="340">
        <v>240.05</v>
      </c>
      <c r="AY2367" s="340" t="s">
        <v>342</v>
      </c>
      <c r="BN2367" s="340">
        <v>503.05</v>
      </c>
      <c r="BO2367" s="340" t="s">
        <v>323</v>
      </c>
      <c r="BP2367" s="1385"/>
      <c r="BV2367" s="236">
        <v>1.25</v>
      </c>
      <c r="BW2367" s="236" t="s">
        <v>331</v>
      </c>
      <c r="CB2367" s="340">
        <v>240.05</v>
      </c>
      <c r="CC2367" s="340" t="s">
        <v>342</v>
      </c>
      <c r="CL2367" s="236">
        <v>133.12</v>
      </c>
      <c r="CM2367" s="236" t="s">
        <v>316</v>
      </c>
      <c r="CR2367" s="340">
        <v>503.04</v>
      </c>
      <c r="CS2367" s="340" t="s">
        <v>335</v>
      </c>
      <c r="CT2367" s="1384"/>
      <c r="DF2367" s="340">
        <v>273.2</v>
      </c>
      <c r="DG2367" s="340" t="s">
        <v>342</v>
      </c>
      <c r="DV2367" s="340">
        <v>601.26</v>
      </c>
      <c r="DW2367" s="340" t="s">
        <v>289</v>
      </c>
      <c r="DX2367" s="1671"/>
    </row>
    <row r="2368" spans="12:128">
      <c r="L2368" s="2481">
        <v>279.05</v>
      </c>
      <c r="M2368" s="340" t="s">
        <v>342</v>
      </c>
      <c r="N2368" s="1390"/>
      <c r="O2368" s="2479"/>
      <c r="P2368" s="2282"/>
      <c r="AG2368" s="2297">
        <v>602.11</v>
      </c>
      <c r="AH2368" s="2297" t="s">
        <v>305</v>
      </c>
      <c r="AI2368" s="1390"/>
      <c r="AJ2368" s="2282"/>
      <c r="AK2368" s="2282"/>
      <c r="AL2368" s="1037"/>
      <c r="AX2368" s="340">
        <v>241</v>
      </c>
      <c r="AY2368" s="340" t="s">
        <v>342</v>
      </c>
      <c r="BN2368" s="340">
        <v>503.06</v>
      </c>
      <c r="BO2368" s="340" t="s">
        <v>318</v>
      </c>
      <c r="BP2368" s="1385"/>
      <c r="BV2368" s="236">
        <v>1.26</v>
      </c>
      <c r="BW2368" s="236" t="s">
        <v>331</v>
      </c>
      <c r="CB2368" s="340">
        <v>241</v>
      </c>
      <c r="CC2368" s="340" t="s">
        <v>342</v>
      </c>
      <c r="CL2368" s="236">
        <v>133.13</v>
      </c>
      <c r="CM2368" s="236" t="s">
        <v>316</v>
      </c>
      <c r="CR2368" s="340">
        <v>503.05</v>
      </c>
      <c r="CS2368" s="340" t="s">
        <v>323</v>
      </c>
      <c r="CT2368" s="1384"/>
      <c r="DF2368" s="340">
        <v>273.20999999999998</v>
      </c>
      <c r="DG2368" s="340" t="s">
        <v>342</v>
      </c>
      <c r="DV2368" s="340">
        <v>602.01</v>
      </c>
      <c r="DW2368" s="340" t="s">
        <v>288</v>
      </c>
      <c r="DX2368" s="1671"/>
    </row>
    <row r="2369" spans="12:128">
      <c r="L2369" s="2481">
        <v>280.02</v>
      </c>
      <c r="M2369" s="340" t="s">
        <v>342</v>
      </c>
      <c r="N2369" s="1390"/>
      <c r="O2369" s="2479"/>
      <c r="P2369" s="2282"/>
      <c r="AG2369" s="2297">
        <v>602.12</v>
      </c>
      <c r="AH2369" s="2297" t="s">
        <v>289</v>
      </c>
      <c r="AI2369" s="1390"/>
      <c r="AJ2369" s="2282"/>
      <c r="AK2369" s="2282"/>
      <c r="AL2369" s="1037"/>
      <c r="AX2369" s="340">
        <v>242.01</v>
      </c>
      <c r="AY2369" s="340" t="s">
        <v>342</v>
      </c>
      <c r="BN2369" s="340">
        <v>503.06</v>
      </c>
      <c r="BO2369" s="340" t="s">
        <v>323</v>
      </c>
      <c r="BP2369" s="1385"/>
      <c r="BV2369" s="236">
        <v>1.27</v>
      </c>
      <c r="BW2369" s="236" t="s">
        <v>331</v>
      </c>
      <c r="CB2369" s="340">
        <v>242.01</v>
      </c>
      <c r="CC2369" s="340" t="s">
        <v>342</v>
      </c>
      <c r="CL2369" s="236">
        <v>133.13999999999999</v>
      </c>
      <c r="CM2369" s="236" t="s">
        <v>316</v>
      </c>
      <c r="CR2369" s="340">
        <v>503.06</v>
      </c>
      <c r="CS2369" s="340" t="s">
        <v>318</v>
      </c>
      <c r="CT2369" s="1384"/>
      <c r="DF2369" s="340">
        <v>273.24</v>
      </c>
      <c r="DG2369" s="340" t="s">
        <v>342</v>
      </c>
      <c r="DV2369" s="340">
        <v>602.01</v>
      </c>
      <c r="DW2369" s="340" t="s">
        <v>323</v>
      </c>
      <c r="DX2369" s="1671"/>
    </row>
    <row r="2370" spans="12:128">
      <c r="L2370" s="2481">
        <v>280.05</v>
      </c>
      <c r="M2370" s="340" t="s">
        <v>342</v>
      </c>
      <c r="N2370" s="1390"/>
      <c r="O2370" s="2479"/>
      <c r="P2370" s="2282"/>
      <c r="AG2370" s="2297">
        <v>602.12</v>
      </c>
      <c r="AH2370" s="2297" t="s">
        <v>305</v>
      </c>
      <c r="AI2370" s="1390"/>
      <c r="AJ2370" s="2282"/>
      <c r="AK2370" s="2282"/>
      <c r="AL2370" s="1037"/>
      <c r="AX2370" s="340">
        <v>242.02</v>
      </c>
      <c r="AY2370" s="340" t="s">
        <v>342</v>
      </c>
      <c r="BN2370" s="340">
        <v>503.06</v>
      </c>
      <c r="BO2370" s="340" t="s">
        <v>335</v>
      </c>
      <c r="BP2370" s="1385"/>
      <c r="BV2370" s="236">
        <v>1.28</v>
      </c>
      <c r="BW2370" s="236" t="s">
        <v>331</v>
      </c>
      <c r="CB2370" s="340">
        <v>242.02</v>
      </c>
      <c r="CC2370" s="340" t="s">
        <v>342</v>
      </c>
      <c r="CL2370" s="236">
        <v>133.15</v>
      </c>
      <c r="CM2370" s="236" t="s">
        <v>316</v>
      </c>
      <c r="CR2370" s="340">
        <v>503.06</v>
      </c>
      <c r="CS2370" s="340" t="s">
        <v>323</v>
      </c>
      <c r="CT2370" s="1384"/>
      <c r="DF2370" s="340">
        <v>273.25</v>
      </c>
      <c r="DG2370" s="340" t="s">
        <v>342</v>
      </c>
      <c r="DV2370" s="340">
        <v>602.02</v>
      </c>
      <c r="DW2370" s="340" t="s">
        <v>288</v>
      </c>
      <c r="DX2370" s="1671"/>
    </row>
    <row r="2371" spans="12:128">
      <c r="L2371" s="2481">
        <v>281.02</v>
      </c>
      <c r="M2371" s="340" t="s">
        <v>342</v>
      </c>
      <c r="N2371" s="1390"/>
      <c r="O2371" s="2479"/>
      <c r="P2371" s="2282"/>
      <c r="AG2371" s="2297">
        <v>602.15</v>
      </c>
      <c r="AH2371" s="2297" t="s">
        <v>305</v>
      </c>
      <c r="AI2371" s="1390"/>
      <c r="AJ2371" s="2282"/>
      <c r="AK2371" s="2282"/>
      <c r="AL2371" s="1037"/>
      <c r="AX2371" s="340">
        <v>243.01</v>
      </c>
      <c r="AY2371" s="340" t="s">
        <v>342</v>
      </c>
      <c r="BN2371" s="340">
        <v>503.07</v>
      </c>
      <c r="BO2371" s="340" t="s">
        <v>335</v>
      </c>
      <c r="BP2371" s="1385"/>
      <c r="BV2371" s="236">
        <v>1.29</v>
      </c>
      <c r="BW2371" s="236" t="s">
        <v>331</v>
      </c>
      <c r="CB2371" s="340">
        <v>244.06</v>
      </c>
      <c r="CC2371" s="340" t="s">
        <v>342</v>
      </c>
      <c r="CL2371" s="236">
        <v>133.16</v>
      </c>
      <c r="CM2371" s="236" t="s">
        <v>316</v>
      </c>
      <c r="CR2371" s="340">
        <v>503.06</v>
      </c>
      <c r="CS2371" s="340" t="s">
        <v>335</v>
      </c>
      <c r="CT2371" s="1384"/>
      <c r="DF2371" s="340">
        <v>273.27</v>
      </c>
      <c r="DG2371" s="340" t="s">
        <v>342</v>
      </c>
      <c r="DV2371" s="340">
        <v>602.02</v>
      </c>
      <c r="DW2371" s="340" t="s">
        <v>323</v>
      </c>
      <c r="DX2371" s="1671"/>
    </row>
    <row r="2372" spans="12:128">
      <c r="L2372" s="2481">
        <v>281.02999999999997</v>
      </c>
      <c r="M2372" s="340" t="s">
        <v>342</v>
      </c>
      <c r="N2372" s="1390"/>
      <c r="O2372" s="2479"/>
      <c r="P2372" s="2282"/>
      <c r="AG2372" s="2297">
        <v>602.16</v>
      </c>
      <c r="AH2372" s="2297" t="s">
        <v>305</v>
      </c>
      <c r="AI2372" s="1390"/>
      <c r="AJ2372" s="2282"/>
      <c r="AK2372" s="2282"/>
      <c r="AL2372" s="1037"/>
      <c r="AX2372" s="340">
        <v>244.06</v>
      </c>
      <c r="AY2372" s="340" t="s">
        <v>342</v>
      </c>
      <c r="BN2372" s="340">
        <v>503.08</v>
      </c>
      <c r="BO2372" s="340" t="s">
        <v>335</v>
      </c>
      <c r="BP2372" s="1385"/>
      <c r="BV2372" s="236">
        <v>1.3</v>
      </c>
      <c r="BW2372" s="236" t="s">
        <v>331</v>
      </c>
      <c r="CB2372" s="340">
        <v>244.09</v>
      </c>
      <c r="CC2372" s="340" t="s">
        <v>342</v>
      </c>
      <c r="CL2372" s="236">
        <v>133.16999999999999</v>
      </c>
      <c r="CM2372" s="236" t="s">
        <v>316</v>
      </c>
      <c r="CR2372" s="340">
        <v>503.07</v>
      </c>
      <c r="CS2372" s="340" t="s">
        <v>335</v>
      </c>
      <c r="CT2372" s="1384"/>
      <c r="DF2372" s="340">
        <v>273.27999999999997</v>
      </c>
      <c r="DG2372" s="340" t="s">
        <v>342</v>
      </c>
      <c r="DV2372" s="340">
        <v>602.03</v>
      </c>
      <c r="DW2372" s="340" t="s">
        <v>323</v>
      </c>
      <c r="DX2372" s="1671"/>
    </row>
    <row r="2373" spans="12:128">
      <c r="L2373" s="2481">
        <v>282</v>
      </c>
      <c r="M2373" s="340" t="s">
        <v>342</v>
      </c>
      <c r="N2373" s="1390"/>
      <c r="O2373" s="2479"/>
      <c r="P2373" s="2282"/>
      <c r="AG2373" s="2297">
        <v>602.17999999999995</v>
      </c>
      <c r="AH2373" s="2297" t="s">
        <v>305</v>
      </c>
      <c r="AI2373" s="1390"/>
      <c r="AJ2373" s="2282"/>
      <c r="AK2373" s="2282"/>
      <c r="AL2373" s="1037"/>
      <c r="AX2373" s="340">
        <v>244.08</v>
      </c>
      <c r="AY2373" s="340" t="s">
        <v>342</v>
      </c>
      <c r="BN2373" s="340">
        <v>503.09</v>
      </c>
      <c r="BO2373" s="340" t="s">
        <v>335</v>
      </c>
      <c r="BP2373" s="1385"/>
      <c r="BV2373" s="236">
        <v>1.31</v>
      </c>
      <c r="BW2373" s="236" t="s">
        <v>331</v>
      </c>
      <c r="CB2373" s="340">
        <v>244.11</v>
      </c>
      <c r="CC2373" s="340" t="s">
        <v>342</v>
      </c>
      <c r="CL2373" s="236">
        <v>133.19</v>
      </c>
      <c r="CM2373" s="236" t="s">
        <v>316</v>
      </c>
      <c r="CR2373" s="340">
        <v>503.08</v>
      </c>
      <c r="CS2373" s="340" t="s">
        <v>335</v>
      </c>
      <c r="CT2373" s="1384"/>
      <c r="DF2373" s="340">
        <v>273.29000000000002</v>
      </c>
      <c r="DG2373" s="340" t="s">
        <v>342</v>
      </c>
      <c r="DV2373" s="340">
        <v>602.07000000000005</v>
      </c>
      <c r="DW2373" s="340" t="s">
        <v>305</v>
      </c>
      <c r="DX2373" s="1671"/>
    </row>
    <row r="2374" spans="12:128">
      <c r="L2374" s="2481">
        <v>285</v>
      </c>
      <c r="M2374" s="340" t="s">
        <v>342</v>
      </c>
      <c r="N2374" s="1390"/>
      <c r="O2374" s="2479"/>
      <c r="P2374" s="2282"/>
      <c r="AG2374" s="2297">
        <v>603</v>
      </c>
      <c r="AH2374" s="2297" t="s">
        <v>323</v>
      </c>
      <c r="AI2374" s="1390"/>
      <c r="AJ2374" s="2282"/>
      <c r="AK2374" s="2282"/>
      <c r="AL2374" s="1037"/>
      <c r="AX2374" s="340">
        <v>244.09</v>
      </c>
      <c r="AY2374" s="340" t="s">
        <v>342</v>
      </c>
      <c r="BN2374" s="340">
        <v>503.1</v>
      </c>
      <c r="BO2374" s="340" t="s">
        <v>335</v>
      </c>
      <c r="BP2374" s="1385"/>
      <c r="BV2374" s="236">
        <v>1.32</v>
      </c>
      <c r="BW2374" s="236" t="s">
        <v>331</v>
      </c>
      <c r="CB2374" s="340">
        <v>244.12</v>
      </c>
      <c r="CC2374" s="340" t="s">
        <v>342</v>
      </c>
      <c r="CL2374" s="236">
        <v>133.19999999999999</v>
      </c>
      <c r="CM2374" s="236" t="s">
        <v>316</v>
      </c>
      <c r="CR2374" s="340">
        <v>503.09</v>
      </c>
      <c r="CS2374" s="340" t="s">
        <v>335</v>
      </c>
      <c r="CT2374" s="1384"/>
      <c r="DF2374" s="340">
        <v>275.01</v>
      </c>
      <c r="DG2374" s="340" t="s">
        <v>342</v>
      </c>
      <c r="DV2374" s="340">
        <v>602.08000000000004</v>
      </c>
      <c r="DW2374" s="340" t="s">
        <v>305</v>
      </c>
      <c r="DX2374" s="1671"/>
    </row>
    <row r="2375" spans="12:128">
      <c r="L2375" s="2481">
        <v>286.01</v>
      </c>
      <c r="M2375" s="340" t="s">
        <v>342</v>
      </c>
      <c r="N2375" s="1390"/>
      <c r="O2375" s="2479"/>
      <c r="P2375" s="2282"/>
      <c r="AG2375" s="2297">
        <v>603.01</v>
      </c>
      <c r="AH2375" s="2297" t="s">
        <v>305</v>
      </c>
      <c r="AI2375" s="1390"/>
      <c r="AJ2375" s="2282"/>
      <c r="AK2375" s="2282"/>
      <c r="AL2375" s="1037"/>
      <c r="AX2375" s="340">
        <v>244.11</v>
      </c>
      <c r="AY2375" s="340" t="s">
        <v>342</v>
      </c>
      <c r="BN2375" s="340">
        <v>503.11</v>
      </c>
      <c r="BO2375" s="340" t="s">
        <v>323</v>
      </c>
      <c r="BP2375" s="1385"/>
      <c r="BV2375" s="236">
        <v>1.34</v>
      </c>
      <c r="BW2375" s="236" t="s">
        <v>331</v>
      </c>
      <c r="CB2375" s="340">
        <v>244.13</v>
      </c>
      <c r="CC2375" s="340" t="s">
        <v>342</v>
      </c>
      <c r="CL2375" s="236">
        <v>133.22</v>
      </c>
      <c r="CM2375" s="236" t="s">
        <v>316</v>
      </c>
      <c r="CR2375" s="340">
        <v>503.1</v>
      </c>
      <c r="CS2375" s="340" t="s">
        <v>335</v>
      </c>
      <c r="CT2375" s="1384"/>
      <c r="DF2375" s="340">
        <v>275.02999999999997</v>
      </c>
      <c r="DG2375" s="340" t="s">
        <v>342</v>
      </c>
      <c r="DV2375" s="340">
        <v>602.09</v>
      </c>
      <c r="DW2375" s="340" t="s">
        <v>289</v>
      </c>
      <c r="DX2375" s="1671"/>
    </row>
    <row r="2376" spans="12:128">
      <c r="L2376" s="2481">
        <v>286.02</v>
      </c>
      <c r="M2376" s="340" t="s">
        <v>342</v>
      </c>
      <c r="N2376" s="1390"/>
      <c r="O2376" s="2479"/>
      <c r="P2376" s="2282"/>
      <c r="AG2376" s="2297">
        <v>603.02</v>
      </c>
      <c r="AH2376" s="2297" t="s">
        <v>305</v>
      </c>
      <c r="AI2376" s="1390"/>
      <c r="AJ2376" s="2282"/>
      <c r="AK2376" s="2282"/>
      <c r="AL2376" s="1037"/>
      <c r="AX2376" s="340">
        <v>244.12</v>
      </c>
      <c r="AY2376" s="340" t="s">
        <v>342</v>
      </c>
      <c r="BN2376" s="340">
        <v>503.12</v>
      </c>
      <c r="BO2376" s="340" t="s">
        <v>323</v>
      </c>
      <c r="BP2376" s="1385"/>
      <c r="BV2376" s="236">
        <v>1.4</v>
      </c>
      <c r="BW2376" s="236" t="s">
        <v>331</v>
      </c>
      <c r="CB2376" s="340">
        <v>245.05</v>
      </c>
      <c r="CC2376" s="340" t="s">
        <v>342</v>
      </c>
      <c r="CL2376" s="236">
        <v>133.22999999999999</v>
      </c>
      <c r="CM2376" s="236" t="s">
        <v>316</v>
      </c>
      <c r="CR2376" s="340">
        <v>503.11</v>
      </c>
      <c r="CS2376" s="340" t="s">
        <v>323</v>
      </c>
      <c r="CT2376" s="1384"/>
      <c r="DF2376" s="340">
        <v>275.04000000000002</v>
      </c>
      <c r="DG2376" s="340" t="s">
        <v>342</v>
      </c>
      <c r="DV2376" s="340">
        <v>602.1</v>
      </c>
      <c r="DW2376" s="340" t="s">
        <v>289</v>
      </c>
      <c r="DX2376" s="1671"/>
    </row>
    <row r="2377" spans="12:128">
      <c r="L2377" s="2481">
        <v>103</v>
      </c>
      <c r="M2377" s="340" t="s">
        <v>344</v>
      </c>
      <c r="N2377" s="1390"/>
      <c r="O2377" s="2479"/>
      <c r="P2377" s="2282"/>
      <c r="AG2377" s="2297">
        <v>603.03</v>
      </c>
      <c r="AH2377" s="2297" t="s">
        <v>305</v>
      </c>
      <c r="AI2377" s="1390"/>
      <c r="AJ2377" s="2282"/>
      <c r="AK2377" s="2282"/>
      <c r="AL2377" s="1037"/>
      <c r="AX2377" s="340">
        <v>244.13</v>
      </c>
      <c r="AY2377" s="340" t="s">
        <v>342</v>
      </c>
      <c r="BN2377" s="340">
        <v>503.15</v>
      </c>
      <c r="BO2377" s="340" t="s">
        <v>323</v>
      </c>
      <c r="BP2377" s="1385"/>
      <c r="BV2377" s="236">
        <v>1.41</v>
      </c>
      <c r="BW2377" s="236" t="s">
        <v>331</v>
      </c>
      <c r="CB2377" s="340">
        <v>245.07</v>
      </c>
      <c r="CC2377" s="340" t="s">
        <v>342</v>
      </c>
      <c r="CL2377" s="236">
        <v>134</v>
      </c>
      <c r="CM2377" s="236" t="s">
        <v>331</v>
      </c>
      <c r="CR2377" s="340">
        <v>503.12</v>
      </c>
      <c r="CS2377" s="340" t="s">
        <v>323</v>
      </c>
      <c r="CT2377" s="1384"/>
      <c r="DF2377" s="340">
        <v>276.02999999999997</v>
      </c>
      <c r="DG2377" s="340" t="s">
        <v>342</v>
      </c>
      <c r="DV2377" s="340">
        <v>602.11</v>
      </c>
      <c r="DW2377" s="340" t="s">
        <v>289</v>
      </c>
      <c r="DX2377" s="1671"/>
    </row>
    <row r="2378" spans="12:128">
      <c r="L2378" s="2481">
        <v>104.01</v>
      </c>
      <c r="M2378" s="340" t="s">
        <v>344</v>
      </c>
      <c r="N2378" s="1390"/>
      <c r="O2378" s="2479"/>
      <c r="P2378" s="2282"/>
      <c r="AG2378" s="2297">
        <v>603.04</v>
      </c>
      <c r="AH2378" s="2297" t="s">
        <v>305</v>
      </c>
      <c r="AI2378" s="1390"/>
      <c r="AJ2378" s="2282"/>
      <c r="AK2378" s="2282"/>
      <c r="AL2378" s="1037"/>
      <c r="AX2378" s="340">
        <v>245.05</v>
      </c>
      <c r="AY2378" s="340" t="s">
        <v>342</v>
      </c>
      <c r="BN2378" s="340">
        <v>503.16</v>
      </c>
      <c r="BO2378" s="340" t="s">
        <v>323</v>
      </c>
      <c r="BP2378" s="1385"/>
      <c r="BV2378" s="236">
        <v>1.42</v>
      </c>
      <c r="BW2378" s="236" t="s">
        <v>331</v>
      </c>
      <c r="CB2378" s="340">
        <v>245.09</v>
      </c>
      <c r="CC2378" s="340" t="s">
        <v>342</v>
      </c>
      <c r="CL2378" s="236">
        <v>134</v>
      </c>
      <c r="CM2378" s="236" t="s">
        <v>344</v>
      </c>
      <c r="CR2378" s="340">
        <v>503.15</v>
      </c>
      <c r="CS2378" s="340" t="s">
        <v>323</v>
      </c>
      <c r="CT2378" s="1384"/>
      <c r="DF2378" s="340">
        <v>276.04000000000002</v>
      </c>
      <c r="DG2378" s="340" t="s">
        <v>342</v>
      </c>
      <c r="DV2378" s="340">
        <v>602.11</v>
      </c>
      <c r="DW2378" s="340" t="s">
        <v>305</v>
      </c>
      <c r="DX2378" s="1671"/>
    </row>
    <row r="2379" spans="12:128">
      <c r="L2379" s="2481">
        <v>104.02</v>
      </c>
      <c r="M2379" s="340" t="s">
        <v>344</v>
      </c>
      <c r="N2379" s="1390"/>
      <c r="O2379" s="2479"/>
      <c r="P2379" s="2282"/>
      <c r="AG2379" s="2297">
        <v>605.01</v>
      </c>
      <c r="AH2379" s="2297" t="s">
        <v>289</v>
      </c>
      <c r="AI2379" s="1390"/>
      <c r="AJ2379" s="2282"/>
      <c r="AK2379" s="2282"/>
      <c r="AL2379" s="1037"/>
      <c r="AX2379" s="340">
        <v>245.07</v>
      </c>
      <c r="AY2379" s="340" t="s">
        <v>342</v>
      </c>
      <c r="BN2379" s="340">
        <v>503.17</v>
      </c>
      <c r="BO2379" s="340" t="s">
        <v>323</v>
      </c>
      <c r="BP2379" s="1385"/>
      <c r="BV2379" s="236">
        <v>1.43</v>
      </c>
      <c r="BW2379" s="236" t="s">
        <v>331</v>
      </c>
      <c r="CB2379" s="340">
        <v>245.17</v>
      </c>
      <c r="CC2379" s="340" t="s">
        <v>342</v>
      </c>
      <c r="CL2379" s="236">
        <v>134.02000000000001</v>
      </c>
      <c r="CM2379" s="236" t="s">
        <v>302</v>
      </c>
      <c r="CR2379" s="340">
        <v>503.16</v>
      </c>
      <c r="CS2379" s="340" t="s">
        <v>323</v>
      </c>
      <c r="CT2379" s="1384"/>
      <c r="DF2379" s="340">
        <v>276.05</v>
      </c>
      <c r="DG2379" s="340" t="s">
        <v>342</v>
      </c>
      <c r="DV2379" s="340">
        <v>602.12</v>
      </c>
      <c r="DW2379" s="340" t="s">
        <v>289</v>
      </c>
      <c r="DX2379" s="1671"/>
    </row>
    <row r="2380" spans="12:128">
      <c r="L2380" s="2481">
        <v>105.01</v>
      </c>
      <c r="M2380" s="340" t="s">
        <v>344</v>
      </c>
      <c r="N2380" s="1390"/>
      <c r="O2380" s="2479"/>
      <c r="P2380" s="2282"/>
      <c r="AG2380" s="2297">
        <v>605.03</v>
      </c>
      <c r="AH2380" s="2297" t="s">
        <v>289</v>
      </c>
      <c r="AI2380" s="1390"/>
      <c r="AJ2380" s="2282"/>
      <c r="AK2380" s="2282"/>
      <c r="AL2380" s="1037"/>
      <c r="AX2380" s="340">
        <v>245.09</v>
      </c>
      <c r="AY2380" s="340" t="s">
        <v>342</v>
      </c>
      <c r="BN2380" s="340">
        <v>503.18</v>
      </c>
      <c r="BO2380" s="340" t="s">
        <v>323</v>
      </c>
      <c r="BP2380" s="1385"/>
      <c r="BV2380" s="236">
        <v>1.44</v>
      </c>
      <c r="BW2380" s="236" t="s">
        <v>331</v>
      </c>
      <c r="CB2380" s="340">
        <v>245.19</v>
      </c>
      <c r="CC2380" s="340" t="s">
        <v>342</v>
      </c>
      <c r="CL2380" s="236">
        <v>134.02000000000001</v>
      </c>
      <c r="CM2380" s="236" t="s">
        <v>338</v>
      </c>
      <c r="CR2380" s="340">
        <v>503.17</v>
      </c>
      <c r="CS2380" s="340" t="s">
        <v>323</v>
      </c>
      <c r="CT2380" s="1384"/>
      <c r="DF2380" s="340">
        <v>276.06</v>
      </c>
      <c r="DG2380" s="340" t="s">
        <v>342</v>
      </c>
      <c r="DV2380" s="340">
        <v>602.15</v>
      </c>
      <c r="DW2380" s="340" t="s">
        <v>305</v>
      </c>
      <c r="DX2380" s="1671"/>
    </row>
    <row r="2381" spans="12:128">
      <c r="L2381" s="2481">
        <v>105.02</v>
      </c>
      <c r="M2381" s="340" t="s">
        <v>344</v>
      </c>
      <c r="N2381" s="1390"/>
      <c r="O2381" s="2479"/>
      <c r="P2381" s="2282"/>
      <c r="AG2381" s="2297">
        <v>605.04</v>
      </c>
      <c r="AH2381" s="2297" t="s">
        <v>289</v>
      </c>
      <c r="AI2381" s="1390"/>
      <c r="AJ2381" s="2282"/>
      <c r="AK2381" s="2282"/>
      <c r="AL2381" s="1037"/>
      <c r="AX2381" s="340">
        <v>245.14</v>
      </c>
      <c r="AY2381" s="340" t="s">
        <v>342</v>
      </c>
      <c r="BN2381" s="340">
        <v>503.19</v>
      </c>
      <c r="BO2381" s="340" t="s">
        <v>323</v>
      </c>
      <c r="BP2381" s="1385"/>
      <c r="BV2381" s="236">
        <v>1.45</v>
      </c>
      <c r="BW2381" s="236" t="s">
        <v>331</v>
      </c>
      <c r="CB2381" s="340">
        <v>249.05</v>
      </c>
      <c r="CC2381" s="340" t="s">
        <v>342</v>
      </c>
      <c r="CL2381" s="236">
        <v>134.03</v>
      </c>
      <c r="CM2381" s="236" t="s">
        <v>302</v>
      </c>
      <c r="CR2381" s="340">
        <v>503.18</v>
      </c>
      <c r="CS2381" s="340" t="s">
        <v>323</v>
      </c>
      <c r="CT2381" s="1384"/>
      <c r="DF2381" s="340">
        <v>277.01</v>
      </c>
      <c r="DG2381" s="340" t="s">
        <v>342</v>
      </c>
      <c r="DV2381" s="340">
        <v>602.16</v>
      </c>
      <c r="DW2381" s="340" t="s">
        <v>305</v>
      </c>
      <c r="DX2381" s="1671"/>
    </row>
    <row r="2382" spans="12:128">
      <c r="L2382" s="2481">
        <v>106.01</v>
      </c>
      <c r="M2382" s="340" t="s">
        <v>344</v>
      </c>
      <c r="N2382" s="1390"/>
      <c r="O2382" s="2479"/>
      <c r="P2382" s="2282"/>
      <c r="AG2382" s="2297">
        <v>606.03</v>
      </c>
      <c r="AH2382" s="2297" t="s">
        <v>289</v>
      </c>
      <c r="AI2382" s="1390"/>
      <c r="AJ2382" s="2282"/>
      <c r="AK2382" s="2282"/>
      <c r="AL2382" s="1037"/>
      <c r="AX2382" s="340">
        <v>245.17</v>
      </c>
      <c r="AY2382" s="340" t="s">
        <v>342</v>
      </c>
      <c r="BN2382" s="340">
        <v>503.2</v>
      </c>
      <c r="BO2382" s="340" t="s">
        <v>323</v>
      </c>
      <c r="BP2382" s="1385"/>
      <c r="BV2382" s="236">
        <v>1.46</v>
      </c>
      <c r="BW2382" s="236" t="s">
        <v>331</v>
      </c>
      <c r="CB2382" s="340">
        <v>249.08</v>
      </c>
      <c r="CC2382" s="340" t="s">
        <v>342</v>
      </c>
      <c r="CL2382" s="236">
        <v>134.03</v>
      </c>
      <c r="CM2382" s="236" t="s">
        <v>338</v>
      </c>
      <c r="CR2382" s="340">
        <v>503.19</v>
      </c>
      <c r="CS2382" s="340" t="s">
        <v>323</v>
      </c>
      <c r="CT2382" s="1384"/>
      <c r="DF2382" s="340">
        <v>277.02999999999997</v>
      </c>
      <c r="DG2382" s="340" t="s">
        <v>342</v>
      </c>
      <c r="DV2382" s="340">
        <v>602.19000000000005</v>
      </c>
      <c r="DW2382" s="340" t="s">
        <v>305</v>
      </c>
      <c r="DX2382" s="1671"/>
    </row>
    <row r="2383" spans="12:128">
      <c r="L2383" s="2481">
        <v>106.03</v>
      </c>
      <c r="M2383" s="340" t="s">
        <v>344</v>
      </c>
      <c r="N2383" s="1390"/>
      <c r="O2383" s="2479"/>
      <c r="P2383" s="2282"/>
      <c r="AG2383" s="2297">
        <v>606.04999999999995</v>
      </c>
      <c r="AH2383" s="2297" t="s">
        <v>289</v>
      </c>
      <c r="AI2383" s="1390"/>
      <c r="AJ2383" s="2282"/>
      <c r="AK2383" s="2282"/>
      <c r="AL2383" s="1037"/>
      <c r="AX2383" s="340">
        <v>245.19</v>
      </c>
      <c r="AY2383" s="340" t="s">
        <v>342</v>
      </c>
      <c r="BN2383" s="340">
        <v>503.21</v>
      </c>
      <c r="BO2383" s="340" t="s">
        <v>323</v>
      </c>
      <c r="BP2383" s="1385"/>
      <c r="BV2383" s="236">
        <v>2.04</v>
      </c>
      <c r="BW2383" s="236" t="s">
        <v>331</v>
      </c>
      <c r="CB2383" s="340">
        <v>250.07</v>
      </c>
      <c r="CC2383" s="340" t="s">
        <v>342</v>
      </c>
      <c r="CL2383" s="236">
        <v>134.04</v>
      </c>
      <c r="CM2383" s="236" t="s">
        <v>302</v>
      </c>
      <c r="CR2383" s="340">
        <v>503.2</v>
      </c>
      <c r="CS2383" s="340" t="s">
        <v>323</v>
      </c>
      <c r="CT2383" s="1384"/>
      <c r="DF2383" s="340">
        <v>277.04000000000002</v>
      </c>
      <c r="DG2383" s="340" t="s">
        <v>342</v>
      </c>
      <c r="DV2383" s="340">
        <v>603</v>
      </c>
      <c r="DW2383" s="340" t="s">
        <v>323</v>
      </c>
      <c r="DX2383" s="1671"/>
    </row>
    <row r="2384" spans="12:128">
      <c r="L2384" s="2481">
        <v>106.04</v>
      </c>
      <c r="M2384" s="340" t="s">
        <v>344</v>
      </c>
      <c r="N2384" s="1390"/>
      <c r="O2384" s="2479"/>
      <c r="P2384" s="2282"/>
      <c r="AG2384" s="2297">
        <v>606.05999999999995</v>
      </c>
      <c r="AH2384" s="2297" t="s">
        <v>289</v>
      </c>
      <c r="AI2384" s="1390"/>
      <c r="AJ2384" s="2282"/>
      <c r="AK2384" s="2282"/>
      <c r="AL2384" s="1037"/>
      <c r="AX2384" s="340">
        <v>248.05</v>
      </c>
      <c r="AY2384" s="340" t="s">
        <v>342</v>
      </c>
      <c r="BN2384" s="340">
        <v>503.22</v>
      </c>
      <c r="BO2384" s="340" t="s">
        <v>323</v>
      </c>
      <c r="BP2384" s="1385"/>
      <c r="BV2384" s="236">
        <v>2.06</v>
      </c>
      <c r="BW2384" s="236" t="s">
        <v>331</v>
      </c>
      <c r="CB2384" s="340">
        <v>250.11</v>
      </c>
      <c r="CC2384" s="340" t="s">
        <v>342</v>
      </c>
      <c r="CL2384" s="236">
        <v>134.05000000000001</v>
      </c>
      <c r="CM2384" s="236" t="s">
        <v>338</v>
      </c>
      <c r="CR2384" s="340">
        <v>503.21</v>
      </c>
      <c r="CS2384" s="340" t="s">
        <v>323</v>
      </c>
      <c r="CT2384" s="1384"/>
      <c r="DF2384" s="340">
        <v>278.01</v>
      </c>
      <c r="DG2384" s="340" t="s">
        <v>342</v>
      </c>
      <c r="DV2384" s="340">
        <v>603.01</v>
      </c>
      <c r="DW2384" s="340" t="s">
        <v>305</v>
      </c>
      <c r="DX2384" s="1671"/>
    </row>
    <row r="2385" spans="12:128">
      <c r="L2385" s="2481">
        <v>107.01</v>
      </c>
      <c r="M2385" s="340" t="s">
        <v>344</v>
      </c>
      <c r="N2385" s="1390"/>
      <c r="O2385" s="2479"/>
      <c r="P2385" s="2282"/>
      <c r="AG2385" s="2297">
        <v>606.07000000000005</v>
      </c>
      <c r="AH2385" s="2297" t="s">
        <v>289</v>
      </c>
      <c r="AI2385" s="1390"/>
      <c r="AJ2385" s="2282"/>
      <c r="AK2385" s="2282"/>
      <c r="AL2385" s="1037"/>
      <c r="AX2385" s="340">
        <v>249.04</v>
      </c>
      <c r="AY2385" s="340" t="s">
        <v>342</v>
      </c>
      <c r="BN2385" s="340">
        <v>503.23</v>
      </c>
      <c r="BO2385" s="340" t="s">
        <v>323</v>
      </c>
      <c r="BP2385" s="1385"/>
      <c r="BV2385" s="236">
        <v>2.11</v>
      </c>
      <c r="BW2385" s="236" t="s">
        <v>331</v>
      </c>
      <c r="CB2385" s="340">
        <v>250.12</v>
      </c>
      <c r="CC2385" s="340" t="s">
        <v>342</v>
      </c>
      <c r="CL2385" s="236">
        <v>134.06</v>
      </c>
      <c r="CM2385" s="236" t="s">
        <v>316</v>
      </c>
      <c r="CR2385" s="340">
        <v>503.22</v>
      </c>
      <c r="CS2385" s="340" t="s">
        <v>323</v>
      </c>
      <c r="CT2385" s="1384"/>
      <c r="DF2385" s="340">
        <v>278.02</v>
      </c>
      <c r="DG2385" s="340" t="s">
        <v>342</v>
      </c>
      <c r="DV2385" s="340">
        <v>603.02</v>
      </c>
      <c r="DW2385" s="340" t="s">
        <v>305</v>
      </c>
      <c r="DX2385" s="1671"/>
    </row>
    <row r="2386" spans="12:128">
      <c r="L2386" s="2481">
        <v>107.02</v>
      </c>
      <c r="M2386" s="340" t="s">
        <v>344</v>
      </c>
      <c r="N2386" s="1390"/>
      <c r="O2386" s="2479"/>
      <c r="P2386" s="2282"/>
      <c r="AG2386" s="2297">
        <v>606.08000000000004</v>
      </c>
      <c r="AH2386" s="2297" t="s">
        <v>289</v>
      </c>
      <c r="AI2386" s="1390"/>
      <c r="AJ2386" s="2282"/>
      <c r="AK2386" s="2282"/>
      <c r="AL2386" s="1037"/>
      <c r="AX2386" s="340">
        <v>249.08</v>
      </c>
      <c r="AY2386" s="340" t="s">
        <v>342</v>
      </c>
      <c r="BN2386" s="340">
        <v>503.24</v>
      </c>
      <c r="BO2386" s="340" t="s">
        <v>323</v>
      </c>
      <c r="BP2386" s="1385"/>
      <c r="BV2386" s="236">
        <v>2.12</v>
      </c>
      <c r="BW2386" s="236" t="s">
        <v>331</v>
      </c>
      <c r="CB2386" s="340">
        <v>250.13</v>
      </c>
      <c r="CC2386" s="340" t="s">
        <v>342</v>
      </c>
      <c r="CL2386" s="236">
        <v>134.06</v>
      </c>
      <c r="CM2386" s="236" t="s">
        <v>338</v>
      </c>
      <c r="CR2386" s="340">
        <v>503.23</v>
      </c>
      <c r="CS2386" s="340" t="s">
        <v>323</v>
      </c>
      <c r="CT2386" s="1384"/>
      <c r="DF2386" s="340">
        <v>279.05</v>
      </c>
      <c r="DG2386" s="340" t="s">
        <v>342</v>
      </c>
      <c r="DV2386" s="340">
        <v>603.03</v>
      </c>
      <c r="DW2386" s="340" t="s">
        <v>305</v>
      </c>
      <c r="DX2386" s="1671"/>
    </row>
    <row r="2387" spans="12:128">
      <c r="L2387" s="2481">
        <v>108</v>
      </c>
      <c r="M2387" s="340" t="s">
        <v>344</v>
      </c>
      <c r="N2387" s="1390"/>
      <c r="O2387" s="2479"/>
      <c r="P2387" s="2282"/>
      <c r="AG2387" s="2297">
        <v>606.09</v>
      </c>
      <c r="AH2387" s="2297" t="s">
        <v>289</v>
      </c>
      <c r="AI2387" s="1390"/>
      <c r="AJ2387" s="2282"/>
      <c r="AK2387" s="2282"/>
      <c r="AL2387" s="1037"/>
      <c r="AX2387" s="340">
        <v>250.07</v>
      </c>
      <c r="AY2387" s="340" t="s">
        <v>342</v>
      </c>
      <c r="BN2387" s="340">
        <v>503.25</v>
      </c>
      <c r="BO2387" s="340" t="s">
        <v>323</v>
      </c>
      <c r="BP2387" s="1385"/>
      <c r="BV2387" s="236">
        <v>2.13</v>
      </c>
      <c r="BW2387" s="236" t="s">
        <v>331</v>
      </c>
      <c r="CB2387" s="340">
        <v>250.14</v>
      </c>
      <c r="CC2387" s="340" t="s">
        <v>342</v>
      </c>
      <c r="CL2387" s="236">
        <v>134.07</v>
      </c>
      <c r="CM2387" s="236" t="s">
        <v>316</v>
      </c>
      <c r="CR2387" s="340">
        <v>503.24</v>
      </c>
      <c r="CS2387" s="340" t="s">
        <v>323</v>
      </c>
      <c r="CT2387" s="1384"/>
      <c r="DF2387" s="340">
        <v>280.02</v>
      </c>
      <c r="DG2387" s="340" t="s">
        <v>342</v>
      </c>
      <c r="DV2387" s="340">
        <v>603.04</v>
      </c>
      <c r="DW2387" s="340" t="s">
        <v>305</v>
      </c>
      <c r="DX2387" s="1671"/>
    </row>
    <row r="2388" spans="12:128">
      <c r="L2388" s="2481">
        <v>115.02</v>
      </c>
      <c r="M2388" s="340" t="s">
        <v>344</v>
      </c>
      <c r="N2388" s="1390"/>
      <c r="O2388" s="2479"/>
      <c r="P2388" s="2282"/>
      <c r="AG2388" s="2297">
        <v>607</v>
      </c>
      <c r="AH2388" s="2297" t="s">
        <v>289</v>
      </c>
      <c r="AI2388" s="1390"/>
      <c r="AJ2388" s="2282"/>
      <c r="AK2388" s="2282"/>
      <c r="AL2388" s="1037"/>
      <c r="AX2388" s="340">
        <v>250.11</v>
      </c>
      <c r="AY2388" s="340" t="s">
        <v>342</v>
      </c>
      <c r="BN2388" s="340">
        <v>504.01</v>
      </c>
      <c r="BO2388" s="340" t="s">
        <v>289</v>
      </c>
      <c r="BP2388" s="1385"/>
      <c r="BV2388" s="236">
        <v>2.15</v>
      </c>
      <c r="BW2388" s="236" t="s">
        <v>331</v>
      </c>
      <c r="CB2388" s="340">
        <v>250.16</v>
      </c>
      <c r="CC2388" s="340" t="s">
        <v>342</v>
      </c>
      <c r="CL2388" s="236">
        <v>134.09</v>
      </c>
      <c r="CM2388" s="236" t="s">
        <v>316</v>
      </c>
      <c r="CR2388" s="340">
        <v>503.25</v>
      </c>
      <c r="CS2388" s="340" t="s">
        <v>323</v>
      </c>
      <c r="CT2388" s="1384"/>
      <c r="DF2388" s="340">
        <v>280.04000000000002</v>
      </c>
      <c r="DG2388" s="340" t="s">
        <v>342</v>
      </c>
      <c r="DV2388" s="340">
        <v>605</v>
      </c>
      <c r="DW2388" s="340" t="s">
        <v>288</v>
      </c>
      <c r="DX2388" s="1671"/>
    </row>
    <row r="2389" spans="12:128">
      <c r="L2389" s="2481">
        <v>116.03</v>
      </c>
      <c r="M2389" s="340" t="s">
        <v>344</v>
      </c>
      <c r="N2389" s="1390"/>
      <c r="O2389" s="2479"/>
      <c r="P2389" s="2282"/>
      <c r="AG2389" s="2297">
        <v>608.01</v>
      </c>
      <c r="AH2389" s="2297" t="s">
        <v>289</v>
      </c>
      <c r="AI2389" s="1390"/>
      <c r="AJ2389" s="2282"/>
      <c r="AK2389" s="2282"/>
      <c r="AL2389" s="1037"/>
      <c r="AX2389" s="340">
        <v>250.12</v>
      </c>
      <c r="AY2389" s="340" t="s">
        <v>342</v>
      </c>
      <c r="BN2389" s="340">
        <v>504.02</v>
      </c>
      <c r="BO2389" s="340" t="s">
        <v>318</v>
      </c>
      <c r="BP2389" s="1385"/>
      <c r="BV2389" s="236">
        <v>2.16</v>
      </c>
      <c r="BW2389" s="236" t="s">
        <v>331</v>
      </c>
      <c r="CB2389" s="340">
        <v>250.2</v>
      </c>
      <c r="CC2389" s="340" t="s">
        <v>342</v>
      </c>
      <c r="CL2389" s="236">
        <v>134.1</v>
      </c>
      <c r="CM2389" s="236" t="s">
        <v>316</v>
      </c>
      <c r="CR2389" s="340">
        <v>504.01</v>
      </c>
      <c r="CS2389" s="340" t="s">
        <v>289</v>
      </c>
      <c r="CT2389" s="1384"/>
      <c r="DF2389" s="340">
        <v>280.05</v>
      </c>
      <c r="DG2389" s="340" t="s">
        <v>342</v>
      </c>
      <c r="DV2389" s="340">
        <v>605.03</v>
      </c>
      <c r="DW2389" s="340" t="s">
        <v>289</v>
      </c>
      <c r="DX2389" s="1671"/>
    </row>
    <row r="2390" spans="12:128">
      <c r="L2390" s="2481">
        <v>116.05</v>
      </c>
      <c r="M2390" s="340" t="s">
        <v>344</v>
      </c>
      <c r="N2390" s="1390"/>
      <c r="O2390" s="2479"/>
      <c r="P2390" s="2282"/>
      <c r="AG2390" s="2297">
        <v>608.02</v>
      </c>
      <c r="AH2390" s="2297" t="s">
        <v>289</v>
      </c>
      <c r="AI2390" s="1390"/>
      <c r="AJ2390" s="2282"/>
      <c r="AK2390" s="2282"/>
      <c r="AL2390" s="1037"/>
      <c r="AX2390" s="340">
        <v>250.13</v>
      </c>
      <c r="AY2390" s="340" t="s">
        <v>342</v>
      </c>
      <c r="BN2390" s="340">
        <v>504.02</v>
      </c>
      <c r="BO2390" s="340" t="s">
        <v>323</v>
      </c>
      <c r="BP2390" s="1385"/>
      <c r="BV2390" s="236">
        <v>2.1800000000000002</v>
      </c>
      <c r="BW2390" s="236" t="s">
        <v>331</v>
      </c>
      <c r="CB2390" s="340">
        <v>250.21</v>
      </c>
      <c r="CC2390" s="340" t="s">
        <v>342</v>
      </c>
      <c r="CL2390" s="236">
        <v>134.11000000000001</v>
      </c>
      <c r="CM2390" s="236" t="s">
        <v>316</v>
      </c>
      <c r="CR2390" s="340">
        <v>504.02</v>
      </c>
      <c r="CS2390" s="340" t="s">
        <v>318</v>
      </c>
      <c r="CT2390" s="1384"/>
      <c r="DF2390" s="340">
        <v>281.02</v>
      </c>
      <c r="DG2390" s="340" t="s">
        <v>342</v>
      </c>
      <c r="DV2390" s="340">
        <v>605.04</v>
      </c>
      <c r="DW2390" s="340" t="s">
        <v>289</v>
      </c>
      <c r="DX2390" s="1671"/>
    </row>
    <row r="2391" spans="12:128">
      <c r="L2391" s="2481">
        <v>116.06</v>
      </c>
      <c r="M2391" s="340" t="s">
        <v>344</v>
      </c>
      <c r="N2391" s="1390"/>
      <c r="O2391" s="2479"/>
      <c r="P2391" s="2282"/>
      <c r="AG2391" s="2297">
        <v>609</v>
      </c>
      <c r="AH2391" s="2297" t="s">
        <v>289</v>
      </c>
      <c r="AI2391" s="1390"/>
      <c r="AJ2391" s="2282"/>
      <c r="AK2391" s="2282"/>
      <c r="AL2391" s="1037"/>
      <c r="AX2391" s="340">
        <v>250.14</v>
      </c>
      <c r="AY2391" s="340" t="s">
        <v>342</v>
      </c>
      <c r="BN2391" s="340">
        <v>504.02</v>
      </c>
      <c r="BO2391" s="340" t="s">
        <v>335</v>
      </c>
      <c r="BP2391" s="1385"/>
      <c r="BV2391" s="236">
        <v>2.19</v>
      </c>
      <c r="BW2391" s="236" t="s">
        <v>331</v>
      </c>
      <c r="CB2391" s="340">
        <v>251.06</v>
      </c>
      <c r="CC2391" s="340" t="s">
        <v>342</v>
      </c>
      <c r="CL2391" s="236">
        <v>134.12</v>
      </c>
      <c r="CM2391" s="236" t="s">
        <v>316</v>
      </c>
      <c r="CR2391" s="340">
        <v>504.02</v>
      </c>
      <c r="CS2391" s="340" t="s">
        <v>323</v>
      </c>
      <c r="CT2391" s="1384"/>
      <c r="DF2391" s="340">
        <v>282</v>
      </c>
      <c r="DG2391" s="340" t="s">
        <v>342</v>
      </c>
      <c r="DV2391" s="340">
        <v>605.04999999999995</v>
      </c>
      <c r="DW2391" s="340" t="s">
        <v>289</v>
      </c>
      <c r="DX2391" s="1671"/>
    </row>
    <row r="2392" spans="12:128">
      <c r="L2392" s="2481">
        <v>117.21</v>
      </c>
      <c r="M2392" s="340" t="s">
        <v>344</v>
      </c>
      <c r="N2392" s="1390"/>
      <c r="O2392" s="2479"/>
      <c r="P2392" s="2282"/>
      <c r="AG2392" s="2297">
        <v>610.01</v>
      </c>
      <c r="AH2392" s="2297" t="s">
        <v>289</v>
      </c>
      <c r="AI2392" s="1390"/>
      <c r="AJ2392" s="2282"/>
      <c r="AK2392" s="2282"/>
      <c r="AL2392" s="1037"/>
      <c r="AX2392" s="340">
        <v>250.16</v>
      </c>
      <c r="AY2392" s="340" t="s">
        <v>342</v>
      </c>
      <c r="BN2392" s="340">
        <v>505.01</v>
      </c>
      <c r="BO2392" s="340" t="s">
        <v>323</v>
      </c>
      <c r="BP2392" s="1385"/>
      <c r="BV2392" s="236">
        <v>2.2000000000000002</v>
      </c>
      <c r="BW2392" s="236" t="s">
        <v>331</v>
      </c>
      <c r="CB2392" s="340">
        <v>251.07</v>
      </c>
      <c r="CC2392" s="340" t="s">
        <v>342</v>
      </c>
      <c r="CL2392" s="236">
        <v>134.13</v>
      </c>
      <c r="CM2392" s="236" t="s">
        <v>316</v>
      </c>
      <c r="CR2392" s="340">
        <v>504.02</v>
      </c>
      <c r="CS2392" s="340" t="s">
        <v>335</v>
      </c>
      <c r="CT2392" s="1384"/>
      <c r="DF2392" s="340">
        <v>285</v>
      </c>
      <c r="DG2392" s="340" t="s">
        <v>342</v>
      </c>
      <c r="DV2392" s="340">
        <v>606.03</v>
      </c>
      <c r="DW2392" s="340" t="s">
        <v>289</v>
      </c>
      <c r="DX2392" s="1671"/>
    </row>
    <row r="2393" spans="12:128">
      <c r="L2393" s="2481">
        <v>118.21</v>
      </c>
      <c r="M2393" s="340" t="s">
        <v>344</v>
      </c>
      <c r="N2393" s="1390"/>
      <c r="O2393" s="2479"/>
      <c r="P2393" s="2282"/>
      <c r="AG2393" s="2297">
        <v>610.03</v>
      </c>
      <c r="AH2393" s="2297" t="s">
        <v>289</v>
      </c>
      <c r="AI2393" s="1390"/>
      <c r="AJ2393" s="2282"/>
      <c r="AK2393" s="2282"/>
      <c r="AL2393" s="1037"/>
      <c r="AX2393" s="340">
        <v>250.2</v>
      </c>
      <c r="AY2393" s="340" t="s">
        <v>342</v>
      </c>
      <c r="BN2393" s="340">
        <v>505.02</v>
      </c>
      <c r="BO2393" s="340" t="s">
        <v>323</v>
      </c>
      <c r="BP2393" s="1385"/>
      <c r="BV2393" s="236">
        <v>2.21</v>
      </c>
      <c r="BW2393" s="236" t="s">
        <v>331</v>
      </c>
      <c r="CB2393" s="340">
        <v>251.08</v>
      </c>
      <c r="CC2393" s="340" t="s">
        <v>342</v>
      </c>
      <c r="CL2393" s="236">
        <v>134.13999999999999</v>
      </c>
      <c r="CM2393" s="236" t="s">
        <v>316</v>
      </c>
      <c r="CR2393" s="340">
        <v>505.02</v>
      </c>
      <c r="CS2393" s="340" t="s">
        <v>289</v>
      </c>
      <c r="CT2393" s="1384"/>
      <c r="DF2393" s="340">
        <v>286.01</v>
      </c>
      <c r="DG2393" s="340" t="s">
        <v>342</v>
      </c>
      <c r="DV2393" s="340">
        <v>606.04999999999995</v>
      </c>
      <c r="DW2393" s="340" t="s">
        <v>289</v>
      </c>
      <c r="DX2393" s="1671"/>
    </row>
    <row r="2394" spans="12:128">
      <c r="L2394" s="2481">
        <v>118.22</v>
      </c>
      <c r="M2394" s="340" t="s">
        <v>344</v>
      </c>
      <c r="N2394" s="1390"/>
      <c r="O2394" s="2479"/>
      <c r="P2394" s="2282"/>
      <c r="AG2394" s="2297">
        <v>610.04</v>
      </c>
      <c r="AH2394" s="2297" t="s">
        <v>289</v>
      </c>
      <c r="AI2394" s="1390"/>
      <c r="AJ2394" s="2282"/>
      <c r="AK2394" s="2282"/>
      <c r="AL2394" s="1037"/>
      <c r="AX2394" s="340">
        <v>250.21</v>
      </c>
      <c r="AY2394" s="340" t="s">
        <v>342</v>
      </c>
      <c r="BN2394" s="340">
        <v>505.04</v>
      </c>
      <c r="BO2394" s="340" t="s">
        <v>318</v>
      </c>
      <c r="BP2394" s="1385"/>
      <c r="BV2394" s="236">
        <v>2.2200000000000002</v>
      </c>
      <c r="BW2394" s="236" t="s">
        <v>331</v>
      </c>
      <c r="CB2394" s="340">
        <v>251.09</v>
      </c>
      <c r="CC2394" s="340" t="s">
        <v>342</v>
      </c>
      <c r="CL2394" s="236">
        <v>134.15</v>
      </c>
      <c r="CM2394" s="236" t="s">
        <v>316</v>
      </c>
      <c r="CR2394" s="340">
        <v>505.02</v>
      </c>
      <c r="CS2394" s="340" t="s">
        <v>323</v>
      </c>
      <c r="CT2394" s="1384"/>
      <c r="DF2394" s="340">
        <v>286.02</v>
      </c>
      <c r="DG2394" s="340" t="s">
        <v>342</v>
      </c>
      <c r="DV2394" s="340">
        <v>606.05999999999995</v>
      </c>
      <c r="DW2394" s="340" t="s">
        <v>289</v>
      </c>
      <c r="DX2394" s="1671"/>
    </row>
    <row r="2395" spans="12:128">
      <c r="L2395" s="2481">
        <v>118.32</v>
      </c>
      <c r="M2395" s="340" t="s">
        <v>344</v>
      </c>
      <c r="N2395" s="1390"/>
      <c r="O2395" s="2479"/>
      <c r="P2395" s="2282"/>
      <c r="AG2395" s="2297">
        <v>611</v>
      </c>
      <c r="AH2395" s="2297" t="s">
        <v>288</v>
      </c>
      <c r="AI2395" s="1390"/>
      <c r="AJ2395" s="2282"/>
      <c r="AK2395" s="2282"/>
      <c r="AL2395" s="1037"/>
      <c r="AX2395" s="340">
        <v>251.06</v>
      </c>
      <c r="AY2395" s="340" t="s">
        <v>342</v>
      </c>
      <c r="BN2395" s="340">
        <v>505.05</v>
      </c>
      <c r="BO2395" s="340" t="s">
        <v>318</v>
      </c>
      <c r="BP2395" s="1385"/>
      <c r="BV2395" s="236">
        <v>2.23</v>
      </c>
      <c r="BW2395" s="236" t="s">
        <v>331</v>
      </c>
      <c r="CB2395" s="340">
        <v>251.1</v>
      </c>
      <c r="CC2395" s="340" t="s">
        <v>342</v>
      </c>
      <c r="CL2395" s="236">
        <v>135</v>
      </c>
      <c r="CM2395" s="236" t="s">
        <v>331</v>
      </c>
      <c r="CR2395" s="340">
        <v>505.04</v>
      </c>
      <c r="CS2395" s="340" t="s">
        <v>318</v>
      </c>
      <c r="CT2395" s="1384"/>
      <c r="DF2395" s="340">
        <v>104.01</v>
      </c>
      <c r="DG2395" s="340" t="s">
        <v>344</v>
      </c>
      <c r="DV2395" s="340">
        <v>606.07000000000005</v>
      </c>
      <c r="DW2395" s="340" t="s">
        <v>289</v>
      </c>
      <c r="DX2395" s="1671"/>
    </row>
    <row r="2396" spans="12:128">
      <c r="L2396" s="2481">
        <v>118.34</v>
      </c>
      <c r="M2396" s="340" t="s">
        <v>344</v>
      </c>
      <c r="N2396" s="1390"/>
      <c r="O2396" s="2479"/>
      <c r="P2396" s="2282"/>
      <c r="AG2396" s="2297">
        <v>611</v>
      </c>
      <c r="AH2396" s="2297" t="s">
        <v>289</v>
      </c>
      <c r="AI2396" s="1390"/>
      <c r="AJ2396" s="2282"/>
      <c r="AK2396" s="2282"/>
      <c r="AL2396" s="1037"/>
      <c r="AX2396" s="340">
        <v>251.07</v>
      </c>
      <c r="AY2396" s="340" t="s">
        <v>342</v>
      </c>
      <c r="BN2396" s="340">
        <v>505.06</v>
      </c>
      <c r="BO2396" s="340" t="s">
        <v>318</v>
      </c>
      <c r="BP2396" s="1385"/>
      <c r="BV2396" s="236">
        <v>2.2400000000000002</v>
      </c>
      <c r="BW2396" s="236" t="s">
        <v>331</v>
      </c>
      <c r="CB2396" s="340">
        <v>251.12</v>
      </c>
      <c r="CC2396" s="340" t="s">
        <v>342</v>
      </c>
      <c r="CL2396" s="236">
        <v>135</v>
      </c>
      <c r="CM2396" s="236" t="s">
        <v>344</v>
      </c>
      <c r="CR2396" s="340">
        <v>505.05</v>
      </c>
      <c r="CS2396" s="340" t="s">
        <v>318</v>
      </c>
      <c r="CT2396" s="1384"/>
      <c r="DF2396" s="340">
        <v>104.02</v>
      </c>
      <c r="DG2396" s="340" t="s">
        <v>344</v>
      </c>
      <c r="DV2396" s="340">
        <v>606.09</v>
      </c>
      <c r="DW2396" s="340" t="s">
        <v>289</v>
      </c>
      <c r="DX2396" s="1671"/>
    </row>
    <row r="2397" spans="12:128">
      <c r="L2397" s="2481">
        <v>118.35</v>
      </c>
      <c r="M2397" s="340" t="s">
        <v>344</v>
      </c>
      <c r="N2397" s="1390"/>
      <c r="O2397" s="2479"/>
      <c r="P2397" s="2282"/>
      <c r="AG2397" s="2297">
        <v>612.01</v>
      </c>
      <c r="AH2397" s="2297" t="s">
        <v>288</v>
      </c>
      <c r="AI2397" s="1390"/>
      <c r="AJ2397" s="2282"/>
      <c r="AK2397" s="2282"/>
      <c r="AL2397" s="1037"/>
      <c r="AX2397" s="340">
        <v>251.08</v>
      </c>
      <c r="AY2397" s="340" t="s">
        <v>342</v>
      </c>
      <c r="BN2397" s="340">
        <v>505.06</v>
      </c>
      <c r="BO2397" s="340" t="s">
        <v>335</v>
      </c>
      <c r="BP2397" s="1385"/>
      <c r="BV2397" s="236">
        <v>2.25</v>
      </c>
      <c r="BW2397" s="236" t="s">
        <v>331</v>
      </c>
      <c r="CB2397" s="340">
        <v>251.13</v>
      </c>
      <c r="CC2397" s="340" t="s">
        <v>342</v>
      </c>
      <c r="CL2397" s="236">
        <v>135.01</v>
      </c>
      <c r="CM2397" s="236" t="s">
        <v>316</v>
      </c>
      <c r="CR2397" s="340">
        <v>505.06</v>
      </c>
      <c r="CS2397" s="340" t="s">
        <v>318</v>
      </c>
      <c r="CT2397" s="1384"/>
      <c r="DF2397" s="340">
        <v>105.01</v>
      </c>
      <c r="DG2397" s="340" t="s">
        <v>344</v>
      </c>
      <c r="DV2397" s="340">
        <v>607</v>
      </c>
      <c r="DW2397" s="340" t="s">
        <v>289</v>
      </c>
      <c r="DX2397" s="1671"/>
    </row>
    <row r="2398" spans="12:128">
      <c r="L2398" s="2481">
        <v>118.36</v>
      </c>
      <c r="M2398" s="340" t="s">
        <v>344</v>
      </c>
      <c r="N2398" s="1390"/>
      <c r="O2398" s="2479"/>
      <c r="P2398" s="2282"/>
      <c r="AG2398" s="2297">
        <v>612.02</v>
      </c>
      <c r="AH2398" s="2297" t="s">
        <v>288</v>
      </c>
      <c r="AI2398" s="1390"/>
      <c r="AJ2398" s="2282"/>
      <c r="AK2398" s="2282"/>
      <c r="AL2398" s="1037"/>
      <c r="AX2398" s="340">
        <v>251.1</v>
      </c>
      <c r="AY2398" s="340" t="s">
        <v>342</v>
      </c>
      <c r="BN2398" s="340">
        <v>505.07</v>
      </c>
      <c r="BO2398" s="340" t="s">
        <v>318</v>
      </c>
      <c r="BP2398" s="1385"/>
      <c r="BV2398" s="236">
        <v>2.2599999999999998</v>
      </c>
      <c r="BW2398" s="236" t="s">
        <v>331</v>
      </c>
      <c r="CB2398" s="340">
        <v>251.19</v>
      </c>
      <c r="CC2398" s="340" t="s">
        <v>342</v>
      </c>
      <c r="CL2398" s="236">
        <v>135.02000000000001</v>
      </c>
      <c r="CM2398" s="236" t="s">
        <v>302</v>
      </c>
      <c r="CR2398" s="340">
        <v>505.06</v>
      </c>
      <c r="CS2398" s="340" t="s">
        <v>335</v>
      </c>
      <c r="CT2398" s="1384"/>
      <c r="DF2398" s="340">
        <v>105.02</v>
      </c>
      <c r="DG2398" s="340" t="s">
        <v>344</v>
      </c>
      <c r="DV2398" s="340">
        <v>609</v>
      </c>
      <c r="DW2398" s="340" t="s">
        <v>289</v>
      </c>
      <c r="DX2398" s="1671"/>
    </row>
    <row r="2399" spans="12:128">
      <c r="L2399" s="2481">
        <v>118.37</v>
      </c>
      <c r="M2399" s="340" t="s">
        <v>344</v>
      </c>
      <c r="N2399" s="1390"/>
      <c r="O2399" s="2479"/>
      <c r="P2399" s="2282"/>
      <c r="AG2399" s="2297">
        <v>621.08000000000004</v>
      </c>
      <c r="AH2399" s="2297" t="s">
        <v>288</v>
      </c>
      <c r="AI2399" s="1390"/>
      <c r="AJ2399" s="2282"/>
      <c r="AK2399" s="2282"/>
      <c r="AL2399" s="1037"/>
      <c r="AX2399" s="340">
        <v>251.12</v>
      </c>
      <c r="AY2399" s="340" t="s">
        <v>342</v>
      </c>
      <c r="BN2399" s="340">
        <v>505.08</v>
      </c>
      <c r="BO2399" s="340" t="s">
        <v>318</v>
      </c>
      <c r="BP2399" s="1385"/>
      <c r="BV2399" s="236">
        <v>2.27</v>
      </c>
      <c r="BW2399" s="236" t="s">
        <v>331</v>
      </c>
      <c r="CB2399" s="340">
        <v>251.2</v>
      </c>
      <c r="CC2399" s="340" t="s">
        <v>342</v>
      </c>
      <c r="CL2399" s="236">
        <v>135.03</v>
      </c>
      <c r="CM2399" s="236" t="s">
        <v>316</v>
      </c>
      <c r="CR2399" s="340">
        <v>505.07</v>
      </c>
      <c r="CS2399" s="340" t="s">
        <v>318</v>
      </c>
      <c r="CT2399" s="1384"/>
      <c r="DF2399" s="340">
        <v>106.01</v>
      </c>
      <c r="DG2399" s="340" t="s">
        <v>344</v>
      </c>
      <c r="DV2399" s="340">
        <v>610.01</v>
      </c>
      <c r="DW2399" s="340" t="s">
        <v>289</v>
      </c>
      <c r="DX2399" s="1671"/>
    </row>
    <row r="2400" spans="12:128">
      <c r="L2400" s="2481">
        <v>118.38</v>
      </c>
      <c r="M2400" s="340" t="s">
        <v>344</v>
      </c>
      <c r="N2400" s="1390"/>
      <c r="O2400" s="2479"/>
      <c r="P2400" s="2282"/>
      <c r="AG2400" s="2297">
        <v>621.1</v>
      </c>
      <c r="AH2400" s="2297" t="s">
        <v>288</v>
      </c>
      <c r="AI2400" s="1390"/>
      <c r="AJ2400" s="2282"/>
      <c r="AK2400" s="2282"/>
      <c r="AL2400" s="1037"/>
      <c r="AX2400" s="340">
        <v>251.13</v>
      </c>
      <c r="AY2400" s="340" t="s">
        <v>342</v>
      </c>
      <c r="BN2400" s="340">
        <v>505.09</v>
      </c>
      <c r="BO2400" s="340" t="s">
        <v>318</v>
      </c>
      <c r="BP2400" s="1385"/>
      <c r="BV2400" s="236">
        <v>2.2799999999999998</v>
      </c>
      <c r="BW2400" s="236" t="s">
        <v>331</v>
      </c>
      <c r="CB2400" s="340">
        <v>251.21</v>
      </c>
      <c r="CC2400" s="340" t="s">
        <v>342</v>
      </c>
      <c r="CL2400" s="236">
        <v>135.03</v>
      </c>
      <c r="CM2400" s="236" t="s">
        <v>338</v>
      </c>
      <c r="CR2400" s="340">
        <v>505.08</v>
      </c>
      <c r="CS2400" s="340" t="s">
        <v>318</v>
      </c>
      <c r="CT2400" s="1384"/>
      <c r="DF2400" s="340">
        <v>106.03</v>
      </c>
      <c r="DG2400" s="340" t="s">
        <v>344</v>
      </c>
      <c r="DV2400" s="340">
        <v>610.03</v>
      </c>
      <c r="DW2400" s="340" t="s">
        <v>289</v>
      </c>
      <c r="DX2400" s="1671"/>
    </row>
    <row r="2401" spans="12:128">
      <c r="L2401" s="2481">
        <v>119.01</v>
      </c>
      <c r="M2401" s="340" t="s">
        <v>344</v>
      </c>
      <c r="N2401" s="1390"/>
      <c r="O2401" s="2479"/>
      <c r="P2401" s="2282"/>
      <c r="AG2401" s="2297">
        <v>621.12</v>
      </c>
      <c r="AH2401" s="2297" t="s">
        <v>288</v>
      </c>
      <c r="AI2401" s="1390"/>
      <c r="AJ2401" s="2282"/>
      <c r="AK2401" s="2282"/>
      <c r="AL2401" s="1037"/>
      <c r="AX2401" s="340">
        <v>251.19</v>
      </c>
      <c r="AY2401" s="340" t="s">
        <v>342</v>
      </c>
      <c r="BN2401" s="340">
        <v>505.09</v>
      </c>
      <c r="BO2401" s="340" t="s">
        <v>335</v>
      </c>
      <c r="BP2401" s="1385"/>
      <c r="BV2401" s="236">
        <v>3.02</v>
      </c>
      <c r="BW2401" s="236" t="s">
        <v>331</v>
      </c>
      <c r="CB2401" s="340">
        <v>251.22</v>
      </c>
      <c r="CC2401" s="340" t="s">
        <v>342</v>
      </c>
      <c r="CL2401" s="236">
        <v>135.04</v>
      </c>
      <c r="CM2401" s="236" t="s">
        <v>302</v>
      </c>
      <c r="CR2401" s="340">
        <v>505.09</v>
      </c>
      <c r="CS2401" s="340" t="s">
        <v>318</v>
      </c>
      <c r="CT2401" s="1384"/>
      <c r="DF2401" s="340">
        <v>106.04</v>
      </c>
      <c r="DG2401" s="340" t="s">
        <v>344</v>
      </c>
      <c r="DV2401" s="340">
        <v>610.04</v>
      </c>
      <c r="DW2401" s="340" t="s">
        <v>289</v>
      </c>
      <c r="DX2401" s="1671"/>
    </row>
    <row r="2402" spans="12:128">
      <c r="L2402" s="2481">
        <v>119.02</v>
      </c>
      <c r="M2402" s="340" t="s">
        <v>344</v>
      </c>
      <c r="N2402" s="1390"/>
      <c r="O2402" s="2479"/>
      <c r="P2402" s="2282"/>
      <c r="AG2402" s="2297">
        <v>621.13</v>
      </c>
      <c r="AH2402" s="2297" t="s">
        <v>288</v>
      </c>
      <c r="AI2402" s="1390"/>
      <c r="AJ2402" s="2282"/>
      <c r="AK2402" s="2282"/>
      <c r="AL2402" s="1037"/>
      <c r="AX2402" s="340">
        <v>251.2</v>
      </c>
      <c r="AY2402" s="340" t="s">
        <v>342</v>
      </c>
      <c r="BN2402" s="340">
        <v>506.01</v>
      </c>
      <c r="BO2402" s="340" t="s">
        <v>289</v>
      </c>
      <c r="BP2402" s="1385"/>
      <c r="BV2402" s="236">
        <v>3.06</v>
      </c>
      <c r="BW2402" s="236" t="s">
        <v>331</v>
      </c>
      <c r="CB2402" s="340">
        <v>251.23</v>
      </c>
      <c r="CC2402" s="340" t="s">
        <v>342</v>
      </c>
      <c r="CL2402" s="236">
        <v>135.04</v>
      </c>
      <c r="CM2402" s="236" t="s">
        <v>316</v>
      </c>
      <c r="CR2402" s="340">
        <v>506.01</v>
      </c>
      <c r="CS2402" s="340" t="s">
        <v>289</v>
      </c>
      <c r="CT2402" s="1384"/>
      <c r="DF2402" s="340">
        <v>107.02</v>
      </c>
      <c r="DG2402" s="340" t="s">
        <v>344</v>
      </c>
      <c r="DV2402" s="340">
        <v>611</v>
      </c>
      <c r="DW2402" s="340" t="s">
        <v>288</v>
      </c>
      <c r="DX2402" s="1671"/>
    </row>
    <row r="2403" spans="12:128">
      <c r="L2403" s="2481">
        <v>119.08</v>
      </c>
      <c r="M2403" s="340" t="s">
        <v>344</v>
      </c>
      <c r="N2403" s="1390"/>
      <c r="O2403" s="2479"/>
      <c r="P2403" s="2282"/>
      <c r="AG2403" s="2297">
        <v>624.01</v>
      </c>
      <c r="AH2403" s="2297" t="s">
        <v>288</v>
      </c>
      <c r="AI2403" s="1390"/>
      <c r="AJ2403" s="2282"/>
      <c r="AK2403" s="2282"/>
      <c r="AL2403" s="1037"/>
      <c r="AX2403" s="340">
        <v>251.21</v>
      </c>
      <c r="AY2403" s="340" t="s">
        <v>342</v>
      </c>
      <c r="BN2403" s="340">
        <v>506.01</v>
      </c>
      <c r="BO2403" s="340" t="s">
        <v>323</v>
      </c>
      <c r="BP2403" s="1385"/>
      <c r="BV2403" s="236">
        <v>3.07</v>
      </c>
      <c r="BW2403" s="236" t="s">
        <v>331</v>
      </c>
      <c r="CB2403" s="340">
        <v>252.05</v>
      </c>
      <c r="CC2403" s="340" t="s">
        <v>342</v>
      </c>
      <c r="CL2403" s="236">
        <v>135.05000000000001</v>
      </c>
      <c r="CM2403" s="236" t="s">
        <v>316</v>
      </c>
      <c r="CR2403" s="340">
        <v>506.01</v>
      </c>
      <c r="CS2403" s="340" t="s">
        <v>318</v>
      </c>
      <c r="CT2403" s="1384"/>
      <c r="DF2403" s="340">
        <v>108</v>
      </c>
      <c r="DG2403" s="340" t="s">
        <v>344</v>
      </c>
      <c r="DV2403" s="340">
        <v>612.01</v>
      </c>
      <c r="DW2403" s="340" t="s">
        <v>288</v>
      </c>
      <c r="DX2403" s="1671"/>
    </row>
    <row r="2404" spans="12:128">
      <c r="L2404" s="2481">
        <v>119.09</v>
      </c>
      <c r="M2404" s="340" t="s">
        <v>344</v>
      </c>
      <c r="N2404" s="1390"/>
      <c r="O2404" s="2479"/>
      <c r="P2404" s="2282"/>
      <c r="AG2404" s="2297">
        <v>626</v>
      </c>
      <c r="AH2404" s="2297" t="s">
        <v>288</v>
      </c>
      <c r="AI2404" s="1390"/>
      <c r="AJ2404" s="2282"/>
      <c r="AK2404" s="2282"/>
      <c r="AL2404" s="1037"/>
      <c r="AX2404" s="340">
        <v>251.22</v>
      </c>
      <c r="AY2404" s="340" t="s">
        <v>342</v>
      </c>
      <c r="BN2404" s="340">
        <v>506.02</v>
      </c>
      <c r="BO2404" s="340" t="s">
        <v>318</v>
      </c>
      <c r="BP2404" s="1385"/>
      <c r="BV2404" s="236">
        <v>3.08</v>
      </c>
      <c r="BW2404" s="236" t="s">
        <v>331</v>
      </c>
      <c r="CB2404" s="340">
        <v>252.08</v>
      </c>
      <c r="CC2404" s="340" t="s">
        <v>342</v>
      </c>
      <c r="CL2404" s="236">
        <v>135.05000000000001</v>
      </c>
      <c r="CM2404" s="236" t="s">
        <v>338</v>
      </c>
      <c r="CR2404" s="340">
        <v>506.01</v>
      </c>
      <c r="CS2404" s="340" t="s">
        <v>323</v>
      </c>
      <c r="CT2404" s="1384"/>
      <c r="DF2404" s="340">
        <v>116.05</v>
      </c>
      <c r="DG2404" s="340" t="s">
        <v>344</v>
      </c>
      <c r="DV2404" s="340">
        <v>612.02</v>
      </c>
      <c r="DW2404" s="340" t="s">
        <v>288</v>
      </c>
      <c r="DX2404" s="1671"/>
    </row>
    <row r="2405" spans="12:128">
      <c r="L2405" s="2481">
        <v>119.11</v>
      </c>
      <c r="M2405" s="340" t="s">
        <v>344</v>
      </c>
      <c r="N2405" s="1390"/>
      <c r="O2405" s="2479"/>
      <c r="P2405" s="2282"/>
      <c r="AG2405" s="2297">
        <v>628</v>
      </c>
      <c r="AH2405" s="2297" t="s">
        <v>288</v>
      </c>
      <c r="AI2405" s="1390"/>
      <c r="AJ2405" s="2282"/>
      <c r="AK2405" s="2282"/>
      <c r="AL2405" s="1037"/>
      <c r="AX2405" s="340">
        <v>251.23</v>
      </c>
      <c r="AY2405" s="340" t="s">
        <v>342</v>
      </c>
      <c r="BN2405" s="340">
        <v>506.03</v>
      </c>
      <c r="BO2405" s="340" t="s">
        <v>318</v>
      </c>
      <c r="BP2405" s="1385"/>
      <c r="BV2405" s="236">
        <v>3.09</v>
      </c>
      <c r="BW2405" s="236" t="s">
        <v>331</v>
      </c>
      <c r="CB2405" s="340">
        <v>252.09</v>
      </c>
      <c r="CC2405" s="340" t="s">
        <v>342</v>
      </c>
      <c r="CL2405" s="236">
        <v>135.07</v>
      </c>
      <c r="CM2405" s="236" t="s">
        <v>338</v>
      </c>
      <c r="CR2405" s="340">
        <v>506.02</v>
      </c>
      <c r="CS2405" s="340" t="s">
        <v>318</v>
      </c>
      <c r="CT2405" s="1384"/>
      <c r="DF2405" s="340">
        <v>116.06</v>
      </c>
      <c r="DG2405" s="340" t="s">
        <v>344</v>
      </c>
      <c r="DV2405" s="340">
        <v>621.08000000000004</v>
      </c>
      <c r="DW2405" s="340" t="s">
        <v>288</v>
      </c>
      <c r="DX2405" s="1671"/>
    </row>
    <row r="2406" spans="12:128">
      <c r="L2406" s="2481">
        <v>119.12</v>
      </c>
      <c r="M2406" s="340" t="s">
        <v>344</v>
      </c>
      <c r="N2406" s="1390"/>
      <c r="O2406" s="2479"/>
      <c r="P2406" s="2282"/>
      <c r="AG2406" s="2297">
        <v>630</v>
      </c>
      <c r="AH2406" s="2297" t="s">
        <v>288</v>
      </c>
      <c r="AI2406" s="1390"/>
      <c r="AJ2406" s="2282"/>
      <c r="AK2406" s="2282"/>
      <c r="AL2406" s="1037"/>
      <c r="AX2406" s="340">
        <v>252.05</v>
      </c>
      <c r="AY2406" s="340" t="s">
        <v>342</v>
      </c>
      <c r="BN2406" s="340">
        <v>506.04</v>
      </c>
      <c r="BO2406" s="340" t="s">
        <v>318</v>
      </c>
      <c r="BP2406" s="1385"/>
      <c r="BV2406" s="236">
        <v>3.1</v>
      </c>
      <c r="BW2406" s="236" t="s">
        <v>331</v>
      </c>
      <c r="CB2406" s="340">
        <v>252.1</v>
      </c>
      <c r="CC2406" s="340" t="s">
        <v>342</v>
      </c>
      <c r="CL2406" s="236">
        <v>135.1</v>
      </c>
      <c r="CM2406" s="236" t="s">
        <v>338</v>
      </c>
      <c r="CR2406" s="340">
        <v>506.04</v>
      </c>
      <c r="CS2406" s="340" t="s">
        <v>323</v>
      </c>
      <c r="CT2406" s="1384"/>
      <c r="DF2406" s="340">
        <v>118.21</v>
      </c>
      <c r="DG2406" s="340" t="s">
        <v>344</v>
      </c>
      <c r="DV2406" s="340">
        <v>621.1</v>
      </c>
      <c r="DW2406" s="340" t="s">
        <v>288</v>
      </c>
      <c r="DX2406" s="1671"/>
    </row>
    <row r="2407" spans="12:128">
      <c r="L2407" s="2481">
        <v>120.01</v>
      </c>
      <c r="M2407" s="340" t="s">
        <v>344</v>
      </c>
      <c r="N2407" s="1390"/>
      <c r="O2407" s="2479"/>
      <c r="P2407" s="2282"/>
      <c r="AG2407" s="2297">
        <v>631.02</v>
      </c>
      <c r="AH2407" s="2297" t="s">
        <v>288</v>
      </c>
      <c r="AI2407" s="1390"/>
      <c r="AJ2407" s="2282"/>
      <c r="AK2407" s="2282"/>
      <c r="AL2407" s="1037"/>
      <c r="AX2407" s="340">
        <v>252.09</v>
      </c>
      <c r="AY2407" s="340" t="s">
        <v>342</v>
      </c>
      <c r="BN2407" s="340">
        <v>506.04</v>
      </c>
      <c r="BO2407" s="340" t="s">
        <v>323</v>
      </c>
      <c r="BP2407" s="1385"/>
      <c r="BV2407" s="236">
        <v>3.11</v>
      </c>
      <c r="BW2407" s="236" t="s">
        <v>331</v>
      </c>
      <c r="CB2407" s="340">
        <v>253.03</v>
      </c>
      <c r="CC2407" s="340" t="s">
        <v>342</v>
      </c>
      <c r="CL2407" s="236">
        <v>135.11000000000001</v>
      </c>
      <c r="CM2407" s="236" t="s">
        <v>338</v>
      </c>
      <c r="CR2407" s="340">
        <v>506.05</v>
      </c>
      <c r="CS2407" s="340" t="s">
        <v>318</v>
      </c>
      <c r="CT2407" s="1384"/>
      <c r="DF2407" s="340">
        <v>118.22</v>
      </c>
      <c r="DG2407" s="340" t="s">
        <v>344</v>
      </c>
      <c r="DV2407" s="340">
        <v>621.12</v>
      </c>
      <c r="DW2407" s="340" t="s">
        <v>288</v>
      </c>
      <c r="DX2407" s="1671"/>
    </row>
    <row r="2408" spans="12:128">
      <c r="L2408" s="2481">
        <v>120.03</v>
      </c>
      <c r="M2408" s="340" t="s">
        <v>344</v>
      </c>
      <c r="N2408" s="1390"/>
      <c r="O2408" s="2479"/>
      <c r="P2408" s="2282"/>
      <c r="AG2408" s="2297">
        <v>631.04</v>
      </c>
      <c r="AH2408" s="2297" t="s">
        <v>288</v>
      </c>
      <c r="AI2408" s="1390"/>
      <c r="AJ2408" s="2282"/>
      <c r="AK2408" s="2282"/>
      <c r="AL2408" s="1037"/>
      <c r="AX2408" s="340">
        <v>252.1</v>
      </c>
      <c r="AY2408" s="340" t="s">
        <v>342</v>
      </c>
      <c r="BN2408" s="340">
        <v>506.05</v>
      </c>
      <c r="BO2408" s="340" t="s">
        <v>318</v>
      </c>
      <c r="BP2408" s="1385"/>
      <c r="BV2408" s="236">
        <v>3.12</v>
      </c>
      <c r="BW2408" s="236" t="s">
        <v>331</v>
      </c>
      <c r="CB2408" s="340">
        <v>253.07</v>
      </c>
      <c r="CC2408" s="340" t="s">
        <v>342</v>
      </c>
      <c r="CL2408" s="236">
        <v>135.12</v>
      </c>
      <c r="CM2408" s="236" t="s">
        <v>338</v>
      </c>
      <c r="CR2408" s="340">
        <v>506.08</v>
      </c>
      <c r="CS2408" s="340" t="s">
        <v>318</v>
      </c>
      <c r="CT2408" s="1384"/>
      <c r="DF2408" s="340">
        <v>118.32</v>
      </c>
      <c r="DG2408" s="340" t="s">
        <v>344</v>
      </c>
      <c r="DV2408" s="340">
        <v>621.13</v>
      </c>
      <c r="DW2408" s="340" t="s">
        <v>288</v>
      </c>
      <c r="DX2408" s="1671"/>
    </row>
    <row r="2409" spans="12:128">
      <c r="L2409" s="2481">
        <v>121.13</v>
      </c>
      <c r="M2409" s="340" t="s">
        <v>344</v>
      </c>
      <c r="N2409" s="1390"/>
      <c r="O2409" s="2479"/>
      <c r="P2409" s="2282"/>
      <c r="AG2409" s="2297">
        <v>631.04999999999995</v>
      </c>
      <c r="AH2409" s="2297" t="s">
        <v>288</v>
      </c>
      <c r="AI2409" s="1390"/>
      <c r="AJ2409" s="2282"/>
      <c r="AK2409" s="2282"/>
      <c r="AL2409" s="1037"/>
      <c r="AX2409" s="340">
        <v>252.11</v>
      </c>
      <c r="AY2409" s="340" t="s">
        <v>342</v>
      </c>
      <c r="BN2409" s="340">
        <v>506.08</v>
      </c>
      <c r="BO2409" s="340" t="s">
        <v>318</v>
      </c>
      <c r="BP2409" s="1385"/>
      <c r="BV2409" s="236">
        <v>4.0199999999999996</v>
      </c>
      <c r="BW2409" s="236" t="s">
        <v>331</v>
      </c>
      <c r="CB2409" s="340">
        <v>254.01</v>
      </c>
      <c r="CC2409" s="340" t="s">
        <v>342</v>
      </c>
      <c r="CL2409" s="236">
        <v>135.13</v>
      </c>
      <c r="CM2409" s="236" t="s">
        <v>338</v>
      </c>
      <c r="CR2409" s="340">
        <v>507.02</v>
      </c>
      <c r="CS2409" s="340" t="s">
        <v>318</v>
      </c>
      <c r="CT2409" s="1384"/>
      <c r="DF2409" s="340">
        <v>118.34</v>
      </c>
      <c r="DG2409" s="340" t="s">
        <v>344</v>
      </c>
      <c r="DV2409" s="340">
        <v>621.15</v>
      </c>
      <c r="DW2409" s="340" t="s">
        <v>288</v>
      </c>
      <c r="DX2409" s="1671"/>
    </row>
    <row r="2410" spans="12:128">
      <c r="L2410" s="2481">
        <v>121.25</v>
      </c>
      <c r="M2410" s="340" t="s">
        <v>344</v>
      </c>
      <c r="N2410" s="1390"/>
      <c r="O2410" s="2479"/>
      <c r="P2410" s="2282"/>
      <c r="AG2410" s="2297">
        <v>631.05999999999995</v>
      </c>
      <c r="AH2410" s="2297" t="s">
        <v>288</v>
      </c>
      <c r="AI2410" s="1390"/>
      <c r="AJ2410" s="2282"/>
      <c r="AK2410" s="2282"/>
      <c r="AL2410" s="1037"/>
      <c r="AX2410" s="340">
        <v>253.07</v>
      </c>
      <c r="AY2410" s="340" t="s">
        <v>342</v>
      </c>
      <c r="BN2410" s="340">
        <v>507.02</v>
      </c>
      <c r="BO2410" s="340" t="s">
        <v>318</v>
      </c>
      <c r="BP2410" s="1385"/>
      <c r="BV2410" s="236">
        <v>4.05</v>
      </c>
      <c r="BW2410" s="236" t="s">
        <v>331</v>
      </c>
      <c r="CB2410" s="340">
        <v>254.07</v>
      </c>
      <c r="CC2410" s="340" t="s">
        <v>342</v>
      </c>
      <c r="CL2410" s="236">
        <v>135.22</v>
      </c>
      <c r="CM2410" s="236" t="s">
        <v>302</v>
      </c>
      <c r="CR2410" s="340">
        <v>507.04</v>
      </c>
      <c r="CS2410" s="340" t="s">
        <v>318</v>
      </c>
      <c r="CT2410" s="1384"/>
      <c r="DF2410" s="340">
        <v>118.35</v>
      </c>
      <c r="DG2410" s="340" t="s">
        <v>344</v>
      </c>
      <c r="DV2410" s="340">
        <v>624.01</v>
      </c>
      <c r="DW2410" s="340" t="s">
        <v>288</v>
      </c>
      <c r="DX2410" s="1671"/>
    </row>
    <row r="2411" spans="12:128">
      <c r="L2411" s="2481">
        <v>121.26</v>
      </c>
      <c r="M2411" s="340" t="s">
        <v>344</v>
      </c>
      <c r="N2411" s="1390"/>
      <c r="O2411" s="2479"/>
      <c r="P2411" s="2282"/>
      <c r="AG2411" s="2297">
        <v>631.08000000000004</v>
      </c>
      <c r="AH2411" s="2297" t="s">
        <v>288</v>
      </c>
      <c r="AI2411" s="1390"/>
      <c r="AJ2411" s="2282"/>
      <c r="AK2411" s="2282"/>
      <c r="AL2411" s="1037"/>
      <c r="AX2411" s="340">
        <v>253.09</v>
      </c>
      <c r="AY2411" s="340" t="s">
        <v>342</v>
      </c>
      <c r="BN2411" s="340">
        <v>507.04</v>
      </c>
      <c r="BO2411" s="340" t="s">
        <v>318</v>
      </c>
      <c r="BP2411" s="1385"/>
      <c r="BV2411" s="236">
        <v>4.08</v>
      </c>
      <c r="BW2411" s="236" t="s">
        <v>331</v>
      </c>
      <c r="CB2411" s="340">
        <v>254.11</v>
      </c>
      <c r="CC2411" s="340" t="s">
        <v>342</v>
      </c>
      <c r="CL2411" s="236">
        <v>135.22999999999999</v>
      </c>
      <c r="CM2411" s="236" t="s">
        <v>302</v>
      </c>
      <c r="CR2411" s="340">
        <v>507.06</v>
      </c>
      <c r="CS2411" s="340" t="s">
        <v>318</v>
      </c>
      <c r="CT2411" s="1384"/>
      <c r="DF2411" s="340">
        <v>118.36</v>
      </c>
      <c r="DG2411" s="340" t="s">
        <v>344</v>
      </c>
      <c r="DV2411" s="340">
        <v>628</v>
      </c>
      <c r="DW2411" s="340" t="s">
        <v>288</v>
      </c>
      <c r="DX2411" s="1671"/>
    </row>
    <row r="2412" spans="12:128">
      <c r="L2412" s="2481">
        <v>121.27</v>
      </c>
      <c r="M2412" s="340" t="s">
        <v>344</v>
      </c>
      <c r="N2412" s="1390"/>
      <c r="O2412" s="2479"/>
      <c r="P2412" s="2282"/>
      <c r="AG2412" s="2297">
        <v>631.09</v>
      </c>
      <c r="AH2412" s="2297" t="s">
        <v>288</v>
      </c>
      <c r="AI2412" s="1390"/>
      <c r="AJ2412" s="2282"/>
      <c r="AK2412" s="2282"/>
      <c r="AL2412" s="1037"/>
      <c r="AX2412" s="340">
        <v>254.01</v>
      </c>
      <c r="AY2412" s="340" t="s">
        <v>342</v>
      </c>
      <c r="BN2412" s="340">
        <v>507.06</v>
      </c>
      <c r="BO2412" s="340" t="s">
        <v>318</v>
      </c>
      <c r="BP2412" s="1385"/>
      <c r="BV2412" s="236">
        <v>4.09</v>
      </c>
      <c r="BW2412" s="236" t="s">
        <v>331</v>
      </c>
      <c r="CB2412" s="340">
        <v>254.12</v>
      </c>
      <c r="CC2412" s="340" t="s">
        <v>342</v>
      </c>
      <c r="CL2412" s="236">
        <v>135.24</v>
      </c>
      <c r="CM2412" s="236" t="s">
        <v>302</v>
      </c>
      <c r="CR2412" s="340">
        <v>507.07</v>
      </c>
      <c r="CS2412" s="340" t="s">
        <v>318</v>
      </c>
      <c r="CT2412" s="1384"/>
      <c r="DF2412" s="340">
        <v>118.37</v>
      </c>
      <c r="DG2412" s="340" t="s">
        <v>344</v>
      </c>
      <c r="DV2412" s="340">
        <v>630</v>
      </c>
      <c r="DW2412" s="340" t="s">
        <v>288</v>
      </c>
      <c r="DX2412" s="1671"/>
    </row>
    <row r="2413" spans="12:128">
      <c r="L2413" s="2481">
        <v>121.3</v>
      </c>
      <c r="M2413" s="340" t="s">
        <v>344</v>
      </c>
      <c r="N2413" s="1390"/>
      <c r="O2413" s="2479"/>
      <c r="P2413" s="2282"/>
      <c r="AG2413" s="2297">
        <v>641.02</v>
      </c>
      <c r="AH2413" s="2297" t="s">
        <v>288</v>
      </c>
      <c r="AI2413" s="1390"/>
      <c r="AJ2413" s="2282"/>
      <c r="AK2413" s="2282"/>
      <c r="AL2413" s="1037"/>
      <c r="AX2413" s="340">
        <v>254.07</v>
      </c>
      <c r="AY2413" s="340" t="s">
        <v>342</v>
      </c>
      <c r="BN2413" s="340">
        <v>507.07</v>
      </c>
      <c r="BO2413" s="340" t="s">
        <v>318</v>
      </c>
      <c r="BP2413" s="1385"/>
      <c r="BV2413" s="236">
        <v>4.0999999999999996</v>
      </c>
      <c r="BW2413" s="236" t="s">
        <v>331</v>
      </c>
      <c r="CB2413" s="340">
        <v>255.01</v>
      </c>
      <c r="CC2413" s="340" t="s">
        <v>342</v>
      </c>
      <c r="CL2413" s="236">
        <v>135.25</v>
      </c>
      <c r="CM2413" s="236" t="s">
        <v>302</v>
      </c>
      <c r="CR2413" s="340">
        <v>507.08</v>
      </c>
      <c r="CS2413" s="340" t="s">
        <v>318</v>
      </c>
      <c r="CT2413" s="1384"/>
      <c r="DF2413" s="340">
        <v>118.38</v>
      </c>
      <c r="DG2413" s="340" t="s">
        <v>344</v>
      </c>
      <c r="DV2413" s="340">
        <v>631.02</v>
      </c>
      <c r="DW2413" s="340" t="s">
        <v>288</v>
      </c>
      <c r="DX2413" s="1671"/>
    </row>
    <row r="2414" spans="12:128">
      <c r="L2414" s="2481">
        <v>121.32</v>
      </c>
      <c r="M2414" s="340" t="s">
        <v>344</v>
      </c>
      <c r="N2414" s="1390"/>
      <c r="O2414" s="2479"/>
      <c r="P2414" s="2282"/>
      <c r="AG2414" s="2297">
        <v>641.24</v>
      </c>
      <c r="AH2414" s="2297" t="s">
        <v>288</v>
      </c>
      <c r="AI2414" s="1390"/>
      <c r="AJ2414" s="2282"/>
      <c r="AK2414" s="2282"/>
      <c r="AL2414" s="1037"/>
      <c r="AX2414" s="340">
        <v>254.11</v>
      </c>
      <c r="AY2414" s="340" t="s">
        <v>342</v>
      </c>
      <c r="BN2414" s="340">
        <v>507.08</v>
      </c>
      <c r="BO2414" s="340" t="s">
        <v>318</v>
      </c>
      <c r="BP2414" s="1385"/>
      <c r="BV2414" s="236">
        <v>4.1100000000000003</v>
      </c>
      <c r="BW2414" s="236" t="s">
        <v>331</v>
      </c>
      <c r="CB2414" s="340">
        <v>255.1</v>
      </c>
      <c r="CC2414" s="340" t="s">
        <v>342</v>
      </c>
      <c r="CL2414" s="236">
        <v>135.26</v>
      </c>
      <c r="CM2414" s="236" t="s">
        <v>302</v>
      </c>
      <c r="CR2414" s="340">
        <v>507.09</v>
      </c>
      <c r="CS2414" s="340" t="s">
        <v>318</v>
      </c>
      <c r="CT2414" s="1384"/>
      <c r="DF2414" s="340">
        <v>119.01</v>
      </c>
      <c r="DG2414" s="340" t="s">
        <v>344</v>
      </c>
      <c r="DV2414" s="340">
        <v>631.04</v>
      </c>
      <c r="DW2414" s="340" t="s">
        <v>288</v>
      </c>
      <c r="DX2414" s="1671"/>
    </row>
    <row r="2415" spans="12:128">
      <c r="L2415" s="2481">
        <v>122.03</v>
      </c>
      <c r="M2415" s="340" t="s">
        <v>344</v>
      </c>
      <c r="N2415" s="1390"/>
      <c r="O2415" s="2479"/>
      <c r="P2415" s="2282"/>
      <c r="AG2415" s="2297">
        <v>641.26</v>
      </c>
      <c r="AH2415" s="2297" t="s">
        <v>288</v>
      </c>
      <c r="AI2415" s="1390"/>
      <c r="AJ2415" s="2282"/>
      <c r="AK2415" s="2282"/>
      <c r="AL2415" s="1037"/>
      <c r="AX2415" s="340">
        <v>254.12</v>
      </c>
      <c r="AY2415" s="340" t="s">
        <v>342</v>
      </c>
      <c r="BN2415" s="340">
        <v>508.1</v>
      </c>
      <c r="BO2415" s="340" t="s">
        <v>318</v>
      </c>
      <c r="BP2415" s="1385"/>
      <c r="BV2415" s="236">
        <v>4.13</v>
      </c>
      <c r="BW2415" s="236" t="s">
        <v>331</v>
      </c>
      <c r="CB2415" s="340">
        <v>257</v>
      </c>
      <c r="CC2415" s="340" t="s">
        <v>342</v>
      </c>
      <c r="CL2415" s="236">
        <v>136</v>
      </c>
      <c r="CM2415" s="236" t="s">
        <v>331</v>
      </c>
      <c r="CR2415" s="340">
        <v>508.07</v>
      </c>
      <c r="CS2415" s="340" t="s">
        <v>318</v>
      </c>
      <c r="CT2415" s="1384"/>
      <c r="DF2415" s="340">
        <v>119.02</v>
      </c>
      <c r="DG2415" s="340" t="s">
        <v>344</v>
      </c>
      <c r="DV2415" s="340">
        <v>631.04999999999995</v>
      </c>
      <c r="DW2415" s="340" t="s">
        <v>288</v>
      </c>
      <c r="DX2415" s="1671"/>
    </row>
    <row r="2416" spans="12:128">
      <c r="L2416" s="2481">
        <v>122.07</v>
      </c>
      <c r="M2416" s="340" t="s">
        <v>344</v>
      </c>
      <c r="N2416" s="1390"/>
      <c r="O2416" s="2479"/>
      <c r="P2416" s="2282"/>
      <c r="AG2416" s="2297">
        <v>641.27</v>
      </c>
      <c r="AH2416" s="2297" t="s">
        <v>288</v>
      </c>
      <c r="AI2416" s="1390"/>
      <c r="AJ2416" s="2282"/>
      <c r="AK2416" s="2282"/>
      <c r="AL2416" s="1037"/>
      <c r="AX2416" s="340">
        <v>254.17</v>
      </c>
      <c r="AY2416" s="340" t="s">
        <v>342</v>
      </c>
      <c r="BN2416" s="340">
        <v>508.11</v>
      </c>
      <c r="BO2416" s="340" t="s">
        <v>318</v>
      </c>
      <c r="BP2416" s="1385"/>
      <c r="BV2416" s="236">
        <v>4.1399999999999997</v>
      </c>
      <c r="BW2416" s="236" t="s">
        <v>331</v>
      </c>
      <c r="CB2416" s="340">
        <v>260.01</v>
      </c>
      <c r="CC2416" s="340" t="s">
        <v>342</v>
      </c>
      <c r="CL2416" s="236">
        <v>136.01</v>
      </c>
      <c r="CM2416" s="236" t="s">
        <v>344</v>
      </c>
      <c r="CR2416" s="340">
        <v>508.09</v>
      </c>
      <c r="CS2416" s="340" t="s">
        <v>318</v>
      </c>
      <c r="CT2416" s="1384"/>
      <c r="DF2416" s="340">
        <v>119.08</v>
      </c>
      <c r="DG2416" s="340" t="s">
        <v>344</v>
      </c>
      <c r="DV2416" s="340">
        <v>631.05999999999995</v>
      </c>
      <c r="DW2416" s="340" t="s">
        <v>288</v>
      </c>
      <c r="DX2416" s="1671"/>
    </row>
    <row r="2417" spans="12:128">
      <c r="L2417" s="2481">
        <v>122.09</v>
      </c>
      <c r="M2417" s="340" t="s">
        <v>344</v>
      </c>
      <c r="N2417" s="1390"/>
      <c r="O2417" s="2479"/>
      <c r="P2417" s="2282"/>
      <c r="AG2417" s="2297">
        <v>641.28</v>
      </c>
      <c r="AH2417" s="2297" t="s">
        <v>288</v>
      </c>
      <c r="AI2417" s="1390"/>
      <c r="AJ2417" s="2282"/>
      <c r="AK2417" s="2282"/>
      <c r="AL2417" s="1037"/>
      <c r="AX2417" s="340">
        <v>255.01</v>
      </c>
      <c r="AY2417" s="340" t="s">
        <v>342</v>
      </c>
      <c r="BN2417" s="340">
        <v>509</v>
      </c>
      <c r="BO2417" s="340" t="s">
        <v>289</v>
      </c>
      <c r="BP2417" s="1385"/>
      <c r="BV2417" s="236">
        <v>4.1500000000000004</v>
      </c>
      <c r="BW2417" s="236" t="s">
        <v>331</v>
      </c>
      <c r="CB2417" s="340">
        <v>260.02999999999997</v>
      </c>
      <c r="CC2417" s="340" t="s">
        <v>342</v>
      </c>
      <c r="CL2417" s="236">
        <v>136.02000000000001</v>
      </c>
      <c r="CM2417" s="236" t="s">
        <v>316</v>
      </c>
      <c r="CR2417" s="340">
        <v>508.11</v>
      </c>
      <c r="CS2417" s="340" t="s">
        <v>318</v>
      </c>
      <c r="CT2417" s="1384"/>
      <c r="DF2417" s="340">
        <v>119.09</v>
      </c>
      <c r="DG2417" s="340" t="s">
        <v>344</v>
      </c>
      <c r="DV2417" s="340">
        <v>631.08000000000004</v>
      </c>
      <c r="DW2417" s="340" t="s">
        <v>288</v>
      </c>
      <c r="DX2417" s="1671"/>
    </row>
    <row r="2418" spans="12:128">
      <c r="L2418" s="2481">
        <v>123.03</v>
      </c>
      <c r="M2418" s="340" t="s">
        <v>344</v>
      </c>
      <c r="N2418" s="1390"/>
      <c r="O2418" s="2479"/>
      <c r="P2418" s="2282"/>
      <c r="AG2418" s="2297">
        <v>641.29</v>
      </c>
      <c r="AH2418" s="2297" t="s">
        <v>288</v>
      </c>
      <c r="AI2418" s="1390"/>
      <c r="AJ2418" s="2282"/>
      <c r="AK2418" s="2282"/>
      <c r="AL2418" s="1037"/>
      <c r="AX2418" s="340">
        <v>255.09</v>
      </c>
      <c r="AY2418" s="340" t="s">
        <v>342</v>
      </c>
      <c r="BN2418" s="340">
        <v>509.03</v>
      </c>
      <c r="BO2418" s="340" t="s">
        <v>318</v>
      </c>
      <c r="BP2418" s="1385"/>
      <c r="BV2418" s="236">
        <v>4.16</v>
      </c>
      <c r="BW2418" s="236" t="s">
        <v>331</v>
      </c>
      <c r="CB2418" s="340">
        <v>260.04000000000002</v>
      </c>
      <c r="CC2418" s="340" t="s">
        <v>342</v>
      </c>
      <c r="CL2418" s="236">
        <v>136.02000000000001</v>
      </c>
      <c r="CM2418" s="236" t="s">
        <v>344</v>
      </c>
      <c r="CR2418" s="340">
        <v>508.12</v>
      </c>
      <c r="CS2418" s="340" t="s">
        <v>318</v>
      </c>
      <c r="CT2418" s="1384"/>
      <c r="DF2418" s="340">
        <v>119.11</v>
      </c>
      <c r="DG2418" s="340" t="s">
        <v>344</v>
      </c>
      <c r="DV2418" s="340">
        <v>631.09</v>
      </c>
      <c r="DW2418" s="340" t="s">
        <v>288</v>
      </c>
      <c r="DX2418" s="1671"/>
    </row>
    <row r="2419" spans="12:128">
      <c r="L2419" s="2481">
        <v>123.04</v>
      </c>
      <c r="M2419" s="340" t="s">
        <v>344</v>
      </c>
      <c r="N2419" s="1390"/>
      <c r="O2419" s="2479"/>
      <c r="P2419" s="2282"/>
      <c r="AG2419" s="2297">
        <v>641.29999999999995</v>
      </c>
      <c r="AH2419" s="2297" t="s">
        <v>288</v>
      </c>
      <c r="AI2419" s="1390"/>
      <c r="AJ2419" s="2282"/>
      <c r="AK2419" s="2282"/>
      <c r="AL2419" s="1037"/>
      <c r="AX2419" s="340">
        <v>255.1</v>
      </c>
      <c r="AY2419" s="340" t="s">
        <v>342</v>
      </c>
      <c r="BN2419" s="340">
        <v>509.05</v>
      </c>
      <c r="BO2419" s="340" t="s">
        <v>318</v>
      </c>
      <c r="BP2419" s="1385"/>
      <c r="BV2419" s="236">
        <v>4.17</v>
      </c>
      <c r="BW2419" s="236" t="s">
        <v>331</v>
      </c>
      <c r="CB2419" s="340">
        <v>264.01</v>
      </c>
      <c r="CC2419" s="340" t="s">
        <v>342</v>
      </c>
      <c r="CL2419" s="236">
        <v>136.03</v>
      </c>
      <c r="CM2419" s="236" t="s">
        <v>338</v>
      </c>
      <c r="CR2419" s="340">
        <v>509</v>
      </c>
      <c r="CS2419" s="340" t="s">
        <v>289</v>
      </c>
      <c r="CT2419" s="1384"/>
      <c r="DF2419" s="340">
        <v>119.12</v>
      </c>
      <c r="DG2419" s="340" t="s">
        <v>344</v>
      </c>
      <c r="DV2419" s="340">
        <v>641.02</v>
      </c>
      <c r="DW2419" s="340" t="s">
        <v>288</v>
      </c>
      <c r="DX2419" s="1671"/>
    </row>
    <row r="2420" spans="12:128">
      <c r="L2420" s="2481">
        <v>123.07</v>
      </c>
      <c r="M2420" s="340" t="s">
        <v>344</v>
      </c>
      <c r="N2420" s="1390"/>
      <c r="O2420" s="2479"/>
      <c r="P2420" s="2282"/>
      <c r="AG2420" s="2297">
        <v>644</v>
      </c>
      <c r="AH2420" s="2297" t="s">
        <v>288</v>
      </c>
      <c r="AI2420" s="1390"/>
      <c r="AJ2420" s="2282"/>
      <c r="AK2420" s="2282"/>
      <c r="AL2420" s="1037"/>
      <c r="AX2420" s="340">
        <v>257</v>
      </c>
      <c r="AY2420" s="340" t="s">
        <v>342</v>
      </c>
      <c r="BN2420" s="340">
        <v>510.01</v>
      </c>
      <c r="BO2420" s="340" t="s">
        <v>289</v>
      </c>
      <c r="BP2420" s="1385"/>
      <c r="BV2420" s="236">
        <v>4.18</v>
      </c>
      <c r="BW2420" s="236" t="s">
        <v>331</v>
      </c>
      <c r="CB2420" s="340">
        <v>266.01</v>
      </c>
      <c r="CC2420" s="340" t="s">
        <v>342</v>
      </c>
      <c r="CL2420" s="236">
        <v>136.04</v>
      </c>
      <c r="CM2420" s="236" t="s">
        <v>316</v>
      </c>
      <c r="CR2420" s="340">
        <v>509.03</v>
      </c>
      <c r="CS2420" s="340" t="s">
        <v>318</v>
      </c>
      <c r="CT2420" s="1384"/>
      <c r="DF2420" s="340">
        <v>119.13</v>
      </c>
      <c r="DG2420" s="340" t="s">
        <v>344</v>
      </c>
      <c r="DV2420" s="340">
        <v>641.23</v>
      </c>
      <c r="DW2420" s="340" t="s">
        <v>288</v>
      </c>
      <c r="DX2420" s="1671"/>
    </row>
    <row r="2421" spans="12:128">
      <c r="L2421" s="2481">
        <v>124.05</v>
      </c>
      <c r="M2421" s="340" t="s">
        <v>344</v>
      </c>
      <c r="N2421" s="1390"/>
      <c r="O2421" s="2479"/>
      <c r="P2421" s="2282"/>
      <c r="AG2421" s="2297">
        <v>646.01</v>
      </c>
      <c r="AH2421" s="2297" t="s">
        <v>288</v>
      </c>
      <c r="AI2421" s="1390"/>
      <c r="AJ2421" s="2282"/>
      <c r="AK2421" s="2282"/>
      <c r="AL2421" s="1037"/>
      <c r="AX2421" s="340">
        <v>260.01</v>
      </c>
      <c r="AY2421" s="340" t="s">
        <v>342</v>
      </c>
      <c r="BN2421" s="340">
        <v>510.02</v>
      </c>
      <c r="BO2421" s="340" t="s">
        <v>289</v>
      </c>
      <c r="BP2421" s="1385"/>
      <c r="BV2421" s="236">
        <v>4.1900000000000004</v>
      </c>
      <c r="BW2421" s="236" t="s">
        <v>331</v>
      </c>
      <c r="CB2421" s="340">
        <v>266.02</v>
      </c>
      <c r="CC2421" s="340" t="s">
        <v>342</v>
      </c>
      <c r="CL2421" s="236">
        <v>136.04</v>
      </c>
      <c r="CM2421" s="236" t="s">
        <v>338</v>
      </c>
      <c r="CR2421" s="340">
        <v>509.05</v>
      </c>
      <c r="CS2421" s="340" t="s">
        <v>318</v>
      </c>
      <c r="CT2421" s="1384"/>
      <c r="DF2421" s="340">
        <v>120.01</v>
      </c>
      <c r="DG2421" s="340" t="s">
        <v>344</v>
      </c>
      <c r="DV2421" s="340">
        <v>641.26</v>
      </c>
      <c r="DW2421" s="340" t="s">
        <v>288</v>
      </c>
      <c r="DX2421" s="1671"/>
    </row>
    <row r="2422" spans="12:128">
      <c r="L2422" s="2481">
        <v>124.08</v>
      </c>
      <c r="M2422" s="340" t="s">
        <v>344</v>
      </c>
      <c r="N2422" s="1390"/>
      <c r="O2422" s="2479"/>
      <c r="P2422" s="2282"/>
      <c r="AG2422" s="2297">
        <v>646.02</v>
      </c>
      <c r="AH2422" s="2297" t="s">
        <v>288</v>
      </c>
      <c r="AI2422" s="1390"/>
      <c r="AJ2422" s="2282"/>
      <c r="AK2422" s="2282"/>
      <c r="AL2422" s="1037"/>
      <c r="AX2422" s="340">
        <v>260.02999999999997</v>
      </c>
      <c r="AY2422" s="340" t="s">
        <v>342</v>
      </c>
      <c r="BN2422" s="340">
        <v>601.02</v>
      </c>
      <c r="BO2422" s="340" t="s">
        <v>323</v>
      </c>
      <c r="BP2422" s="1385"/>
      <c r="BV2422" s="236">
        <v>4.2</v>
      </c>
      <c r="BW2422" s="236" t="s">
        <v>331</v>
      </c>
      <c r="CB2422" s="340">
        <v>267.04000000000002</v>
      </c>
      <c r="CC2422" s="340" t="s">
        <v>342</v>
      </c>
      <c r="CL2422" s="236">
        <v>136.05000000000001</v>
      </c>
      <c r="CM2422" s="236" t="s">
        <v>338</v>
      </c>
      <c r="CR2422" s="340">
        <v>509.09</v>
      </c>
      <c r="CS2422" s="340" t="s">
        <v>318</v>
      </c>
      <c r="CT2422" s="1384"/>
      <c r="DF2422" s="340">
        <v>120.02</v>
      </c>
      <c r="DG2422" s="340" t="s">
        <v>344</v>
      </c>
      <c r="DV2422" s="340">
        <v>641.27</v>
      </c>
      <c r="DW2422" s="340" t="s">
        <v>288</v>
      </c>
      <c r="DX2422" s="1671"/>
    </row>
    <row r="2423" spans="12:128">
      <c r="L2423" s="2481">
        <v>124.09</v>
      </c>
      <c r="M2423" s="340" t="s">
        <v>344</v>
      </c>
      <c r="N2423" s="1390"/>
      <c r="O2423" s="2479"/>
      <c r="P2423" s="2282"/>
      <c r="AG2423" s="2297">
        <v>649.01</v>
      </c>
      <c r="AH2423" s="2297" t="s">
        <v>288</v>
      </c>
      <c r="AI2423" s="1390"/>
      <c r="AJ2423" s="2282"/>
      <c r="AK2423" s="2282"/>
      <c r="AL2423" s="1037"/>
      <c r="AX2423" s="340">
        <v>264.01</v>
      </c>
      <c r="AY2423" s="340" t="s">
        <v>342</v>
      </c>
      <c r="BN2423" s="340">
        <v>601.04</v>
      </c>
      <c r="BO2423" s="340" t="s">
        <v>305</v>
      </c>
      <c r="BP2423" s="1385"/>
      <c r="BV2423" s="236">
        <v>5.04</v>
      </c>
      <c r="BW2423" s="236" t="s">
        <v>331</v>
      </c>
      <c r="CB2423" s="340">
        <v>267.05</v>
      </c>
      <c r="CC2423" s="340" t="s">
        <v>342</v>
      </c>
      <c r="CL2423" s="236">
        <v>136.06</v>
      </c>
      <c r="CM2423" s="236" t="s">
        <v>338</v>
      </c>
      <c r="CR2423" s="340">
        <v>510.01</v>
      </c>
      <c r="CS2423" s="340" t="s">
        <v>289</v>
      </c>
      <c r="CT2423" s="1384"/>
      <c r="DF2423" s="340">
        <v>120.03</v>
      </c>
      <c r="DG2423" s="340" t="s">
        <v>344</v>
      </c>
      <c r="DV2423" s="340">
        <v>641.28</v>
      </c>
      <c r="DW2423" s="340" t="s">
        <v>288</v>
      </c>
      <c r="DX2423" s="1671"/>
    </row>
    <row r="2424" spans="12:128">
      <c r="L2424" s="2481">
        <v>124.1</v>
      </c>
      <c r="M2424" s="340" t="s">
        <v>344</v>
      </c>
      <c r="N2424" s="1390"/>
      <c r="O2424" s="2479"/>
      <c r="P2424" s="2282"/>
      <c r="AG2424" s="2297">
        <v>650.01</v>
      </c>
      <c r="AH2424" s="2297" t="s">
        <v>288</v>
      </c>
      <c r="AI2424" s="1390"/>
      <c r="AJ2424" s="2282"/>
      <c r="AK2424" s="2282"/>
      <c r="AL2424" s="1037"/>
      <c r="AX2424" s="340">
        <v>266.01</v>
      </c>
      <c r="AY2424" s="340" t="s">
        <v>342</v>
      </c>
      <c r="BN2424" s="340">
        <v>601.04999999999995</v>
      </c>
      <c r="BO2424" s="340" t="s">
        <v>305</v>
      </c>
      <c r="BP2424" s="1385"/>
      <c r="BV2424" s="236">
        <v>5.05</v>
      </c>
      <c r="BW2424" s="236" t="s">
        <v>331</v>
      </c>
      <c r="CB2424" s="340">
        <v>268.08999999999997</v>
      </c>
      <c r="CC2424" s="340" t="s">
        <v>342</v>
      </c>
      <c r="CL2424" s="236">
        <v>136.07</v>
      </c>
      <c r="CM2424" s="236" t="s">
        <v>338</v>
      </c>
      <c r="CR2424" s="340">
        <v>510.02</v>
      </c>
      <c r="CS2424" s="340" t="s">
        <v>289</v>
      </c>
      <c r="CT2424" s="1384"/>
      <c r="DF2424" s="340">
        <v>120.04</v>
      </c>
      <c r="DG2424" s="340" t="s">
        <v>344</v>
      </c>
      <c r="DV2424" s="340">
        <v>641.29</v>
      </c>
      <c r="DW2424" s="340" t="s">
        <v>288</v>
      </c>
      <c r="DX2424" s="1671"/>
    </row>
    <row r="2425" spans="12:128">
      <c r="L2425" s="2481">
        <v>124.11</v>
      </c>
      <c r="M2425" s="340" t="s">
        <v>344</v>
      </c>
      <c r="N2425" s="1390"/>
      <c r="O2425" s="2479"/>
      <c r="P2425" s="2282"/>
      <c r="AG2425" s="2297">
        <v>650.22</v>
      </c>
      <c r="AH2425" s="2297" t="s">
        <v>288</v>
      </c>
      <c r="AI2425" s="1390"/>
      <c r="AJ2425" s="2282"/>
      <c r="AK2425" s="2282"/>
      <c r="AL2425" s="1037"/>
      <c r="AX2425" s="340">
        <v>267.04000000000002</v>
      </c>
      <c r="AY2425" s="340" t="s">
        <v>342</v>
      </c>
      <c r="BN2425" s="340">
        <v>601.05999999999995</v>
      </c>
      <c r="BO2425" s="340" t="s">
        <v>288</v>
      </c>
      <c r="BP2425" s="1385"/>
      <c r="BV2425" s="236">
        <v>5.0599999999999996</v>
      </c>
      <c r="BW2425" s="236" t="s">
        <v>331</v>
      </c>
      <c r="CB2425" s="340">
        <v>268.11</v>
      </c>
      <c r="CC2425" s="340" t="s">
        <v>342</v>
      </c>
      <c r="CL2425" s="236">
        <v>137</v>
      </c>
      <c r="CM2425" s="236" t="s">
        <v>331</v>
      </c>
      <c r="CR2425" s="340">
        <v>601.02</v>
      </c>
      <c r="CS2425" s="340" t="s">
        <v>323</v>
      </c>
      <c r="CT2425" s="1384"/>
      <c r="DF2425" s="340">
        <v>121.13</v>
      </c>
      <c r="DG2425" s="340" t="s">
        <v>344</v>
      </c>
      <c r="DV2425" s="340">
        <v>641.29999999999995</v>
      </c>
      <c r="DW2425" s="340" t="s">
        <v>288</v>
      </c>
      <c r="DX2425" s="1671"/>
    </row>
    <row r="2426" spans="12:128">
      <c r="L2426" s="2481">
        <v>124.12</v>
      </c>
      <c r="M2426" s="340" t="s">
        <v>344</v>
      </c>
      <c r="N2426" s="1390"/>
      <c r="O2426" s="2479"/>
      <c r="P2426" s="2282"/>
      <c r="AG2426" s="2297">
        <v>650.23</v>
      </c>
      <c r="AH2426" s="2297" t="s">
        <v>288</v>
      </c>
      <c r="AI2426" s="1390"/>
      <c r="AJ2426" s="2282"/>
      <c r="AK2426" s="2282"/>
      <c r="AL2426" s="1037"/>
      <c r="AX2426" s="340">
        <v>268.04000000000002</v>
      </c>
      <c r="AY2426" s="340" t="s">
        <v>342</v>
      </c>
      <c r="BN2426" s="340">
        <v>601.05999999999995</v>
      </c>
      <c r="BO2426" s="340" t="s">
        <v>305</v>
      </c>
      <c r="BP2426" s="1385"/>
      <c r="BV2426" s="236">
        <v>5.07</v>
      </c>
      <c r="BW2426" s="236" t="s">
        <v>331</v>
      </c>
      <c r="CB2426" s="340">
        <v>268.12</v>
      </c>
      <c r="CC2426" s="340" t="s">
        <v>342</v>
      </c>
      <c r="CL2426" s="236">
        <v>137.01</v>
      </c>
      <c r="CM2426" s="236" t="s">
        <v>338</v>
      </c>
      <c r="CR2426" s="340">
        <v>601.04999999999995</v>
      </c>
      <c r="CS2426" s="340" t="s">
        <v>305</v>
      </c>
      <c r="CT2426" s="1384"/>
      <c r="DF2426" s="340">
        <v>121.25</v>
      </c>
      <c r="DG2426" s="340" t="s">
        <v>344</v>
      </c>
      <c r="DV2426" s="340">
        <v>644</v>
      </c>
      <c r="DW2426" s="340" t="s">
        <v>288</v>
      </c>
      <c r="DX2426" s="1671"/>
    </row>
    <row r="2427" spans="12:128">
      <c r="L2427" s="2481">
        <v>124.13</v>
      </c>
      <c r="M2427" s="340" t="s">
        <v>344</v>
      </c>
      <c r="N2427" s="1390"/>
      <c r="O2427" s="2479"/>
      <c r="P2427" s="2282"/>
      <c r="AG2427" s="2297">
        <v>650.24</v>
      </c>
      <c r="AH2427" s="2297" t="s">
        <v>288</v>
      </c>
      <c r="AI2427" s="1390"/>
      <c r="AJ2427" s="2282"/>
      <c r="AK2427" s="2282"/>
      <c r="AL2427" s="1037"/>
      <c r="AX2427" s="340">
        <v>268.08999999999997</v>
      </c>
      <c r="AY2427" s="340" t="s">
        <v>342</v>
      </c>
      <c r="BN2427" s="340">
        <v>601.07000000000005</v>
      </c>
      <c r="BO2427" s="340" t="s">
        <v>305</v>
      </c>
      <c r="BP2427" s="1385"/>
      <c r="BV2427" s="236">
        <v>5.08</v>
      </c>
      <c r="BW2427" s="236" t="s">
        <v>331</v>
      </c>
      <c r="CB2427" s="340">
        <v>268.14999999999998</v>
      </c>
      <c r="CC2427" s="340" t="s">
        <v>342</v>
      </c>
      <c r="CL2427" s="236">
        <v>137.01</v>
      </c>
      <c r="CM2427" s="236" t="s">
        <v>344</v>
      </c>
      <c r="CR2427" s="340">
        <v>601.05999999999995</v>
      </c>
      <c r="CS2427" s="340" t="s">
        <v>288</v>
      </c>
      <c r="CT2427" s="1384"/>
      <c r="DF2427" s="340">
        <v>121.26</v>
      </c>
      <c r="DG2427" s="340" t="s">
        <v>344</v>
      </c>
      <c r="DV2427" s="340">
        <v>646.01</v>
      </c>
      <c r="DW2427" s="340" t="s">
        <v>288</v>
      </c>
      <c r="DX2427" s="1671"/>
    </row>
    <row r="2428" spans="12:128">
      <c r="L2428" s="2481">
        <v>124.14</v>
      </c>
      <c r="M2428" s="340" t="s">
        <v>344</v>
      </c>
      <c r="N2428" s="1390"/>
      <c r="O2428" s="2479"/>
      <c r="P2428" s="2282"/>
      <c r="AG2428" s="2297">
        <v>651.26</v>
      </c>
      <c r="AH2428" s="2297" t="s">
        <v>288</v>
      </c>
      <c r="AI2428" s="1390"/>
      <c r="AJ2428" s="2282"/>
      <c r="AK2428" s="2282"/>
      <c r="AL2428" s="1037"/>
      <c r="AX2428" s="340">
        <v>268.11</v>
      </c>
      <c r="AY2428" s="340" t="s">
        <v>342</v>
      </c>
      <c r="BN2428" s="340">
        <v>601.09</v>
      </c>
      <c r="BO2428" s="340" t="s">
        <v>289</v>
      </c>
      <c r="BP2428" s="1385"/>
      <c r="BV2428" s="236">
        <v>5.09</v>
      </c>
      <c r="BW2428" s="236" t="s">
        <v>331</v>
      </c>
      <c r="CB2428" s="340">
        <v>268.16000000000003</v>
      </c>
      <c r="CC2428" s="340" t="s">
        <v>342</v>
      </c>
      <c r="CL2428" s="236">
        <v>137.02000000000001</v>
      </c>
      <c r="CM2428" s="236" t="s">
        <v>316</v>
      </c>
      <c r="CR2428" s="340">
        <v>601.05999999999995</v>
      </c>
      <c r="CS2428" s="340" t="s">
        <v>305</v>
      </c>
      <c r="CT2428" s="1384"/>
      <c r="DF2428" s="340">
        <v>121.27</v>
      </c>
      <c r="DG2428" s="340" t="s">
        <v>344</v>
      </c>
      <c r="DV2428" s="340">
        <v>649.01</v>
      </c>
      <c r="DW2428" s="340" t="s">
        <v>288</v>
      </c>
      <c r="DX2428" s="1671"/>
    </row>
    <row r="2429" spans="12:128">
      <c r="L2429" s="2481">
        <v>124.15</v>
      </c>
      <c r="M2429" s="340" t="s">
        <v>344</v>
      </c>
      <c r="N2429" s="1390"/>
      <c r="O2429" s="2479"/>
      <c r="P2429" s="2282"/>
      <c r="AG2429" s="2297">
        <v>651.27</v>
      </c>
      <c r="AH2429" s="2297" t="s">
        <v>288</v>
      </c>
      <c r="AI2429" s="1390"/>
      <c r="AJ2429" s="2282"/>
      <c r="AK2429" s="2282"/>
      <c r="AL2429" s="1037"/>
      <c r="AX2429" s="340">
        <v>268.12</v>
      </c>
      <c r="AY2429" s="340" t="s">
        <v>342</v>
      </c>
      <c r="BN2429" s="340">
        <v>601.11</v>
      </c>
      <c r="BO2429" s="340" t="s">
        <v>289</v>
      </c>
      <c r="BP2429" s="1385"/>
      <c r="BV2429" s="236">
        <v>6.01</v>
      </c>
      <c r="BW2429" s="236" t="s">
        <v>331</v>
      </c>
      <c r="CB2429" s="340">
        <v>268.17</v>
      </c>
      <c r="CC2429" s="340" t="s">
        <v>342</v>
      </c>
      <c r="CL2429" s="236">
        <v>137.02000000000001</v>
      </c>
      <c r="CM2429" s="236" t="s">
        <v>338</v>
      </c>
      <c r="CR2429" s="340">
        <v>601.07000000000005</v>
      </c>
      <c r="CS2429" s="340" t="s">
        <v>305</v>
      </c>
      <c r="CT2429" s="1384"/>
      <c r="DF2429" s="340">
        <v>121.32</v>
      </c>
      <c r="DG2429" s="340" t="s">
        <v>344</v>
      </c>
      <c r="DV2429" s="340">
        <v>650.01</v>
      </c>
      <c r="DW2429" s="340" t="s">
        <v>288</v>
      </c>
      <c r="DX2429" s="1671"/>
    </row>
    <row r="2430" spans="12:128">
      <c r="L2430" s="2481">
        <v>125.02</v>
      </c>
      <c r="M2430" s="340" t="s">
        <v>344</v>
      </c>
      <c r="N2430" s="1390"/>
      <c r="O2430" s="2479"/>
      <c r="P2430" s="2282"/>
      <c r="AG2430" s="2297">
        <v>652.30999999999995</v>
      </c>
      <c r="AH2430" s="2297" t="s">
        <v>288</v>
      </c>
      <c r="AI2430" s="1390"/>
      <c r="AJ2430" s="2282"/>
      <c r="AK2430" s="2282"/>
      <c r="AL2430" s="1037"/>
      <c r="AX2430" s="340">
        <v>268.14</v>
      </c>
      <c r="AY2430" s="340" t="s">
        <v>342</v>
      </c>
      <c r="BN2430" s="340">
        <v>601.14</v>
      </c>
      <c r="BO2430" s="340" t="s">
        <v>289</v>
      </c>
      <c r="BP2430" s="1385"/>
      <c r="BV2430" s="236">
        <v>6.02</v>
      </c>
      <c r="BW2430" s="236" t="s">
        <v>331</v>
      </c>
      <c r="CB2430" s="340">
        <v>268.20999999999998</v>
      </c>
      <c r="CC2430" s="340" t="s">
        <v>342</v>
      </c>
      <c r="CL2430" s="236">
        <v>137.02000000000001</v>
      </c>
      <c r="CM2430" s="236" t="s">
        <v>344</v>
      </c>
      <c r="CR2430" s="340">
        <v>601.09</v>
      </c>
      <c r="CS2430" s="340" t="s">
        <v>289</v>
      </c>
      <c r="CT2430" s="1384"/>
      <c r="DF2430" s="340">
        <v>121.33</v>
      </c>
      <c r="DG2430" s="340" t="s">
        <v>344</v>
      </c>
      <c r="DV2430" s="340">
        <v>650.22</v>
      </c>
      <c r="DW2430" s="340" t="s">
        <v>288</v>
      </c>
      <c r="DX2430" s="1671"/>
    </row>
    <row r="2431" spans="12:128">
      <c r="L2431" s="2481">
        <v>125.06</v>
      </c>
      <c r="M2431" s="340" t="s">
        <v>344</v>
      </c>
      <c r="N2431" s="1390"/>
      <c r="O2431" s="2479"/>
      <c r="P2431" s="2282"/>
      <c r="AG2431" s="2297">
        <v>652.36</v>
      </c>
      <c r="AH2431" s="2297" t="s">
        <v>288</v>
      </c>
      <c r="AI2431" s="1390"/>
      <c r="AJ2431" s="2282"/>
      <c r="AK2431" s="2282"/>
      <c r="AL2431" s="1037"/>
      <c r="AX2431" s="340">
        <v>268.14999999999998</v>
      </c>
      <c r="AY2431" s="340" t="s">
        <v>342</v>
      </c>
      <c r="BN2431" s="340">
        <v>601.15</v>
      </c>
      <c r="BO2431" s="340" t="s">
        <v>289</v>
      </c>
      <c r="BP2431" s="1385"/>
      <c r="BV2431" s="236">
        <v>6.03</v>
      </c>
      <c r="BW2431" s="236" t="s">
        <v>331</v>
      </c>
      <c r="CB2431" s="340">
        <v>269.08</v>
      </c>
      <c r="CC2431" s="340" t="s">
        <v>342</v>
      </c>
      <c r="CL2431" s="236">
        <v>137.03</v>
      </c>
      <c r="CM2431" s="236" t="s">
        <v>316</v>
      </c>
      <c r="CR2431" s="340">
        <v>601.13</v>
      </c>
      <c r="CS2431" s="340" t="s">
        <v>289</v>
      </c>
      <c r="CT2431" s="1384"/>
      <c r="DF2431" s="340">
        <v>122.07</v>
      </c>
      <c r="DG2431" s="340" t="s">
        <v>344</v>
      </c>
      <c r="DV2431" s="340">
        <v>650.23</v>
      </c>
      <c r="DW2431" s="340" t="s">
        <v>288</v>
      </c>
      <c r="DX2431" s="1671"/>
    </row>
    <row r="2432" spans="12:128">
      <c r="L2432" s="2481">
        <v>125.08</v>
      </c>
      <c r="M2432" s="340" t="s">
        <v>344</v>
      </c>
      <c r="N2432" s="1390"/>
      <c r="O2432" s="2479"/>
      <c r="P2432" s="2282"/>
      <c r="AG2432" s="2297">
        <v>661.01</v>
      </c>
      <c r="AH2432" s="2297" t="s">
        <v>288</v>
      </c>
      <c r="AI2432" s="1390"/>
      <c r="AJ2432" s="2282"/>
      <c r="AK2432" s="2282"/>
      <c r="AL2432" s="1037"/>
      <c r="AX2432" s="340">
        <v>268.16000000000003</v>
      </c>
      <c r="AY2432" s="340" t="s">
        <v>342</v>
      </c>
      <c r="BN2432" s="340">
        <v>601.16</v>
      </c>
      <c r="BO2432" s="340" t="s">
        <v>289</v>
      </c>
      <c r="BP2432" s="1385"/>
      <c r="BV2432" s="236">
        <v>6.05</v>
      </c>
      <c r="BW2432" s="236" t="s">
        <v>331</v>
      </c>
      <c r="CB2432" s="340">
        <v>269.14</v>
      </c>
      <c r="CC2432" s="340" t="s">
        <v>342</v>
      </c>
      <c r="CL2432" s="236">
        <v>137.05000000000001</v>
      </c>
      <c r="CM2432" s="236" t="s">
        <v>316</v>
      </c>
      <c r="CR2432" s="340">
        <v>601.14</v>
      </c>
      <c r="CS2432" s="340" t="s">
        <v>289</v>
      </c>
      <c r="CT2432" s="1384"/>
      <c r="DF2432" s="340">
        <v>122.08</v>
      </c>
      <c r="DG2432" s="340" t="s">
        <v>344</v>
      </c>
      <c r="DV2432" s="340">
        <v>650.24</v>
      </c>
      <c r="DW2432" s="340" t="s">
        <v>288</v>
      </c>
      <c r="DX2432" s="1671"/>
    </row>
    <row r="2433" spans="12:128">
      <c r="L2433" s="2481">
        <v>125.09</v>
      </c>
      <c r="M2433" s="340" t="s">
        <v>344</v>
      </c>
      <c r="N2433" s="1390"/>
      <c r="O2433" s="2479"/>
      <c r="P2433" s="2282"/>
      <c r="AG2433" s="2297">
        <v>661.04</v>
      </c>
      <c r="AH2433" s="2297" t="s">
        <v>288</v>
      </c>
      <c r="AI2433" s="1390"/>
      <c r="AJ2433" s="2282"/>
      <c r="AK2433" s="2282"/>
      <c r="AL2433" s="1037"/>
      <c r="AX2433" s="340">
        <v>268.17</v>
      </c>
      <c r="AY2433" s="340" t="s">
        <v>342</v>
      </c>
      <c r="BN2433" s="340">
        <v>601.19000000000005</v>
      </c>
      <c r="BO2433" s="340" t="s">
        <v>289</v>
      </c>
      <c r="BP2433" s="1385"/>
      <c r="BV2433" s="236">
        <v>6.07</v>
      </c>
      <c r="BW2433" s="236" t="s">
        <v>331</v>
      </c>
      <c r="CB2433" s="340">
        <v>269.14999999999998</v>
      </c>
      <c r="CC2433" s="340" t="s">
        <v>342</v>
      </c>
      <c r="CL2433" s="236">
        <v>137.06</v>
      </c>
      <c r="CM2433" s="236" t="s">
        <v>316</v>
      </c>
      <c r="CR2433" s="340">
        <v>601.16</v>
      </c>
      <c r="CS2433" s="340" t="s">
        <v>289</v>
      </c>
      <c r="CT2433" s="1384"/>
      <c r="DF2433" s="340">
        <v>122.09</v>
      </c>
      <c r="DG2433" s="340" t="s">
        <v>344</v>
      </c>
      <c r="DV2433" s="340">
        <v>650.25</v>
      </c>
      <c r="DW2433" s="340" t="s">
        <v>288</v>
      </c>
      <c r="DX2433" s="1671"/>
    </row>
    <row r="2434" spans="12:128">
      <c r="L2434" s="2481">
        <v>125.11</v>
      </c>
      <c r="M2434" s="340" t="s">
        <v>344</v>
      </c>
      <c r="N2434" s="1390"/>
      <c r="O2434" s="2479"/>
      <c r="P2434" s="2282"/>
      <c r="AG2434" s="2297">
        <v>662</v>
      </c>
      <c r="AH2434" s="2297" t="s">
        <v>288</v>
      </c>
      <c r="AI2434" s="1390"/>
      <c r="AJ2434" s="2282"/>
      <c r="AK2434" s="2282"/>
      <c r="AL2434" s="1037"/>
      <c r="AX2434" s="340">
        <v>268.20999999999998</v>
      </c>
      <c r="AY2434" s="340" t="s">
        <v>342</v>
      </c>
      <c r="BN2434" s="340">
        <v>601.20000000000005</v>
      </c>
      <c r="BO2434" s="340" t="s">
        <v>289</v>
      </c>
      <c r="BP2434" s="1385"/>
      <c r="BV2434" s="236">
        <v>6.09</v>
      </c>
      <c r="BW2434" s="236" t="s">
        <v>331</v>
      </c>
      <c r="CB2434" s="340">
        <v>269.16000000000003</v>
      </c>
      <c r="CC2434" s="340" t="s">
        <v>342</v>
      </c>
      <c r="CL2434" s="236">
        <v>137.22999999999999</v>
      </c>
      <c r="CM2434" s="236" t="s">
        <v>302</v>
      </c>
      <c r="CR2434" s="340">
        <v>601.17999999999995</v>
      </c>
      <c r="CS2434" s="340" t="s">
        <v>289</v>
      </c>
      <c r="CT2434" s="1384"/>
      <c r="DF2434" s="340">
        <v>123.03</v>
      </c>
      <c r="DG2434" s="340" t="s">
        <v>344</v>
      </c>
      <c r="DV2434" s="340">
        <v>651.27</v>
      </c>
      <c r="DW2434" s="340" t="s">
        <v>288</v>
      </c>
      <c r="DX2434" s="1671"/>
    </row>
    <row r="2435" spans="12:128">
      <c r="L2435" s="2481">
        <v>125.12</v>
      </c>
      <c r="M2435" s="340" t="s">
        <v>344</v>
      </c>
      <c r="N2435" s="1390"/>
      <c r="O2435" s="2479"/>
      <c r="P2435" s="2282"/>
      <c r="AG2435" s="2297">
        <v>663.01</v>
      </c>
      <c r="AH2435" s="2297" t="s">
        <v>288</v>
      </c>
      <c r="AI2435" s="1390"/>
      <c r="AJ2435" s="2282"/>
      <c r="AK2435" s="2282"/>
      <c r="AL2435" s="1037"/>
      <c r="AX2435" s="340">
        <v>269.08</v>
      </c>
      <c r="AY2435" s="340" t="s">
        <v>342</v>
      </c>
      <c r="BN2435" s="340">
        <v>601.21</v>
      </c>
      <c r="BO2435" s="340" t="s">
        <v>289</v>
      </c>
      <c r="BP2435" s="1385"/>
      <c r="BV2435" s="236">
        <v>6.1</v>
      </c>
      <c r="BW2435" s="236" t="s">
        <v>331</v>
      </c>
      <c r="CB2435" s="340">
        <v>270</v>
      </c>
      <c r="CC2435" s="340" t="s">
        <v>342</v>
      </c>
      <c r="CL2435" s="236">
        <v>137.28</v>
      </c>
      <c r="CM2435" s="236" t="s">
        <v>302</v>
      </c>
      <c r="CR2435" s="340">
        <v>601.19000000000005</v>
      </c>
      <c r="CS2435" s="340" t="s">
        <v>289</v>
      </c>
      <c r="CT2435" s="1384"/>
      <c r="DF2435" s="340">
        <v>123.04</v>
      </c>
      <c r="DG2435" s="340" t="s">
        <v>344</v>
      </c>
      <c r="DV2435" s="340">
        <v>652.30999999999995</v>
      </c>
      <c r="DW2435" s="340" t="s">
        <v>288</v>
      </c>
      <c r="DX2435" s="1671"/>
    </row>
    <row r="2436" spans="12:128">
      <c r="L2436" s="2481">
        <v>125.13</v>
      </c>
      <c r="M2436" s="340" t="s">
        <v>344</v>
      </c>
      <c r="N2436" s="1390"/>
      <c r="O2436" s="2479"/>
      <c r="P2436" s="2282"/>
      <c r="AG2436" s="2297">
        <v>663.02</v>
      </c>
      <c r="AH2436" s="2297" t="s">
        <v>288</v>
      </c>
      <c r="AI2436" s="1390"/>
      <c r="AJ2436" s="2282"/>
      <c r="AK2436" s="2282"/>
      <c r="AL2436" s="1037"/>
      <c r="AX2436" s="340">
        <v>269.11</v>
      </c>
      <c r="AY2436" s="340" t="s">
        <v>342</v>
      </c>
      <c r="BN2436" s="340">
        <v>601.22</v>
      </c>
      <c r="BO2436" s="340" t="s">
        <v>289</v>
      </c>
      <c r="BP2436" s="1385"/>
      <c r="BV2436" s="236">
        <v>6.11</v>
      </c>
      <c r="BW2436" s="236" t="s">
        <v>331</v>
      </c>
      <c r="CB2436" s="340">
        <v>271.05</v>
      </c>
      <c r="CC2436" s="340" t="s">
        <v>342</v>
      </c>
      <c r="CL2436" s="236">
        <v>137.29</v>
      </c>
      <c r="CM2436" s="236" t="s">
        <v>302</v>
      </c>
      <c r="CR2436" s="340">
        <v>601.20000000000005</v>
      </c>
      <c r="CS2436" s="340" t="s">
        <v>289</v>
      </c>
      <c r="CT2436" s="1384"/>
      <c r="DF2436" s="340">
        <v>123.07</v>
      </c>
      <c r="DG2436" s="340" t="s">
        <v>344</v>
      </c>
      <c r="DV2436" s="340">
        <v>652.36</v>
      </c>
      <c r="DW2436" s="340" t="s">
        <v>288</v>
      </c>
      <c r="DX2436" s="1671"/>
    </row>
    <row r="2437" spans="12:128">
      <c r="L2437" s="2481">
        <v>125.14</v>
      </c>
      <c r="M2437" s="340" t="s">
        <v>344</v>
      </c>
      <c r="N2437" s="1390"/>
      <c r="O2437" s="2479"/>
      <c r="P2437" s="2282"/>
      <c r="AG2437" s="2297">
        <v>664</v>
      </c>
      <c r="AH2437" s="2297" t="s">
        <v>288</v>
      </c>
      <c r="AI2437" s="1390"/>
      <c r="AJ2437" s="2282"/>
      <c r="AK2437" s="2282"/>
      <c r="AL2437" s="1037"/>
      <c r="AX2437" s="340">
        <v>269.14999999999998</v>
      </c>
      <c r="AY2437" s="340" t="s">
        <v>342</v>
      </c>
      <c r="BN2437" s="340">
        <v>601.23</v>
      </c>
      <c r="BO2437" s="340" t="s">
        <v>289</v>
      </c>
      <c r="BP2437" s="1385"/>
      <c r="BV2437" s="236">
        <v>6.12</v>
      </c>
      <c r="BW2437" s="236" t="s">
        <v>331</v>
      </c>
      <c r="CB2437" s="340">
        <v>271.06</v>
      </c>
      <c r="CC2437" s="340" t="s">
        <v>342</v>
      </c>
      <c r="CL2437" s="236">
        <v>137.30000000000001</v>
      </c>
      <c r="CM2437" s="236" t="s">
        <v>302</v>
      </c>
      <c r="CR2437" s="340">
        <v>601.21</v>
      </c>
      <c r="CS2437" s="340" t="s">
        <v>289</v>
      </c>
      <c r="CT2437" s="1384"/>
      <c r="DF2437" s="340">
        <v>124.05</v>
      </c>
      <c r="DG2437" s="340" t="s">
        <v>344</v>
      </c>
      <c r="DV2437" s="340">
        <v>661.01</v>
      </c>
      <c r="DW2437" s="340" t="s">
        <v>288</v>
      </c>
      <c r="DX2437" s="1671"/>
    </row>
    <row r="2438" spans="12:128">
      <c r="L2438" s="2481">
        <v>125.15</v>
      </c>
      <c r="M2438" s="340" t="s">
        <v>344</v>
      </c>
      <c r="N2438" s="1390"/>
      <c r="O2438" s="2479"/>
      <c r="P2438" s="2282"/>
      <c r="AG2438" s="2297">
        <v>665</v>
      </c>
      <c r="AH2438" s="2297" t="s">
        <v>288</v>
      </c>
      <c r="AI2438" s="1390"/>
      <c r="AJ2438" s="2282"/>
      <c r="AK2438" s="2282"/>
      <c r="AL2438" s="1037"/>
      <c r="AX2438" s="340">
        <v>269.16000000000003</v>
      </c>
      <c r="AY2438" s="340" t="s">
        <v>342</v>
      </c>
      <c r="BN2438" s="340">
        <v>601.26</v>
      </c>
      <c r="BO2438" s="340" t="s">
        <v>289</v>
      </c>
      <c r="BP2438" s="1385"/>
      <c r="BV2438" s="236">
        <v>7.05</v>
      </c>
      <c r="BW2438" s="236" t="s">
        <v>331</v>
      </c>
      <c r="CB2438" s="340">
        <v>272.02</v>
      </c>
      <c r="CC2438" s="340" t="s">
        <v>342</v>
      </c>
      <c r="CL2438" s="236">
        <v>137.31</v>
      </c>
      <c r="CM2438" s="236" t="s">
        <v>302</v>
      </c>
      <c r="CR2438" s="340">
        <v>601.22</v>
      </c>
      <c r="CS2438" s="340" t="s">
        <v>289</v>
      </c>
      <c r="CT2438" s="1384"/>
      <c r="DF2438" s="340">
        <v>124.07</v>
      </c>
      <c r="DG2438" s="340" t="s">
        <v>344</v>
      </c>
      <c r="DV2438" s="340">
        <v>661.03</v>
      </c>
      <c r="DW2438" s="340" t="s">
        <v>288</v>
      </c>
      <c r="DX2438" s="1671"/>
    </row>
    <row r="2439" spans="12:128">
      <c r="L2439" s="2481">
        <v>128.02000000000001</v>
      </c>
      <c r="M2439" s="340" t="s">
        <v>344</v>
      </c>
      <c r="N2439" s="1390"/>
      <c r="O2439" s="2479"/>
      <c r="P2439" s="2282"/>
      <c r="AG2439" s="2297">
        <v>666</v>
      </c>
      <c r="AH2439" s="2297" t="s">
        <v>288</v>
      </c>
      <c r="AI2439" s="1390"/>
      <c r="AJ2439" s="2282"/>
      <c r="AK2439" s="2282"/>
      <c r="AL2439" s="1037"/>
      <c r="AX2439" s="340">
        <v>270</v>
      </c>
      <c r="AY2439" s="340" t="s">
        <v>342</v>
      </c>
      <c r="BN2439" s="340">
        <v>601.29</v>
      </c>
      <c r="BO2439" s="340" t="s">
        <v>289</v>
      </c>
      <c r="BP2439" s="1385"/>
      <c r="BV2439" s="236">
        <v>7.1</v>
      </c>
      <c r="BW2439" s="236" t="s">
        <v>331</v>
      </c>
      <c r="CB2439" s="340">
        <v>272.04000000000002</v>
      </c>
      <c r="CC2439" s="340" t="s">
        <v>342</v>
      </c>
      <c r="CL2439" s="236">
        <v>137.32</v>
      </c>
      <c r="CM2439" s="236" t="s">
        <v>302</v>
      </c>
      <c r="CR2439" s="340">
        <v>601.23</v>
      </c>
      <c r="CS2439" s="340" t="s">
        <v>289</v>
      </c>
      <c r="CT2439" s="1384"/>
      <c r="DF2439" s="340">
        <v>124.08</v>
      </c>
      <c r="DG2439" s="340" t="s">
        <v>344</v>
      </c>
      <c r="DV2439" s="340">
        <v>661.04</v>
      </c>
      <c r="DW2439" s="340" t="s">
        <v>288</v>
      </c>
      <c r="DX2439" s="1671"/>
    </row>
    <row r="2440" spans="12:128">
      <c r="L2440" s="2481">
        <v>128.03</v>
      </c>
      <c r="M2440" s="340" t="s">
        <v>344</v>
      </c>
      <c r="N2440" s="1390"/>
      <c r="O2440" s="2479"/>
      <c r="P2440" s="2282"/>
      <c r="AG2440" s="2297">
        <v>667</v>
      </c>
      <c r="AH2440" s="2297" t="s">
        <v>288</v>
      </c>
      <c r="AI2440" s="1390"/>
      <c r="AJ2440" s="2282"/>
      <c r="AK2440" s="2282"/>
      <c r="AL2440" s="1037"/>
      <c r="AX2440" s="340">
        <v>271.05</v>
      </c>
      <c r="AY2440" s="340" t="s">
        <v>342</v>
      </c>
      <c r="BN2440" s="340">
        <v>602.01</v>
      </c>
      <c r="BO2440" s="340" t="s">
        <v>288</v>
      </c>
      <c r="BP2440" s="1385"/>
      <c r="BV2440" s="236">
        <v>7.11</v>
      </c>
      <c r="BW2440" s="236" t="s">
        <v>331</v>
      </c>
      <c r="CB2440" s="340">
        <v>272.06</v>
      </c>
      <c r="CC2440" s="340" t="s">
        <v>342</v>
      </c>
      <c r="CL2440" s="236">
        <v>137.33000000000001</v>
      </c>
      <c r="CM2440" s="236" t="s">
        <v>302</v>
      </c>
      <c r="CR2440" s="340">
        <v>601.26</v>
      </c>
      <c r="CS2440" s="340" t="s">
        <v>289</v>
      </c>
      <c r="CT2440" s="1384"/>
      <c r="DF2440" s="340">
        <v>124.09</v>
      </c>
      <c r="DG2440" s="340" t="s">
        <v>344</v>
      </c>
      <c r="DV2440" s="340">
        <v>662</v>
      </c>
      <c r="DW2440" s="340" t="s">
        <v>288</v>
      </c>
      <c r="DX2440" s="1671"/>
    </row>
    <row r="2441" spans="12:128">
      <c r="L2441" s="2481">
        <v>128.04</v>
      </c>
      <c r="M2441" s="340" t="s">
        <v>344</v>
      </c>
      <c r="N2441" s="1390"/>
      <c r="O2441" s="2479"/>
      <c r="P2441" s="2282"/>
      <c r="AG2441" s="2297">
        <v>668</v>
      </c>
      <c r="AH2441" s="2297" t="s">
        <v>288</v>
      </c>
      <c r="AI2441" s="1390"/>
      <c r="AJ2441" s="2282"/>
      <c r="AK2441" s="2282"/>
      <c r="AL2441" s="1037"/>
      <c r="AX2441" s="340">
        <v>271.06</v>
      </c>
      <c r="AY2441" s="340" t="s">
        <v>342</v>
      </c>
      <c r="BN2441" s="340">
        <v>602.01</v>
      </c>
      <c r="BO2441" s="340" t="s">
        <v>323</v>
      </c>
      <c r="BP2441" s="1385"/>
      <c r="BV2441" s="236">
        <v>7.12</v>
      </c>
      <c r="BW2441" s="236" t="s">
        <v>331</v>
      </c>
      <c r="CB2441" s="340">
        <v>272.07</v>
      </c>
      <c r="CC2441" s="340" t="s">
        <v>342</v>
      </c>
      <c r="CL2441" s="236">
        <v>138</v>
      </c>
      <c r="CM2441" s="236" t="s">
        <v>302</v>
      </c>
      <c r="CR2441" s="340">
        <v>602.01</v>
      </c>
      <c r="CS2441" s="340" t="s">
        <v>288</v>
      </c>
      <c r="CT2441" s="1384"/>
      <c r="DF2441" s="340">
        <v>124.1</v>
      </c>
      <c r="DG2441" s="340" t="s">
        <v>344</v>
      </c>
      <c r="DV2441" s="340">
        <v>663.01</v>
      </c>
      <c r="DW2441" s="340" t="s">
        <v>288</v>
      </c>
      <c r="DX2441" s="1671"/>
    </row>
    <row r="2442" spans="12:128">
      <c r="L2442" s="2481">
        <v>130.01</v>
      </c>
      <c r="M2442" s="340" t="s">
        <v>344</v>
      </c>
      <c r="N2442" s="1390"/>
      <c r="O2442" s="2479"/>
      <c r="P2442" s="2282"/>
      <c r="AG2442" s="2297">
        <v>669</v>
      </c>
      <c r="AH2442" s="2297" t="s">
        <v>288</v>
      </c>
      <c r="AI2442" s="1390"/>
      <c r="AJ2442" s="2282"/>
      <c r="AK2442" s="2282"/>
      <c r="AL2442" s="1037"/>
      <c r="AX2442" s="340">
        <v>272.02</v>
      </c>
      <c r="AY2442" s="340" t="s">
        <v>342</v>
      </c>
      <c r="BN2442" s="340">
        <v>602.02</v>
      </c>
      <c r="BO2442" s="340" t="s">
        <v>323</v>
      </c>
      <c r="BP2442" s="1385"/>
      <c r="BV2442" s="236">
        <v>7.13</v>
      </c>
      <c r="BW2442" s="236" t="s">
        <v>331</v>
      </c>
      <c r="CB2442" s="340">
        <v>272.08</v>
      </c>
      <c r="CC2442" s="340" t="s">
        <v>342</v>
      </c>
      <c r="CL2442" s="236">
        <v>138.01</v>
      </c>
      <c r="CM2442" s="236" t="s">
        <v>316</v>
      </c>
      <c r="CR2442" s="340">
        <v>602.01</v>
      </c>
      <c r="CS2442" s="340" t="s">
        <v>323</v>
      </c>
      <c r="CT2442" s="1384"/>
      <c r="DF2442" s="340">
        <v>124.11</v>
      </c>
      <c r="DG2442" s="340" t="s">
        <v>344</v>
      </c>
      <c r="DV2442" s="340">
        <v>663.02</v>
      </c>
      <c r="DW2442" s="340" t="s">
        <v>288</v>
      </c>
      <c r="DX2442" s="1671"/>
    </row>
    <row r="2443" spans="12:128">
      <c r="L2443" s="2481">
        <v>131.01</v>
      </c>
      <c r="M2443" s="340" t="s">
        <v>344</v>
      </c>
      <c r="N2443" s="1390"/>
      <c r="O2443" s="2479"/>
      <c r="P2443" s="2282"/>
      <c r="AG2443" s="2297">
        <v>671</v>
      </c>
      <c r="AH2443" s="2297" t="s">
        <v>288</v>
      </c>
      <c r="AI2443" s="1390"/>
      <c r="AJ2443" s="2282"/>
      <c r="AK2443" s="2282"/>
      <c r="AL2443" s="1037"/>
      <c r="AX2443" s="340">
        <v>272.04000000000002</v>
      </c>
      <c r="AY2443" s="340" t="s">
        <v>342</v>
      </c>
      <c r="BN2443" s="340">
        <v>602.07000000000005</v>
      </c>
      <c r="BO2443" s="340" t="s">
        <v>305</v>
      </c>
      <c r="BP2443" s="1385"/>
      <c r="BV2443" s="236">
        <v>7.14</v>
      </c>
      <c r="BW2443" s="236" t="s">
        <v>331</v>
      </c>
      <c r="CB2443" s="340">
        <v>272.10000000000002</v>
      </c>
      <c r="CC2443" s="340" t="s">
        <v>342</v>
      </c>
      <c r="CL2443" s="236">
        <v>138.01</v>
      </c>
      <c r="CM2443" s="236" t="s">
        <v>331</v>
      </c>
      <c r="CR2443" s="340">
        <v>602.02</v>
      </c>
      <c r="CS2443" s="340" t="s">
        <v>323</v>
      </c>
      <c r="CT2443" s="1384"/>
      <c r="DF2443" s="340">
        <v>124.12</v>
      </c>
      <c r="DG2443" s="340" t="s">
        <v>344</v>
      </c>
      <c r="DV2443" s="340">
        <v>664</v>
      </c>
      <c r="DW2443" s="340" t="s">
        <v>288</v>
      </c>
      <c r="DX2443" s="1671"/>
    </row>
    <row r="2444" spans="12:128">
      <c r="L2444" s="2481">
        <v>131.03</v>
      </c>
      <c r="M2444" s="340" t="s">
        <v>344</v>
      </c>
      <c r="N2444" s="1390"/>
      <c r="O2444" s="2479"/>
      <c r="P2444" s="2282"/>
      <c r="AG2444" s="2297">
        <v>681.01</v>
      </c>
      <c r="AH2444" s="2297" t="s">
        <v>288</v>
      </c>
      <c r="AI2444" s="1390"/>
      <c r="AJ2444" s="2282"/>
      <c r="AK2444" s="2282"/>
      <c r="AL2444" s="1037"/>
      <c r="AX2444" s="340">
        <v>272.06</v>
      </c>
      <c r="AY2444" s="340" t="s">
        <v>342</v>
      </c>
      <c r="BN2444" s="340">
        <v>602.08000000000004</v>
      </c>
      <c r="BO2444" s="340" t="s">
        <v>305</v>
      </c>
      <c r="BP2444" s="1385"/>
      <c r="BV2444" s="236">
        <v>7.15</v>
      </c>
      <c r="BW2444" s="236" t="s">
        <v>331</v>
      </c>
      <c r="CB2444" s="340">
        <v>272.11</v>
      </c>
      <c r="CC2444" s="340" t="s">
        <v>342</v>
      </c>
      <c r="CL2444" s="236">
        <v>138.01</v>
      </c>
      <c r="CM2444" s="236" t="s">
        <v>338</v>
      </c>
      <c r="CR2444" s="340">
        <v>602.03</v>
      </c>
      <c r="CS2444" s="340" t="s">
        <v>323</v>
      </c>
      <c r="CT2444" s="1384"/>
      <c r="DF2444" s="340">
        <v>124.13</v>
      </c>
      <c r="DG2444" s="340" t="s">
        <v>344</v>
      </c>
      <c r="DV2444" s="340">
        <v>665</v>
      </c>
      <c r="DW2444" s="340" t="s">
        <v>288</v>
      </c>
      <c r="DX2444" s="1671"/>
    </row>
    <row r="2445" spans="12:128">
      <c r="L2445" s="2481">
        <v>135</v>
      </c>
      <c r="M2445" s="340" t="s">
        <v>344</v>
      </c>
      <c r="N2445" s="1390"/>
      <c r="O2445" s="2479"/>
      <c r="P2445" s="2282"/>
      <c r="AG2445" s="2297">
        <v>681.02</v>
      </c>
      <c r="AH2445" s="2297" t="s">
        <v>288</v>
      </c>
      <c r="AI2445" s="1390"/>
      <c r="AJ2445" s="2282"/>
      <c r="AK2445" s="2282"/>
      <c r="AL2445" s="1037"/>
      <c r="AX2445" s="340">
        <v>272.07</v>
      </c>
      <c r="AY2445" s="340" t="s">
        <v>342</v>
      </c>
      <c r="BN2445" s="340">
        <v>602.1</v>
      </c>
      <c r="BO2445" s="340" t="s">
        <v>289</v>
      </c>
      <c r="BP2445" s="1385"/>
      <c r="BV2445" s="236">
        <v>7.16</v>
      </c>
      <c r="BW2445" s="236" t="s">
        <v>331</v>
      </c>
      <c r="CB2445" s="340">
        <v>272.12</v>
      </c>
      <c r="CC2445" s="340" t="s">
        <v>342</v>
      </c>
      <c r="CL2445" s="236">
        <v>138.01</v>
      </c>
      <c r="CM2445" s="236" t="s">
        <v>344</v>
      </c>
      <c r="CR2445" s="340">
        <v>602.07000000000005</v>
      </c>
      <c r="CS2445" s="340" t="s">
        <v>305</v>
      </c>
      <c r="CT2445" s="1384"/>
      <c r="DF2445" s="340">
        <v>124.14</v>
      </c>
      <c r="DG2445" s="340" t="s">
        <v>344</v>
      </c>
      <c r="DV2445" s="340">
        <v>666</v>
      </c>
      <c r="DW2445" s="340" t="s">
        <v>288</v>
      </c>
      <c r="DX2445" s="1671"/>
    </row>
    <row r="2446" spans="12:128">
      <c r="L2446" s="2481">
        <v>139.02000000000001</v>
      </c>
      <c r="M2446" s="340" t="s">
        <v>344</v>
      </c>
      <c r="N2446" s="1390"/>
      <c r="O2446" s="2479"/>
      <c r="P2446" s="2282"/>
      <c r="AG2446" s="2297">
        <v>691</v>
      </c>
      <c r="AH2446" s="2297" t="s">
        <v>288</v>
      </c>
      <c r="AI2446" s="1390"/>
      <c r="AJ2446" s="2282"/>
      <c r="AK2446" s="2282"/>
      <c r="AL2446" s="1037"/>
      <c r="AX2446" s="340">
        <v>272.08</v>
      </c>
      <c r="AY2446" s="340" t="s">
        <v>342</v>
      </c>
      <c r="BN2446" s="340">
        <v>602.12</v>
      </c>
      <c r="BO2446" s="340" t="s">
        <v>289</v>
      </c>
      <c r="BP2446" s="1385"/>
      <c r="BV2446" s="236">
        <v>7.17</v>
      </c>
      <c r="BW2446" s="236" t="s">
        <v>331</v>
      </c>
      <c r="CB2446" s="340">
        <v>273.08</v>
      </c>
      <c r="CC2446" s="340" t="s">
        <v>342</v>
      </c>
      <c r="CL2446" s="236">
        <v>138.02000000000001</v>
      </c>
      <c r="CM2446" s="236" t="s">
        <v>316</v>
      </c>
      <c r="CR2446" s="340">
        <v>602.08000000000004</v>
      </c>
      <c r="CS2446" s="340" t="s">
        <v>305</v>
      </c>
      <c r="CT2446" s="1384"/>
      <c r="DF2446" s="340">
        <v>124.15</v>
      </c>
      <c r="DG2446" s="340" t="s">
        <v>344</v>
      </c>
      <c r="DV2446" s="340">
        <v>667</v>
      </c>
      <c r="DW2446" s="340" t="s">
        <v>288</v>
      </c>
      <c r="DX2446" s="1671"/>
    </row>
    <row r="2447" spans="12:128">
      <c r="L2447" s="2481">
        <v>140.01</v>
      </c>
      <c r="M2447" s="340" t="s">
        <v>344</v>
      </c>
      <c r="N2447" s="1390"/>
      <c r="O2447" s="2479"/>
      <c r="P2447" s="2282"/>
      <c r="AG2447" s="2297">
        <v>692</v>
      </c>
      <c r="AH2447" s="2297" t="s">
        <v>288</v>
      </c>
      <c r="AI2447" s="1390"/>
      <c r="AJ2447" s="2282"/>
      <c r="AK2447" s="2282"/>
      <c r="AL2447" s="1037"/>
      <c r="AX2447" s="340">
        <v>272.11</v>
      </c>
      <c r="AY2447" s="340" t="s">
        <v>342</v>
      </c>
      <c r="BN2447" s="340">
        <v>602.14</v>
      </c>
      <c r="BO2447" s="340" t="s">
        <v>305</v>
      </c>
      <c r="BP2447" s="1385"/>
      <c r="BV2447" s="236">
        <v>7.18</v>
      </c>
      <c r="BW2447" s="236" t="s">
        <v>331</v>
      </c>
      <c r="CB2447" s="340">
        <v>273.08999999999997</v>
      </c>
      <c r="CC2447" s="340" t="s">
        <v>342</v>
      </c>
      <c r="CL2447" s="236">
        <v>138.02000000000001</v>
      </c>
      <c r="CM2447" s="236" t="s">
        <v>331</v>
      </c>
      <c r="CR2447" s="340">
        <v>602.1</v>
      </c>
      <c r="CS2447" s="340" t="s">
        <v>289</v>
      </c>
      <c r="CT2447" s="1384"/>
      <c r="DF2447" s="340">
        <v>125.02</v>
      </c>
      <c r="DG2447" s="340" t="s">
        <v>344</v>
      </c>
      <c r="DV2447" s="340">
        <v>668</v>
      </c>
      <c r="DW2447" s="340" t="s">
        <v>288</v>
      </c>
      <c r="DX2447" s="1671"/>
    </row>
    <row r="2448" spans="12:128">
      <c r="L2448" s="2481">
        <v>140.03</v>
      </c>
      <c r="M2448" s="340" t="s">
        <v>344</v>
      </c>
      <c r="N2448" s="1390"/>
      <c r="O2448" s="2479"/>
      <c r="P2448" s="2282"/>
      <c r="AG2448" s="2297">
        <v>693</v>
      </c>
      <c r="AH2448" s="2297" t="s">
        <v>288</v>
      </c>
      <c r="AI2448" s="1390"/>
      <c r="AJ2448" s="2282"/>
      <c r="AK2448" s="2282"/>
      <c r="AL2448" s="1037"/>
      <c r="AX2448" s="340">
        <v>273.08</v>
      </c>
      <c r="AY2448" s="340" t="s">
        <v>342</v>
      </c>
      <c r="BN2448" s="340">
        <v>602.16</v>
      </c>
      <c r="BO2448" s="340" t="s">
        <v>305</v>
      </c>
      <c r="BP2448" s="1385"/>
      <c r="BV2448" s="236">
        <v>7.19</v>
      </c>
      <c r="BW2448" s="236" t="s">
        <v>331</v>
      </c>
      <c r="CB2448" s="340">
        <v>273.14</v>
      </c>
      <c r="CC2448" s="340" t="s">
        <v>342</v>
      </c>
      <c r="CL2448" s="236">
        <v>138.02000000000001</v>
      </c>
      <c r="CM2448" s="236" t="s">
        <v>338</v>
      </c>
      <c r="CR2448" s="340">
        <v>602.12</v>
      </c>
      <c r="CS2448" s="340" t="s">
        <v>289</v>
      </c>
      <c r="CT2448" s="1384"/>
      <c r="DF2448" s="340">
        <v>125.06</v>
      </c>
      <c r="DG2448" s="340" t="s">
        <v>344</v>
      </c>
      <c r="DV2448" s="340">
        <v>669</v>
      </c>
      <c r="DW2448" s="340" t="s">
        <v>288</v>
      </c>
      <c r="DX2448" s="1671"/>
    </row>
    <row r="2449" spans="12:128">
      <c r="L2449" s="2481">
        <v>140.05000000000001</v>
      </c>
      <c r="M2449" s="340" t="s">
        <v>344</v>
      </c>
      <c r="N2449" s="1390"/>
      <c r="O2449" s="2479"/>
      <c r="P2449" s="2282"/>
      <c r="AG2449" s="2297">
        <v>694</v>
      </c>
      <c r="AH2449" s="2297" t="s">
        <v>288</v>
      </c>
      <c r="AI2449" s="1390"/>
      <c r="AJ2449" s="2282"/>
      <c r="AK2449" s="2282"/>
      <c r="AL2449" s="1037"/>
      <c r="AX2449" s="340">
        <v>273.08999999999997</v>
      </c>
      <c r="AY2449" s="340" t="s">
        <v>342</v>
      </c>
      <c r="BN2449" s="340">
        <v>602.16999999999996</v>
      </c>
      <c r="BO2449" s="340" t="s">
        <v>305</v>
      </c>
      <c r="BP2449" s="1385"/>
      <c r="BV2449" s="236">
        <v>7.2</v>
      </c>
      <c r="BW2449" s="236" t="s">
        <v>331</v>
      </c>
      <c r="CB2449" s="340">
        <v>273.16000000000003</v>
      </c>
      <c r="CC2449" s="340" t="s">
        <v>342</v>
      </c>
      <c r="CL2449" s="236">
        <v>138.02000000000001</v>
      </c>
      <c r="CM2449" s="236" t="s">
        <v>344</v>
      </c>
      <c r="CR2449" s="340">
        <v>602.14</v>
      </c>
      <c r="CS2449" s="340" t="s">
        <v>305</v>
      </c>
      <c r="CT2449" s="1384"/>
      <c r="DF2449" s="340">
        <v>125.08</v>
      </c>
      <c r="DG2449" s="340" t="s">
        <v>344</v>
      </c>
      <c r="DV2449" s="340">
        <v>671</v>
      </c>
      <c r="DW2449" s="340" t="s">
        <v>288</v>
      </c>
      <c r="DX2449" s="1671"/>
    </row>
    <row r="2450" spans="12:128">
      <c r="L2450" s="2481">
        <v>140.06</v>
      </c>
      <c r="M2450" s="340" t="s">
        <v>344</v>
      </c>
      <c r="N2450" s="1390"/>
      <c r="O2450" s="2479"/>
      <c r="P2450" s="2282"/>
      <c r="AG2450" s="2297">
        <v>697</v>
      </c>
      <c r="AH2450" s="2297" t="s">
        <v>288</v>
      </c>
      <c r="AI2450" s="1390"/>
      <c r="AJ2450" s="2282"/>
      <c r="AK2450" s="2282"/>
      <c r="AL2450" s="1037"/>
      <c r="AX2450" s="340">
        <v>273.14</v>
      </c>
      <c r="AY2450" s="340" t="s">
        <v>342</v>
      </c>
      <c r="BN2450" s="340">
        <v>602.17999999999995</v>
      </c>
      <c r="BO2450" s="340" t="s">
        <v>305</v>
      </c>
      <c r="BP2450" s="1385"/>
      <c r="BV2450" s="236">
        <v>8.0399999999999991</v>
      </c>
      <c r="BW2450" s="236" t="s">
        <v>331</v>
      </c>
      <c r="CB2450" s="340">
        <v>273.17</v>
      </c>
      <c r="CC2450" s="340" t="s">
        <v>342</v>
      </c>
      <c r="CL2450" s="236">
        <v>138.03</v>
      </c>
      <c r="CM2450" s="236" t="s">
        <v>316</v>
      </c>
      <c r="CR2450" s="340">
        <v>602.15</v>
      </c>
      <c r="CS2450" s="340" t="s">
        <v>305</v>
      </c>
      <c r="CT2450" s="1384"/>
      <c r="DF2450" s="340">
        <v>125.09</v>
      </c>
      <c r="DG2450" s="340" t="s">
        <v>344</v>
      </c>
      <c r="DV2450" s="340">
        <v>681.01</v>
      </c>
      <c r="DW2450" s="340" t="s">
        <v>288</v>
      </c>
      <c r="DX2450" s="1671"/>
    </row>
    <row r="2451" spans="12:128">
      <c r="L2451" s="2481">
        <v>141.21</v>
      </c>
      <c r="M2451" s="340" t="s">
        <v>344</v>
      </c>
      <c r="N2451" s="1390"/>
      <c r="O2451" s="2479"/>
      <c r="P2451" s="2282"/>
      <c r="AG2451" s="2297">
        <v>698.01</v>
      </c>
      <c r="AH2451" s="2297" t="s">
        <v>288</v>
      </c>
      <c r="AI2451" s="1390"/>
      <c r="AJ2451" s="2282"/>
      <c r="AK2451" s="2282"/>
      <c r="AL2451" s="1037"/>
      <c r="AX2451" s="340">
        <v>273.16000000000003</v>
      </c>
      <c r="AY2451" s="340" t="s">
        <v>342</v>
      </c>
      <c r="BN2451" s="340">
        <v>602.19000000000005</v>
      </c>
      <c r="BO2451" s="340" t="s">
        <v>305</v>
      </c>
      <c r="BP2451" s="1385"/>
      <c r="BV2451" s="236">
        <v>8.0500000000000007</v>
      </c>
      <c r="BW2451" s="236" t="s">
        <v>331</v>
      </c>
      <c r="CB2451" s="340">
        <v>273.18</v>
      </c>
      <c r="CC2451" s="340" t="s">
        <v>342</v>
      </c>
      <c r="CL2451" s="236">
        <v>138.03</v>
      </c>
      <c r="CM2451" s="236" t="s">
        <v>338</v>
      </c>
      <c r="CR2451" s="340">
        <v>602.16</v>
      </c>
      <c r="CS2451" s="340" t="s">
        <v>305</v>
      </c>
      <c r="CT2451" s="1384"/>
      <c r="DF2451" s="340">
        <v>125.11</v>
      </c>
      <c r="DG2451" s="340" t="s">
        <v>344</v>
      </c>
      <c r="DV2451" s="340">
        <v>681.02</v>
      </c>
      <c r="DW2451" s="340" t="s">
        <v>288</v>
      </c>
      <c r="DX2451" s="1671"/>
    </row>
    <row r="2452" spans="12:128">
      <c r="L2452" s="2481">
        <v>141.22999999999999</v>
      </c>
      <c r="M2452" s="340" t="s">
        <v>344</v>
      </c>
      <c r="N2452" s="1390"/>
      <c r="O2452" s="2479"/>
      <c r="P2452" s="2282"/>
      <c r="AG2452" s="2297">
        <v>698.02</v>
      </c>
      <c r="AH2452" s="2297" t="s">
        <v>288</v>
      </c>
      <c r="AI2452" s="1390"/>
      <c r="AJ2452" s="2282"/>
      <c r="AK2452" s="2282"/>
      <c r="AL2452" s="1037"/>
      <c r="AX2452" s="340">
        <v>273.17</v>
      </c>
      <c r="AY2452" s="340" t="s">
        <v>342</v>
      </c>
      <c r="BN2452" s="340">
        <v>603</v>
      </c>
      <c r="BO2452" s="340" t="s">
        <v>323</v>
      </c>
      <c r="BP2452" s="1385"/>
      <c r="BV2452" s="236">
        <v>8.06</v>
      </c>
      <c r="BW2452" s="236" t="s">
        <v>331</v>
      </c>
      <c r="CB2452" s="340">
        <v>273.19</v>
      </c>
      <c r="CC2452" s="340" t="s">
        <v>342</v>
      </c>
      <c r="CL2452" s="236">
        <v>138.04</v>
      </c>
      <c r="CM2452" s="236" t="s">
        <v>316</v>
      </c>
      <c r="CR2452" s="340">
        <v>602.20000000000005</v>
      </c>
      <c r="CS2452" s="340" t="s">
        <v>305</v>
      </c>
      <c r="CT2452" s="1384"/>
      <c r="DF2452" s="340">
        <v>125.12</v>
      </c>
      <c r="DG2452" s="340" t="s">
        <v>344</v>
      </c>
      <c r="DV2452" s="340">
        <v>684</v>
      </c>
      <c r="DW2452" s="340" t="s">
        <v>288</v>
      </c>
      <c r="DX2452" s="1671"/>
    </row>
    <row r="2453" spans="12:128">
      <c r="L2453" s="2481">
        <v>141.24</v>
      </c>
      <c r="M2453" s="340" t="s">
        <v>344</v>
      </c>
      <c r="N2453" s="1390"/>
      <c r="O2453" s="2479"/>
      <c r="P2453" s="2282"/>
      <c r="AG2453" s="2297">
        <v>699.03</v>
      </c>
      <c r="AH2453" s="2297" t="s">
        <v>288</v>
      </c>
      <c r="AI2453" s="1390"/>
      <c r="AJ2453" s="2282"/>
      <c r="AK2453" s="2282"/>
      <c r="AL2453" s="1037"/>
      <c r="AX2453" s="340">
        <v>273.18</v>
      </c>
      <c r="AY2453" s="340" t="s">
        <v>342</v>
      </c>
      <c r="BN2453" s="340">
        <v>603.01</v>
      </c>
      <c r="BO2453" s="340" t="s">
        <v>305</v>
      </c>
      <c r="BP2453" s="1385"/>
      <c r="BV2453" s="236">
        <v>8.07</v>
      </c>
      <c r="BW2453" s="236" t="s">
        <v>331</v>
      </c>
      <c r="CB2453" s="340">
        <v>273.2</v>
      </c>
      <c r="CC2453" s="340" t="s">
        <v>342</v>
      </c>
      <c r="CL2453" s="236">
        <v>138.06</v>
      </c>
      <c r="CM2453" s="236" t="s">
        <v>316</v>
      </c>
      <c r="CR2453" s="340">
        <v>603</v>
      </c>
      <c r="CS2453" s="340" t="s">
        <v>323</v>
      </c>
      <c r="CT2453" s="1384"/>
      <c r="DF2453" s="340">
        <v>125.13</v>
      </c>
      <c r="DG2453" s="340" t="s">
        <v>344</v>
      </c>
      <c r="DV2453" s="340">
        <v>685.01</v>
      </c>
      <c r="DW2453" s="340" t="s">
        <v>288</v>
      </c>
      <c r="DX2453" s="1671"/>
    </row>
    <row r="2454" spans="12:128">
      <c r="L2454" s="2481">
        <v>141.26</v>
      </c>
      <c r="M2454" s="340" t="s">
        <v>344</v>
      </c>
      <c r="N2454" s="1390"/>
      <c r="O2454" s="2479"/>
      <c r="P2454" s="2282"/>
      <c r="AG2454" s="2297">
        <v>699.04</v>
      </c>
      <c r="AH2454" s="2297" t="s">
        <v>288</v>
      </c>
      <c r="AI2454" s="1390"/>
      <c r="AJ2454" s="2282"/>
      <c r="AK2454" s="2282"/>
      <c r="AL2454" s="1037"/>
      <c r="AX2454" s="340">
        <v>273.19</v>
      </c>
      <c r="AY2454" s="340" t="s">
        <v>342</v>
      </c>
      <c r="BN2454" s="340">
        <v>603.02</v>
      </c>
      <c r="BO2454" s="340" t="s">
        <v>305</v>
      </c>
      <c r="BP2454" s="1385"/>
      <c r="BV2454" s="236">
        <v>8.08</v>
      </c>
      <c r="BW2454" s="236" t="s">
        <v>331</v>
      </c>
      <c r="CB2454" s="340">
        <v>273.20999999999998</v>
      </c>
      <c r="CC2454" s="340" t="s">
        <v>342</v>
      </c>
      <c r="CL2454" s="236">
        <v>138.07</v>
      </c>
      <c r="CM2454" s="236" t="s">
        <v>316</v>
      </c>
      <c r="CR2454" s="340">
        <v>603.01</v>
      </c>
      <c r="CS2454" s="340" t="s">
        <v>305</v>
      </c>
      <c r="CT2454" s="1384"/>
      <c r="DF2454" s="340">
        <v>125.14</v>
      </c>
      <c r="DG2454" s="340" t="s">
        <v>344</v>
      </c>
      <c r="DV2454" s="340">
        <v>685.02</v>
      </c>
      <c r="DW2454" s="340" t="s">
        <v>288</v>
      </c>
      <c r="DX2454" s="1671"/>
    </row>
    <row r="2455" spans="12:128">
      <c r="L2455" s="2481">
        <v>141.28</v>
      </c>
      <c r="M2455" s="340" t="s">
        <v>344</v>
      </c>
      <c r="N2455" s="1390"/>
      <c r="O2455" s="2479"/>
      <c r="P2455" s="2282"/>
      <c r="AG2455" s="2297">
        <v>699.07</v>
      </c>
      <c r="AH2455" s="2297" t="s">
        <v>288</v>
      </c>
      <c r="AI2455" s="1390"/>
      <c r="AJ2455" s="2282"/>
      <c r="AK2455" s="2282"/>
      <c r="AL2455" s="1037"/>
      <c r="AX2455" s="340">
        <v>273.2</v>
      </c>
      <c r="AY2455" s="340" t="s">
        <v>342</v>
      </c>
      <c r="BN2455" s="340">
        <v>603.03</v>
      </c>
      <c r="BO2455" s="340" t="s">
        <v>305</v>
      </c>
      <c r="BP2455" s="1385"/>
      <c r="BV2455" s="236">
        <v>9.0299999999999994</v>
      </c>
      <c r="BW2455" s="236" t="s">
        <v>331</v>
      </c>
      <c r="CB2455" s="340">
        <v>273.23</v>
      </c>
      <c r="CC2455" s="340" t="s">
        <v>342</v>
      </c>
      <c r="CL2455" s="236">
        <v>139</v>
      </c>
      <c r="CM2455" s="236" t="s">
        <v>331</v>
      </c>
      <c r="CR2455" s="340">
        <v>603.02</v>
      </c>
      <c r="CS2455" s="340" t="s">
        <v>305</v>
      </c>
      <c r="CT2455" s="1384"/>
      <c r="DF2455" s="340">
        <v>125.15</v>
      </c>
      <c r="DG2455" s="340" t="s">
        <v>344</v>
      </c>
      <c r="DV2455" s="340">
        <v>686.04</v>
      </c>
      <c r="DW2455" s="340" t="s">
        <v>288</v>
      </c>
      <c r="DX2455" s="1671"/>
    </row>
    <row r="2456" spans="12:128">
      <c r="L2456" s="2481">
        <v>141.29</v>
      </c>
      <c r="M2456" s="340" t="s">
        <v>344</v>
      </c>
      <c r="N2456" s="1390"/>
      <c r="O2456" s="2479"/>
      <c r="P2456" s="2282"/>
      <c r="AG2456" s="2297">
        <v>701.02</v>
      </c>
      <c r="AH2456" s="2297" t="s">
        <v>289</v>
      </c>
      <c r="AI2456" s="1390"/>
      <c r="AJ2456" s="2282"/>
      <c r="AK2456" s="2282"/>
      <c r="AL2456" s="1037"/>
      <c r="AX2456" s="340">
        <v>273.20999999999998</v>
      </c>
      <c r="AY2456" s="340" t="s">
        <v>342</v>
      </c>
      <c r="BN2456" s="340">
        <v>603.04</v>
      </c>
      <c r="BO2456" s="340" t="s">
        <v>305</v>
      </c>
      <c r="BP2456" s="1385"/>
      <c r="BV2456" s="236">
        <v>9.0399999999999991</v>
      </c>
      <c r="BW2456" s="236" t="s">
        <v>331</v>
      </c>
      <c r="CB2456" s="340">
        <v>273.24</v>
      </c>
      <c r="CC2456" s="340" t="s">
        <v>342</v>
      </c>
      <c r="CL2456" s="236">
        <v>139</v>
      </c>
      <c r="CM2456" s="236" t="s">
        <v>338</v>
      </c>
      <c r="CR2456" s="340">
        <v>603.03</v>
      </c>
      <c r="CS2456" s="340" t="s">
        <v>305</v>
      </c>
      <c r="CT2456" s="1384"/>
      <c r="DF2456" s="340">
        <v>127.01</v>
      </c>
      <c r="DG2456" s="340" t="s">
        <v>344</v>
      </c>
      <c r="DV2456" s="340">
        <v>691</v>
      </c>
      <c r="DW2456" s="340" t="s">
        <v>288</v>
      </c>
      <c r="DX2456" s="1671"/>
    </row>
    <row r="2457" spans="12:128">
      <c r="L2457" s="2481">
        <v>141.30000000000001</v>
      </c>
      <c r="M2457" s="340" t="s">
        <v>344</v>
      </c>
      <c r="N2457" s="1390"/>
      <c r="O2457" s="2479"/>
      <c r="P2457" s="2282"/>
      <c r="AG2457" s="2297">
        <v>701.02</v>
      </c>
      <c r="AH2457" s="2297" t="s">
        <v>323</v>
      </c>
      <c r="AI2457" s="1390"/>
      <c r="AJ2457" s="2282"/>
      <c r="AK2457" s="2282"/>
      <c r="AL2457" s="1037"/>
      <c r="AX2457" s="340">
        <v>273.24</v>
      </c>
      <c r="AY2457" s="340" t="s">
        <v>342</v>
      </c>
      <c r="BN2457" s="340">
        <v>603.05999999999995</v>
      </c>
      <c r="BO2457" s="340" t="s">
        <v>289</v>
      </c>
      <c r="BP2457" s="1385"/>
      <c r="BV2457" s="236">
        <v>9.0500000000000007</v>
      </c>
      <c r="BW2457" s="236" t="s">
        <v>331</v>
      </c>
      <c r="CB2457" s="340">
        <v>273.25</v>
      </c>
      <c r="CC2457" s="340" t="s">
        <v>342</v>
      </c>
      <c r="CL2457" s="236">
        <v>139.01</v>
      </c>
      <c r="CM2457" s="236" t="s">
        <v>302</v>
      </c>
      <c r="CR2457" s="340">
        <v>603.04</v>
      </c>
      <c r="CS2457" s="340" t="s">
        <v>305</v>
      </c>
      <c r="CT2457" s="1384"/>
      <c r="DF2457" s="340">
        <v>128.02000000000001</v>
      </c>
      <c r="DG2457" s="340" t="s">
        <v>344</v>
      </c>
      <c r="DV2457" s="340">
        <v>693</v>
      </c>
      <c r="DW2457" s="340" t="s">
        <v>288</v>
      </c>
      <c r="DX2457" s="1671"/>
    </row>
    <row r="2458" spans="12:128">
      <c r="L2458" s="2481">
        <v>142.02000000000001</v>
      </c>
      <c r="M2458" s="340" t="s">
        <v>344</v>
      </c>
      <c r="N2458" s="1390"/>
      <c r="O2458" s="2479"/>
      <c r="P2458" s="2282"/>
      <c r="AG2458" s="2297">
        <v>702.08</v>
      </c>
      <c r="AH2458" s="2297" t="s">
        <v>289</v>
      </c>
      <c r="AI2458" s="1390"/>
      <c r="AJ2458" s="2282"/>
      <c r="AK2458" s="2282"/>
      <c r="AL2458" s="1037"/>
      <c r="AX2458" s="340">
        <v>273.25</v>
      </c>
      <c r="AY2458" s="340" t="s">
        <v>342</v>
      </c>
      <c r="BN2458" s="340">
        <v>605.01</v>
      </c>
      <c r="BO2458" s="340" t="s">
        <v>289</v>
      </c>
      <c r="BP2458" s="1385"/>
      <c r="BV2458" s="236">
        <v>9.06</v>
      </c>
      <c r="BW2458" s="236" t="s">
        <v>331</v>
      </c>
      <c r="CB2458" s="340">
        <v>273.27</v>
      </c>
      <c r="CC2458" s="340" t="s">
        <v>342</v>
      </c>
      <c r="CL2458" s="236">
        <v>139.01</v>
      </c>
      <c r="CM2458" s="236" t="s">
        <v>344</v>
      </c>
      <c r="CR2458" s="340">
        <v>605.03</v>
      </c>
      <c r="CS2458" s="340" t="s">
        <v>289</v>
      </c>
      <c r="CT2458" s="1384"/>
      <c r="DF2458" s="340">
        <v>128.03</v>
      </c>
      <c r="DG2458" s="340" t="s">
        <v>344</v>
      </c>
      <c r="DV2458" s="340">
        <v>694</v>
      </c>
      <c r="DW2458" s="340" t="s">
        <v>288</v>
      </c>
      <c r="DX2458" s="1671"/>
    </row>
    <row r="2459" spans="12:128">
      <c r="L2459" s="2481">
        <v>142.03</v>
      </c>
      <c r="M2459" s="340" t="s">
        <v>344</v>
      </c>
      <c r="N2459" s="1390"/>
      <c r="O2459" s="2479"/>
      <c r="P2459" s="2282"/>
      <c r="AG2459" s="2297">
        <v>702.09</v>
      </c>
      <c r="AH2459" s="2297" t="s">
        <v>289</v>
      </c>
      <c r="AI2459" s="1390"/>
      <c r="AJ2459" s="2282"/>
      <c r="AK2459" s="2282"/>
      <c r="AL2459" s="1037"/>
      <c r="AX2459" s="340">
        <v>273.27</v>
      </c>
      <c r="AY2459" s="340" t="s">
        <v>342</v>
      </c>
      <c r="BN2459" s="340">
        <v>605.03</v>
      </c>
      <c r="BO2459" s="340" t="s">
        <v>289</v>
      </c>
      <c r="BP2459" s="1385"/>
      <c r="BV2459" s="236">
        <v>9.07</v>
      </c>
      <c r="BW2459" s="236" t="s">
        <v>331</v>
      </c>
      <c r="CB2459" s="340">
        <v>273.27999999999997</v>
      </c>
      <c r="CC2459" s="340" t="s">
        <v>342</v>
      </c>
      <c r="CL2459" s="236">
        <v>139.02000000000001</v>
      </c>
      <c r="CM2459" s="236" t="s">
        <v>302</v>
      </c>
      <c r="CR2459" s="340">
        <v>605.04</v>
      </c>
      <c r="CS2459" s="340" t="s">
        <v>289</v>
      </c>
      <c r="CT2459" s="1384"/>
      <c r="DF2459" s="340">
        <v>128.04</v>
      </c>
      <c r="DG2459" s="340" t="s">
        <v>344</v>
      </c>
      <c r="DV2459" s="340">
        <v>698.01</v>
      </c>
      <c r="DW2459" s="340" t="s">
        <v>288</v>
      </c>
      <c r="DX2459" s="1671"/>
    </row>
    <row r="2460" spans="12:128">
      <c r="L2460" s="2481">
        <v>143.03</v>
      </c>
      <c r="M2460" s="340" t="s">
        <v>344</v>
      </c>
      <c r="N2460" s="1390"/>
      <c r="O2460" s="2479"/>
      <c r="P2460" s="2282"/>
      <c r="AG2460" s="2297">
        <v>702.1</v>
      </c>
      <c r="AH2460" s="2297" t="s">
        <v>289</v>
      </c>
      <c r="AI2460" s="1390"/>
      <c r="AJ2460" s="2282"/>
      <c r="AK2460" s="2282"/>
      <c r="AL2460" s="1037"/>
      <c r="AX2460" s="340">
        <v>273.27999999999997</v>
      </c>
      <c r="AY2460" s="340" t="s">
        <v>342</v>
      </c>
      <c r="BN2460" s="340">
        <v>605.04</v>
      </c>
      <c r="BO2460" s="340" t="s">
        <v>289</v>
      </c>
      <c r="BP2460" s="1385"/>
      <c r="BV2460" s="236">
        <v>9.08</v>
      </c>
      <c r="BW2460" s="236" t="s">
        <v>331</v>
      </c>
      <c r="CB2460" s="340">
        <v>273.29000000000002</v>
      </c>
      <c r="CC2460" s="340" t="s">
        <v>342</v>
      </c>
      <c r="CL2460" s="236">
        <v>139.02000000000001</v>
      </c>
      <c r="CM2460" s="236" t="s">
        <v>344</v>
      </c>
      <c r="CR2460" s="340">
        <v>605.04999999999995</v>
      </c>
      <c r="CS2460" s="340" t="s">
        <v>289</v>
      </c>
      <c r="CT2460" s="1384"/>
      <c r="DF2460" s="340">
        <v>129</v>
      </c>
      <c r="DG2460" s="340" t="s">
        <v>344</v>
      </c>
      <c r="DV2460" s="340">
        <v>698.02</v>
      </c>
      <c r="DW2460" s="340" t="s">
        <v>288</v>
      </c>
      <c r="DX2460" s="1671"/>
    </row>
    <row r="2461" spans="12:128">
      <c r="L2461" s="2481">
        <v>144.01</v>
      </c>
      <c r="M2461" s="340" t="s">
        <v>344</v>
      </c>
      <c r="N2461" s="1390"/>
      <c r="O2461" s="2479"/>
      <c r="P2461" s="2282"/>
      <c r="AG2461" s="2297">
        <v>702.11</v>
      </c>
      <c r="AH2461" s="2297" t="s">
        <v>289</v>
      </c>
      <c r="AI2461" s="1390"/>
      <c r="AJ2461" s="2282"/>
      <c r="AK2461" s="2282"/>
      <c r="AL2461" s="1037"/>
      <c r="AX2461" s="340">
        <v>273.29000000000002</v>
      </c>
      <c r="AY2461" s="340" t="s">
        <v>342</v>
      </c>
      <c r="BN2461" s="340">
        <v>606.03</v>
      </c>
      <c r="BO2461" s="340" t="s">
        <v>289</v>
      </c>
      <c r="BP2461" s="1385"/>
      <c r="BV2461" s="236">
        <v>10.029999999999999</v>
      </c>
      <c r="BW2461" s="236" t="s">
        <v>331</v>
      </c>
      <c r="CB2461" s="340">
        <v>273.32</v>
      </c>
      <c r="CC2461" s="340" t="s">
        <v>342</v>
      </c>
      <c r="CL2461" s="236">
        <v>139.03</v>
      </c>
      <c r="CM2461" s="236" t="s">
        <v>316</v>
      </c>
      <c r="CR2461" s="340">
        <v>606.03</v>
      </c>
      <c r="CS2461" s="340" t="s">
        <v>289</v>
      </c>
      <c r="CT2461" s="1384"/>
      <c r="DF2461" s="340">
        <v>130.01</v>
      </c>
      <c r="DG2461" s="340" t="s">
        <v>344</v>
      </c>
      <c r="DV2461" s="340">
        <v>699.03</v>
      </c>
      <c r="DW2461" s="340" t="s">
        <v>288</v>
      </c>
      <c r="DX2461" s="1671"/>
    </row>
    <row r="2462" spans="12:128">
      <c r="L2462" s="2481">
        <v>145.01</v>
      </c>
      <c r="M2462" s="340" t="s">
        <v>344</v>
      </c>
      <c r="N2462" s="1390"/>
      <c r="O2462" s="2479"/>
      <c r="P2462" s="2282"/>
      <c r="AG2462" s="2297">
        <v>702.12</v>
      </c>
      <c r="AH2462" s="2297" t="s">
        <v>289</v>
      </c>
      <c r="AI2462" s="1390"/>
      <c r="AJ2462" s="2282"/>
      <c r="AK2462" s="2282"/>
      <c r="AL2462" s="1037"/>
      <c r="AX2462" s="340">
        <v>273.32</v>
      </c>
      <c r="AY2462" s="340" t="s">
        <v>342</v>
      </c>
      <c r="BN2462" s="340">
        <v>606.04999999999995</v>
      </c>
      <c r="BO2462" s="340" t="s">
        <v>289</v>
      </c>
      <c r="BP2462" s="1385"/>
      <c r="BV2462" s="236">
        <v>10.039999999999999</v>
      </c>
      <c r="BW2462" s="236" t="s">
        <v>331</v>
      </c>
      <c r="CB2462" s="340">
        <v>275.01</v>
      </c>
      <c r="CC2462" s="340" t="s">
        <v>342</v>
      </c>
      <c r="CL2462" s="236">
        <v>139.04</v>
      </c>
      <c r="CM2462" s="236" t="s">
        <v>302</v>
      </c>
      <c r="CR2462" s="340">
        <v>606.04999999999995</v>
      </c>
      <c r="CS2462" s="340" t="s">
        <v>289</v>
      </c>
      <c r="CT2462" s="1384"/>
      <c r="DF2462" s="340">
        <v>131.01</v>
      </c>
      <c r="DG2462" s="340" t="s">
        <v>344</v>
      </c>
      <c r="DV2462" s="340">
        <v>699.04</v>
      </c>
      <c r="DW2462" s="340" t="s">
        <v>288</v>
      </c>
      <c r="DX2462" s="1671"/>
    </row>
    <row r="2463" spans="12:128">
      <c r="L2463" s="2481">
        <v>147.01</v>
      </c>
      <c r="M2463" s="340" t="s">
        <v>344</v>
      </c>
      <c r="N2463" s="1390"/>
      <c r="O2463" s="2479"/>
      <c r="P2463" s="2282"/>
      <c r="AG2463" s="2297">
        <v>703.04</v>
      </c>
      <c r="AH2463" s="2297" t="s">
        <v>289</v>
      </c>
      <c r="AI2463" s="1390"/>
      <c r="AJ2463" s="2282"/>
      <c r="AK2463" s="2282"/>
      <c r="AL2463" s="1037"/>
      <c r="AX2463" s="340">
        <v>275.01</v>
      </c>
      <c r="AY2463" s="340" t="s">
        <v>342</v>
      </c>
      <c r="BN2463" s="340">
        <v>606.07000000000005</v>
      </c>
      <c r="BO2463" s="340" t="s">
        <v>289</v>
      </c>
      <c r="BP2463" s="1385"/>
      <c r="BV2463" s="236">
        <v>10.050000000000001</v>
      </c>
      <c r="BW2463" s="236" t="s">
        <v>331</v>
      </c>
      <c r="CB2463" s="340">
        <v>275.02999999999997</v>
      </c>
      <c r="CC2463" s="340" t="s">
        <v>342</v>
      </c>
      <c r="CL2463" s="236">
        <v>139.05000000000001</v>
      </c>
      <c r="CM2463" s="236" t="s">
        <v>302</v>
      </c>
      <c r="CR2463" s="340">
        <v>606.05999999999995</v>
      </c>
      <c r="CS2463" s="340" t="s">
        <v>289</v>
      </c>
      <c r="CT2463" s="1384"/>
      <c r="DF2463" s="340">
        <v>131.03</v>
      </c>
      <c r="DG2463" s="340" t="s">
        <v>344</v>
      </c>
      <c r="DV2463" s="340">
        <v>699.07</v>
      </c>
      <c r="DW2463" s="340" t="s">
        <v>288</v>
      </c>
      <c r="DX2463" s="1671"/>
    </row>
    <row r="2464" spans="12:128">
      <c r="L2464" s="2481">
        <v>147.03</v>
      </c>
      <c r="M2464" s="340" t="s">
        <v>344</v>
      </c>
      <c r="N2464" s="1390"/>
      <c r="O2464" s="2479"/>
      <c r="P2464" s="2282"/>
      <c r="AG2464" s="2297">
        <v>703.06</v>
      </c>
      <c r="AH2464" s="2297" t="s">
        <v>289</v>
      </c>
      <c r="AI2464" s="1390"/>
      <c r="AJ2464" s="2282"/>
      <c r="AK2464" s="2282"/>
      <c r="AL2464" s="1037"/>
      <c r="AX2464" s="340">
        <v>275.02999999999997</v>
      </c>
      <c r="AY2464" s="340" t="s">
        <v>342</v>
      </c>
      <c r="BN2464" s="340">
        <v>606.08000000000004</v>
      </c>
      <c r="BO2464" s="340" t="s">
        <v>289</v>
      </c>
      <c r="BP2464" s="1385"/>
      <c r="BV2464" s="236">
        <v>10.06</v>
      </c>
      <c r="BW2464" s="236" t="s">
        <v>331</v>
      </c>
      <c r="CB2464" s="340">
        <v>275.04000000000002</v>
      </c>
      <c r="CC2464" s="340" t="s">
        <v>342</v>
      </c>
      <c r="CL2464" s="236">
        <v>139.06</v>
      </c>
      <c r="CM2464" s="236" t="s">
        <v>302</v>
      </c>
      <c r="CR2464" s="340">
        <v>606.07000000000005</v>
      </c>
      <c r="CS2464" s="340" t="s">
        <v>289</v>
      </c>
      <c r="CT2464" s="1384"/>
      <c r="DF2464" s="340">
        <v>135</v>
      </c>
      <c r="DG2464" s="340" t="s">
        <v>344</v>
      </c>
      <c r="DV2464" s="340">
        <v>701.02</v>
      </c>
      <c r="DW2464" s="340" t="s">
        <v>323</v>
      </c>
      <c r="DX2464" s="1671"/>
    </row>
    <row r="2465" spans="12:128">
      <c r="L2465" s="2481">
        <v>147.04</v>
      </c>
      <c r="M2465" s="340" t="s">
        <v>344</v>
      </c>
      <c r="N2465" s="1390"/>
      <c r="O2465" s="2479"/>
      <c r="P2465" s="2282"/>
      <c r="AG2465" s="2297">
        <v>703.1</v>
      </c>
      <c r="AH2465" s="2297" t="s">
        <v>289</v>
      </c>
      <c r="AI2465" s="1390"/>
      <c r="AJ2465" s="2282"/>
      <c r="AK2465" s="2282"/>
      <c r="AL2465" s="1037"/>
      <c r="AX2465" s="340">
        <v>275.04000000000002</v>
      </c>
      <c r="AY2465" s="340" t="s">
        <v>342</v>
      </c>
      <c r="BN2465" s="340">
        <v>606.09</v>
      </c>
      <c r="BO2465" s="340" t="s">
        <v>289</v>
      </c>
      <c r="BP2465" s="1385"/>
      <c r="BV2465" s="236">
        <v>10.07</v>
      </c>
      <c r="BW2465" s="236" t="s">
        <v>331</v>
      </c>
      <c r="CB2465" s="340">
        <v>276.02999999999997</v>
      </c>
      <c r="CC2465" s="340" t="s">
        <v>342</v>
      </c>
      <c r="CL2465" s="236">
        <v>139.07</v>
      </c>
      <c r="CM2465" s="236" t="s">
        <v>316</v>
      </c>
      <c r="CR2465" s="340">
        <v>606.08000000000004</v>
      </c>
      <c r="CS2465" s="340" t="s">
        <v>289</v>
      </c>
      <c r="CT2465" s="1384"/>
      <c r="DF2465" s="340">
        <v>139.02000000000001</v>
      </c>
      <c r="DG2465" s="340" t="s">
        <v>344</v>
      </c>
      <c r="DV2465" s="340">
        <v>701.03</v>
      </c>
      <c r="DW2465" s="340" t="s">
        <v>289</v>
      </c>
      <c r="DX2465" s="1671"/>
    </row>
    <row r="2466" spans="12:128">
      <c r="L2466" s="2481">
        <v>148.03</v>
      </c>
      <c r="M2466" s="340" t="s">
        <v>344</v>
      </c>
      <c r="N2466" s="1390"/>
      <c r="O2466" s="2479"/>
      <c r="P2466" s="2282"/>
      <c r="AG2466" s="2297">
        <v>703.11</v>
      </c>
      <c r="AH2466" s="2297" t="s">
        <v>289</v>
      </c>
      <c r="AI2466" s="1390"/>
      <c r="AJ2466" s="2282"/>
      <c r="AK2466" s="2282"/>
      <c r="AL2466" s="1037"/>
      <c r="AX2466" s="340">
        <v>276.02999999999997</v>
      </c>
      <c r="AY2466" s="340" t="s">
        <v>342</v>
      </c>
      <c r="BN2466" s="340">
        <v>607</v>
      </c>
      <c r="BO2466" s="340" t="s">
        <v>289</v>
      </c>
      <c r="BP2466" s="1385"/>
      <c r="BV2466" s="236">
        <v>10.08</v>
      </c>
      <c r="BW2466" s="236" t="s">
        <v>331</v>
      </c>
      <c r="CB2466" s="340">
        <v>276.04000000000002</v>
      </c>
      <c r="CC2466" s="340" t="s">
        <v>342</v>
      </c>
      <c r="CL2466" s="236">
        <v>139.12</v>
      </c>
      <c r="CM2466" s="236" t="s">
        <v>316</v>
      </c>
      <c r="CR2466" s="340">
        <v>606.09</v>
      </c>
      <c r="CS2466" s="340" t="s">
        <v>289</v>
      </c>
      <c r="CT2466" s="1384"/>
      <c r="DF2466" s="340">
        <v>140.01</v>
      </c>
      <c r="DG2466" s="340" t="s">
        <v>344</v>
      </c>
      <c r="DV2466" s="340">
        <v>702.05</v>
      </c>
      <c r="DW2466" s="340" t="s">
        <v>289</v>
      </c>
      <c r="DX2466" s="1671"/>
    </row>
    <row r="2467" spans="12:128">
      <c r="L2467" s="2481">
        <v>148.04</v>
      </c>
      <c r="M2467" s="340" t="s">
        <v>344</v>
      </c>
      <c r="N2467" s="1390"/>
      <c r="O2467" s="2479"/>
      <c r="P2467" s="2282"/>
      <c r="AG2467" s="2297">
        <v>703.12</v>
      </c>
      <c r="AH2467" s="2297" t="s">
        <v>289</v>
      </c>
      <c r="AI2467" s="1390"/>
      <c r="AJ2467" s="2282"/>
      <c r="AK2467" s="2282"/>
      <c r="AL2467" s="1037"/>
      <c r="AX2467" s="340">
        <v>276.04000000000002</v>
      </c>
      <c r="AY2467" s="340" t="s">
        <v>342</v>
      </c>
      <c r="BN2467" s="340">
        <v>608.01</v>
      </c>
      <c r="BO2467" s="340" t="s">
        <v>289</v>
      </c>
      <c r="BP2467" s="1385"/>
      <c r="BV2467" s="236">
        <v>11.01</v>
      </c>
      <c r="BW2467" s="236" t="s">
        <v>331</v>
      </c>
      <c r="CB2467" s="340">
        <v>276.05</v>
      </c>
      <c r="CC2467" s="340" t="s">
        <v>342</v>
      </c>
      <c r="CL2467" s="236">
        <v>139.13</v>
      </c>
      <c r="CM2467" s="236" t="s">
        <v>316</v>
      </c>
      <c r="CR2467" s="340">
        <v>607</v>
      </c>
      <c r="CS2467" s="340" t="s">
        <v>289</v>
      </c>
      <c r="CT2467" s="1384"/>
      <c r="DF2467" s="340">
        <v>140.03</v>
      </c>
      <c r="DG2467" s="340" t="s">
        <v>344</v>
      </c>
      <c r="DV2467" s="340">
        <v>702.08</v>
      </c>
      <c r="DW2467" s="340" t="s">
        <v>289</v>
      </c>
      <c r="DX2467" s="1671"/>
    </row>
    <row r="2468" spans="12:128">
      <c r="L2468" s="2481">
        <v>149.03</v>
      </c>
      <c r="M2468" s="340" t="s">
        <v>344</v>
      </c>
      <c r="N2468" s="1390"/>
      <c r="O2468" s="2479"/>
      <c r="P2468" s="2282"/>
      <c r="AG2468" s="2297">
        <v>703.14</v>
      </c>
      <c r="AH2468" s="2297" t="s">
        <v>289</v>
      </c>
      <c r="AI2468" s="1390"/>
      <c r="AJ2468" s="2282"/>
      <c r="AK2468" s="2282"/>
      <c r="AL2468" s="1037"/>
      <c r="AX2468" s="340">
        <v>276.05</v>
      </c>
      <c r="AY2468" s="340" t="s">
        <v>342</v>
      </c>
      <c r="BN2468" s="340">
        <v>609</v>
      </c>
      <c r="BO2468" s="340" t="s">
        <v>289</v>
      </c>
      <c r="BP2468" s="1385"/>
      <c r="BV2468" s="236">
        <v>11.02</v>
      </c>
      <c r="BW2468" s="236" t="s">
        <v>331</v>
      </c>
      <c r="CB2468" s="340">
        <v>276.06</v>
      </c>
      <c r="CC2468" s="340" t="s">
        <v>342</v>
      </c>
      <c r="CL2468" s="236">
        <v>139.13999999999999</v>
      </c>
      <c r="CM2468" s="236" t="s">
        <v>316</v>
      </c>
      <c r="CR2468" s="340">
        <v>608.01</v>
      </c>
      <c r="CS2468" s="340" t="s">
        <v>289</v>
      </c>
      <c r="CT2468" s="1384"/>
      <c r="DF2468" s="340">
        <v>140.05000000000001</v>
      </c>
      <c r="DG2468" s="340" t="s">
        <v>344</v>
      </c>
      <c r="DV2468" s="340">
        <v>702.09</v>
      </c>
      <c r="DW2468" s="340" t="s">
        <v>289</v>
      </c>
      <c r="DX2468" s="1671"/>
    </row>
    <row r="2469" spans="12:128">
      <c r="L2469" s="2481">
        <v>149.05000000000001</v>
      </c>
      <c r="M2469" s="340" t="s">
        <v>344</v>
      </c>
      <c r="N2469" s="1390"/>
      <c r="O2469" s="2479"/>
      <c r="P2469" s="2282"/>
      <c r="AG2469" s="2297">
        <v>703.15</v>
      </c>
      <c r="AH2469" s="2297" t="s">
        <v>289</v>
      </c>
      <c r="AI2469" s="1390"/>
      <c r="AJ2469" s="2282"/>
      <c r="AK2469" s="2282"/>
      <c r="AL2469" s="1037"/>
      <c r="AX2469" s="340">
        <v>276.06</v>
      </c>
      <c r="AY2469" s="340" t="s">
        <v>342</v>
      </c>
      <c r="BN2469" s="340">
        <v>610.01</v>
      </c>
      <c r="BO2469" s="340" t="s">
        <v>289</v>
      </c>
      <c r="BP2469" s="1385"/>
      <c r="BV2469" s="236">
        <v>11.03</v>
      </c>
      <c r="BW2469" s="236" t="s">
        <v>331</v>
      </c>
      <c r="CB2469" s="340">
        <v>277.01</v>
      </c>
      <c r="CC2469" s="340" t="s">
        <v>342</v>
      </c>
      <c r="CL2469" s="236">
        <v>139.15</v>
      </c>
      <c r="CM2469" s="236" t="s">
        <v>316</v>
      </c>
      <c r="CR2469" s="340">
        <v>609</v>
      </c>
      <c r="CS2469" s="340" t="s">
        <v>289</v>
      </c>
      <c r="CT2469" s="1384"/>
      <c r="DF2469" s="340">
        <v>140.06</v>
      </c>
      <c r="DG2469" s="340" t="s">
        <v>344</v>
      </c>
      <c r="DV2469" s="340">
        <v>702.1</v>
      </c>
      <c r="DW2469" s="340" t="s">
        <v>289</v>
      </c>
      <c r="DX2469" s="1671"/>
    </row>
    <row r="2470" spans="12:128">
      <c r="L2470" s="2481">
        <v>149.06</v>
      </c>
      <c r="M2470" s="340" t="s">
        <v>344</v>
      </c>
      <c r="N2470" s="1390"/>
      <c r="O2470" s="2479"/>
      <c r="P2470" s="2282"/>
      <c r="AG2470" s="2297">
        <v>703.16</v>
      </c>
      <c r="AH2470" s="2297" t="s">
        <v>289</v>
      </c>
      <c r="AI2470" s="1390"/>
      <c r="AJ2470" s="2282"/>
      <c r="AK2470" s="2282"/>
      <c r="AL2470" s="1037"/>
      <c r="AX2470" s="340">
        <v>277.01</v>
      </c>
      <c r="AY2470" s="340" t="s">
        <v>342</v>
      </c>
      <c r="BN2470" s="340">
        <v>610.04</v>
      </c>
      <c r="BO2470" s="340" t="s">
        <v>289</v>
      </c>
      <c r="BP2470" s="1385"/>
      <c r="BV2470" s="236">
        <v>11.04</v>
      </c>
      <c r="BW2470" s="236" t="s">
        <v>331</v>
      </c>
      <c r="CB2470" s="340">
        <v>277.02999999999997</v>
      </c>
      <c r="CC2470" s="340" t="s">
        <v>342</v>
      </c>
      <c r="CL2470" s="236">
        <v>139.16</v>
      </c>
      <c r="CM2470" s="236" t="s">
        <v>316</v>
      </c>
      <c r="CR2470" s="340">
        <v>610.01</v>
      </c>
      <c r="CS2470" s="340" t="s">
        <v>289</v>
      </c>
      <c r="CT2470" s="1384"/>
      <c r="DF2470" s="340">
        <v>141.04</v>
      </c>
      <c r="DG2470" s="340" t="s">
        <v>344</v>
      </c>
      <c r="DV2470" s="340">
        <v>702.11</v>
      </c>
      <c r="DW2470" s="340" t="s">
        <v>289</v>
      </c>
      <c r="DX2470" s="1671"/>
    </row>
    <row r="2471" spans="12:128">
      <c r="L2471" s="2481">
        <v>151.01</v>
      </c>
      <c r="M2471" s="340" t="s">
        <v>344</v>
      </c>
      <c r="N2471" s="1390"/>
      <c r="O2471" s="2479"/>
      <c r="P2471" s="2282"/>
      <c r="AG2471" s="2297">
        <v>703.18</v>
      </c>
      <c r="AH2471" s="2297" t="s">
        <v>289</v>
      </c>
      <c r="AI2471" s="1390"/>
      <c r="AJ2471" s="2282"/>
      <c r="AK2471" s="2282"/>
      <c r="AL2471" s="1037"/>
      <c r="AX2471" s="340">
        <v>277.02999999999997</v>
      </c>
      <c r="AY2471" s="340" t="s">
        <v>342</v>
      </c>
      <c r="BN2471" s="340">
        <v>611</v>
      </c>
      <c r="BO2471" s="340" t="s">
        <v>288</v>
      </c>
      <c r="BP2471" s="1385"/>
      <c r="BV2471" s="236">
        <v>12.04</v>
      </c>
      <c r="BW2471" s="236" t="s">
        <v>331</v>
      </c>
      <c r="CB2471" s="340">
        <v>277.04000000000002</v>
      </c>
      <c r="CC2471" s="340" t="s">
        <v>342</v>
      </c>
      <c r="CL2471" s="236">
        <v>139.16999999999999</v>
      </c>
      <c r="CM2471" s="236" t="s">
        <v>316</v>
      </c>
      <c r="CR2471" s="340">
        <v>610.03</v>
      </c>
      <c r="CS2471" s="340" t="s">
        <v>289</v>
      </c>
      <c r="CT2471" s="1384"/>
      <c r="DF2471" s="340">
        <v>141.21</v>
      </c>
      <c r="DG2471" s="340" t="s">
        <v>344</v>
      </c>
      <c r="DV2471" s="340">
        <v>702.12</v>
      </c>
      <c r="DW2471" s="340" t="s">
        <v>289</v>
      </c>
      <c r="DX2471" s="1671"/>
    </row>
    <row r="2472" spans="12:128">
      <c r="L2472" s="2481">
        <v>151.02000000000001</v>
      </c>
      <c r="M2472" s="340" t="s">
        <v>344</v>
      </c>
      <c r="N2472" s="1390"/>
      <c r="O2472" s="2479"/>
      <c r="P2472" s="2282"/>
      <c r="AG2472" s="2297">
        <v>703.19</v>
      </c>
      <c r="AH2472" s="2297" t="s">
        <v>289</v>
      </c>
      <c r="AI2472" s="1390"/>
      <c r="AJ2472" s="2282"/>
      <c r="AK2472" s="2282"/>
      <c r="AL2472" s="1037"/>
      <c r="AX2472" s="340">
        <v>277.04000000000002</v>
      </c>
      <c r="AY2472" s="340" t="s">
        <v>342</v>
      </c>
      <c r="BN2472" s="340">
        <v>612.01</v>
      </c>
      <c r="BO2472" s="340" t="s">
        <v>288</v>
      </c>
      <c r="BP2472" s="1385"/>
      <c r="BV2472" s="236">
        <v>12.05</v>
      </c>
      <c r="BW2472" s="236" t="s">
        <v>331</v>
      </c>
      <c r="CB2472" s="340">
        <v>278.01</v>
      </c>
      <c r="CC2472" s="340" t="s">
        <v>342</v>
      </c>
      <c r="CL2472" s="236">
        <v>139.18</v>
      </c>
      <c r="CM2472" s="236" t="s">
        <v>316</v>
      </c>
      <c r="CR2472" s="340">
        <v>610.04</v>
      </c>
      <c r="CS2472" s="340" t="s">
        <v>289</v>
      </c>
      <c r="CT2472" s="1384"/>
      <c r="DF2472" s="340">
        <v>141.22999999999999</v>
      </c>
      <c r="DG2472" s="340" t="s">
        <v>344</v>
      </c>
      <c r="DV2472" s="340">
        <v>702.13</v>
      </c>
      <c r="DW2472" s="340" t="s">
        <v>289</v>
      </c>
      <c r="DX2472" s="1671"/>
    </row>
    <row r="2473" spans="12:128">
      <c r="L2473" s="2481">
        <v>153.02000000000001</v>
      </c>
      <c r="M2473" s="340" t="s">
        <v>344</v>
      </c>
      <c r="N2473" s="1390"/>
      <c r="O2473" s="2479"/>
      <c r="P2473" s="2282"/>
      <c r="AG2473" s="2297">
        <v>703.2</v>
      </c>
      <c r="AH2473" s="2297" t="s">
        <v>289</v>
      </c>
      <c r="AI2473" s="1390"/>
      <c r="AJ2473" s="2282"/>
      <c r="AK2473" s="2282"/>
      <c r="AL2473" s="1037"/>
      <c r="AX2473" s="340">
        <v>278.01</v>
      </c>
      <c r="AY2473" s="340" t="s">
        <v>342</v>
      </c>
      <c r="BN2473" s="340">
        <v>612.02</v>
      </c>
      <c r="BO2473" s="340" t="s">
        <v>288</v>
      </c>
      <c r="BP2473" s="1385"/>
      <c r="BV2473" s="236">
        <v>12.06</v>
      </c>
      <c r="BW2473" s="236" t="s">
        <v>331</v>
      </c>
      <c r="CB2473" s="340">
        <v>278.02</v>
      </c>
      <c r="CC2473" s="340" t="s">
        <v>342</v>
      </c>
      <c r="CL2473" s="236">
        <v>139.19</v>
      </c>
      <c r="CM2473" s="236" t="s">
        <v>316</v>
      </c>
      <c r="CR2473" s="340">
        <v>611</v>
      </c>
      <c r="CS2473" s="340" t="s">
        <v>288</v>
      </c>
      <c r="CT2473" s="1384"/>
      <c r="DF2473" s="340">
        <v>141.26</v>
      </c>
      <c r="DG2473" s="340" t="s">
        <v>344</v>
      </c>
      <c r="DV2473" s="340">
        <v>703.04</v>
      </c>
      <c r="DW2473" s="340" t="s">
        <v>289</v>
      </c>
      <c r="DX2473" s="1671"/>
    </row>
    <row r="2474" spans="12:128">
      <c r="L2474" s="2481">
        <v>154.02000000000001</v>
      </c>
      <c r="M2474" s="340" t="s">
        <v>344</v>
      </c>
      <c r="N2474" s="1390"/>
      <c r="O2474" s="2479"/>
      <c r="P2474" s="2282"/>
      <c r="AG2474" s="2297">
        <v>703.21</v>
      </c>
      <c r="AH2474" s="2297" t="s">
        <v>289</v>
      </c>
      <c r="AI2474" s="1390"/>
      <c r="AJ2474" s="2282"/>
      <c r="AK2474" s="2282"/>
      <c r="AL2474" s="1037"/>
      <c r="AX2474" s="340">
        <v>278.02</v>
      </c>
      <c r="AY2474" s="340" t="s">
        <v>342</v>
      </c>
      <c r="BN2474" s="340">
        <v>621.08000000000004</v>
      </c>
      <c r="BO2474" s="340" t="s">
        <v>288</v>
      </c>
      <c r="BP2474" s="1385"/>
      <c r="BV2474" s="236">
        <v>12.07</v>
      </c>
      <c r="BW2474" s="236" t="s">
        <v>331</v>
      </c>
      <c r="CB2474" s="340">
        <v>279.01</v>
      </c>
      <c r="CC2474" s="340" t="s">
        <v>342</v>
      </c>
      <c r="CL2474" s="236">
        <v>139.22</v>
      </c>
      <c r="CM2474" s="236" t="s">
        <v>316</v>
      </c>
      <c r="CR2474" s="340">
        <v>612.01</v>
      </c>
      <c r="CS2474" s="340" t="s">
        <v>288</v>
      </c>
      <c r="CT2474" s="1384"/>
      <c r="DF2474" s="340">
        <v>141.27000000000001</v>
      </c>
      <c r="DG2474" s="340" t="s">
        <v>344</v>
      </c>
      <c r="DV2474" s="340">
        <v>703.06</v>
      </c>
      <c r="DW2474" s="340" t="s">
        <v>289</v>
      </c>
      <c r="DX2474" s="1671"/>
    </row>
    <row r="2475" spans="12:128">
      <c r="L2475" s="2481">
        <v>154.04</v>
      </c>
      <c r="M2475" s="340" t="s">
        <v>344</v>
      </c>
      <c r="N2475" s="1390"/>
      <c r="O2475" s="2479"/>
      <c r="P2475" s="2282"/>
      <c r="AG2475" s="2297">
        <v>703.23</v>
      </c>
      <c r="AH2475" s="2297" t="s">
        <v>289</v>
      </c>
      <c r="AI2475" s="1390"/>
      <c r="AJ2475" s="2282"/>
      <c r="AK2475" s="2282"/>
      <c r="AL2475" s="1037"/>
      <c r="AX2475" s="340">
        <v>279.01</v>
      </c>
      <c r="AY2475" s="340" t="s">
        <v>342</v>
      </c>
      <c r="BN2475" s="340">
        <v>621.1</v>
      </c>
      <c r="BO2475" s="340" t="s">
        <v>288</v>
      </c>
      <c r="BP2475" s="1385"/>
      <c r="BV2475" s="236">
        <v>12.08</v>
      </c>
      <c r="BW2475" s="236" t="s">
        <v>331</v>
      </c>
      <c r="CB2475" s="340">
        <v>279.05</v>
      </c>
      <c r="CC2475" s="340" t="s">
        <v>342</v>
      </c>
      <c r="CL2475" s="236">
        <v>139.22999999999999</v>
      </c>
      <c r="CM2475" s="236" t="s">
        <v>316</v>
      </c>
      <c r="CR2475" s="340">
        <v>612.02</v>
      </c>
      <c r="CS2475" s="340" t="s">
        <v>288</v>
      </c>
      <c r="CT2475" s="1384"/>
      <c r="DF2475" s="340">
        <v>141.29</v>
      </c>
      <c r="DG2475" s="340" t="s">
        <v>344</v>
      </c>
      <c r="DV2475" s="340">
        <v>703.1</v>
      </c>
      <c r="DW2475" s="340" t="s">
        <v>289</v>
      </c>
      <c r="DX2475" s="1671"/>
    </row>
    <row r="2476" spans="12:128">
      <c r="L2476" s="2481">
        <v>154.05000000000001</v>
      </c>
      <c r="M2476" s="340" t="s">
        <v>344</v>
      </c>
      <c r="N2476" s="1390"/>
      <c r="O2476" s="2479"/>
      <c r="P2476" s="2282"/>
      <c r="AG2476" s="2297">
        <v>703.25</v>
      </c>
      <c r="AH2476" s="2297" t="s">
        <v>289</v>
      </c>
      <c r="AI2476" s="1390"/>
      <c r="AJ2476" s="2282"/>
      <c r="AK2476" s="2282"/>
      <c r="AL2476" s="1037"/>
      <c r="AX2476" s="340">
        <v>279.05</v>
      </c>
      <c r="AY2476" s="340" t="s">
        <v>342</v>
      </c>
      <c r="BN2476" s="340">
        <v>628</v>
      </c>
      <c r="BO2476" s="340" t="s">
        <v>288</v>
      </c>
      <c r="BP2476" s="1385"/>
      <c r="BV2476" s="236">
        <v>12.09</v>
      </c>
      <c r="BW2476" s="236" t="s">
        <v>331</v>
      </c>
      <c r="CB2476" s="340">
        <v>280.02</v>
      </c>
      <c r="CC2476" s="340" t="s">
        <v>342</v>
      </c>
      <c r="CL2476" s="236">
        <v>139.24</v>
      </c>
      <c r="CM2476" s="236" t="s">
        <v>316</v>
      </c>
      <c r="CR2476" s="340">
        <v>621.08000000000004</v>
      </c>
      <c r="CS2476" s="340" t="s">
        <v>288</v>
      </c>
      <c r="CT2476" s="1384"/>
      <c r="DF2476" s="340">
        <v>141.30000000000001</v>
      </c>
      <c r="DG2476" s="340" t="s">
        <v>344</v>
      </c>
      <c r="DV2476" s="340">
        <v>703.11</v>
      </c>
      <c r="DW2476" s="340" t="s">
        <v>289</v>
      </c>
      <c r="DX2476" s="1671"/>
    </row>
    <row r="2477" spans="12:128">
      <c r="L2477" s="2481">
        <v>159</v>
      </c>
      <c r="M2477" s="340" t="s">
        <v>344</v>
      </c>
      <c r="N2477" s="1390"/>
      <c r="O2477" s="2479"/>
      <c r="P2477" s="2282"/>
      <c r="AG2477" s="2297">
        <v>703.26</v>
      </c>
      <c r="AH2477" s="2297" t="s">
        <v>289</v>
      </c>
      <c r="AI2477" s="1390"/>
      <c r="AJ2477" s="2282"/>
      <c r="AK2477" s="2282"/>
      <c r="AL2477" s="1037"/>
      <c r="AX2477" s="340">
        <v>280.02</v>
      </c>
      <c r="AY2477" s="340" t="s">
        <v>342</v>
      </c>
      <c r="BN2477" s="340">
        <v>630</v>
      </c>
      <c r="BO2477" s="340" t="s">
        <v>288</v>
      </c>
      <c r="BP2477" s="1385"/>
      <c r="BV2477" s="236">
        <v>13.01</v>
      </c>
      <c r="BW2477" s="236" t="s">
        <v>331</v>
      </c>
      <c r="CB2477" s="340">
        <v>280.04000000000002</v>
      </c>
      <c r="CC2477" s="340" t="s">
        <v>342</v>
      </c>
      <c r="CL2477" s="236">
        <v>139.25</v>
      </c>
      <c r="CM2477" s="236" t="s">
        <v>316</v>
      </c>
      <c r="CR2477" s="340">
        <v>621.1</v>
      </c>
      <c r="CS2477" s="340" t="s">
        <v>288</v>
      </c>
      <c r="CT2477" s="1384"/>
      <c r="DF2477" s="340">
        <v>142.02000000000001</v>
      </c>
      <c r="DG2477" s="340" t="s">
        <v>344</v>
      </c>
      <c r="DV2477" s="340">
        <v>703.12</v>
      </c>
      <c r="DW2477" s="340" t="s">
        <v>289</v>
      </c>
      <c r="DX2477" s="1671"/>
    </row>
    <row r="2478" spans="12:128">
      <c r="L2478" s="2481">
        <v>9501</v>
      </c>
      <c r="M2478" s="340" t="s">
        <v>345</v>
      </c>
      <c r="N2478" s="1390"/>
      <c r="O2478" s="2479"/>
      <c r="P2478" s="2282"/>
      <c r="AG2478" s="2297">
        <v>703.27</v>
      </c>
      <c r="AH2478" s="2297" t="s">
        <v>289</v>
      </c>
      <c r="AI2478" s="1390"/>
      <c r="AJ2478" s="2282"/>
      <c r="AK2478" s="2282"/>
      <c r="AL2478" s="1037"/>
      <c r="AX2478" s="340">
        <v>280.04000000000002</v>
      </c>
      <c r="AY2478" s="340" t="s">
        <v>342</v>
      </c>
      <c r="BN2478" s="340">
        <v>631.02</v>
      </c>
      <c r="BO2478" s="340" t="s">
        <v>288</v>
      </c>
      <c r="BP2478" s="1385"/>
      <c r="BV2478" s="236">
        <v>13.02</v>
      </c>
      <c r="BW2478" s="236" t="s">
        <v>331</v>
      </c>
      <c r="CB2478" s="340">
        <v>280.05</v>
      </c>
      <c r="CC2478" s="340" t="s">
        <v>342</v>
      </c>
      <c r="CL2478" s="236">
        <v>139.26</v>
      </c>
      <c r="CM2478" s="236" t="s">
        <v>316</v>
      </c>
      <c r="CR2478" s="340">
        <v>621.12</v>
      </c>
      <c r="CS2478" s="340" t="s">
        <v>288</v>
      </c>
      <c r="CT2478" s="1384"/>
      <c r="DF2478" s="340">
        <v>143.03</v>
      </c>
      <c r="DG2478" s="340" t="s">
        <v>344</v>
      </c>
      <c r="DV2478" s="340">
        <v>703.14</v>
      </c>
      <c r="DW2478" s="340" t="s">
        <v>289</v>
      </c>
      <c r="DX2478" s="1671"/>
    </row>
    <row r="2479" spans="12:128">
      <c r="L2479" s="2481">
        <v>9502.01</v>
      </c>
      <c r="M2479" s="340" t="s">
        <v>345</v>
      </c>
      <c r="N2479" s="1390"/>
      <c r="O2479" s="2479"/>
      <c r="P2479" s="2282"/>
      <c r="AG2479" s="2297">
        <v>703.28</v>
      </c>
      <c r="AH2479" s="2297" t="s">
        <v>289</v>
      </c>
      <c r="AI2479" s="1390"/>
      <c r="AJ2479" s="2282"/>
      <c r="AK2479" s="2282"/>
      <c r="AL2479" s="1037"/>
      <c r="AX2479" s="340">
        <v>280.05</v>
      </c>
      <c r="AY2479" s="340" t="s">
        <v>342</v>
      </c>
      <c r="BN2479" s="340">
        <v>631.04</v>
      </c>
      <c r="BO2479" s="340" t="s">
        <v>288</v>
      </c>
      <c r="BP2479" s="1385"/>
      <c r="BV2479" s="236">
        <v>14.01</v>
      </c>
      <c r="BW2479" s="236" t="s">
        <v>331</v>
      </c>
      <c r="CB2479" s="340">
        <v>280.06</v>
      </c>
      <c r="CC2479" s="340" t="s">
        <v>342</v>
      </c>
      <c r="CL2479" s="236">
        <v>140</v>
      </c>
      <c r="CM2479" s="236" t="s">
        <v>338</v>
      </c>
      <c r="CR2479" s="340">
        <v>628</v>
      </c>
      <c r="CS2479" s="340" t="s">
        <v>288</v>
      </c>
      <c r="CT2479" s="1384"/>
      <c r="DF2479" s="340">
        <v>144.01</v>
      </c>
      <c r="DG2479" s="340" t="s">
        <v>344</v>
      </c>
      <c r="DV2479" s="340">
        <v>703.15</v>
      </c>
      <c r="DW2479" s="340" t="s">
        <v>289</v>
      </c>
      <c r="DX2479" s="1671"/>
    </row>
    <row r="2480" spans="12:128">
      <c r="L2480" s="2481">
        <v>9503</v>
      </c>
      <c r="M2480" s="340" t="s">
        <v>345</v>
      </c>
      <c r="N2480" s="1390"/>
      <c r="O2480" s="2479"/>
      <c r="P2480" s="2282"/>
      <c r="AG2480" s="2297">
        <v>703.3</v>
      </c>
      <c r="AH2480" s="2297" t="s">
        <v>289</v>
      </c>
      <c r="AI2480" s="1390"/>
      <c r="AJ2480" s="2282"/>
      <c r="AK2480" s="2282"/>
      <c r="AL2480" s="1037"/>
      <c r="AX2480" s="340">
        <v>280.06</v>
      </c>
      <c r="AY2480" s="340" t="s">
        <v>342</v>
      </c>
      <c r="BN2480" s="340">
        <v>631.04999999999995</v>
      </c>
      <c r="BO2480" s="340" t="s">
        <v>288</v>
      </c>
      <c r="BP2480" s="1385"/>
      <c r="BV2480" s="236">
        <v>14.02</v>
      </c>
      <c r="BW2480" s="236" t="s">
        <v>331</v>
      </c>
      <c r="CB2480" s="340">
        <v>281.02</v>
      </c>
      <c r="CC2480" s="340" t="s">
        <v>342</v>
      </c>
      <c r="CL2480" s="236">
        <v>140.01</v>
      </c>
      <c r="CM2480" s="236" t="s">
        <v>302</v>
      </c>
      <c r="CR2480" s="340">
        <v>630</v>
      </c>
      <c r="CS2480" s="340" t="s">
        <v>288</v>
      </c>
      <c r="CT2480" s="1384"/>
      <c r="DF2480" s="340">
        <v>145.01</v>
      </c>
      <c r="DG2480" s="340" t="s">
        <v>344</v>
      </c>
      <c r="DV2480" s="340">
        <v>703.16</v>
      </c>
      <c r="DW2480" s="340" t="s">
        <v>289</v>
      </c>
      <c r="DX2480" s="1671"/>
    </row>
    <row r="2481" spans="12:128">
      <c r="L2481" s="2481">
        <v>9506</v>
      </c>
      <c r="M2481" s="340" t="s">
        <v>345</v>
      </c>
      <c r="N2481" s="1390"/>
      <c r="O2481" s="2479"/>
      <c r="P2481" s="2282"/>
      <c r="AG2481" s="2297">
        <v>703.31</v>
      </c>
      <c r="AH2481" s="2297" t="s">
        <v>289</v>
      </c>
      <c r="AI2481" s="1390"/>
      <c r="AJ2481" s="2282"/>
      <c r="AK2481" s="2282"/>
      <c r="AL2481" s="1037"/>
      <c r="AX2481" s="340">
        <v>281.02</v>
      </c>
      <c r="AY2481" s="340" t="s">
        <v>342</v>
      </c>
      <c r="BN2481" s="340">
        <v>631.05999999999995</v>
      </c>
      <c r="BO2481" s="340" t="s">
        <v>288</v>
      </c>
      <c r="BP2481" s="1385"/>
      <c r="BV2481" s="236">
        <v>15.01</v>
      </c>
      <c r="BW2481" s="236" t="s">
        <v>331</v>
      </c>
      <c r="CB2481" s="340">
        <v>282</v>
      </c>
      <c r="CC2481" s="340" t="s">
        <v>342</v>
      </c>
      <c r="CL2481" s="236">
        <v>140.01</v>
      </c>
      <c r="CM2481" s="236" t="s">
        <v>344</v>
      </c>
      <c r="CR2481" s="340">
        <v>631.02</v>
      </c>
      <c r="CS2481" s="340" t="s">
        <v>288</v>
      </c>
      <c r="CT2481" s="1384"/>
      <c r="DF2481" s="340">
        <v>147.01</v>
      </c>
      <c r="DG2481" s="340" t="s">
        <v>344</v>
      </c>
      <c r="DV2481" s="340">
        <v>703.18</v>
      </c>
      <c r="DW2481" s="340" t="s">
        <v>289</v>
      </c>
      <c r="DX2481" s="1671"/>
    </row>
    <row r="2482" spans="12:128">
      <c r="L2482" s="2481">
        <v>9510</v>
      </c>
      <c r="M2482" s="340" t="s">
        <v>345</v>
      </c>
      <c r="N2482" s="1390"/>
      <c r="O2482" s="2479"/>
      <c r="P2482" s="2282"/>
      <c r="AG2482" s="2297">
        <v>704.01</v>
      </c>
      <c r="AH2482" s="2297" t="s">
        <v>289</v>
      </c>
      <c r="AI2482" s="1390"/>
      <c r="AJ2482" s="2282"/>
      <c r="AK2482" s="2282"/>
      <c r="AL2482" s="1037"/>
      <c r="AX2482" s="340">
        <v>282</v>
      </c>
      <c r="AY2482" s="340" t="s">
        <v>342</v>
      </c>
      <c r="BN2482" s="340">
        <v>631.08000000000004</v>
      </c>
      <c r="BO2482" s="340" t="s">
        <v>288</v>
      </c>
      <c r="BP2482" s="1385"/>
      <c r="BV2482" s="236">
        <v>15.02</v>
      </c>
      <c r="BW2482" s="236" t="s">
        <v>331</v>
      </c>
      <c r="CB2482" s="340">
        <v>285</v>
      </c>
      <c r="CC2482" s="340" t="s">
        <v>342</v>
      </c>
      <c r="CL2482" s="236">
        <v>140.02000000000001</v>
      </c>
      <c r="CM2482" s="236" t="s">
        <v>302</v>
      </c>
      <c r="CR2482" s="340">
        <v>631.04</v>
      </c>
      <c r="CS2482" s="340" t="s">
        <v>288</v>
      </c>
      <c r="CT2482" s="1384"/>
      <c r="DF2482" s="340">
        <v>147.04</v>
      </c>
      <c r="DG2482" s="340" t="s">
        <v>344</v>
      </c>
      <c r="DV2482" s="340">
        <v>703.19</v>
      </c>
      <c r="DW2482" s="340" t="s">
        <v>289</v>
      </c>
      <c r="DX2482" s="1671"/>
    </row>
    <row r="2483" spans="12:128">
      <c r="L2483" s="2481">
        <v>9511</v>
      </c>
      <c r="M2483" s="340" t="s">
        <v>345</v>
      </c>
      <c r="N2483" s="1390"/>
      <c r="O2483" s="2479"/>
      <c r="P2483" s="2282"/>
      <c r="AG2483" s="2297">
        <v>704.02</v>
      </c>
      <c r="AH2483" s="2297" t="s">
        <v>289</v>
      </c>
      <c r="AI2483" s="1390"/>
      <c r="AJ2483" s="2282"/>
      <c r="AK2483" s="2282"/>
      <c r="AL2483" s="1037"/>
      <c r="AX2483" s="340">
        <v>285</v>
      </c>
      <c r="AY2483" s="340" t="s">
        <v>342</v>
      </c>
      <c r="BN2483" s="340">
        <v>631.09</v>
      </c>
      <c r="BO2483" s="340" t="s">
        <v>288</v>
      </c>
      <c r="BP2483" s="1385"/>
      <c r="BV2483" s="236">
        <v>16.03</v>
      </c>
      <c r="BW2483" s="236" t="s">
        <v>331</v>
      </c>
      <c r="CB2483" s="340">
        <v>286.01</v>
      </c>
      <c r="CC2483" s="340" t="s">
        <v>342</v>
      </c>
      <c r="CL2483" s="236">
        <v>140.02000000000001</v>
      </c>
      <c r="CM2483" s="236" t="s">
        <v>316</v>
      </c>
      <c r="CR2483" s="340">
        <v>631.04999999999995</v>
      </c>
      <c r="CS2483" s="340" t="s">
        <v>288</v>
      </c>
      <c r="CT2483" s="1384"/>
      <c r="DF2483" s="340">
        <v>148.03</v>
      </c>
      <c r="DG2483" s="340" t="s">
        <v>344</v>
      </c>
      <c r="DV2483" s="340">
        <v>703.2</v>
      </c>
      <c r="DW2483" s="340" t="s">
        <v>289</v>
      </c>
      <c r="DX2483" s="1671"/>
    </row>
    <row r="2484" spans="12:128">
      <c r="L2484" s="2481">
        <v>103.01</v>
      </c>
      <c r="M2484" s="340" t="s">
        <v>346</v>
      </c>
      <c r="N2484" s="1390"/>
      <c r="O2484" s="2479"/>
      <c r="P2484" s="2282"/>
      <c r="AG2484" s="2297">
        <v>704.03</v>
      </c>
      <c r="AH2484" s="2297" t="s">
        <v>289</v>
      </c>
      <c r="AI2484" s="1390"/>
      <c r="AJ2484" s="2282"/>
      <c r="AK2484" s="2282"/>
      <c r="AL2484" s="1037"/>
      <c r="AX2484" s="340">
        <v>286.02</v>
      </c>
      <c r="AY2484" s="340" t="s">
        <v>342</v>
      </c>
      <c r="BN2484" s="340">
        <v>641.02</v>
      </c>
      <c r="BO2484" s="340" t="s">
        <v>288</v>
      </c>
      <c r="BP2484" s="1385"/>
      <c r="BV2484" s="236">
        <v>16.05</v>
      </c>
      <c r="BW2484" s="236" t="s">
        <v>331</v>
      </c>
      <c r="CB2484" s="340">
        <v>286.02</v>
      </c>
      <c r="CC2484" s="340" t="s">
        <v>342</v>
      </c>
      <c r="CL2484" s="236">
        <v>140.03</v>
      </c>
      <c r="CM2484" s="236" t="s">
        <v>316</v>
      </c>
      <c r="CR2484" s="340">
        <v>631.05999999999995</v>
      </c>
      <c r="CS2484" s="340" t="s">
        <v>288</v>
      </c>
      <c r="CT2484" s="1384"/>
      <c r="DF2484" s="340">
        <v>148.04</v>
      </c>
      <c r="DG2484" s="340" t="s">
        <v>344</v>
      </c>
      <c r="DV2484" s="340">
        <v>703.21</v>
      </c>
      <c r="DW2484" s="340" t="s">
        <v>289</v>
      </c>
      <c r="DX2484" s="1671"/>
    </row>
    <row r="2485" spans="12:128">
      <c r="L2485" s="2481">
        <v>103.02</v>
      </c>
      <c r="M2485" s="340" t="s">
        <v>346</v>
      </c>
      <c r="N2485" s="1390"/>
      <c r="O2485" s="2479"/>
      <c r="P2485" s="2282"/>
      <c r="AG2485" s="2297">
        <v>704.04</v>
      </c>
      <c r="AH2485" s="2297" t="s">
        <v>289</v>
      </c>
      <c r="AI2485" s="1390"/>
      <c r="AJ2485" s="2282"/>
      <c r="AK2485" s="2282"/>
      <c r="AL2485" s="1037"/>
      <c r="AX2485" s="340">
        <v>104.01</v>
      </c>
      <c r="AY2485" s="340" t="s">
        <v>344</v>
      </c>
      <c r="BN2485" s="340">
        <v>641.23</v>
      </c>
      <c r="BO2485" s="340" t="s">
        <v>288</v>
      </c>
      <c r="BP2485" s="1385"/>
      <c r="BV2485" s="236">
        <v>16.059999999999999</v>
      </c>
      <c r="BW2485" s="236" t="s">
        <v>331</v>
      </c>
      <c r="CB2485" s="340">
        <v>104.01</v>
      </c>
      <c r="CC2485" s="340" t="s">
        <v>344</v>
      </c>
      <c r="CL2485" s="236">
        <v>140.03</v>
      </c>
      <c r="CM2485" s="236" t="s">
        <v>344</v>
      </c>
      <c r="CR2485" s="340">
        <v>631.08000000000004</v>
      </c>
      <c r="CS2485" s="340" t="s">
        <v>288</v>
      </c>
      <c r="CT2485" s="1384"/>
      <c r="DF2485" s="340">
        <v>149.03</v>
      </c>
      <c r="DG2485" s="340" t="s">
        <v>344</v>
      </c>
      <c r="DV2485" s="340">
        <v>703.23</v>
      </c>
      <c r="DW2485" s="340" t="s">
        <v>289</v>
      </c>
      <c r="DX2485" s="1671"/>
    </row>
    <row r="2486" spans="12:128">
      <c r="L2486" s="2481">
        <v>103.03</v>
      </c>
      <c r="M2486" s="340" t="s">
        <v>346</v>
      </c>
      <c r="N2486" s="1390"/>
      <c r="O2486" s="2479"/>
      <c r="P2486" s="2282"/>
      <c r="AG2486" s="2297">
        <v>704.05</v>
      </c>
      <c r="AH2486" s="2297" t="s">
        <v>289</v>
      </c>
      <c r="AI2486" s="1390"/>
      <c r="AJ2486" s="2282"/>
      <c r="AK2486" s="2282"/>
      <c r="AL2486" s="1037"/>
      <c r="AX2486" s="340">
        <v>104.02</v>
      </c>
      <c r="AY2486" s="340" t="s">
        <v>344</v>
      </c>
      <c r="BN2486" s="340">
        <v>641.26</v>
      </c>
      <c r="BO2486" s="340" t="s">
        <v>288</v>
      </c>
      <c r="BP2486" s="1385"/>
      <c r="BV2486" s="236">
        <v>16.07</v>
      </c>
      <c r="BW2486" s="236" t="s">
        <v>331</v>
      </c>
      <c r="CB2486" s="340">
        <v>104.02</v>
      </c>
      <c r="CC2486" s="340" t="s">
        <v>344</v>
      </c>
      <c r="CL2486" s="236">
        <v>140.05000000000001</v>
      </c>
      <c r="CM2486" s="236" t="s">
        <v>344</v>
      </c>
      <c r="CR2486" s="340">
        <v>631.09</v>
      </c>
      <c r="CS2486" s="340" t="s">
        <v>288</v>
      </c>
      <c r="CT2486" s="1384"/>
      <c r="DF2486" s="340">
        <v>149.04</v>
      </c>
      <c r="DG2486" s="340" t="s">
        <v>344</v>
      </c>
      <c r="DV2486" s="340">
        <v>703.25</v>
      </c>
      <c r="DW2486" s="340" t="s">
        <v>289</v>
      </c>
      <c r="DX2486" s="1671"/>
    </row>
    <row r="2487" spans="12:128">
      <c r="L2487" s="2481">
        <v>104</v>
      </c>
      <c r="M2487" s="340" t="s">
        <v>346</v>
      </c>
      <c r="N2487" s="1390"/>
      <c r="O2487" s="2479"/>
      <c r="P2487" s="2282"/>
      <c r="AG2487" s="2297">
        <v>705.01</v>
      </c>
      <c r="AH2487" s="2297" t="s">
        <v>289</v>
      </c>
      <c r="AI2487" s="1390"/>
      <c r="AJ2487" s="2282"/>
      <c r="AK2487" s="2282"/>
      <c r="AL2487" s="1037"/>
      <c r="AX2487" s="340">
        <v>105.01</v>
      </c>
      <c r="AY2487" s="340" t="s">
        <v>344</v>
      </c>
      <c r="BN2487" s="340">
        <v>641.27</v>
      </c>
      <c r="BO2487" s="340" t="s">
        <v>288</v>
      </c>
      <c r="BP2487" s="1385"/>
      <c r="BV2487" s="236">
        <v>16.079999999999998</v>
      </c>
      <c r="BW2487" s="236" t="s">
        <v>331</v>
      </c>
      <c r="CB2487" s="340">
        <v>105.01</v>
      </c>
      <c r="CC2487" s="340" t="s">
        <v>344</v>
      </c>
      <c r="CL2487" s="236">
        <v>140.06</v>
      </c>
      <c r="CM2487" s="236" t="s">
        <v>344</v>
      </c>
      <c r="CR2487" s="340">
        <v>641.02</v>
      </c>
      <c r="CS2487" s="340" t="s">
        <v>288</v>
      </c>
      <c r="CT2487" s="1384"/>
      <c r="DF2487" s="340">
        <v>149.05000000000001</v>
      </c>
      <c r="DG2487" s="340" t="s">
        <v>344</v>
      </c>
      <c r="DV2487" s="340">
        <v>703.26</v>
      </c>
      <c r="DW2487" s="340" t="s">
        <v>289</v>
      </c>
      <c r="DX2487" s="1671"/>
    </row>
    <row r="2488" spans="12:128">
      <c r="L2488" s="2481">
        <v>105.04</v>
      </c>
      <c r="M2488" s="340" t="s">
        <v>346</v>
      </c>
      <c r="N2488" s="1390"/>
      <c r="O2488" s="2479"/>
      <c r="P2488" s="2282"/>
      <c r="AG2488" s="2297">
        <v>705.03</v>
      </c>
      <c r="AH2488" s="2297" t="s">
        <v>289</v>
      </c>
      <c r="AI2488" s="1390"/>
      <c r="AJ2488" s="2282"/>
      <c r="AK2488" s="2282"/>
      <c r="AL2488" s="1037"/>
      <c r="AX2488" s="340">
        <v>105.02</v>
      </c>
      <c r="AY2488" s="340" t="s">
        <v>344</v>
      </c>
      <c r="BN2488" s="340">
        <v>641.28</v>
      </c>
      <c r="BO2488" s="340" t="s">
        <v>288</v>
      </c>
      <c r="BP2488" s="1385"/>
      <c r="BV2488" s="236">
        <v>17.010000000000002</v>
      </c>
      <c r="BW2488" s="236" t="s">
        <v>331</v>
      </c>
      <c r="CB2488" s="340">
        <v>105.02</v>
      </c>
      <c r="CC2488" s="340" t="s">
        <v>344</v>
      </c>
      <c r="CL2488" s="236">
        <v>140.07</v>
      </c>
      <c r="CM2488" s="236" t="s">
        <v>316</v>
      </c>
      <c r="CR2488" s="340">
        <v>641.23</v>
      </c>
      <c r="CS2488" s="340" t="s">
        <v>288</v>
      </c>
      <c r="CT2488" s="1384"/>
      <c r="DF2488" s="340">
        <v>149.06</v>
      </c>
      <c r="DG2488" s="340" t="s">
        <v>344</v>
      </c>
      <c r="DV2488" s="340">
        <v>703.27</v>
      </c>
      <c r="DW2488" s="340" t="s">
        <v>289</v>
      </c>
      <c r="DX2488" s="1671"/>
    </row>
    <row r="2489" spans="12:128">
      <c r="L2489" s="2481">
        <v>105.06</v>
      </c>
      <c r="M2489" s="340" t="s">
        <v>346</v>
      </c>
      <c r="N2489" s="1390"/>
      <c r="O2489" s="2479"/>
      <c r="P2489" s="2282"/>
      <c r="AG2489" s="2297">
        <v>706.02</v>
      </c>
      <c r="AH2489" s="2297" t="s">
        <v>289</v>
      </c>
      <c r="AI2489" s="1390"/>
      <c r="AJ2489" s="2282"/>
      <c r="AK2489" s="2282"/>
      <c r="AL2489" s="1037"/>
      <c r="AX2489" s="340">
        <v>106.01</v>
      </c>
      <c r="AY2489" s="340" t="s">
        <v>344</v>
      </c>
      <c r="BN2489" s="340">
        <v>641.29999999999995</v>
      </c>
      <c r="BO2489" s="340" t="s">
        <v>288</v>
      </c>
      <c r="BP2489" s="1385"/>
      <c r="BV2489" s="236">
        <v>17.02</v>
      </c>
      <c r="BW2489" s="236" t="s">
        <v>331</v>
      </c>
      <c r="CB2489" s="340">
        <v>106.01</v>
      </c>
      <c r="CC2489" s="340" t="s">
        <v>344</v>
      </c>
      <c r="CL2489" s="236">
        <v>140.08000000000001</v>
      </c>
      <c r="CM2489" s="236" t="s">
        <v>316</v>
      </c>
      <c r="CR2489" s="340">
        <v>641.26</v>
      </c>
      <c r="CS2489" s="340" t="s">
        <v>288</v>
      </c>
      <c r="CT2489" s="1384"/>
      <c r="DF2489" s="340">
        <v>151.01</v>
      </c>
      <c r="DG2489" s="340" t="s">
        <v>344</v>
      </c>
      <c r="DV2489" s="340">
        <v>703.28</v>
      </c>
      <c r="DW2489" s="340" t="s">
        <v>289</v>
      </c>
      <c r="DX2489" s="1671"/>
    </row>
    <row r="2490" spans="12:128">
      <c r="L2490" s="2481">
        <v>107.04</v>
      </c>
      <c r="M2490" s="340" t="s">
        <v>346</v>
      </c>
      <c r="N2490" s="1390"/>
      <c r="O2490" s="2479"/>
      <c r="P2490" s="2282"/>
      <c r="AG2490" s="2297">
        <v>711</v>
      </c>
      <c r="AH2490" s="2297" t="s">
        <v>288</v>
      </c>
      <c r="AI2490" s="1390"/>
      <c r="AJ2490" s="2282"/>
      <c r="AK2490" s="2282"/>
      <c r="AL2490" s="1037"/>
      <c r="AX2490" s="340">
        <v>106.03</v>
      </c>
      <c r="AY2490" s="340" t="s">
        <v>344</v>
      </c>
      <c r="BN2490" s="340">
        <v>643.02</v>
      </c>
      <c r="BO2490" s="340" t="s">
        <v>288</v>
      </c>
      <c r="BP2490" s="1385"/>
      <c r="BV2490" s="236">
        <v>17.04</v>
      </c>
      <c r="BW2490" s="236" t="s">
        <v>331</v>
      </c>
      <c r="CB2490" s="340">
        <v>106.03</v>
      </c>
      <c r="CC2490" s="340" t="s">
        <v>344</v>
      </c>
      <c r="CL2490" s="236">
        <v>140.09</v>
      </c>
      <c r="CM2490" s="236" t="s">
        <v>316</v>
      </c>
      <c r="CR2490" s="340">
        <v>641.27</v>
      </c>
      <c r="CS2490" s="340" t="s">
        <v>288</v>
      </c>
      <c r="CT2490" s="1384"/>
      <c r="DF2490" s="340">
        <v>151.02000000000001</v>
      </c>
      <c r="DG2490" s="340" t="s">
        <v>344</v>
      </c>
      <c r="DV2490" s="340">
        <v>703.3</v>
      </c>
      <c r="DW2490" s="340" t="s">
        <v>289</v>
      </c>
      <c r="DX2490" s="1671"/>
    </row>
    <row r="2491" spans="12:128">
      <c r="L2491" s="2481">
        <v>107.07</v>
      </c>
      <c r="M2491" s="340" t="s">
        <v>346</v>
      </c>
      <c r="N2491" s="1390"/>
      <c r="O2491" s="2479"/>
      <c r="P2491" s="2282"/>
      <c r="AG2491" s="2297">
        <v>712.01</v>
      </c>
      <c r="AH2491" s="2297" t="s">
        <v>288</v>
      </c>
      <c r="AI2491" s="1390"/>
      <c r="AJ2491" s="2282"/>
      <c r="AK2491" s="2282"/>
      <c r="AL2491" s="1037"/>
      <c r="AX2491" s="340">
        <v>106.04</v>
      </c>
      <c r="AY2491" s="340" t="s">
        <v>344</v>
      </c>
      <c r="BN2491" s="340">
        <v>644</v>
      </c>
      <c r="BO2491" s="340" t="s">
        <v>288</v>
      </c>
      <c r="BP2491" s="1385"/>
      <c r="BV2491" s="236">
        <v>17.05</v>
      </c>
      <c r="BW2491" s="236" t="s">
        <v>331</v>
      </c>
      <c r="CB2491" s="340">
        <v>106.04</v>
      </c>
      <c r="CC2491" s="340" t="s">
        <v>344</v>
      </c>
      <c r="CL2491" s="236">
        <v>140.1</v>
      </c>
      <c r="CM2491" s="236" t="s">
        <v>316</v>
      </c>
      <c r="CR2491" s="340">
        <v>641.28</v>
      </c>
      <c r="CS2491" s="340" t="s">
        <v>288</v>
      </c>
      <c r="CT2491" s="1384"/>
      <c r="DF2491" s="340">
        <v>152</v>
      </c>
      <c r="DG2491" s="340" t="s">
        <v>344</v>
      </c>
      <c r="DV2491" s="340">
        <v>703.31</v>
      </c>
      <c r="DW2491" s="340" t="s">
        <v>289</v>
      </c>
      <c r="DX2491" s="1671"/>
    </row>
    <row r="2492" spans="12:128">
      <c r="L2492" s="2481">
        <v>107.1</v>
      </c>
      <c r="M2492" s="340" t="s">
        <v>346</v>
      </c>
      <c r="N2492" s="1390"/>
      <c r="O2492" s="2479"/>
      <c r="P2492" s="2282"/>
      <c r="AG2492" s="2297">
        <v>712.05</v>
      </c>
      <c r="AH2492" s="2297" t="s">
        <v>288</v>
      </c>
      <c r="AI2492" s="1390"/>
      <c r="AJ2492" s="2282"/>
      <c r="AK2492" s="2282"/>
      <c r="AL2492" s="1037"/>
      <c r="AX2492" s="340">
        <v>107.01</v>
      </c>
      <c r="AY2492" s="340" t="s">
        <v>344</v>
      </c>
      <c r="BN2492" s="340">
        <v>646.01</v>
      </c>
      <c r="BO2492" s="340" t="s">
        <v>288</v>
      </c>
      <c r="BP2492" s="1385"/>
      <c r="BV2492" s="236">
        <v>18.010000000000002</v>
      </c>
      <c r="BW2492" s="236" t="s">
        <v>331</v>
      </c>
      <c r="CB2492" s="340">
        <v>107.01</v>
      </c>
      <c r="CC2492" s="340" t="s">
        <v>344</v>
      </c>
      <c r="CL2492" s="236">
        <v>140.11000000000001</v>
      </c>
      <c r="CM2492" s="236" t="s">
        <v>316</v>
      </c>
      <c r="CR2492" s="340">
        <v>641.29999999999995</v>
      </c>
      <c r="CS2492" s="340" t="s">
        <v>288</v>
      </c>
      <c r="CT2492" s="1384"/>
      <c r="DF2492" s="340">
        <v>154.04</v>
      </c>
      <c r="DG2492" s="340" t="s">
        <v>344</v>
      </c>
      <c r="DV2492" s="340">
        <v>704.01</v>
      </c>
      <c r="DW2492" s="340" t="s">
        <v>289</v>
      </c>
      <c r="DX2492" s="1671"/>
    </row>
    <row r="2493" spans="12:128">
      <c r="L2493" s="2481">
        <v>107.12</v>
      </c>
      <c r="M2493" s="340" t="s">
        <v>346</v>
      </c>
      <c r="N2493" s="1390"/>
      <c r="O2493" s="2479"/>
      <c r="P2493" s="2282"/>
      <c r="AG2493" s="2297">
        <v>713.35</v>
      </c>
      <c r="AH2493" s="2297" t="s">
        <v>288</v>
      </c>
      <c r="AI2493" s="1390"/>
      <c r="AJ2493" s="2282"/>
      <c r="AK2493" s="2282"/>
      <c r="AL2493" s="1037"/>
      <c r="AX2493" s="340">
        <v>107.02</v>
      </c>
      <c r="AY2493" s="340" t="s">
        <v>344</v>
      </c>
      <c r="BN2493" s="340">
        <v>647.02</v>
      </c>
      <c r="BO2493" s="340" t="s">
        <v>288</v>
      </c>
      <c r="BP2493" s="1385"/>
      <c r="BV2493" s="236">
        <v>18.02</v>
      </c>
      <c r="BW2493" s="236" t="s">
        <v>331</v>
      </c>
      <c r="CB2493" s="340">
        <v>107.02</v>
      </c>
      <c r="CC2493" s="340" t="s">
        <v>344</v>
      </c>
      <c r="CL2493" s="236">
        <v>140.12</v>
      </c>
      <c r="CM2493" s="236" t="s">
        <v>316</v>
      </c>
      <c r="CR2493" s="340">
        <v>644</v>
      </c>
      <c r="CS2493" s="340" t="s">
        <v>288</v>
      </c>
      <c r="CT2493" s="1384"/>
      <c r="DF2493" s="340">
        <v>159</v>
      </c>
      <c r="DG2493" s="340" t="s">
        <v>344</v>
      </c>
      <c r="DV2493" s="340">
        <v>704.02</v>
      </c>
      <c r="DW2493" s="340" t="s">
        <v>289</v>
      </c>
      <c r="DX2493" s="1671"/>
    </row>
    <row r="2494" spans="12:128">
      <c r="L2494" s="2481">
        <v>108.02</v>
      </c>
      <c r="M2494" s="340" t="s">
        <v>346</v>
      </c>
      <c r="N2494" s="1390"/>
      <c r="O2494" s="2479"/>
      <c r="P2494" s="2282"/>
      <c r="AG2494" s="2297">
        <v>713.37</v>
      </c>
      <c r="AH2494" s="2297" t="s">
        <v>288</v>
      </c>
      <c r="AI2494" s="1390"/>
      <c r="AJ2494" s="2282"/>
      <c r="AK2494" s="2282"/>
      <c r="AL2494" s="1037"/>
      <c r="AX2494" s="340">
        <v>108</v>
      </c>
      <c r="AY2494" s="340" t="s">
        <v>344</v>
      </c>
      <c r="BN2494" s="340">
        <v>648</v>
      </c>
      <c r="BO2494" s="340" t="s">
        <v>288</v>
      </c>
      <c r="BP2494" s="1385"/>
      <c r="BV2494" s="236">
        <v>18.03</v>
      </c>
      <c r="BW2494" s="236" t="s">
        <v>331</v>
      </c>
      <c r="CB2494" s="340">
        <v>108</v>
      </c>
      <c r="CC2494" s="340" t="s">
        <v>344</v>
      </c>
      <c r="CL2494" s="236">
        <v>140.13</v>
      </c>
      <c r="CM2494" s="236" t="s">
        <v>316</v>
      </c>
      <c r="CR2494" s="340">
        <v>646.01</v>
      </c>
      <c r="CS2494" s="340" t="s">
        <v>288</v>
      </c>
      <c r="CT2494" s="1384"/>
      <c r="DF2494" s="340">
        <v>9501</v>
      </c>
      <c r="DG2494" s="340" t="s">
        <v>345</v>
      </c>
      <c r="DV2494" s="340">
        <v>704.03</v>
      </c>
      <c r="DW2494" s="340" t="s">
        <v>289</v>
      </c>
      <c r="DX2494" s="1671"/>
    </row>
    <row r="2495" spans="12:128">
      <c r="L2495" s="2481">
        <v>108.12</v>
      </c>
      <c r="M2495" s="340" t="s">
        <v>346</v>
      </c>
      <c r="N2495" s="1390"/>
      <c r="O2495" s="2479"/>
      <c r="P2495" s="2282"/>
      <c r="AG2495" s="2297">
        <v>713.43</v>
      </c>
      <c r="AH2495" s="2297" t="s">
        <v>288</v>
      </c>
      <c r="AI2495" s="1390"/>
      <c r="AJ2495" s="2282"/>
      <c r="AK2495" s="2282"/>
      <c r="AL2495" s="1037"/>
      <c r="AX2495" s="340">
        <v>115.02</v>
      </c>
      <c r="AY2495" s="340" t="s">
        <v>344</v>
      </c>
      <c r="BN2495" s="340">
        <v>649.01</v>
      </c>
      <c r="BO2495" s="340" t="s">
        <v>288</v>
      </c>
      <c r="BP2495" s="1385"/>
      <c r="BV2495" s="236">
        <v>19.010000000000002</v>
      </c>
      <c r="BW2495" s="236" t="s">
        <v>331</v>
      </c>
      <c r="CB2495" s="340">
        <v>115.02</v>
      </c>
      <c r="CC2495" s="340" t="s">
        <v>344</v>
      </c>
      <c r="CL2495" s="236">
        <v>140.13999999999999</v>
      </c>
      <c r="CM2495" s="236" t="s">
        <v>316</v>
      </c>
      <c r="CR2495" s="340">
        <v>649.01</v>
      </c>
      <c r="CS2495" s="340" t="s">
        <v>288</v>
      </c>
      <c r="CT2495" s="1384"/>
      <c r="DF2495" s="340">
        <v>9503</v>
      </c>
      <c r="DG2495" s="340" t="s">
        <v>345</v>
      </c>
      <c r="DV2495" s="340">
        <v>704.04</v>
      </c>
      <c r="DW2495" s="340" t="s">
        <v>289</v>
      </c>
      <c r="DX2495" s="1671"/>
    </row>
    <row r="2496" spans="12:128">
      <c r="L2496" s="2481">
        <v>108.13</v>
      </c>
      <c r="M2496" s="340" t="s">
        <v>346</v>
      </c>
      <c r="N2496" s="1390"/>
      <c r="O2496" s="2479"/>
      <c r="P2496" s="2282"/>
      <c r="AG2496" s="2297">
        <v>713.46</v>
      </c>
      <c r="AH2496" s="2297" t="s">
        <v>288</v>
      </c>
      <c r="AI2496" s="1390"/>
      <c r="AJ2496" s="2282"/>
      <c r="AK2496" s="2282"/>
      <c r="AL2496" s="1037"/>
      <c r="AX2496" s="340">
        <v>116.05</v>
      </c>
      <c r="AY2496" s="340" t="s">
        <v>344</v>
      </c>
      <c r="BN2496" s="340">
        <v>650.01</v>
      </c>
      <c r="BO2496" s="340" t="s">
        <v>288</v>
      </c>
      <c r="BP2496" s="1385"/>
      <c r="BV2496" s="236">
        <v>19.03</v>
      </c>
      <c r="BW2496" s="236" t="s">
        <v>331</v>
      </c>
      <c r="CB2496" s="340">
        <v>116.05</v>
      </c>
      <c r="CC2496" s="340" t="s">
        <v>344</v>
      </c>
      <c r="CL2496" s="236">
        <v>140.16999999999999</v>
      </c>
      <c r="CM2496" s="236" t="s">
        <v>316</v>
      </c>
      <c r="CR2496" s="340">
        <v>650.01</v>
      </c>
      <c r="CS2496" s="340" t="s">
        <v>288</v>
      </c>
      <c r="CT2496" s="1384"/>
      <c r="DF2496" s="340">
        <v>9504</v>
      </c>
      <c r="DG2496" s="340" t="s">
        <v>345</v>
      </c>
      <c r="DV2496" s="340">
        <v>704.05</v>
      </c>
      <c r="DW2496" s="340" t="s">
        <v>289</v>
      </c>
      <c r="DX2496" s="1671"/>
    </row>
    <row r="2497" spans="12:128">
      <c r="L2497" s="2481">
        <v>108.14</v>
      </c>
      <c r="M2497" s="340" t="s">
        <v>346</v>
      </c>
      <c r="N2497" s="1390"/>
      <c r="O2497" s="2479"/>
      <c r="P2497" s="2282"/>
      <c r="AG2497" s="2297">
        <v>713.48</v>
      </c>
      <c r="AH2497" s="2297" t="s">
        <v>288</v>
      </c>
      <c r="AI2497" s="1390"/>
      <c r="AJ2497" s="2282"/>
      <c r="AK2497" s="2282"/>
      <c r="AL2497" s="1037"/>
      <c r="AX2497" s="340">
        <v>116.06</v>
      </c>
      <c r="AY2497" s="340" t="s">
        <v>344</v>
      </c>
      <c r="BN2497" s="340">
        <v>650.22</v>
      </c>
      <c r="BO2497" s="340" t="s">
        <v>288</v>
      </c>
      <c r="BP2497" s="1385"/>
      <c r="BV2497" s="236">
        <v>19.04</v>
      </c>
      <c r="BW2497" s="236" t="s">
        <v>331</v>
      </c>
      <c r="CB2497" s="340">
        <v>117.31</v>
      </c>
      <c r="CC2497" s="340" t="s">
        <v>344</v>
      </c>
      <c r="CL2497" s="236">
        <v>141</v>
      </c>
      <c r="CM2497" s="236" t="s">
        <v>331</v>
      </c>
      <c r="CR2497" s="340">
        <v>650.22</v>
      </c>
      <c r="CS2497" s="340" t="s">
        <v>288</v>
      </c>
      <c r="CT2497" s="1384"/>
      <c r="DF2497" s="340">
        <v>9505</v>
      </c>
      <c r="DG2497" s="340" t="s">
        <v>345</v>
      </c>
      <c r="DV2497" s="340">
        <v>705.01</v>
      </c>
      <c r="DW2497" s="340" t="s">
        <v>289</v>
      </c>
      <c r="DX2497" s="1671"/>
    </row>
    <row r="2498" spans="12:128">
      <c r="L2498" s="2481">
        <v>108.2</v>
      </c>
      <c r="M2498" s="340" t="s">
        <v>346</v>
      </c>
      <c r="N2498" s="1390"/>
      <c r="O2498" s="2479"/>
      <c r="P2498" s="2282"/>
      <c r="AG2498" s="2297">
        <v>713.53</v>
      </c>
      <c r="AH2498" s="2297" t="s">
        <v>288</v>
      </c>
      <c r="AI2498" s="1390"/>
      <c r="AJ2498" s="2282"/>
      <c r="AK2498" s="2282"/>
      <c r="AL2498" s="1037"/>
      <c r="AX2498" s="340">
        <v>117.21</v>
      </c>
      <c r="AY2498" s="340" t="s">
        <v>344</v>
      </c>
      <c r="BN2498" s="340">
        <v>650.23</v>
      </c>
      <c r="BO2498" s="340" t="s">
        <v>288</v>
      </c>
      <c r="BP2498" s="1385"/>
      <c r="BV2498" s="236">
        <v>20.010000000000002</v>
      </c>
      <c r="BW2498" s="236" t="s">
        <v>331</v>
      </c>
      <c r="CB2498" s="340">
        <v>118.21</v>
      </c>
      <c r="CC2498" s="340" t="s">
        <v>344</v>
      </c>
      <c r="CL2498" s="236">
        <v>141</v>
      </c>
      <c r="CM2498" s="236" t="s">
        <v>338</v>
      </c>
      <c r="CR2498" s="340">
        <v>650.23</v>
      </c>
      <c r="CS2498" s="340" t="s">
        <v>288</v>
      </c>
      <c r="CT2498" s="1384"/>
      <c r="DF2498" s="340">
        <v>9506</v>
      </c>
      <c r="DG2498" s="340" t="s">
        <v>345</v>
      </c>
      <c r="DV2498" s="340">
        <v>705.03</v>
      </c>
      <c r="DW2498" s="340" t="s">
        <v>289</v>
      </c>
      <c r="DX2498" s="1671"/>
    </row>
    <row r="2499" spans="12:128">
      <c r="L2499" s="2481">
        <v>108.21</v>
      </c>
      <c r="M2499" s="340" t="s">
        <v>346</v>
      </c>
      <c r="N2499" s="1390"/>
      <c r="O2499" s="2479"/>
      <c r="P2499" s="2282"/>
      <c r="AG2499" s="2297">
        <v>713.54</v>
      </c>
      <c r="AH2499" s="2297" t="s">
        <v>288</v>
      </c>
      <c r="AI2499" s="1390"/>
      <c r="AJ2499" s="2282"/>
      <c r="AK2499" s="2282"/>
      <c r="AL2499" s="1037"/>
      <c r="AX2499" s="340">
        <v>118.21</v>
      </c>
      <c r="AY2499" s="340" t="s">
        <v>344</v>
      </c>
      <c r="BN2499" s="340">
        <v>650.24</v>
      </c>
      <c r="BO2499" s="340" t="s">
        <v>288</v>
      </c>
      <c r="BP2499" s="1385"/>
      <c r="BV2499" s="236">
        <v>20.03</v>
      </c>
      <c r="BW2499" s="236" t="s">
        <v>331</v>
      </c>
      <c r="CB2499" s="340">
        <v>118.22</v>
      </c>
      <c r="CC2499" s="340" t="s">
        <v>344</v>
      </c>
      <c r="CL2499" s="236">
        <v>141.01</v>
      </c>
      <c r="CM2499" s="236" t="s">
        <v>302</v>
      </c>
      <c r="CR2499" s="340">
        <v>650.24</v>
      </c>
      <c r="CS2499" s="340" t="s">
        <v>288</v>
      </c>
      <c r="CT2499" s="1384"/>
      <c r="DF2499" s="340">
        <v>9510</v>
      </c>
      <c r="DG2499" s="340" t="s">
        <v>345</v>
      </c>
      <c r="DV2499" s="340">
        <v>706.02</v>
      </c>
      <c r="DW2499" s="340" t="s">
        <v>289</v>
      </c>
      <c r="DX2499" s="1671"/>
    </row>
    <row r="2500" spans="12:128">
      <c r="L2500" s="2481">
        <v>108.22</v>
      </c>
      <c r="M2500" s="340" t="s">
        <v>346</v>
      </c>
      <c r="N2500" s="1390"/>
      <c r="O2500" s="2479"/>
      <c r="P2500" s="2282"/>
      <c r="AG2500" s="2297">
        <v>714.01</v>
      </c>
      <c r="AH2500" s="2297" t="s">
        <v>288</v>
      </c>
      <c r="AI2500" s="1390"/>
      <c r="AJ2500" s="2282"/>
      <c r="AK2500" s="2282"/>
      <c r="AL2500" s="1037"/>
      <c r="AX2500" s="340">
        <v>118.22</v>
      </c>
      <c r="AY2500" s="340" t="s">
        <v>344</v>
      </c>
      <c r="BN2500" s="340">
        <v>651.29</v>
      </c>
      <c r="BO2500" s="340" t="s">
        <v>288</v>
      </c>
      <c r="BP2500" s="1385"/>
      <c r="BV2500" s="236">
        <v>20.04</v>
      </c>
      <c r="BW2500" s="236" t="s">
        <v>331</v>
      </c>
      <c r="CB2500" s="340">
        <v>118.32</v>
      </c>
      <c r="CC2500" s="340" t="s">
        <v>344</v>
      </c>
      <c r="CL2500" s="236">
        <v>141.03</v>
      </c>
      <c r="CM2500" s="236" t="s">
        <v>302</v>
      </c>
      <c r="CR2500" s="340">
        <v>650.25</v>
      </c>
      <c r="CS2500" s="340" t="s">
        <v>288</v>
      </c>
      <c r="CT2500" s="1384"/>
      <c r="DF2500" s="340">
        <v>9513</v>
      </c>
      <c r="DG2500" s="340" t="s">
        <v>345</v>
      </c>
      <c r="DV2500" s="340">
        <v>711</v>
      </c>
      <c r="DW2500" s="340" t="s">
        <v>288</v>
      </c>
      <c r="DX2500" s="1671"/>
    </row>
    <row r="2501" spans="12:128">
      <c r="L2501" s="2481">
        <v>108.23</v>
      </c>
      <c r="M2501" s="340" t="s">
        <v>346</v>
      </c>
      <c r="N2501" s="1390"/>
      <c r="O2501" s="2479"/>
      <c r="P2501" s="2282"/>
      <c r="AG2501" s="2297">
        <v>715</v>
      </c>
      <c r="AH2501" s="2297" t="s">
        <v>288</v>
      </c>
      <c r="AI2501" s="1390"/>
      <c r="AJ2501" s="2282"/>
      <c r="AK2501" s="2282"/>
      <c r="AL2501" s="1037"/>
      <c r="AX2501" s="340">
        <v>118.32</v>
      </c>
      <c r="AY2501" s="340" t="s">
        <v>344</v>
      </c>
      <c r="BN2501" s="340">
        <v>651.29999999999995</v>
      </c>
      <c r="BO2501" s="340" t="s">
        <v>288</v>
      </c>
      <c r="BP2501" s="1385"/>
      <c r="BV2501" s="236">
        <v>21</v>
      </c>
      <c r="BW2501" s="236" t="s">
        <v>331</v>
      </c>
      <c r="CB2501" s="340">
        <v>118.34</v>
      </c>
      <c r="CC2501" s="340" t="s">
        <v>344</v>
      </c>
      <c r="CL2501" s="236">
        <v>141.04</v>
      </c>
      <c r="CM2501" s="236" t="s">
        <v>302</v>
      </c>
      <c r="CR2501" s="340">
        <v>651.27</v>
      </c>
      <c r="CS2501" s="340" t="s">
        <v>288</v>
      </c>
      <c r="CT2501" s="1384"/>
      <c r="DF2501" s="340">
        <v>202</v>
      </c>
      <c r="DG2501" s="340" t="s">
        <v>349</v>
      </c>
      <c r="DV2501" s="340">
        <v>712.01</v>
      </c>
      <c r="DW2501" s="340" t="s">
        <v>288</v>
      </c>
      <c r="DX2501" s="1671"/>
    </row>
    <row r="2502" spans="12:128">
      <c r="L2502" s="2481">
        <v>108.24</v>
      </c>
      <c r="M2502" s="340" t="s">
        <v>346</v>
      </c>
      <c r="N2502" s="1390"/>
      <c r="O2502" s="2479"/>
      <c r="P2502" s="2282"/>
      <c r="AG2502" s="2297">
        <v>716.01</v>
      </c>
      <c r="AH2502" s="2297" t="s">
        <v>288</v>
      </c>
      <c r="AI2502" s="1390"/>
      <c r="AJ2502" s="2282"/>
      <c r="AK2502" s="2282"/>
      <c r="AL2502" s="1037"/>
      <c r="AX2502" s="340">
        <v>118.34</v>
      </c>
      <c r="AY2502" s="340" t="s">
        <v>344</v>
      </c>
      <c r="BN2502" s="340">
        <v>651.30999999999995</v>
      </c>
      <c r="BO2502" s="340" t="s">
        <v>288</v>
      </c>
      <c r="BP2502" s="1385"/>
      <c r="BV2502" s="236">
        <v>22.01</v>
      </c>
      <c r="BW2502" s="236" t="s">
        <v>331</v>
      </c>
      <c r="CB2502" s="340">
        <v>118.35</v>
      </c>
      <c r="CC2502" s="340" t="s">
        <v>344</v>
      </c>
      <c r="CL2502" s="236">
        <v>141.04</v>
      </c>
      <c r="CM2502" s="236" t="s">
        <v>316</v>
      </c>
      <c r="CR2502" s="340">
        <v>651.29</v>
      </c>
      <c r="CS2502" s="340" t="s">
        <v>288</v>
      </c>
      <c r="CT2502" s="1384"/>
      <c r="DF2502" s="340">
        <v>205</v>
      </c>
      <c r="DG2502" s="340" t="s">
        <v>349</v>
      </c>
      <c r="DV2502" s="340">
        <v>712.05</v>
      </c>
      <c r="DW2502" s="340" t="s">
        <v>288</v>
      </c>
      <c r="DX2502" s="1671"/>
    </row>
    <row r="2503" spans="12:128">
      <c r="L2503" s="2481">
        <v>108.25</v>
      </c>
      <c r="M2503" s="340" t="s">
        <v>346</v>
      </c>
      <c r="N2503" s="1390"/>
      <c r="O2503" s="2479"/>
      <c r="P2503" s="2282"/>
      <c r="AG2503" s="2297">
        <v>717</v>
      </c>
      <c r="AH2503" s="2297" t="s">
        <v>288</v>
      </c>
      <c r="AI2503" s="1390"/>
      <c r="AJ2503" s="2282"/>
      <c r="AK2503" s="2282"/>
      <c r="AL2503" s="1037"/>
      <c r="AX2503" s="340">
        <v>118.35</v>
      </c>
      <c r="AY2503" s="340" t="s">
        <v>344</v>
      </c>
      <c r="BN2503" s="340">
        <v>652.30999999999995</v>
      </c>
      <c r="BO2503" s="340" t="s">
        <v>288</v>
      </c>
      <c r="BP2503" s="1385"/>
      <c r="BV2503" s="236">
        <v>22.02</v>
      </c>
      <c r="BW2503" s="236" t="s">
        <v>331</v>
      </c>
      <c r="CB2503" s="340">
        <v>118.36</v>
      </c>
      <c r="CC2503" s="340" t="s">
        <v>344</v>
      </c>
      <c r="CL2503" s="236">
        <v>141.04</v>
      </c>
      <c r="CM2503" s="236" t="s">
        <v>344</v>
      </c>
      <c r="CR2503" s="340">
        <v>651.30999999999995</v>
      </c>
      <c r="CS2503" s="340" t="s">
        <v>288</v>
      </c>
      <c r="CT2503" s="1384"/>
      <c r="DF2503" s="340">
        <v>206.03</v>
      </c>
      <c r="DG2503" s="340" t="s">
        <v>349</v>
      </c>
      <c r="DV2503" s="340">
        <v>713.37</v>
      </c>
      <c r="DW2503" s="340" t="s">
        <v>288</v>
      </c>
      <c r="DX2503" s="1671"/>
    </row>
    <row r="2504" spans="12:128">
      <c r="L2504" s="2481">
        <v>108.27</v>
      </c>
      <c r="M2504" s="340" t="s">
        <v>346</v>
      </c>
      <c r="N2504" s="1390"/>
      <c r="O2504" s="2479"/>
      <c r="P2504" s="2282"/>
      <c r="AG2504" s="2297">
        <v>801.01</v>
      </c>
      <c r="AH2504" s="2297" t="s">
        <v>355</v>
      </c>
      <c r="AI2504" s="1390"/>
      <c r="AJ2504" s="2282"/>
      <c r="AK2504" s="2282"/>
      <c r="AL2504" s="1037"/>
      <c r="AX2504" s="340">
        <v>118.36</v>
      </c>
      <c r="AY2504" s="340" t="s">
        <v>344</v>
      </c>
      <c r="BN2504" s="340">
        <v>652.36</v>
      </c>
      <c r="BO2504" s="340" t="s">
        <v>288</v>
      </c>
      <c r="BP2504" s="1385"/>
      <c r="BV2504" s="236">
        <v>23</v>
      </c>
      <c r="BW2504" s="236" t="s">
        <v>331</v>
      </c>
      <c r="CB2504" s="340">
        <v>118.37</v>
      </c>
      <c r="CC2504" s="340" t="s">
        <v>344</v>
      </c>
      <c r="CL2504" s="236">
        <v>141.06</v>
      </c>
      <c r="CM2504" s="236" t="s">
        <v>316</v>
      </c>
      <c r="CR2504" s="340">
        <v>652.30999999999995</v>
      </c>
      <c r="CS2504" s="340" t="s">
        <v>288</v>
      </c>
      <c r="CT2504" s="1384"/>
      <c r="DF2504" s="340">
        <v>206.04</v>
      </c>
      <c r="DG2504" s="340" t="s">
        <v>349</v>
      </c>
      <c r="DV2504" s="340">
        <v>713.43</v>
      </c>
      <c r="DW2504" s="340" t="s">
        <v>288</v>
      </c>
      <c r="DX2504" s="1671"/>
    </row>
    <row r="2505" spans="12:128">
      <c r="L2505" s="2481">
        <v>108.28</v>
      </c>
      <c r="M2505" s="340" t="s">
        <v>346</v>
      </c>
      <c r="N2505" s="1390"/>
      <c r="O2505" s="2479"/>
      <c r="P2505" s="2282"/>
      <c r="AG2505" s="2297">
        <v>801.02</v>
      </c>
      <c r="AH2505" s="2297" t="s">
        <v>355</v>
      </c>
      <c r="AI2505" s="1390"/>
      <c r="AJ2505" s="2282"/>
      <c r="AK2505" s="2282"/>
      <c r="AL2505" s="1037"/>
      <c r="AX2505" s="340">
        <v>118.37</v>
      </c>
      <c r="AY2505" s="340" t="s">
        <v>344</v>
      </c>
      <c r="BN2505" s="340">
        <v>661.01</v>
      </c>
      <c r="BO2505" s="340" t="s">
        <v>288</v>
      </c>
      <c r="BP2505" s="1385"/>
      <c r="BV2505" s="236">
        <v>24.02</v>
      </c>
      <c r="BW2505" s="236" t="s">
        <v>331</v>
      </c>
      <c r="CB2505" s="340">
        <v>118.38</v>
      </c>
      <c r="CC2505" s="340" t="s">
        <v>344</v>
      </c>
      <c r="CL2505" s="236">
        <v>141.08000000000001</v>
      </c>
      <c r="CM2505" s="236" t="s">
        <v>316</v>
      </c>
      <c r="CR2505" s="340">
        <v>652.36</v>
      </c>
      <c r="CS2505" s="340" t="s">
        <v>288</v>
      </c>
      <c r="CT2505" s="1384"/>
      <c r="DF2505" s="340">
        <v>206.05</v>
      </c>
      <c r="DG2505" s="340" t="s">
        <v>349</v>
      </c>
      <c r="DV2505" s="340">
        <v>713.46</v>
      </c>
      <c r="DW2505" s="340" t="s">
        <v>288</v>
      </c>
      <c r="DX2505" s="1671"/>
    </row>
    <row r="2506" spans="12:128">
      <c r="L2506" s="2481">
        <v>109</v>
      </c>
      <c r="M2506" s="340" t="s">
        <v>346</v>
      </c>
      <c r="N2506" s="1390"/>
      <c r="O2506" s="2479"/>
      <c r="P2506" s="2282"/>
      <c r="AG2506" s="2297">
        <v>801.04</v>
      </c>
      <c r="AH2506" s="2297" t="s">
        <v>289</v>
      </c>
      <c r="AI2506" s="1390"/>
      <c r="AJ2506" s="2282"/>
      <c r="AK2506" s="2282"/>
      <c r="AL2506" s="1037"/>
      <c r="AX2506" s="340">
        <v>118.38</v>
      </c>
      <c r="AY2506" s="340" t="s">
        <v>344</v>
      </c>
      <c r="BN2506" s="340">
        <v>661.03</v>
      </c>
      <c r="BO2506" s="340" t="s">
        <v>288</v>
      </c>
      <c r="BP2506" s="1385"/>
      <c r="BV2506" s="236">
        <v>24.03</v>
      </c>
      <c r="BW2506" s="236" t="s">
        <v>331</v>
      </c>
      <c r="CB2506" s="340">
        <v>119.01</v>
      </c>
      <c r="CC2506" s="340" t="s">
        <v>344</v>
      </c>
      <c r="CL2506" s="236">
        <v>141.09</v>
      </c>
      <c r="CM2506" s="236" t="s">
        <v>316</v>
      </c>
      <c r="CR2506" s="340">
        <v>652.38</v>
      </c>
      <c r="CS2506" s="340" t="s">
        <v>288</v>
      </c>
      <c r="CT2506" s="1384"/>
      <c r="DF2506" s="340">
        <v>206.06</v>
      </c>
      <c r="DG2506" s="340" t="s">
        <v>349</v>
      </c>
      <c r="DV2506" s="340">
        <v>713.5</v>
      </c>
      <c r="DW2506" s="340" t="s">
        <v>288</v>
      </c>
      <c r="DX2506" s="1671"/>
    </row>
    <row r="2507" spans="12:128">
      <c r="L2507" s="2481">
        <v>1.03</v>
      </c>
      <c r="M2507" s="340" t="s">
        <v>347</v>
      </c>
      <c r="N2507" s="1390"/>
      <c r="O2507" s="2479"/>
      <c r="P2507" s="2282"/>
      <c r="AG2507" s="2297">
        <v>802</v>
      </c>
      <c r="AH2507" s="2297" t="s">
        <v>289</v>
      </c>
      <c r="AI2507" s="1390"/>
      <c r="AJ2507" s="2282"/>
      <c r="AK2507" s="2282"/>
      <c r="AL2507" s="1037"/>
      <c r="AX2507" s="340">
        <v>119.01</v>
      </c>
      <c r="AY2507" s="340" t="s">
        <v>344</v>
      </c>
      <c r="BN2507" s="340">
        <v>661.04</v>
      </c>
      <c r="BO2507" s="340" t="s">
        <v>288</v>
      </c>
      <c r="BP2507" s="1385"/>
      <c r="BV2507" s="236">
        <v>24.04</v>
      </c>
      <c r="BW2507" s="236" t="s">
        <v>331</v>
      </c>
      <c r="CB2507" s="340">
        <v>119.02</v>
      </c>
      <c r="CC2507" s="340" t="s">
        <v>344</v>
      </c>
      <c r="CL2507" s="236">
        <v>141.16999999999999</v>
      </c>
      <c r="CM2507" s="236" t="s">
        <v>316</v>
      </c>
      <c r="CR2507" s="340">
        <v>661.01</v>
      </c>
      <c r="CS2507" s="340" t="s">
        <v>288</v>
      </c>
      <c r="CT2507" s="1384"/>
      <c r="DF2507" s="340">
        <v>207.04</v>
      </c>
      <c r="DG2507" s="340" t="s">
        <v>349</v>
      </c>
      <c r="DV2507" s="340">
        <v>713.52</v>
      </c>
      <c r="DW2507" s="340" t="s">
        <v>288</v>
      </c>
      <c r="DX2507" s="1671"/>
    </row>
    <row r="2508" spans="12:128">
      <c r="L2508" s="2481">
        <v>1.04</v>
      </c>
      <c r="M2508" s="340" t="s">
        <v>347</v>
      </c>
      <c r="N2508" s="1390"/>
      <c r="O2508" s="2479"/>
      <c r="P2508" s="2282"/>
      <c r="AG2508" s="2297">
        <v>802.01</v>
      </c>
      <c r="AH2508" s="2297" t="s">
        <v>355</v>
      </c>
      <c r="AI2508" s="1390"/>
      <c r="AJ2508" s="2282"/>
      <c r="AK2508" s="2282"/>
      <c r="AL2508" s="1037"/>
      <c r="AX2508" s="340">
        <v>119.02</v>
      </c>
      <c r="AY2508" s="340" t="s">
        <v>344</v>
      </c>
      <c r="BN2508" s="340">
        <v>662</v>
      </c>
      <c r="BO2508" s="340" t="s">
        <v>288</v>
      </c>
      <c r="BP2508" s="1385"/>
      <c r="BV2508" s="236">
        <v>25.01</v>
      </c>
      <c r="BW2508" s="236" t="s">
        <v>331</v>
      </c>
      <c r="CB2508" s="340">
        <v>119.08</v>
      </c>
      <c r="CC2508" s="340" t="s">
        <v>344</v>
      </c>
      <c r="CL2508" s="236">
        <v>141.18</v>
      </c>
      <c r="CM2508" s="236" t="s">
        <v>316</v>
      </c>
      <c r="CR2508" s="340">
        <v>661.03</v>
      </c>
      <c r="CS2508" s="340" t="s">
        <v>288</v>
      </c>
      <c r="CT2508" s="1384"/>
      <c r="DF2508" s="340">
        <v>207.05</v>
      </c>
      <c r="DG2508" s="340" t="s">
        <v>349</v>
      </c>
      <c r="DV2508" s="340">
        <v>713.53</v>
      </c>
      <c r="DW2508" s="340" t="s">
        <v>288</v>
      </c>
      <c r="DX2508" s="1671"/>
    </row>
    <row r="2509" spans="12:128">
      <c r="L2509" s="2481">
        <v>4.04</v>
      </c>
      <c r="M2509" s="340" t="s">
        <v>347</v>
      </c>
      <c r="N2509" s="1390"/>
      <c r="O2509" s="2479"/>
      <c r="P2509" s="2282"/>
      <c r="AG2509" s="2297">
        <v>802.02</v>
      </c>
      <c r="AH2509" s="2297" t="s">
        <v>323</v>
      </c>
      <c r="AI2509" s="1390"/>
      <c r="AJ2509" s="2282"/>
      <c r="AK2509" s="2282"/>
      <c r="AL2509" s="1037"/>
      <c r="AX2509" s="340">
        <v>119.08</v>
      </c>
      <c r="AY2509" s="340" t="s">
        <v>344</v>
      </c>
      <c r="BN2509" s="340">
        <v>663.01</v>
      </c>
      <c r="BO2509" s="340" t="s">
        <v>288</v>
      </c>
      <c r="BP2509" s="1385"/>
      <c r="BV2509" s="236">
        <v>25.02</v>
      </c>
      <c r="BW2509" s="236" t="s">
        <v>331</v>
      </c>
      <c r="CB2509" s="340">
        <v>119.09</v>
      </c>
      <c r="CC2509" s="340" t="s">
        <v>344</v>
      </c>
      <c r="CL2509" s="236">
        <v>141.19</v>
      </c>
      <c r="CM2509" s="236" t="s">
        <v>316</v>
      </c>
      <c r="CR2509" s="340">
        <v>661.04</v>
      </c>
      <c r="CS2509" s="340" t="s">
        <v>288</v>
      </c>
      <c r="CT2509" s="1384"/>
      <c r="DF2509" s="340">
        <v>207.06</v>
      </c>
      <c r="DG2509" s="340" t="s">
        <v>349</v>
      </c>
      <c r="DV2509" s="340">
        <v>713.54</v>
      </c>
      <c r="DW2509" s="340" t="s">
        <v>288</v>
      </c>
      <c r="DX2509" s="1671"/>
    </row>
    <row r="2510" spans="12:128">
      <c r="L2510" s="2481">
        <v>5.01</v>
      </c>
      <c r="M2510" s="340" t="s">
        <v>347</v>
      </c>
      <c r="N2510" s="1390"/>
      <c r="O2510" s="2479"/>
      <c r="P2510" s="2282"/>
      <c r="AG2510" s="2297">
        <v>802.02</v>
      </c>
      <c r="AH2510" s="2297" t="s">
        <v>355</v>
      </c>
      <c r="AI2510" s="1390"/>
      <c r="AJ2510" s="2282"/>
      <c r="AK2510" s="2282"/>
      <c r="AL2510" s="1037"/>
      <c r="AX2510" s="340">
        <v>119.09</v>
      </c>
      <c r="AY2510" s="340" t="s">
        <v>344</v>
      </c>
      <c r="BN2510" s="340">
        <v>663.02</v>
      </c>
      <c r="BO2510" s="340" t="s">
        <v>288</v>
      </c>
      <c r="BP2510" s="1385"/>
      <c r="BV2510" s="236">
        <v>26</v>
      </c>
      <c r="BW2510" s="236" t="s">
        <v>331</v>
      </c>
      <c r="CB2510" s="340">
        <v>119.11</v>
      </c>
      <c r="CC2510" s="340" t="s">
        <v>344</v>
      </c>
      <c r="CL2510" s="236">
        <v>141.21</v>
      </c>
      <c r="CM2510" s="236" t="s">
        <v>316</v>
      </c>
      <c r="CR2510" s="340">
        <v>662</v>
      </c>
      <c r="CS2510" s="340" t="s">
        <v>288</v>
      </c>
      <c r="CT2510" s="1384"/>
      <c r="DF2510" s="340">
        <v>207.07</v>
      </c>
      <c r="DG2510" s="340" t="s">
        <v>349</v>
      </c>
      <c r="DV2510" s="340">
        <v>714.01</v>
      </c>
      <c r="DW2510" s="340" t="s">
        <v>288</v>
      </c>
      <c r="DX2510" s="1671"/>
    </row>
    <row r="2511" spans="12:128">
      <c r="L2511" s="2481">
        <v>6.01</v>
      </c>
      <c r="M2511" s="340" t="s">
        <v>347</v>
      </c>
      <c r="N2511" s="1390"/>
      <c r="O2511" s="2479"/>
      <c r="P2511" s="2282"/>
      <c r="AG2511" s="2297">
        <v>802.03</v>
      </c>
      <c r="AH2511" s="2297" t="s">
        <v>323</v>
      </c>
      <c r="AI2511" s="1390"/>
      <c r="AJ2511" s="2282"/>
      <c r="AK2511" s="2282"/>
      <c r="AL2511" s="1037"/>
      <c r="AX2511" s="340">
        <v>119.1</v>
      </c>
      <c r="AY2511" s="340" t="s">
        <v>344</v>
      </c>
      <c r="BN2511" s="340">
        <v>664</v>
      </c>
      <c r="BO2511" s="340" t="s">
        <v>288</v>
      </c>
      <c r="BP2511" s="1385"/>
      <c r="BV2511" s="236">
        <v>27.02</v>
      </c>
      <c r="BW2511" s="236" t="s">
        <v>331</v>
      </c>
      <c r="CB2511" s="340">
        <v>119.12</v>
      </c>
      <c r="CC2511" s="340" t="s">
        <v>344</v>
      </c>
      <c r="CL2511" s="236">
        <v>141.21</v>
      </c>
      <c r="CM2511" s="236" t="s">
        <v>344</v>
      </c>
      <c r="CR2511" s="340">
        <v>663.01</v>
      </c>
      <c r="CS2511" s="340" t="s">
        <v>288</v>
      </c>
      <c r="CT2511" s="1384"/>
      <c r="DF2511" s="340">
        <v>207.08</v>
      </c>
      <c r="DG2511" s="340" t="s">
        <v>349</v>
      </c>
      <c r="DV2511" s="340">
        <v>715</v>
      </c>
      <c r="DW2511" s="340" t="s">
        <v>288</v>
      </c>
      <c r="DX2511" s="1671"/>
    </row>
    <row r="2512" spans="12:128">
      <c r="L2512" s="2481">
        <v>6.02</v>
      </c>
      <c r="M2512" s="340" t="s">
        <v>347</v>
      </c>
      <c r="N2512" s="1390"/>
      <c r="O2512" s="2479"/>
      <c r="P2512" s="2282"/>
      <c r="AG2512" s="2297">
        <v>803</v>
      </c>
      <c r="AH2512" s="2297" t="s">
        <v>355</v>
      </c>
      <c r="AI2512" s="1390"/>
      <c r="AJ2512" s="2282"/>
      <c r="AK2512" s="2282"/>
      <c r="AL2512" s="1037"/>
      <c r="AX2512" s="340">
        <v>119.11</v>
      </c>
      <c r="AY2512" s="340" t="s">
        <v>344</v>
      </c>
      <c r="BN2512" s="340">
        <v>665</v>
      </c>
      <c r="BO2512" s="340" t="s">
        <v>288</v>
      </c>
      <c r="BP2512" s="1385"/>
      <c r="BV2512" s="236">
        <v>27.05</v>
      </c>
      <c r="BW2512" s="236" t="s">
        <v>331</v>
      </c>
      <c r="CB2512" s="340">
        <v>120.01</v>
      </c>
      <c r="CC2512" s="340" t="s">
        <v>344</v>
      </c>
      <c r="CL2512" s="236">
        <v>141.22</v>
      </c>
      <c r="CM2512" s="236" t="s">
        <v>316</v>
      </c>
      <c r="CR2512" s="340">
        <v>663.02</v>
      </c>
      <c r="CS2512" s="340" t="s">
        <v>288</v>
      </c>
      <c r="CT2512" s="1384"/>
      <c r="DF2512" s="340">
        <v>207.1</v>
      </c>
      <c r="DG2512" s="340" t="s">
        <v>349</v>
      </c>
      <c r="DV2512" s="340">
        <v>716.01</v>
      </c>
      <c r="DW2512" s="340" t="s">
        <v>288</v>
      </c>
      <c r="DX2512" s="1671"/>
    </row>
    <row r="2513" spans="12:128">
      <c r="L2513" s="2481">
        <v>7</v>
      </c>
      <c r="M2513" s="340" t="s">
        <v>347</v>
      </c>
      <c r="N2513" s="1390"/>
      <c r="O2513" s="2479"/>
      <c r="P2513" s="2282"/>
      <c r="AG2513" s="2297">
        <v>804</v>
      </c>
      <c r="AH2513" s="2297" t="s">
        <v>355</v>
      </c>
      <c r="AI2513" s="1390"/>
      <c r="AJ2513" s="2282"/>
      <c r="AK2513" s="2282"/>
      <c r="AL2513" s="1037"/>
      <c r="AX2513" s="340">
        <v>119.12</v>
      </c>
      <c r="AY2513" s="340" t="s">
        <v>344</v>
      </c>
      <c r="BN2513" s="340">
        <v>666</v>
      </c>
      <c r="BO2513" s="340" t="s">
        <v>288</v>
      </c>
      <c r="BP2513" s="1385"/>
      <c r="BV2513" s="236">
        <v>27.07</v>
      </c>
      <c r="BW2513" s="236" t="s">
        <v>331</v>
      </c>
      <c r="CB2513" s="340">
        <v>120.02</v>
      </c>
      <c r="CC2513" s="340" t="s">
        <v>344</v>
      </c>
      <c r="CL2513" s="236">
        <v>141.22999999999999</v>
      </c>
      <c r="CM2513" s="236" t="s">
        <v>344</v>
      </c>
      <c r="CR2513" s="340">
        <v>664</v>
      </c>
      <c r="CS2513" s="340" t="s">
        <v>288</v>
      </c>
      <c r="CT2513" s="1384"/>
      <c r="DF2513" s="340">
        <v>207.12</v>
      </c>
      <c r="DG2513" s="340" t="s">
        <v>349</v>
      </c>
      <c r="DV2513" s="340">
        <v>716.02</v>
      </c>
      <c r="DW2513" s="340" t="s">
        <v>288</v>
      </c>
      <c r="DX2513" s="1671"/>
    </row>
    <row r="2514" spans="12:128">
      <c r="L2514" s="2481">
        <v>8.01</v>
      </c>
      <c r="M2514" s="340" t="s">
        <v>347</v>
      </c>
      <c r="N2514" s="1390"/>
      <c r="O2514" s="2479"/>
      <c r="P2514" s="2282"/>
      <c r="AG2514" s="2297">
        <v>805</v>
      </c>
      <c r="AH2514" s="2297" t="s">
        <v>355</v>
      </c>
      <c r="AI2514" s="1390"/>
      <c r="AJ2514" s="2282"/>
      <c r="AK2514" s="2282"/>
      <c r="AL2514" s="1037"/>
      <c r="AX2514" s="340">
        <v>119.13</v>
      </c>
      <c r="AY2514" s="340" t="s">
        <v>344</v>
      </c>
      <c r="BN2514" s="340">
        <v>667</v>
      </c>
      <c r="BO2514" s="340" t="s">
        <v>288</v>
      </c>
      <c r="BP2514" s="1385"/>
      <c r="BV2514" s="236">
        <v>27.08</v>
      </c>
      <c r="BW2514" s="236" t="s">
        <v>331</v>
      </c>
      <c r="CB2514" s="340">
        <v>120.03</v>
      </c>
      <c r="CC2514" s="340" t="s">
        <v>344</v>
      </c>
      <c r="CL2514" s="236">
        <v>141.24</v>
      </c>
      <c r="CM2514" s="236" t="s">
        <v>344</v>
      </c>
      <c r="CR2514" s="340">
        <v>665</v>
      </c>
      <c r="CS2514" s="340" t="s">
        <v>288</v>
      </c>
      <c r="CT2514" s="1384"/>
      <c r="DF2514" s="340">
        <v>207.13</v>
      </c>
      <c r="DG2514" s="340" t="s">
        <v>349</v>
      </c>
      <c r="DV2514" s="340">
        <v>801.01</v>
      </c>
      <c r="DW2514" s="340" t="s">
        <v>355</v>
      </c>
      <c r="DX2514" s="1671"/>
    </row>
    <row r="2515" spans="12:128">
      <c r="L2515" s="2481">
        <v>8.02</v>
      </c>
      <c r="M2515" s="340" t="s">
        <v>347</v>
      </c>
      <c r="N2515" s="1390"/>
      <c r="O2515" s="2479"/>
      <c r="P2515" s="2282"/>
      <c r="AG2515" s="2297">
        <v>807</v>
      </c>
      <c r="AH2515" s="2297" t="s">
        <v>355</v>
      </c>
      <c r="AI2515" s="1390"/>
      <c r="AJ2515" s="2282"/>
      <c r="AK2515" s="2282"/>
      <c r="AL2515" s="1037"/>
      <c r="AX2515" s="340">
        <v>120.01</v>
      </c>
      <c r="AY2515" s="340" t="s">
        <v>344</v>
      </c>
      <c r="BN2515" s="340">
        <v>668</v>
      </c>
      <c r="BO2515" s="340" t="s">
        <v>288</v>
      </c>
      <c r="BP2515" s="1385"/>
      <c r="BV2515" s="236">
        <v>27.09</v>
      </c>
      <c r="BW2515" s="236" t="s">
        <v>331</v>
      </c>
      <c r="CB2515" s="340">
        <v>120.04</v>
      </c>
      <c r="CC2515" s="340" t="s">
        <v>344</v>
      </c>
      <c r="CL2515" s="236">
        <v>141.26</v>
      </c>
      <c r="CM2515" s="236" t="s">
        <v>344</v>
      </c>
      <c r="CR2515" s="340">
        <v>666</v>
      </c>
      <c r="CS2515" s="340" t="s">
        <v>288</v>
      </c>
      <c r="CT2515" s="1384"/>
      <c r="DF2515" s="340">
        <v>208.01</v>
      </c>
      <c r="DG2515" s="340" t="s">
        <v>349</v>
      </c>
      <c r="DV2515" s="340">
        <v>801.02</v>
      </c>
      <c r="DW2515" s="340" t="s">
        <v>355</v>
      </c>
      <c r="DX2515" s="1671"/>
    </row>
    <row r="2516" spans="12:128">
      <c r="L2516" s="2481">
        <v>9</v>
      </c>
      <c r="M2516" s="340" t="s">
        <v>347</v>
      </c>
      <c r="N2516" s="1390"/>
      <c r="O2516" s="2479"/>
      <c r="P2516" s="2282"/>
      <c r="AG2516" s="2297">
        <v>808.06</v>
      </c>
      <c r="AH2516" s="2297" t="s">
        <v>355</v>
      </c>
      <c r="AI2516" s="1390"/>
      <c r="AJ2516" s="2282"/>
      <c r="AK2516" s="2282"/>
      <c r="AL2516" s="1037"/>
      <c r="AX2516" s="340">
        <v>120.03</v>
      </c>
      <c r="AY2516" s="340" t="s">
        <v>344</v>
      </c>
      <c r="BN2516" s="340">
        <v>669</v>
      </c>
      <c r="BO2516" s="340" t="s">
        <v>288</v>
      </c>
      <c r="BP2516" s="1385"/>
      <c r="BV2516" s="236">
        <v>27.1</v>
      </c>
      <c r="BW2516" s="236" t="s">
        <v>331</v>
      </c>
      <c r="CB2516" s="340">
        <v>121.13</v>
      </c>
      <c r="CC2516" s="340" t="s">
        <v>344</v>
      </c>
      <c r="CL2516" s="236">
        <v>141.27000000000001</v>
      </c>
      <c r="CM2516" s="236" t="s">
        <v>344</v>
      </c>
      <c r="CR2516" s="340">
        <v>667</v>
      </c>
      <c r="CS2516" s="340" t="s">
        <v>288</v>
      </c>
      <c r="CT2516" s="1384"/>
      <c r="DF2516" s="340">
        <v>208.02</v>
      </c>
      <c r="DG2516" s="340" t="s">
        <v>349</v>
      </c>
      <c r="DV2516" s="340">
        <v>801.03</v>
      </c>
      <c r="DW2516" s="340" t="s">
        <v>289</v>
      </c>
      <c r="DX2516" s="1671"/>
    </row>
    <row r="2517" spans="12:128">
      <c r="L2517" s="2481">
        <v>12.02</v>
      </c>
      <c r="M2517" s="340" t="s">
        <v>347</v>
      </c>
      <c r="N2517" s="1390"/>
      <c r="O2517" s="2479"/>
      <c r="P2517" s="2282"/>
      <c r="AG2517" s="2297">
        <v>808.08</v>
      </c>
      <c r="AH2517" s="2297" t="s">
        <v>355</v>
      </c>
      <c r="AI2517" s="1390"/>
      <c r="AJ2517" s="2282"/>
      <c r="AK2517" s="2282"/>
      <c r="AL2517" s="1037"/>
      <c r="AX2517" s="340">
        <v>120.04</v>
      </c>
      <c r="AY2517" s="340" t="s">
        <v>344</v>
      </c>
      <c r="BN2517" s="340">
        <v>671</v>
      </c>
      <c r="BO2517" s="340" t="s">
        <v>288</v>
      </c>
      <c r="BP2517" s="1385"/>
      <c r="BV2517" s="236">
        <v>28</v>
      </c>
      <c r="BW2517" s="236" t="s">
        <v>331</v>
      </c>
      <c r="CB2517" s="340">
        <v>121.25</v>
      </c>
      <c r="CC2517" s="340" t="s">
        <v>344</v>
      </c>
      <c r="CL2517" s="236">
        <v>141.28</v>
      </c>
      <c r="CM2517" s="236" t="s">
        <v>344</v>
      </c>
      <c r="CR2517" s="340">
        <v>668</v>
      </c>
      <c r="CS2517" s="340" t="s">
        <v>288</v>
      </c>
      <c r="CT2517" s="1384"/>
      <c r="DF2517" s="340">
        <v>208.03</v>
      </c>
      <c r="DG2517" s="340" t="s">
        <v>349</v>
      </c>
      <c r="DV2517" s="340">
        <v>801.04</v>
      </c>
      <c r="DW2517" s="340" t="s">
        <v>289</v>
      </c>
      <c r="DX2517" s="1671"/>
    </row>
    <row r="2518" spans="12:128">
      <c r="L2518" s="2481">
        <v>12.03</v>
      </c>
      <c r="M2518" s="340" t="s">
        <v>347</v>
      </c>
      <c r="N2518" s="1390"/>
      <c r="O2518" s="2479"/>
      <c r="P2518" s="2282"/>
      <c r="AG2518" s="2297">
        <v>811.01</v>
      </c>
      <c r="AH2518" s="2297" t="s">
        <v>355</v>
      </c>
      <c r="AI2518" s="1390"/>
      <c r="AJ2518" s="2282"/>
      <c r="AK2518" s="2282"/>
      <c r="AL2518" s="1037"/>
      <c r="AX2518" s="340">
        <v>121.13</v>
      </c>
      <c r="AY2518" s="340" t="s">
        <v>344</v>
      </c>
      <c r="BN2518" s="340">
        <v>681.01</v>
      </c>
      <c r="BO2518" s="340" t="s">
        <v>288</v>
      </c>
      <c r="BP2518" s="1385"/>
      <c r="BV2518" s="236">
        <v>29</v>
      </c>
      <c r="BW2518" s="236" t="s">
        <v>331</v>
      </c>
      <c r="CB2518" s="340">
        <v>121.26</v>
      </c>
      <c r="CC2518" s="340" t="s">
        <v>344</v>
      </c>
      <c r="CL2518" s="236">
        <v>141.29</v>
      </c>
      <c r="CM2518" s="236" t="s">
        <v>344</v>
      </c>
      <c r="CR2518" s="340">
        <v>669</v>
      </c>
      <c r="CS2518" s="340" t="s">
        <v>288</v>
      </c>
      <c r="CT2518" s="1384"/>
      <c r="DF2518" s="340">
        <v>208.04</v>
      </c>
      <c r="DG2518" s="340" t="s">
        <v>349</v>
      </c>
      <c r="DV2518" s="340">
        <v>802</v>
      </c>
      <c r="DW2518" s="340" t="s">
        <v>289</v>
      </c>
      <c r="DX2518" s="1671"/>
    </row>
    <row r="2519" spans="12:128">
      <c r="L2519" s="2481">
        <v>12.04</v>
      </c>
      <c r="M2519" s="340" t="s">
        <v>347</v>
      </c>
      <c r="N2519" s="1390"/>
      <c r="O2519" s="2479"/>
      <c r="P2519" s="2282"/>
      <c r="AG2519" s="2297">
        <v>813</v>
      </c>
      <c r="AH2519" s="2297" t="s">
        <v>355</v>
      </c>
      <c r="AI2519" s="1390"/>
      <c r="AJ2519" s="2282"/>
      <c r="AK2519" s="2282"/>
      <c r="AL2519" s="1037"/>
      <c r="AX2519" s="340">
        <v>121.26</v>
      </c>
      <c r="AY2519" s="340" t="s">
        <v>344</v>
      </c>
      <c r="BN2519" s="340">
        <v>681.02</v>
      </c>
      <c r="BO2519" s="340" t="s">
        <v>288</v>
      </c>
      <c r="BP2519" s="1385"/>
      <c r="BV2519" s="236">
        <v>30.01</v>
      </c>
      <c r="BW2519" s="236" t="s">
        <v>331</v>
      </c>
      <c r="CB2519" s="340">
        <v>121.27</v>
      </c>
      <c r="CC2519" s="340" t="s">
        <v>344</v>
      </c>
      <c r="CL2519" s="236">
        <v>141.30000000000001</v>
      </c>
      <c r="CM2519" s="236" t="s">
        <v>344</v>
      </c>
      <c r="CR2519" s="340">
        <v>671</v>
      </c>
      <c r="CS2519" s="340" t="s">
        <v>288</v>
      </c>
      <c r="CT2519" s="1384"/>
      <c r="DF2519" s="340">
        <v>208.07</v>
      </c>
      <c r="DG2519" s="340" t="s">
        <v>349</v>
      </c>
      <c r="DV2519" s="340">
        <v>802.01</v>
      </c>
      <c r="DW2519" s="340" t="s">
        <v>355</v>
      </c>
      <c r="DX2519" s="1671"/>
    </row>
    <row r="2520" spans="12:128">
      <c r="L2520" s="2481">
        <v>13.01</v>
      </c>
      <c r="M2520" s="340" t="s">
        <v>347</v>
      </c>
      <c r="N2520" s="1390"/>
      <c r="O2520" s="2479"/>
      <c r="P2520" s="2282"/>
      <c r="AG2520" s="2297">
        <v>824.06</v>
      </c>
      <c r="AH2520" s="2297" t="s">
        <v>355</v>
      </c>
      <c r="AI2520" s="1390"/>
      <c r="AJ2520" s="2282"/>
      <c r="AK2520" s="2282"/>
      <c r="AL2520" s="1037"/>
      <c r="AX2520" s="340">
        <v>121.27</v>
      </c>
      <c r="AY2520" s="340" t="s">
        <v>344</v>
      </c>
      <c r="BN2520" s="340">
        <v>684</v>
      </c>
      <c r="BO2520" s="340" t="s">
        <v>288</v>
      </c>
      <c r="BP2520" s="1385"/>
      <c r="BV2520" s="236">
        <v>30.04</v>
      </c>
      <c r="BW2520" s="236" t="s">
        <v>331</v>
      </c>
      <c r="CB2520" s="340">
        <v>121.3</v>
      </c>
      <c r="CC2520" s="340" t="s">
        <v>344</v>
      </c>
      <c r="CL2520" s="236">
        <v>141.31</v>
      </c>
      <c r="CM2520" s="236" t="s">
        <v>344</v>
      </c>
      <c r="CR2520" s="340">
        <v>681.01</v>
      </c>
      <c r="CS2520" s="340" t="s">
        <v>288</v>
      </c>
      <c r="CT2520" s="1384"/>
      <c r="DF2520" s="340">
        <v>208.08</v>
      </c>
      <c r="DG2520" s="340" t="s">
        <v>349</v>
      </c>
      <c r="DV2520" s="340">
        <v>802.02</v>
      </c>
      <c r="DW2520" s="340" t="s">
        <v>323</v>
      </c>
      <c r="DX2520" s="1671"/>
    </row>
    <row r="2521" spans="12:128">
      <c r="L2521" s="2481">
        <v>13.03</v>
      </c>
      <c r="M2521" s="340" t="s">
        <v>347</v>
      </c>
      <c r="N2521" s="1390"/>
      <c r="O2521" s="2479"/>
      <c r="P2521" s="2282"/>
      <c r="AG2521" s="2297">
        <v>824.1</v>
      </c>
      <c r="AH2521" s="2297" t="s">
        <v>355</v>
      </c>
      <c r="AI2521" s="1390"/>
      <c r="AJ2521" s="2282"/>
      <c r="AK2521" s="2282"/>
      <c r="AL2521" s="1037"/>
      <c r="AX2521" s="340">
        <v>121.3</v>
      </c>
      <c r="AY2521" s="340" t="s">
        <v>344</v>
      </c>
      <c r="BN2521" s="340">
        <v>685.01</v>
      </c>
      <c r="BO2521" s="340" t="s">
        <v>288</v>
      </c>
      <c r="BP2521" s="1385"/>
      <c r="BV2521" s="236">
        <v>30.05</v>
      </c>
      <c r="BW2521" s="236" t="s">
        <v>331</v>
      </c>
      <c r="CB2521" s="340">
        <v>121.32</v>
      </c>
      <c r="CC2521" s="340" t="s">
        <v>344</v>
      </c>
      <c r="CL2521" s="236">
        <v>142</v>
      </c>
      <c r="CM2521" s="236" t="s">
        <v>316</v>
      </c>
      <c r="CR2521" s="340">
        <v>681.02</v>
      </c>
      <c r="CS2521" s="340" t="s">
        <v>288</v>
      </c>
      <c r="CT2521" s="1384"/>
      <c r="DF2521" s="340">
        <v>208.09</v>
      </c>
      <c r="DG2521" s="340" t="s">
        <v>349</v>
      </c>
      <c r="DV2521" s="340">
        <v>802.02</v>
      </c>
      <c r="DW2521" s="340" t="s">
        <v>355</v>
      </c>
      <c r="DX2521" s="1671"/>
    </row>
    <row r="2522" spans="12:128">
      <c r="L2522" s="2481">
        <v>13.04</v>
      </c>
      <c r="M2522" s="340" t="s">
        <v>347</v>
      </c>
      <c r="N2522" s="1390"/>
      <c r="O2522" s="2479"/>
      <c r="P2522" s="2282"/>
      <c r="AG2522" s="2297">
        <v>824.11</v>
      </c>
      <c r="AH2522" s="2297" t="s">
        <v>355</v>
      </c>
      <c r="AI2522" s="1390"/>
      <c r="AJ2522" s="2282"/>
      <c r="AK2522" s="2282"/>
      <c r="AL2522" s="1037"/>
      <c r="AX2522" s="340">
        <v>121.31</v>
      </c>
      <c r="AY2522" s="340" t="s">
        <v>344</v>
      </c>
      <c r="BN2522" s="340">
        <v>685.02</v>
      </c>
      <c r="BO2522" s="340" t="s">
        <v>288</v>
      </c>
      <c r="BP2522" s="1385"/>
      <c r="BV2522" s="236">
        <v>30.06</v>
      </c>
      <c r="BW2522" s="236" t="s">
        <v>331</v>
      </c>
      <c r="CB2522" s="340">
        <v>121.33</v>
      </c>
      <c r="CC2522" s="340" t="s">
        <v>344</v>
      </c>
      <c r="CL2522" s="236">
        <v>142</v>
      </c>
      <c r="CM2522" s="236" t="s">
        <v>331</v>
      </c>
      <c r="CR2522" s="340">
        <v>684</v>
      </c>
      <c r="CS2522" s="340" t="s">
        <v>288</v>
      </c>
      <c r="CT2522" s="1384"/>
      <c r="DF2522" s="340">
        <v>208.1</v>
      </c>
      <c r="DG2522" s="340" t="s">
        <v>349</v>
      </c>
      <c r="DV2522" s="340">
        <v>802.03</v>
      </c>
      <c r="DW2522" s="340" t="s">
        <v>323</v>
      </c>
      <c r="DX2522" s="1671"/>
    </row>
    <row r="2523" spans="12:128">
      <c r="L2523" s="2481">
        <v>14.02</v>
      </c>
      <c r="M2523" s="340" t="s">
        <v>347</v>
      </c>
      <c r="N2523" s="1390"/>
      <c r="O2523" s="2479"/>
      <c r="P2523" s="2282"/>
      <c r="AG2523" s="2297">
        <v>824.12</v>
      </c>
      <c r="AH2523" s="2297" t="s">
        <v>355</v>
      </c>
      <c r="AI2523" s="1390"/>
      <c r="AJ2523" s="2282"/>
      <c r="AK2523" s="2282"/>
      <c r="AL2523" s="1037"/>
      <c r="AX2523" s="340">
        <v>121.32</v>
      </c>
      <c r="AY2523" s="340" t="s">
        <v>344</v>
      </c>
      <c r="BN2523" s="340">
        <v>686.01</v>
      </c>
      <c r="BO2523" s="340" t="s">
        <v>288</v>
      </c>
      <c r="BP2523" s="1385"/>
      <c r="BV2523" s="236">
        <v>31</v>
      </c>
      <c r="BW2523" s="236" t="s">
        <v>331</v>
      </c>
      <c r="CB2523" s="340">
        <v>122.08</v>
      </c>
      <c r="CC2523" s="340" t="s">
        <v>344</v>
      </c>
      <c r="CL2523" s="236">
        <v>142.01</v>
      </c>
      <c r="CM2523" s="236" t="s">
        <v>338</v>
      </c>
      <c r="CR2523" s="340">
        <v>685.01</v>
      </c>
      <c r="CS2523" s="340" t="s">
        <v>288</v>
      </c>
      <c r="CT2523" s="1384"/>
      <c r="DF2523" s="340">
        <v>208.11</v>
      </c>
      <c r="DG2523" s="340" t="s">
        <v>349</v>
      </c>
      <c r="DV2523" s="340">
        <v>802.04</v>
      </c>
      <c r="DW2523" s="340" t="s">
        <v>323</v>
      </c>
      <c r="DX2523" s="1671"/>
    </row>
    <row r="2524" spans="12:128">
      <c r="L2524" s="2481">
        <v>14.03</v>
      </c>
      <c r="M2524" s="340" t="s">
        <v>347</v>
      </c>
      <c r="N2524" s="1390"/>
      <c r="O2524" s="2479"/>
      <c r="P2524" s="2282"/>
      <c r="AG2524" s="2297">
        <v>824.13</v>
      </c>
      <c r="AH2524" s="2297" t="s">
        <v>355</v>
      </c>
      <c r="AI2524" s="1390"/>
      <c r="AJ2524" s="2282"/>
      <c r="AK2524" s="2282"/>
      <c r="AL2524" s="1037"/>
      <c r="AX2524" s="340">
        <v>121.33</v>
      </c>
      <c r="AY2524" s="340" t="s">
        <v>344</v>
      </c>
      <c r="BN2524" s="340">
        <v>686.04</v>
      </c>
      <c r="BO2524" s="340" t="s">
        <v>288</v>
      </c>
      <c r="BP2524" s="1385"/>
      <c r="BV2524" s="236">
        <v>34</v>
      </c>
      <c r="BW2524" s="236" t="s">
        <v>331</v>
      </c>
      <c r="CB2524" s="340">
        <v>122.09</v>
      </c>
      <c r="CC2524" s="340" t="s">
        <v>344</v>
      </c>
      <c r="CL2524" s="236">
        <v>142.01</v>
      </c>
      <c r="CM2524" s="236" t="s">
        <v>344</v>
      </c>
      <c r="CR2524" s="340">
        <v>685.02</v>
      </c>
      <c r="CS2524" s="340" t="s">
        <v>288</v>
      </c>
      <c r="CT2524" s="1384"/>
      <c r="DF2524" s="340">
        <v>209.04</v>
      </c>
      <c r="DG2524" s="340" t="s">
        <v>349</v>
      </c>
      <c r="DV2524" s="340">
        <v>803</v>
      </c>
      <c r="DW2524" s="340" t="s">
        <v>355</v>
      </c>
      <c r="DX2524" s="1671"/>
    </row>
    <row r="2525" spans="12:128">
      <c r="L2525" s="2481">
        <v>14.04</v>
      </c>
      <c r="M2525" s="340" t="s">
        <v>347</v>
      </c>
      <c r="N2525" s="1390"/>
      <c r="O2525" s="2479"/>
      <c r="P2525" s="2282"/>
      <c r="AG2525" s="2297">
        <v>824.14</v>
      </c>
      <c r="AH2525" s="2297" t="s">
        <v>355</v>
      </c>
      <c r="AI2525" s="1390"/>
      <c r="AJ2525" s="2282"/>
      <c r="AK2525" s="2282"/>
      <c r="AL2525" s="1037"/>
      <c r="AX2525" s="340">
        <v>122.08</v>
      </c>
      <c r="AY2525" s="340" t="s">
        <v>344</v>
      </c>
      <c r="BN2525" s="340">
        <v>691</v>
      </c>
      <c r="BO2525" s="340" t="s">
        <v>288</v>
      </c>
      <c r="BP2525" s="1385"/>
      <c r="BV2525" s="236">
        <v>36.03</v>
      </c>
      <c r="BW2525" s="236" t="s">
        <v>331</v>
      </c>
      <c r="CB2525" s="340">
        <v>123.04</v>
      </c>
      <c r="CC2525" s="340" t="s">
        <v>344</v>
      </c>
      <c r="CL2525" s="236">
        <v>142.02000000000001</v>
      </c>
      <c r="CM2525" s="236" t="s">
        <v>338</v>
      </c>
      <c r="CR2525" s="340">
        <v>686.01</v>
      </c>
      <c r="CS2525" s="340" t="s">
        <v>288</v>
      </c>
      <c r="CT2525" s="1384"/>
      <c r="DF2525" s="340">
        <v>209.05</v>
      </c>
      <c r="DG2525" s="340" t="s">
        <v>349</v>
      </c>
      <c r="DV2525" s="340">
        <v>804</v>
      </c>
      <c r="DW2525" s="340" t="s">
        <v>355</v>
      </c>
      <c r="DX2525" s="1671"/>
    </row>
    <row r="2526" spans="12:128">
      <c r="L2526" s="2481">
        <v>14.05</v>
      </c>
      <c r="M2526" s="340" t="s">
        <v>347</v>
      </c>
      <c r="N2526" s="1390"/>
      <c r="O2526" s="2479"/>
      <c r="P2526" s="2282"/>
      <c r="AG2526" s="2297">
        <v>825.08</v>
      </c>
      <c r="AH2526" s="2297" t="s">
        <v>355</v>
      </c>
      <c r="AI2526" s="1390"/>
      <c r="AJ2526" s="2282"/>
      <c r="AK2526" s="2282"/>
      <c r="AL2526" s="1037"/>
      <c r="AX2526" s="340">
        <v>122.09</v>
      </c>
      <c r="AY2526" s="340" t="s">
        <v>344</v>
      </c>
      <c r="BN2526" s="340">
        <v>692</v>
      </c>
      <c r="BO2526" s="340" t="s">
        <v>288</v>
      </c>
      <c r="BP2526" s="1385"/>
      <c r="BV2526" s="236">
        <v>36.04</v>
      </c>
      <c r="BW2526" s="236" t="s">
        <v>331</v>
      </c>
      <c r="CB2526" s="340">
        <v>123.07</v>
      </c>
      <c r="CC2526" s="340" t="s">
        <v>344</v>
      </c>
      <c r="CL2526" s="236">
        <v>142.02000000000001</v>
      </c>
      <c r="CM2526" s="236" t="s">
        <v>344</v>
      </c>
      <c r="CR2526" s="340">
        <v>686.04</v>
      </c>
      <c r="CS2526" s="340" t="s">
        <v>288</v>
      </c>
      <c r="CT2526" s="1384"/>
      <c r="DF2526" s="340">
        <v>209.07</v>
      </c>
      <c r="DG2526" s="340" t="s">
        <v>349</v>
      </c>
      <c r="DV2526" s="340">
        <v>804.06</v>
      </c>
      <c r="DW2526" s="340" t="s">
        <v>289</v>
      </c>
      <c r="DX2526" s="1671"/>
    </row>
    <row r="2527" spans="12:128">
      <c r="L2527" s="2481">
        <v>15.03</v>
      </c>
      <c r="M2527" s="340" t="s">
        <v>347</v>
      </c>
      <c r="N2527" s="1390"/>
      <c r="O2527" s="2479"/>
      <c r="P2527" s="2282"/>
      <c r="AG2527" s="2297">
        <v>825.09</v>
      </c>
      <c r="AH2527" s="2297" t="s">
        <v>355</v>
      </c>
      <c r="AI2527" s="1390"/>
      <c r="AJ2527" s="2282"/>
      <c r="AK2527" s="2282"/>
      <c r="AL2527" s="1037"/>
      <c r="AX2527" s="340">
        <v>123.03</v>
      </c>
      <c r="AY2527" s="340" t="s">
        <v>344</v>
      </c>
      <c r="BN2527" s="340">
        <v>693</v>
      </c>
      <c r="BO2527" s="340" t="s">
        <v>288</v>
      </c>
      <c r="BP2527" s="1385"/>
      <c r="BV2527" s="236">
        <v>36.049999999999997</v>
      </c>
      <c r="BW2527" s="236" t="s">
        <v>331</v>
      </c>
      <c r="CB2527" s="340">
        <v>124.05</v>
      </c>
      <c r="CC2527" s="340" t="s">
        <v>344</v>
      </c>
      <c r="CL2527" s="236">
        <v>142.03</v>
      </c>
      <c r="CM2527" s="236" t="s">
        <v>302</v>
      </c>
      <c r="CR2527" s="340">
        <v>691</v>
      </c>
      <c r="CS2527" s="340" t="s">
        <v>288</v>
      </c>
      <c r="CT2527" s="1384"/>
      <c r="DF2527" s="340">
        <v>209.08</v>
      </c>
      <c r="DG2527" s="340" t="s">
        <v>349</v>
      </c>
      <c r="DV2527" s="340">
        <v>805</v>
      </c>
      <c r="DW2527" s="340" t="s">
        <v>355</v>
      </c>
      <c r="DX2527" s="1671"/>
    </row>
    <row r="2528" spans="12:128">
      <c r="L2528" s="2481">
        <v>15.04</v>
      </c>
      <c r="M2528" s="340" t="s">
        <v>347</v>
      </c>
      <c r="N2528" s="1390"/>
      <c r="O2528" s="2479"/>
      <c r="P2528" s="2282"/>
      <c r="AG2528" s="2297">
        <v>825.12</v>
      </c>
      <c r="AH2528" s="2297" t="s">
        <v>355</v>
      </c>
      <c r="AI2528" s="1390"/>
      <c r="AJ2528" s="2282"/>
      <c r="AK2528" s="2282"/>
      <c r="AL2528" s="1037"/>
      <c r="AX2528" s="340">
        <v>123.04</v>
      </c>
      <c r="AY2528" s="340" t="s">
        <v>344</v>
      </c>
      <c r="BN2528" s="340">
        <v>694</v>
      </c>
      <c r="BO2528" s="340" t="s">
        <v>288</v>
      </c>
      <c r="BP2528" s="1385"/>
      <c r="BV2528" s="236">
        <v>36.06</v>
      </c>
      <c r="BW2528" s="236" t="s">
        <v>331</v>
      </c>
      <c r="CB2528" s="340">
        <v>124.07</v>
      </c>
      <c r="CC2528" s="340" t="s">
        <v>344</v>
      </c>
      <c r="CL2528" s="236">
        <v>142.03</v>
      </c>
      <c r="CM2528" s="236" t="s">
        <v>344</v>
      </c>
      <c r="CR2528" s="340">
        <v>694</v>
      </c>
      <c r="CS2528" s="340" t="s">
        <v>288</v>
      </c>
      <c r="CT2528" s="1384"/>
      <c r="DF2528" s="340">
        <v>212.07</v>
      </c>
      <c r="DG2528" s="340" t="s">
        <v>349</v>
      </c>
      <c r="DV2528" s="340">
        <v>807</v>
      </c>
      <c r="DW2528" s="340" t="s">
        <v>355</v>
      </c>
      <c r="DX2528" s="1671"/>
    </row>
    <row r="2529" spans="12:128">
      <c r="L2529" s="2481">
        <v>15.05</v>
      </c>
      <c r="M2529" s="340" t="s">
        <v>347</v>
      </c>
      <c r="N2529" s="1390"/>
      <c r="O2529" s="2479"/>
      <c r="P2529" s="2282"/>
      <c r="AG2529" s="2297">
        <v>826.04</v>
      </c>
      <c r="AH2529" s="2297" t="s">
        <v>355</v>
      </c>
      <c r="AI2529" s="1390"/>
      <c r="AJ2529" s="2282"/>
      <c r="AK2529" s="2282"/>
      <c r="AL2529" s="1037"/>
      <c r="AX2529" s="340">
        <v>123.07</v>
      </c>
      <c r="AY2529" s="340" t="s">
        <v>344</v>
      </c>
      <c r="BN2529" s="340">
        <v>698.01</v>
      </c>
      <c r="BO2529" s="340" t="s">
        <v>288</v>
      </c>
      <c r="BP2529" s="1385"/>
      <c r="BV2529" s="236">
        <v>36.07</v>
      </c>
      <c r="BW2529" s="236" t="s">
        <v>331</v>
      </c>
      <c r="CB2529" s="340">
        <v>124.08</v>
      </c>
      <c r="CC2529" s="340" t="s">
        <v>344</v>
      </c>
      <c r="CL2529" s="236">
        <v>142.04</v>
      </c>
      <c r="CM2529" s="236" t="s">
        <v>302</v>
      </c>
      <c r="CR2529" s="340">
        <v>697</v>
      </c>
      <c r="CS2529" s="340" t="s">
        <v>288</v>
      </c>
      <c r="CT2529" s="1384"/>
      <c r="DF2529" s="340">
        <v>212.11</v>
      </c>
      <c r="DG2529" s="340" t="s">
        <v>349</v>
      </c>
      <c r="DV2529" s="340">
        <v>808.03</v>
      </c>
      <c r="DW2529" s="340" t="s">
        <v>355</v>
      </c>
      <c r="DX2529" s="1671"/>
    </row>
    <row r="2530" spans="12:128">
      <c r="L2530" s="2481">
        <v>15.08</v>
      </c>
      <c r="M2530" s="340" t="s">
        <v>347</v>
      </c>
      <c r="N2530" s="1390"/>
      <c r="O2530" s="2479"/>
      <c r="P2530" s="2282"/>
      <c r="AG2530" s="2297">
        <v>826.05</v>
      </c>
      <c r="AH2530" s="2297" t="s">
        <v>355</v>
      </c>
      <c r="AI2530" s="1390"/>
      <c r="AJ2530" s="2282"/>
      <c r="AK2530" s="2282"/>
      <c r="AL2530" s="1037"/>
      <c r="AX2530" s="340">
        <v>124.05</v>
      </c>
      <c r="AY2530" s="340" t="s">
        <v>344</v>
      </c>
      <c r="BN2530" s="340">
        <v>698.02</v>
      </c>
      <c r="BO2530" s="340" t="s">
        <v>288</v>
      </c>
      <c r="BP2530" s="1385"/>
      <c r="BV2530" s="236">
        <v>37.03</v>
      </c>
      <c r="BW2530" s="236" t="s">
        <v>331</v>
      </c>
      <c r="CB2530" s="340">
        <v>124.09</v>
      </c>
      <c r="CC2530" s="340" t="s">
        <v>344</v>
      </c>
      <c r="CL2530" s="236">
        <v>142.05000000000001</v>
      </c>
      <c r="CM2530" s="236" t="s">
        <v>302</v>
      </c>
      <c r="CR2530" s="340">
        <v>698.01</v>
      </c>
      <c r="CS2530" s="340" t="s">
        <v>288</v>
      </c>
      <c r="CT2530" s="1384"/>
      <c r="DF2530" s="340">
        <v>214.08</v>
      </c>
      <c r="DG2530" s="340" t="s">
        <v>349</v>
      </c>
      <c r="DV2530" s="340">
        <v>808.06</v>
      </c>
      <c r="DW2530" s="340" t="s">
        <v>355</v>
      </c>
      <c r="DX2530" s="1671"/>
    </row>
    <row r="2531" spans="12:128">
      <c r="L2531" s="2481">
        <v>15.09</v>
      </c>
      <c r="M2531" s="340" t="s">
        <v>347</v>
      </c>
      <c r="N2531" s="1390"/>
      <c r="O2531" s="2479"/>
      <c r="P2531" s="2282"/>
      <c r="AG2531" s="2297">
        <v>826.06</v>
      </c>
      <c r="AH2531" s="2297" t="s">
        <v>355</v>
      </c>
      <c r="AI2531" s="1390"/>
      <c r="AJ2531" s="2282"/>
      <c r="AK2531" s="2282"/>
      <c r="AL2531" s="1037"/>
      <c r="AX2531" s="340">
        <v>124.07</v>
      </c>
      <c r="AY2531" s="340" t="s">
        <v>344</v>
      </c>
      <c r="BN2531" s="340">
        <v>699.04</v>
      </c>
      <c r="BO2531" s="340" t="s">
        <v>288</v>
      </c>
      <c r="BP2531" s="1385"/>
      <c r="BV2531" s="236">
        <v>37.04</v>
      </c>
      <c r="BW2531" s="236" t="s">
        <v>331</v>
      </c>
      <c r="CB2531" s="340">
        <v>124.1</v>
      </c>
      <c r="CC2531" s="340" t="s">
        <v>344</v>
      </c>
      <c r="CL2531" s="236">
        <v>142.06</v>
      </c>
      <c r="CM2531" s="236" t="s">
        <v>302</v>
      </c>
      <c r="CR2531" s="340">
        <v>698.02</v>
      </c>
      <c r="CS2531" s="340" t="s">
        <v>288</v>
      </c>
      <c r="CT2531" s="1384"/>
      <c r="DF2531" s="340">
        <v>214.09</v>
      </c>
      <c r="DG2531" s="340" t="s">
        <v>349</v>
      </c>
      <c r="DV2531" s="340">
        <v>808.07</v>
      </c>
      <c r="DW2531" s="340" t="s">
        <v>355</v>
      </c>
      <c r="DX2531" s="1671"/>
    </row>
    <row r="2532" spans="12:128">
      <c r="L2532" s="2481">
        <v>15.1</v>
      </c>
      <c r="M2532" s="340" t="s">
        <v>347</v>
      </c>
      <c r="N2532" s="1390"/>
      <c r="O2532" s="2479"/>
      <c r="P2532" s="2282"/>
      <c r="AG2532" s="2297">
        <v>826.07</v>
      </c>
      <c r="AH2532" s="2297" t="s">
        <v>355</v>
      </c>
      <c r="AI2532" s="1390"/>
      <c r="AJ2532" s="2282"/>
      <c r="AK2532" s="2282"/>
      <c r="AL2532" s="1037"/>
      <c r="AX2532" s="340">
        <v>124.08</v>
      </c>
      <c r="AY2532" s="340" t="s">
        <v>344</v>
      </c>
      <c r="BN2532" s="340">
        <v>699.07</v>
      </c>
      <c r="BO2532" s="340" t="s">
        <v>288</v>
      </c>
      <c r="BP2532" s="1385"/>
      <c r="BV2532" s="236">
        <v>37.049999999999997</v>
      </c>
      <c r="BW2532" s="236" t="s">
        <v>331</v>
      </c>
      <c r="CB2532" s="340">
        <v>124.11</v>
      </c>
      <c r="CC2532" s="340" t="s">
        <v>344</v>
      </c>
      <c r="CL2532" s="236">
        <v>143</v>
      </c>
      <c r="CM2532" s="236" t="s">
        <v>316</v>
      </c>
      <c r="CR2532" s="340">
        <v>699.03</v>
      </c>
      <c r="CS2532" s="340" t="s">
        <v>288</v>
      </c>
      <c r="CT2532" s="1384"/>
      <c r="DF2532" s="340">
        <v>3807</v>
      </c>
      <c r="DG2532" s="340" t="s">
        <v>350</v>
      </c>
      <c r="DV2532" s="340">
        <v>811.01</v>
      </c>
      <c r="DW2532" s="340" t="s">
        <v>355</v>
      </c>
      <c r="DX2532" s="1671"/>
    </row>
    <row r="2533" spans="12:128">
      <c r="L2533" s="2481">
        <v>15.11</v>
      </c>
      <c r="M2533" s="340" t="s">
        <v>347</v>
      </c>
      <c r="N2533" s="1390"/>
      <c r="O2533" s="2479"/>
      <c r="P2533" s="2282"/>
      <c r="AG2533" s="2297">
        <v>827.01</v>
      </c>
      <c r="AH2533" s="2297" t="s">
        <v>355</v>
      </c>
      <c r="AI2533" s="1390"/>
      <c r="AJ2533" s="2282"/>
      <c r="AK2533" s="2282"/>
      <c r="AL2533" s="1037"/>
      <c r="AX2533" s="340">
        <v>124.09</v>
      </c>
      <c r="AY2533" s="340" t="s">
        <v>344</v>
      </c>
      <c r="BN2533" s="340">
        <v>701.01</v>
      </c>
      <c r="BO2533" s="340" t="s">
        <v>323</v>
      </c>
      <c r="BP2533" s="1385"/>
      <c r="BV2533" s="236">
        <v>37.06</v>
      </c>
      <c r="BW2533" s="236" t="s">
        <v>331</v>
      </c>
      <c r="CB2533" s="340">
        <v>124.12</v>
      </c>
      <c r="CC2533" s="340" t="s">
        <v>344</v>
      </c>
      <c r="CL2533" s="236">
        <v>143</v>
      </c>
      <c r="CM2533" s="236" t="s">
        <v>331</v>
      </c>
      <c r="CR2533" s="340">
        <v>699.04</v>
      </c>
      <c r="CS2533" s="340" t="s">
        <v>288</v>
      </c>
      <c r="CT2533" s="1384"/>
      <c r="DF2533" s="340">
        <v>3811.03</v>
      </c>
      <c r="DG2533" s="340" t="s">
        <v>350</v>
      </c>
      <c r="DV2533" s="340">
        <v>812.01</v>
      </c>
      <c r="DW2533" s="340" t="s">
        <v>355</v>
      </c>
      <c r="DX2533" s="1671"/>
    </row>
    <row r="2534" spans="12:128">
      <c r="L2534" s="2481">
        <v>16.010000000000002</v>
      </c>
      <c r="M2534" s="340" t="s">
        <v>347</v>
      </c>
      <c r="N2534" s="1390"/>
      <c r="O2534" s="2479"/>
      <c r="P2534" s="2282"/>
      <c r="AG2534" s="2297">
        <v>827.03</v>
      </c>
      <c r="AH2534" s="2297" t="s">
        <v>355</v>
      </c>
      <c r="AI2534" s="1390"/>
      <c r="AJ2534" s="2282"/>
      <c r="AK2534" s="2282"/>
      <c r="AL2534" s="1037"/>
      <c r="AX2534" s="340">
        <v>124.1</v>
      </c>
      <c r="AY2534" s="340" t="s">
        <v>344</v>
      </c>
      <c r="BN2534" s="340">
        <v>701.02</v>
      </c>
      <c r="BO2534" s="340" t="s">
        <v>289</v>
      </c>
      <c r="BP2534" s="1385"/>
      <c r="BV2534" s="236">
        <v>37.07</v>
      </c>
      <c r="BW2534" s="236" t="s">
        <v>331</v>
      </c>
      <c r="CB2534" s="340">
        <v>124.13</v>
      </c>
      <c r="CC2534" s="340" t="s">
        <v>344</v>
      </c>
      <c r="CL2534" s="236">
        <v>143.01</v>
      </c>
      <c r="CM2534" s="236" t="s">
        <v>338</v>
      </c>
      <c r="CR2534" s="340">
        <v>699.07</v>
      </c>
      <c r="CS2534" s="340" t="s">
        <v>288</v>
      </c>
      <c r="CT2534" s="1384"/>
      <c r="DF2534" s="340">
        <v>3811.04</v>
      </c>
      <c r="DG2534" s="340" t="s">
        <v>350</v>
      </c>
      <c r="DV2534" s="340">
        <v>813</v>
      </c>
      <c r="DW2534" s="340" t="s">
        <v>355</v>
      </c>
      <c r="DX2534" s="1671"/>
    </row>
    <row r="2535" spans="12:128">
      <c r="L2535" s="2481">
        <v>16.02</v>
      </c>
      <c r="M2535" s="340" t="s">
        <v>347</v>
      </c>
      <c r="N2535" s="1390"/>
      <c r="O2535" s="2479"/>
      <c r="P2535" s="2282"/>
      <c r="AG2535" s="2297">
        <v>827.04</v>
      </c>
      <c r="AH2535" s="2297" t="s">
        <v>355</v>
      </c>
      <c r="AI2535" s="1390"/>
      <c r="AJ2535" s="2282"/>
      <c r="AK2535" s="2282"/>
      <c r="AL2535" s="1037"/>
      <c r="AX2535" s="340">
        <v>124.11</v>
      </c>
      <c r="AY2535" s="340" t="s">
        <v>344</v>
      </c>
      <c r="BN2535" s="340">
        <v>701.02</v>
      </c>
      <c r="BO2535" s="340" t="s">
        <v>323</v>
      </c>
      <c r="BP2535" s="1385"/>
      <c r="BV2535" s="236">
        <v>37.08</v>
      </c>
      <c r="BW2535" s="236" t="s">
        <v>331</v>
      </c>
      <c r="CB2535" s="340">
        <v>124.14</v>
      </c>
      <c r="CC2535" s="340" t="s">
        <v>344</v>
      </c>
      <c r="CL2535" s="236">
        <v>143.01</v>
      </c>
      <c r="CM2535" s="236" t="s">
        <v>344</v>
      </c>
      <c r="CR2535" s="340">
        <v>701.02</v>
      </c>
      <c r="CS2535" s="340" t="s">
        <v>289</v>
      </c>
      <c r="CT2535" s="1384"/>
      <c r="DF2535" s="340">
        <v>3811.05</v>
      </c>
      <c r="DG2535" s="340" t="s">
        <v>350</v>
      </c>
      <c r="DV2535" s="340">
        <v>824.05</v>
      </c>
      <c r="DW2535" s="340" t="s">
        <v>355</v>
      </c>
      <c r="DX2535" s="1671"/>
    </row>
    <row r="2536" spans="12:128">
      <c r="L2536" s="2481">
        <v>18.010000000000002</v>
      </c>
      <c r="M2536" s="340" t="s">
        <v>347</v>
      </c>
      <c r="N2536" s="1390"/>
      <c r="O2536" s="2479"/>
      <c r="P2536" s="2282"/>
      <c r="AG2536" s="2297">
        <v>827.05</v>
      </c>
      <c r="AH2536" s="2297" t="s">
        <v>355</v>
      </c>
      <c r="AI2536" s="1390"/>
      <c r="AJ2536" s="2282"/>
      <c r="AK2536" s="2282"/>
      <c r="AL2536" s="1037"/>
      <c r="AX2536" s="340">
        <v>124.12</v>
      </c>
      <c r="AY2536" s="340" t="s">
        <v>344</v>
      </c>
      <c r="BN2536" s="340">
        <v>701.03</v>
      </c>
      <c r="BO2536" s="340" t="s">
        <v>289</v>
      </c>
      <c r="BP2536" s="1385"/>
      <c r="BV2536" s="236">
        <v>37.090000000000003</v>
      </c>
      <c r="BW2536" s="236" t="s">
        <v>331</v>
      </c>
      <c r="CB2536" s="340">
        <v>124.15</v>
      </c>
      <c r="CC2536" s="340" t="s">
        <v>344</v>
      </c>
      <c r="CL2536" s="236">
        <v>143.02000000000001</v>
      </c>
      <c r="CM2536" s="236" t="s">
        <v>338</v>
      </c>
      <c r="CR2536" s="340">
        <v>701.02</v>
      </c>
      <c r="CS2536" s="340" t="s">
        <v>323</v>
      </c>
      <c r="CT2536" s="1384"/>
      <c r="DF2536" s="340">
        <v>3811.06</v>
      </c>
      <c r="DG2536" s="340" t="s">
        <v>350</v>
      </c>
      <c r="DV2536" s="340">
        <v>824.06</v>
      </c>
      <c r="DW2536" s="340" t="s">
        <v>355</v>
      </c>
      <c r="DX2536" s="1671"/>
    </row>
    <row r="2537" spans="12:128">
      <c r="L2537" s="2481">
        <v>19.03</v>
      </c>
      <c r="M2537" s="340" t="s">
        <v>347</v>
      </c>
      <c r="N2537" s="1390"/>
      <c r="O2537" s="2479"/>
      <c r="P2537" s="2282"/>
      <c r="AG2537" s="2297">
        <v>828.02</v>
      </c>
      <c r="AH2537" s="2297" t="s">
        <v>355</v>
      </c>
      <c r="AI2537" s="1390"/>
      <c r="AJ2537" s="2282"/>
      <c r="AK2537" s="2282"/>
      <c r="AL2537" s="1037"/>
      <c r="AX2537" s="340">
        <v>124.13</v>
      </c>
      <c r="AY2537" s="340" t="s">
        <v>344</v>
      </c>
      <c r="BN2537" s="340">
        <v>702.05</v>
      </c>
      <c r="BO2537" s="340" t="s">
        <v>289</v>
      </c>
      <c r="BP2537" s="1385"/>
      <c r="BV2537" s="236">
        <v>37.1</v>
      </c>
      <c r="BW2537" s="236" t="s">
        <v>331</v>
      </c>
      <c r="CB2537" s="340">
        <v>125.02</v>
      </c>
      <c r="CC2537" s="340" t="s">
        <v>344</v>
      </c>
      <c r="CL2537" s="236">
        <v>143.03</v>
      </c>
      <c r="CM2537" s="236" t="s">
        <v>344</v>
      </c>
      <c r="CR2537" s="340">
        <v>701.03</v>
      </c>
      <c r="CS2537" s="340" t="s">
        <v>289</v>
      </c>
      <c r="CT2537" s="1384"/>
      <c r="DF2537" s="340">
        <v>3812.04</v>
      </c>
      <c r="DG2537" s="340" t="s">
        <v>350</v>
      </c>
      <c r="DV2537" s="340">
        <v>824.1</v>
      </c>
      <c r="DW2537" s="340" t="s">
        <v>355</v>
      </c>
      <c r="DX2537" s="1671"/>
    </row>
    <row r="2538" spans="12:128">
      <c r="L2538" s="2481">
        <v>19.04</v>
      </c>
      <c r="M2538" s="340" t="s">
        <v>347</v>
      </c>
      <c r="N2538" s="1390"/>
      <c r="O2538" s="2479"/>
      <c r="P2538" s="2282"/>
      <c r="AG2538" s="2297">
        <v>829.03</v>
      </c>
      <c r="AH2538" s="2297" t="s">
        <v>355</v>
      </c>
      <c r="AI2538" s="1390"/>
      <c r="AJ2538" s="2282"/>
      <c r="AK2538" s="2282"/>
      <c r="AL2538" s="1037"/>
      <c r="AX2538" s="340">
        <v>124.14</v>
      </c>
      <c r="AY2538" s="340" t="s">
        <v>344</v>
      </c>
      <c r="BN2538" s="340">
        <v>702.08</v>
      </c>
      <c r="BO2538" s="340" t="s">
        <v>289</v>
      </c>
      <c r="BP2538" s="1385"/>
      <c r="BV2538" s="236">
        <v>38.01</v>
      </c>
      <c r="BW2538" s="236" t="s">
        <v>331</v>
      </c>
      <c r="CB2538" s="340">
        <v>125.06</v>
      </c>
      <c r="CC2538" s="340" t="s">
        <v>344</v>
      </c>
      <c r="CL2538" s="236">
        <v>143.04</v>
      </c>
      <c r="CM2538" s="236" t="s">
        <v>344</v>
      </c>
      <c r="CR2538" s="340">
        <v>702.01</v>
      </c>
      <c r="CS2538" s="340" t="s">
        <v>323</v>
      </c>
      <c r="CT2538" s="1384"/>
      <c r="DF2538" s="340">
        <v>3813</v>
      </c>
      <c r="DG2538" s="340" t="s">
        <v>350</v>
      </c>
      <c r="DV2538" s="340">
        <v>824.11</v>
      </c>
      <c r="DW2538" s="340" t="s">
        <v>355</v>
      </c>
      <c r="DX2538" s="1671"/>
    </row>
    <row r="2539" spans="12:128">
      <c r="L2539" s="2481">
        <v>19.05</v>
      </c>
      <c r="M2539" s="340" t="s">
        <v>347</v>
      </c>
      <c r="N2539" s="1390"/>
      <c r="O2539" s="2479"/>
      <c r="P2539" s="2282"/>
      <c r="AG2539" s="2297">
        <v>829.04</v>
      </c>
      <c r="AH2539" s="2297" t="s">
        <v>355</v>
      </c>
      <c r="AI2539" s="1390"/>
      <c r="AJ2539" s="2282"/>
      <c r="AK2539" s="2282"/>
      <c r="AL2539" s="1037"/>
      <c r="AX2539" s="340">
        <v>124.15</v>
      </c>
      <c r="AY2539" s="340" t="s">
        <v>344</v>
      </c>
      <c r="BN2539" s="340">
        <v>702.09</v>
      </c>
      <c r="BO2539" s="340" t="s">
        <v>289</v>
      </c>
      <c r="BP2539" s="1385"/>
      <c r="BV2539" s="236">
        <v>38.03</v>
      </c>
      <c r="BW2539" s="236" t="s">
        <v>331</v>
      </c>
      <c r="CB2539" s="340">
        <v>125.08</v>
      </c>
      <c r="CC2539" s="340" t="s">
        <v>344</v>
      </c>
      <c r="CL2539" s="236">
        <v>143.11000000000001</v>
      </c>
      <c r="CM2539" s="236" t="s">
        <v>302</v>
      </c>
      <c r="CR2539" s="340">
        <v>702.05</v>
      </c>
      <c r="CS2539" s="340" t="s">
        <v>289</v>
      </c>
      <c r="CT2539" s="1384"/>
      <c r="DF2539" s="340">
        <v>3815.05</v>
      </c>
      <c r="DG2539" s="340" t="s">
        <v>350</v>
      </c>
      <c r="DV2539" s="340">
        <v>824.12</v>
      </c>
      <c r="DW2539" s="340" t="s">
        <v>355</v>
      </c>
      <c r="DX2539" s="1671"/>
    </row>
    <row r="2540" spans="12:128">
      <c r="L2540" s="2481">
        <v>19.09</v>
      </c>
      <c r="M2540" s="340" t="s">
        <v>347</v>
      </c>
      <c r="N2540" s="1390"/>
      <c r="O2540" s="2479"/>
      <c r="P2540" s="2282"/>
      <c r="AG2540" s="2297">
        <v>830.05</v>
      </c>
      <c r="AH2540" s="2297" t="s">
        <v>355</v>
      </c>
      <c r="AI2540" s="1390"/>
      <c r="AJ2540" s="2282"/>
      <c r="AK2540" s="2282"/>
      <c r="AL2540" s="1037"/>
      <c r="AX2540" s="340">
        <v>125.02</v>
      </c>
      <c r="AY2540" s="340" t="s">
        <v>344</v>
      </c>
      <c r="BN2540" s="340">
        <v>702.1</v>
      </c>
      <c r="BO2540" s="340" t="s">
        <v>289</v>
      </c>
      <c r="BP2540" s="1385"/>
      <c r="BV2540" s="236">
        <v>38.04</v>
      </c>
      <c r="BW2540" s="236" t="s">
        <v>331</v>
      </c>
      <c r="CB2540" s="340">
        <v>125.09</v>
      </c>
      <c r="CC2540" s="340" t="s">
        <v>344</v>
      </c>
      <c r="CL2540" s="236">
        <v>143.12</v>
      </c>
      <c r="CM2540" s="236" t="s">
        <v>302</v>
      </c>
      <c r="CR2540" s="340">
        <v>702.08</v>
      </c>
      <c r="CS2540" s="340" t="s">
        <v>289</v>
      </c>
      <c r="CT2540" s="1384"/>
      <c r="DF2540" s="340">
        <v>3815.06</v>
      </c>
      <c r="DG2540" s="340" t="s">
        <v>350</v>
      </c>
      <c r="DV2540" s="340">
        <v>824.13</v>
      </c>
      <c r="DW2540" s="340" t="s">
        <v>355</v>
      </c>
      <c r="DX2540" s="1671"/>
    </row>
    <row r="2541" spans="12:128">
      <c r="L2541" s="2481">
        <v>20.07</v>
      </c>
      <c r="M2541" s="340" t="s">
        <v>347</v>
      </c>
      <c r="N2541" s="1390"/>
      <c r="O2541" s="2479"/>
      <c r="P2541" s="2282"/>
      <c r="AG2541" s="2297">
        <v>830.08</v>
      </c>
      <c r="AH2541" s="2297" t="s">
        <v>355</v>
      </c>
      <c r="AI2541" s="1390"/>
      <c r="AJ2541" s="2282"/>
      <c r="AK2541" s="2282"/>
      <c r="AL2541" s="1037"/>
      <c r="AX2541" s="340">
        <v>125.06</v>
      </c>
      <c r="AY2541" s="340" t="s">
        <v>344</v>
      </c>
      <c r="BN2541" s="340">
        <v>702.11</v>
      </c>
      <c r="BO2541" s="340" t="s">
        <v>289</v>
      </c>
      <c r="BP2541" s="1385"/>
      <c r="BV2541" s="236">
        <v>39.06</v>
      </c>
      <c r="BW2541" s="236" t="s">
        <v>331</v>
      </c>
      <c r="CB2541" s="340">
        <v>125.11</v>
      </c>
      <c r="CC2541" s="340" t="s">
        <v>344</v>
      </c>
      <c r="CL2541" s="236">
        <v>143.28</v>
      </c>
      <c r="CM2541" s="236" t="s">
        <v>302</v>
      </c>
      <c r="CR2541" s="340">
        <v>702.09</v>
      </c>
      <c r="CS2541" s="340" t="s">
        <v>289</v>
      </c>
      <c r="CT2541" s="1384"/>
      <c r="DF2541" s="340">
        <v>3815.08</v>
      </c>
      <c r="DG2541" s="340" t="s">
        <v>350</v>
      </c>
      <c r="DV2541" s="340">
        <v>825.06</v>
      </c>
      <c r="DW2541" s="340" t="s">
        <v>355</v>
      </c>
      <c r="DX2541" s="1671"/>
    </row>
    <row r="2542" spans="12:128">
      <c r="L2542" s="2481">
        <v>20.079999999999998</v>
      </c>
      <c r="M2542" s="340" t="s">
        <v>347</v>
      </c>
      <c r="N2542" s="1390"/>
      <c r="O2542" s="2479"/>
      <c r="P2542" s="2282"/>
      <c r="AG2542" s="2297">
        <v>832.03</v>
      </c>
      <c r="AH2542" s="2297" t="s">
        <v>355</v>
      </c>
      <c r="AI2542" s="1390"/>
      <c r="AJ2542" s="2282"/>
      <c r="AK2542" s="2282"/>
      <c r="AL2542" s="1037"/>
      <c r="AX2542" s="340">
        <v>125.08</v>
      </c>
      <c r="AY2542" s="340" t="s">
        <v>344</v>
      </c>
      <c r="BN2542" s="340">
        <v>702.12</v>
      </c>
      <c r="BO2542" s="340" t="s">
        <v>289</v>
      </c>
      <c r="BP2542" s="1385"/>
      <c r="BV2542" s="236">
        <v>39.090000000000003</v>
      </c>
      <c r="BW2542" s="236" t="s">
        <v>331</v>
      </c>
      <c r="CB2542" s="340">
        <v>125.12</v>
      </c>
      <c r="CC2542" s="340" t="s">
        <v>344</v>
      </c>
      <c r="CL2542" s="236">
        <v>143.29</v>
      </c>
      <c r="CM2542" s="236" t="s">
        <v>302</v>
      </c>
      <c r="CR2542" s="340">
        <v>702.11</v>
      </c>
      <c r="CS2542" s="340" t="s">
        <v>289</v>
      </c>
      <c r="CT2542" s="1384"/>
      <c r="DF2542" s="340">
        <v>3816.02</v>
      </c>
      <c r="DG2542" s="340" t="s">
        <v>350</v>
      </c>
      <c r="DV2542" s="340">
        <v>825.08</v>
      </c>
      <c r="DW2542" s="340" t="s">
        <v>355</v>
      </c>
      <c r="DX2542" s="1671"/>
    </row>
    <row r="2543" spans="12:128">
      <c r="L2543" s="2481">
        <v>20.12</v>
      </c>
      <c r="M2543" s="340" t="s">
        <v>347</v>
      </c>
      <c r="N2543" s="1390"/>
      <c r="O2543" s="2479"/>
      <c r="P2543" s="2282"/>
      <c r="AG2543" s="2297">
        <v>832.05</v>
      </c>
      <c r="AH2543" s="2297" t="s">
        <v>355</v>
      </c>
      <c r="AI2543" s="1390"/>
      <c r="AJ2543" s="2282"/>
      <c r="AK2543" s="2282"/>
      <c r="AL2543" s="1037"/>
      <c r="AX2543" s="340">
        <v>125.09</v>
      </c>
      <c r="AY2543" s="340" t="s">
        <v>344</v>
      </c>
      <c r="BN2543" s="340">
        <v>702.13</v>
      </c>
      <c r="BO2543" s="340" t="s">
        <v>289</v>
      </c>
      <c r="BP2543" s="1385"/>
      <c r="BV2543" s="236">
        <v>39.11</v>
      </c>
      <c r="BW2543" s="236" t="s">
        <v>331</v>
      </c>
      <c r="CB2543" s="340">
        <v>125.13</v>
      </c>
      <c r="CC2543" s="340" t="s">
        <v>344</v>
      </c>
      <c r="CL2543" s="236">
        <v>143.30000000000001</v>
      </c>
      <c r="CM2543" s="236" t="s">
        <v>302</v>
      </c>
      <c r="CR2543" s="340">
        <v>702.12</v>
      </c>
      <c r="CS2543" s="340" t="s">
        <v>289</v>
      </c>
      <c r="CT2543" s="1384"/>
      <c r="DF2543" s="340">
        <v>3816.03</v>
      </c>
      <c r="DG2543" s="340" t="s">
        <v>350</v>
      </c>
      <c r="DV2543" s="340">
        <v>825.09</v>
      </c>
      <c r="DW2543" s="340" t="s">
        <v>355</v>
      </c>
      <c r="DX2543" s="1671"/>
    </row>
    <row r="2544" spans="12:128">
      <c r="L2544" s="2481">
        <v>20.13</v>
      </c>
      <c r="M2544" s="340" t="s">
        <v>347</v>
      </c>
      <c r="N2544" s="1390"/>
      <c r="O2544" s="2479"/>
      <c r="P2544" s="2282"/>
      <c r="AG2544" s="2297">
        <v>832.06</v>
      </c>
      <c r="AH2544" s="2297" t="s">
        <v>355</v>
      </c>
      <c r="AI2544" s="1390"/>
      <c r="AJ2544" s="2282"/>
      <c r="AK2544" s="2282"/>
      <c r="AL2544" s="1037"/>
      <c r="AX2544" s="340">
        <v>125.12</v>
      </c>
      <c r="AY2544" s="340" t="s">
        <v>344</v>
      </c>
      <c r="BN2544" s="340">
        <v>703.04</v>
      </c>
      <c r="BO2544" s="340" t="s">
        <v>289</v>
      </c>
      <c r="BP2544" s="1385"/>
      <c r="BV2544" s="236">
        <v>39.119999999999997</v>
      </c>
      <c r="BW2544" s="236" t="s">
        <v>331</v>
      </c>
      <c r="CB2544" s="340">
        <v>125.14</v>
      </c>
      <c r="CC2544" s="340" t="s">
        <v>344</v>
      </c>
      <c r="CL2544" s="236">
        <v>143.31</v>
      </c>
      <c r="CM2544" s="236" t="s">
        <v>302</v>
      </c>
      <c r="CR2544" s="340">
        <v>703.04</v>
      </c>
      <c r="CS2544" s="340" t="s">
        <v>289</v>
      </c>
      <c r="CT2544" s="1384"/>
      <c r="DF2544" s="340">
        <v>3816.04</v>
      </c>
      <c r="DG2544" s="340" t="s">
        <v>350</v>
      </c>
      <c r="DV2544" s="340">
        <v>825.12</v>
      </c>
      <c r="DW2544" s="340" t="s">
        <v>355</v>
      </c>
      <c r="DX2544" s="1671"/>
    </row>
    <row r="2545" spans="12:128">
      <c r="L2545" s="2481">
        <v>20.14</v>
      </c>
      <c r="M2545" s="340" t="s">
        <v>347</v>
      </c>
      <c r="N2545" s="1390"/>
      <c r="O2545" s="2479"/>
      <c r="P2545" s="2282"/>
      <c r="AG2545" s="2297">
        <v>832.07</v>
      </c>
      <c r="AH2545" s="2297" t="s">
        <v>355</v>
      </c>
      <c r="AI2545" s="1390"/>
      <c r="AJ2545" s="2282"/>
      <c r="AK2545" s="2282"/>
      <c r="AL2545" s="1037"/>
      <c r="AX2545" s="340">
        <v>125.13</v>
      </c>
      <c r="AY2545" s="340" t="s">
        <v>344</v>
      </c>
      <c r="BN2545" s="340">
        <v>703.06</v>
      </c>
      <c r="BO2545" s="340" t="s">
        <v>289</v>
      </c>
      <c r="BP2545" s="1385"/>
      <c r="BV2545" s="236">
        <v>39.130000000000003</v>
      </c>
      <c r="BW2545" s="236" t="s">
        <v>331</v>
      </c>
      <c r="CB2545" s="340">
        <v>125.15</v>
      </c>
      <c r="CC2545" s="340" t="s">
        <v>344</v>
      </c>
      <c r="CL2545" s="236">
        <v>143.33000000000001</v>
      </c>
      <c r="CM2545" s="236" t="s">
        <v>302</v>
      </c>
      <c r="CR2545" s="340">
        <v>703.06</v>
      </c>
      <c r="CS2545" s="340" t="s">
        <v>289</v>
      </c>
      <c r="CT2545" s="1384"/>
      <c r="DF2545" s="340">
        <v>3817.01</v>
      </c>
      <c r="DG2545" s="340" t="s">
        <v>350</v>
      </c>
      <c r="DV2545" s="340">
        <v>826.04</v>
      </c>
      <c r="DW2545" s="340" t="s">
        <v>355</v>
      </c>
      <c r="DX2545" s="1671"/>
    </row>
    <row r="2546" spans="12:128">
      <c r="L2546" s="2481">
        <v>20.149999999999999</v>
      </c>
      <c r="M2546" s="340" t="s">
        <v>347</v>
      </c>
      <c r="N2546" s="1390"/>
      <c r="O2546" s="2479"/>
      <c r="P2546" s="2282"/>
      <c r="AG2546" s="2297">
        <v>832.09</v>
      </c>
      <c r="AH2546" s="2297" t="s">
        <v>355</v>
      </c>
      <c r="AI2546" s="1390"/>
      <c r="AJ2546" s="2282"/>
      <c r="AK2546" s="2282"/>
      <c r="AL2546" s="1037"/>
      <c r="AX2546" s="340">
        <v>125.14</v>
      </c>
      <c r="AY2546" s="340" t="s">
        <v>344</v>
      </c>
      <c r="BN2546" s="340">
        <v>703.1</v>
      </c>
      <c r="BO2546" s="340" t="s">
        <v>289</v>
      </c>
      <c r="BP2546" s="1385"/>
      <c r="BV2546" s="236">
        <v>39.14</v>
      </c>
      <c r="BW2546" s="236" t="s">
        <v>331</v>
      </c>
      <c r="CB2546" s="340">
        <v>126.01</v>
      </c>
      <c r="CC2546" s="340" t="s">
        <v>344</v>
      </c>
      <c r="CL2546" s="236">
        <v>143.34</v>
      </c>
      <c r="CM2546" s="236" t="s">
        <v>302</v>
      </c>
      <c r="CR2546" s="340">
        <v>703.1</v>
      </c>
      <c r="CS2546" s="340" t="s">
        <v>289</v>
      </c>
      <c r="CT2546" s="1384"/>
      <c r="DF2546" s="340">
        <v>3817.02</v>
      </c>
      <c r="DG2546" s="340" t="s">
        <v>350</v>
      </c>
      <c r="DV2546" s="340">
        <v>826.05</v>
      </c>
      <c r="DW2546" s="340" t="s">
        <v>355</v>
      </c>
      <c r="DX2546" s="1671"/>
    </row>
    <row r="2547" spans="12:128">
      <c r="L2547" s="2481">
        <v>20.16</v>
      </c>
      <c r="M2547" s="340" t="s">
        <v>347</v>
      </c>
      <c r="N2547" s="1390"/>
      <c r="O2547" s="2479"/>
      <c r="P2547" s="2282"/>
      <c r="AG2547" s="2297">
        <v>832.1</v>
      </c>
      <c r="AH2547" s="2297" t="s">
        <v>355</v>
      </c>
      <c r="AI2547" s="1390"/>
      <c r="AJ2547" s="2282"/>
      <c r="AK2547" s="2282"/>
      <c r="AL2547" s="1037"/>
      <c r="AX2547" s="340">
        <v>125.15</v>
      </c>
      <c r="AY2547" s="340" t="s">
        <v>344</v>
      </c>
      <c r="BN2547" s="340">
        <v>703.11</v>
      </c>
      <c r="BO2547" s="340" t="s">
        <v>289</v>
      </c>
      <c r="BP2547" s="1385"/>
      <c r="BV2547" s="236">
        <v>39.15</v>
      </c>
      <c r="BW2547" s="236" t="s">
        <v>331</v>
      </c>
      <c r="CB2547" s="340">
        <v>127.01</v>
      </c>
      <c r="CC2547" s="340" t="s">
        <v>344</v>
      </c>
      <c r="CL2547" s="236">
        <v>143.35</v>
      </c>
      <c r="CM2547" s="236" t="s">
        <v>302</v>
      </c>
      <c r="CR2547" s="340">
        <v>703.11</v>
      </c>
      <c r="CS2547" s="340" t="s">
        <v>289</v>
      </c>
      <c r="CT2547" s="1384"/>
      <c r="DF2547" s="340">
        <v>3819</v>
      </c>
      <c r="DG2547" s="340" t="s">
        <v>350</v>
      </c>
      <c r="DV2547" s="340">
        <v>826.06</v>
      </c>
      <c r="DW2547" s="340" t="s">
        <v>355</v>
      </c>
      <c r="DX2547" s="1671"/>
    </row>
    <row r="2548" spans="12:128">
      <c r="L2548" s="2481">
        <v>21.01</v>
      </c>
      <c r="M2548" s="340" t="s">
        <v>347</v>
      </c>
      <c r="N2548" s="1390"/>
      <c r="O2548" s="2479"/>
      <c r="P2548" s="2282"/>
      <c r="AG2548" s="2297">
        <v>832.11</v>
      </c>
      <c r="AH2548" s="2297" t="s">
        <v>355</v>
      </c>
      <c r="AI2548" s="1390"/>
      <c r="AJ2548" s="2282"/>
      <c r="AK2548" s="2282"/>
      <c r="AL2548" s="1037"/>
      <c r="AX2548" s="340">
        <v>126.01</v>
      </c>
      <c r="AY2548" s="340" t="s">
        <v>344</v>
      </c>
      <c r="BN2548" s="340">
        <v>703.12</v>
      </c>
      <c r="BO2548" s="340" t="s">
        <v>289</v>
      </c>
      <c r="BP2548" s="1385"/>
      <c r="BV2548" s="236">
        <v>39.159999999999997</v>
      </c>
      <c r="BW2548" s="236" t="s">
        <v>331</v>
      </c>
      <c r="CB2548" s="340">
        <v>128.02000000000001</v>
      </c>
      <c r="CC2548" s="340" t="s">
        <v>344</v>
      </c>
      <c r="CL2548" s="236">
        <v>143.36000000000001</v>
      </c>
      <c r="CM2548" s="236" t="s">
        <v>302</v>
      </c>
      <c r="CR2548" s="340">
        <v>703.12</v>
      </c>
      <c r="CS2548" s="340" t="s">
        <v>289</v>
      </c>
      <c r="CT2548" s="1384"/>
      <c r="DF2548" s="340">
        <v>3820.07</v>
      </c>
      <c r="DG2548" s="340" t="s">
        <v>350</v>
      </c>
      <c r="DV2548" s="340">
        <v>826.07</v>
      </c>
      <c r="DW2548" s="340" t="s">
        <v>355</v>
      </c>
      <c r="DX2548" s="1671"/>
    </row>
    <row r="2549" spans="12:128">
      <c r="L2549" s="2481">
        <v>21.02</v>
      </c>
      <c r="M2549" s="340" t="s">
        <v>347</v>
      </c>
      <c r="N2549" s="1390"/>
      <c r="O2549" s="2479"/>
      <c r="P2549" s="2282"/>
      <c r="AG2549" s="2297">
        <v>901.02</v>
      </c>
      <c r="AH2549" s="2297" t="s">
        <v>355</v>
      </c>
      <c r="AI2549" s="1390"/>
      <c r="AJ2549" s="2282"/>
      <c r="AK2549" s="2282"/>
      <c r="AL2549" s="1037"/>
      <c r="AX2549" s="340">
        <v>127.01</v>
      </c>
      <c r="AY2549" s="340" t="s">
        <v>344</v>
      </c>
      <c r="BN2549" s="340">
        <v>703.14</v>
      </c>
      <c r="BO2549" s="340" t="s">
        <v>289</v>
      </c>
      <c r="BP2549" s="1385"/>
      <c r="BV2549" s="236">
        <v>39.17</v>
      </c>
      <c r="BW2549" s="236" t="s">
        <v>331</v>
      </c>
      <c r="CB2549" s="340">
        <v>128.03</v>
      </c>
      <c r="CC2549" s="340" t="s">
        <v>344</v>
      </c>
      <c r="CL2549" s="236">
        <v>143.38</v>
      </c>
      <c r="CM2549" s="236" t="s">
        <v>302</v>
      </c>
      <c r="CR2549" s="340">
        <v>703.14</v>
      </c>
      <c r="CS2549" s="340" t="s">
        <v>289</v>
      </c>
      <c r="CT2549" s="1384"/>
      <c r="DF2549" s="340">
        <v>3820.08</v>
      </c>
      <c r="DG2549" s="340" t="s">
        <v>350</v>
      </c>
      <c r="DV2549" s="340">
        <v>827.01</v>
      </c>
      <c r="DW2549" s="340" t="s">
        <v>355</v>
      </c>
      <c r="DX2549" s="1671"/>
    </row>
    <row r="2550" spans="12:128">
      <c r="L2550" s="2481">
        <v>22.01</v>
      </c>
      <c r="M2550" s="340" t="s">
        <v>347</v>
      </c>
      <c r="N2550" s="1390"/>
      <c r="O2550" s="2479"/>
      <c r="P2550" s="2282"/>
      <c r="AG2550" s="2297">
        <v>902</v>
      </c>
      <c r="AH2550" s="2297" t="s">
        <v>289</v>
      </c>
      <c r="AI2550" s="1390"/>
      <c r="AJ2550" s="2282"/>
      <c r="AK2550" s="2282"/>
      <c r="AL2550" s="1037"/>
      <c r="AX2550" s="340">
        <v>128.02000000000001</v>
      </c>
      <c r="AY2550" s="340" t="s">
        <v>344</v>
      </c>
      <c r="BN2550" s="340">
        <v>703.15</v>
      </c>
      <c r="BO2550" s="340" t="s">
        <v>289</v>
      </c>
      <c r="BP2550" s="1385"/>
      <c r="BV2550" s="236">
        <v>39.18</v>
      </c>
      <c r="BW2550" s="236" t="s">
        <v>331</v>
      </c>
      <c r="CB2550" s="340">
        <v>128.04</v>
      </c>
      <c r="CC2550" s="340" t="s">
        <v>344</v>
      </c>
      <c r="CL2550" s="236">
        <v>143.38999999999999</v>
      </c>
      <c r="CM2550" s="236" t="s">
        <v>302</v>
      </c>
      <c r="CR2550" s="340">
        <v>703.15</v>
      </c>
      <c r="CS2550" s="340" t="s">
        <v>289</v>
      </c>
      <c r="CT2550" s="1384"/>
      <c r="DF2550" s="340">
        <v>3820.09</v>
      </c>
      <c r="DG2550" s="340" t="s">
        <v>350</v>
      </c>
      <c r="DV2550" s="340">
        <v>827.03</v>
      </c>
      <c r="DW2550" s="340" t="s">
        <v>355</v>
      </c>
      <c r="DX2550" s="1671"/>
    </row>
    <row r="2551" spans="12:128">
      <c r="L2551" s="2481">
        <v>22.04</v>
      </c>
      <c r="M2551" s="340" t="s">
        <v>347</v>
      </c>
      <c r="N2551" s="1390"/>
      <c r="O2551" s="2479"/>
      <c r="P2551" s="2282"/>
      <c r="AG2551" s="2297">
        <v>902.04</v>
      </c>
      <c r="AH2551" s="2297" t="s">
        <v>355</v>
      </c>
      <c r="AI2551" s="1390"/>
      <c r="AJ2551" s="2282"/>
      <c r="AK2551" s="2282"/>
      <c r="AL2551" s="1037"/>
      <c r="AX2551" s="340">
        <v>128.03</v>
      </c>
      <c r="AY2551" s="340" t="s">
        <v>344</v>
      </c>
      <c r="BN2551" s="340">
        <v>703.16</v>
      </c>
      <c r="BO2551" s="340" t="s">
        <v>289</v>
      </c>
      <c r="BP2551" s="1385"/>
      <c r="BV2551" s="236">
        <v>39.19</v>
      </c>
      <c r="BW2551" s="236" t="s">
        <v>331</v>
      </c>
      <c r="CB2551" s="340">
        <v>130.01</v>
      </c>
      <c r="CC2551" s="340" t="s">
        <v>344</v>
      </c>
      <c r="CL2551" s="236">
        <v>143.4</v>
      </c>
      <c r="CM2551" s="236" t="s">
        <v>302</v>
      </c>
      <c r="CR2551" s="340">
        <v>703.16</v>
      </c>
      <c r="CS2551" s="340" t="s">
        <v>289</v>
      </c>
      <c r="CT2551" s="1384"/>
      <c r="DF2551" s="340">
        <v>3820.11</v>
      </c>
      <c r="DG2551" s="340" t="s">
        <v>350</v>
      </c>
      <c r="DV2551" s="340">
        <v>827.04</v>
      </c>
      <c r="DW2551" s="340" t="s">
        <v>355</v>
      </c>
      <c r="DX2551" s="1671"/>
    </row>
    <row r="2552" spans="12:128">
      <c r="L2552" s="2481">
        <v>22.05</v>
      </c>
      <c r="M2552" s="340" t="s">
        <v>347</v>
      </c>
      <c r="N2552" s="1390"/>
      <c r="O2552" s="2479"/>
      <c r="P2552" s="2282"/>
      <c r="AG2552" s="2297">
        <v>903.04</v>
      </c>
      <c r="AH2552" s="2297" t="s">
        <v>355</v>
      </c>
      <c r="AI2552" s="1390"/>
      <c r="AJ2552" s="2282"/>
      <c r="AK2552" s="2282"/>
      <c r="AL2552" s="1037"/>
      <c r="AX2552" s="340">
        <v>130.01</v>
      </c>
      <c r="AY2552" s="340" t="s">
        <v>344</v>
      </c>
      <c r="BN2552" s="340">
        <v>703.18</v>
      </c>
      <c r="BO2552" s="340" t="s">
        <v>289</v>
      </c>
      <c r="BP2552" s="1385"/>
      <c r="BV2552" s="236">
        <v>39.21</v>
      </c>
      <c r="BW2552" s="236" t="s">
        <v>331</v>
      </c>
      <c r="CB2552" s="340">
        <v>131.01</v>
      </c>
      <c r="CC2552" s="340" t="s">
        <v>344</v>
      </c>
      <c r="CL2552" s="236">
        <v>143.41</v>
      </c>
      <c r="CM2552" s="236" t="s">
        <v>302</v>
      </c>
      <c r="CR2552" s="340">
        <v>703.18</v>
      </c>
      <c r="CS2552" s="340" t="s">
        <v>289</v>
      </c>
      <c r="CT2552" s="1384"/>
      <c r="DF2552" s="340">
        <v>3820.12</v>
      </c>
      <c r="DG2552" s="340" t="s">
        <v>350</v>
      </c>
      <c r="DV2552" s="340">
        <v>827.05</v>
      </c>
      <c r="DW2552" s="340" t="s">
        <v>355</v>
      </c>
      <c r="DX2552" s="1671"/>
    </row>
    <row r="2553" spans="12:128">
      <c r="L2553" s="2481">
        <v>23.06</v>
      </c>
      <c r="M2553" s="340" t="s">
        <v>347</v>
      </c>
      <c r="N2553" s="1390"/>
      <c r="O2553" s="2479"/>
      <c r="P2553" s="2282"/>
      <c r="AG2553" s="2297">
        <v>903.05</v>
      </c>
      <c r="AH2553" s="2297" t="s">
        <v>355</v>
      </c>
      <c r="AI2553" s="1390"/>
      <c r="AJ2553" s="2282"/>
      <c r="AK2553" s="2282"/>
      <c r="AL2553" s="1037"/>
      <c r="AX2553" s="340">
        <v>131.01</v>
      </c>
      <c r="AY2553" s="340" t="s">
        <v>344</v>
      </c>
      <c r="BN2553" s="340">
        <v>703.19</v>
      </c>
      <c r="BO2553" s="340" t="s">
        <v>289</v>
      </c>
      <c r="BP2553" s="1385"/>
      <c r="BV2553" s="236">
        <v>39.22</v>
      </c>
      <c r="BW2553" s="236" t="s">
        <v>331</v>
      </c>
      <c r="CB2553" s="340">
        <v>131.03</v>
      </c>
      <c r="CC2553" s="340" t="s">
        <v>344</v>
      </c>
      <c r="CL2553" s="236">
        <v>143.41999999999999</v>
      </c>
      <c r="CM2553" s="236" t="s">
        <v>302</v>
      </c>
      <c r="CR2553" s="340">
        <v>703.19</v>
      </c>
      <c r="CS2553" s="340" t="s">
        <v>289</v>
      </c>
      <c r="CT2553" s="1384"/>
      <c r="DF2553" s="340">
        <v>3820.14</v>
      </c>
      <c r="DG2553" s="340" t="s">
        <v>350</v>
      </c>
      <c r="DV2553" s="340">
        <v>828.01</v>
      </c>
      <c r="DW2553" s="340" t="s">
        <v>355</v>
      </c>
      <c r="DX2553" s="1671"/>
    </row>
    <row r="2554" spans="12:128">
      <c r="L2554" s="2481">
        <v>24.01</v>
      </c>
      <c r="M2554" s="340" t="s">
        <v>347</v>
      </c>
      <c r="N2554" s="1390"/>
      <c r="O2554" s="2479"/>
      <c r="P2554" s="2282"/>
      <c r="AG2554" s="2297">
        <v>903.06</v>
      </c>
      <c r="AH2554" s="2297" t="s">
        <v>355</v>
      </c>
      <c r="AI2554" s="1390"/>
      <c r="AJ2554" s="2282"/>
      <c r="AK2554" s="2282"/>
      <c r="AL2554" s="1037"/>
      <c r="AX2554" s="340">
        <v>131.03</v>
      </c>
      <c r="AY2554" s="340" t="s">
        <v>344</v>
      </c>
      <c r="BN2554" s="340">
        <v>703.2</v>
      </c>
      <c r="BO2554" s="340" t="s">
        <v>289</v>
      </c>
      <c r="BP2554" s="1385"/>
      <c r="BV2554" s="236">
        <v>40</v>
      </c>
      <c r="BW2554" s="236" t="s">
        <v>331</v>
      </c>
      <c r="CB2554" s="340">
        <v>135</v>
      </c>
      <c r="CC2554" s="340" t="s">
        <v>344</v>
      </c>
      <c r="CL2554" s="236">
        <v>143.43</v>
      </c>
      <c r="CM2554" s="236" t="s">
        <v>302</v>
      </c>
      <c r="CR2554" s="340">
        <v>703.2</v>
      </c>
      <c r="CS2554" s="340" t="s">
        <v>289</v>
      </c>
      <c r="CT2554" s="1384"/>
      <c r="DF2554" s="340">
        <v>3820.16</v>
      </c>
      <c r="DG2554" s="340" t="s">
        <v>350</v>
      </c>
      <c r="DV2554" s="340">
        <v>828.02</v>
      </c>
      <c r="DW2554" s="340" t="s">
        <v>355</v>
      </c>
      <c r="DX2554" s="1671"/>
    </row>
    <row r="2555" spans="12:128">
      <c r="L2555" s="2481">
        <v>25.05</v>
      </c>
      <c r="M2555" s="340" t="s">
        <v>347</v>
      </c>
      <c r="N2555" s="1390"/>
      <c r="O2555" s="2479"/>
      <c r="P2555" s="2282"/>
      <c r="AG2555" s="2297">
        <v>903.07</v>
      </c>
      <c r="AH2555" s="2297" t="s">
        <v>355</v>
      </c>
      <c r="AI2555" s="1390"/>
      <c r="AJ2555" s="2282"/>
      <c r="AK2555" s="2282"/>
      <c r="AL2555" s="1037"/>
      <c r="AX2555" s="340">
        <v>135</v>
      </c>
      <c r="AY2555" s="340" t="s">
        <v>344</v>
      </c>
      <c r="BN2555" s="340">
        <v>703.21</v>
      </c>
      <c r="BO2555" s="340" t="s">
        <v>289</v>
      </c>
      <c r="BP2555" s="1385"/>
      <c r="BV2555" s="236">
        <v>41.02</v>
      </c>
      <c r="BW2555" s="236" t="s">
        <v>331</v>
      </c>
      <c r="CB2555" s="340">
        <v>139.02000000000001</v>
      </c>
      <c r="CC2555" s="340" t="s">
        <v>344</v>
      </c>
      <c r="CL2555" s="236">
        <v>143.44</v>
      </c>
      <c r="CM2555" s="236" t="s">
        <v>302</v>
      </c>
      <c r="CR2555" s="340">
        <v>703.21</v>
      </c>
      <c r="CS2555" s="340" t="s">
        <v>289</v>
      </c>
      <c r="CT2555" s="1384"/>
      <c r="DF2555" s="340">
        <v>3821.1</v>
      </c>
      <c r="DG2555" s="340" t="s">
        <v>350</v>
      </c>
      <c r="DV2555" s="340">
        <v>829.03</v>
      </c>
      <c r="DW2555" s="340" t="s">
        <v>355</v>
      </c>
      <c r="DX2555" s="1671"/>
    </row>
    <row r="2556" spans="12:128">
      <c r="L2556" s="2481">
        <v>25.07</v>
      </c>
      <c r="M2556" s="340" t="s">
        <v>347</v>
      </c>
      <c r="N2556" s="1390"/>
      <c r="O2556" s="2479"/>
      <c r="P2556" s="2282"/>
      <c r="AG2556" s="2297">
        <v>904.01</v>
      </c>
      <c r="AH2556" s="2297" t="s">
        <v>355</v>
      </c>
      <c r="AI2556" s="1390"/>
      <c r="AJ2556" s="2282"/>
      <c r="AK2556" s="2282"/>
      <c r="AL2556" s="1037"/>
      <c r="AX2556" s="340">
        <v>139.02000000000001</v>
      </c>
      <c r="AY2556" s="340" t="s">
        <v>344</v>
      </c>
      <c r="BN2556" s="340">
        <v>703.23</v>
      </c>
      <c r="BO2556" s="340" t="s">
        <v>289</v>
      </c>
      <c r="BP2556" s="1385"/>
      <c r="BV2556" s="236">
        <v>41.03</v>
      </c>
      <c r="BW2556" s="236" t="s">
        <v>331</v>
      </c>
      <c r="CB2556" s="340">
        <v>140.01</v>
      </c>
      <c r="CC2556" s="340" t="s">
        <v>344</v>
      </c>
      <c r="CL2556" s="236">
        <v>144</v>
      </c>
      <c r="CM2556" s="236" t="s">
        <v>316</v>
      </c>
      <c r="CR2556" s="340">
        <v>703.23</v>
      </c>
      <c r="CS2556" s="340" t="s">
        <v>289</v>
      </c>
      <c r="CT2556" s="1384"/>
      <c r="DF2556" s="340">
        <v>3821.14</v>
      </c>
      <c r="DG2556" s="340" t="s">
        <v>350</v>
      </c>
      <c r="DV2556" s="340">
        <v>829.04</v>
      </c>
      <c r="DW2556" s="340" t="s">
        <v>355</v>
      </c>
      <c r="DX2556" s="1671"/>
    </row>
    <row r="2557" spans="12:128">
      <c r="L2557" s="2481">
        <v>25.09</v>
      </c>
      <c r="M2557" s="340" t="s">
        <v>347</v>
      </c>
      <c r="N2557" s="1390"/>
      <c r="O2557" s="2479"/>
      <c r="P2557" s="2282"/>
      <c r="AG2557" s="2297">
        <v>904.02</v>
      </c>
      <c r="AH2557" s="2297" t="s">
        <v>355</v>
      </c>
      <c r="AI2557" s="1390"/>
      <c r="AJ2557" s="2282"/>
      <c r="AK2557" s="2282"/>
      <c r="AL2557" s="1037"/>
      <c r="AX2557" s="340">
        <v>140.01</v>
      </c>
      <c r="AY2557" s="340" t="s">
        <v>344</v>
      </c>
      <c r="BN2557" s="340">
        <v>703.25</v>
      </c>
      <c r="BO2557" s="340" t="s">
        <v>289</v>
      </c>
      <c r="BP2557" s="1385"/>
      <c r="BV2557" s="236">
        <v>41.05</v>
      </c>
      <c r="BW2557" s="236" t="s">
        <v>331</v>
      </c>
      <c r="CB2557" s="340">
        <v>140.03</v>
      </c>
      <c r="CC2557" s="340" t="s">
        <v>344</v>
      </c>
      <c r="CL2557" s="236">
        <v>144</v>
      </c>
      <c r="CM2557" s="236" t="s">
        <v>331</v>
      </c>
      <c r="CR2557" s="340">
        <v>703.25</v>
      </c>
      <c r="CS2557" s="340" t="s">
        <v>289</v>
      </c>
      <c r="CT2557" s="1384"/>
      <c r="DF2557" s="340">
        <v>3821.18</v>
      </c>
      <c r="DG2557" s="340" t="s">
        <v>350</v>
      </c>
      <c r="DV2557" s="340">
        <v>830.05</v>
      </c>
      <c r="DW2557" s="340" t="s">
        <v>355</v>
      </c>
      <c r="DX2557" s="1671"/>
    </row>
    <row r="2558" spans="12:128">
      <c r="L2558" s="2481">
        <v>25.1</v>
      </c>
      <c r="M2558" s="340" t="s">
        <v>347</v>
      </c>
      <c r="N2558" s="1390"/>
      <c r="O2558" s="2479"/>
      <c r="P2558" s="2282"/>
      <c r="AG2558" s="2297">
        <v>905</v>
      </c>
      <c r="AH2558" s="2297" t="s">
        <v>355</v>
      </c>
      <c r="AI2558" s="1390"/>
      <c r="AJ2558" s="2282"/>
      <c r="AK2558" s="2282"/>
      <c r="AL2558" s="1037"/>
      <c r="AX2558" s="340">
        <v>140.03</v>
      </c>
      <c r="AY2558" s="340" t="s">
        <v>344</v>
      </c>
      <c r="BN2558" s="340">
        <v>703.26</v>
      </c>
      <c r="BO2558" s="340" t="s">
        <v>289</v>
      </c>
      <c r="BP2558" s="1385"/>
      <c r="BV2558" s="236">
        <v>41.06</v>
      </c>
      <c r="BW2558" s="236" t="s">
        <v>331</v>
      </c>
      <c r="CB2558" s="340">
        <v>140.05000000000001</v>
      </c>
      <c r="CC2558" s="340" t="s">
        <v>344</v>
      </c>
      <c r="CL2558" s="236">
        <v>144</v>
      </c>
      <c r="CM2558" s="236" t="s">
        <v>338</v>
      </c>
      <c r="CR2558" s="340">
        <v>703.26</v>
      </c>
      <c r="CS2558" s="340" t="s">
        <v>289</v>
      </c>
      <c r="CT2558" s="1384"/>
      <c r="DF2558" s="340">
        <v>3821.19</v>
      </c>
      <c r="DG2558" s="340" t="s">
        <v>350</v>
      </c>
      <c r="DV2558" s="340">
        <v>830.08</v>
      </c>
      <c r="DW2558" s="340" t="s">
        <v>355</v>
      </c>
      <c r="DX2558" s="1671"/>
    </row>
    <row r="2559" spans="12:128">
      <c r="L2559" s="2481">
        <v>25.11</v>
      </c>
      <c r="M2559" s="340" t="s">
        <v>347</v>
      </c>
      <c r="N2559" s="1390"/>
      <c r="O2559" s="2479"/>
      <c r="P2559" s="2282"/>
      <c r="AG2559" s="2297">
        <v>905.02</v>
      </c>
      <c r="AH2559" s="2297" t="s">
        <v>289</v>
      </c>
      <c r="AI2559" s="1390"/>
      <c r="AJ2559" s="2282"/>
      <c r="AK2559" s="2282"/>
      <c r="AL2559" s="1037"/>
      <c r="AX2559" s="340">
        <v>140.05000000000001</v>
      </c>
      <c r="AY2559" s="340" t="s">
        <v>344</v>
      </c>
      <c r="BN2559" s="340">
        <v>703.27</v>
      </c>
      <c r="BO2559" s="340" t="s">
        <v>289</v>
      </c>
      <c r="BP2559" s="1385"/>
      <c r="BV2559" s="236">
        <v>42.04</v>
      </c>
      <c r="BW2559" s="236" t="s">
        <v>331</v>
      </c>
      <c r="CB2559" s="340">
        <v>140.06</v>
      </c>
      <c r="CC2559" s="340" t="s">
        <v>344</v>
      </c>
      <c r="CL2559" s="236">
        <v>144.01</v>
      </c>
      <c r="CM2559" s="236" t="s">
        <v>344</v>
      </c>
      <c r="CR2559" s="340">
        <v>703.27</v>
      </c>
      <c r="CS2559" s="340" t="s">
        <v>289</v>
      </c>
      <c r="CT2559" s="1384"/>
      <c r="DF2559" s="340">
        <v>3821.2</v>
      </c>
      <c r="DG2559" s="340" t="s">
        <v>350</v>
      </c>
      <c r="DV2559" s="340">
        <v>832.03</v>
      </c>
      <c r="DW2559" s="340" t="s">
        <v>355</v>
      </c>
      <c r="DX2559" s="1671"/>
    </row>
    <row r="2560" spans="12:128">
      <c r="L2560" s="2481">
        <v>26.01</v>
      </c>
      <c r="M2560" s="340" t="s">
        <v>347</v>
      </c>
      <c r="N2560" s="1390"/>
      <c r="O2560" s="2479"/>
      <c r="P2560" s="2282"/>
      <c r="AG2560" s="2297">
        <v>905.03</v>
      </c>
      <c r="AH2560" s="2297" t="s">
        <v>289</v>
      </c>
      <c r="AI2560" s="1390"/>
      <c r="AJ2560" s="2282"/>
      <c r="AK2560" s="2282"/>
      <c r="AL2560" s="1037"/>
      <c r="AX2560" s="340">
        <v>140.06</v>
      </c>
      <c r="AY2560" s="340" t="s">
        <v>344</v>
      </c>
      <c r="BN2560" s="340">
        <v>703.29</v>
      </c>
      <c r="BO2560" s="340" t="s">
        <v>289</v>
      </c>
      <c r="BP2560" s="1385"/>
      <c r="BV2560" s="236">
        <v>42.05</v>
      </c>
      <c r="BW2560" s="236" t="s">
        <v>331</v>
      </c>
      <c r="CB2560" s="340">
        <v>141.21</v>
      </c>
      <c r="CC2560" s="340" t="s">
        <v>344</v>
      </c>
      <c r="CL2560" s="236">
        <v>144.02000000000001</v>
      </c>
      <c r="CM2560" s="236" t="s">
        <v>344</v>
      </c>
      <c r="CR2560" s="340">
        <v>703.28</v>
      </c>
      <c r="CS2560" s="340" t="s">
        <v>289</v>
      </c>
      <c r="CT2560" s="1384"/>
      <c r="DF2560" s="340">
        <v>3821.23</v>
      </c>
      <c r="DG2560" s="340" t="s">
        <v>350</v>
      </c>
      <c r="DV2560" s="340">
        <v>832.05</v>
      </c>
      <c r="DW2560" s="340" t="s">
        <v>355</v>
      </c>
      <c r="DX2560" s="1671"/>
    </row>
    <row r="2561" spans="12:128">
      <c r="L2561" s="2481">
        <v>26.02</v>
      </c>
      <c r="M2561" s="340" t="s">
        <v>347</v>
      </c>
      <c r="N2561" s="1390"/>
      <c r="O2561" s="2479"/>
      <c r="P2561" s="2282"/>
      <c r="AG2561" s="2297">
        <v>906.02</v>
      </c>
      <c r="AH2561" s="2297" t="s">
        <v>289</v>
      </c>
      <c r="AI2561" s="1390"/>
      <c r="AJ2561" s="2282"/>
      <c r="AK2561" s="2282"/>
      <c r="AL2561" s="1037"/>
      <c r="AX2561" s="340">
        <v>141.04</v>
      </c>
      <c r="AY2561" s="340" t="s">
        <v>344</v>
      </c>
      <c r="BN2561" s="340">
        <v>703.3</v>
      </c>
      <c r="BO2561" s="340" t="s">
        <v>289</v>
      </c>
      <c r="BP2561" s="1385"/>
      <c r="BV2561" s="236">
        <v>42.06</v>
      </c>
      <c r="BW2561" s="236" t="s">
        <v>331</v>
      </c>
      <c r="CB2561" s="340">
        <v>141.22999999999999</v>
      </c>
      <c r="CC2561" s="340" t="s">
        <v>344</v>
      </c>
      <c r="CL2561" s="236">
        <v>144.08000000000001</v>
      </c>
      <c r="CM2561" s="236" t="s">
        <v>302</v>
      </c>
      <c r="CR2561" s="340">
        <v>703.29</v>
      </c>
      <c r="CS2561" s="340" t="s">
        <v>289</v>
      </c>
      <c r="CT2561" s="1384"/>
      <c r="DF2561" s="340">
        <v>3821.24</v>
      </c>
      <c r="DG2561" s="340" t="s">
        <v>350</v>
      </c>
      <c r="DV2561" s="340">
        <v>832.06</v>
      </c>
      <c r="DW2561" s="340" t="s">
        <v>355</v>
      </c>
      <c r="DX2561" s="1671"/>
    </row>
    <row r="2562" spans="12:128">
      <c r="L2562" s="2481">
        <v>26.03</v>
      </c>
      <c r="M2562" s="340" t="s">
        <v>347</v>
      </c>
      <c r="N2562" s="1390"/>
      <c r="O2562" s="2479"/>
      <c r="P2562" s="2282"/>
      <c r="AG2562" s="2297">
        <v>907</v>
      </c>
      <c r="AH2562" s="2297" t="s">
        <v>289</v>
      </c>
      <c r="AI2562" s="1390"/>
      <c r="AJ2562" s="2282"/>
      <c r="AK2562" s="2282"/>
      <c r="AL2562" s="1037"/>
      <c r="AX2562" s="340">
        <v>141.21</v>
      </c>
      <c r="AY2562" s="340" t="s">
        <v>344</v>
      </c>
      <c r="BN2562" s="340">
        <v>703.31</v>
      </c>
      <c r="BO2562" s="340" t="s">
        <v>289</v>
      </c>
      <c r="BP2562" s="1385"/>
      <c r="BV2562" s="236">
        <v>42.07</v>
      </c>
      <c r="BW2562" s="236" t="s">
        <v>331</v>
      </c>
      <c r="CB2562" s="340">
        <v>141.26</v>
      </c>
      <c r="CC2562" s="340" t="s">
        <v>344</v>
      </c>
      <c r="CL2562" s="236">
        <v>144.13</v>
      </c>
      <c r="CM2562" s="236" t="s">
        <v>302</v>
      </c>
      <c r="CR2562" s="340">
        <v>703.3</v>
      </c>
      <c r="CS2562" s="340" t="s">
        <v>289</v>
      </c>
      <c r="CT2562" s="1384"/>
      <c r="DF2562" s="340">
        <v>3821.25</v>
      </c>
      <c r="DG2562" s="340" t="s">
        <v>350</v>
      </c>
      <c r="DV2562" s="340">
        <v>832.07</v>
      </c>
      <c r="DW2562" s="340" t="s">
        <v>355</v>
      </c>
      <c r="DX2562" s="1671"/>
    </row>
    <row r="2563" spans="12:128">
      <c r="L2563" s="2481">
        <v>27.14</v>
      </c>
      <c r="M2563" s="340" t="s">
        <v>347</v>
      </c>
      <c r="N2563" s="1390"/>
      <c r="O2563" s="2479"/>
      <c r="P2563" s="2282"/>
      <c r="AG2563" s="2297">
        <v>907.01</v>
      </c>
      <c r="AH2563" s="2297" t="s">
        <v>355</v>
      </c>
      <c r="AI2563" s="1390"/>
      <c r="AJ2563" s="2282"/>
      <c r="AK2563" s="2282"/>
      <c r="AL2563" s="1037"/>
      <c r="AX2563" s="340">
        <v>141.22999999999999</v>
      </c>
      <c r="AY2563" s="340" t="s">
        <v>344</v>
      </c>
      <c r="BN2563" s="340">
        <v>704.01</v>
      </c>
      <c r="BO2563" s="340" t="s">
        <v>289</v>
      </c>
      <c r="BP2563" s="1385"/>
      <c r="BV2563" s="236">
        <v>42.08</v>
      </c>
      <c r="BW2563" s="236" t="s">
        <v>331</v>
      </c>
      <c r="CB2563" s="340">
        <v>141.27000000000001</v>
      </c>
      <c r="CC2563" s="340" t="s">
        <v>344</v>
      </c>
      <c r="CL2563" s="236">
        <v>144.13999999999999</v>
      </c>
      <c r="CM2563" s="236" t="s">
        <v>302</v>
      </c>
      <c r="CR2563" s="340">
        <v>703.31</v>
      </c>
      <c r="CS2563" s="340" t="s">
        <v>289</v>
      </c>
      <c r="CT2563" s="1384"/>
      <c r="DF2563" s="340">
        <v>3821.26</v>
      </c>
      <c r="DG2563" s="340" t="s">
        <v>350</v>
      </c>
      <c r="DV2563" s="340">
        <v>832.09</v>
      </c>
      <c r="DW2563" s="340" t="s">
        <v>355</v>
      </c>
      <c r="DX2563" s="1671"/>
    </row>
    <row r="2564" spans="12:128">
      <c r="L2564" s="2481">
        <v>27.16</v>
      </c>
      <c r="M2564" s="340" t="s">
        <v>347</v>
      </c>
      <c r="N2564" s="1390"/>
      <c r="O2564" s="2479"/>
      <c r="P2564" s="2282"/>
      <c r="AG2564" s="2297">
        <v>908.01</v>
      </c>
      <c r="AH2564" s="2297" t="s">
        <v>289</v>
      </c>
      <c r="AI2564" s="1390"/>
      <c r="AJ2564" s="2282"/>
      <c r="AK2564" s="2282"/>
      <c r="AL2564" s="1037"/>
      <c r="AX2564" s="340">
        <v>141.26</v>
      </c>
      <c r="AY2564" s="340" t="s">
        <v>344</v>
      </c>
      <c r="BN2564" s="340">
        <v>704.02</v>
      </c>
      <c r="BO2564" s="340" t="s">
        <v>289</v>
      </c>
      <c r="BP2564" s="1385"/>
      <c r="BV2564" s="236">
        <v>43.01</v>
      </c>
      <c r="BW2564" s="236" t="s">
        <v>331</v>
      </c>
      <c r="CB2564" s="340">
        <v>141.28</v>
      </c>
      <c r="CC2564" s="340" t="s">
        <v>344</v>
      </c>
      <c r="CL2564" s="236">
        <v>144.15</v>
      </c>
      <c r="CM2564" s="236" t="s">
        <v>302</v>
      </c>
      <c r="CR2564" s="340">
        <v>704.01</v>
      </c>
      <c r="CS2564" s="340" t="s">
        <v>289</v>
      </c>
      <c r="CT2564" s="1384"/>
      <c r="DF2564" s="340">
        <v>3821.27</v>
      </c>
      <c r="DG2564" s="340" t="s">
        <v>350</v>
      </c>
      <c r="DV2564" s="340">
        <v>832.1</v>
      </c>
      <c r="DW2564" s="340" t="s">
        <v>355</v>
      </c>
      <c r="DX2564" s="1671"/>
    </row>
    <row r="2565" spans="12:128">
      <c r="L2565" s="2481">
        <v>27.2</v>
      </c>
      <c r="M2565" s="340" t="s">
        <v>347</v>
      </c>
      <c r="N2565" s="1390"/>
      <c r="O2565" s="2479"/>
      <c r="P2565" s="2282"/>
      <c r="AG2565" s="2297">
        <v>908.03</v>
      </c>
      <c r="AH2565" s="2297" t="s">
        <v>355</v>
      </c>
      <c r="AI2565" s="1390"/>
      <c r="AJ2565" s="2282"/>
      <c r="AK2565" s="2282"/>
      <c r="AL2565" s="1037"/>
      <c r="AX2565" s="340">
        <v>141.29</v>
      </c>
      <c r="AY2565" s="340" t="s">
        <v>344</v>
      </c>
      <c r="BN2565" s="340">
        <v>704.03</v>
      </c>
      <c r="BO2565" s="340" t="s">
        <v>289</v>
      </c>
      <c r="BP2565" s="1385"/>
      <c r="BV2565" s="236">
        <v>43.03</v>
      </c>
      <c r="BW2565" s="236" t="s">
        <v>331</v>
      </c>
      <c r="CB2565" s="340">
        <v>141.29</v>
      </c>
      <c r="CC2565" s="340" t="s">
        <v>344</v>
      </c>
      <c r="CL2565" s="236">
        <v>144.16</v>
      </c>
      <c r="CM2565" s="236" t="s">
        <v>302</v>
      </c>
      <c r="CR2565" s="340">
        <v>704.02</v>
      </c>
      <c r="CS2565" s="340" t="s">
        <v>289</v>
      </c>
      <c r="CT2565" s="1384"/>
      <c r="DF2565" s="340">
        <v>3821.28</v>
      </c>
      <c r="DG2565" s="340" t="s">
        <v>350</v>
      </c>
      <c r="DV2565" s="340">
        <v>832.11</v>
      </c>
      <c r="DW2565" s="340" t="s">
        <v>355</v>
      </c>
      <c r="DX2565" s="1671"/>
    </row>
    <row r="2566" spans="12:128">
      <c r="L2566" s="2481">
        <v>27.25</v>
      </c>
      <c r="M2566" s="340" t="s">
        <v>347</v>
      </c>
      <c r="N2566" s="1390"/>
      <c r="O2566" s="2479"/>
      <c r="P2566" s="2282"/>
      <c r="AG2566" s="2297">
        <v>908.06</v>
      </c>
      <c r="AH2566" s="2297" t="s">
        <v>355</v>
      </c>
      <c r="AI2566" s="1390"/>
      <c r="AJ2566" s="2282"/>
      <c r="AK2566" s="2282"/>
      <c r="AL2566" s="1037"/>
      <c r="AX2566" s="340">
        <v>141.30000000000001</v>
      </c>
      <c r="AY2566" s="340" t="s">
        <v>344</v>
      </c>
      <c r="BN2566" s="340">
        <v>704.04</v>
      </c>
      <c r="BO2566" s="340" t="s">
        <v>289</v>
      </c>
      <c r="BP2566" s="1385"/>
      <c r="BV2566" s="236">
        <v>43.04</v>
      </c>
      <c r="BW2566" s="236" t="s">
        <v>331</v>
      </c>
      <c r="CB2566" s="340">
        <v>142.01</v>
      </c>
      <c r="CC2566" s="340" t="s">
        <v>344</v>
      </c>
      <c r="CL2566" s="236">
        <v>144.16999999999999</v>
      </c>
      <c r="CM2566" s="236" t="s">
        <v>302</v>
      </c>
      <c r="CR2566" s="340">
        <v>704.03</v>
      </c>
      <c r="CS2566" s="340" t="s">
        <v>289</v>
      </c>
      <c r="CT2566" s="1384"/>
      <c r="DF2566" s="340">
        <v>3821.3</v>
      </c>
      <c r="DG2566" s="340" t="s">
        <v>350</v>
      </c>
      <c r="DV2566" s="340">
        <v>901.02</v>
      </c>
      <c r="DW2566" s="340" t="s">
        <v>289</v>
      </c>
      <c r="DX2566" s="1671"/>
    </row>
    <row r="2567" spans="12:128">
      <c r="L2567" s="2481">
        <v>27.26</v>
      </c>
      <c r="M2567" s="340" t="s">
        <v>347</v>
      </c>
      <c r="N2567" s="1390"/>
      <c r="O2567" s="2479"/>
      <c r="P2567" s="2282"/>
      <c r="AG2567" s="2297">
        <v>908.07</v>
      </c>
      <c r="AH2567" s="2297" t="s">
        <v>355</v>
      </c>
      <c r="AI2567" s="1390"/>
      <c r="AJ2567" s="2282"/>
      <c r="AK2567" s="2282"/>
      <c r="AL2567" s="1037"/>
      <c r="AX2567" s="340">
        <v>142.02000000000001</v>
      </c>
      <c r="AY2567" s="340" t="s">
        <v>344</v>
      </c>
      <c r="BN2567" s="340">
        <v>704.05</v>
      </c>
      <c r="BO2567" s="340" t="s">
        <v>289</v>
      </c>
      <c r="BP2567" s="1385"/>
      <c r="BV2567" s="236">
        <v>44.03</v>
      </c>
      <c r="BW2567" s="236" t="s">
        <v>331</v>
      </c>
      <c r="CB2567" s="340">
        <v>142.02000000000001</v>
      </c>
      <c r="CC2567" s="340" t="s">
        <v>344</v>
      </c>
      <c r="CL2567" s="236">
        <v>144.18</v>
      </c>
      <c r="CM2567" s="236" t="s">
        <v>302</v>
      </c>
      <c r="CR2567" s="340">
        <v>704.04</v>
      </c>
      <c r="CS2567" s="340" t="s">
        <v>289</v>
      </c>
      <c r="CT2567" s="1384"/>
      <c r="DF2567" s="340">
        <v>3822.02</v>
      </c>
      <c r="DG2567" s="340" t="s">
        <v>350</v>
      </c>
      <c r="DV2567" s="340">
        <v>901.02</v>
      </c>
      <c r="DW2567" s="340" t="s">
        <v>355</v>
      </c>
      <c r="DX2567" s="1671"/>
    </row>
    <row r="2568" spans="12:128">
      <c r="L2568" s="2481">
        <v>27.27</v>
      </c>
      <c r="M2568" s="340" t="s">
        <v>347</v>
      </c>
      <c r="N2568" s="1390"/>
      <c r="O2568" s="2479"/>
      <c r="P2568" s="2282"/>
      <c r="AG2568" s="2297">
        <v>909</v>
      </c>
      <c r="AH2568" s="2297" t="s">
        <v>289</v>
      </c>
      <c r="AI2568" s="1390"/>
      <c r="AJ2568" s="2282"/>
      <c r="AK2568" s="2282"/>
      <c r="AL2568" s="1037"/>
      <c r="AX2568" s="340">
        <v>143.03</v>
      </c>
      <c r="AY2568" s="340" t="s">
        <v>344</v>
      </c>
      <c r="BN2568" s="340">
        <v>705.01</v>
      </c>
      <c r="BO2568" s="340" t="s">
        <v>289</v>
      </c>
      <c r="BP2568" s="1385"/>
      <c r="BV2568" s="236">
        <v>44.04</v>
      </c>
      <c r="BW2568" s="236" t="s">
        <v>331</v>
      </c>
      <c r="CB2568" s="340">
        <v>143.03</v>
      </c>
      <c r="CC2568" s="340" t="s">
        <v>344</v>
      </c>
      <c r="CL2568" s="236">
        <v>144.19</v>
      </c>
      <c r="CM2568" s="236" t="s">
        <v>302</v>
      </c>
      <c r="CR2568" s="340">
        <v>704.05</v>
      </c>
      <c r="CS2568" s="340" t="s">
        <v>289</v>
      </c>
      <c r="CT2568" s="1384"/>
      <c r="DF2568" s="340">
        <v>103.01</v>
      </c>
      <c r="DG2568" s="340" t="s">
        <v>346</v>
      </c>
      <c r="DV2568" s="340">
        <v>901.03</v>
      </c>
      <c r="DW2568" s="340" t="s">
        <v>289</v>
      </c>
      <c r="DX2568" s="1671"/>
    </row>
    <row r="2569" spans="12:128">
      <c r="L2569" s="2481">
        <v>27.3</v>
      </c>
      <c r="M2569" s="340" t="s">
        <v>347</v>
      </c>
      <c r="N2569" s="1390"/>
      <c r="O2569" s="2479"/>
      <c r="P2569" s="2282"/>
      <c r="AG2569" s="2297">
        <v>909.03</v>
      </c>
      <c r="AH2569" s="2297" t="s">
        <v>355</v>
      </c>
      <c r="AI2569" s="1390"/>
      <c r="AJ2569" s="2282"/>
      <c r="AK2569" s="2282"/>
      <c r="AL2569" s="1037"/>
      <c r="AX2569" s="340">
        <v>143.04</v>
      </c>
      <c r="AY2569" s="340" t="s">
        <v>344</v>
      </c>
      <c r="BN2569" s="340">
        <v>705.03</v>
      </c>
      <c r="BO2569" s="340" t="s">
        <v>289</v>
      </c>
      <c r="BP2569" s="1385"/>
      <c r="BV2569" s="236">
        <v>44.05</v>
      </c>
      <c r="BW2569" s="236" t="s">
        <v>331</v>
      </c>
      <c r="CB2569" s="340">
        <v>144.01</v>
      </c>
      <c r="CC2569" s="340" t="s">
        <v>344</v>
      </c>
      <c r="CL2569" s="236">
        <v>144.19999999999999</v>
      </c>
      <c r="CM2569" s="236" t="s">
        <v>302</v>
      </c>
      <c r="CR2569" s="340">
        <v>705.01</v>
      </c>
      <c r="CS2569" s="340" t="s">
        <v>289</v>
      </c>
      <c r="CT2569" s="1384"/>
      <c r="DF2569" s="340">
        <v>103.02</v>
      </c>
      <c r="DG2569" s="340" t="s">
        <v>346</v>
      </c>
      <c r="DV2569" s="340">
        <v>901.04</v>
      </c>
      <c r="DW2569" s="340" t="s">
        <v>289</v>
      </c>
      <c r="DX2569" s="1671"/>
    </row>
    <row r="2570" spans="12:128">
      <c r="L2570" s="2481">
        <v>27.31</v>
      </c>
      <c r="M2570" s="340" t="s">
        <v>347</v>
      </c>
      <c r="N2570" s="1390"/>
      <c r="O2570" s="2479"/>
      <c r="P2570" s="2282"/>
      <c r="AG2570" s="2297">
        <v>909.04</v>
      </c>
      <c r="AH2570" s="2297" t="s">
        <v>355</v>
      </c>
      <c r="AI2570" s="1390"/>
      <c r="AJ2570" s="2282"/>
      <c r="AK2570" s="2282"/>
      <c r="AL2570" s="1037"/>
      <c r="AX2570" s="340">
        <v>144.01</v>
      </c>
      <c r="AY2570" s="340" t="s">
        <v>344</v>
      </c>
      <c r="BN2570" s="340">
        <v>706.02</v>
      </c>
      <c r="BO2570" s="340" t="s">
        <v>289</v>
      </c>
      <c r="BP2570" s="1385"/>
      <c r="BV2570" s="236">
        <v>44.06</v>
      </c>
      <c r="BW2570" s="236" t="s">
        <v>331</v>
      </c>
      <c r="CB2570" s="340">
        <v>144.02000000000001</v>
      </c>
      <c r="CC2570" s="340" t="s">
        <v>344</v>
      </c>
      <c r="CL2570" s="236">
        <v>144.21</v>
      </c>
      <c r="CM2570" s="236" t="s">
        <v>302</v>
      </c>
      <c r="CR2570" s="340">
        <v>705.03</v>
      </c>
      <c r="CS2570" s="340" t="s">
        <v>289</v>
      </c>
      <c r="CT2570" s="1384"/>
      <c r="DF2570" s="340">
        <v>103.03</v>
      </c>
      <c r="DG2570" s="340" t="s">
        <v>346</v>
      </c>
      <c r="DV2570" s="340">
        <v>902</v>
      </c>
      <c r="DW2570" s="340" t="s">
        <v>289</v>
      </c>
      <c r="DX2570" s="1671"/>
    </row>
    <row r="2571" spans="12:128">
      <c r="L2571" s="2481">
        <v>27.32</v>
      </c>
      <c r="M2571" s="340" t="s">
        <v>347</v>
      </c>
      <c r="N2571" s="1390"/>
      <c r="O2571" s="2479"/>
      <c r="P2571" s="2282"/>
      <c r="AG2571" s="2297">
        <v>909.05</v>
      </c>
      <c r="AH2571" s="2297" t="s">
        <v>355</v>
      </c>
      <c r="AI2571" s="1390"/>
      <c r="AJ2571" s="2282"/>
      <c r="AK2571" s="2282"/>
      <c r="AL2571" s="1037"/>
      <c r="AX2571" s="340">
        <v>147.01</v>
      </c>
      <c r="AY2571" s="340" t="s">
        <v>344</v>
      </c>
      <c r="BN2571" s="340">
        <v>711</v>
      </c>
      <c r="BO2571" s="340" t="s">
        <v>288</v>
      </c>
      <c r="BP2571" s="1385"/>
      <c r="BV2571" s="236">
        <v>45</v>
      </c>
      <c r="BW2571" s="236" t="s">
        <v>331</v>
      </c>
      <c r="CB2571" s="340">
        <v>147.01</v>
      </c>
      <c r="CC2571" s="340" t="s">
        <v>344</v>
      </c>
      <c r="CL2571" s="236">
        <v>144.22</v>
      </c>
      <c r="CM2571" s="236" t="s">
        <v>302</v>
      </c>
      <c r="CR2571" s="340">
        <v>706.02</v>
      </c>
      <c r="CS2571" s="340" t="s">
        <v>289</v>
      </c>
      <c r="CT2571" s="1384"/>
      <c r="DF2571" s="340">
        <v>105.04</v>
      </c>
      <c r="DG2571" s="340" t="s">
        <v>346</v>
      </c>
      <c r="DV2571" s="340">
        <v>902.04</v>
      </c>
      <c r="DW2571" s="340" t="s">
        <v>355</v>
      </c>
      <c r="DX2571" s="1671"/>
    </row>
    <row r="2572" spans="12:128">
      <c r="L2572" s="2481">
        <v>27.33</v>
      </c>
      <c r="M2572" s="340" t="s">
        <v>347</v>
      </c>
      <c r="N2572" s="1390"/>
      <c r="O2572" s="2479"/>
      <c r="P2572" s="2282"/>
      <c r="AG2572" s="2297">
        <v>910</v>
      </c>
      <c r="AH2572" s="2297" t="s">
        <v>289</v>
      </c>
      <c r="AI2572" s="1390"/>
      <c r="AJ2572" s="2282"/>
      <c r="AK2572" s="2282"/>
      <c r="AL2572" s="1037"/>
      <c r="AX2572" s="340">
        <v>147.03</v>
      </c>
      <c r="AY2572" s="340" t="s">
        <v>344</v>
      </c>
      <c r="BN2572" s="340">
        <v>712.01</v>
      </c>
      <c r="BO2572" s="340" t="s">
        <v>288</v>
      </c>
      <c r="BP2572" s="1385"/>
      <c r="BV2572" s="236">
        <v>46.02</v>
      </c>
      <c r="BW2572" s="236" t="s">
        <v>331</v>
      </c>
      <c r="CB2572" s="340">
        <v>147.03</v>
      </c>
      <c r="CC2572" s="340" t="s">
        <v>344</v>
      </c>
      <c r="CL2572" s="236">
        <v>144.22999999999999</v>
      </c>
      <c r="CM2572" s="236" t="s">
        <v>302</v>
      </c>
      <c r="CR2572" s="340">
        <v>711</v>
      </c>
      <c r="CS2572" s="340" t="s">
        <v>288</v>
      </c>
      <c r="CT2572" s="1384"/>
      <c r="DF2572" s="340">
        <v>105.06</v>
      </c>
      <c r="DG2572" s="340" t="s">
        <v>346</v>
      </c>
      <c r="DV2572" s="340">
        <v>903.04</v>
      </c>
      <c r="DW2572" s="340" t="s">
        <v>355</v>
      </c>
      <c r="DX2572" s="1671"/>
    </row>
    <row r="2573" spans="12:128">
      <c r="L2573" s="2481">
        <v>27.34</v>
      </c>
      <c r="M2573" s="340" t="s">
        <v>347</v>
      </c>
      <c r="N2573" s="1390"/>
      <c r="O2573" s="2479"/>
      <c r="P2573" s="2282"/>
      <c r="AG2573" s="2297">
        <v>910.01</v>
      </c>
      <c r="AH2573" s="2297" t="s">
        <v>355</v>
      </c>
      <c r="AI2573" s="1390"/>
      <c r="AJ2573" s="2282"/>
      <c r="AK2573" s="2282"/>
      <c r="AL2573" s="1037"/>
      <c r="AX2573" s="340">
        <v>148.02000000000001</v>
      </c>
      <c r="AY2573" s="340" t="s">
        <v>344</v>
      </c>
      <c r="BN2573" s="340">
        <v>712.03</v>
      </c>
      <c r="BO2573" s="340" t="s">
        <v>288</v>
      </c>
      <c r="BP2573" s="1385"/>
      <c r="BV2573" s="236">
        <v>46.05</v>
      </c>
      <c r="BW2573" s="236" t="s">
        <v>331</v>
      </c>
      <c r="CB2573" s="340">
        <v>147.04</v>
      </c>
      <c r="CC2573" s="340" t="s">
        <v>344</v>
      </c>
      <c r="CL2573" s="236">
        <v>144.24</v>
      </c>
      <c r="CM2573" s="236" t="s">
        <v>302</v>
      </c>
      <c r="CR2573" s="340">
        <v>712.01</v>
      </c>
      <c r="CS2573" s="340" t="s">
        <v>288</v>
      </c>
      <c r="CT2573" s="1384"/>
      <c r="DF2573" s="340">
        <v>107.04</v>
      </c>
      <c r="DG2573" s="340" t="s">
        <v>346</v>
      </c>
      <c r="DV2573" s="340">
        <v>903.05</v>
      </c>
      <c r="DW2573" s="340" t="s">
        <v>355</v>
      </c>
      <c r="DX2573" s="1671"/>
    </row>
    <row r="2574" spans="12:128">
      <c r="L2574" s="2481">
        <v>27.35</v>
      </c>
      <c r="M2574" s="340" t="s">
        <v>347</v>
      </c>
      <c r="N2574" s="1390"/>
      <c r="O2574" s="2479"/>
      <c r="P2574" s="2282"/>
      <c r="AG2574" s="2297">
        <v>910.05</v>
      </c>
      <c r="AH2574" s="2297" t="s">
        <v>355</v>
      </c>
      <c r="AI2574" s="1390"/>
      <c r="AJ2574" s="2282"/>
      <c r="AK2574" s="2282"/>
      <c r="AL2574" s="1037"/>
      <c r="AX2574" s="340">
        <v>148.03</v>
      </c>
      <c r="AY2574" s="340" t="s">
        <v>344</v>
      </c>
      <c r="BN2574" s="340">
        <v>712.05</v>
      </c>
      <c r="BO2574" s="340" t="s">
        <v>288</v>
      </c>
      <c r="BP2574" s="1385"/>
      <c r="BV2574" s="236">
        <v>46.07</v>
      </c>
      <c r="BW2574" s="236" t="s">
        <v>331</v>
      </c>
      <c r="CB2574" s="340">
        <v>148.03</v>
      </c>
      <c r="CC2574" s="340" t="s">
        <v>344</v>
      </c>
      <c r="CL2574" s="236">
        <v>144.25</v>
      </c>
      <c r="CM2574" s="236" t="s">
        <v>302</v>
      </c>
      <c r="CR2574" s="340">
        <v>712.02</v>
      </c>
      <c r="CS2574" s="340" t="s">
        <v>288</v>
      </c>
      <c r="CT2574" s="1384"/>
      <c r="DF2574" s="340">
        <v>107.07</v>
      </c>
      <c r="DG2574" s="340" t="s">
        <v>346</v>
      </c>
      <c r="DV2574" s="340">
        <v>903.06</v>
      </c>
      <c r="DW2574" s="340" t="s">
        <v>355</v>
      </c>
      <c r="DX2574" s="1671"/>
    </row>
    <row r="2575" spans="12:128">
      <c r="L2575" s="2481">
        <v>27.37</v>
      </c>
      <c r="M2575" s="340" t="s">
        <v>347</v>
      </c>
      <c r="N2575" s="1390"/>
      <c r="O2575" s="2479"/>
      <c r="P2575" s="2282"/>
      <c r="AG2575" s="2297">
        <v>910.17</v>
      </c>
      <c r="AH2575" s="2297" t="s">
        <v>355</v>
      </c>
      <c r="AI2575" s="1390"/>
      <c r="AJ2575" s="2282"/>
      <c r="AK2575" s="2282"/>
      <c r="AL2575" s="1037"/>
      <c r="AX2575" s="340">
        <v>148.04</v>
      </c>
      <c r="AY2575" s="340" t="s">
        <v>344</v>
      </c>
      <c r="BN2575" s="340">
        <v>713.35</v>
      </c>
      <c r="BO2575" s="340" t="s">
        <v>288</v>
      </c>
      <c r="BP2575" s="1385"/>
      <c r="BV2575" s="236">
        <v>46.08</v>
      </c>
      <c r="BW2575" s="236" t="s">
        <v>331</v>
      </c>
      <c r="CB2575" s="340">
        <v>148.04</v>
      </c>
      <c r="CC2575" s="340" t="s">
        <v>344</v>
      </c>
      <c r="CL2575" s="236">
        <v>144.26</v>
      </c>
      <c r="CM2575" s="236" t="s">
        <v>302</v>
      </c>
      <c r="CR2575" s="340">
        <v>712.03</v>
      </c>
      <c r="CS2575" s="340" t="s">
        <v>288</v>
      </c>
      <c r="CT2575" s="1384"/>
      <c r="DF2575" s="340">
        <v>107.09</v>
      </c>
      <c r="DG2575" s="340" t="s">
        <v>346</v>
      </c>
      <c r="DV2575" s="340">
        <v>903.07</v>
      </c>
      <c r="DW2575" s="340" t="s">
        <v>355</v>
      </c>
      <c r="DX2575" s="1671"/>
    </row>
    <row r="2576" spans="12:128">
      <c r="L2576" s="2481">
        <v>27.38</v>
      </c>
      <c r="M2576" s="340" t="s">
        <v>347</v>
      </c>
      <c r="N2576" s="1390"/>
      <c r="O2576" s="2479"/>
      <c r="P2576" s="2282"/>
      <c r="AG2576" s="2297">
        <v>910.18</v>
      </c>
      <c r="AH2576" s="2297" t="s">
        <v>355</v>
      </c>
      <c r="AI2576" s="1390"/>
      <c r="AJ2576" s="2282"/>
      <c r="AK2576" s="2282"/>
      <c r="AL2576" s="1037"/>
      <c r="AX2576" s="340">
        <v>149.04</v>
      </c>
      <c r="AY2576" s="340" t="s">
        <v>344</v>
      </c>
      <c r="BN2576" s="340">
        <v>713.39</v>
      </c>
      <c r="BO2576" s="340" t="s">
        <v>288</v>
      </c>
      <c r="BP2576" s="1385"/>
      <c r="BV2576" s="236">
        <v>47.01</v>
      </c>
      <c r="BW2576" s="236" t="s">
        <v>331</v>
      </c>
      <c r="CB2576" s="340">
        <v>149.04</v>
      </c>
      <c r="CC2576" s="340" t="s">
        <v>344</v>
      </c>
      <c r="CL2576" s="236">
        <v>144.27000000000001</v>
      </c>
      <c r="CM2576" s="236" t="s">
        <v>302</v>
      </c>
      <c r="CR2576" s="340">
        <v>712.05</v>
      </c>
      <c r="CS2576" s="340" t="s">
        <v>288</v>
      </c>
      <c r="CT2576" s="1384"/>
      <c r="DF2576" s="340">
        <v>107.1</v>
      </c>
      <c r="DG2576" s="340" t="s">
        <v>346</v>
      </c>
      <c r="DV2576" s="340">
        <v>904.01</v>
      </c>
      <c r="DW2576" s="340" t="s">
        <v>289</v>
      </c>
      <c r="DX2576" s="1671"/>
    </row>
    <row r="2577" spans="12:128">
      <c r="L2577" s="2481">
        <v>27.42</v>
      </c>
      <c r="M2577" s="340" t="s">
        <v>347</v>
      </c>
      <c r="N2577" s="1390"/>
      <c r="O2577" s="2479"/>
      <c r="P2577" s="2282"/>
      <c r="AG2577" s="2297">
        <v>910.19</v>
      </c>
      <c r="AH2577" s="2297" t="s">
        <v>355</v>
      </c>
      <c r="AI2577" s="1390"/>
      <c r="AJ2577" s="2282"/>
      <c r="AK2577" s="2282"/>
      <c r="AL2577" s="1037"/>
      <c r="AX2577" s="340">
        <v>149.06</v>
      </c>
      <c r="AY2577" s="340" t="s">
        <v>344</v>
      </c>
      <c r="BN2577" s="340">
        <v>713.43</v>
      </c>
      <c r="BO2577" s="340" t="s">
        <v>288</v>
      </c>
      <c r="BP2577" s="1385"/>
      <c r="BV2577" s="236">
        <v>47.03</v>
      </c>
      <c r="BW2577" s="236" t="s">
        <v>331</v>
      </c>
      <c r="CB2577" s="340">
        <v>149.06</v>
      </c>
      <c r="CC2577" s="340" t="s">
        <v>344</v>
      </c>
      <c r="CL2577" s="236">
        <v>144.28</v>
      </c>
      <c r="CM2577" s="236" t="s">
        <v>302</v>
      </c>
      <c r="CR2577" s="340">
        <v>713.37</v>
      </c>
      <c r="CS2577" s="340" t="s">
        <v>288</v>
      </c>
      <c r="CT2577" s="1384"/>
      <c r="DF2577" s="340">
        <v>107.12</v>
      </c>
      <c r="DG2577" s="340" t="s">
        <v>346</v>
      </c>
      <c r="DV2577" s="340">
        <v>904.01</v>
      </c>
      <c r="DW2577" s="340" t="s">
        <v>355</v>
      </c>
      <c r="DX2577" s="1671"/>
    </row>
    <row r="2578" spans="12:128">
      <c r="L2578" s="2481">
        <v>27.43</v>
      </c>
      <c r="M2578" s="340" t="s">
        <v>347</v>
      </c>
      <c r="N2578" s="1390"/>
      <c r="O2578" s="2479"/>
      <c r="P2578" s="2282"/>
      <c r="AG2578" s="2297">
        <v>910.2</v>
      </c>
      <c r="AH2578" s="2297" t="s">
        <v>355</v>
      </c>
      <c r="AI2578" s="1390"/>
      <c r="AJ2578" s="2282"/>
      <c r="AK2578" s="2282"/>
      <c r="AL2578" s="1037"/>
      <c r="AX2578" s="340">
        <v>151.01</v>
      </c>
      <c r="AY2578" s="340" t="s">
        <v>344</v>
      </c>
      <c r="BN2578" s="340">
        <v>713.44</v>
      </c>
      <c r="BO2578" s="340" t="s">
        <v>288</v>
      </c>
      <c r="BP2578" s="1385"/>
      <c r="BV2578" s="236">
        <v>47.04</v>
      </c>
      <c r="BW2578" s="236" t="s">
        <v>331</v>
      </c>
      <c r="CB2578" s="340">
        <v>151.01</v>
      </c>
      <c r="CC2578" s="340" t="s">
        <v>344</v>
      </c>
      <c r="CL2578" s="236">
        <v>145</v>
      </c>
      <c r="CM2578" s="236" t="s">
        <v>302</v>
      </c>
      <c r="CR2578" s="340">
        <v>713.43</v>
      </c>
      <c r="CS2578" s="340" t="s">
        <v>288</v>
      </c>
      <c r="CT2578" s="1384"/>
      <c r="DF2578" s="340">
        <v>108.02</v>
      </c>
      <c r="DG2578" s="340" t="s">
        <v>346</v>
      </c>
      <c r="DV2578" s="340">
        <v>904.02</v>
      </c>
      <c r="DW2578" s="340" t="s">
        <v>355</v>
      </c>
      <c r="DX2578" s="1671"/>
    </row>
    <row r="2579" spans="12:128">
      <c r="L2579" s="2481">
        <v>27.44</v>
      </c>
      <c r="M2579" s="340" t="s">
        <v>347</v>
      </c>
      <c r="N2579" s="1390"/>
      <c r="O2579" s="2479"/>
      <c r="P2579" s="2282"/>
      <c r="AG2579" s="2297">
        <v>910.21</v>
      </c>
      <c r="AH2579" s="2297" t="s">
        <v>355</v>
      </c>
      <c r="AI2579" s="1390"/>
      <c r="AJ2579" s="2282"/>
      <c r="AK2579" s="2282"/>
      <c r="AL2579" s="1037"/>
      <c r="AX2579" s="340">
        <v>151.02000000000001</v>
      </c>
      <c r="AY2579" s="340" t="s">
        <v>344</v>
      </c>
      <c r="BN2579" s="340">
        <v>713.46</v>
      </c>
      <c r="BO2579" s="340" t="s">
        <v>288</v>
      </c>
      <c r="BP2579" s="1385"/>
      <c r="BV2579" s="236">
        <v>47.05</v>
      </c>
      <c r="BW2579" s="236" t="s">
        <v>331</v>
      </c>
      <c r="CB2579" s="340">
        <v>151.02000000000001</v>
      </c>
      <c r="CC2579" s="340" t="s">
        <v>344</v>
      </c>
      <c r="CL2579" s="236">
        <v>145</v>
      </c>
      <c r="CM2579" s="236" t="s">
        <v>331</v>
      </c>
      <c r="CR2579" s="340">
        <v>713.46</v>
      </c>
      <c r="CS2579" s="340" t="s">
        <v>288</v>
      </c>
      <c r="CT2579" s="1384"/>
      <c r="DF2579" s="340">
        <v>108.12</v>
      </c>
      <c r="DG2579" s="340" t="s">
        <v>346</v>
      </c>
      <c r="DV2579" s="340">
        <v>905.02</v>
      </c>
      <c r="DW2579" s="340" t="s">
        <v>289</v>
      </c>
      <c r="DX2579" s="1671"/>
    </row>
    <row r="2580" spans="12:128">
      <c r="L2580" s="2481">
        <v>27.46</v>
      </c>
      <c r="M2580" s="340" t="s">
        <v>347</v>
      </c>
      <c r="N2580" s="1390"/>
      <c r="O2580" s="2479"/>
      <c r="P2580" s="2282"/>
      <c r="AG2580" s="2297">
        <v>910.23</v>
      </c>
      <c r="AH2580" s="2297" t="s">
        <v>355</v>
      </c>
      <c r="AI2580" s="1390"/>
      <c r="AJ2580" s="2282"/>
      <c r="AK2580" s="2282"/>
      <c r="AL2580" s="1037"/>
      <c r="AX2580" s="340">
        <v>152</v>
      </c>
      <c r="AY2580" s="340" t="s">
        <v>344</v>
      </c>
      <c r="BN2580" s="340">
        <v>713.49</v>
      </c>
      <c r="BO2580" s="340" t="s">
        <v>288</v>
      </c>
      <c r="BP2580" s="1385"/>
      <c r="BV2580" s="236">
        <v>49.01</v>
      </c>
      <c r="BW2580" s="236" t="s">
        <v>331</v>
      </c>
      <c r="CB2580" s="340">
        <v>152</v>
      </c>
      <c r="CC2580" s="340" t="s">
        <v>344</v>
      </c>
      <c r="CL2580" s="236">
        <v>145.01</v>
      </c>
      <c r="CM2580" s="236" t="s">
        <v>344</v>
      </c>
      <c r="CR2580" s="340">
        <v>713.5</v>
      </c>
      <c r="CS2580" s="340" t="s">
        <v>288</v>
      </c>
      <c r="CT2580" s="1384"/>
      <c r="DF2580" s="340">
        <v>108.13</v>
      </c>
      <c r="DG2580" s="340" t="s">
        <v>346</v>
      </c>
      <c r="DV2580" s="340">
        <v>905.03</v>
      </c>
      <c r="DW2580" s="340" t="s">
        <v>289</v>
      </c>
      <c r="DX2580" s="1671"/>
    </row>
    <row r="2581" spans="12:128">
      <c r="L2581" s="2481">
        <v>202.01</v>
      </c>
      <c r="M2581" s="340" t="s">
        <v>348</v>
      </c>
      <c r="N2581" s="1390"/>
      <c r="O2581" s="2479"/>
      <c r="P2581" s="2282"/>
      <c r="AG2581" s="2297">
        <v>910.25</v>
      </c>
      <c r="AH2581" s="2297" t="s">
        <v>355</v>
      </c>
      <c r="AI2581" s="1390"/>
      <c r="AJ2581" s="2282"/>
      <c r="AK2581" s="2282"/>
      <c r="AL2581" s="1037"/>
      <c r="AX2581" s="340">
        <v>153.02000000000001</v>
      </c>
      <c r="AY2581" s="340" t="s">
        <v>344</v>
      </c>
      <c r="BN2581" s="340">
        <v>713.5</v>
      </c>
      <c r="BO2581" s="340" t="s">
        <v>288</v>
      </c>
      <c r="BP2581" s="1385"/>
      <c r="BV2581" s="236">
        <v>49.03</v>
      </c>
      <c r="BW2581" s="236" t="s">
        <v>331</v>
      </c>
      <c r="CB2581" s="340">
        <v>153.02000000000001</v>
      </c>
      <c r="CC2581" s="340" t="s">
        <v>344</v>
      </c>
      <c r="CL2581" s="236">
        <v>145.02000000000001</v>
      </c>
      <c r="CM2581" s="236" t="s">
        <v>338</v>
      </c>
      <c r="CR2581" s="340">
        <v>713.52</v>
      </c>
      <c r="CS2581" s="340" t="s">
        <v>288</v>
      </c>
      <c r="CT2581" s="1384"/>
      <c r="DF2581" s="340">
        <v>108.14</v>
      </c>
      <c r="DG2581" s="340" t="s">
        <v>346</v>
      </c>
      <c r="DV2581" s="340">
        <v>906</v>
      </c>
      <c r="DW2581" s="340" t="s">
        <v>355</v>
      </c>
      <c r="DX2581" s="1671"/>
    </row>
    <row r="2582" spans="12:128">
      <c r="L2582" s="2481">
        <v>206.02</v>
      </c>
      <c r="M2582" s="340" t="s">
        <v>348</v>
      </c>
      <c r="N2582" s="1390"/>
      <c r="O2582" s="2479"/>
      <c r="P2582" s="2282"/>
      <c r="AG2582" s="2297">
        <v>910.29</v>
      </c>
      <c r="AH2582" s="2297" t="s">
        <v>355</v>
      </c>
      <c r="AI2582" s="1390"/>
      <c r="AJ2582" s="2282"/>
      <c r="AK2582" s="2282"/>
      <c r="AL2582" s="1037"/>
      <c r="AX2582" s="340">
        <v>154.02000000000001</v>
      </c>
      <c r="AY2582" s="340" t="s">
        <v>344</v>
      </c>
      <c r="BN2582" s="340">
        <v>713.53</v>
      </c>
      <c r="BO2582" s="340" t="s">
        <v>288</v>
      </c>
      <c r="BP2582" s="1385"/>
      <c r="BV2582" s="236">
        <v>49.04</v>
      </c>
      <c r="BW2582" s="236" t="s">
        <v>331</v>
      </c>
      <c r="CB2582" s="340">
        <v>154.04</v>
      </c>
      <c r="CC2582" s="340" t="s">
        <v>344</v>
      </c>
      <c r="CL2582" s="236">
        <v>145.02000000000001</v>
      </c>
      <c r="CM2582" s="236" t="s">
        <v>344</v>
      </c>
      <c r="CR2582" s="340">
        <v>713.53</v>
      </c>
      <c r="CS2582" s="340" t="s">
        <v>288</v>
      </c>
      <c r="CT2582" s="1384"/>
      <c r="DF2582" s="340">
        <v>108.2</v>
      </c>
      <c r="DG2582" s="340" t="s">
        <v>346</v>
      </c>
      <c r="DV2582" s="340">
        <v>906.01</v>
      </c>
      <c r="DW2582" s="340" t="s">
        <v>289</v>
      </c>
      <c r="DX2582" s="1671"/>
    </row>
    <row r="2583" spans="12:128">
      <c r="L2583" s="2481">
        <v>207.03</v>
      </c>
      <c r="M2583" s="340" t="s">
        <v>348</v>
      </c>
      <c r="N2583" s="1390"/>
      <c r="O2583" s="2479"/>
      <c r="P2583" s="2282"/>
      <c r="AG2583" s="2297">
        <v>910.3</v>
      </c>
      <c r="AH2583" s="2297" t="s">
        <v>355</v>
      </c>
      <c r="AI2583" s="1390"/>
      <c r="AJ2583" s="2282"/>
      <c r="AK2583" s="2282"/>
      <c r="AL2583" s="1037"/>
      <c r="AX2583" s="340">
        <v>154.04</v>
      </c>
      <c r="AY2583" s="340" t="s">
        <v>344</v>
      </c>
      <c r="BN2583" s="340">
        <v>713.54</v>
      </c>
      <c r="BO2583" s="340" t="s">
        <v>288</v>
      </c>
      <c r="BP2583" s="1385"/>
      <c r="BV2583" s="236">
        <v>50.02</v>
      </c>
      <c r="BW2583" s="236" t="s">
        <v>331</v>
      </c>
      <c r="CB2583" s="340">
        <v>157.01</v>
      </c>
      <c r="CC2583" s="340" t="s">
        <v>344</v>
      </c>
      <c r="CL2583" s="236">
        <v>145.03</v>
      </c>
      <c r="CM2583" s="236" t="s">
        <v>338</v>
      </c>
      <c r="CR2583" s="340">
        <v>713.54</v>
      </c>
      <c r="CS2583" s="340" t="s">
        <v>288</v>
      </c>
      <c r="CT2583" s="1384"/>
      <c r="DF2583" s="340">
        <v>108.22</v>
      </c>
      <c r="DG2583" s="340" t="s">
        <v>346</v>
      </c>
      <c r="DV2583" s="340">
        <v>906.02</v>
      </c>
      <c r="DW2583" s="340" t="s">
        <v>289</v>
      </c>
      <c r="DX2583" s="1671"/>
    </row>
    <row r="2584" spans="12:128">
      <c r="L2584" s="2481">
        <v>207.04</v>
      </c>
      <c r="M2584" s="340" t="s">
        <v>348</v>
      </c>
      <c r="N2584" s="1390"/>
      <c r="O2584" s="2479"/>
      <c r="P2584" s="2282"/>
      <c r="AG2584" s="2297">
        <v>910.32</v>
      </c>
      <c r="AH2584" s="2297" t="s">
        <v>355</v>
      </c>
      <c r="AI2584" s="1390"/>
      <c r="AJ2584" s="2282"/>
      <c r="AK2584" s="2282"/>
      <c r="AL2584" s="1037"/>
      <c r="AX2584" s="340">
        <v>158.02000000000001</v>
      </c>
      <c r="AY2584" s="340" t="s">
        <v>344</v>
      </c>
      <c r="BN2584" s="340">
        <v>714.01</v>
      </c>
      <c r="BO2584" s="340" t="s">
        <v>288</v>
      </c>
      <c r="BP2584" s="1385"/>
      <c r="BV2584" s="236">
        <v>50.03</v>
      </c>
      <c r="BW2584" s="236" t="s">
        <v>331</v>
      </c>
      <c r="CB2584" s="340">
        <v>159</v>
      </c>
      <c r="CC2584" s="340" t="s">
        <v>344</v>
      </c>
      <c r="CL2584" s="236">
        <v>145.04</v>
      </c>
      <c r="CM2584" s="236" t="s">
        <v>338</v>
      </c>
      <c r="CR2584" s="340">
        <v>714.01</v>
      </c>
      <c r="CS2584" s="340" t="s">
        <v>288</v>
      </c>
      <c r="CT2584" s="1384"/>
      <c r="DF2584" s="340">
        <v>108.24</v>
      </c>
      <c r="DG2584" s="340" t="s">
        <v>346</v>
      </c>
      <c r="DV2584" s="340">
        <v>907</v>
      </c>
      <c r="DW2584" s="340" t="s">
        <v>289</v>
      </c>
      <c r="DX2584" s="1671"/>
    </row>
    <row r="2585" spans="12:128">
      <c r="L2585" s="2481">
        <v>207.05</v>
      </c>
      <c r="M2585" s="340" t="s">
        <v>348</v>
      </c>
      <c r="N2585" s="1390"/>
      <c r="O2585" s="2479"/>
      <c r="P2585" s="2282"/>
      <c r="AG2585" s="2297">
        <v>910.33</v>
      </c>
      <c r="AH2585" s="2297" t="s">
        <v>355</v>
      </c>
      <c r="AI2585" s="1390"/>
      <c r="AJ2585" s="2282"/>
      <c r="AK2585" s="2282"/>
      <c r="AL2585" s="1037"/>
      <c r="AX2585" s="340">
        <v>159</v>
      </c>
      <c r="AY2585" s="340" t="s">
        <v>344</v>
      </c>
      <c r="BN2585" s="340">
        <v>715</v>
      </c>
      <c r="BO2585" s="340" t="s">
        <v>288</v>
      </c>
      <c r="BP2585" s="1385"/>
      <c r="BV2585" s="236">
        <v>50.04</v>
      </c>
      <c r="BW2585" s="236" t="s">
        <v>331</v>
      </c>
      <c r="CB2585" s="340">
        <v>9501</v>
      </c>
      <c r="CC2585" s="340" t="s">
        <v>345</v>
      </c>
      <c r="CL2585" s="236">
        <v>146</v>
      </c>
      <c r="CM2585" s="236" t="s">
        <v>344</v>
      </c>
      <c r="CR2585" s="340">
        <v>715</v>
      </c>
      <c r="CS2585" s="340" t="s">
        <v>288</v>
      </c>
      <c r="CT2585" s="1384"/>
      <c r="DF2585" s="340">
        <v>108.25</v>
      </c>
      <c r="DG2585" s="340" t="s">
        <v>346</v>
      </c>
      <c r="DV2585" s="340">
        <v>907.01</v>
      </c>
      <c r="DW2585" s="340" t="s">
        <v>355</v>
      </c>
      <c r="DX2585" s="1671"/>
    </row>
    <row r="2586" spans="12:128">
      <c r="L2586" s="2481">
        <v>207.06</v>
      </c>
      <c r="M2586" s="340" t="s">
        <v>348</v>
      </c>
      <c r="N2586" s="1390"/>
      <c r="O2586" s="2479"/>
      <c r="P2586" s="2282"/>
      <c r="AG2586" s="2297">
        <v>910.35</v>
      </c>
      <c r="AH2586" s="2297" t="s">
        <v>355</v>
      </c>
      <c r="AI2586" s="1390"/>
      <c r="AJ2586" s="2282"/>
      <c r="AK2586" s="2282"/>
      <c r="AL2586" s="1037"/>
      <c r="AX2586" s="340">
        <v>9503</v>
      </c>
      <c r="AY2586" s="340" t="s">
        <v>345</v>
      </c>
      <c r="BN2586" s="340">
        <v>716.01</v>
      </c>
      <c r="BO2586" s="340" t="s">
        <v>288</v>
      </c>
      <c r="BP2586" s="1385"/>
      <c r="BV2586" s="236">
        <v>51.02</v>
      </c>
      <c r="BW2586" s="236" t="s">
        <v>331</v>
      </c>
      <c r="CB2586" s="340">
        <v>9502.01</v>
      </c>
      <c r="CC2586" s="340" t="s">
        <v>345</v>
      </c>
      <c r="CL2586" s="236">
        <v>146.01</v>
      </c>
      <c r="CM2586" s="236" t="s">
        <v>302</v>
      </c>
      <c r="CR2586" s="340">
        <v>716.01</v>
      </c>
      <c r="CS2586" s="340" t="s">
        <v>288</v>
      </c>
      <c r="CT2586" s="1384"/>
      <c r="DF2586" s="340">
        <v>108.27</v>
      </c>
      <c r="DG2586" s="340" t="s">
        <v>346</v>
      </c>
      <c r="DV2586" s="340">
        <v>908.01</v>
      </c>
      <c r="DW2586" s="340" t="s">
        <v>289</v>
      </c>
      <c r="DX2586" s="1671"/>
    </row>
    <row r="2587" spans="12:128">
      <c r="L2587" s="2481">
        <v>207.07</v>
      </c>
      <c r="M2587" s="340" t="s">
        <v>348</v>
      </c>
      <c r="N2587" s="1390"/>
      <c r="O2587" s="2479"/>
      <c r="P2587" s="2282"/>
      <c r="AG2587" s="2297">
        <v>910.36</v>
      </c>
      <c r="AH2587" s="2297" t="s">
        <v>355</v>
      </c>
      <c r="AI2587" s="1390"/>
      <c r="AJ2587" s="2282"/>
      <c r="AK2587" s="2282"/>
      <c r="AL2587" s="1037"/>
      <c r="AX2587" s="340">
        <v>9504</v>
      </c>
      <c r="AY2587" s="340" t="s">
        <v>345</v>
      </c>
      <c r="BN2587" s="340">
        <v>716.02</v>
      </c>
      <c r="BO2587" s="340" t="s">
        <v>288</v>
      </c>
      <c r="BP2587" s="1385"/>
      <c r="BV2587" s="236">
        <v>51.03</v>
      </c>
      <c r="BW2587" s="236" t="s">
        <v>331</v>
      </c>
      <c r="CB2587" s="340">
        <v>9503</v>
      </c>
      <c r="CC2587" s="340" t="s">
        <v>345</v>
      </c>
      <c r="CL2587" s="236">
        <v>146.01</v>
      </c>
      <c r="CM2587" s="236" t="s">
        <v>331</v>
      </c>
      <c r="CR2587" s="340">
        <v>716.02</v>
      </c>
      <c r="CS2587" s="340" t="s">
        <v>288</v>
      </c>
      <c r="CT2587" s="1384"/>
      <c r="DF2587" s="340">
        <v>108.28</v>
      </c>
      <c r="DG2587" s="340" t="s">
        <v>346</v>
      </c>
      <c r="DV2587" s="340">
        <v>908.02</v>
      </c>
      <c r="DW2587" s="340" t="s">
        <v>289</v>
      </c>
      <c r="DX2587" s="1671"/>
    </row>
    <row r="2588" spans="12:128">
      <c r="L2588" s="2481">
        <v>208.05</v>
      </c>
      <c r="M2588" s="340" t="s">
        <v>348</v>
      </c>
      <c r="N2588" s="1390"/>
      <c r="O2588" s="2479"/>
      <c r="P2588" s="2282"/>
      <c r="AG2588" s="2297">
        <v>910.37</v>
      </c>
      <c r="AH2588" s="2297" t="s">
        <v>355</v>
      </c>
      <c r="AI2588" s="1390"/>
      <c r="AJ2588" s="2282"/>
      <c r="AK2588" s="2282"/>
      <c r="AL2588" s="1037"/>
      <c r="AX2588" s="340">
        <v>9505</v>
      </c>
      <c r="AY2588" s="340" t="s">
        <v>345</v>
      </c>
      <c r="BN2588" s="340">
        <v>717</v>
      </c>
      <c r="BO2588" s="340" t="s">
        <v>288</v>
      </c>
      <c r="BP2588" s="1385"/>
      <c r="BV2588" s="236">
        <v>51.04</v>
      </c>
      <c r="BW2588" s="236" t="s">
        <v>331</v>
      </c>
      <c r="CB2588" s="340">
        <v>9504</v>
      </c>
      <c r="CC2588" s="340" t="s">
        <v>345</v>
      </c>
      <c r="CL2588" s="236">
        <v>146.01</v>
      </c>
      <c r="CM2588" s="236" t="s">
        <v>338</v>
      </c>
      <c r="CR2588" s="340">
        <v>717</v>
      </c>
      <c r="CS2588" s="340" t="s">
        <v>288</v>
      </c>
      <c r="CT2588" s="1384"/>
      <c r="DF2588" s="340">
        <v>109</v>
      </c>
      <c r="DG2588" s="340" t="s">
        <v>346</v>
      </c>
      <c r="DV2588" s="340">
        <v>908.03</v>
      </c>
      <c r="DW2588" s="340" t="s">
        <v>355</v>
      </c>
      <c r="DX2588" s="1671"/>
    </row>
    <row r="2589" spans="12:128">
      <c r="L2589" s="2481">
        <v>208.06</v>
      </c>
      <c r="M2589" s="340" t="s">
        <v>348</v>
      </c>
      <c r="N2589" s="1390"/>
      <c r="O2589" s="2479"/>
      <c r="P2589" s="2282"/>
      <c r="AG2589" s="2297">
        <v>910.38</v>
      </c>
      <c r="AH2589" s="2297" t="s">
        <v>355</v>
      </c>
      <c r="AI2589" s="1390"/>
      <c r="AJ2589" s="2282"/>
      <c r="AK2589" s="2282"/>
      <c r="AL2589" s="1037"/>
      <c r="AX2589" s="340">
        <v>9506</v>
      </c>
      <c r="AY2589" s="340" t="s">
        <v>345</v>
      </c>
      <c r="BN2589" s="340">
        <v>801.01</v>
      </c>
      <c r="BO2589" s="340" t="s">
        <v>355</v>
      </c>
      <c r="BP2589" s="1385"/>
      <c r="BV2589" s="236">
        <v>52.01</v>
      </c>
      <c r="BW2589" s="236" t="s">
        <v>331</v>
      </c>
      <c r="CB2589" s="340">
        <v>9505</v>
      </c>
      <c r="CC2589" s="340" t="s">
        <v>345</v>
      </c>
      <c r="CL2589" s="236">
        <v>146.02000000000001</v>
      </c>
      <c r="CM2589" s="236" t="s">
        <v>331</v>
      </c>
      <c r="CR2589" s="340">
        <v>801</v>
      </c>
      <c r="CS2589" s="340" t="s">
        <v>323</v>
      </c>
      <c r="CT2589" s="1384"/>
      <c r="DF2589" s="340">
        <v>1.03</v>
      </c>
      <c r="DG2589" s="340" t="s">
        <v>347</v>
      </c>
      <c r="DV2589" s="340">
        <v>909</v>
      </c>
      <c r="DW2589" s="340" t="s">
        <v>289</v>
      </c>
      <c r="DX2589" s="1671"/>
    </row>
    <row r="2590" spans="12:128">
      <c r="L2590" s="2481">
        <v>208.08</v>
      </c>
      <c r="M2590" s="340" t="s">
        <v>348</v>
      </c>
      <c r="N2590" s="1390"/>
      <c r="O2590" s="2479"/>
      <c r="P2590" s="2282"/>
      <c r="AG2590" s="2297">
        <v>910.39</v>
      </c>
      <c r="AH2590" s="2297" t="s">
        <v>355</v>
      </c>
      <c r="AI2590" s="1390"/>
      <c r="AJ2590" s="2282"/>
      <c r="AK2590" s="2282"/>
      <c r="AL2590" s="1037"/>
      <c r="AX2590" s="340">
        <v>9509</v>
      </c>
      <c r="AY2590" s="340" t="s">
        <v>345</v>
      </c>
      <c r="BN2590" s="340">
        <v>801.02</v>
      </c>
      <c r="BO2590" s="340" t="s">
        <v>355</v>
      </c>
      <c r="BP2590" s="1385"/>
      <c r="BV2590" s="236">
        <v>52.02</v>
      </c>
      <c r="BW2590" s="236" t="s">
        <v>331</v>
      </c>
      <c r="CB2590" s="340">
        <v>9506</v>
      </c>
      <c r="CC2590" s="340" t="s">
        <v>345</v>
      </c>
      <c r="CL2590" s="236">
        <v>146.03</v>
      </c>
      <c r="CM2590" s="236" t="s">
        <v>302</v>
      </c>
      <c r="CR2590" s="340">
        <v>801.01</v>
      </c>
      <c r="CS2590" s="340" t="s">
        <v>355</v>
      </c>
      <c r="CT2590" s="1384"/>
      <c r="DF2590" s="340">
        <v>1.04</v>
      </c>
      <c r="DG2590" s="340" t="s">
        <v>347</v>
      </c>
      <c r="DV2590" s="340">
        <v>909.03</v>
      </c>
      <c r="DW2590" s="340" t="s">
        <v>355</v>
      </c>
      <c r="DX2590" s="1671"/>
    </row>
    <row r="2591" spans="12:128">
      <c r="L2591" s="2481">
        <v>208.1</v>
      </c>
      <c r="M2591" s="340" t="s">
        <v>348</v>
      </c>
      <c r="N2591" s="1390"/>
      <c r="O2591" s="2479"/>
      <c r="P2591" s="2282"/>
      <c r="AG2591" s="2297">
        <v>917.01</v>
      </c>
      <c r="AH2591" s="2297" t="s">
        <v>289</v>
      </c>
      <c r="AI2591" s="1390"/>
      <c r="AJ2591" s="2282"/>
      <c r="AK2591" s="2282"/>
      <c r="AL2591" s="1037"/>
      <c r="AX2591" s="340">
        <v>9510</v>
      </c>
      <c r="AY2591" s="340" t="s">
        <v>345</v>
      </c>
      <c r="BN2591" s="340">
        <v>801.03</v>
      </c>
      <c r="BO2591" s="340" t="s">
        <v>289</v>
      </c>
      <c r="BP2591" s="1385"/>
      <c r="BV2591" s="236">
        <v>53.03</v>
      </c>
      <c r="BW2591" s="236" t="s">
        <v>331</v>
      </c>
      <c r="CB2591" s="340">
        <v>9510</v>
      </c>
      <c r="CC2591" s="340" t="s">
        <v>345</v>
      </c>
      <c r="CL2591" s="236">
        <v>146.04</v>
      </c>
      <c r="CM2591" s="236" t="s">
        <v>302</v>
      </c>
      <c r="CR2591" s="340">
        <v>801.02</v>
      </c>
      <c r="CS2591" s="340" t="s">
        <v>355</v>
      </c>
      <c r="CT2591" s="1384"/>
      <c r="DF2591" s="340">
        <v>4.04</v>
      </c>
      <c r="DG2591" s="340" t="s">
        <v>347</v>
      </c>
      <c r="DV2591" s="340">
        <v>909.04</v>
      </c>
      <c r="DW2591" s="340" t="s">
        <v>355</v>
      </c>
      <c r="DX2591" s="1671"/>
    </row>
    <row r="2592" spans="12:128">
      <c r="L2592" s="2481">
        <v>208.11</v>
      </c>
      <c r="M2592" s="340" t="s">
        <v>348</v>
      </c>
      <c r="N2592" s="1390"/>
      <c r="O2592" s="2479"/>
      <c r="P2592" s="2282"/>
      <c r="AG2592" s="2297">
        <v>917.02</v>
      </c>
      <c r="AH2592" s="2297" t="s">
        <v>289</v>
      </c>
      <c r="AI2592" s="1390"/>
      <c r="AJ2592" s="2282"/>
      <c r="AK2592" s="2282"/>
      <c r="AL2592" s="1037"/>
      <c r="AX2592" s="340">
        <v>9511</v>
      </c>
      <c r="AY2592" s="340" t="s">
        <v>345</v>
      </c>
      <c r="BN2592" s="340">
        <v>801.04</v>
      </c>
      <c r="BO2592" s="340" t="s">
        <v>289</v>
      </c>
      <c r="BP2592" s="1385"/>
      <c r="BV2592" s="236">
        <v>53.04</v>
      </c>
      <c r="BW2592" s="236" t="s">
        <v>331</v>
      </c>
      <c r="CB2592" s="340">
        <v>9511</v>
      </c>
      <c r="CC2592" s="340" t="s">
        <v>345</v>
      </c>
      <c r="CL2592" s="236">
        <v>146.05000000000001</v>
      </c>
      <c r="CM2592" s="236" t="s">
        <v>338</v>
      </c>
      <c r="CR2592" s="340">
        <v>801.03</v>
      </c>
      <c r="CS2592" s="340" t="s">
        <v>289</v>
      </c>
      <c r="CT2592" s="1384"/>
      <c r="DF2592" s="340">
        <v>4.05</v>
      </c>
      <c r="DG2592" s="340" t="s">
        <v>347</v>
      </c>
      <c r="DV2592" s="340">
        <v>909.05</v>
      </c>
      <c r="DW2592" s="340" t="s">
        <v>355</v>
      </c>
      <c r="DX2592" s="1671"/>
    </row>
    <row r="2593" spans="12:128">
      <c r="L2593" s="2481">
        <v>208.12</v>
      </c>
      <c r="M2593" s="340" t="s">
        <v>348</v>
      </c>
      <c r="N2593" s="1390"/>
      <c r="O2593" s="2479"/>
      <c r="P2593" s="2282"/>
      <c r="AG2593" s="2297">
        <v>919.01</v>
      </c>
      <c r="AH2593" s="2297" t="s">
        <v>289</v>
      </c>
      <c r="AI2593" s="1390"/>
      <c r="AJ2593" s="2282"/>
      <c r="AK2593" s="2282"/>
      <c r="AL2593" s="1037"/>
      <c r="AX2593" s="340">
        <v>9513</v>
      </c>
      <c r="AY2593" s="340" t="s">
        <v>345</v>
      </c>
      <c r="BN2593" s="340">
        <v>802.01</v>
      </c>
      <c r="BO2593" s="340" t="s">
        <v>355</v>
      </c>
      <c r="BP2593" s="1385"/>
      <c r="BV2593" s="236">
        <v>53.05</v>
      </c>
      <c r="BW2593" s="236" t="s">
        <v>331</v>
      </c>
      <c r="CB2593" s="340">
        <v>9513</v>
      </c>
      <c r="CC2593" s="340" t="s">
        <v>345</v>
      </c>
      <c r="CL2593" s="236">
        <v>146.06</v>
      </c>
      <c r="CM2593" s="236" t="s">
        <v>338</v>
      </c>
      <c r="CR2593" s="340">
        <v>801.04</v>
      </c>
      <c r="CS2593" s="340" t="s">
        <v>289</v>
      </c>
      <c r="CT2593" s="1384"/>
      <c r="DF2593" s="340">
        <v>5.01</v>
      </c>
      <c r="DG2593" s="340" t="s">
        <v>347</v>
      </c>
      <c r="DV2593" s="340">
        <v>910.01</v>
      </c>
      <c r="DW2593" s="340" t="s">
        <v>355</v>
      </c>
      <c r="DX2593" s="1671"/>
    </row>
    <row r="2594" spans="12:128">
      <c r="L2594" s="2481">
        <v>209.05</v>
      </c>
      <c r="M2594" s="340" t="s">
        <v>348</v>
      </c>
      <c r="N2594" s="1390"/>
      <c r="O2594" s="2479"/>
      <c r="P2594" s="2282"/>
      <c r="AG2594" s="2297">
        <v>925</v>
      </c>
      <c r="AH2594" s="2297" t="s">
        <v>355</v>
      </c>
      <c r="AI2594" s="1390"/>
      <c r="AJ2594" s="2282"/>
      <c r="AK2594" s="2282"/>
      <c r="AL2594" s="1037"/>
      <c r="AX2594" s="340">
        <v>202</v>
      </c>
      <c r="AY2594" s="340" t="s">
        <v>349</v>
      </c>
      <c r="BN2594" s="340">
        <v>802.02</v>
      </c>
      <c r="BO2594" s="340" t="s">
        <v>323</v>
      </c>
      <c r="BP2594" s="1385"/>
      <c r="BV2594" s="236">
        <v>53.06</v>
      </c>
      <c r="BW2594" s="236" t="s">
        <v>331</v>
      </c>
      <c r="CB2594" s="340">
        <v>202</v>
      </c>
      <c r="CC2594" s="340" t="s">
        <v>349</v>
      </c>
      <c r="CL2594" s="236">
        <v>146.07</v>
      </c>
      <c r="CM2594" s="236" t="s">
        <v>338</v>
      </c>
      <c r="CR2594" s="340">
        <v>802</v>
      </c>
      <c r="CS2594" s="340" t="s">
        <v>289</v>
      </c>
      <c r="CT2594" s="1384"/>
      <c r="DF2594" s="340">
        <v>5.0199999999999996</v>
      </c>
      <c r="DG2594" s="340" t="s">
        <v>347</v>
      </c>
      <c r="DV2594" s="340">
        <v>910.05</v>
      </c>
      <c r="DW2594" s="340" t="s">
        <v>355</v>
      </c>
      <c r="DX2594" s="1671"/>
    </row>
    <row r="2595" spans="12:128">
      <c r="L2595" s="2481">
        <v>210</v>
      </c>
      <c r="M2595" s="340" t="s">
        <v>348</v>
      </c>
      <c r="N2595" s="1390"/>
      <c r="O2595" s="2479"/>
      <c r="P2595" s="2282"/>
      <c r="AG2595" s="2297">
        <v>1001.05</v>
      </c>
      <c r="AH2595" s="2297" t="s">
        <v>289</v>
      </c>
      <c r="AI2595" s="1390"/>
      <c r="AJ2595" s="2282"/>
      <c r="AK2595" s="2282"/>
      <c r="AL2595" s="1037"/>
      <c r="AX2595" s="340">
        <v>205</v>
      </c>
      <c r="AY2595" s="340" t="s">
        <v>349</v>
      </c>
      <c r="BN2595" s="340">
        <v>802.02</v>
      </c>
      <c r="BO2595" s="340" t="s">
        <v>355</v>
      </c>
      <c r="BP2595" s="1385"/>
      <c r="BV2595" s="236">
        <v>54.03</v>
      </c>
      <c r="BW2595" s="236" t="s">
        <v>331</v>
      </c>
      <c r="CB2595" s="340">
        <v>205</v>
      </c>
      <c r="CC2595" s="340" t="s">
        <v>349</v>
      </c>
      <c r="CL2595" s="236">
        <v>146.08000000000001</v>
      </c>
      <c r="CM2595" s="236" t="s">
        <v>338</v>
      </c>
      <c r="CR2595" s="340">
        <v>802.01</v>
      </c>
      <c r="CS2595" s="340" t="s">
        <v>355</v>
      </c>
      <c r="CT2595" s="1384"/>
      <c r="DF2595" s="340">
        <v>6.01</v>
      </c>
      <c r="DG2595" s="340" t="s">
        <v>347</v>
      </c>
      <c r="DV2595" s="340">
        <v>910.15</v>
      </c>
      <c r="DW2595" s="340" t="s">
        <v>355</v>
      </c>
      <c r="DX2595" s="1671"/>
    </row>
    <row r="2596" spans="12:128">
      <c r="L2596" s="2481">
        <v>211</v>
      </c>
      <c r="M2596" s="340" t="s">
        <v>348</v>
      </c>
      <c r="N2596" s="1390"/>
      <c r="O2596" s="2479"/>
      <c r="P2596" s="2282"/>
      <c r="AG2596" s="2297">
        <v>1001.07</v>
      </c>
      <c r="AH2596" s="2297" t="s">
        <v>289</v>
      </c>
      <c r="AI2596" s="1390"/>
      <c r="AJ2596" s="2282"/>
      <c r="AK2596" s="2282"/>
      <c r="AL2596" s="1037"/>
      <c r="AX2596" s="340">
        <v>206.03</v>
      </c>
      <c r="AY2596" s="340" t="s">
        <v>349</v>
      </c>
      <c r="BN2596" s="340">
        <v>802.03</v>
      </c>
      <c r="BO2596" s="340" t="s">
        <v>323</v>
      </c>
      <c r="BP2596" s="1385"/>
      <c r="BV2596" s="236">
        <v>54.05</v>
      </c>
      <c r="BW2596" s="236" t="s">
        <v>331</v>
      </c>
      <c r="CB2596" s="340">
        <v>206.03</v>
      </c>
      <c r="CC2596" s="340" t="s">
        <v>349</v>
      </c>
      <c r="CL2596" s="236">
        <v>146.09</v>
      </c>
      <c r="CM2596" s="236" t="s">
        <v>338</v>
      </c>
      <c r="CR2596" s="340">
        <v>802.02</v>
      </c>
      <c r="CS2596" s="340" t="s">
        <v>323</v>
      </c>
      <c r="CT2596" s="1384"/>
      <c r="DF2596" s="340">
        <v>6.02</v>
      </c>
      <c r="DG2596" s="340" t="s">
        <v>347</v>
      </c>
      <c r="DV2596" s="340">
        <v>910.16</v>
      </c>
      <c r="DW2596" s="340" t="s">
        <v>355</v>
      </c>
      <c r="DX2596" s="1671"/>
    </row>
    <row r="2597" spans="12:128">
      <c r="L2597" s="2481">
        <v>212.01</v>
      </c>
      <c r="M2597" s="340" t="s">
        <v>348</v>
      </c>
      <c r="N2597" s="1390"/>
      <c r="O2597" s="2479"/>
      <c r="P2597" s="2282"/>
      <c r="AG2597" s="2297">
        <v>1008.03</v>
      </c>
      <c r="AH2597" s="2297" t="s">
        <v>289</v>
      </c>
      <c r="AI2597" s="1390"/>
      <c r="AJ2597" s="2282"/>
      <c r="AK2597" s="2282"/>
      <c r="AL2597" s="1037"/>
      <c r="AX2597" s="340">
        <v>206.04</v>
      </c>
      <c r="AY2597" s="340" t="s">
        <v>349</v>
      </c>
      <c r="BN2597" s="340">
        <v>804</v>
      </c>
      <c r="BO2597" s="340" t="s">
        <v>355</v>
      </c>
      <c r="BP2597" s="1385"/>
      <c r="BV2597" s="236">
        <v>54.06</v>
      </c>
      <c r="BW2597" s="236" t="s">
        <v>331</v>
      </c>
      <c r="CB2597" s="340">
        <v>206.04</v>
      </c>
      <c r="CC2597" s="340" t="s">
        <v>349</v>
      </c>
      <c r="CL2597" s="236">
        <v>147.01</v>
      </c>
      <c r="CM2597" s="236" t="s">
        <v>331</v>
      </c>
      <c r="CR2597" s="340">
        <v>802.02</v>
      </c>
      <c r="CS2597" s="340" t="s">
        <v>355</v>
      </c>
      <c r="CT2597" s="1384"/>
      <c r="DF2597" s="340">
        <v>7</v>
      </c>
      <c r="DG2597" s="340" t="s">
        <v>347</v>
      </c>
      <c r="DV2597" s="340">
        <v>910.17</v>
      </c>
      <c r="DW2597" s="340" t="s">
        <v>355</v>
      </c>
      <c r="DX2597" s="1671"/>
    </row>
    <row r="2598" spans="12:128">
      <c r="L2598" s="2481">
        <v>212.03</v>
      </c>
      <c r="M2598" s="340" t="s">
        <v>348</v>
      </c>
      <c r="N2598" s="1390"/>
      <c r="O2598" s="2479"/>
      <c r="P2598" s="2282"/>
      <c r="AG2598" s="2297">
        <v>1102</v>
      </c>
      <c r="AH2598" s="2297" t="s">
        <v>327</v>
      </c>
      <c r="AI2598" s="1390"/>
      <c r="AJ2598" s="2282"/>
      <c r="AK2598" s="2282"/>
      <c r="AL2598" s="1037"/>
      <c r="AX2598" s="340">
        <v>206.05</v>
      </c>
      <c r="AY2598" s="340" t="s">
        <v>349</v>
      </c>
      <c r="BN2598" s="340">
        <v>804.06</v>
      </c>
      <c r="BO2598" s="340" t="s">
        <v>289</v>
      </c>
      <c r="BP2598" s="1385"/>
      <c r="BV2598" s="236">
        <v>54.07</v>
      </c>
      <c r="BW2598" s="236" t="s">
        <v>331</v>
      </c>
      <c r="CB2598" s="340">
        <v>206.05</v>
      </c>
      <c r="CC2598" s="340" t="s">
        <v>349</v>
      </c>
      <c r="CL2598" s="236">
        <v>147.01</v>
      </c>
      <c r="CM2598" s="236" t="s">
        <v>338</v>
      </c>
      <c r="CR2598" s="340">
        <v>802.03</v>
      </c>
      <c r="CS2598" s="340" t="s">
        <v>323</v>
      </c>
      <c r="CT2598" s="1384"/>
      <c r="DF2598" s="340">
        <v>8.01</v>
      </c>
      <c r="DG2598" s="340" t="s">
        <v>347</v>
      </c>
      <c r="DV2598" s="340">
        <v>910.18</v>
      </c>
      <c r="DW2598" s="340" t="s">
        <v>355</v>
      </c>
      <c r="DX2598" s="1671"/>
    </row>
    <row r="2599" spans="12:128">
      <c r="L2599" s="2481">
        <v>212.05</v>
      </c>
      <c r="M2599" s="340" t="s">
        <v>348</v>
      </c>
      <c r="N2599" s="1390"/>
      <c r="O2599" s="2479"/>
      <c r="P2599" s="2282"/>
      <c r="AG2599" s="2297">
        <v>1102.01</v>
      </c>
      <c r="AH2599" s="2297" t="s">
        <v>298</v>
      </c>
      <c r="AI2599" s="1390"/>
      <c r="AJ2599" s="2282"/>
      <c r="AK2599" s="2282"/>
      <c r="AL2599" s="1037"/>
      <c r="AX2599" s="340">
        <v>207.04</v>
      </c>
      <c r="AY2599" s="340" t="s">
        <v>349</v>
      </c>
      <c r="BN2599" s="340">
        <v>805</v>
      </c>
      <c r="BO2599" s="340" t="s">
        <v>355</v>
      </c>
      <c r="BP2599" s="1385"/>
      <c r="BV2599" s="236">
        <v>54.09</v>
      </c>
      <c r="BW2599" s="236" t="s">
        <v>331</v>
      </c>
      <c r="CB2599" s="340">
        <v>206.06</v>
      </c>
      <c r="CC2599" s="340" t="s">
        <v>349</v>
      </c>
      <c r="CL2599" s="236">
        <v>147.01</v>
      </c>
      <c r="CM2599" s="236" t="s">
        <v>344</v>
      </c>
      <c r="CR2599" s="340">
        <v>802.04</v>
      </c>
      <c r="CS2599" s="340" t="s">
        <v>323</v>
      </c>
      <c r="CT2599" s="1384"/>
      <c r="DF2599" s="340">
        <v>8.02</v>
      </c>
      <c r="DG2599" s="340" t="s">
        <v>347</v>
      </c>
      <c r="DV2599" s="340">
        <v>910.19</v>
      </c>
      <c r="DW2599" s="340" t="s">
        <v>355</v>
      </c>
      <c r="DX2599" s="1671"/>
    </row>
    <row r="2600" spans="12:128">
      <c r="L2600" s="2481">
        <v>212.06</v>
      </c>
      <c r="M2600" s="340" t="s">
        <v>348</v>
      </c>
      <c r="N2600" s="1390"/>
      <c r="O2600" s="2479"/>
      <c r="P2600" s="2282"/>
      <c r="AG2600" s="2297">
        <v>1103.01</v>
      </c>
      <c r="AH2600" s="2297" t="s">
        <v>327</v>
      </c>
      <c r="AI2600" s="1390"/>
      <c r="AJ2600" s="2282"/>
      <c r="AK2600" s="2282"/>
      <c r="AL2600" s="1037"/>
      <c r="AX2600" s="340">
        <v>207.05</v>
      </c>
      <c r="AY2600" s="340" t="s">
        <v>349</v>
      </c>
      <c r="BN2600" s="340">
        <v>807</v>
      </c>
      <c r="BO2600" s="340" t="s">
        <v>355</v>
      </c>
      <c r="BP2600" s="1385"/>
      <c r="BV2600" s="236">
        <v>54.1</v>
      </c>
      <c r="BW2600" s="236" t="s">
        <v>331</v>
      </c>
      <c r="CB2600" s="340">
        <v>207.04</v>
      </c>
      <c r="CC2600" s="340" t="s">
        <v>349</v>
      </c>
      <c r="CL2600" s="236">
        <v>147.02000000000001</v>
      </c>
      <c r="CM2600" s="236" t="s">
        <v>302</v>
      </c>
      <c r="CR2600" s="340">
        <v>804</v>
      </c>
      <c r="CS2600" s="340" t="s">
        <v>355</v>
      </c>
      <c r="CT2600" s="1384"/>
      <c r="DF2600" s="340">
        <v>9</v>
      </c>
      <c r="DG2600" s="340" t="s">
        <v>347</v>
      </c>
      <c r="DV2600" s="340">
        <v>910.2</v>
      </c>
      <c r="DW2600" s="340" t="s">
        <v>355</v>
      </c>
      <c r="DX2600" s="1671"/>
    </row>
    <row r="2601" spans="12:128">
      <c r="L2601" s="2481">
        <v>213.06</v>
      </c>
      <c r="M2601" s="340" t="s">
        <v>348</v>
      </c>
      <c r="N2601" s="1390"/>
      <c r="O2601" s="2479"/>
      <c r="P2601" s="2282"/>
      <c r="AG2601" s="2297">
        <v>1103.03</v>
      </c>
      <c r="AH2601" s="2297" t="s">
        <v>289</v>
      </c>
      <c r="AI2601" s="1390"/>
      <c r="AJ2601" s="2282"/>
      <c r="AK2601" s="2282"/>
      <c r="AL2601" s="1037"/>
      <c r="AX2601" s="340">
        <v>207.06</v>
      </c>
      <c r="AY2601" s="340" t="s">
        <v>349</v>
      </c>
      <c r="BN2601" s="340">
        <v>808.03</v>
      </c>
      <c r="BO2601" s="340" t="s">
        <v>355</v>
      </c>
      <c r="BP2601" s="1385"/>
      <c r="BV2601" s="236">
        <v>55.03</v>
      </c>
      <c r="BW2601" s="236" t="s">
        <v>331</v>
      </c>
      <c r="CB2601" s="340">
        <v>207.06</v>
      </c>
      <c r="CC2601" s="340" t="s">
        <v>349</v>
      </c>
      <c r="CL2601" s="236">
        <v>147.02000000000001</v>
      </c>
      <c r="CM2601" s="236" t="s">
        <v>331</v>
      </c>
      <c r="CR2601" s="340">
        <v>804.05</v>
      </c>
      <c r="CS2601" s="340" t="s">
        <v>289</v>
      </c>
      <c r="CT2601" s="1384"/>
      <c r="DF2601" s="340">
        <v>11.02</v>
      </c>
      <c r="DG2601" s="340" t="s">
        <v>347</v>
      </c>
      <c r="DV2601" s="340">
        <v>910.21</v>
      </c>
      <c r="DW2601" s="340" t="s">
        <v>355</v>
      </c>
      <c r="DX2601" s="1671"/>
    </row>
    <row r="2602" spans="12:128">
      <c r="L2602" s="2481">
        <v>213.07</v>
      </c>
      <c r="M2602" s="340" t="s">
        <v>348</v>
      </c>
      <c r="N2602" s="1390"/>
      <c r="O2602" s="2479"/>
      <c r="P2602" s="2282"/>
      <c r="AG2602" s="2297">
        <v>1103.07</v>
      </c>
      <c r="AH2602" s="2297" t="s">
        <v>289</v>
      </c>
      <c r="AI2602" s="1390"/>
      <c r="AJ2602" s="2282"/>
      <c r="AK2602" s="2282"/>
      <c r="AL2602" s="1037"/>
      <c r="AX2602" s="340">
        <v>207.07</v>
      </c>
      <c r="AY2602" s="340" t="s">
        <v>349</v>
      </c>
      <c r="BN2602" s="340">
        <v>808.06</v>
      </c>
      <c r="BO2602" s="340" t="s">
        <v>355</v>
      </c>
      <c r="BP2602" s="1385"/>
      <c r="BV2602" s="236">
        <v>55.04</v>
      </c>
      <c r="BW2602" s="236" t="s">
        <v>331</v>
      </c>
      <c r="CB2602" s="340">
        <v>207.07</v>
      </c>
      <c r="CC2602" s="340" t="s">
        <v>349</v>
      </c>
      <c r="CL2602" s="236">
        <v>147.02000000000001</v>
      </c>
      <c r="CM2602" s="236" t="s">
        <v>338</v>
      </c>
      <c r="CR2602" s="340">
        <v>804.06</v>
      </c>
      <c r="CS2602" s="340" t="s">
        <v>289</v>
      </c>
      <c r="CT2602" s="1384"/>
      <c r="DF2602" s="340">
        <v>12.02</v>
      </c>
      <c r="DG2602" s="340" t="s">
        <v>347</v>
      </c>
      <c r="DV2602" s="340">
        <v>910.23</v>
      </c>
      <c r="DW2602" s="340" t="s">
        <v>355</v>
      </c>
      <c r="DX2602" s="1671"/>
    </row>
    <row r="2603" spans="12:128">
      <c r="L2603" s="2481">
        <v>213.11</v>
      </c>
      <c r="M2603" s="340" t="s">
        <v>348</v>
      </c>
      <c r="N2603" s="1390"/>
      <c r="O2603" s="2479"/>
      <c r="P2603" s="2282"/>
      <c r="AG2603" s="2297">
        <v>1103.08</v>
      </c>
      <c r="AH2603" s="2297" t="s">
        <v>289</v>
      </c>
      <c r="AI2603" s="1390"/>
      <c r="AJ2603" s="2282"/>
      <c r="AK2603" s="2282"/>
      <c r="AL2603" s="1037"/>
      <c r="AX2603" s="340">
        <v>207.08</v>
      </c>
      <c r="AY2603" s="340" t="s">
        <v>349</v>
      </c>
      <c r="BN2603" s="340">
        <v>808.07</v>
      </c>
      <c r="BO2603" s="340" t="s">
        <v>355</v>
      </c>
      <c r="BP2603" s="1385"/>
      <c r="BV2603" s="236">
        <v>55.05</v>
      </c>
      <c r="BW2603" s="236" t="s">
        <v>331</v>
      </c>
      <c r="CB2603" s="340">
        <v>207.08</v>
      </c>
      <c r="CC2603" s="340" t="s">
        <v>349</v>
      </c>
      <c r="CL2603" s="236">
        <v>147.03</v>
      </c>
      <c r="CM2603" s="236" t="s">
        <v>302</v>
      </c>
      <c r="CR2603" s="340">
        <v>805</v>
      </c>
      <c r="CS2603" s="340" t="s">
        <v>355</v>
      </c>
      <c r="CT2603" s="1384"/>
      <c r="DF2603" s="340">
        <v>12.03</v>
      </c>
      <c r="DG2603" s="340" t="s">
        <v>347</v>
      </c>
      <c r="DV2603" s="340">
        <v>910.25</v>
      </c>
      <c r="DW2603" s="340" t="s">
        <v>355</v>
      </c>
      <c r="DX2603" s="1671"/>
    </row>
    <row r="2604" spans="12:128">
      <c r="L2604" s="2481">
        <v>213.12</v>
      </c>
      <c r="M2604" s="340" t="s">
        <v>348</v>
      </c>
      <c r="N2604" s="1390"/>
      <c r="O2604" s="2479"/>
      <c r="P2604" s="2282"/>
      <c r="AG2604" s="2297">
        <v>1103.0899999999999</v>
      </c>
      <c r="AH2604" s="2297" t="s">
        <v>289</v>
      </c>
      <c r="AI2604" s="1390"/>
      <c r="AJ2604" s="2282"/>
      <c r="AK2604" s="2282"/>
      <c r="AL2604" s="1037"/>
      <c r="AX2604" s="340">
        <v>207.1</v>
      </c>
      <c r="AY2604" s="340" t="s">
        <v>349</v>
      </c>
      <c r="BN2604" s="340">
        <v>808.08</v>
      </c>
      <c r="BO2604" s="340" t="s">
        <v>355</v>
      </c>
      <c r="BP2604" s="1385"/>
      <c r="BV2604" s="236">
        <v>55.06</v>
      </c>
      <c r="BW2604" s="236" t="s">
        <v>331</v>
      </c>
      <c r="CB2604" s="340">
        <v>207.1</v>
      </c>
      <c r="CC2604" s="340" t="s">
        <v>349</v>
      </c>
      <c r="CL2604" s="236">
        <v>147.03</v>
      </c>
      <c r="CM2604" s="236" t="s">
        <v>338</v>
      </c>
      <c r="CR2604" s="340">
        <v>807</v>
      </c>
      <c r="CS2604" s="340" t="s">
        <v>355</v>
      </c>
      <c r="CT2604" s="1384"/>
      <c r="DF2604" s="340">
        <v>12.04</v>
      </c>
      <c r="DG2604" s="340" t="s">
        <v>347</v>
      </c>
      <c r="DV2604" s="340">
        <v>910.29</v>
      </c>
      <c r="DW2604" s="340" t="s">
        <v>355</v>
      </c>
      <c r="DX2604" s="1671"/>
    </row>
    <row r="2605" spans="12:128">
      <c r="L2605" s="2481">
        <v>213.13</v>
      </c>
      <c r="M2605" s="340" t="s">
        <v>348</v>
      </c>
      <c r="N2605" s="1390"/>
      <c r="O2605" s="2479"/>
      <c r="P2605" s="2282"/>
      <c r="AG2605" s="2297">
        <v>1103.1099999999999</v>
      </c>
      <c r="AH2605" s="2297" t="s">
        <v>289</v>
      </c>
      <c r="AI2605" s="1390"/>
      <c r="AJ2605" s="2282"/>
      <c r="AK2605" s="2282"/>
      <c r="AL2605" s="1037"/>
      <c r="AX2605" s="340">
        <v>207.12</v>
      </c>
      <c r="AY2605" s="340" t="s">
        <v>349</v>
      </c>
      <c r="BN2605" s="340">
        <v>811.02</v>
      </c>
      <c r="BO2605" s="340" t="s">
        <v>355</v>
      </c>
      <c r="BP2605" s="1385"/>
      <c r="BV2605" s="236">
        <v>56</v>
      </c>
      <c r="BW2605" s="236" t="s">
        <v>331</v>
      </c>
      <c r="CB2605" s="340">
        <v>207.12</v>
      </c>
      <c r="CC2605" s="340" t="s">
        <v>349</v>
      </c>
      <c r="CL2605" s="236">
        <v>147.03</v>
      </c>
      <c r="CM2605" s="236" t="s">
        <v>344</v>
      </c>
      <c r="CR2605" s="340">
        <v>808.03</v>
      </c>
      <c r="CS2605" s="340" t="s">
        <v>355</v>
      </c>
      <c r="CT2605" s="1384"/>
      <c r="DF2605" s="340">
        <v>12.05</v>
      </c>
      <c r="DG2605" s="340" t="s">
        <v>347</v>
      </c>
      <c r="DV2605" s="340">
        <v>910.3</v>
      </c>
      <c r="DW2605" s="340" t="s">
        <v>355</v>
      </c>
      <c r="DX2605" s="1671"/>
    </row>
    <row r="2606" spans="12:128">
      <c r="L2606" s="2481">
        <v>213.14</v>
      </c>
      <c r="M2606" s="340" t="s">
        <v>348</v>
      </c>
      <c r="N2606" s="1390"/>
      <c r="O2606" s="2479"/>
      <c r="P2606" s="2282"/>
      <c r="AG2606" s="2297">
        <v>1103.1300000000001</v>
      </c>
      <c r="AH2606" s="2297" t="s">
        <v>289</v>
      </c>
      <c r="AI2606" s="1390"/>
      <c r="AJ2606" s="2282"/>
      <c r="AK2606" s="2282"/>
      <c r="AL2606" s="1037"/>
      <c r="AX2606" s="340">
        <v>207.13</v>
      </c>
      <c r="AY2606" s="340" t="s">
        <v>349</v>
      </c>
      <c r="BN2606" s="340">
        <v>812.01</v>
      </c>
      <c r="BO2606" s="340" t="s">
        <v>355</v>
      </c>
      <c r="BP2606" s="1385"/>
      <c r="BV2606" s="236">
        <v>57.01</v>
      </c>
      <c r="BW2606" s="236" t="s">
        <v>331</v>
      </c>
      <c r="CB2606" s="340">
        <v>207.13</v>
      </c>
      <c r="CC2606" s="340" t="s">
        <v>349</v>
      </c>
      <c r="CL2606" s="236">
        <v>147.04</v>
      </c>
      <c r="CM2606" s="236" t="s">
        <v>302</v>
      </c>
      <c r="CR2606" s="340">
        <v>808.06</v>
      </c>
      <c r="CS2606" s="340" t="s">
        <v>355</v>
      </c>
      <c r="CT2606" s="1384"/>
      <c r="DF2606" s="340">
        <v>12.06</v>
      </c>
      <c r="DG2606" s="340" t="s">
        <v>347</v>
      </c>
      <c r="DV2606" s="340">
        <v>910.32</v>
      </c>
      <c r="DW2606" s="340" t="s">
        <v>355</v>
      </c>
      <c r="DX2606" s="1671"/>
    </row>
    <row r="2607" spans="12:128">
      <c r="L2607" s="2481">
        <v>213.17</v>
      </c>
      <c r="M2607" s="340" t="s">
        <v>348</v>
      </c>
      <c r="N2607" s="1390"/>
      <c r="O2607" s="2479"/>
      <c r="P2607" s="2282"/>
      <c r="AG2607" s="2297">
        <v>1103.19</v>
      </c>
      <c r="AH2607" s="2297" t="s">
        <v>289</v>
      </c>
      <c r="AI2607" s="1390"/>
      <c r="AJ2607" s="2282"/>
      <c r="AK2607" s="2282"/>
      <c r="AL2607" s="1037"/>
      <c r="AX2607" s="340">
        <v>208.01</v>
      </c>
      <c r="AY2607" s="340" t="s">
        <v>349</v>
      </c>
      <c r="BN2607" s="340">
        <v>813</v>
      </c>
      <c r="BO2607" s="340" t="s">
        <v>355</v>
      </c>
      <c r="BP2607" s="1385"/>
      <c r="BV2607" s="236">
        <v>57.05</v>
      </c>
      <c r="BW2607" s="236" t="s">
        <v>331</v>
      </c>
      <c r="CB2607" s="340">
        <v>208.01</v>
      </c>
      <c r="CC2607" s="340" t="s">
        <v>349</v>
      </c>
      <c r="CL2607" s="236">
        <v>147.04</v>
      </c>
      <c r="CM2607" s="236" t="s">
        <v>344</v>
      </c>
      <c r="CR2607" s="340">
        <v>808.07</v>
      </c>
      <c r="CS2607" s="340" t="s">
        <v>355</v>
      </c>
      <c r="CT2607" s="1384"/>
      <c r="DF2607" s="340">
        <v>13.01</v>
      </c>
      <c r="DG2607" s="340" t="s">
        <v>347</v>
      </c>
      <c r="DV2607" s="340">
        <v>910.33</v>
      </c>
      <c r="DW2607" s="340" t="s">
        <v>355</v>
      </c>
      <c r="DX2607" s="1671"/>
    </row>
    <row r="2608" spans="12:128">
      <c r="L2608" s="2481">
        <v>213.19</v>
      </c>
      <c r="M2608" s="340" t="s">
        <v>348</v>
      </c>
      <c r="N2608" s="1390"/>
      <c r="O2608" s="2479"/>
      <c r="P2608" s="2282"/>
      <c r="AG2608" s="2297">
        <v>1103.21</v>
      </c>
      <c r="AH2608" s="2297" t="s">
        <v>289</v>
      </c>
      <c r="AI2608" s="1390"/>
      <c r="AJ2608" s="2282"/>
      <c r="AK2608" s="2282"/>
      <c r="AL2608" s="1037"/>
      <c r="AX2608" s="340">
        <v>208.02</v>
      </c>
      <c r="AY2608" s="340" t="s">
        <v>349</v>
      </c>
      <c r="BN2608" s="340">
        <v>823.03</v>
      </c>
      <c r="BO2608" s="340" t="s">
        <v>355</v>
      </c>
      <c r="BP2608" s="1385"/>
      <c r="BV2608" s="236">
        <v>57.06</v>
      </c>
      <c r="BW2608" s="236" t="s">
        <v>331</v>
      </c>
      <c r="CB2608" s="340">
        <v>208.02</v>
      </c>
      <c r="CC2608" s="340" t="s">
        <v>349</v>
      </c>
      <c r="CL2608" s="236">
        <v>147.05000000000001</v>
      </c>
      <c r="CM2608" s="236" t="s">
        <v>338</v>
      </c>
      <c r="CR2608" s="340">
        <v>808.08</v>
      </c>
      <c r="CS2608" s="340" t="s">
        <v>355</v>
      </c>
      <c r="CT2608" s="1384"/>
      <c r="DF2608" s="340">
        <v>13.03</v>
      </c>
      <c r="DG2608" s="340" t="s">
        <v>347</v>
      </c>
      <c r="DV2608" s="340">
        <v>910.34</v>
      </c>
      <c r="DW2608" s="340" t="s">
        <v>355</v>
      </c>
      <c r="DX2608" s="1671"/>
    </row>
    <row r="2609" spans="12:128">
      <c r="L2609" s="2481">
        <v>213.2</v>
      </c>
      <c r="M2609" s="340" t="s">
        <v>348</v>
      </c>
      <c r="N2609" s="1390"/>
      <c r="O2609" s="2479"/>
      <c r="P2609" s="2282"/>
      <c r="AG2609" s="2297">
        <v>1103.26</v>
      </c>
      <c r="AH2609" s="2297" t="s">
        <v>289</v>
      </c>
      <c r="AI2609" s="1390"/>
      <c r="AJ2609" s="2282"/>
      <c r="AK2609" s="2282"/>
      <c r="AL2609" s="1037"/>
      <c r="AX2609" s="340">
        <v>208.03</v>
      </c>
      <c r="AY2609" s="340" t="s">
        <v>349</v>
      </c>
      <c r="BN2609" s="340">
        <v>824.05</v>
      </c>
      <c r="BO2609" s="340" t="s">
        <v>355</v>
      </c>
      <c r="BP2609" s="1385"/>
      <c r="BV2609" s="236">
        <v>57.07</v>
      </c>
      <c r="BW2609" s="236" t="s">
        <v>331</v>
      </c>
      <c r="CB2609" s="340">
        <v>208.03</v>
      </c>
      <c r="CC2609" s="340" t="s">
        <v>349</v>
      </c>
      <c r="CL2609" s="236">
        <v>147.06</v>
      </c>
      <c r="CM2609" s="236" t="s">
        <v>338</v>
      </c>
      <c r="CR2609" s="340">
        <v>811.01</v>
      </c>
      <c r="CS2609" s="340" t="s">
        <v>355</v>
      </c>
      <c r="CT2609" s="1384"/>
      <c r="DF2609" s="340">
        <v>13.04</v>
      </c>
      <c r="DG2609" s="340" t="s">
        <v>347</v>
      </c>
      <c r="DV2609" s="340">
        <v>910.36</v>
      </c>
      <c r="DW2609" s="340" t="s">
        <v>355</v>
      </c>
      <c r="DX2609" s="1671"/>
    </row>
    <row r="2610" spans="12:128">
      <c r="L2610" s="2481">
        <v>213.21</v>
      </c>
      <c r="M2610" s="340" t="s">
        <v>348</v>
      </c>
      <c r="N2610" s="1390"/>
      <c r="O2610" s="2479"/>
      <c r="P2610" s="2282"/>
      <c r="AG2610" s="2297">
        <v>1103.27</v>
      </c>
      <c r="AH2610" s="2297" t="s">
        <v>289</v>
      </c>
      <c r="AI2610" s="1390"/>
      <c r="AJ2610" s="2282"/>
      <c r="AK2610" s="2282"/>
      <c r="AL2610" s="1037"/>
      <c r="AX2610" s="340">
        <v>208.04</v>
      </c>
      <c r="AY2610" s="340" t="s">
        <v>349</v>
      </c>
      <c r="BN2610" s="340">
        <v>824.06</v>
      </c>
      <c r="BO2610" s="340" t="s">
        <v>355</v>
      </c>
      <c r="BP2610" s="1385"/>
      <c r="BV2610" s="236">
        <v>57.08</v>
      </c>
      <c r="BW2610" s="236" t="s">
        <v>331</v>
      </c>
      <c r="CB2610" s="340">
        <v>208.04</v>
      </c>
      <c r="CC2610" s="340" t="s">
        <v>349</v>
      </c>
      <c r="CL2610" s="236">
        <v>148</v>
      </c>
      <c r="CM2610" s="236" t="s">
        <v>302</v>
      </c>
      <c r="CR2610" s="340">
        <v>811.02</v>
      </c>
      <c r="CS2610" s="340" t="s">
        <v>355</v>
      </c>
      <c r="CT2610" s="1384"/>
      <c r="DF2610" s="340">
        <v>14.02</v>
      </c>
      <c r="DG2610" s="340" t="s">
        <v>347</v>
      </c>
      <c r="DV2610" s="340">
        <v>910.37</v>
      </c>
      <c r="DW2610" s="340" t="s">
        <v>355</v>
      </c>
      <c r="DX2610" s="1671"/>
    </row>
    <row r="2611" spans="12:128">
      <c r="L2611" s="2481">
        <v>214.01</v>
      </c>
      <c r="M2611" s="340" t="s">
        <v>348</v>
      </c>
      <c r="N2611" s="1390"/>
      <c r="O2611" s="2479"/>
      <c r="P2611" s="2282"/>
      <c r="AG2611" s="2297">
        <v>1103.28</v>
      </c>
      <c r="AH2611" s="2297" t="s">
        <v>289</v>
      </c>
      <c r="AI2611" s="1390"/>
      <c r="AJ2611" s="2282"/>
      <c r="AK2611" s="2282"/>
      <c r="AL2611" s="1037"/>
      <c r="AX2611" s="340">
        <v>208.07</v>
      </c>
      <c r="AY2611" s="340" t="s">
        <v>349</v>
      </c>
      <c r="BN2611" s="340">
        <v>824.1</v>
      </c>
      <c r="BO2611" s="340" t="s">
        <v>355</v>
      </c>
      <c r="BP2611" s="1385"/>
      <c r="BV2611" s="236">
        <v>58.03</v>
      </c>
      <c r="BW2611" s="236" t="s">
        <v>331</v>
      </c>
      <c r="CB2611" s="340">
        <v>208.07</v>
      </c>
      <c r="CC2611" s="340" t="s">
        <v>349</v>
      </c>
      <c r="CL2611" s="236">
        <v>148</v>
      </c>
      <c r="CM2611" s="236" t="s">
        <v>331</v>
      </c>
      <c r="CR2611" s="340">
        <v>823.03</v>
      </c>
      <c r="CS2611" s="340" t="s">
        <v>355</v>
      </c>
      <c r="CT2611" s="1384"/>
      <c r="DF2611" s="340">
        <v>14.03</v>
      </c>
      <c r="DG2611" s="340" t="s">
        <v>347</v>
      </c>
      <c r="DV2611" s="340">
        <v>910.39</v>
      </c>
      <c r="DW2611" s="340" t="s">
        <v>355</v>
      </c>
      <c r="DX2611" s="1671"/>
    </row>
    <row r="2612" spans="12:128">
      <c r="L2612" s="2481">
        <v>214.03</v>
      </c>
      <c r="M2612" s="340" t="s">
        <v>348</v>
      </c>
      <c r="N2612" s="1390"/>
      <c r="O2612" s="2479"/>
      <c r="P2612" s="2282"/>
      <c r="AG2612" s="2297">
        <v>1103.3</v>
      </c>
      <c r="AH2612" s="2297" t="s">
        <v>289</v>
      </c>
      <c r="AI2612" s="1390"/>
      <c r="AJ2612" s="2282"/>
      <c r="AK2612" s="2282"/>
      <c r="AL2612" s="1037"/>
      <c r="AX2612" s="340">
        <v>208.08</v>
      </c>
      <c r="AY2612" s="340" t="s">
        <v>349</v>
      </c>
      <c r="BN2612" s="340">
        <v>824.13</v>
      </c>
      <c r="BO2612" s="340" t="s">
        <v>355</v>
      </c>
      <c r="BP2612" s="1385"/>
      <c r="BV2612" s="236">
        <v>58.04</v>
      </c>
      <c r="BW2612" s="236" t="s">
        <v>331</v>
      </c>
      <c r="CB2612" s="340">
        <v>208.08</v>
      </c>
      <c r="CC2612" s="340" t="s">
        <v>349</v>
      </c>
      <c r="CL2612" s="236">
        <v>148.02000000000001</v>
      </c>
      <c r="CM2612" s="236" t="s">
        <v>344</v>
      </c>
      <c r="CR2612" s="340">
        <v>824.05</v>
      </c>
      <c r="CS2612" s="340" t="s">
        <v>355</v>
      </c>
      <c r="CT2612" s="1384"/>
      <c r="DF2612" s="340">
        <v>14.04</v>
      </c>
      <c r="DG2612" s="340" t="s">
        <v>347</v>
      </c>
      <c r="DV2612" s="340">
        <v>917.02</v>
      </c>
      <c r="DW2612" s="340" t="s">
        <v>289</v>
      </c>
      <c r="DX2612" s="1671"/>
    </row>
    <row r="2613" spans="12:128">
      <c r="L2613" s="2481">
        <v>214.04</v>
      </c>
      <c r="M2613" s="340" t="s">
        <v>348</v>
      </c>
      <c r="N2613" s="1390"/>
      <c r="O2613" s="2479"/>
      <c r="P2613" s="2282"/>
      <c r="AG2613" s="2297">
        <v>1103.32</v>
      </c>
      <c r="AH2613" s="2297" t="s">
        <v>289</v>
      </c>
      <c r="AI2613" s="1390"/>
      <c r="AJ2613" s="2282"/>
      <c r="AK2613" s="2282"/>
      <c r="AL2613" s="1037"/>
      <c r="AX2613" s="340">
        <v>208.09</v>
      </c>
      <c r="AY2613" s="340" t="s">
        <v>349</v>
      </c>
      <c r="BN2613" s="340">
        <v>825.08</v>
      </c>
      <c r="BO2613" s="340" t="s">
        <v>355</v>
      </c>
      <c r="BP2613" s="1385"/>
      <c r="BV2613" s="236">
        <v>58.05</v>
      </c>
      <c r="BW2613" s="236" t="s">
        <v>331</v>
      </c>
      <c r="CB2613" s="340">
        <v>208.09</v>
      </c>
      <c r="CC2613" s="340" t="s">
        <v>349</v>
      </c>
      <c r="CL2613" s="236">
        <v>148.03</v>
      </c>
      <c r="CM2613" s="236" t="s">
        <v>344</v>
      </c>
      <c r="CR2613" s="340">
        <v>824.06</v>
      </c>
      <c r="CS2613" s="340" t="s">
        <v>355</v>
      </c>
      <c r="CT2613" s="1384"/>
      <c r="DF2613" s="340">
        <v>14.05</v>
      </c>
      <c r="DG2613" s="340" t="s">
        <v>347</v>
      </c>
      <c r="DV2613" s="340">
        <v>919.01</v>
      </c>
      <c r="DW2613" s="340" t="s">
        <v>289</v>
      </c>
      <c r="DX2613" s="1671"/>
    </row>
    <row r="2614" spans="12:128">
      <c r="L2614" s="2481">
        <v>215.04</v>
      </c>
      <c r="M2614" s="340" t="s">
        <v>348</v>
      </c>
      <c r="N2614" s="1390"/>
      <c r="O2614" s="2479"/>
      <c r="P2614" s="2282"/>
      <c r="AG2614" s="2297">
        <v>1103.33</v>
      </c>
      <c r="AH2614" s="2297" t="s">
        <v>289</v>
      </c>
      <c r="AI2614" s="1390"/>
      <c r="AJ2614" s="2282"/>
      <c r="AK2614" s="2282"/>
      <c r="AL2614" s="1037"/>
      <c r="AX2614" s="340">
        <v>208.1</v>
      </c>
      <c r="AY2614" s="340" t="s">
        <v>349</v>
      </c>
      <c r="BN2614" s="340">
        <v>825.09</v>
      </c>
      <c r="BO2614" s="340" t="s">
        <v>355</v>
      </c>
      <c r="BP2614" s="1385"/>
      <c r="BV2614" s="236">
        <v>58.06</v>
      </c>
      <c r="BW2614" s="236" t="s">
        <v>331</v>
      </c>
      <c r="CB2614" s="340">
        <v>208.1</v>
      </c>
      <c r="CC2614" s="340" t="s">
        <v>349</v>
      </c>
      <c r="CL2614" s="236">
        <v>148.04</v>
      </c>
      <c r="CM2614" s="236" t="s">
        <v>338</v>
      </c>
      <c r="CR2614" s="340">
        <v>824.1</v>
      </c>
      <c r="CS2614" s="340" t="s">
        <v>355</v>
      </c>
      <c r="CT2614" s="1384"/>
      <c r="DF2614" s="340">
        <v>15.04</v>
      </c>
      <c r="DG2614" s="340" t="s">
        <v>347</v>
      </c>
      <c r="DV2614" s="340">
        <v>925</v>
      </c>
      <c r="DW2614" s="340" t="s">
        <v>355</v>
      </c>
      <c r="DX2614" s="1671"/>
    </row>
    <row r="2615" spans="12:128">
      <c r="L2615" s="2481">
        <v>215.05</v>
      </c>
      <c r="M2615" s="340" t="s">
        <v>348</v>
      </c>
      <c r="N2615" s="1390"/>
      <c r="O2615" s="2479"/>
      <c r="P2615" s="2282"/>
      <c r="AG2615" s="2297">
        <v>1103.3699999999999</v>
      </c>
      <c r="AH2615" s="2297" t="s">
        <v>289</v>
      </c>
      <c r="AI2615" s="1390"/>
      <c r="AJ2615" s="2282"/>
      <c r="AK2615" s="2282"/>
      <c r="AL2615" s="1037"/>
      <c r="AX2615" s="340">
        <v>208.11</v>
      </c>
      <c r="AY2615" s="340" t="s">
        <v>349</v>
      </c>
      <c r="BN2615" s="340">
        <v>825.12</v>
      </c>
      <c r="BO2615" s="340" t="s">
        <v>355</v>
      </c>
      <c r="BP2615" s="1385"/>
      <c r="BV2615" s="236">
        <v>59.01</v>
      </c>
      <c r="BW2615" s="236" t="s">
        <v>331</v>
      </c>
      <c r="CB2615" s="340">
        <v>208.11</v>
      </c>
      <c r="CC2615" s="340" t="s">
        <v>349</v>
      </c>
      <c r="CL2615" s="236">
        <v>148.04</v>
      </c>
      <c r="CM2615" s="236" t="s">
        <v>344</v>
      </c>
      <c r="CR2615" s="340">
        <v>824.12</v>
      </c>
      <c r="CS2615" s="340" t="s">
        <v>355</v>
      </c>
      <c r="CT2615" s="1384"/>
      <c r="DF2615" s="340">
        <v>15.05</v>
      </c>
      <c r="DG2615" s="340" t="s">
        <v>347</v>
      </c>
      <c r="DV2615" s="340">
        <v>1001.05</v>
      </c>
      <c r="DW2615" s="340" t="s">
        <v>289</v>
      </c>
      <c r="DX2615" s="1671"/>
    </row>
    <row r="2616" spans="12:128">
      <c r="L2616" s="2481">
        <v>216.04</v>
      </c>
      <c r="M2616" s="340" t="s">
        <v>348</v>
      </c>
      <c r="N2616" s="1390"/>
      <c r="O2616" s="2479"/>
      <c r="P2616" s="2282"/>
      <c r="AG2616" s="2297">
        <v>1103.3900000000001</v>
      </c>
      <c r="AH2616" s="2297" t="s">
        <v>289</v>
      </c>
      <c r="AI2616" s="1390"/>
      <c r="AJ2616" s="2282"/>
      <c r="AK2616" s="2282"/>
      <c r="AL2616" s="1037"/>
      <c r="AX2616" s="340">
        <v>209.04</v>
      </c>
      <c r="AY2616" s="340" t="s">
        <v>349</v>
      </c>
      <c r="BN2616" s="340">
        <v>826.05</v>
      </c>
      <c r="BO2616" s="340" t="s">
        <v>355</v>
      </c>
      <c r="BP2616" s="1385"/>
      <c r="BV2616" s="236">
        <v>59.02</v>
      </c>
      <c r="BW2616" s="236" t="s">
        <v>331</v>
      </c>
      <c r="CB2616" s="340">
        <v>209.04</v>
      </c>
      <c r="CC2616" s="340" t="s">
        <v>349</v>
      </c>
      <c r="CL2616" s="236">
        <v>148.05000000000001</v>
      </c>
      <c r="CM2616" s="236" t="s">
        <v>338</v>
      </c>
      <c r="CR2616" s="340">
        <v>824.13</v>
      </c>
      <c r="CS2616" s="340" t="s">
        <v>355</v>
      </c>
      <c r="CT2616" s="1384"/>
      <c r="DF2616" s="340">
        <v>15.08</v>
      </c>
      <c r="DG2616" s="340" t="s">
        <v>347</v>
      </c>
      <c r="DV2616" s="340">
        <v>1001.07</v>
      </c>
      <c r="DW2616" s="340" t="s">
        <v>289</v>
      </c>
      <c r="DX2616" s="1671"/>
    </row>
    <row r="2617" spans="12:128">
      <c r="L2617" s="2481">
        <v>216.09</v>
      </c>
      <c r="M2617" s="340" t="s">
        <v>348</v>
      </c>
      <c r="N2617" s="1390"/>
      <c r="O2617" s="2479"/>
      <c r="P2617" s="2282"/>
      <c r="AG2617" s="2297">
        <v>1103.44</v>
      </c>
      <c r="AH2617" s="2297" t="s">
        <v>289</v>
      </c>
      <c r="AI2617" s="1390"/>
      <c r="AJ2617" s="2282"/>
      <c r="AK2617" s="2282"/>
      <c r="AL2617" s="1037"/>
      <c r="AX2617" s="340">
        <v>209.05</v>
      </c>
      <c r="AY2617" s="340" t="s">
        <v>349</v>
      </c>
      <c r="BN2617" s="340">
        <v>826.06</v>
      </c>
      <c r="BO2617" s="340" t="s">
        <v>355</v>
      </c>
      <c r="BP2617" s="1385"/>
      <c r="BV2617" s="236">
        <v>59.03</v>
      </c>
      <c r="BW2617" s="236" t="s">
        <v>331</v>
      </c>
      <c r="CB2617" s="340">
        <v>209.05</v>
      </c>
      <c r="CC2617" s="340" t="s">
        <v>349</v>
      </c>
      <c r="CL2617" s="236">
        <v>148.06</v>
      </c>
      <c r="CM2617" s="236" t="s">
        <v>338</v>
      </c>
      <c r="CR2617" s="340">
        <v>825.03</v>
      </c>
      <c r="CS2617" s="340" t="s">
        <v>355</v>
      </c>
      <c r="CT2617" s="1384"/>
      <c r="DF2617" s="340">
        <v>15.1</v>
      </c>
      <c r="DG2617" s="340" t="s">
        <v>347</v>
      </c>
      <c r="DV2617" s="340">
        <v>1001.08</v>
      </c>
      <c r="DW2617" s="340" t="s">
        <v>289</v>
      </c>
      <c r="DX2617" s="1671"/>
    </row>
    <row r="2618" spans="12:128">
      <c r="L2618" s="2481">
        <v>216.11</v>
      </c>
      <c r="M2618" s="340" t="s">
        <v>348</v>
      </c>
      <c r="N2618" s="1390"/>
      <c r="O2618" s="2479"/>
      <c r="P2618" s="2282"/>
      <c r="AG2618" s="2297">
        <v>1103.45</v>
      </c>
      <c r="AH2618" s="2297" t="s">
        <v>289</v>
      </c>
      <c r="AI2618" s="1390"/>
      <c r="AJ2618" s="2282"/>
      <c r="AK2618" s="2282"/>
      <c r="AL2618" s="1037"/>
      <c r="AX2618" s="340">
        <v>209.06</v>
      </c>
      <c r="AY2618" s="340" t="s">
        <v>349</v>
      </c>
      <c r="BN2618" s="340">
        <v>826.07</v>
      </c>
      <c r="BO2618" s="340" t="s">
        <v>355</v>
      </c>
      <c r="BP2618" s="1385"/>
      <c r="BV2618" s="236">
        <v>59.04</v>
      </c>
      <c r="BW2618" s="236" t="s">
        <v>331</v>
      </c>
      <c r="CB2618" s="340">
        <v>209.07</v>
      </c>
      <c r="CC2618" s="340" t="s">
        <v>349</v>
      </c>
      <c r="CL2618" s="236">
        <v>148.07</v>
      </c>
      <c r="CM2618" s="236" t="s">
        <v>338</v>
      </c>
      <c r="CR2618" s="340">
        <v>825.08</v>
      </c>
      <c r="CS2618" s="340" t="s">
        <v>355</v>
      </c>
      <c r="CT2618" s="1384"/>
      <c r="DF2618" s="340">
        <v>15.11</v>
      </c>
      <c r="DG2618" s="340" t="s">
        <v>347</v>
      </c>
      <c r="DV2618" s="340">
        <v>1008.03</v>
      </c>
      <c r="DW2618" s="340" t="s">
        <v>289</v>
      </c>
      <c r="DX2618" s="1671"/>
    </row>
    <row r="2619" spans="12:128">
      <c r="L2619" s="2481">
        <v>216.12</v>
      </c>
      <c r="M2619" s="340" t="s">
        <v>348</v>
      </c>
      <c r="N2619" s="1390"/>
      <c r="O2619" s="2479"/>
      <c r="P2619" s="2282"/>
      <c r="AG2619" s="2297">
        <v>1103.47</v>
      </c>
      <c r="AH2619" s="2297" t="s">
        <v>289</v>
      </c>
      <c r="AI2619" s="1390"/>
      <c r="AJ2619" s="2282"/>
      <c r="AK2619" s="2282"/>
      <c r="AL2619" s="1037"/>
      <c r="AX2619" s="340">
        <v>209.07</v>
      </c>
      <c r="AY2619" s="340" t="s">
        <v>349</v>
      </c>
      <c r="BN2619" s="340">
        <v>827.01</v>
      </c>
      <c r="BO2619" s="340" t="s">
        <v>355</v>
      </c>
      <c r="BP2619" s="1385"/>
      <c r="BV2619" s="236">
        <v>60.02</v>
      </c>
      <c r="BW2619" s="236" t="s">
        <v>331</v>
      </c>
      <c r="CB2619" s="340">
        <v>209.08</v>
      </c>
      <c r="CC2619" s="340" t="s">
        <v>349</v>
      </c>
      <c r="CL2619" s="236">
        <v>148.09</v>
      </c>
      <c r="CM2619" s="236" t="s">
        <v>338</v>
      </c>
      <c r="CR2619" s="340">
        <v>825.09</v>
      </c>
      <c r="CS2619" s="340" t="s">
        <v>355</v>
      </c>
      <c r="CT2619" s="1384"/>
      <c r="DF2619" s="340">
        <v>16.010000000000002</v>
      </c>
      <c r="DG2619" s="340" t="s">
        <v>347</v>
      </c>
      <c r="DV2619" s="340">
        <v>1102</v>
      </c>
      <c r="DW2619" s="340" t="s">
        <v>327</v>
      </c>
      <c r="DX2619" s="1671"/>
    </row>
    <row r="2620" spans="12:128">
      <c r="L2620" s="2481">
        <v>216.13</v>
      </c>
      <c r="M2620" s="340" t="s">
        <v>348</v>
      </c>
      <c r="N2620" s="1390"/>
      <c r="O2620" s="2479"/>
      <c r="P2620" s="2282"/>
      <c r="AG2620" s="2297">
        <v>1103.49</v>
      </c>
      <c r="AH2620" s="2297" t="s">
        <v>289</v>
      </c>
      <c r="AI2620" s="1390"/>
      <c r="AJ2620" s="2282"/>
      <c r="AK2620" s="2282"/>
      <c r="AL2620" s="1037"/>
      <c r="AX2620" s="340">
        <v>212.07</v>
      </c>
      <c r="AY2620" s="340" t="s">
        <v>349</v>
      </c>
      <c r="BN2620" s="340">
        <v>827.03</v>
      </c>
      <c r="BO2620" s="340" t="s">
        <v>355</v>
      </c>
      <c r="BP2620" s="1385"/>
      <c r="BV2620" s="236">
        <v>60.03</v>
      </c>
      <c r="BW2620" s="236" t="s">
        <v>331</v>
      </c>
      <c r="CB2620" s="340">
        <v>212.07</v>
      </c>
      <c r="CC2620" s="340" t="s">
        <v>349</v>
      </c>
      <c r="CL2620" s="236">
        <v>148.1</v>
      </c>
      <c r="CM2620" s="236" t="s">
        <v>338</v>
      </c>
      <c r="CR2620" s="340">
        <v>825.12</v>
      </c>
      <c r="CS2620" s="340" t="s">
        <v>355</v>
      </c>
      <c r="CT2620" s="1384"/>
      <c r="DF2620" s="340">
        <v>17.02</v>
      </c>
      <c r="DG2620" s="340" t="s">
        <v>347</v>
      </c>
      <c r="DV2620" s="340">
        <v>1102.01</v>
      </c>
      <c r="DW2620" s="340" t="s">
        <v>298</v>
      </c>
      <c r="DX2620" s="1671"/>
    </row>
    <row r="2621" spans="12:128">
      <c r="L2621" s="2481">
        <v>216.14</v>
      </c>
      <c r="M2621" s="340" t="s">
        <v>348</v>
      </c>
      <c r="N2621" s="1390"/>
      <c r="O2621" s="2479"/>
      <c r="P2621" s="2282"/>
      <c r="AG2621" s="2297">
        <v>1103.5</v>
      </c>
      <c r="AH2621" s="2297" t="s">
        <v>289</v>
      </c>
      <c r="AI2621" s="1390"/>
      <c r="AJ2621" s="2282"/>
      <c r="AK2621" s="2282"/>
      <c r="AL2621" s="1037"/>
      <c r="AX2621" s="340">
        <v>212.11</v>
      </c>
      <c r="AY2621" s="340" t="s">
        <v>349</v>
      </c>
      <c r="BN2621" s="340">
        <v>827.04</v>
      </c>
      <c r="BO2621" s="340" t="s">
        <v>355</v>
      </c>
      <c r="BP2621" s="1385"/>
      <c r="BV2621" s="236">
        <v>60.04</v>
      </c>
      <c r="BW2621" s="236" t="s">
        <v>331</v>
      </c>
      <c r="CB2621" s="340">
        <v>212.11</v>
      </c>
      <c r="CC2621" s="340" t="s">
        <v>349</v>
      </c>
      <c r="CL2621" s="236">
        <v>148.11000000000001</v>
      </c>
      <c r="CM2621" s="236" t="s">
        <v>338</v>
      </c>
      <c r="CR2621" s="340">
        <v>826.04</v>
      </c>
      <c r="CS2621" s="340" t="s">
        <v>355</v>
      </c>
      <c r="CT2621" s="1384"/>
      <c r="DF2621" s="340">
        <v>18.010000000000002</v>
      </c>
      <c r="DG2621" s="340" t="s">
        <v>347</v>
      </c>
      <c r="DV2621" s="340">
        <v>1103.01</v>
      </c>
      <c r="DW2621" s="340" t="s">
        <v>289</v>
      </c>
      <c r="DX2621" s="1671"/>
    </row>
    <row r="2622" spans="12:128">
      <c r="L2622" s="2481">
        <v>216.17</v>
      </c>
      <c r="M2622" s="340" t="s">
        <v>348</v>
      </c>
      <c r="N2622" s="1390"/>
      <c r="O2622" s="2479"/>
      <c r="P2622" s="2282"/>
      <c r="AG2622" s="2297">
        <v>1103.56</v>
      </c>
      <c r="AH2622" s="2297" t="s">
        <v>289</v>
      </c>
      <c r="AI2622" s="1390"/>
      <c r="AJ2622" s="2282"/>
      <c r="AK2622" s="2282"/>
      <c r="AL2622" s="1037"/>
      <c r="AX2622" s="340">
        <v>214.03</v>
      </c>
      <c r="AY2622" s="340" t="s">
        <v>349</v>
      </c>
      <c r="BN2622" s="340">
        <v>827.05</v>
      </c>
      <c r="BO2622" s="340" t="s">
        <v>355</v>
      </c>
      <c r="BP2622" s="1385"/>
      <c r="BV2622" s="236">
        <v>61.03</v>
      </c>
      <c r="BW2622" s="236" t="s">
        <v>331</v>
      </c>
      <c r="CB2622" s="340">
        <v>214.04</v>
      </c>
      <c r="CC2622" s="340" t="s">
        <v>349</v>
      </c>
      <c r="CL2622" s="236">
        <v>148.12</v>
      </c>
      <c r="CM2622" s="236" t="s">
        <v>338</v>
      </c>
      <c r="CR2622" s="340">
        <v>826.05</v>
      </c>
      <c r="CS2622" s="340" t="s">
        <v>355</v>
      </c>
      <c r="CT2622" s="1384"/>
      <c r="DF2622" s="340">
        <v>19.03</v>
      </c>
      <c r="DG2622" s="340" t="s">
        <v>347</v>
      </c>
      <c r="DV2622" s="340">
        <v>1103.01</v>
      </c>
      <c r="DW2622" s="340" t="s">
        <v>327</v>
      </c>
      <c r="DX2622" s="1671"/>
    </row>
    <row r="2623" spans="12:128">
      <c r="L2623" s="2481">
        <v>217.04</v>
      </c>
      <c r="M2623" s="340" t="s">
        <v>348</v>
      </c>
      <c r="N2623" s="1390"/>
      <c r="O2623" s="2479"/>
      <c r="P2623" s="2282"/>
      <c r="AG2623" s="2297">
        <v>1103.57</v>
      </c>
      <c r="AH2623" s="2297" t="s">
        <v>289</v>
      </c>
      <c r="AI2623" s="1390"/>
      <c r="AJ2623" s="2282"/>
      <c r="AK2623" s="2282"/>
      <c r="AL2623" s="1037"/>
      <c r="AX2623" s="340">
        <v>214.04</v>
      </c>
      <c r="AY2623" s="340" t="s">
        <v>349</v>
      </c>
      <c r="BN2623" s="340">
        <v>828.01</v>
      </c>
      <c r="BO2623" s="340" t="s">
        <v>355</v>
      </c>
      <c r="BP2623" s="1385"/>
      <c r="BV2623" s="236">
        <v>61.04</v>
      </c>
      <c r="BW2623" s="236" t="s">
        <v>331</v>
      </c>
      <c r="CB2623" s="340">
        <v>214.08</v>
      </c>
      <c r="CC2623" s="340" t="s">
        <v>349</v>
      </c>
      <c r="CL2623" s="236">
        <v>148.13</v>
      </c>
      <c r="CM2623" s="236" t="s">
        <v>338</v>
      </c>
      <c r="CR2623" s="340">
        <v>826.06</v>
      </c>
      <c r="CS2623" s="340" t="s">
        <v>355</v>
      </c>
      <c r="CT2623" s="1384"/>
      <c r="DF2623" s="340">
        <v>19.04</v>
      </c>
      <c r="DG2623" s="340" t="s">
        <v>347</v>
      </c>
      <c r="DV2623" s="340">
        <v>1103.03</v>
      </c>
      <c r="DW2623" s="340" t="s">
        <v>289</v>
      </c>
      <c r="DX2623" s="1671"/>
    </row>
    <row r="2624" spans="12:128">
      <c r="L2624" s="2481">
        <v>217.08</v>
      </c>
      <c r="M2624" s="340" t="s">
        <v>348</v>
      </c>
      <c r="N2624" s="1390"/>
      <c r="O2624" s="2479"/>
      <c r="P2624" s="2282"/>
      <c r="AG2624" s="2297">
        <v>1103.58</v>
      </c>
      <c r="AH2624" s="2297" t="s">
        <v>289</v>
      </c>
      <c r="AI2624" s="1390"/>
      <c r="AJ2624" s="2282"/>
      <c r="AK2624" s="2282"/>
      <c r="AL2624" s="1037"/>
      <c r="AX2624" s="340">
        <v>214.08</v>
      </c>
      <c r="AY2624" s="340" t="s">
        <v>349</v>
      </c>
      <c r="BN2624" s="340">
        <v>828.02</v>
      </c>
      <c r="BO2624" s="340" t="s">
        <v>355</v>
      </c>
      <c r="BP2624" s="1385"/>
      <c r="BV2624" s="236">
        <v>61.05</v>
      </c>
      <c r="BW2624" s="236" t="s">
        <v>331</v>
      </c>
      <c r="CB2624" s="340">
        <v>214.09</v>
      </c>
      <c r="CC2624" s="340" t="s">
        <v>349</v>
      </c>
      <c r="CL2624" s="236">
        <v>148.13999999999999</v>
      </c>
      <c r="CM2624" s="236" t="s">
        <v>338</v>
      </c>
      <c r="CR2624" s="340">
        <v>826.07</v>
      </c>
      <c r="CS2624" s="340" t="s">
        <v>355</v>
      </c>
      <c r="CT2624" s="1384"/>
      <c r="DF2624" s="340">
        <v>19.05</v>
      </c>
      <c r="DG2624" s="340" t="s">
        <v>347</v>
      </c>
      <c r="DV2624" s="340">
        <v>1103.07</v>
      </c>
      <c r="DW2624" s="340" t="s">
        <v>289</v>
      </c>
      <c r="DX2624" s="1671"/>
    </row>
    <row r="2625" spans="12:128">
      <c r="L2625" s="2481">
        <v>218.05</v>
      </c>
      <c r="M2625" s="340" t="s">
        <v>348</v>
      </c>
      <c r="N2625" s="1390"/>
      <c r="O2625" s="2479"/>
      <c r="P2625" s="2282"/>
      <c r="AG2625" s="2297">
        <v>1103.5899999999999</v>
      </c>
      <c r="AH2625" s="2297" t="s">
        <v>289</v>
      </c>
      <c r="AI2625" s="1390"/>
      <c r="AJ2625" s="2282"/>
      <c r="AK2625" s="2282"/>
      <c r="AL2625" s="1037"/>
      <c r="AX2625" s="340">
        <v>214.09</v>
      </c>
      <c r="AY2625" s="340" t="s">
        <v>349</v>
      </c>
      <c r="BN2625" s="340">
        <v>829.03</v>
      </c>
      <c r="BO2625" s="340" t="s">
        <v>355</v>
      </c>
      <c r="BP2625" s="1385"/>
      <c r="BV2625" s="236">
        <v>61.06</v>
      </c>
      <c r="BW2625" s="236" t="s">
        <v>331</v>
      </c>
      <c r="CB2625" s="340">
        <v>3807</v>
      </c>
      <c r="CC2625" s="340" t="s">
        <v>350</v>
      </c>
      <c r="CL2625" s="236">
        <v>148.15</v>
      </c>
      <c r="CM2625" s="236" t="s">
        <v>338</v>
      </c>
      <c r="CR2625" s="340">
        <v>827.01</v>
      </c>
      <c r="CS2625" s="340" t="s">
        <v>355</v>
      </c>
      <c r="CT2625" s="1384"/>
      <c r="DF2625" s="340">
        <v>19.09</v>
      </c>
      <c r="DG2625" s="340" t="s">
        <v>347</v>
      </c>
      <c r="DV2625" s="340">
        <v>1103.0899999999999</v>
      </c>
      <c r="DW2625" s="340" t="s">
        <v>289</v>
      </c>
      <c r="DX2625" s="1671"/>
    </row>
    <row r="2626" spans="12:128">
      <c r="L2626" s="2481">
        <v>220.02</v>
      </c>
      <c r="M2626" s="340" t="s">
        <v>348</v>
      </c>
      <c r="N2626" s="1390"/>
      <c r="O2626" s="2479"/>
      <c r="P2626" s="2282"/>
      <c r="AG2626" s="2297">
        <v>1103.5999999999999</v>
      </c>
      <c r="AH2626" s="2297" t="s">
        <v>289</v>
      </c>
      <c r="AI2626" s="1390"/>
      <c r="AJ2626" s="2282"/>
      <c r="AK2626" s="2282"/>
      <c r="AL2626" s="1037"/>
      <c r="AX2626" s="340">
        <v>3807</v>
      </c>
      <c r="AY2626" s="340" t="s">
        <v>350</v>
      </c>
      <c r="BN2626" s="340">
        <v>829.04</v>
      </c>
      <c r="BO2626" s="340" t="s">
        <v>355</v>
      </c>
      <c r="BP2626" s="1385"/>
      <c r="BV2626" s="236">
        <v>62.01</v>
      </c>
      <c r="BW2626" s="236" t="s">
        <v>331</v>
      </c>
      <c r="CB2626" s="340">
        <v>3811.05</v>
      </c>
      <c r="CC2626" s="340" t="s">
        <v>350</v>
      </c>
      <c r="CL2626" s="236">
        <v>149</v>
      </c>
      <c r="CM2626" s="236" t="s">
        <v>331</v>
      </c>
      <c r="CR2626" s="340">
        <v>827.03</v>
      </c>
      <c r="CS2626" s="340" t="s">
        <v>355</v>
      </c>
      <c r="CT2626" s="1384"/>
      <c r="DF2626" s="340">
        <v>20.079999999999998</v>
      </c>
      <c r="DG2626" s="340" t="s">
        <v>347</v>
      </c>
      <c r="DV2626" s="340">
        <v>1103.1099999999999</v>
      </c>
      <c r="DW2626" s="340" t="s">
        <v>289</v>
      </c>
      <c r="DX2626" s="1671"/>
    </row>
    <row r="2627" spans="12:128">
      <c r="L2627" s="2481">
        <v>220.04</v>
      </c>
      <c r="M2627" s="340" t="s">
        <v>348</v>
      </c>
      <c r="N2627" s="1390"/>
      <c r="O2627" s="2479"/>
      <c r="P2627" s="2282"/>
      <c r="AG2627" s="2297">
        <v>1103.6099999999999</v>
      </c>
      <c r="AH2627" s="2297" t="s">
        <v>289</v>
      </c>
      <c r="AI2627" s="1390"/>
      <c r="AJ2627" s="2282"/>
      <c r="AK2627" s="2282"/>
      <c r="AL2627" s="1037"/>
      <c r="AX2627" s="340">
        <v>3810</v>
      </c>
      <c r="AY2627" s="340" t="s">
        <v>350</v>
      </c>
      <c r="BN2627" s="340">
        <v>830.06</v>
      </c>
      <c r="BO2627" s="340" t="s">
        <v>355</v>
      </c>
      <c r="BP2627" s="1385"/>
      <c r="BV2627" s="236">
        <v>62.03</v>
      </c>
      <c r="BW2627" s="236" t="s">
        <v>331</v>
      </c>
      <c r="CB2627" s="340">
        <v>3811.06</v>
      </c>
      <c r="CC2627" s="340" t="s">
        <v>350</v>
      </c>
      <c r="CL2627" s="236">
        <v>149.01</v>
      </c>
      <c r="CM2627" s="236" t="s">
        <v>302</v>
      </c>
      <c r="CR2627" s="340">
        <v>827.04</v>
      </c>
      <c r="CS2627" s="340" t="s">
        <v>355</v>
      </c>
      <c r="CT2627" s="1384"/>
      <c r="DF2627" s="340">
        <v>20.12</v>
      </c>
      <c r="DG2627" s="340" t="s">
        <v>347</v>
      </c>
      <c r="DV2627" s="340">
        <v>1103.1300000000001</v>
      </c>
      <c r="DW2627" s="340" t="s">
        <v>289</v>
      </c>
      <c r="DX2627" s="1671"/>
    </row>
    <row r="2628" spans="12:128">
      <c r="L2628" s="2481">
        <v>221.05</v>
      </c>
      <c r="M2628" s="340" t="s">
        <v>348</v>
      </c>
      <c r="N2628" s="1390"/>
      <c r="O2628" s="2479"/>
      <c r="P2628" s="2282"/>
      <c r="AG2628" s="2297">
        <v>1103.6300000000001</v>
      </c>
      <c r="AH2628" s="2297" t="s">
        <v>289</v>
      </c>
      <c r="AI2628" s="1390"/>
      <c r="AJ2628" s="2282"/>
      <c r="AK2628" s="2282"/>
      <c r="AL2628" s="1037"/>
      <c r="AX2628" s="340">
        <v>3811.05</v>
      </c>
      <c r="AY2628" s="340" t="s">
        <v>350</v>
      </c>
      <c r="BN2628" s="340">
        <v>830.07</v>
      </c>
      <c r="BO2628" s="340" t="s">
        <v>355</v>
      </c>
      <c r="BP2628" s="1385"/>
      <c r="BV2628" s="236">
        <v>62.05</v>
      </c>
      <c r="BW2628" s="236" t="s">
        <v>331</v>
      </c>
      <c r="CB2628" s="340">
        <v>3812.04</v>
      </c>
      <c r="CC2628" s="340" t="s">
        <v>350</v>
      </c>
      <c r="CL2628" s="236">
        <v>149.02000000000001</v>
      </c>
      <c r="CM2628" s="236" t="s">
        <v>302</v>
      </c>
      <c r="CR2628" s="340">
        <v>827.05</v>
      </c>
      <c r="CS2628" s="340" t="s">
        <v>355</v>
      </c>
      <c r="CT2628" s="1384"/>
      <c r="DF2628" s="340">
        <v>20.13</v>
      </c>
      <c r="DG2628" s="340" t="s">
        <v>347</v>
      </c>
      <c r="DV2628" s="340">
        <v>1103.21</v>
      </c>
      <c r="DW2628" s="340" t="s">
        <v>289</v>
      </c>
      <c r="DX2628" s="1671"/>
    </row>
    <row r="2629" spans="12:128">
      <c r="L2629" s="2481">
        <v>221.06</v>
      </c>
      <c r="M2629" s="340" t="s">
        <v>348</v>
      </c>
      <c r="N2629" s="1390"/>
      <c r="O2629" s="2479"/>
      <c r="P2629" s="2282"/>
      <c r="AG2629" s="2297">
        <v>1103.6400000000001</v>
      </c>
      <c r="AH2629" s="2297" t="s">
        <v>289</v>
      </c>
      <c r="AI2629" s="1390"/>
      <c r="AJ2629" s="2282"/>
      <c r="AK2629" s="2282"/>
      <c r="AL2629" s="1037"/>
      <c r="AX2629" s="340">
        <v>3811.06</v>
      </c>
      <c r="AY2629" s="340" t="s">
        <v>350</v>
      </c>
      <c r="BN2629" s="340">
        <v>830.08</v>
      </c>
      <c r="BO2629" s="340" t="s">
        <v>355</v>
      </c>
      <c r="BP2629" s="1385"/>
      <c r="BV2629" s="236">
        <v>62.06</v>
      </c>
      <c r="BW2629" s="236" t="s">
        <v>331</v>
      </c>
      <c r="CB2629" s="340">
        <v>3813</v>
      </c>
      <c r="CC2629" s="340" t="s">
        <v>350</v>
      </c>
      <c r="CL2629" s="236">
        <v>149.03</v>
      </c>
      <c r="CM2629" s="236" t="s">
        <v>344</v>
      </c>
      <c r="CR2629" s="340">
        <v>828.01</v>
      </c>
      <c r="CS2629" s="340" t="s">
        <v>355</v>
      </c>
      <c r="CT2629" s="1384"/>
      <c r="DF2629" s="340">
        <v>20.14</v>
      </c>
      <c r="DG2629" s="340" t="s">
        <v>347</v>
      </c>
      <c r="DV2629" s="340">
        <v>1103.26</v>
      </c>
      <c r="DW2629" s="340" t="s">
        <v>289</v>
      </c>
      <c r="DX2629" s="1671"/>
    </row>
    <row r="2630" spans="12:128">
      <c r="L2630" s="2481">
        <v>222.01</v>
      </c>
      <c r="M2630" s="340" t="s">
        <v>348</v>
      </c>
      <c r="N2630" s="1390"/>
      <c r="O2630" s="2479"/>
      <c r="P2630" s="2282"/>
      <c r="AG2630" s="2297">
        <v>1103.6500000000001</v>
      </c>
      <c r="AH2630" s="2297" t="s">
        <v>289</v>
      </c>
      <c r="AI2630" s="1390"/>
      <c r="AJ2630" s="2282"/>
      <c r="AK2630" s="2282"/>
      <c r="AL2630" s="1037"/>
      <c r="AX2630" s="340">
        <v>3812.04</v>
      </c>
      <c r="AY2630" s="340" t="s">
        <v>350</v>
      </c>
      <c r="BN2630" s="340">
        <v>832.03</v>
      </c>
      <c r="BO2630" s="340" t="s">
        <v>355</v>
      </c>
      <c r="BP2630" s="1385"/>
      <c r="BV2630" s="236">
        <v>63.02</v>
      </c>
      <c r="BW2630" s="236" t="s">
        <v>331</v>
      </c>
      <c r="CB2630" s="340">
        <v>3815.05</v>
      </c>
      <c r="CC2630" s="340" t="s">
        <v>350</v>
      </c>
      <c r="CL2630" s="236">
        <v>149.04</v>
      </c>
      <c r="CM2630" s="236" t="s">
        <v>338</v>
      </c>
      <c r="CR2630" s="340">
        <v>828.02</v>
      </c>
      <c r="CS2630" s="340" t="s">
        <v>355</v>
      </c>
      <c r="CT2630" s="1384"/>
      <c r="DF2630" s="340">
        <v>20.149999999999999</v>
      </c>
      <c r="DG2630" s="340" t="s">
        <v>347</v>
      </c>
      <c r="DV2630" s="340">
        <v>1103.27</v>
      </c>
      <c r="DW2630" s="340" t="s">
        <v>289</v>
      </c>
      <c r="DX2630" s="1671"/>
    </row>
    <row r="2631" spans="12:128">
      <c r="L2631" s="2481">
        <v>222.05</v>
      </c>
      <c r="M2631" s="340" t="s">
        <v>348</v>
      </c>
      <c r="N2631" s="1390"/>
      <c r="O2631" s="2479"/>
      <c r="P2631" s="2282"/>
      <c r="AG2631" s="2297">
        <v>1103.68</v>
      </c>
      <c r="AH2631" s="2297" t="s">
        <v>289</v>
      </c>
      <c r="AI2631" s="1390"/>
      <c r="AJ2631" s="2282"/>
      <c r="AK2631" s="2282"/>
      <c r="AL2631" s="1037"/>
      <c r="AX2631" s="340">
        <v>3813</v>
      </c>
      <c r="AY2631" s="340" t="s">
        <v>350</v>
      </c>
      <c r="BN2631" s="340">
        <v>832.05</v>
      </c>
      <c r="BO2631" s="340" t="s">
        <v>355</v>
      </c>
      <c r="BP2631" s="1385"/>
      <c r="BV2631" s="236">
        <v>63.03</v>
      </c>
      <c r="BW2631" s="236" t="s">
        <v>331</v>
      </c>
      <c r="CB2631" s="340">
        <v>3815.06</v>
      </c>
      <c r="CC2631" s="340" t="s">
        <v>350</v>
      </c>
      <c r="CL2631" s="236">
        <v>149.04</v>
      </c>
      <c r="CM2631" s="236" t="s">
        <v>344</v>
      </c>
      <c r="CR2631" s="340">
        <v>829.03</v>
      </c>
      <c r="CS2631" s="340" t="s">
        <v>355</v>
      </c>
      <c r="CT2631" s="1384"/>
      <c r="DF2631" s="340">
        <v>20.16</v>
      </c>
      <c r="DG2631" s="340" t="s">
        <v>347</v>
      </c>
      <c r="DV2631" s="340">
        <v>1103.28</v>
      </c>
      <c r="DW2631" s="340" t="s">
        <v>289</v>
      </c>
      <c r="DX2631" s="1671"/>
    </row>
    <row r="2632" spans="12:128">
      <c r="L2632" s="2481">
        <v>222.06</v>
      </c>
      <c r="M2632" s="340" t="s">
        <v>348</v>
      </c>
      <c r="N2632" s="1390"/>
      <c r="O2632" s="2479"/>
      <c r="P2632" s="2282"/>
      <c r="AG2632" s="2297">
        <v>1104</v>
      </c>
      <c r="AH2632" s="2297" t="s">
        <v>327</v>
      </c>
      <c r="AI2632" s="1390"/>
      <c r="AJ2632" s="2282"/>
      <c r="AK2632" s="2282"/>
      <c r="AL2632" s="1037"/>
      <c r="AX2632" s="340">
        <v>3815.04</v>
      </c>
      <c r="AY2632" s="340" t="s">
        <v>350</v>
      </c>
      <c r="BN2632" s="340">
        <v>832.07</v>
      </c>
      <c r="BO2632" s="340" t="s">
        <v>355</v>
      </c>
      <c r="BP2632" s="1385"/>
      <c r="BV2632" s="236">
        <v>63.04</v>
      </c>
      <c r="BW2632" s="236" t="s">
        <v>331</v>
      </c>
      <c r="CB2632" s="340">
        <v>3815.08</v>
      </c>
      <c r="CC2632" s="340" t="s">
        <v>350</v>
      </c>
      <c r="CL2632" s="236">
        <v>149.05000000000001</v>
      </c>
      <c r="CM2632" s="236" t="s">
        <v>344</v>
      </c>
      <c r="CR2632" s="340">
        <v>829.04</v>
      </c>
      <c r="CS2632" s="340" t="s">
        <v>355</v>
      </c>
      <c r="CT2632" s="1384"/>
      <c r="DF2632" s="340">
        <v>21.01</v>
      </c>
      <c r="DG2632" s="340" t="s">
        <v>347</v>
      </c>
      <c r="DV2632" s="340">
        <v>1103.3</v>
      </c>
      <c r="DW2632" s="340" t="s">
        <v>289</v>
      </c>
      <c r="DX2632" s="1671"/>
    </row>
    <row r="2633" spans="12:128">
      <c r="L2633" s="2481">
        <v>222.07</v>
      </c>
      <c r="M2633" s="340" t="s">
        <v>348</v>
      </c>
      <c r="N2633" s="1390"/>
      <c r="O2633" s="2479"/>
      <c r="P2633" s="2282"/>
      <c r="AG2633" s="2297">
        <v>1105</v>
      </c>
      <c r="AH2633" s="2297" t="s">
        <v>298</v>
      </c>
      <c r="AI2633" s="1390"/>
      <c r="AJ2633" s="2282"/>
      <c r="AK2633" s="2282"/>
      <c r="AL2633" s="1037"/>
      <c r="AX2633" s="340">
        <v>3815.05</v>
      </c>
      <c r="AY2633" s="340" t="s">
        <v>350</v>
      </c>
      <c r="BN2633" s="340">
        <v>832.09</v>
      </c>
      <c r="BO2633" s="340" t="s">
        <v>355</v>
      </c>
      <c r="BP2633" s="1385"/>
      <c r="BV2633" s="236">
        <v>64.010000000000005</v>
      </c>
      <c r="BW2633" s="236" t="s">
        <v>331</v>
      </c>
      <c r="CB2633" s="340">
        <v>3816.02</v>
      </c>
      <c r="CC2633" s="340" t="s">
        <v>350</v>
      </c>
      <c r="CL2633" s="236">
        <v>149.06</v>
      </c>
      <c r="CM2633" s="236" t="s">
        <v>338</v>
      </c>
      <c r="CR2633" s="340">
        <v>830.03</v>
      </c>
      <c r="CS2633" s="340" t="s">
        <v>355</v>
      </c>
      <c r="CT2633" s="1384"/>
      <c r="DF2633" s="340">
        <v>21.02</v>
      </c>
      <c r="DG2633" s="340" t="s">
        <v>347</v>
      </c>
      <c r="DV2633" s="340">
        <v>1103.32</v>
      </c>
      <c r="DW2633" s="340" t="s">
        <v>289</v>
      </c>
      <c r="DX2633" s="1671"/>
    </row>
    <row r="2634" spans="12:128">
      <c r="L2634" s="2481">
        <v>202</v>
      </c>
      <c r="M2634" s="340" t="s">
        <v>349</v>
      </c>
      <c r="N2634" s="1390"/>
      <c r="O2634" s="2479"/>
      <c r="P2634" s="2282"/>
      <c r="AG2634" s="2297">
        <v>1105.02</v>
      </c>
      <c r="AH2634" s="2297" t="s">
        <v>289</v>
      </c>
      <c r="AI2634" s="1390"/>
      <c r="AJ2634" s="2282"/>
      <c r="AK2634" s="2282"/>
      <c r="AL2634" s="1037"/>
      <c r="AX2634" s="340">
        <v>3815.06</v>
      </c>
      <c r="AY2634" s="340" t="s">
        <v>350</v>
      </c>
      <c r="BN2634" s="340">
        <v>832.1</v>
      </c>
      <c r="BO2634" s="340" t="s">
        <v>355</v>
      </c>
      <c r="BP2634" s="1385"/>
      <c r="BV2634" s="236">
        <v>64.02</v>
      </c>
      <c r="BW2634" s="236" t="s">
        <v>331</v>
      </c>
      <c r="CB2634" s="340">
        <v>3816.03</v>
      </c>
      <c r="CC2634" s="340" t="s">
        <v>350</v>
      </c>
      <c r="CL2634" s="236">
        <v>149.06</v>
      </c>
      <c r="CM2634" s="236" t="s">
        <v>344</v>
      </c>
      <c r="CR2634" s="340">
        <v>830.07</v>
      </c>
      <c r="CS2634" s="340" t="s">
        <v>355</v>
      </c>
      <c r="CT2634" s="1384"/>
      <c r="DF2634" s="340">
        <v>22.04</v>
      </c>
      <c r="DG2634" s="340" t="s">
        <v>347</v>
      </c>
      <c r="DV2634" s="340">
        <v>1103.33</v>
      </c>
      <c r="DW2634" s="340" t="s">
        <v>289</v>
      </c>
      <c r="DX2634" s="1671"/>
    </row>
    <row r="2635" spans="12:128">
      <c r="L2635" s="2481">
        <v>205</v>
      </c>
      <c r="M2635" s="340" t="s">
        <v>349</v>
      </c>
      <c r="N2635" s="1390"/>
      <c r="O2635" s="2479"/>
      <c r="P2635" s="2282"/>
      <c r="AG2635" s="2297">
        <v>1106</v>
      </c>
      <c r="AH2635" s="2297" t="s">
        <v>289</v>
      </c>
      <c r="AI2635" s="1390"/>
      <c r="AJ2635" s="2282"/>
      <c r="AK2635" s="2282"/>
      <c r="AL2635" s="1037"/>
      <c r="AX2635" s="340">
        <v>3815.08</v>
      </c>
      <c r="AY2635" s="340" t="s">
        <v>350</v>
      </c>
      <c r="BN2635" s="340">
        <v>832.11</v>
      </c>
      <c r="BO2635" s="340" t="s">
        <v>355</v>
      </c>
      <c r="BP2635" s="1385"/>
      <c r="BV2635" s="236">
        <v>64.03</v>
      </c>
      <c r="BW2635" s="236" t="s">
        <v>331</v>
      </c>
      <c r="CB2635" s="340">
        <v>3816.04</v>
      </c>
      <c r="CC2635" s="340" t="s">
        <v>350</v>
      </c>
      <c r="CL2635" s="236">
        <v>149.08000000000001</v>
      </c>
      <c r="CM2635" s="236" t="s">
        <v>338</v>
      </c>
      <c r="CR2635" s="340">
        <v>830.08</v>
      </c>
      <c r="CS2635" s="340" t="s">
        <v>355</v>
      </c>
      <c r="CT2635" s="1384"/>
      <c r="DF2635" s="340">
        <v>22.05</v>
      </c>
      <c r="DG2635" s="340" t="s">
        <v>347</v>
      </c>
      <c r="DV2635" s="340">
        <v>1103.44</v>
      </c>
      <c r="DW2635" s="340" t="s">
        <v>289</v>
      </c>
      <c r="DX2635" s="1671"/>
    </row>
    <row r="2636" spans="12:128">
      <c r="L2636" s="2481">
        <v>206.03</v>
      </c>
      <c r="M2636" s="340" t="s">
        <v>349</v>
      </c>
      <c r="N2636" s="1390"/>
      <c r="O2636" s="2479"/>
      <c r="P2636" s="2282"/>
      <c r="AG2636" s="2297">
        <v>1106.02</v>
      </c>
      <c r="AH2636" s="2297" t="s">
        <v>298</v>
      </c>
      <c r="AI2636" s="1390"/>
      <c r="AJ2636" s="2282"/>
      <c r="AK2636" s="2282"/>
      <c r="AL2636" s="1037"/>
      <c r="AX2636" s="340">
        <v>3816.02</v>
      </c>
      <c r="AY2636" s="340" t="s">
        <v>350</v>
      </c>
      <c r="BN2636" s="340">
        <v>901.01</v>
      </c>
      <c r="BO2636" s="340" t="s">
        <v>355</v>
      </c>
      <c r="BP2636" s="1385"/>
      <c r="BV2636" s="236">
        <v>65.010000000000005</v>
      </c>
      <c r="BW2636" s="236" t="s">
        <v>331</v>
      </c>
      <c r="CB2636" s="340">
        <v>3817.01</v>
      </c>
      <c r="CC2636" s="340" t="s">
        <v>350</v>
      </c>
      <c r="CL2636" s="236">
        <v>149.09</v>
      </c>
      <c r="CM2636" s="236" t="s">
        <v>338</v>
      </c>
      <c r="CR2636" s="340">
        <v>832.03</v>
      </c>
      <c r="CS2636" s="340" t="s">
        <v>355</v>
      </c>
      <c r="CT2636" s="1384"/>
      <c r="DF2636" s="340">
        <v>23.05</v>
      </c>
      <c r="DG2636" s="340" t="s">
        <v>347</v>
      </c>
      <c r="DV2636" s="340">
        <v>1103.45</v>
      </c>
      <c r="DW2636" s="340" t="s">
        <v>289</v>
      </c>
      <c r="DX2636" s="1671"/>
    </row>
    <row r="2637" spans="12:128">
      <c r="L2637" s="2481">
        <v>206.04</v>
      </c>
      <c r="M2637" s="340" t="s">
        <v>349</v>
      </c>
      <c r="N2637" s="1390"/>
      <c r="O2637" s="2479"/>
      <c r="P2637" s="2282"/>
      <c r="AG2637" s="2297">
        <v>1106.04</v>
      </c>
      <c r="AH2637" s="2297" t="s">
        <v>298</v>
      </c>
      <c r="AI2637" s="1390"/>
      <c r="AJ2637" s="2282"/>
      <c r="AK2637" s="2282"/>
      <c r="AL2637" s="1037"/>
      <c r="AX2637" s="340">
        <v>3816.04</v>
      </c>
      <c r="AY2637" s="340" t="s">
        <v>350</v>
      </c>
      <c r="BN2637" s="340">
        <v>901.02</v>
      </c>
      <c r="BO2637" s="340" t="s">
        <v>289</v>
      </c>
      <c r="BP2637" s="1385"/>
      <c r="BV2637" s="236">
        <v>65.03</v>
      </c>
      <c r="BW2637" s="236" t="s">
        <v>331</v>
      </c>
      <c r="CB2637" s="340">
        <v>3817.02</v>
      </c>
      <c r="CC2637" s="340" t="s">
        <v>350</v>
      </c>
      <c r="CL2637" s="236">
        <v>150</v>
      </c>
      <c r="CM2637" s="236" t="s">
        <v>344</v>
      </c>
      <c r="CR2637" s="340">
        <v>832.05</v>
      </c>
      <c r="CS2637" s="340" t="s">
        <v>355</v>
      </c>
      <c r="CT2637" s="1384"/>
      <c r="DF2637" s="340">
        <v>23.06</v>
      </c>
      <c r="DG2637" s="340" t="s">
        <v>347</v>
      </c>
      <c r="DV2637" s="340">
        <v>1103.46</v>
      </c>
      <c r="DW2637" s="340" t="s">
        <v>289</v>
      </c>
      <c r="DX2637" s="1671"/>
    </row>
    <row r="2638" spans="12:128">
      <c r="L2638" s="2481">
        <v>206.05</v>
      </c>
      <c r="M2638" s="340" t="s">
        <v>349</v>
      </c>
      <c r="N2638" s="1390"/>
      <c r="O2638" s="2479"/>
      <c r="P2638" s="2282"/>
      <c r="AG2638" s="2297">
        <v>1107</v>
      </c>
      <c r="AH2638" s="2297" t="s">
        <v>298</v>
      </c>
      <c r="AI2638" s="1390"/>
      <c r="AJ2638" s="2282"/>
      <c r="AK2638" s="2282"/>
      <c r="AL2638" s="1037"/>
      <c r="AX2638" s="340">
        <v>3817.01</v>
      </c>
      <c r="AY2638" s="340" t="s">
        <v>350</v>
      </c>
      <c r="BN2638" s="340">
        <v>901.02</v>
      </c>
      <c r="BO2638" s="340" t="s">
        <v>355</v>
      </c>
      <c r="BP2638" s="1385"/>
      <c r="BV2638" s="236">
        <v>65.040000000000006</v>
      </c>
      <c r="BW2638" s="236" t="s">
        <v>331</v>
      </c>
      <c r="CB2638" s="340">
        <v>3818.03</v>
      </c>
      <c r="CC2638" s="340" t="s">
        <v>350</v>
      </c>
      <c r="CL2638" s="236">
        <v>150.01</v>
      </c>
      <c r="CM2638" s="236" t="s">
        <v>302</v>
      </c>
      <c r="CR2638" s="340">
        <v>832.06</v>
      </c>
      <c r="CS2638" s="340" t="s">
        <v>355</v>
      </c>
      <c r="CT2638" s="1384"/>
      <c r="DF2638" s="340">
        <v>24.01</v>
      </c>
      <c r="DG2638" s="340" t="s">
        <v>347</v>
      </c>
      <c r="DV2638" s="340">
        <v>1103.47</v>
      </c>
      <c r="DW2638" s="340" t="s">
        <v>289</v>
      </c>
      <c r="DX2638" s="1671"/>
    </row>
    <row r="2639" spans="12:128">
      <c r="L2639" s="2481">
        <v>206.06</v>
      </c>
      <c r="M2639" s="340" t="s">
        <v>349</v>
      </c>
      <c r="N2639" s="1390"/>
      <c r="O2639" s="2479"/>
      <c r="P2639" s="2282"/>
      <c r="AG2639" s="2297">
        <v>1108</v>
      </c>
      <c r="AH2639" s="2297" t="s">
        <v>276</v>
      </c>
      <c r="AI2639" s="1390"/>
      <c r="AJ2639" s="2282"/>
      <c r="AK2639" s="2282"/>
      <c r="AL2639" s="1037"/>
      <c r="AX2639" s="340">
        <v>3817.02</v>
      </c>
      <c r="AY2639" s="340" t="s">
        <v>350</v>
      </c>
      <c r="BN2639" s="340">
        <v>901.03</v>
      </c>
      <c r="BO2639" s="340" t="s">
        <v>289</v>
      </c>
      <c r="BP2639" s="1385"/>
      <c r="BV2639" s="236">
        <v>66.03</v>
      </c>
      <c r="BW2639" s="236" t="s">
        <v>331</v>
      </c>
      <c r="CB2639" s="340">
        <v>3819</v>
      </c>
      <c r="CC2639" s="340" t="s">
        <v>350</v>
      </c>
      <c r="CL2639" s="236">
        <v>150.01</v>
      </c>
      <c r="CM2639" s="236" t="s">
        <v>331</v>
      </c>
      <c r="CR2639" s="340">
        <v>832.07</v>
      </c>
      <c r="CS2639" s="340" t="s">
        <v>355</v>
      </c>
      <c r="CT2639" s="1384"/>
      <c r="DF2639" s="340">
        <v>25.05</v>
      </c>
      <c r="DG2639" s="340" t="s">
        <v>347</v>
      </c>
      <c r="DV2639" s="340">
        <v>1103.48</v>
      </c>
      <c r="DW2639" s="340" t="s">
        <v>289</v>
      </c>
      <c r="DX2639" s="1671"/>
    </row>
    <row r="2640" spans="12:128">
      <c r="L2640" s="2481">
        <v>207.04</v>
      </c>
      <c r="M2640" s="340" t="s">
        <v>349</v>
      </c>
      <c r="N2640" s="1390"/>
      <c r="O2640" s="2479"/>
      <c r="P2640" s="2282"/>
      <c r="AG2640" s="2297">
        <v>1108</v>
      </c>
      <c r="AH2640" s="2297" t="s">
        <v>298</v>
      </c>
      <c r="AI2640" s="1390"/>
      <c r="AJ2640" s="2282"/>
      <c r="AK2640" s="2282"/>
      <c r="AL2640" s="1037"/>
      <c r="AX2640" s="340">
        <v>3818.03</v>
      </c>
      <c r="AY2640" s="340" t="s">
        <v>350</v>
      </c>
      <c r="BN2640" s="340">
        <v>901.04</v>
      </c>
      <c r="BO2640" s="340" t="s">
        <v>289</v>
      </c>
      <c r="BP2640" s="1385"/>
      <c r="BV2640" s="236">
        <v>66.040000000000006</v>
      </c>
      <c r="BW2640" s="236" t="s">
        <v>331</v>
      </c>
      <c r="CB2640" s="340">
        <v>3820.07</v>
      </c>
      <c r="CC2640" s="340" t="s">
        <v>350</v>
      </c>
      <c r="CL2640" s="236">
        <v>150.01</v>
      </c>
      <c r="CM2640" s="236" t="s">
        <v>338</v>
      </c>
      <c r="CR2640" s="340">
        <v>832.09</v>
      </c>
      <c r="CS2640" s="340" t="s">
        <v>355</v>
      </c>
      <c r="CT2640" s="1384"/>
      <c r="DF2640" s="340">
        <v>25.1</v>
      </c>
      <c r="DG2640" s="340" t="s">
        <v>347</v>
      </c>
      <c r="DV2640" s="340">
        <v>1103.49</v>
      </c>
      <c r="DW2640" s="340" t="s">
        <v>289</v>
      </c>
      <c r="DX2640" s="1671"/>
    </row>
    <row r="2641" spans="12:128">
      <c r="L2641" s="2481">
        <v>207.05</v>
      </c>
      <c r="M2641" s="340" t="s">
        <v>349</v>
      </c>
      <c r="N2641" s="1390"/>
      <c r="O2641" s="2479"/>
      <c r="P2641" s="2282"/>
      <c r="AG2641" s="2297">
        <v>1109.03</v>
      </c>
      <c r="AH2641" s="2297" t="s">
        <v>298</v>
      </c>
      <c r="AI2641" s="1390"/>
      <c r="AJ2641" s="2282"/>
      <c r="AK2641" s="2282"/>
      <c r="AL2641" s="1037"/>
      <c r="AX2641" s="340">
        <v>3819</v>
      </c>
      <c r="AY2641" s="340" t="s">
        <v>350</v>
      </c>
      <c r="BN2641" s="340">
        <v>902</v>
      </c>
      <c r="BO2641" s="340" t="s">
        <v>289</v>
      </c>
      <c r="BP2641" s="1385"/>
      <c r="BV2641" s="236">
        <v>66.05</v>
      </c>
      <c r="BW2641" s="236" t="s">
        <v>331</v>
      </c>
      <c r="CB2641" s="340">
        <v>3820.08</v>
      </c>
      <c r="CC2641" s="340" t="s">
        <v>350</v>
      </c>
      <c r="CL2641" s="236">
        <v>150.02000000000001</v>
      </c>
      <c r="CM2641" s="236" t="s">
        <v>302</v>
      </c>
      <c r="CR2641" s="340">
        <v>832.1</v>
      </c>
      <c r="CS2641" s="340" t="s">
        <v>355</v>
      </c>
      <c r="CT2641" s="1384"/>
      <c r="DF2641" s="340">
        <v>25.11</v>
      </c>
      <c r="DG2641" s="340" t="s">
        <v>347</v>
      </c>
      <c r="DV2641" s="340">
        <v>1103.5</v>
      </c>
      <c r="DW2641" s="340" t="s">
        <v>289</v>
      </c>
      <c r="DX2641" s="1671"/>
    </row>
    <row r="2642" spans="12:128">
      <c r="L2642" s="2481">
        <v>207.06</v>
      </c>
      <c r="M2642" s="340" t="s">
        <v>349</v>
      </c>
      <c r="N2642" s="1390"/>
      <c r="O2642" s="2479"/>
      <c r="P2642" s="2282"/>
      <c r="AG2642" s="2297">
        <v>1109.04</v>
      </c>
      <c r="AH2642" s="2297" t="s">
        <v>298</v>
      </c>
      <c r="AI2642" s="1390"/>
      <c r="AJ2642" s="2282"/>
      <c r="AK2642" s="2282"/>
      <c r="AL2642" s="1037"/>
      <c r="AX2642" s="340">
        <v>3820.07</v>
      </c>
      <c r="AY2642" s="340" t="s">
        <v>350</v>
      </c>
      <c r="BN2642" s="340">
        <v>902.02</v>
      </c>
      <c r="BO2642" s="340" t="s">
        <v>355</v>
      </c>
      <c r="BP2642" s="1385"/>
      <c r="BV2642" s="236">
        <v>66.06</v>
      </c>
      <c r="BW2642" s="236" t="s">
        <v>331</v>
      </c>
      <c r="CB2642" s="340">
        <v>3820.09</v>
      </c>
      <c r="CC2642" s="340" t="s">
        <v>350</v>
      </c>
      <c r="CL2642" s="236">
        <v>150.02000000000001</v>
      </c>
      <c r="CM2642" s="236" t="s">
        <v>331</v>
      </c>
      <c r="CR2642" s="340">
        <v>832.11</v>
      </c>
      <c r="CS2642" s="340" t="s">
        <v>355</v>
      </c>
      <c r="CT2642" s="1384"/>
      <c r="DF2642" s="340">
        <v>26.01</v>
      </c>
      <c r="DG2642" s="340" t="s">
        <v>347</v>
      </c>
      <c r="DV2642" s="340">
        <v>1103.56</v>
      </c>
      <c r="DW2642" s="340" t="s">
        <v>289</v>
      </c>
      <c r="DX2642" s="1671"/>
    </row>
    <row r="2643" spans="12:128">
      <c r="L2643" s="2481">
        <v>207.07</v>
      </c>
      <c r="M2643" s="340" t="s">
        <v>349</v>
      </c>
      <c r="N2643" s="1390"/>
      <c r="O2643" s="2479"/>
      <c r="P2643" s="2282"/>
      <c r="AG2643" s="2297">
        <v>2101</v>
      </c>
      <c r="AH2643" s="2297" t="s">
        <v>319</v>
      </c>
      <c r="AI2643" s="1390"/>
      <c r="AJ2643" s="2282"/>
      <c r="AK2643" s="2282"/>
      <c r="AL2643" s="1037"/>
      <c r="AX2643" s="340">
        <v>3820.08</v>
      </c>
      <c r="AY2643" s="340" t="s">
        <v>350</v>
      </c>
      <c r="BN2643" s="340">
        <v>902.04</v>
      </c>
      <c r="BO2643" s="340" t="s">
        <v>355</v>
      </c>
      <c r="BP2643" s="1385"/>
      <c r="BV2643" s="236">
        <v>66.069999999999993</v>
      </c>
      <c r="BW2643" s="236" t="s">
        <v>331</v>
      </c>
      <c r="CB2643" s="340">
        <v>3820.11</v>
      </c>
      <c r="CC2643" s="340" t="s">
        <v>350</v>
      </c>
      <c r="CL2643" s="236">
        <v>150.02000000000001</v>
      </c>
      <c r="CM2643" s="236" t="s">
        <v>338</v>
      </c>
      <c r="CR2643" s="340">
        <v>901</v>
      </c>
      <c r="CS2643" s="340" t="s">
        <v>323</v>
      </c>
      <c r="CT2643" s="1384"/>
      <c r="DF2643" s="340">
        <v>27.14</v>
      </c>
      <c r="DG2643" s="340" t="s">
        <v>347</v>
      </c>
      <c r="DV2643" s="340">
        <v>1103.57</v>
      </c>
      <c r="DW2643" s="340" t="s">
        <v>289</v>
      </c>
      <c r="DX2643" s="1671"/>
    </row>
    <row r="2644" spans="12:128">
      <c r="L2644" s="2481">
        <v>207.08</v>
      </c>
      <c r="M2644" s="340" t="s">
        <v>349</v>
      </c>
      <c r="N2644" s="1390"/>
      <c r="O2644" s="2479"/>
      <c r="P2644" s="2282"/>
      <c r="AG2644" s="2297">
        <v>2103.0100000000002</v>
      </c>
      <c r="AH2644" s="2297" t="s">
        <v>319</v>
      </c>
      <c r="AI2644" s="1390"/>
      <c r="AJ2644" s="2282"/>
      <c r="AK2644" s="2282"/>
      <c r="AL2644" s="1037"/>
      <c r="AX2644" s="340">
        <v>3820.09</v>
      </c>
      <c r="AY2644" s="340" t="s">
        <v>350</v>
      </c>
      <c r="BN2644" s="340">
        <v>903.03</v>
      </c>
      <c r="BO2644" s="340" t="s">
        <v>289</v>
      </c>
      <c r="BP2644" s="1385"/>
      <c r="BV2644" s="236">
        <v>66.08</v>
      </c>
      <c r="BW2644" s="236" t="s">
        <v>331</v>
      </c>
      <c r="CB2644" s="340">
        <v>3820.16</v>
      </c>
      <c r="CC2644" s="340" t="s">
        <v>350</v>
      </c>
      <c r="CL2644" s="236">
        <v>150.03</v>
      </c>
      <c r="CM2644" s="236" t="s">
        <v>338</v>
      </c>
      <c r="CR2644" s="340">
        <v>901.01</v>
      </c>
      <c r="CS2644" s="340" t="s">
        <v>355</v>
      </c>
      <c r="CT2644" s="1384"/>
      <c r="DF2644" s="340">
        <v>27.16</v>
      </c>
      <c r="DG2644" s="340" t="s">
        <v>347</v>
      </c>
      <c r="DV2644" s="340">
        <v>1103.58</v>
      </c>
      <c r="DW2644" s="340" t="s">
        <v>289</v>
      </c>
      <c r="DX2644" s="1671"/>
    </row>
    <row r="2645" spans="12:128">
      <c r="L2645" s="2481">
        <v>207.1</v>
      </c>
      <c r="M2645" s="340" t="s">
        <v>349</v>
      </c>
      <c r="N2645" s="1390"/>
      <c r="O2645" s="2479"/>
      <c r="P2645" s="2282"/>
      <c r="AG2645" s="2297">
        <v>2103.02</v>
      </c>
      <c r="AH2645" s="2297" t="s">
        <v>319</v>
      </c>
      <c r="AI2645" s="1390"/>
      <c r="AJ2645" s="2282"/>
      <c r="AK2645" s="2282"/>
      <c r="AL2645" s="1037"/>
      <c r="AX2645" s="340">
        <v>3820.11</v>
      </c>
      <c r="AY2645" s="340" t="s">
        <v>350</v>
      </c>
      <c r="BN2645" s="340">
        <v>903.04</v>
      </c>
      <c r="BO2645" s="340" t="s">
        <v>289</v>
      </c>
      <c r="BP2645" s="1385"/>
      <c r="BV2645" s="236">
        <v>67.05</v>
      </c>
      <c r="BW2645" s="236" t="s">
        <v>331</v>
      </c>
      <c r="CB2645" s="340">
        <v>3821.14</v>
      </c>
      <c r="CC2645" s="340" t="s">
        <v>350</v>
      </c>
      <c r="CL2645" s="236">
        <v>150.05000000000001</v>
      </c>
      <c r="CM2645" s="236" t="s">
        <v>338</v>
      </c>
      <c r="CR2645" s="340">
        <v>901.02</v>
      </c>
      <c r="CS2645" s="340" t="s">
        <v>289</v>
      </c>
      <c r="CT2645" s="1384"/>
      <c r="DF2645" s="340">
        <v>27.2</v>
      </c>
      <c r="DG2645" s="340" t="s">
        <v>347</v>
      </c>
      <c r="DV2645" s="340">
        <v>1103.5899999999999</v>
      </c>
      <c r="DW2645" s="340" t="s">
        <v>289</v>
      </c>
      <c r="DX2645" s="1671"/>
    </row>
    <row r="2646" spans="12:128">
      <c r="L2646" s="2481">
        <v>207.12</v>
      </c>
      <c r="M2646" s="340" t="s">
        <v>349</v>
      </c>
      <c r="N2646" s="1390"/>
      <c r="O2646" s="2479"/>
      <c r="P2646" s="2282"/>
      <c r="AG2646" s="2297">
        <v>2105</v>
      </c>
      <c r="AH2646" s="2297" t="s">
        <v>319</v>
      </c>
      <c r="AI2646" s="1390"/>
      <c r="AJ2646" s="2282"/>
      <c r="AK2646" s="2282"/>
      <c r="AL2646" s="1037"/>
      <c r="AX2646" s="340">
        <v>3820.16</v>
      </c>
      <c r="AY2646" s="340" t="s">
        <v>350</v>
      </c>
      <c r="BN2646" s="340">
        <v>903.04</v>
      </c>
      <c r="BO2646" s="340" t="s">
        <v>355</v>
      </c>
      <c r="BP2646" s="1385"/>
      <c r="BV2646" s="236">
        <v>67.06</v>
      </c>
      <c r="BW2646" s="236" t="s">
        <v>331</v>
      </c>
      <c r="CB2646" s="340">
        <v>3821.16</v>
      </c>
      <c r="CC2646" s="340" t="s">
        <v>350</v>
      </c>
      <c r="CL2646" s="236">
        <v>150.06</v>
      </c>
      <c r="CM2646" s="236" t="s">
        <v>338</v>
      </c>
      <c r="CR2646" s="340">
        <v>901.02</v>
      </c>
      <c r="CS2646" s="340" t="s">
        <v>355</v>
      </c>
      <c r="CT2646" s="1384"/>
      <c r="DF2646" s="340">
        <v>27.25</v>
      </c>
      <c r="DG2646" s="340" t="s">
        <v>347</v>
      </c>
      <c r="DV2646" s="340">
        <v>1103.5999999999999</v>
      </c>
      <c r="DW2646" s="340" t="s">
        <v>289</v>
      </c>
      <c r="DX2646" s="1671"/>
    </row>
    <row r="2647" spans="12:128">
      <c r="L2647" s="2481">
        <v>207.13</v>
      </c>
      <c r="M2647" s="340" t="s">
        <v>349</v>
      </c>
      <c r="N2647" s="1390"/>
      <c r="O2647" s="2479"/>
      <c r="P2647" s="2282"/>
      <c r="AG2647" s="2297">
        <v>2107</v>
      </c>
      <c r="AH2647" s="2297" t="s">
        <v>319</v>
      </c>
      <c r="AI2647" s="1390"/>
      <c r="AJ2647" s="2282"/>
      <c r="AK2647" s="2282"/>
      <c r="AL2647" s="1037"/>
      <c r="AX2647" s="340">
        <v>3821.1</v>
      </c>
      <c r="AY2647" s="340" t="s">
        <v>350</v>
      </c>
      <c r="BN2647" s="340">
        <v>903.05</v>
      </c>
      <c r="BO2647" s="340" t="s">
        <v>355</v>
      </c>
      <c r="BP2647" s="1385"/>
      <c r="BV2647" s="236">
        <v>67.069999999999993</v>
      </c>
      <c r="BW2647" s="236" t="s">
        <v>331</v>
      </c>
      <c r="CB2647" s="340">
        <v>3821.17</v>
      </c>
      <c r="CC2647" s="340" t="s">
        <v>350</v>
      </c>
      <c r="CL2647" s="236">
        <v>151</v>
      </c>
      <c r="CM2647" s="236" t="s">
        <v>302</v>
      </c>
      <c r="CR2647" s="340">
        <v>901.03</v>
      </c>
      <c r="CS2647" s="340" t="s">
        <v>289</v>
      </c>
      <c r="CT2647" s="1384"/>
      <c r="DF2647" s="340">
        <v>27.26</v>
      </c>
      <c r="DG2647" s="340" t="s">
        <v>347</v>
      </c>
      <c r="DV2647" s="340">
        <v>1103.6099999999999</v>
      </c>
      <c r="DW2647" s="340" t="s">
        <v>289</v>
      </c>
      <c r="DX2647" s="1671"/>
    </row>
    <row r="2648" spans="12:128">
      <c r="L2648" s="2481">
        <v>208.01</v>
      </c>
      <c r="M2648" s="340" t="s">
        <v>349</v>
      </c>
      <c r="N2648" s="1390"/>
      <c r="O2648" s="2479"/>
      <c r="P2648" s="2282"/>
      <c r="AG2648" s="2297">
        <v>2108</v>
      </c>
      <c r="AH2648" s="2297" t="s">
        <v>319</v>
      </c>
      <c r="AI2648" s="1390"/>
      <c r="AJ2648" s="2282"/>
      <c r="AK2648" s="2282"/>
      <c r="AL2648" s="1037"/>
      <c r="AX2648" s="340">
        <v>3821.14</v>
      </c>
      <c r="AY2648" s="340" t="s">
        <v>350</v>
      </c>
      <c r="BN2648" s="340">
        <v>903.06</v>
      </c>
      <c r="BO2648" s="340" t="s">
        <v>355</v>
      </c>
      <c r="BP2648" s="1385"/>
      <c r="BV2648" s="236">
        <v>67.09</v>
      </c>
      <c r="BW2648" s="236" t="s">
        <v>331</v>
      </c>
      <c r="CB2648" s="340">
        <v>3821.18</v>
      </c>
      <c r="CC2648" s="340" t="s">
        <v>350</v>
      </c>
      <c r="CL2648" s="236">
        <v>151.01</v>
      </c>
      <c r="CM2648" s="236" t="s">
        <v>331</v>
      </c>
      <c r="CR2648" s="340">
        <v>901.04</v>
      </c>
      <c r="CS2648" s="340" t="s">
        <v>289</v>
      </c>
      <c r="CT2648" s="1384"/>
      <c r="DF2648" s="340">
        <v>27.27</v>
      </c>
      <c r="DG2648" s="340" t="s">
        <v>347</v>
      </c>
      <c r="DV2648" s="340">
        <v>1103.6199999999999</v>
      </c>
      <c r="DW2648" s="340" t="s">
        <v>289</v>
      </c>
      <c r="DX2648" s="1671"/>
    </row>
    <row r="2649" spans="12:128">
      <c r="L2649" s="2481">
        <v>208.02</v>
      </c>
      <c r="M2649" s="340" t="s">
        <v>349</v>
      </c>
      <c r="N2649" s="1390"/>
      <c r="O2649" s="2479"/>
      <c r="P2649" s="2282"/>
      <c r="AG2649" s="2297">
        <v>2109.0100000000002</v>
      </c>
      <c r="AH2649" s="2297" t="s">
        <v>319</v>
      </c>
      <c r="AI2649" s="1390"/>
      <c r="AJ2649" s="2282"/>
      <c r="AK2649" s="2282"/>
      <c r="AL2649" s="1037"/>
      <c r="AX2649" s="340">
        <v>3821.16</v>
      </c>
      <c r="AY2649" s="340" t="s">
        <v>350</v>
      </c>
      <c r="BN2649" s="340">
        <v>904.01</v>
      </c>
      <c r="BO2649" s="340" t="s">
        <v>289</v>
      </c>
      <c r="BP2649" s="1385"/>
      <c r="BV2649" s="236">
        <v>67.13</v>
      </c>
      <c r="BW2649" s="236" t="s">
        <v>331</v>
      </c>
      <c r="CB2649" s="340">
        <v>3821.19</v>
      </c>
      <c r="CC2649" s="340" t="s">
        <v>350</v>
      </c>
      <c r="CL2649" s="236">
        <v>151.01</v>
      </c>
      <c r="CM2649" s="236" t="s">
        <v>344</v>
      </c>
      <c r="CR2649" s="340">
        <v>902</v>
      </c>
      <c r="CS2649" s="340" t="s">
        <v>289</v>
      </c>
      <c r="CT2649" s="1384"/>
      <c r="DF2649" s="340">
        <v>27.28</v>
      </c>
      <c r="DG2649" s="340" t="s">
        <v>347</v>
      </c>
      <c r="DV2649" s="340">
        <v>1103.6300000000001</v>
      </c>
      <c r="DW2649" s="340" t="s">
        <v>289</v>
      </c>
      <c r="DX2649" s="1671"/>
    </row>
    <row r="2650" spans="12:128">
      <c r="L2650" s="2481">
        <v>208.04</v>
      </c>
      <c r="M2650" s="340" t="s">
        <v>349</v>
      </c>
      <c r="N2650" s="1390"/>
      <c r="O2650" s="2479"/>
      <c r="P2650" s="2282"/>
      <c r="AG2650" s="2297">
        <v>2109.02</v>
      </c>
      <c r="AH2650" s="2297" t="s">
        <v>319</v>
      </c>
      <c r="AI2650" s="1390"/>
      <c r="AJ2650" s="2282"/>
      <c r="AK2650" s="2282"/>
      <c r="AL2650" s="1037"/>
      <c r="AX2650" s="340">
        <v>3821.17</v>
      </c>
      <c r="AY2650" s="340" t="s">
        <v>350</v>
      </c>
      <c r="BN2650" s="340">
        <v>904.01</v>
      </c>
      <c r="BO2650" s="340" t="s">
        <v>355</v>
      </c>
      <c r="BP2650" s="1385"/>
      <c r="BV2650" s="236">
        <v>67.14</v>
      </c>
      <c r="BW2650" s="236" t="s">
        <v>331</v>
      </c>
      <c r="CB2650" s="340">
        <v>3821.2</v>
      </c>
      <c r="CC2650" s="340" t="s">
        <v>350</v>
      </c>
      <c r="CL2650" s="236">
        <v>151.02000000000001</v>
      </c>
      <c r="CM2650" s="236" t="s">
        <v>331</v>
      </c>
      <c r="CR2650" s="340">
        <v>902.04</v>
      </c>
      <c r="CS2650" s="340" t="s">
        <v>355</v>
      </c>
      <c r="CT2650" s="1384"/>
      <c r="DF2650" s="340">
        <v>27.3</v>
      </c>
      <c r="DG2650" s="340" t="s">
        <v>347</v>
      </c>
      <c r="DV2650" s="340">
        <v>1103.6400000000001</v>
      </c>
      <c r="DW2650" s="340" t="s">
        <v>289</v>
      </c>
      <c r="DX2650" s="1671"/>
    </row>
    <row r="2651" spans="12:128">
      <c r="L2651" s="2481">
        <v>208.07</v>
      </c>
      <c r="M2651" s="340" t="s">
        <v>349</v>
      </c>
      <c r="N2651" s="1390"/>
      <c r="O2651" s="2479"/>
      <c r="P2651" s="2282"/>
      <c r="AG2651" s="2297">
        <v>2110</v>
      </c>
      <c r="AH2651" s="2297" t="s">
        <v>319</v>
      </c>
      <c r="AI2651" s="1390"/>
      <c r="AJ2651" s="2282"/>
      <c r="AK2651" s="2282"/>
      <c r="AL2651" s="1037"/>
      <c r="AX2651" s="340">
        <v>3821.18</v>
      </c>
      <c r="AY2651" s="340" t="s">
        <v>350</v>
      </c>
      <c r="BN2651" s="340">
        <v>904.02</v>
      </c>
      <c r="BO2651" s="340" t="s">
        <v>355</v>
      </c>
      <c r="BP2651" s="1385"/>
      <c r="BV2651" s="236">
        <v>67.150000000000006</v>
      </c>
      <c r="BW2651" s="236" t="s">
        <v>331</v>
      </c>
      <c r="CB2651" s="340">
        <v>3821.21</v>
      </c>
      <c r="CC2651" s="340" t="s">
        <v>350</v>
      </c>
      <c r="CL2651" s="236">
        <v>151.02000000000001</v>
      </c>
      <c r="CM2651" s="236" t="s">
        <v>344</v>
      </c>
      <c r="CR2651" s="340">
        <v>903.04</v>
      </c>
      <c r="CS2651" s="340" t="s">
        <v>289</v>
      </c>
      <c r="CT2651" s="1384"/>
      <c r="DF2651" s="340">
        <v>27.31</v>
      </c>
      <c r="DG2651" s="340" t="s">
        <v>347</v>
      </c>
      <c r="DV2651" s="340">
        <v>1103.6500000000001</v>
      </c>
      <c r="DW2651" s="340" t="s">
        <v>289</v>
      </c>
      <c r="DX2651" s="1671"/>
    </row>
    <row r="2652" spans="12:128">
      <c r="L2652" s="2481">
        <v>208.08</v>
      </c>
      <c r="M2652" s="340" t="s">
        <v>349</v>
      </c>
      <c r="N2652" s="1390"/>
      <c r="O2652" s="2479"/>
      <c r="P2652" s="2282"/>
      <c r="AG2652" s="2297">
        <v>2501.0500000000002</v>
      </c>
      <c r="AH2652" s="2297" t="s">
        <v>320</v>
      </c>
      <c r="AI2652" s="1390"/>
      <c r="AJ2652" s="2282"/>
      <c r="AK2652" s="2282"/>
      <c r="AL2652" s="1037"/>
      <c r="AX2652" s="340">
        <v>3821.19</v>
      </c>
      <c r="AY2652" s="340" t="s">
        <v>350</v>
      </c>
      <c r="BN2652" s="340">
        <v>905.02</v>
      </c>
      <c r="BO2652" s="340" t="s">
        <v>289</v>
      </c>
      <c r="BP2652" s="1385"/>
      <c r="BV2652" s="236">
        <v>67.16</v>
      </c>
      <c r="BW2652" s="236" t="s">
        <v>331</v>
      </c>
      <c r="CB2652" s="340">
        <v>3821.22</v>
      </c>
      <c r="CC2652" s="340" t="s">
        <v>350</v>
      </c>
      <c r="CL2652" s="236">
        <v>151.03</v>
      </c>
      <c r="CM2652" s="236" t="s">
        <v>331</v>
      </c>
      <c r="CR2652" s="340">
        <v>903.04</v>
      </c>
      <c r="CS2652" s="340" t="s">
        <v>355</v>
      </c>
      <c r="CT2652" s="1384"/>
      <c r="DF2652" s="340">
        <v>27.32</v>
      </c>
      <c r="DG2652" s="340" t="s">
        <v>347</v>
      </c>
      <c r="DV2652" s="340">
        <v>1103.68</v>
      </c>
      <c r="DW2652" s="340" t="s">
        <v>289</v>
      </c>
      <c r="DX2652" s="1671"/>
    </row>
    <row r="2653" spans="12:128">
      <c r="L2653" s="2481">
        <v>208.09</v>
      </c>
      <c r="M2653" s="340" t="s">
        <v>349</v>
      </c>
      <c r="N2653" s="1390"/>
      <c r="O2653" s="2479"/>
      <c r="P2653" s="2282"/>
      <c r="AG2653" s="2297">
        <v>2501.06</v>
      </c>
      <c r="AH2653" s="2297" t="s">
        <v>320</v>
      </c>
      <c r="AI2653" s="1390"/>
      <c r="AJ2653" s="2282"/>
      <c r="AK2653" s="2282"/>
      <c r="AL2653" s="1037"/>
      <c r="AX2653" s="340">
        <v>3821.2</v>
      </c>
      <c r="AY2653" s="340" t="s">
        <v>350</v>
      </c>
      <c r="BN2653" s="340">
        <v>905.03</v>
      </c>
      <c r="BO2653" s="340" t="s">
        <v>289</v>
      </c>
      <c r="BP2653" s="1385"/>
      <c r="BV2653" s="236">
        <v>67.17</v>
      </c>
      <c r="BW2653" s="236" t="s">
        <v>331</v>
      </c>
      <c r="CB2653" s="340">
        <v>3821.24</v>
      </c>
      <c r="CC2653" s="340" t="s">
        <v>350</v>
      </c>
      <c r="CL2653" s="236">
        <v>151.03</v>
      </c>
      <c r="CM2653" s="236" t="s">
        <v>338</v>
      </c>
      <c r="CR2653" s="340">
        <v>903.05</v>
      </c>
      <c r="CS2653" s="340" t="s">
        <v>355</v>
      </c>
      <c r="CT2653" s="1384"/>
      <c r="DF2653" s="340">
        <v>27.33</v>
      </c>
      <c r="DG2653" s="340" t="s">
        <v>347</v>
      </c>
      <c r="DV2653" s="340">
        <v>1104</v>
      </c>
      <c r="DW2653" s="340" t="s">
        <v>327</v>
      </c>
      <c r="DX2653" s="1671"/>
    </row>
    <row r="2654" spans="12:128">
      <c r="L2654" s="2481">
        <v>208.11</v>
      </c>
      <c r="M2654" s="340" t="s">
        <v>349</v>
      </c>
      <c r="N2654" s="1390"/>
      <c r="O2654" s="2479"/>
      <c r="P2654" s="2282"/>
      <c r="AG2654" s="2297">
        <v>3804</v>
      </c>
      <c r="AH2654" s="2297" t="s">
        <v>350</v>
      </c>
      <c r="AI2654" s="1390"/>
      <c r="AJ2654" s="2282"/>
      <c r="AK2654" s="2282"/>
      <c r="AL2654" s="1037"/>
      <c r="AX2654" s="340">
        <v>3821.21</v>
      </c>
      <c r="AY2654" s="340" t="s">
        <v>350</v>
      </c>
      <c r="BN2654" s="340">
        <v>906</v>
      </c>
      <c r="BO2654" s="340" t="s">
        <v>355</v>
      </c>
      <c r="BP2654" s="1385"/>
      <c r="BV2654" s="236">
        <v>67.180000000000007</v>
      </c>
      <c r="BW2654" s="236" t="s">
        <v>331</v>
      </c>
      <c r="CB2654" s="340">
        <v>3821.25</v>
      </c>
      <c r="CC2654" s="340" t="s">
        <v>350</v>
      </c>
      <c r="CL2654" s="236">
        <v>151.04</v>
      </c>
      <c r="CM2654" s="236" t="s">
        <v>338</v>
      </c>
      <c r="CR2654" s="340">
        <v>903.06</v>
      </c>
      <c r="CS2654" s="340" t="s">
        <v>355</v>
      </c>
      <c r="CT2654" s="1384"/>
      <c r="DF2654" s="340">
        <v>27.34</v>
      </c>
      <c r="DG2654" s="340" t="s">
        <v>347</v>
      </c>
      <c r="DV2654" s="340">
        <v>1105.01</v>
      </c>
      <c r="DW2654" s="340" t="s">
        <v>289</v>
      </c>
      <c r="DX2654" s="1671"/>
    </row>
    <row r="2655" spans="12:128">
      <c r="L2655" s="2481">
        <v>209.04</v>
      </c>
      <c r="M2655" s="340" t="s">
        <v>349</v>
      </c>
      <c r="N2655" s="1390"/>
      <c r="O2655" s="2479"/>
      <c r="P2655" s="2282"/>
      <c r="AG2655" s="2297">
        <v>3808</v>
      </c>
      <c r="AH2655" s="2297" t="s">
        <v>350</v>
      </c>
      <c r="AI2655" s="1390"/>
      <c r="AJ2655" s="2282"/>
      <c r="AK2655" s="2282"/>
      <c r="AL2655" s="1037"/>
      <c r="AX2655" s="340">
        <v>3821.22</v>
      </c>
      <c r="AY2655" s="340" t="s">
        <v>350</v>
      </c>
      <c r="BN2655" s="340">
        <v>906.02</v>
      </c>
      <c r="BO2655" s="340" t="s">
        <v>289</v>
      </c>
      <c r="BP2655" s="1385"/>
      <c r="BV2655" s="236">
        <v>67.19</v>
      </c>
      <c r="BW2655" s="236" t="s">
        <v>331</v>
      </c>
      <c r="CB2655" s="340">
        <v>3821.26</v>
      </c>
      <c r="CC2655" s="340" t="s">
        <v>350</v>
      </c>
      <c r="CL2655" s="236">
        <v>151.05000000000001</v>
      </c>
      <c r="CM2655" s="236" t="s">
        <v>338</v>
      </c>
      <c r="CR2655" s="340">
        <v>903.07</v>
      </c>
      <c r="CS2655" s="340" t="s">
        <v>355</v>
      </c>
      <c r="CT2655" s="1384"/>
      <c r="DF2655" s="340">
        <v>27.35</v>
      </c>
      <c r="DG2655" s="340" t="s">
        <v>347</v>
      </c>
      <c r="DV2655" s="340">
        <v>1106</v>
      </c>
      <c r="DW2655" s="340" t="s">
        <v>289</v>
      </c>
      <c r="DX2655" s="1671"/>
    </row>
    <row r="2656" spans="12:128">
      <c r="L2656" s="2481">
        <v>209.05</v>
      </c>
      <c r="M2656" s="340" t="s">
        <v>349</v>
      </c>
      <c r="N2656" s="1390"/>
      <c r="O2656" s="2479"/>
      <c r="P2656" s="2282"/>
      <c r="AG2656" s="2297">
        <v>3811.03</v>
      </c>
      <c r="AH2656" s="2297" t="s">
        <v>350</v>
      </c>
      <c r="AI2656" s="1390"/>
      <c r="AJ2656" s="2282"/>
      <c r="AK2656" s="2282"/>
      <c r="AL2656" s="1037"/>
      <c r="AX2656" s="340">
        <v>3821.24</v>
      </c>
      <c r="AY2656" s="340" t="s">
        <v>350</v>
      </c>
      <c r="BN2656" s="340">
        <v>907</v>
      </c>
      <c r="BO2656" s="340" t="s">
        <v>289</v>
      </c>
      <c r="BP2656" s="1385"/>
      <c r="BV2656" s="236">
        <v>67.2</v>
      </c>
      <c r="BW2656" s="236" t="s">
        <v>331</v>
      </c>
      <c r="CB2656" s="340">
        <v>3821.27</v>
      </c>
      <c r="CC2656" s="340" t="s">
        <v>350</v>
      </c>
      <c r="CL2656" s="236">
        <v>151.06</v>
      </c>
      <c r="CM2656" s="236" t="s">
        <v>338</v>
      </c>
      <c r="CR2656" s="340">
        <v>904.01</v>
      </c>
      <c r="CS2656" s="340" t="s">
        <v>355</v>
      </c>
      <c r="CT2656" s="1384"/>
      <c r="DF2656" s="340">
        <v>27.37</v>
      </c>
      <c r="DG2656" s="340" t="s">
        <v>347</v>
      </c>
      <c r="DV2656" s="340">
        <v>1106.02</v>
      </c>
      <c r="DW2656" s="340" t="s">
        <v>298</v>
      </c>
      <c r="DX2656" s="1671"/>
    </row>
    <row r="2657" spans="12:128">
      <c r="L2657" s="2481">
        <v>209.06</v>
      </c>
      <c r="M2657" s="340" t="s">
        <v>349</v>
      </c>
      <c r="N2657" s="1390"/>
      <c r="O2657" s="2479"/>
      <c r="P2657" s="2282"/>
      <c r="AG2657" s="2297">
        <v>3811.05</v>
      </c>
      <c r="AH2657" s="2297" t="s">
        <v>350</v>
      </c>
      <c r="AI2657" s="1390"/>
      <c r="AJ2657" s="2282"/>
      <c r="AK2657" s="2282"/>
      <c r="AL2657" s="1037"/>
      <c r="AX2657" s="340">
        <v>3821.25</v>
      </c>
      <c r="AY2657" s="340" t="s">
        <v>350</v>
      </c>
      <c r="BN2657" s="340">
        <v>907.01</v>
      </c>
      <c r="BO2657" s="340" t="s">
        <v>355</v>
      </c>
      <c r="BP2657" s="1385"/>
      <c r="BV2657" s="236">
        <v>67.209999999999994</v>
      </c>
      <c r="BW2657" s="236" t="s">
        <v>331</v>
      </c>
      <c r="CB2657" s="340">
        <v>3821.28</v>
      </c>
      <c r="CC2657" s="340" t="s">
        <v>350</v>
      </c>
      <c r="CL2657" s="236">
        <v>152</v>
      </c>
      <c r="CM2657" s="236" t="s">
        <v>302</v>
      </c>
      <c r="CR2657" s="340">
        <v>904.02</v>
      </c>
      <c r="CS2657" s="340" t="s">
        <v>355</v>
      </c>
      <c r="CT2657" s="1384"/>
      <c r="DF2657" s="340">
        <v>27.38</v>
      </c>
      <c r="DG2657" s="340" t="s">
        <v>347</v>
      </c>
      <c r="DV2657" s="340">
        <v>1106.04</v>
      </c>
      <c r="DW2657" s="340" t="s">
        <v>298</v>
      </c>
      <c r="DX2657" s="1671"/>
    </row>
    <row r="2658" spans="12:128">
      <c r="L2658" s="2481">
        <v>209.07</v>
      </c>
      <c r="M2658" s="340" t="s">
        <v>349</v>
      </c>
      <c r="N2658" s="1390"/>
      <c r="O2658" s="2479"/>
      <c r="P2658" s="2282"/>
      <c r="AG2658" s="2297">
        <v>3811.06</v>
      </c>
      <c r="AH2658" s="2297" t="s">
        <v>350</v>
      </c>
      <c r="AI2658" s="1390"/>
      <c r="AJ2658" s="2282"/>
      <c r="AK2658" s="2282"/>
      <c r="AL2658" s="1037"/>
      <c r="AX2658" s="340">
        <v>3821.26</v>
      </c>
      <c r="AY2658" s="340" t="s">
        <v>350</v>
      </c>
      <c r="BN2658" s="340">
        <v>908.02</v>
      </c>
      <c r="BO2658" s="340" t="s">
        <v>289</v>
      </c>
      <c r="BP2658" s="1385"/>
      <c r="BV2658" s="236">
        <v>67.22</v>
      </c>
      <c r="BW2658" s="236" t="s">
        <v>331</v>
      </c>
      <c r="CB2658" s="340">
        <v>3821.3</v>
      </c>
      <c r="CC2658" s="340" t="s">
        <v>350</v>
      </c>
      <c r="CL2658" s="236">
        <v>152</v>
      </c>
      <c r="CM2658" s="236" t="s">
        <v>344</v>
      </c>
      <c r="CR2658" s="340">
        <v>905</v>
      </c>
      <c r="CS2658" s="340" t="s">
        <v>355</v>
      </c>
      <c r="CT2658" s="1384"/>
      <c r="DF2658" s="340">
        <v>27.42</v>
      </c>
      <c r="DG2658" s="340" t="s">
        <v>347</v>
      </c>
      <c r="DV2658" s="340">
        <v>1107</v>
      </c>
      <c r="DW2658" s="340" t="s">
        <v>298</v>
      </c>
      <c r="DX2658" s="1671"/>
    </row>
    <row r="2659" spans="12:128">
      <c r="L2659" s="2481">
        <v>209.08</v>
      </c>
      <c r="M2659" s="340" t="s">
        <v>349</v>
      </c>
      <c r="N2659" s="1390"/>
      <c r="O2659" s="2479"/>
      <c r="P2659" s="2282"/>
      <c r="AG2659" s="2297">
        <v>3812.04</v>
      </c>
      <c r="AH2659" s="2297" t="s">
        <v>350</v>
      </c>
      <c r="AI2659" s="1390"/>
      <c r="AJ2659" s="2282"/>
      <c r="AK2659" s="2282"/>
      <c r="AL2659" s="1037"/>
      <c r="AX2659" s="340">
        <v>3821.27</v>
      </c>
      <c r="AY2659" s="340" t="s">
        <v>350</v>
      </c>
      <c r="BN2659" s="340">
        <v>908.03</v>
      </c>
      <c r="BO2659" s="340" t="s">
        <v>355</v>
      </c>
      <c r="BP2659" s="1385"/>
      <c r="BV2659" s="236">
        <v>68.010000000000005</v>
      </c>
      <c r="BW2659" s="236" t="s">
        <v>331</v>
      </c>
      <c r="CB2659" s="340">
        <v>3822.02</v>
      </c>
      <c r="CC2659" s="340" t="s">
        <v>350</v>
      </c>
      <c r="CL2659" s="236">
        <v>152.01</v>
      </c>
      <c r="CM2659" s="236" t="s">
        <v>331</v>
      </c>
      <c r="CR2659" s="340">
        <v>905.02</v>
      </c>
      <c r="CS2659" s="340" t="s">
        <v>289</v>
      </c>
      <c r="CT2659" s="1384"/>
      <c r="DF2659" s="340">
        <v>27.44</v>
      </c>
      <c r="DG2659" s="340" t="s">
        <v>347</v>
      </c>
      <c r="DV2659" s="340">
        <v>1108</v>
      </c>
      <c r="DW2659" s="340" t="s">
        <v>276</v>
      </c>
      <c r="DX2659" s="1671"/>
    </row>
    <row r="2660" spans="12:128">
      <c r="L2660" s="2481">
        <v>212.07</v>
      </c>
      <c r="M2660" s="340" t="s">
        <v>349</v>
      </c>
      <c r="N2660" s="1390"/>
      <c r="O2660" s="2479"/>
      <c r="P2660" s="2282"/>
      <c r="AG2660" s="2297">
        <v>3813</v>
      </c>
      <c r="AH2660" s="2297" t="s">
        <v>350</v>
      </c>
      <c r="AI2660" s="1390"/>
      <c r="AJ2660" s="2282"/>
      <c r="AK2660" s="2282"/>
      <c r="AL2660" s="1037"/>
      <c r="AX2660" s="340">
        <v>3821.28</v>
      </c>
      <c r="AY2660" s="340" t="s">
        <v>350</v>
      </c>
      <c r="BN2660" s="340">
        <v>908.06</v>
      </c>
      <c r="BO2660" s="340" t="s">
        <v>355</v>
      </c>
      <c r="BP2660" s="1385"/>
      <c r="BV2660" s="236">
        <v>68.02</v>
      </c>
      <c r="BW2660" s="236" t="s">
        <v>331</v>
      </c>
      <c r="CB2660" s="340">
        <v>103.02</v>
      </c>
      <c r="CC2660" s="340" t="s">
        <v>346</v>
      </c>
      <c r="CL2660" s="236">
        <v>152.02000000000001</v>
      </c>
      <c r="CM2660" s="236" t="s">
        <v>331</v>
      </c>
      <c r="CR2660" s="340">
        <v>905.03</v>
      </c>
      <c r="CS2660" s="340" t="s">
        <v>289</v>
      </c>
      <c r="CT2660" s="1384"/>
      <c r="DF2660" s="340">
        <v>27.45</v>
      </c>
      <c r="DG2660" s="340" t="s">
        <v>347</v>
      </c>
      <c r="DV2660" s="340">
        <v>1108</v>
      </c>
      <c r="DW2660" s="340" t="s">
        <v>298</v>
      </c>
      <c r="DX2660" s="1671"/>
    </row>
    <row r="2661" spans="12:128">
      <c r="L2661" s="2481">
        <v>214.08</v>
      </c>
      <c r="M2661" s="340" t="s">
        <v>349</v>
      </c>
      <c r="N2661" s="1390"/>
      <c r="O2661" s="2479"/>
      <c r="P2661" s="2282"/>
      <c r="AG2661" s="2297">
        <v>3815.05</v>
      </c>
      <c r="AH2661" s="2297" t="s">
        <v>350</v>
      </c>
      <c r="AI2661" s="1390"/>
      <c r="AJ2661" s="2282"/>
      <c r="AK2661" s="2282"/>
      <c r="AL2661" s="1037"/>
      <c r="AX2661" s="340">
        <v>3821.3</v>
      </c>
      <c r="AY2661" s="340" t="s">
        <v>350</v>
      </c>
      <c r="BN2661" s="340">
        <v>908.07</v>
      </c>
      <c r="BO2661" s="340" t="s">
        <v>355</v>
      </c>
      <c r="BP2661" s="1385"/>
      <c r="BV2661" s="236">
        <v>69.010000000000005</v>
      </c>
      <c r="BW2661" s="236" t="s">
        <v>331</v>
      </c>
      <c r="CB2661" s="340">
        <v>103.03</v>
      </c>
      <c r="CC2661" s="340" t="s">
        <v>346</v>
      </c>
      <c r="CL2661" s="236">
        <v>152.02000000000001</v>
      </c>
      <c r="CM2661" s="236" t="s">
        <v>338</v>
      </c>
      <c r="CR2661" s="340">
        <v>906</v>
      </c>
      <c r="CS2661" s="340" t="s">
        <v>355</v>
      </c>
      <c r="CT2661" s="1384"/>
      <c r="DF2661" s="340">
        <v>27.47</v>
      </c>
      <c r="DG2661" s="340" t="s">
        <v>347</v>
      </c>
      <c r="DV2661" s="340">
        <v>1109.03</v>
      </c>
      <c r="DW2661" s="340" t="s">
        <v>298</v>
      </c>
      <c r="DX2661" s="1671"/>
    </row>
    <row r="2662" spans="12:128">
      <c r="L2662" s="2481">
        <v>3804</v>
      </c>
      <c r="M2662" s="340" t="s">
        <v>350</v>
      </c>
      <c r="N2662" s="1390"/>
      <c r="O2662" s="2479"/>
      <c r="P2662" s="2282"/>
      <c r="AG2662" s="2297">
        <v>3815.06</v>
      </c>
      <c r="AH2662" s="2297" t="s">
        <v>350</v>
      </c>
      <c r="AI2662" s="1390"/>
      <c r="AJ2662" s="2282"/>
      <c r="AK2662" s="2282"/>
      <c r="AL2662" s="1037"/>
      <c r="AX2662" s="340">
        <v>3822.02</v>
      </c>
      <c r="AY2662" s="340" t="s">
        <v>350</v>
      </c>
      <c r="BN2662" s="340">
        <v>908.08</v>
      </c>
      <c r="BO2662" s="340" t="s">
        <v>355</v>
      </c>
      <c r="BP2662" s="1385"/>
      <c r="BV2662" s="236">
        <v>69.02</v>
      </c>
      <c r="BW2662" s="236" t="s">
        <v>331</v>
      </c>
      <c r="CB2662" s="340">
        <v>105.04</v>
      </c>
      <c r="CC2662" s="340" t="s">
        <v>346</v>
      </c>
      <c r="CL2662" s="236">
        <v>152.03</v>
      </c>
      <c r="CM2662" s="236" t="s">
        <v>338</v>
      </c>
      <c r="CR2662" s="340">
        <v>906.02</v>
      </c>
      <c r="CS2662" s="340" t="s">
        <v>289</v>
      </c>
      <c r="CT2662" s="1384"/>
      <c r="DF2662" s="340">
        <v>27.48</v>
      </c>
      <c r="DG2662" s="340" t="s">
        <v>347</v>
      </c>
      <c r="DV2662" s="340">
        <v>1109.04</v>
      </c>
      <c r="DW2662" s="340" t="s">
        <v>298</v>
      </c>
      <c r="DX2662" s="1671"/>
    </row>
    <row r="2663" spans="12:128">
      <c r="L2663" s="2481">
        <v>3808</v>
      </c>
      <c r="M2663" s="340" t="s">
        <v>350</v>
      </c>
      <c r="N2663" s="1390"/>
      <c r="O2663" s="2479"/>
      <c r="P2663" s="2282"/>
      <c r="AG2663" s="2297">
        <v>3815.08</v>
      </c>
      <c r="AH2663" s="2297" t="s">
        <v>350</v>
      </c>
      <c r="AI2663" s="1390"/>
      <c r="AJ2663" s="2282"/>
      <c r="AK2663" s="2282"/>
      <c r="AL2663" s="1037"/>
      <c r="AX2663" s="340">
        <v>103.02</v>
      </c>
      <c r="AY2663" s="340" t="s">
        <v>346</v>
      </c>
      <c r="BN2663" s="340">
        <v>909</v>
      </c>
      <c r="BO2663" s="340" t="s">
        <v>289</v>
      </c>
      <c r="BP2663" s="1385"/>
      <c r="BV2663" s="236">
        <v>70.03</v>
      </c>
      <c r="BW2663" s="236" t="s">
        <v>331</v>
      </c>
      <c r="CB2663" s="340">
        <v>105.06</v>
      </c>
      <c r="CC2663" s="340" t="s">
        <v>346</v>
      </c>
      <c r="CL2663" s="236">
        <v>152.04</v>
      </c>
      <c r="CM2663" s="236" t="s">
        <v>338</v>
      </c>
      <c r="CR2663" s="340">
        <v>907</v>
      </c>
      <c r="CS2663" s="340" t="s">
        <v>289</v>
      </c>
      <c r="CT2663" s="1384"/>
      <c r="DF2663" s="340">
        <v>206.02</v>
      </c>
      <c r="DG2663" s="340" t="s">
        <v>348</v>
      </c>
      <c r="DV2663" s="340">
        <v>2101</v>
      </c>
      <c r="DW2663" s="340" t="s">
        <v>319</v>
      </c>
      <c r="DX2663" s="1671"/>
    </row>
    <row r="2664" spans="12:128">
      <c r="L2664" s="2481">
        <v>3811.03</v>
      </c>
      <c r="M2664" s="340" t="s">
        <v>350</v>
      </c>
      <c r="N2664" s="1390"/>
      <c r="O2664" s="2479"/>
      <c r="P2664" s="2282"/>
      <c r="AG2664" s="2297">
        <v>3816.02</v>
      </c>
      <c r="AH2664" s="2297" t="s">
        <v>350</v>
      </c>
      <c r="AI2664" s="1390"/>
      <c r="AJ2664" s="2282"/>
      <c r="AK2664" s="2282"/>
      <c r="AL2664" s="1037"/>
      <c r="AX2664" s="340">
        <v>103.03</v>
      </c>
      <c r="AY2664" s="340" t="s">
        <v>346</v>
      </c>
      <c r="BN2664" s="340">
        <v>909.03</v>
      </c>
      <c r="BO2664" s="340" t="s">
        <v>355</v>
      </c>
      <c r="BP2664" s="1385"/>
      <c r="BV2664" s="236">
        <v>70.040000000000006</v>
      </c>
      <c r="BW2664" s="236" t="s">
        <v>331</v>
      </c>
      <c r="CB2664" s="340">
        <v>107.04</v>
      </c>
      <c r="CC2664" s="340" t="s">
        <v>346</v>
      </c>
      <c r="CL2664" s="236">
        <v>153</v>
      </c>
      <c r="CM2664" s="236" t="s">
        <v>302</v>
      </c>
      <c r="CR2664" s="340">
        <v>907.02</v>
      </c>
      <c r="CS2664" s="340" t="s">
        <v>355</v>
      </c>
      <c r="CT2664" s="1384"/>
      <c r="DF2664" s="340">
        <v>207.03</v>
      </c>
      <c r="DG2664" s="340" t="s">
        <v>348</v>
      </c>
      <c r="DV2664" s="340">
        <v>2102</v>
      </c>
      <c r="DW2664" s="340" t="s">
        <v>319</v>
      </c>
      <c r="DX2664" s="1671"/>
    </row>
    <row r="2665" spans="12:128">
      <c r="L2665" s="2481">
        <v>3811.05</v>
      </c>
      <c r="M2665" s="340" t="s">
        <v>350</v>
      </c>
      <c r="N2665" s="1390"/>
      <c r="O2665" s="2479"/>
      <c r="P2665" s="2282"/>
      <c r="AG2665" s="2297">
        <v>3816.04</v>
      </c>
      <c r="AH2665" s="2297" t="s">
        <v>350</v>
      </c>
      <c r="AI2665" s="1390"/>
      <c r="AJ2665" s="2282"/>
      <c r="AK2665" s="2282"/>
      <c r="AL2665" s="1037"/>
      <c r="AX2665" s="340">
        <v>105.04</v>
      </c>
      <c r="AY2665" s="340" t="s">
        <v>346</v>
      </c>
      <c r="BN2665" s="340">
        <v>909.04</v>
      </c>
      <c r="BO2665" s="340" t="s">
        <v>355</v>
      </c>
      <c r="BP2665" s="1385"/>
      <c r="BV2665" s="236">
        <v>70.05</v>
      </c>
      <c r="BW2665" s="236" t="s">
        <v>331</v>
      </c>
      <c r="CB2665" s="340">
        <v>107.07</v>
      </c>
      <c r="CC2665" s="340" t="s">
        <v>346</v>
      </c>
      <c r="CL2665" s="236">
        <v>153</v>
      </c>
      <c r="CM2665" s="236" t="s">
        <v>331</v>
      </c>
      <c r="CR2665" s="340">
        <v>908.02</v>
      </c>
      <c r="CS2665" s="340" t="s">
        <v>289</v>
      </c>
      <c r="CT2665" s="1384"/>
      <c r="DF2665" s="340">
        <v>207.04</v>
      </c>
      <c r="DG2665" s="340" t="s">
        <v>348</v>
      </c>
      <c r="DV2665" s="340">
        <v>2103.0100000000002</v>
      </c>
      <c r="DW2665" s="340" t="s">
        <v>319</v>
      </c>
      <c r="DX2665" s="1671"/>
    </row>
    <row r="2666" spans="12:128">
      <c r="L2666" s="2481">
        <v>3811.06</v>
      </c>
      <c r="M2666" s="340" t="s">
        <v>350</v>
      </c>
      <c r="N2666" s="1390"/>
      <c r="O2666" s="2479"/>
      <c r="P2666" s="2282"/>
      <c r="AG2666" s="2297">
        <v>3817.01</v>
      </c>
      <c r="AH2666" s="2297" t="s">
        <v>350</v>
      </c>
      <c r="AI2666" s="1390"/>
      <c r="AJ2666" s="2282"/>
      <c r="AK2666" s="2282"/>
      <c r="AL2666" s="1037"/>
      <c r="AX2666" s="340">
        <v>105.06</v>
      </c>
      <c r="AY2666" s="340" t="s">
        <v>346</v>
      </c>
      <c r="BN2666" s="340">
        <v>909.05</v>
      </c>
      <c r="BO2666" s="340" t="s">
        <v>355</v>
      </c>
      <c r="BP2666" s="1385"/>
      <c r="BV2666" s="236">
        <v>70.06</v>
      </c>
      <c r="BW2666" s="236" t="s">
        <v>331</v>
      </c>
      <c r="CB2666" s="340">
        <v>107.09</v>
      </c>
      <c r="CC2666" s="340" t="s">
        <v>346</v>
      </c>
      <c r="CL2666" s="236">
        <v>153</v>
      </c>
      <c r="CM2666" s="236" t="s">
        <v>338</v>
      </c>
      <c r="CR2666" s="340">
        <v>908.03</v>
      </c>
      <c r="CS2666" s="340" t="s">
        <v>355</v>
      </c>
      <c r="CT2666" s="1384"/>
      <c r="DF2666" s="340">
        <v>207.05</v>
      </c>
      <c r="DG2666" s="340" t="s">
        <v>348</v>
      </c>
      <c r="DV2666" s="340">
        <v>2103.02</v>
      </c>
      <c r="DW2666" s="340" t="s">
        <v>319</v>
      </c>
      <c r="DX2666" s="1671"/>
    </row>
    <row r="2667" spans="12:128">
      <c r="L2667" s="2481">
        <v>3812.04</v>
      </c>
      <c r="M2667" s="340" t="s">
        <v>350</v>
      </c>
      <c r="N2667" s="1390"/>
      <c r="O2667" s="2479"/>
      <c r="P2667" s="2282"/>
      <c r="AG2667" s="2297">
        <v>3817.02</v>
      </c>
      <c r="AH2667" s="2297" t="s">
        <v>350</v>
      </c>
      <c r="AI2667" s="1390"/>
      <c r="AJ2667" s="2282"/>
      <c r="AK2667" s="2282"/>
      <c r="AL2667" s="1037"/>
      <c r="AX2667" s="340">
        <v>107.04</v>
      </c>
      <c r="AY2667" s="340" t="s">
        <v>346</v>
      </c>
      <c r="BN2667" s="340">
        <v>909.06</v>
      </c>
      <c r="BO2667" s="340" t="s">
        <v>355</v>
      </c>
      <c r="BP2667" s="1385"/>
      <c r="BV2667" s="236">
        <v>70.069999999999993</v>
      </c>
      <c r="BW2667" s="236" t="s">
        <v>331</v>
      </c>
      <c r="CB2667" s="340">
        <v>107.11</v>
      </c>
      <c r="CC2667" s="340" t="s">
        <v>346</v>
      </c>
      <c r="CL2667" s="236">
        <v>153.01</v>
      </c>
      <c r="CM2667" s="236" t="s">
        <v>344</v>
      </c>
      <c r="CR2667" s="340">
        <v>908.08</v>
      </c>
      <c r="CS2667" s="340" t="s">
        <v>355</v>
      </c>
      <c r="CT2667" s="1384"/>
      <c r="DF2667" s="340">
        <v>207.06</v>
      </c>
      <c r="DG2667" s="340" t="s">
        <v>348</v>
      </c>
      <c r="DV2667" s="340">
        <v>2105</v>
      </c>
      <c r="DW2667" s="340" t="s">
        <v>319</v>
      </c>
      <c r="DX2667" s="1671"/>
    </row>
    <row r="2668" spans="12:128">
      <c r="L2668" s="2481">
        <v>3813</v>
      </c>
      <c r="M2668" s="340" t="s">
        <v>350</v>
      </c>
      <c r="N2668" s="1390"/>
      <c r="O2668" s="2479"/>
      <c r="P2668" s="2282"/>
      <c r="AG2668" s="2297">
        <v>3818.03</v>
      </c>
      <c r="AH2668" s="2297" t="s">
        <v>350</v>
      </c>
      <c r="AI2668" s="1390"/>
      <c r="AJ2668" s="2282"/>
      <c r="AK2668" s="2282"/>
      <c r="AL2668" s="1037"/>
      <c r="AX2668" s="340">
        <v>107.07</v>
      </c>
      <c r="AY2668" s="340" t="s">
        <v>346</v>
      </c>
      <c r="BN2668" s="340">
        <v>910</v>
      </c>
      <c r="BO2668" s="340" t="s">
        <v>289</v>
      </c>
      <c r="BP2668" s="1385"/>
      <c r="BV2668" s="236">
        <v>71.010000000000005</v>
      </c>
      <c r="BW2668" s="236" t="s">
        <v>331</v>
      </c>
      <c r="CB2668" s="340">
        <v>107.12</v>
      </c>
      <c r="CC2668" s="340" t="s">
        <v>346</v>
      </c>
      <c r="CL2668" s="236">
        <v>153.02000000000001</v>
      </c>
      <c r="CM2668" s="236" t="s">
        <v>344</v>
      </c>
      <c r="CR2668" s="340">
        <v>909</v>
      </c>
      <c r="CS2668" s="340" t="s">
        <v>289</v>
      </c>
      <c r="CT2668" s="1384"/>
      <c r="DF2668" s="340">
        <v>207.07</v>
      </c>
      <c r="DG2668" s="340" t="s">
        <v>348</v>
      </c>
      <c r="DV2668" s="340">
        <v>2107</v>
      </c>
      <c r="DW2668" s="340" t="s">
        <v>319</v>
      </c>
      <c r="DX2668" s="1671"/>
    </row>
    <row r="2669" spans="12:128">
      <c r="L2669" s="2481">
        <v>3815.05</v>
      </c>
      <c r="M2669" s="340" t="s">
        <v>350</v>
      </c>
      <c r="N2669" s="1390"/>
      <c r="O2669" s="2479"/>
      <c r="P2669" s="2282"/>
      <c r="AG2669" s="2297">
        <v>3818.04</v>
      </c>
      <c r="AH2669" s="2297" t="s">
        <v>350</v>
      </c>
      <c r="AI2669" s="1390"/>
      <c r="AJ2669" s="2282"/>
      <c r="AK2669" s="2282"/>
      <c r="AL2669" s="1037"/>
      <c r="AX2669" s="340">
        <v>107.1</v>
      </c>
      <c r="AY2669" s="340" t="s">
        <v>346</v>
      </c>
      <c r="BN2669" s="340">
        <v>910.01</v>
      </c>
      <c r="BO2669" s="340" t="s">
        <v>355</v>
      </c>
      <c r="BP2669" s="1385"/>
      <c r="BV2669" s="236">
        <v>71.03</v>
      </c>
      <c r="BW2669" s="236" t="s">
        <v>331</v>
      </c>
      <c r="CB2669" s="340">
        <v>108.02</v>
      </c>
      <c r="CC2669" s="340" t="s">
        <v>346</v>
      </c>
      <c r="CL2669" s="236">
        <v>154</v>
      </c>
      <c r="CM2669" s="236" t="s">
        <v>302</v>
      </c>
      <c r="CR2669" s="340">
        <v>909.03</v>
      </c>
      <c r="CS2669" s="340" t="s">
        <v>355</v>
      </c>
      <c r="CT2669" s="1384"/>
      <c r="DF2669" s="340">
        <v>208.03</v>
      </c>
      <c r="DG2669" s="340" t="s">
        <v>348</v>
      </c>
      <c r="DV2669" s="340">
        <v>2108</v>
      </c>
      <c r="DW2669" s="340" t="s">
        <v>319</v>
      </c>
      <c r="DX2669" s="1671"/>
    </row>
    <row r="2670" spans="12:128">
      <c r="L2670" s="2481">
        <v>3815.06</v>
      </c>
      <c r="M2670" s="340" t="s">
        <v>350</v>
      </c>
      <c r="N2670" s="1390"/>
      <c r="O2670" s="2479"/>
      <c r="P2670" s="2282"/>
      <c r="AG2670" s="2297">
        <v>3819</v>
      </c>
      <c r="AH2670" s="2297" t="s">
        <v>350</v>
      </c>
      <c r="AI2670" s="1390"/>
      <c r="AJ2670" s="2282"/>
      <c r="AK2670" s="2282"/>
      <c r="AL2670" s="1037"/>
      <c r="AX2670" s="340">
        <v>107.12</v>
      </c>
      <c r="AY2670" s="340" t="s">
        <v>346</v>
      </c>
      <c r="BN2670" s="340">
        <v>910.05</v>
      </c>
      <c r="BO2670" s="340" t="s">
        <v>355</v>
      </c>
      <c r="BP2670" s="1385"/>
      <c r="BV2670" s="236">
        <v>71.040000000000006</v>
      </c>
      <c r="BW2670" s="236" t="s">
        <v>331</v>
      </c>
      <c r="CB2670" s="340">
        <v>108.12</v>
      </c>
      <c r="CC2670" s="340" t="s">
        <v>346</v>
      </c>
      <c r="CL2670" s="236">
        <v>154</v>
      </c>
      <c r="CM2670" s="236" t="s">
        <v>331</v>
      </c>
      <c r="CR2670" s="340">
        <v>909.04</v>
      </c>
      <c r="CS2670" s="340" t="s">
        <v>355</v>
      </c>
      <c r="CT2670" s="1384"/>
      <c r="DF2670" s="340">
        <v>208.05</v>
      </c>
      <c r="DG2670" s="340" t="s">
        <v>348</v>
      </c>
      <c r="DV2670" s="340">
        <v>2111</v>
      </c>
      <c r="DW2670" s="340" t="s">
        <v>319</v>
      </c>
      <c r="DX2670" s="1671"/>
    </row>
    <row r="2671" spans="12:128">
      <c r="L2671" s="2481">
        <v>3815.08</v>
      </c>
      <c r="M2671" s="340" t="s">
        <v>350</v>
      </c>
      <c r="N2671" s="1390"/>
      <c r="O2671" s="2479"/>
      <c r="P2671" s="2282"/>
      <c r="AG2671" s="2297">
        <v>3820.07</v>
      </c>
      <c r="AH2671" s="2297" t="s">
        <v>350</v>
      </c>
      <c r="AI2671" s="1390"/>
      <c r="AJ2671" s="2282"/>
      <c r="AK2671" s="2282"/>
      <c r="AL2671" s="1037"/>
      <c r="AX2671" s="340">
        <v>108.02</v>
      </c>
      <c r="AY2671" s="340" t="s">
        <v>346</v>
      </c>
      <c r="BN2671" s="340">
        <v>910.15</v>
      </c>
      <c r="BO2671" s="340" t="s">
        <v>355</v>
      </c>
      <c r="BP2671" s="1385"/>
      <c r="BV2671" s="236">
        <v>72</v>
      </c>
      <c r="BW2671" s="236" t="s">
        <v>331</v>
      </c>
      <c r="CB2671" s="340">
        <v>108.13</v>
      </c>
      <c r="CC2671" s="340" t="s">
        <v>346</v>
      </c>
      <c r="CL2671" s="236">
        <v>154.01</v>
      </c>
      <c r="CM2671" s="236" t="s">
        <v>344</v>
      </c>
      <c r="CR2671" s="340">
        <v>909.05</v>
      </c>
      <c r="CS2671" s="340" t="s">
        <v>355</v>
      </c>
      <c r="CT2671" s="1384"/>
      <c r="DF2671" s="340">
        <v>208.06</v>
      </c>
      <c r="DG2671" s="340" t="s">
        <v>348</v>
      </c>
      <c r="DV2671" s="340">
        <v>2501.04</v>
      </c>
      <c r="DW2671" s="340" t="s">
        <v>320</v>
      </c>
      <c r="DX2671" s="1671"/>
    </row>
    <row r="2672" spans="12:128">
      <c r="L2672" s="2481">
        <v>3816.02</v>
      </c>
      <c r="M2672" s="340" t="s">
        <v>350</v>
      </c>
      <c r="N2672" s="1390"/>
      <c r="O2672" s="2479"/>
      <c r="P2672" s="2282"/>
      <c r="AG2672" s="2297">
        <v>3820.08</v>
      </c>
      <c r="AH2672" s="2297" t="s">
        <v>350</v>
      </c>
      <c r="AI2672" s="1390"/>
      <c r="AJ2672" s="2282"/>
      <c r="AK2672" s="2282"/>
      <c r="AL2672" s="1037"/>
      <c r="AX2672" s="340">
        <v>108.12</v>
      </c>
      <c r="AY2672" s="340" t="s">
        <v>346</v>
      </c>
      <c r="BN2672" s="340">
        <v>910.16</v>
      </c>
      <c r="BO2672" s="340" t="s">
        <v>355</v>
      </c>
      <c r="BP2672" s="1385"/>
      <c r="BV2672" s="236">
        <v>73</v>
      </c>
      <c r="BW2672" s="236" t="s">
        <v>331</v>
      </c>
      <c r="CB2672" s="340">
        <v>108.14</v>
      </c>
      <c r="CC2672" s="340" t="s">
        <v>346</v>
      </c>
      <c r="CL2672" s="236">
        <v>154.02000000000001</v>
      </c>
      <c r="CM2672" s="236" t="s">
        <v>344</v>
      </c>
      <c r="CR2672" s="340">
        <v>909.06</v>
      </c>
      <c r="CS2672" s="340" t="s">
        <v>355</v>
      </c>
      <c r="CT2672" s="1384"/>
      <c r="DF2672" s="340">
        <v>208.08</v>
      </c>
      <c r="DG2672" s="340" t="s">
        <v>348</v>
      </c>
      <c r="DV2672" s="340">
        <v>2501.06</v>
      </c>
      <c r="DW2672" s="340" t="s">
        <v>320</v>
      </c>
      <c r="DX2672" s="1671"/>
    </row>
    <row r="2673" spans="12:128">
      <c r="L2673" s="2481">
        <v>3816.04</v>
      </c>
      <c r="M2673" s="340" t="s">
        <v>350</v>
      </c>
      <c r="N2673" s="1390"/>
      <c r="O2673" s="2479"/>
      <c r="P2673" s="2282"/>
      <c r="AG2673" s="2297">
        <v>3820.11</v>
      </c>
      <c r="AH2673" s="2297" t="s">
        <v>350</v>
      </c>
      <c r="AI2673" s="1390"/>
      <c r="AJ2673" s="2282"/>
      <c r="AK2673" s="2282"/>
      <c r="AL2673" s="1037"/>
      <c r="AX2673" s="340">
        <v>108.13</v>
      </c>
      <c r="AY2673" s="340" t="s">
        <v>346</v>
      </c>
      <c r="BN2673" s="340">
        <v>910.17</v>
      </c>
      <c r="BO2673" s="340" t="s">
        <v>355</v>
      </c>
      <c r="BP2673" s="1385"/>
      <c r="BV2673" s="236">
        <v>74.010000000000005</v>
      </c>
      <c r="BW2673" s="236" t="s">
        <v>331</v>
      </c>
      <c r="CB2673" s="340">
        <v>108.2</v>
      </c>
      <c r="CC2673" s="340" t="s">
        <v>346</v>
      </c>
      <c r="CL2673" s="236">
        <v>154.04</v>
      </c>
      <c r="CM2673" s="236" t="s">
        <v>344</v>
      </c>
      <c r="CR2673" s="340">
        <v>910</v>
      </c>
      <c r="CS2673" s="340" t="s">
        <v>289</v>
      </c>
      <c r="CT2673" s="1384"/>
      <c r="DF2673" s="340">
        <v>208.1</v>
      </c>
      <c r="DG2673" s="340" t="s">
        <v>348</v>
      </c>
      <c r="DV2673" s="340">
        <v>3807</v>
      </c>
      <c r="DW2673" s="340" t="s">
        <v>350</v>
      </c>
      <c r="DX2673" s="1671"/>
    </row>
    <row r="2674" spans="12:128">
      <c r="L2674" s="2481">
        <v>3817.01</v>
      </c>
      <c r="M2674" s="340" t="s">
        <v>350</v>
      </c>
      <c r="N2674" s="1390"/>
      <c r="O2674" s="2479"/>
      <c r="P2674" s="2282"/>
      <c r="AG2674" s="2297">
        <v>3820.14</v>
      </c>
      <c r="AH2674" s="2297" t="s">
        <v>350</v>
      </c>
      <c r="AI2674" s="1390"/>
      <c r="AJ2674" s="2282"/>
      <c r="AK2674" s="2282"/>
      <c r="AL2674" s="1037"/>
      <c r="AX2674" s="340">
        <v>108.14</v>
      </c>
      <c r="AY2674" s="340" t="s">
        <v>346</v>
      </c>
      <c r="BN2674" s="340">
        <v>910.18</v>
      </c>
      <c r="BO2674" s="340" t="s">
        <v>355</v>
      </c>
      <c r="BP2674" s="1385"/>
      <c r="BV2674" s="236">
        <v>74.02</v>
      </c>
      <c r="BW2674" s="236" t="s">
        <v>331</v>
      </c>
      <c r="CB2674" s="340">
        <v>108.21</v>
      </c>
      <c r="CC2674" s="340" t="s">
        <v>346</v>
      </c>
      <c r="CL2674" s="236">
        <v>154.05000000000001</v>
      </c>
      <c r="CM2674" s="236" t="s">
        <v>344</v>
      </c>
      <c r="CR2674" s="340">
        <v>910.01</v>
      </c>
      <c r="CS2674" s="340" t="s">
        <v>355</v>
      </c>
      <c r="CT2674" s="1384"/>
      <c r="DF2674" s="340">
        <v>208.11</v>
      </c>
      <c r="DG2674" s="340" t="s">
        <v>348</v>
      </c>
      <c r="DV2674" s="340">
        <v>3811.03</v>
      </c>
      <c r="DW2674" s="340" t="s">
        <v>350</v>
      </c>
      <c r="DX2674" s="1671"/>
    </row>
    <row r="2675" spans="12:128">
      <c r="L2675" s="2481">
        <v>3817.02</v>
      </c>
      <c r="M2675" s="340" t="s">
        <v>350</v>
      </c>
      <c r="N2675" s="1390"/>
      <c r="O2675" s="2479"/>
      <c r="P2675" s="2282"/>
      <c r="AG2675" s="2297">
        <v>3820.16</v>
      </c>
      <c r="AH2675" s="2297" t="s">
        <v>350</v>
      </c>
      <c r="AI2675" s="1390"/>
      <c r="AJ2675" s="2282"/>
      <c r="AK2675" s="2282"/>
      <c r="AL2675" s="1037"/>
      <c r="AX2675" s="340">
        <v>108.2</v>
      </c>
      <c r="AY2675" s="340" t="s">
        <v>346</v>
      </c>
      <c r="BN2675" s="340">
        <v>910.19</v>
      </c>
      <c r="BO2675" s="340" t="s">
        <v>355</v>
      </c>
      <c r="BP2675" s="1385"/>
      <c r="BV2675" s="236">
        <v>74.03</v>
      </c>
      <c r="BW2675" s="236" t="s">
        <v>331</v>
      </c>
      <c r="CB2675" s="340">
        <v>108.22</v>
      </c>
      <c r="CC2675" s="340" t="s">
        <v>346</v>
      </c>
      <c r="CL2675" s="236">
        <v>155</v>
      </c>
      <c r="CM2675" s="236" t="s">
        <v>344</v>
      </c>
      <c r="CR2675" s="340">
        <v>910.05</v>
      </c>
      <c r="CS2675" s="340" t="s">
        <v>355</v>
      </c>
      <c r="CT2675" s="1384"/>
      <c r="DF2675" s="340">
        <v>208.12</v>
      </c>
      <c r="DG2675" s="340" t="s">
        <v>348</v>
      </c>
      <c r="DV2675" s="340">
        <v>3811.04</v>
      </c>
      <c r="DW2675" s="340" t="s">
        <v>350</v>
      </c>
      <c r="DX2675" s="1671"/>
    </row>
    <row r="2676" spans="12:128">
      <c r="L2676" s="2481">
        <v>3818.03</v>
      </c>
      <c r="M2676" s="340" t="s">
        <v>350</v>
      </c>
      <c r="N2676" s="1390"/>
      <c r="O2676" s="2479"/>
      <c r="P2676" s="2282"/>
      <c r="AG2676" s="2297">
        <v>3821.1</v>
      </c>
      <c r="AH2676" s="2297" t="s">
        <v>350</v>
      </c>
      <c r="AI2676" s="1390"/>
      <c r="AJ2676" s="2282"/>
      <c r="AK2676" s="2282"/>
      <c r="AL2676" s="1037"/>
      <c r="AX2676" s="340">
        <v>108.21</v>
      </c>
      <c r="AY2676" s="340" t="s">
        <v>346</v>
      </c>
      <c r="BN2676" s="340">
        <v>910.2</v>
      </c>
      <c r="BO2676" s="340" t="s">
        <v>355</v>
      </c>
      <c r="BP2676" s="1385"/>
      <c r="BV2676" s="236">
        <v>75.010000000000005</v>
      </c>
      <c r="BW2676" s="236" t="s">
        <v>331</v>
      </c>
      <c r="CB2676" s="340">
        <v>108.24</v>
      </c>
      <c r="CC2676" s="340" t="s">
        <v>346</v>
      </c>
      <c r="CL2676" s="236">
        <v>155.01</v>
      </c>
      <c r="CM2676" s="236" t="s">
        <v>302</v>
      </c>
      <c r="CR2676" s="340">
        <v>910.15</v>
      </c>
      <c r="CS2676" s="340" t="s">
        <v>355</v>
      </c>
      <c r="CT2676" s="1384"/>
      <c r="DF2676" s="340">
        <v>209.05</v>
      </c>
      <c r="DG2676" s="340" t="s">
        <v>348</v>
      </c>
      <c r="DV2676" s="340">
        <v>3811.05</v>
      </c>
      <c r="DW2676" s="340" t="s">
        <v>350</v>
      </c>
      <c r="DX2676" s="1671"/>
    </row>
    <row r="2677" spans="12:128">
      <c r="L2677" s="2481">
        <v>3818.04</v>
      </c>
      <c r="M2677" s="340" t="s">
        <v>350</v>
      </c>
      <c r="N2677" s="1390"/>
      <c r="O2677" s="2479"/>
      <c r="P2677" s="2282"/>
      <c r="AG2677" s="2297">
        <v>3821.12</v>
      </c>
      <c r="AH2677" s="2297" t="s">
        <v>350</v>
      </c>
      <c r="AI2677" s="1390"/>
      <c r="AJ2677" s="2282"/>
      <c r="AK2677" s="2282"/>
      <c r="AL2677" s="1037"/>
      <c r="AX2677" s="340">
        <v>108.22</v>
      </c>
      <c r="AY2677" s="340" t="s">
        <v>346</v>
      </c>
      <c r="BN2677" s="340">
        <v>910.21</v>
      </c>
      <c r="BO2677" s="340" t="s">
        <v>355</v>
      </c>
      <c r="BP2677" s="1385"/>
      <c r="BV2677" s="236">
        <v>75.03</v>
      </c>
      <c r="BW2677" s="236" t="s">
        <v>331</v>
      </c>
      <c r="CB2677" s="340">
        <v>108.25</v>
      </c>
      <c r="CC2677" s="340" t="s">
        <v>346</v>
      </c>
      <c r="CL2677" s="236">
        <v>155.01</v>
      </c>
      <c r="CM2677" s="236" t="s">
        <v>331</v>
      </c>
      <c r="CR2677" s="340">
        <v>910.16</v>
      </c>
      <c r="CS2677" s="340" t="s">
        <v>355</v>
      </c>
      <c r="CT2677" s="1384"/>
      <c r="DF2677" s="340">
        <v>210</v>
      </c>
      <c r="DG2677" s="340" t="s">
        <v>348</v>
      </c>
      <c r="DV2677" s="340">
        <v>3811.06</v>
      </c>
      <c r="DW2677" s="340" t="s">
        <v>350</v>
      </c>
      <c r="DX2677" s="1671"/>
    </row>
    <row r="2678" spans="12:128">
      <c r="L2678" s="2481">
        <v>3819</v>
      </c>
      <c r="M2678" s="340" t="s">
        <v>350</v>
      </c>
      <c r="N2678" s="1390"/>
      <c r="O2678" s="2479"/>
      <c r="P2678" s="2282"/>
      <c r="AG2678" s="2297">
        <v>3821.14</v>
      </c>
      <c r="AH2678" s="2297" t="s">
        <v>350</v>
      </c>
      <c r="AI2678" s="1390"/>
      <c r="AJ2678" s="2282"/>
      <c r="AK2678" s="2282"/>
      <c r="AL2678" s="1037"/>
      <c r="AX2678" s="340">
        <v>108.24</v>
      </c>
      <c r="AY2678" s="340" t="s">
        <v>346</v>
      </c>
      <c r="BN2678" s="340">
        <v>910.23</v>
      </c>
      <c r="BO2678" s="340" t="s">
        <v>355</v>
      </c>
      <c r="BP2678" s="1385"/>
      <c r="BV2678" s="236">
        <v>76.010000000000005</v>
      </c>
      <c r="BW2678" s="236" t="s">
        <v>331</v>
      </c>
      <c r="CB2678" s="340">
        <v>108.27</v>
      </c>
      <c r="CC2678" s="340" t="s">
        <v>346</v>
      </c>
      <c r="CL2678" s="236">
        <v>155.01</v>
      </c>
      <c r="CM2678" s="236" t="s">
        <v>338</v>
      </c>
      <c r="CR2678" s="340">
        <v>910.17</v>
      </c>
      <c r="CS2678" s="340" t="s">
        <v>355</v>
      </c>
      <c r="CT2678" s="1384"/>
      <c r="DF2678" s="340">
        <v>211</v>
      </c>
      <c r="DG2678" s="340" t="s">
        <v>348</v>
      </c>
      <c r="DV2678" s="340">
        <v>3812.04</v>
      </c>
      <c r="DW2678" s="340" t="s">
        <v>350</v>
      </c>
      <c r="DX2678" s="1671"/>
    </row>
    <row r="2679" spans="12:128">
      <c r="L2679" s="2481">
        <v>3820.07</v>
      </c>
      <c r="M2679" s="340" t="s">
        <v>350</v>
      </c>
      <c r="N2679" s="1390"/>
      <c r="O2679" s="2479"/>
      <c r="P2679" s="2282"/>
      <c r="AG2679" s="2297">
        <v>3821.17</v>
      </c>
      <c r="AH2679" s="2297" t="s">
        <v>350</v>
      </c>
      <c r="AI2679" s="1390"/>
      <c r="AJ2679" s="2282"/>
      <c r="AK2679" s="2282"/>
      <c r="AL2679" s="1037"/>
      <c r="AX2679" s="340">
        <v>108.25</v>
      </c>
      <c r="AY2679" s="340" t="s">
        <v>346</v>
      </c>
      <c r="BN2679" s="340">
        <v>910.25</v>
      </c>
      <c r="BO2679" s="340" t="s">
        <v>355</v>
      </c>
      <c r="BP2679" s="1385"/>
      <c r="BV2679" s="236">
        <v>76.03</v>
      </c>
      <c r="BW2679" s="236" t="s">
        <v>331</v>
      </c>
      <c r="CB2679" s="340">
        <v>108.28</v>
      </c>
      <c r="CC2679" s="340" t="s">
        <v>346</v>
      </c>
      <c r="CL2679" s="236">
        <v>155.02000000000001</v>
      </c>
      <c r="CM2679" s="236" t="s">
        <v>302</v>
      </c>
      <c r="CR2679" s="340">
        <v>910.19</v>
      </c>
      <c r="CS2679" s="340" t="s">
        <v>355</v>
      </c>
      <c r="CT2679" s="1384"/>
      <c r="DF2679" s="340">
        <v>212.01</v>
      </c>
      <c r="DG2679" s="340" t="s">
        <v>348</v>
      </c>
      <c r="DV2679" s="340">
        <v>3813</v>
      </c>
      <c r="DW2679" s="340" t="s">
        <v>350</v>
      </c>
      <c r="DX2679" s="1671"/>
    </row>
    <row r="2680" spans="12:128">
      <c r="L2680" s="2481">
        <v>3820.08</v>
      </c>
      <c r="M2680" s="340" t="s">
        <v>350</v>
      </c>
      <c r="N2680" s="1390"/>
      <c r="O2680" s="2479"/>
      <c r="P2680" s="2282"/>
      <c r="AG2680" s="2297">
        <v>3821.19</v>
      </c>
      <c r="AH2680" s="2297" t="s">
        <v>350</v>
      </c>
      <c r="AI2680" s="1390"/>
      <c r="AJ2680" s="2282"/>
      <c r="AK2680" s="2282"/>
      <c r="AL2680" s="1037"/>
      <c r="AX2680" s="340">
        <v>108.27</v>
      </c>
      <c r="AY2680" s="340" t="s">
        <v>346</v>
      </c>
      <c r="BN2680" s="340">
        <v>910.32</v>
      </c>
      <c r="BO2680" s="340" t="s">
        <v>355</v>
      </c>
      <c r="BP2680" s="1385"/>
      <c r="BV2680" s="236">
        <v>76.05</v>
      </c>
      <c r="BW2680" s="236" t="s">
        <v>331</v>
      </c>
      <c r="CB2680" s="340">
        <v>109</v>
      </c>
      <c r="CC2680" s="340" t="s">
        <v>346</v>
      </c>
      <c r="CL2680" s="236">
        <v>155.02000000000001</v>
      </c>
      <c r="CM2680" s="236" t="s">
        <v>331</v>
      </c>
      <c r="CR2680" s="340">
        <v>910.2</v>
      </c>
      <c r="CS2680" s="340" t="s">
        <v>355</v>
      </c>
      <c r="CT2680" s="1384"/>
      <c r="DF2680" s="340">
        <v>212.03</v>
      </c>
      <c r="DG2680" s="340" t="s">
        <v>348</v>
      </c>
      <c r="DV2680" s="340">
        <v>3815.05</v>
      </c>
      <c r="DW2680" s="340" t="s">
        <v>350</v>
      </c>
      <c r="DX2680" s="1671"/>
    </row>
    <row r="2681" spans="12:128">
      <c r="L2681" s="2481">
        <v>3820.11</v>
      </c>
      <c r="M2681" s="340" t="s">
        <v>350</v>
      </c>
      <c r="N2681" s="1390"/>
      <c r="O2681" s="2479"/>
      <c r="P2681" s="2282"/>
      <c r="AG2681" s="2297">
        <v>3821.2</v>
      </c>
      <c r="AH2681" s="2297" t="s">
        <v>350</v>
      </c>
      <c r="AI2681" s="1390"/>
      <c r="AJ2681" s="2282"/>
      <c r="AK2681" s="2282"/>
      <c r="AL2681" s="1037"/>
      <c r="AX2681" s="340">
        <v>108.28</v>
      </c>
      <c r="AY2681" s="340" t="s">
        <v>346</v>
      </c>
      <c r="BN2681" s="340">
        <v>910.33</v>
      </c>
      <c r="BO2681" s="340" t="s">
        <v>355</v>
      </c>
      <c r="BP2681" s="1385"/>
      <c r="BV2681" s="236">
        <v>76.069999999999993</v>
      </c>
      <c r="BW2681" s="236" t="s">
        <v>331</v>
      </c>
      <c r="CB2681" s="340">
        <v>1.03</v>
      </c>
      <c r="CC2681" s="340" t="s">
        <v>347</v>
      </c>
      <c r="CL2681" s="236">
        <v>156</v>
      </c>
      <c r="CM2681" s="236" t="s">
        <v>302</v>
      </c>
      <c r="CR2681" s="340">
        <v>910.21</v>
      </c>
      <c r="CS2681" s="340" t="s">
        <v>355</v>
      </c>
      <c r="CT2681" s="1384"/>
      <c r="DF2681" s="340">
        <v>212.05</v>
      </c>
      <c r="DG2681" s="340" t="s">
        <v>348</v>
      </c>
      <c r="DV2681" s="340">
        <v>3815.06</v>
      </c>
      <c r="DW2681" s="340" t="s">
        <v>350</v>
      </c>
      <c r="DX2681" s="1671"/>
    </row>
    <row r="2682" spans="12:128">
      <c r="L2682" s="2481">
        <v>3820.14</v>
      </c>
      <c r="M2682" s="340" t="s">
        <v>350</v>
      </c>
      <c r="N2682" s="1390"/>
      <c r="O2682" s="2479"/>
      <c r="P2682" s="2282"/>
      <c r="AG2682" s="2297">
        <v>3821.21</v>
      </c>
      <c r="AH2682" s="2297" t="s">
        <v>350</v>
      </c>
      <c r="AI2682" s="1390"/>
      <c r="AJ2682" s="2282"/>
      <c r="AK2682" s="2282"/>
      <c r="AL2682" s="1037"/>
      <c r="AX2682" s="340">
        <v>109</v>
      </c>
      <c r="AY2682" s="340" t="s">
        <v>346</v>
      </c>
      <c r="BN2682" s="340">
        <v>910.34</v>
      </c>
      <c r="BO2682" s="340" t="s">
        <v>355</v>
      </c>
      <c r="BP2682" s="1385"/>
      <c r="BV2682" s="236">
        <v>76.08</v>
      </c>
      <c r="BW2682" s="236" t="s">
        <v>331</v>
      </c>
      <c r="CB2682" s="340">
        <v>1.04</v>
      </c>
      <c r="CC2682" s="340" t="s">
        <v>347</v>
      </c>
      <c r="CL2682" s="236">
        <v>156</v>
      </c>
      <c r="CM2682" s="236" t="s">
        <v>331</v>
      </c>
      <c r="CR2682" s="340">
        <v>910.23</v>
      </c>
      <c r="CS2682" s="340" t="s">
        <v>355</v>
      </c>
      <c r="CT2682" s="1384"/>
      <c r="DF2682" s="340">
        <v>212.06</v>
      </c>
      <c r="DG2682" s="340" t="s">
        <v>348</v>
      </c>
      <c r="DV2682" s="340">
        <v>3815.08</v>
      </c>
      <c r="DW2682" s="340" t="s">
        <v>350</v>
      </c>
      <c r="DX2682" s="1671"/>
    </row>
    <row r="2683" spans="12:128">
      <c r="L2683" s="2481">
        <v>3820.16</v>
      </c>
      <c r="M2683" s="340" t="s">
        <v>350</v>
      </c>
      <c r="N2683" s="1390"/>
      <c r="O2683" s="2479"/>
      <c r="P2683" s="2282"/>
      <c r="AG2683" s="2297">
        <v>3821.23</v>
      </c>
      <c r="AH2683" s="2297" t="s">
        <v>350</v>
      </c>
      <c r="AI2683" s="1390"/>
      <c r="AJ2683" s="2282"/>
      <c r="AK2683" s="2282"/>
      <c r="AL2683" s="1037"/>
      <c r="AX2683" s="340">
        <v>1.03</v>
      </c>
      <c r="AY2683" s="340" t="s">
        <v>347</v>
      </c>
      <c r="BN2683" s="340">
        <v>910.35</v>
      </c>
      <c r="BO2683" s="340" t="s">
        <v>355</v>
      </c>
      <c r="BP2683" s="1385"/>
      <c r="BV2683" s="236">
        <v>76.09</v>
      </c>
      <c r="BW2683" s="236" t="s">
        <v>331</v>
      </c>
      <c r="CB2683" s="340">
        <v>4.05</v>
      </c>
      <c r="CC2683" s="340" t="s">
        <v>347</v>
      </c>
      <c r="CL2683" s="236">
        <v>156</v>
      </c>
      <c r="CM2683" s="236" t="s">
        <v>344</v>
      </c>
      <c r="CR2683" s="340">
        <v>910.25</v>
      </c>
      <c r="CS2683" s="340" t="s">
        <v>355</v>
      </c>
      <c r="CT2683" s="1384"/>
      <c r="DF2683" s="340">
        <v>213.06</v>
      </c>
      <c r="DG2683" s="340" t="s">
        <v>348</v>
      </c>
      <c r="DV2683" s="340">
        <v>3816.02</v>
      </c>
      <c r="DW2683" s="340" t="s">
        <v>350</v>
      </c>
      <c r="DX2683" s="1671"/>
    </row>
    <row r="2684" spans="12:128">
      <c r="L2684" s="2481">
        <v>3821.1</v>
      </c>
      <c r="M2684" s="340" t="s">
        <v>350</v>
      </c>
      <c r="N2684" s="1390"/>
      <c r="O2684" s="2479"/>
      <c r="P2684" s="2282"/>
      <c r="AG2684" s="2297">
        <v>3821.26</v>
      </c>
      <c r="AH2684" s="2297" t="s">
        <v>350</v>
      </c>
      <c r="AI2684" s="1390"/>
      <c r="AJ2684" s="2282"/>
      <c r="AK2684" s="2282"/>
      <c r="AL2684" s="1037"/>
      <c r="AX2684" s="340">
        <v>1.04</v>
      </c>
      <c r="AY2684" s="340" t="s">
        <v>347</v>
      </c>
      <c r="BN2684" s="340">
        <v>910.36</v>
      </c>
      <c r="BO2684" s="340" t="s">
        <v>355</v>
      </c>
      <c r="BP2684" s="1385"/>
      <c r="BV2684" s="236">
        <v>76.099999999999994</v>
      </c>
      <c r="BW2684" s="236" t="s">
        <v>331</v>
      </c>
      <c r="CB2684" s="340">
        <v>5.01</v>
      </c>
      <c r="CC2684" s="340" t="s">
        <v>347</v>
      </c>
      <c r="CL2684" s="236">
        <v>156.01</v>
      </c>
      <c r="CM2684" s="236" t="s">
        <v>338</v>
      </c>
      <c r="CR2684" s="340">
        <v>910.29</v>
      </c>
      <c r="CS2684" s="340" t="s">
        <v>355</v>
      </c>
      <c r="CT2684" s="1384"/>
      <c r="DF2684" s="340">
        <v>213.07</v>
      </c>
      <c r="DG2684" s="340" t="s">
        <v>348</v>
      </c>
      <c r="DV2684" s="340">
        <v>3816.03</v>
      </c>
      <c r="DW2684" s="340" t="s">
        <v>350</v>
      </c>
      <c r="DX2684" s="1671"/>
    </row>
    <row r="2685" spans="12:128">
      <c r="L2685" s="2481">
        <v>3821.12</v>
      </c>
      <c r="M2685" s="340" t="s">
        <v>350</v>
      </c>
      <c r="N2685" s="1390"/>
      <c r="O2685" s="2479"/>
      <c r="P2685" s="2282"/>
      <c r="AG2685" s="2297">
        <v>3821.27</v>
      </c>
      <c r="AH2685" s="2297" t="s">
        <v>350</v>
      </c>
      <c r="AI2685" s="1390"/>
      <c r="AJ2685" s="2282"/>
      <c r="AK2685" s="2282"/>
      <c r="AL2685" s="1037"/>
      <c r="AX2685" s="340">
        <v>4.04</v>
      </c>
      <c r="AY2685" s="340" t="s">
        <v>347</v>
      </c>
      <c r="BN2685" s="340">
        <v>910.37</v>
      </c>
      <c r="BO2685" s="340" t="s">
        <v>355</v>
      </c>
      <c r="BP2685" s="1385"/>
      <c r="BV2685" s="236">
        <v>77.040000000000006</v>
      </c>
      <c r="BW2685" s="236" t="s">
        <v>331</v>
      </c>
      <c r="CB2685" s="340">
        <v>5.0199999999999996</v>
      </c>
      <c r="CC2685" s="340" t="s">
        <v>347</v>
      </c>
      <c r="CL2685" s="236">
        <v>156.02000000000001</v>
      </c>
      <c r="CM2685" s="236" t="s">
        <v>338</v>
      </c>
      <c r="CR2685" s="340">
        <v>910.32</v>
      </c>
      <c r="CS2685" s="340" t="s">
        <v>355</v>
      </c>
      <c r="CT2685" s="1384"/>
      <c r="DF2685" s="340">
        <v>213.11</v>
      </c>
      <c r="DG2685" s="340" t="s">
        <v>348</v>
      </c>
      <c r="DV2685" s="340">
        <v>3816.04</v>
      </c>
      <c r="DW2685" s="340" t="s">
        <v>350</v>
      </c>
      <c r="DX2685" s="1671"/>
    </row>
    <row r="2686" spans="12:128">
      <c r="L2686" s="2481">
        <v>3821.14</v>
      </c>
      <c r="M2686" s="340" t="s">
        <v>350</v>
      </c>
      <c r="N2686" s="1390"/>
      <c r="O2686" s="2479"/>
      <c r="P2686" s="2282"/>
      <c r="AG2686" s="2297">
        <v>3821.28</v>
      </c>
      <c r="AH2686" s="2297" t="s">
        <v>350</v>
      </c>
      <c r="AI2686" s="1390"/>
      <c r="AJ2686" s="2282"/>
      <c r="AK2686" s="2282"/>
      <c r="AL2686" s="1037"/>
      <c r="AX2686" s="340">
        <v>4.05</v>
      </c>
      <c r="AY2686" s="340" t="s">
        <v>347</v>
      </c>
      <c r="BN2686" s="340">
        <v>910.38</v>
      </c>
      <c r="BO2686" s="340" t="s">
        <v>355</v>
      </c>
      <c r="BP2686" s="1385"/>
      <c r="BV2686" s="236">
        <v>77.05</v>
      </c>
      <c r="BW2686" s="236" t="s">
        <v>331</v>
      </c>
      <c r="CB2686" s="340">
        <v>6.01</v>
      </c>
      <c r="CC2686" s="340" t="s">
        <v>347</v>
      </c>
      <c r="CL2686" s="236">
        <v>157</v>
      </c>
      <c r="CM2686" s="236" t="s">
        <v>331</v>
      </c>
      <c r="CR2686" s="340">
        <v>910.33</v>
      </c>
      <c r="CS2686" s="340" t="s">
        <v>355</v>
      </c>
      <c r="CT2686" s="1384"/>
      <c r="DF2686" s="340">
        <v>213.12</v>
      </c>
      <c r="DG2686" s="340" t="s">
        <v>348</v>
      </c>
      <c r="DV2686" s="340">
        <v>3817.01</v>
      </c>
      <c r="DW2686" s="340" t="s">
        <v>350</v>
      </c>
      <c r="DX2686" s="1671"/>
    </row>
    <row r="2687" spans="12:128">
      <c r="L2687" s="2481">
        <v>3821.17</v>
      </c>
      <c r="M2687" s="340" t="s">
        <v>350</v>
      </c>
      <c r="N2687" s="1390"/>
      <c r="O2687" s="2479"/>
      <c r="P2687" s="2282"/>
      <c r="AG2687" s="2297">
        <v>3821.3</v>
      </c>
      <c r="AH2687" s="2297" t="s">
        <v>350</v>
      </c>
      <c r="AI2687" s="1390"/>
      <c r="AJ2687" s="2282"/>
      <c r="AK2687" s="2282"/>
      <c r="AL2687" s="1037"/>
      <c r="AX2687" s="340">
        <v>5.01</v>
      </c>
      <c r="AY2687" s="340" t="s">
        <v>347</v>
      </c>
      <c r="BN2687" s="340">
        <v>910.39</v>
      </c>
      <c r="BO2687" s="340" t="s">
        <v>355</v>
      </c>
      <c r="BP2687" s="1385"/>
      <c r="BV2687" s="236">
        <v>77.06</v>
      </c>
      <c r="BW2687" s="236" t="s">
        <v>331</v>
      </c>
      <c r="CB2687" s="340">
        <v>6.02</v>
      </c>
      <c r="CC2687" s="340" t="s">
        <v>347</v>
      </c>
      <c r="CL2687" s="236">
        <v>157.01</v>
      </c>
      <c r="CM2687" s="236" t="s">
        <v>302</v>
      </c>
      <c r="CR2687" s="340">
        <v>910.35</v>
      </c>
      <c r="CS2687" s="340" t="s">
        <v>355</v>
      </c>
      <c r="CT2687" s="1384"/>
      <c r="DF2687" s="340">
        <v>213.13</v>
      </c>
      <c r="DG2687" s="340" t="s">
        <v>348</v>
      </c>
      <c r="DV2687" s="340">
        <v>3817.02</v>
      </c>
      <c r="DW2687" s="340" t="s">
        <v>350</v>
      </c>
      <c r="DX2687" s="1671"/>
    </row>
    <row r="2688" spans="12:128">
      <c r="L2688" s="2481">
        <v>3821.19</v>
      </c>
      <c r="M2688" s="340" t="s">
        <v>350</v>
      </c>
      <c r="N2688" s="1390"/>
      <c r="O2688" s="2479"/>
      <c r="P2688" s="2282"/>
      <c r="AG2688" s="2297">
        <v>3822.02</v>
      </c>
      <c r="AH2688" s="2297" t="s">
        <v>350</v>
      </c>
      <c r="AI2688" s="1390"/>
      <c r="AJ2688" s="2282"/>
      <c r="AK2688" s="2282"/>
      <c r="AL2688" s="1037"/>
      <c r="AX2688" s="340">
        <v>5.0199999999999996</v>
      </c>
      <c r="AY2688" s="340" t="s">
        <v>347</v>
      </c>
      <c r="BN2688" s="340">
        <v>917.01</v>
      </c>
      <c r="BO2688" s="340" t="s">
        <v>289</v>
      </c>
      <c r="BP2688" s="1385"/>
      <c r="BV2688" s="236">
        <v>77.069999999999993</v>
      </c>
      <c r="BW2688" s="236" t="s">
        <v>331</v>
      </c>
      <c r="CB2688" s="340">
        <v>7</v>
      </c>
      <c r="CC2688" s="340" t="s">
        <v>347</v>
      </c>
      <c r="CL2688" s="236">
        <v>157.01</v>
      </c>
      <c r="CM2688" s="236" t="s">
        <v>338</v>
      </c>
      <c r="CR2688" s="340">
        <v>910.36</v>
      </c>
      <c r="CS2688" s="340" t="s">
        <v>355</v>
      </c>
      <c r="CT2688" s="1384"/>
      <c r="DF2688" s="340">
        <v>213.14</v>
      </c>
      <c r="DG2688" s="340" t="s">
        <v>348</v>
      </c>
      <c r="DV2688" s="340">
        <v>3819</v>
      </c>
      <c r="DW2688" s="340" t="s">
        <v>350</v>
      </c>
      <c r="DX2688" s="1671"/>
    </row>
    <row r="2689" spans="12:128">
      <c r="L2689" s="2481">
        <v>3821.2</v>
      </c>
      <c r="M2689" s="340" t="s">
        <v>350</v>
      </c>
      <c r="N2689" s="1390"/>
      <c r="O2689" s="2479"/>
      <c r="P2689" s="2282"/>
      <c r="AG2689" s="2297">
        <v>4501.03</v>
      </c>
      <c r="AH2689" s="2297" t="s">
        <v>295</v>
      </c>
      <c r="AI2689" s="1390"/>
      <c r="AJ2689" s="2282"/>
      <c r="AK2689" s="2282"/>
      <c r="AL2689" s="1037"/>
      <c r="AX2689" s="340">
        <v>6.01</v>
      </c>
      <c r="AY2689" s="340" t="s">
        <v>347</v>
      </c>
      <c r="BN2689" s="340">
        <v>917.02</v>
      </c>
      <c r="BO2689" s="340" t="s">
        <v>289</v>
      </c>
      <c r="BP2689" s="1385"/>
      <c r="BV2689" s="236">
        <v>77.08</v>
      </c>
      <c r="BW2689" s="236" t="s">
        <v>331</v>
      </c>
      <c r="CB2689" s="340">
        <v>8.01</v>
      </c>
      <c r="CC2689" s="340" t="s">
        <v>347</v>
      </c>
      <c r="CL2689" s="236">
        <v>157.01</v>
      </c>
      <c r="CM2689" s="236" t="s">
        <v>344</v>
      </c>
      <c r="CR2689" s="340">
        <v>910.37</v>
      </c>
      <c r="CS2689" s="340" t="s">
        <v>355</v>
      </c>
      <c r="CT2689" s="1384"/>
      <c r="DF2689" s="340">
        <v>213.16</v>
      </c>
      <c r="DG2689" s="340" t="s">
        <v>348</v>
      </c>
      <c r="DV2689" s="340">
        <v>3820.07</v>
      </c>
      <c r="DW2689" s="340" t="s">
        <v>350</v>
      </c>
      <c r="DX2689" s="1671"/>
    </row>
    <row r="2690" spans="12:128">
      <c r="L2690" s="2481">
        <v>3821.21</v>
      </c>
      <c r="M2690" s="340" t="s">
        <v>350</v>
      </c>
      <c r="N2690" s="1390"/>
      <c r="O2690" s="2479"/>
      <c r="P2690" s="2282"/>
      <c r="AG2690" s="2297">
        <v>4501.04</v>
      </c>
      <c r="AH2690" s="2297" t="s">
        <v>295</v>
      </c>
      <c r="AI2690" s="1390"/>
      <c r="AJ2690" s="2282"/>
      <c r="AK2690" s="2282"/>
      <c r="AL2690" s="1037"/>
      <c r="AX2690" s="340">
        <v>6.02</v>
      </c>
      <c r="AY2690" s="340" t="s">
        <v>347</v>
      </c>
      <c r="BN2690" s="340">
        <v>918.04</v>
      </c>
      <c r="BO2690" s="340" t="s">
        <v>289</v>
      </c>
      <c r="BP2690" s="1385"/>
      <c r="BV2690" s="236">
        <v>77.09</v>
      </c>
      <c r="BW2690" s="236" t="s">
        <v>331</v>
      </c>
      <c r="CB2690" s="340">
        <v>8.02</v>
      </c>
      <c r="CC2690" s="340" t="s">
        <v>347</v>
      </c>
      <c r="CL2690" s="236">
        <v>157.02000000000001</v>
      </c>
      <c r="CM2690" s="236" t="s">
        <v>302</v>
      </c>
      <c r="CR2690" s="340">
        <v>910.38</v>
      </c>
      <c r="CS2690" s="340" t="s">
        <v>355</v>
      </c>
      <c r="CT2690" s="1384"/>
      <c r="DF2690" s="340">
        <v>213.17</v>
      </c>
      <c r="DG2690" s="340" t="s">
        <v>348</v>
      </c>
      <c r="DV2690" s="340">
        <v>3820.08</v>
      </c>
      <c r="DW2690" s="340" t="s">
        <v>350</v>
      </c>
      <c r="DX2690" s="1671"/>
    </row>
    <row r="2691" spans="12:128">
      <c r="L2691" s="2481">
        <v>3821.23</v>
      </c>
      <c r="M2691" s="340" t="s">
        <v>350</v>
      </c>
      <c r="N2691" s="1390"/>
      <c r="O2691" s="2479"/>
      <c r="P2691" s="2282"/>
      <c r="AG2691" s="2297">
        <v>4503.05</v>
      </c>
      <c r="AH2691" s="2297" t="s">
        <v>295</v>
      </c>
      <c r="AI2691" s="1390"/>
      <c r="AJ2691" s="2282"/>
      <c r="AK2691" s="2282"/>
      <c r="AL2691" s="1037"/>
      <c r="AX2691" s="340">
        <v>7</v>
      </c>
      <c r="AY2691" s="340" t="s">
        <v>347</v>
      </c>
      <c r="BN2691" s="340">
        <v>919.01</v>
      </c>
      <c r="BO2691" s="340" t="s">
        <v>289</v>
      </c>
      <c r="BP2691" s="1385"/>
      <c r="BV2691" s="236">
        <v>78.010000000000005</v>
      </c>
      <c r="BW2691" s="236" t="s">
        <v>331</v>
      </c>
      <c r="CB2691" s="340">
        <v>9</v>
      </c>
      <c r="CC2691" s="340" t="s">
        <v>347</v>
      </c>
      <c r="CL2691" s="236">
        <v>157.02000000000001</v>
      </c>
      <c r="CM2691" s="236" t="s">
        <v>338</v>
      </c>
      <c r="CR2691" s="340">
        <v>917.02</v>
      </c>
      <c r="CS2691" s="340" t="s">
        <v>289</v>
      </c>
      <c r="CT2691" s="1384"/>
      <c r="DF2691" s="340">
        <v>213.18</v>
      </c>
      <c r="DG2691" s="340" t="s">
        <v>348</v>
      </c>
      <c r="DV2691" s="340">
        <v>3820.09</v>
      </c>
      <c r="DW2691" s="340" t="s">
        <v>350</v>
      </c>
      <c r="DX2691" s="1671"/>
    </row>
    <row r="2692" spans="12:128">
      <c r="L2692" s="2481">
        <v>3821.26</v>
      </c>
      <c r="M2692" s="340" t="s">
        <v>350</v>
      </c>
      <c r="N2692" s="1390"/>
      <c r="O2692" s="2479"/>
      <c r="P2692" s="2282"/>
      <c r="AG2692" s="2297">
        <v>4503.0600000000004</v>
      </c>
      <c r="AH2692" s="2297" t="s">
        <v>295</v>
      </c>
      <c r="AI2692" s="1390"/>
      <c r="AJ2692" s="2282"/>
      <c r="AK2692" s="2282"/>
      <c r="AL2692" s="1037"/>
      <c r="AX2692" s="340">
        <v>8.01</v>
      </c>
      <c r="AY2692" s="340" t="s">
        <v>347</v>
      </c>
      <c r="BN2692" s="340">
        <v>919.03</v>
      </c>
      <c r="BO2692" s="340" t="s">
        <v>289</v>
      </c>
      <c r="BP2692" s="1385"/>
      <c r="BV2692" s="236">
        <v>78.05</v>
      </c>
      <c r="BW2692" s="236" t="s">
        <v>331</v>
      </c>
      <c r="CB2692" s="340">
        <v>12.03</v>
      </c>
      <c r="CC2692" s="340" t="s">
        <v>347</v>
      </c>
      <c r="CL2692" s="236">
        <v>157.02000000000001</v>
      </c>
      <c r="CM2692" s="236" t="s">
        <v>344</v>
      </c>
      <c r="CR2692" s="340">
        <v>918.04</v>
      </c>
      <c r="CS2692" s="340" t="s">
        <v>289</v>
      </c>
      <c r="CT2692" s="1384"/>
      <c r="DF2692" s="340">
        <v>213.19</v>
      </c>
      <c r="DG2692" s="340" t="s">
        <v>348</v>
      </c>
      <c r="DV2692" s="340">
        <v>3820.11</v>
      </c>
      <c r="DW2692" s="340" t="s">
        <v>350</v>
      </c>
      <c r="DX2692" s="1671"/>
    </row>
    <row r="2693" spans="12:128">
      <c r="L2693" s="2481">
        <v>3821.27</v>
      </c>
      <c r="M2693" s="340" t="s">
        <v>350</v>
      </c>
      <c r="N2693" s="1390"/>
      <c r="O2693" s="2479"/>
      <c r="P2693" s="2282"/>
      <c r="AG2693" s="2297">
        <v>4503.07</v>
      </c>
      <c r="AH2693" s="2297" t="s">
        <v>295</v>
      </c>
      <c r="AI2693" s="1390"/>
      <c r="AJ2693" s="2282"/>
      <c r="AK2693" s="2282"/>
      <c r="AL2693" s="1037"/>
      <c r="AX2693" s="340">
        <v>8.02</v>
      </c>
      <c r="AY2693" s="340" t="s">
        <v>347</v>
      </c>
      <c r="BN2693" s="340">
        <v>920</v>
      </c>
      <c r="BO2693" s="340" t="s">
        <v>289</v>
      </c>
      <c r="BP2693" s="1385"/>
      <c r="BV2693" s="236">
        <v>78.06</v>
      </c>
      <c r="BW2693" s="236" t="s">
        <v>331</v>
      </c>
      <c r="CB2693" s="340">
        <v>12.04</v>
      </c>
      <c r="CC2693" s="340" t="s">
        <v>347</v>
      </c>
      <c r="CL2693" s="236">
        <v>158</v>
      </c>
      <c r="CM2693" s="236" t="s">
        <v>331</v>
      </c>
      <c r="CR2693" s="340">
        <v>919.01</v>
      </c>
      <c r="CS2693" s="340" t="s">
        <v>289</v>
      </c>
      <c r="CT2693" s="1384"/>
      <c r="DF2693" s="340">
        <v>213.2</v>
      </c>
      <c r="DG2693" s="340" t="s">
        <v>348</v>
      </c>
      <c r="DV2693" s="340">
        <v>3820.12</v>
      </c>
      <c r="DW2693" s="340" t="s">
        <v>350</v>
      </c>
      <c r="DX2693" s="1671"/>
    </row>
    <row r="2694" spans="12:128">
      <c r="L2694" s="2481">
        <v>3821.28</v>
      </c>
      <c r="M2694" s="340" t="s">
        <v>350</v>
      </c>
      <c r="N2694" s="1390"/>
      <c r="O2694" s="2479"/>
      <c r="P2694" s="2282"/>
      <c r="AG2694" s="2297">
        <v>4503.08</v>
      </c>
      <c r="AH2694" s="2297" t="s">
        <v>295</v>
      </c>
      <c r="AI2694" s="1390"/>
      <c r="AJ2694" s="2282"/>
      <c r="AK2694" s="2282"/>
      <c r="AL2694" s="1037"/>
      <c r="AX2694" s="340">
        <v>9</v>
      </c>
      <c r="AY2694" s="340" t="s">
        <v>347</v>
      </c>
      <c r="BN2694" s="340">
        <v>925</v>
      </c>
      <c r="BO2694" s="340" t="s">
        <v>355</v>
      </c>
      <c r="BP2694" s="1385"/>
      <c r="BV2694" s="236">
        <v>78.069999999999993</v>
      </c>
      <c r="BW2694" s="236" t="s">
        <v>331</v>
      </c>
      <c r="CB2694" s="340">
        <v>12.05</v>
      </c>
      <c r="CC2694" s="340" t="s">
        <v>347</v>
      </c>
      <c r="CL2694" s="236">
        <v>158.01</v>
      </c>
      <c r="CM2694" s="236" t="s">
        <v>338</v>
      </c>
      <c r="CR2694" s="340">
        <v>920</v>
      </c>
      <c r="CS2694" s="340" t="s">
        <v>289</v>
      </c>
      <c r="CT2694" s="1384"/>
      <c r="DF2694" s="340">
        <v>213.21</v>
      </c>
      <c r="DG2694" s="340" t="s">
        <v>348</v>
      </c>
      <c r="DV2694" s="340">
        <v>3820.14</v>
      </c>
      <c r="DW2694" s="340" t="s">
        <v>350</v>
      </c>
      <c r="DX2694" s="1671"/>
    </row>
    <row r="2695" spans="12:128">
      <c r="L2695" s="2481">
        <v>3821.3</v>
      </c>
      <c r="M2695" s="340" t="s">
        <v>350</v>
      </c>
      <c r="N2695" s="1390"/>
      <c r="O2695" s="2479"/>
      <c r="P2695" s="2282"/>
      <c r="AG2695" s="2297">
        <v>4503.09</v>
      </c>
      <c r="AH2695" s="2297" t="s">
        <v>295</v>
      </c>
      <c r="AI2695" s="1390"/>
      <c r="AJ2695" s="2282"/>
      <c r="AK2695" s="2282"/>
      <c r="AL2695" s="1037"/>
      <c r="AX2695" s="340">
        <v>12.02</v>
      </c>
      <c r="AY2695" s="340" t="s">
        <v>347</v>
      </c>
      <c r="BN2695" s="340">
        <v>1001.05</v>
      </c>
      <c r="BO2695" s="340" t="s">
        <v>289</v>
      </c>
      <c r="BP2695" s="1385"/>
      <c r="BV2695" s="236">
        <v>78.08</v>
      </c>
      <c r="BW2695" s="236" t="s">
        <v>331</v>
      </c>
      <c r="CB2695" s="340">
        <v>12.06</v>
      </c>
      <c r="CC2695" s="340" t="s">
        <v>347</v>
      </c>
      <c r="CL2695" s="236">
        <v>158.01</v>
      </c>
      <c r="CM2695" s="236" t="s">
        <v>344</v>
      </c>
      <c r="CR2695" s="340">
        <v>1001.05</v>
      </c>
      <c r="CS2695" s="340" t="s">
        <v>289</v>
      </c>
      <c r="CT2695" s="1384"/>
      <c r="DF2695" s="340">
        <v>214.03</v>
      </c>
      <c r="DG2695" s="340" t="s">
        <v>348</v>
      </c>
      <c r="DV2695" s="340">
        <v>3820.16</v>
      </c>
      <c r="DW2695" s="340" t="s">
        <v>350</v>
      </c>
      <c r="DX2695" s="1671"/>
    </row>
    <row r="2696" spans="12:128">
      <c r="L2696" s="2481">
        <v>3822.02</v>
      </c>
      <c r="M2696" s="340" t="s">
        <v>350</v>
      </c>
      <c r="N2696" s="1390"/>
      <c r="O2696" s="2479"/>
      <c r="P2696" s="2282"/>
      <c r="AG2696" s="2297">
        <v>4503.1000000000004</v>
      </c>
      <c r="AH2696" s="2297" t="s">
        <v>295</v>
      </c>
      <c r="AI2696" s="1390"/>
      <c r="AJ2696" s="2282"/>
      <c r="AK2696" s="2282"/>
      <c r="AL2696" s="1037"/>
      <c r="AX2696" s="340">
        <v>12.03</v>
      </c>
      <c r="AY2696" s="340" t="s">
        <v>347</v>
      </c>
      <c r="BN2696" s="340">
        <v>1001.06</v>
      </c>
      <c r="BO2696" s="340" t="s">
        <v>289</v>
      </c>
      <c r="BP2696" s="1385"/>
      <c r="BV2696" s="236">
        <v>78.09</v>
      </c>
      <c r="BW2696" s="236" t="s">
        <v>331</v>
      </c>
      <c r="CB2696" s="340">
        <v>13.01</v>
      </c>
      <c r="CC2696" s="340" t="s">
        <v>347</v>
      </c>
      <c r="CL2696" s="236">
        <v>158.02000000000001</v>
      </c>
      <c r="CM2696" s="236" t="s">
        <v>338</v>
      </c>
      <c r="CR2696" s="340">
        <v>1001.06</v>
      </c>
      <c r="CS2696" s="340" t="s">
        <v>289</v>
      </c>
      <c r="CT2696" s="1384"/>
      <c r="DF2696" s="340">
        <v>214.04</v>
      </c>
      <c r="DG2696" s="340" t="s">
        <v>348</v>
      </c>
      <c r="DV2696" s="340">
        <v>3821.1</v>
      </c>
      <c r="DW2696" s="340" t="s">
        <v>350</v>
      </c>
      <c r="DX2696" s="1671"/>
    </row>
    <row r="2697" spans="12:128">
      <c r="L2697" s="2481">
        <v>9101</v>
      </c>
      <c r="M2697" s="340" t="s">
        <v>351</v>
      </c>
      <c r="N2697" s="1390"/>
      <c r="O2697" s="2479"/>
      <c r="P2697" s="2282"/>
      <c r="AG2697" s="2297">
        <v>4507.03</v>
      </c>
      <c r="AH2697" s="2297" t="s">
        <v>295</v>
      </c>
      <c r="AI2697" s="1390"/>
      <c r="AJ2697" s="2282"/>
      <c r="AK2697" s="2282"/>
      <c r="AL2697" s="1037"/>
      <c r="AX2697" s="340">
        <v>12.04</v>
      </c>
      <c r="AY2697" s="340" t="s">
        <v>347</v>
      </c>
      <c r="BN2697" s="340">
        <v>1001.07</v>
      </c>
      <c r="BO2697" s="340" t="s">
        <v>289</v>
      </c>
      <c r="BP2697" s="1385"/>
      <c r="BV2697" s="236">
        <v>79.010000000000005</v>
      </c>
      <c r="BW2697" s="236" t="s">
        <v>331</v>
      </c>
      <c r="CB2697" s="340">
        <v>13.02</v>
      </c>
      <c r="CC2697" s="340" t="s">
        <v>347</v>
      </c>
      <c r="CL2697" s="236">
        <v>158.02000000000001</v>
      </c>
      <c r="CM2697" s="236" t="s">
        <v>344</v>
      </c>
      <c r="CR2697" s="340">
        <v>1001.07</v>
      </c>
      <c r="CS2697" s="340" t="s">
        <v>289</v>
      </c>
      <c r="CT2697" s="1384"/>
      <c r="DF2697" s="340">
        <v>215.05</v>
      </c>
      <c r="DG2697" s="340" t="s">
        <v>348</v>
      </c>
      <c r="DV2697" s="340">
        <v>3821.14</v>
      </c>
      <c r="DW2697" s="340" t="s">
        <v>350</v>
      </c>
      <c r="DX2697" s="1671"/>
    </row>
    <row r="2698" spans="12:128">
      <c r="L2698" s="2481">
        <v>9103</v>
      </c>
      <c r="M2698" s="340" t="s">
        <v>351</v>
      </c>
      <c r="N2698" s="1390"/>
      <c r="O2698" s="2479"/>
      <c r="P2698" s="2282"/>
      <c r="AG2698" s="2297">
        <v>4507.05</v>
      </c>
      <c r="AH2698" s="2297" t="s">
        <v>295</v>
      </c>
      <c r="AI2698" s="1390"/>
      <c r="AJ2698" s="2282"/>
      <c r="AK2698" s="2282"/>
      <c r="AL2698" s="1037"/>
      <c r="AX2698" s="340">
        <v>12.05</v>
      </c>
      <c r="AY2698" s="340" t="s">
        <v>347</v>
      </c>
      <c r="BN2698" s="340">
        <v>1001.08</v>
      </c>
      <c r="BO2698" s="340" t="s">
        <v>289</v>
      </c>
      <c r="BP2698" s="1385"/>
      <c r="BV2698" s="236">
        <v>79.02</v>
      </c>
      <c r="BW2698" s="236" t="s">
        <v>331</v>
      </c>
      <c r="CB2698" s="340">
        <v>13.03</v>
      </c>
      <c r="CC2698" s="340" t="s">
        <v>347</v>
      </c>
      <c r="CL2698" s="236">
        <v>158.03</v>
      </c>
      <c r="CM2698" s="236" t="s">
        <v>302</v>
      </c>
      <c r="CR2698" s="340">
        <v>1001.08</v>
      </c>
      <c r="CS2698" s="340" t="s">
        <v>289</v>
      </c>
      <c r="CT2698" s="1384"/>
      <c r="DF2698" s="340">
        <v>216.04</v>
      </c>
      <c r="DG2698" s="340" t="s">
        <v>348</v>
      </c>
      <c r="DV2698" s="340">
        <v>3821.18</v>
      </c>
      <c r="DW2698" s="340" t="s">
        <v>350</v>
      </c>
      <c r="DX2698" s="1671"/>
    </row>
    <row r="2699" spans="12:128">
      <c r="L2699" s="2481">
        <v>9107.02</v>
      </c>
      <c r="M2699" s="340" t="s">
        <v>351</v>
      </c>
      <c r="N2699" s="1390"/>
      <c r="O2699" s="2479"/>
      <c r="P2699" s="2282"/>
      <c r="AG2699" s="2297">
        <v>4507.0600000000004</v>
      </c>
      <c r="AH2699" s="2297" t="s">
        <v>295</v>
      </c>
      <c r="AI2699" s="1390"/>
      <c r="AJ2699" s="2282"/>
      <c r="AK2699" s="2282"/>
      <c r="AL2699" s="1037"/>
      <c r="AX2699" s="340">
        <v>12.06</v>
      </c>
      <c r="AY2699" s="340" t="s">
        <v>347</v>
      </c>
      <c r="BN2699" s="340">
        <v>1101</v>
      </c>
      <c r="BO2699" s="340" t="s">
        <v>327</v>
      </c>
      <c r="BP2699" s="1385"/>
      <c r="BV2699" s="236">
        <v>80</v>
      </c>
      <c r="BW2699" s="236" t="s">
        <v>331</v>
      </c>
      <c r="CB2699" s="340">
        <v>13.04</v>
      </c>
      <c r="CC2699" s="340" t="s">
        <v>347</v>
      </c>
      <c r="CL2699" s="236">
        <v>158.04</v>
      </c>
      <c r="CM2699" s="236" t="s">
        <v>302</v>
      </c>
      <c r="CR2699" s="340">
        <v>1101</v>
      </c>
      <c r="CS2699" s="340" t="s">
        <v>327</v>
      </c>
      <c r="CT2699" s="1384"/>
      <c r="DF2699" s="340">
        <v>216.09</v>
      </c>
      <c r="DG2699" s="340" t="s">
        <v>348</v>
      </c>
      <c r="DV2699" s="340">
        <v>3821.19</v>
      </c>
      <c r="DW2699" s="340" t="s">
        <v>350</v>
      </c>
      <c r="DX2699" s="1671"/>
    </row>
    <row r="2700" spans="12:128">
      <c r="L2700" s="2481">
        <v>9108</v>
      </c>
      <c r="M2700" s="340" t="s">
        <v>351</v>
      </c>
      <c r="N2700" s="1390"/>
      <c r="O2700" s="2479"/>
      <c r="P2700" s="2282"/>
      <c r="AG2700" s="2297">
        <v>4511.01</v>
      </c>
      <c r="AH2700" s="2297" t="s">
        <v>295</v>
      </c>
      <c r="AI2700" s="1390"/>
      <c r="AJ2700" s="2282"/>
      <c r="AK2700" s="2282"/>
      <c r="AL2700" s="1037"/>
      <c r="AX2700" s="340">
        <v>13.01</v>
      </c>
      <c r="AY2700" s="340" t="s">
        <v>347</v>
      </c>
      <c r="BN2700" s="340">
        <v>1102.01</v>
      </c>
      <c r="BO2700" s="340" t="s">
        <v>298</v>
      </c>
      <c r="BP2700" s="1385"/>
      <c r="BV2700" s="236">
        <v>81.010000000000005</v>
      </c>
      <c r="BW2700" s="236" t="s">
        <v>331</v>
      </c>
      <c r="CB2700" s="340">
        <v>14.02</v>
      </c>
      <c r="CC2700" s="340" t="s">
        <v>347</v>
      </c>
      <c r="CL2700" s="236">
        <v>158.05000000000001</v>
      </c>
      <c r="CM2700" s="236" t="s">
        <v>302</v>
      </c>
      <c r="CR2700" s="340">
        <v>1102</v>
      </c>
      <c r="CS2700" s="340" t="s">
        <v>327</v>
      </c>
      <c r="CT2700" s="1384"/>
      <c r="DF2700" s="340">
        <v>216.11</v>
      </c>
      <c r="DG2700" s="340" t="s">
        <v>348</v>
      </c>
      <c r="DV2700" s="340">
        <v>3821.2</v>
      </c>
      <c r="DW2700" s="340" t="s">
        <v>350</v>
      </c>
      <c r="DX2700" s="1671"/>
    </row>
    <row r="2701" spans="12:128">
      <c r="L2701" s="2481">
        <v>9112.01</v>
      </c>
      <c r="M2701" s="340" t="s">
        <v>351</v>
      </c>
      <c r="N2701" s="1390"/>
      <c r="O2701" s="2479"/>
      <c r="P2701" s="2282"/>
      <c r="AG2701" s="2297">
        <v>4511.03</v>
      </c>
      <c r="AH2701" s="2297" t="s">
        <v>295</v>
      </c>
      <c r="AI2701" s="1390"/>
      <c r="AJ2701" s="2282"/>
      <c r="AK2701" s="2282"/>
      <c r="AL2701" s="1037"/>
      <c r="AX2701" s="340">
        <v>13.02</v>
      </c>
      <c r="AY2701" s="340" t="s">
        <v>347</v>
      </c>
      <c r="BN2701" s="340">
        <v>1103.03</v>
      </c>
      <c r="BO2701" s="340" t="s">
        <v>289</v>
      </c>
      <c r="BP2701" s="1385"/>
      <c r="BV2701" s="236">
        <v>81.02</v>
      </c>
      <c r="BW2701" s="236" t="s">
        <v>331</v>
      </c>
      <c r="CB2701" s="340">
        <v>14.03</v>
      </c>
      <c r="CC2701" s="340" t="s">
        <v>347</v>
      </c>
      <c r="CL2701" s="236">
        <v>158.06</v>
      </c>
      <c r="CM2701" s="236" t="s">
        <v>302</v>
      </c>
      <c r="CR2701" s="340">
        <v>1102.01</v>
      </c>
      <c r="CS2701" s="340" t="s">
        <v>298</v>
      </c>
      <c r="CT2701" s="1384"/>
      <c r="DF2701" s="340">
        <v>216.12</v>
      </c>
      <c r="DG2701" s="340" t="s">
        <v>348</v>
      </c>
      <c r="DV2701" s="340">
        <v>3821.23</v>
      </c>
      <c r="DW2701" s="340" t="s">
        <v>350</v>
      </c>
      <c r="DX2701" s="1671"/>
    </row>
    <row r="2702" spans="12:128">
      <c r="L2702" s="2481">
        <v>9112.0300000000007</v>
      </c>
      <c r="M2702" s="340" t="s">
        <v>351</v>
      </c>
      <c r="N2702" s="1390"/>
      <c r="O2702" s="2479"/>
      <c r="P2702" s="2282"/>
      <c r="AG2702" s="2297">
        <v>4513</v>
      </c>
      <c r="AH2702" s="2297" t="s">
        <v>295</v>
      </c>
      <c r="AI2702" s="1390"/>
      <c r="AJ2702" s="2282"/>
      <c r="AK2702" s="2282"/>
      <c r="AL2702" s="1037"/>
      <c r="AX2702" s="340">
        <v>13.03</v>
      </c>
      <c r="AY2702" s="340" t="s">
        <v>347</v>
      </c>
      <c r="BN2702" s="340">
        <v>1103.07</v>
      </c>
      <c r="BO2702" s="340" t="s">
        <v>289</v>
      </c>
      <c r="BP2702" s="1385"/>
      <c r="BV2702" s="236">
        <v>82.02</v>
      </c>
      <c r="BW2702" s="236" t="s">
        <v>331</v>
      </c>
      <c r="CB2702" s="340">
        <v>14.04</v>
      </c>
      <c r="CC2702" s="340" t="s">
        <v>347</v>
      </c>
      <c r="CL2702" s="236">
        <v>159</v>
      </c>
      <c r="CM2702" s="236" t="s">
        <v>331</v>
      </c>
      <c r="CR2702" s="340">
        <v>1103.01</v>
      </c>
      <c r="CS2702" s="340" t="s">
        <v>327</v>
      </c>
      <c r="CT2702" s="1384"/>
      <c r="DF2702" s="340">
        <v>216.14</v>
      </c>
      <c r="DG2702" s="340" t="s">
        <v>348</v>
      </c>
      <c r="DV2702" s="340">
        <v>3821.24</v>
      </c>
      <c r="DW2702" s="340" t="s">
        <v>350</v>
      </c>
      <c r="DX2702" s="1671"/>
    </row>
    <row r="2703" spans="12:128">
      <c r="L2703" s="2481">
        <v>9112.0400000000009</v>
      </c>
      <c r="M2703" s="340" t="s">
        <v>351</v>
      </c>
      <c r="N2703" s="1390"/>
      <c r="O2703" s="2479"/>
      <c r="P2703" s="2282"/>
      <c r="AG2703" s="2297">
        <v>4514</v>
      </c>
      <c r="AH2703" s="2297" t="s">
        <v>295</v>
      </c>
      <c r="AI2703" s="1390"/>
      <c r="AJ2703" s="2282"/>
      <c r="AK2703" s="2282"/>
      <c r="AL2703" s="1037"/>
      <c r="AX2703" s="340">
        <v>13.04</v>
      </c>
      <c r="AY2703" s="340" t="s">
        <v>347</v>
      </c>
      <c r="BN2703" s="340">
        <v>1103.0899999999999</v>
      </c>
      <c r="BO2703" s="340" t="s">
        <v>289</v>
      </c>
      <c r="BP2703" s="1385"/>
      <c r="BV2703" s="236">
        <v>82.05</v>
      </c>
      <c r="BW2703" s="236" t="s">
        <v>331</v>
      </c>
      <c r="CB2703" s="340">
        <v>14.05</v>
      </c>
      <c r="CC2703" s="340" t="s">
        <v>347</v>
      </c>
      <c r="CL2703" s="236">
        <v>159</v>
      </c>
      <c r="CM2703" s="236" t="s">
        <v>344</v>
      </c>
      <c r="CR2703" s="340">
        <v>1103.03</v>
      </c>
      <c r="CS2703" s="340" t="s">
        <v>289</v>
      </c>
      <c r="CT2703" s="1384"/>
      <c r="DF2703" s="340">
        <v>216.17</v>
      </c>
      <c r="DG2703" s="340" t="s">
        <v>348</v>
      </c>
      <c r="DV2703" s="340">
        <v>3821.25</v>
      </c>
      <c r="DW2703" s="340" t="s">
        <v>350</v>
      </c>
      <c r="DX2703" s="1671"/>
    </row>
    <row r="2704" spans="12:128">
      <c r="L2704" s="2481">
        <v>9112.0499999999993</v>
      </c>
      <c r="M2704" s="340" t="s">
        <v>351</v>
      </c>
      <c r="N2704" s="1390"/>
      <c r="O2704" s="2479"/>
      <c r="P2704" s="2282"/>
      <c r="AG2704" s="2297">
        <v>4516.03</v>
      </c>
      <c r="AH2704" s="2297" t="s">
        <v>295</v>
      </c>
      <c r="AI2704" s="1390"/>
      <c r="AJ2704" s="2282"/>
      <c r="AK2704" s="2282"/>
      <c r="AL2704" s="1037"/>
      <c r="AX2704" s="340">
        <v>14.02</v>
      </c>
      <c r="AY2704" s="340" t="s">
        <v>347</v>
      </c>
      <c r="BN2704" s="340">
        <v>1103.1099999999999</v>
      </c>
      <c r="BO2704" s="340" t="s">
        <v>289</v>
      </c>
      <c r="BP2704" s="1385"/>
      <c r="BV2704" s="236">
        <v>82.06</v>
      </c>
      <c r="BW2704" s="236" t="s">
        <v>331</v>
      </c>
      <c r="CB2704" s="340">
        <v>15.04</v>
      </c>
      <c r="CC2704" s="340" t="s">
        <v>347</v>
      </c>
      <c r="CL2704" s="236">
        <v>159.01</v>
      </c>
      <c r="CM2704" s="236" t="s">
        <v>338</v>
      </c>
      <c r="CR2704" s="340">
        <v>1103.07</v>
      </c>
      <c r="CS2704" s="340" t="s">
        <v>289</v>
      </c>
      <c r="CT2704" s="1384"/>
      <c r="DF2704" s="340">
        <v>217.04</v>
      </c>
      <c r="DG2704" s="340" t="s">
        <v>348</v>
      </c>
      <c r="DV2704" s="340">
        <v>3821.26</v>
      </c>
      <c r="DW2704" s="340" t="s">
        <v>350</v>
      </c>
      <c r="DX2704" s="1671"/>
    </row>
    <row r="2705" spans="12:128">
      <c r="L2705" s="2481">
        <v>9112.06</v>
      </c>
      <c r="M2705" s="340" t="s">
        <v>351</v>
      </c>
      <c r="N2705" s="1390"/>
      <c r="O2705" s="2479"/>
      <c r="P2705" s="2282"/>
      <c r="AG2705" s="2297">
        <v>4516.04</v>
      </c>
      <c r="AH2705" s="2297" t="s">
        <v>295</v>
      </c>
      <c r="AI2705" s="1390"/>
      <c r="AJ2705" s="2282"/>
      <c r="AK2705" s="2282"/>
      <c r="AL2705" s="1037"/>
      <c r="AX2705" s="340">
        <v>14.03</v>
      </c>
      <c r="AY2705" s="340" t="s">
        <v>347</v>
      </c>
      <c r="BN2705" s="340">
        <v>1103.19</v>
      </c>
      <c r="BO2705" s="340" t="s">
        <v>289</v>
      </c>
      <c r="BP2705" s="1385"/>
      <c r="BV2705" s="236">
        <v>82.07</v>
      </c>
      <c r="BW2705" s="236" t="s">
        <v>331</v>
      </c>
      <c r="CB2705" s="340">
        <v>15.05</v>
      </c>
      <c r="CC2705" s="340" t="s">
        <v>347</v>
      </c>
      <c r="CL2705" s="236">
        <v>159.22</v>
      </c>
      <c r="CM2705" s="236" t="s">
        <v>302</v>
      </c>
      <c r="CR2705" s="340">
        <v>1103.08</v>
      </c>
      <c r="CS2705" s="340" t="s">
        <v>289</v>
      </c>
      <c r="CT2705" s="1384"/>
      <c r="DF2705" s="340">
        <v>217.06</v>
      </c>
      <c r="DG2705" s="340" t="s">
        <v>348</v>
      </c>
      <c r="DV2705" s="340">
        <v>3821.27</v>
      </c>
      <c r="DW2705" s="340" t="s">
        <v>350</v>
      </c>
      <c r="DX2705" s="1671"/>
    </row>
    <row r="2706" spans="12:128">
      <c r="L2706" s="2481">
        <v>9112.07</v>
      </c>
      <c r="M2706" s="340" t="s">
        <v>351</v>
      </c>
      <c r="N2706" s="1390"/>
      <c r="O2706" s="2479"/>
      <c r="P2706" s="2282"/>
      <c r="AG2706" s="2297">
        <v>4516.0600000000004</v>
      </c>
      <c r="AH2706" s="2297" t="s">
        <v>295</v>
      </c>
      <c r="AI2706" s="1390"/>
      <c r="AJ2706" s="2282"/>
      <c r="AK2706" s="2282"/>
      <c r="AL2706" s="1037"/>
      <c r="AX2706" s="340">
        <v>14.04</v>
      </c>
      <c r="AY2706" s="340" t="s">
        <v>347</v>
      </c>
      <c r="BN2706" s="340">
        <v>1103.21</v>
      </c>
      <c r="BO2706" s="340" t="s">
        <v>289</v>
      </c>
      <c r="BP2706" s="1385"/>
      <c r="BV2706" s="236">
        <v>82.08</v>
      </c>
      <c r="BW2706" s="236" t="s">
        <v>331</v>
      </c>
      <c r="CB2706" s="340">
        <v>15.08</v>
      </c>
      <c r="CC2706" s="340" t="s">
        <v>347</v>
      </c>
      <c r="CL2706" s="236">
        <v>159.24</v>
      </c>
      <c r="CM2706" s="236" t="s">
        <v>302</v>
      </c>
      <c r="CR2706" s="340">
        <v>1103.1099999999999</v>
      </c>
      <c r="CS2706" s="340" t="s">
        <v>289</v>
      </c>
      <c r="CT2706" s="1384"/>
      <c r="DF2706" s="340">
        <v>217.07</v>
      </c>
      <c r="DG2706" s="340" t="s">
        <v>348</v>
      </c>
      <c r="DV2706" s="340">
        <v>3821.28</v>
      </c>
      <c r="DW2706" s="340" t="s">
        <v>350</v>
      </c>
      <c r="DX2706" s="1671"/>
    </row>
    <row r="2707" spans="12:128">
      <c r="L2707" s="2481">
        <v>9114.01</v>
      </c>
      <c r="M2707" s="340" t="s">
        <v>351</v>
      </c>
      <c r="N2707" s="1390"/>
      <c r="O2707" s="2479"/>
      <c r="P2707" s="2282"/>
      <c r="AG2707" s="2297">
        <v>4517.01</v>
      </c>
      <c r="AH2707" s="2297" t="s">
        <v>295</v>
      </c>
      <c r="AI2707" s="1390"/>
      <c r="AJ2707" s="2282"/>
      <c r="AK2707" s="2282"/>
      <c r="AL2707" s="1037"/>
      <c r="AX2707" s="340">
        <v>14.05</v>
      </c>
      <c r="AY2707" s="340" t="s">
        <v>347</v>
      </c>
      <c r="BN2707" s="340">
        <v>1103.23</v>
      </c>
      <c r="BO2707" s="340" t="s">
        <v>289</v>
      </c>
      <c r="BP2707" s="1385"/>
      <c r="BV2707" s="236">
        <v>82.09</v>
      </c>
      <c r="BW2707" s="236" t="s">
        <v>331</v>
      </c>
      <c r="CB2707" s="340">
        <v>15.09</v>
      </c>
      <c r="CC2707" s="340" t="s">
        <v>347</v>
      </c>
      <c r="CL2707" s="236">
        <v>159.25</v>
      </c>
      <c r="CM2707" s="236" t="s">
        <v>302</v>
      </c>
      <c r="CR2707" s="340">
        <v>1103.1300000000001</v>
      </c>
      <c r="CS2707" s="340" t="s">
        <v>289</v>
      </c>
      <c r="CT2707" s="1384"/>
      <c r="DF2707" s="340">
        <v>217.08</v>
      </c>
      <c r="DG2707" s="340" t="s">
        <v>348</v>
      </c>
      <c r="DV2707" s="340">
        <v>3821.3</v>
      </c>
      <c r="DW2707" s="340" t="s">
        <v>350</v>
      </c>
      <c r="DX2707" s="1671"/>
    </row>
    <row r="2708" spans="12:128">
      <c r="L2708" s="2481">
        <v>9114.02</v>
      </c>
      <c r="M2708" s="340" t="s">
        <v>351</v>
      </c>
      <c r="N2708" s="1390"/>
      <c r="O2708" s="2479"/>
      <c r="P2708" s="2282"/>
      <c r="AG2708" s="2297">
        <v>4901</v>
      </c>
      <c r="AH2708" s="2297" t="s">
        <v>331</v>
      </c>
      <c r="AI2708" s="1390"/>
      <c r="AJ2708" s="2282"/>
      <c r="AK2708" s="2282"/>
      <c r="AL2708" s="1037"/>
      <c r="AX2708" s="340">
        <v>15.04</v>
      </c>
      <c r="AY2708" s="340" t="s">
        <v>347</v>
      </c>
      <c r="BN2708" s="340">
        <v>1103.26</v>
      </c>
      <c r="BO2708" s="340" t="s">
        <v>289</v>
      </c>
      <c r="BP2708" s="1385"/>
      <c r="BV2708" s="236">
        <v>83.05</v>
      </c>
      <c r="BW2708" s="236" t="s">
        <v>331</v>
      </c>
      <c r="CB2708" s="340">
        <v>15.1</v>
      </c>
      <c r="CC2708" s="340" t="s">
        <v>347</v>
      </c>
      <c r="CL2708" s="236">
        <v>159.26</v>
      </c>
      <c r="CM2708" s="236" t="s">
        <v>302</v>
      </c>
      <c r="CR2708" s="340">
        <v>1103.19</v>
      </c>
      <c r="CS2708" s="340" t="s">
        <v>289</v>
      </c>
      <c r="CT2708" s="1384"/>
      <c r="DF2708" s="340">
        <v>218.05</v>
      </c>
      <c r="DG2708" s="340" t="s">
        <v>348</v>
      </c>
      <c r="DV2708" s="340">
        <v>3822.02</v>
      </c>
      <c r="DW2708" s="340" t="s">
        <v>350</v>
      </c>
      <c r="DX2708" s="1671"/>
    </row>
    <row r="2709" spans="12:128">
      <c r="L2709" s="2481">
        <v>9117.0400000000009</v>
      </c>
      <c r="M2709" s="340" t="s">
        <v>351</v>
      </c>
      <c r="N2709" s="1390"/>
      <c r="O2709" s="2479"/>
      <c r="P2709" s="2282"/>
      <c r="AG2709" s="2297">
        <v>9101</v>
      </c>
      <c r="AH2709" s="2297" t="s">
        <v>351</v>
      </c>
      <c r="AI2709" s="1390"/>
      <c r="AJ2709" s="2282"/>
      <c r="AK2709" s="2282"/>
      <c r="AL2709" s="1037"/>
      <c r="AX2709" s="340">
        <v>15.05</v>
      </c>
      <c r="AY2709" s="340" t="s">
        <v>347</v>
      </c>
      <c r="BN2709" s="340">
        <v>1103.27</v>
      </c>
      <c r="BO2709" s="340" t="s">
        <v>289</v>
      </c>
      <c r="BP2709" s="1385"/>
      <c r="BV2709" s="236">
        <v>83.08</v>
      </c>
      <c r="BW2709" s="236" t="s">
        <v>331</v>
      </c>
      <c r="CB2709" s="340">
        <v>15.11</v>
      </c>
      <c r="CC2709" s="340" t="s">
        <v>347</v>
      </c>
      <c r="CL2709" s="236">
        <v>159.27000000000001</v>
      </c>
      <c r="CM2709" s="236" t="s">
        <v>302</v>
      </c>
      <c r="CR2709" s="340">
        <v>1103.21</v>
      </c>
      <c r="CS2709" s="340" t="s">
        <v>289</v>
      </c>
      <c r="CT2709" s="1384"/>
      <c r="DF2709" s="340">
        <v>219.02</v>
      </c>
      <c r="DG2709" s="340" t="s">
        <v>348</v>
      </c>
      <c r="DV2709" s="340">
        <v>4501.03</v>
      </c>
      <c r="DW2709" s="340" t="s">
        <v>295</v>
      </c>
      <c r="DX2709" s="1671"/>
    </row>
    <row r="2710" spans="12:128">
      <c r="L2710" s="2481">
        <v>9701</v>
      </c>
      <c r="M2710" s="340" t="s">
        <v>352</v>
      </c>
      <c r="N2710" s="1390"/>
      <c r="O2710" s="2479"/>
      <c r="P2710" s="2282"/>
      <c r="AG2710" s="2297">
        <v>9101.01</v>
      </c>
      <c r="AH2710" s="2297" t="s">
        <v>337</v>
      </c>
      <c r="AI2710" s="1390"/>
      <c r="AJ2710" s="2282"/>
      <c r="AK2710" s="2282"/>
      <c r="AL2710" s="1037"/>
      <c r="AX2710" s="340">
        <v>15.08</v>
      </c>
      <c r="AY2710" s="340" t="s">
        <v>347</v>
      </c>
      <c r="BN2710" s="340">
        <v>1103.28</v>
      </c>
      <c r="BO2710" s="340" t="s">
        <v>289</v>
      </c>
      <c r="BP2710" s="1385"/>
      <c r="BV2710" s="236">
        <v>83.09</v>
      </c>
      <c r="BW2710" s="236" t="s">
        <v>331</v>
      </c>
      <c r="CB2710" s="340">
        <v>16.02</v>
      </c>
      <c r="CC2710" s="340" t="s">
        <v>347</v>
      </c>
      <c r="CL2710" s="236">
        <v>159.28</v>
      </c>
      <c r="CM2710" s="236" t="s">
        <v>302</v>
      </c>
      <c r="CR2710" s="340">
        <v>1103.26</v>
      </c>
      <c r="CS2710" s="340" t="s">
        <v>289</v>
      </c>
      <c r="CT2710" s="1384"/>
      <c r="DF2710" s="340">
        <v>220.02</v>
      </c>
      <c r="DG2710" s="340" t="s">
        <v>348</v>
      </c>
      <c r="DV2710" s="340">
        <v>4501.04</v>
      </c>
      <c r="DW2710" s="340" t="s">
        <v>295</v>
      </c>
      <c r="DX2710" s="1671"/>
    </row>
    <row r="2711" spans="12:128">
      <c r="L2711" s="2481">
        <v>9704.01</v>
      </c>
      <c r="M2711" s="340" t="s">
        <v>352</v>
      </c>
      <c r="N2711" s="1390"/>
      <c r="O2711" s="2479"/>
      <c r="P2711" s="2282"/>
      <c r="AG2711" s="2297">
        <v>9101.02</v>
      </c>
      <c r="AH2711" s="2297" t="s">
        <v>337</v>
      </c>
      <c r="AI2711" s="1390"/>
      <c r="AJ2711" s="2282"/>
      <c r="AK2711" s="2282"/>
      <c r="AL2711" s="1037"/>
      <c r="AX2711" s="340">
        <v>15.09</v>
      </c>
      <c r="AY2711" s="340" t="s">
        <v>347</v>
      </c>
      <c r="BN2711" s="340">
        <v>1103.3</v>
      </c>
      <c r="BO2711" s="340" t="s">
        <v>289</v>
      </c>
      <c r="BP2711" s="1385"/>
      <c r="BV2711" s="236">
        <v>83.1</v>
      </c>
      <c r="BW2711" s="236" t="s">
        <v>331</v>
      </c>
      <c r="CB2711" s="340">
        <v>17.02</v>
      </c>
      <c r="CC2711" s="340" t="s">
        <v>347</v>
      </c>
      <c r="CL2711" s="236">
        <v>159.29</v>
      </c>
      <c r="CM2711" s="236" t="s">
        <v>302</v>
      </c>
      <c r="CR2711" s="340">
        <v>1103.27</v>
      </c>
      <c r="CS2711" s="340" t="s">
        <v>289</v>
      </c>
      <c r="CT2711" s="1384"/>
      <c r="DF2711" s="340">
        <v>220.04</v>
      </c>
      <c r="DG2711" s="340" t="s">
        <v>348</v>
      </c>
      <c r="DV2711" s="340">
        <v>4503.05</v>
      </c>
      <c r="DW2711" s="340" t="s">
        <v>295</v>
      </c>
      <c r="DX2711" s="1671"/>
    </row>
    <row r="2712" spans="12:128">
      <c r="L2712" s="2481">
        <v>9704.02</v>
      </c>
      <c r="M2712" s="340" t="s">
        <v>352</v>
      </c>
      <c r="N2712" s="1390"/>
      <c r="O2712" s="2479"/>
      <c r="P2712" s="2282"/>
      <c r="AG2712" s="2297">
        <v>9102.02</v>
      </c>
      <c r="AH2712" s="2297" t="s">
        <v>337</v>
      </c>
      <c r="AI2712" s="1390"/>
      <c r="AJ2712" s="2282"/>
      <c r="AK2712" s="2282"/>
      <c r="AL2712" s="1037"/>
      <c r="AX2712" s="340">
        <v>15.11</v>
      </c>
      <c r="AY2712" s="340" t="s">
        <v>347</v>
      </c>
      <c r="BN2712" s="340">
        <v>1103.32</v>
      </c>
      <c r="BO2712" s="340" t="s">
        <v>289</v>
      </c>
      <c r="BP2712" s="1385"/>
      <c r="BV2712" s="236">
        <v>83.11</v>
      </c>
      <c r="BW2712" s="236" t="s">
        <v>331</v>
      </c>
      <c r="CB2712" s="340">
        <v>17.04</v>
      </c>
      <c r="CC2712" s="340" t="s">
        <v>347</v>
      </c>
      <c r="CL2712" s="236">
        <v>160</v>
      </c>
      <c r="CM2712" s="236" t="s">
        <v>331</v>
      </c>
      <c r="CR2712" s="340">
        <v>1103.28</v>
      </c>
      <c r="CS2712" s="340" t="s">
        <v>289</v>
      </c>
      <c r="CT2712" s="1384"/>
      <c r="DF2712" s="340">
        <v>220.07</v>
      </c>
      <c r="DG2712" s="340" t="s">
        <v>348</v>
      </c>
      <c r="DV2712" s="340">
        <v>4503.07</v>
      </c>
      <c r="DW2712" s="340" t="s">
        <v>295</v>
      </c>
      <c r="DX2712" s="1671"/>
    </row>
    <row r="2713" spans="12:128">
      <c r="L2713" s="2481">
        <v>9705.01</v>
      </c>
      <c r="M2713" s="340" t="s">
        <v>352</v>
      </c>
      <c r="N2713" s="1390"/>
      <c r="O2713" s="2479"/>
      <c r="P2713" s="2282"/>
      <c r="AG2713" s="2297">
        <v>9103</v>
      </c>
      <c r="AH2713" s="2297" t="s">
        <v>351</v>
      </c>
      <c r="AI2713" s="1390"/>
      <c r="AJ2713" s="2282"/>
      <c r="AK2713" s="2282"/>
      <c r="AL2713" s="1037"/>
      <c r="AX2713" s="340">
        <v>16.02</v>
      </c>
      <c r="AY2713" s="340" t="s">
        <v>347</v>
      </c>
      <c r="BN2713" s="340">
        <v>1103.33</v>
      </c>
      <c r="BO2713" s="340" t="s">
        <v>289</v>
      </c>
      <c r="BP2713" s="1385"/>
      <c r="BV2713" s="236">
        <v>83.12</v>
      </c>
      <c r="BW2713" s="236" t="s">
        <v>331</v>
      </c>
      <c r="CB2713" s="340">
        <v>18.010000000000002</v>
      </c>
      <c r="CC2713" s="340" t="s">
        <v>347</v>
      </c>
      <c r="CL2713" s="236">
        <v>160.01</v>
      </c>
      <c r="CM2713" s="236" t="s">
        <v>302</v>
      </c>
      <c r="CR2713" s="340">
        <v>1103.3</v>
      </c>
      <c r="CS2713" s="340" t="s">
        <v>289</v>
      </c>
      <c r="CT2713" s="1384"/>
      <c r="DF2713" s="340">
        <v>221.05</v>
      </c>
      <c r="DG2713" s="340" t="s">
        <v>348</v>
      </c>
      <c r="DV2713" s="340">
        <v>4503.08</v>
      </c>
      <c r="DW2713" s="340" t="s">
        <v>295</v>
      </c>
      <c r="DX2713" s="1671"/>
    </row>
    <row r="2714" spans="12:128">
      <c r="L2714" s="2481">
        <v>9705.02</v>
      </c>
      <c r="M2714" s="340" t="s">
        <v>352</v>
      </c>
      <c r="N2714" s="1390"/>
      <c r="O2714" s="2479"/>
      <c r="P2714" s="2282"/>
      <c r="AG2714" s="2297">
        <v>9105</v>
      </c>
      <c r="AH2714" s="2297" t="s">
        <v>337</v>
      </c>
      <c r="AI2714" s="1390"/>
      <c r="AJ2714" s="2282"/>
      <c r="AK2714" s="2282"/>
      <c r="AL2714" s="1037"/>
      <c r="AX2714" s="340">
        <v>17.02</v>
      </c>
      <c r="AY2714" s="340" t="s">
        <v>347</v>
      </c>
      <c r="BN2714" s="340">
        <v>1103.3699999999999</v>
      </c>
      <c r="BO2714" s="340" t="s">
        <v>289</v>
      </c>
      <c r="BP2714" s="1385"/>
      <c r="BV2714" s="236">
        <v>83.13</v>
      </c>
      <c r="BW2714" s="236" t="s">
        <v>331</v>
      </c>
      <c r="CB2714" s="340">
        <v>18.05</v>
      </c>
      <c r="CC2714" s="340" t="s">
        <v>347</v>
      </c>
      <c r="CL2714" s="236">
        <v>160.01</v>
      </c>
      <c r="CM2714" s="236" t="s">
        <v>338</v>
      </c>
      <c r="CR2714" s="340">
        <v>1103.32</v>
      </c>
      <c r="CS2714" s="340" t="s">
        <v>289</v>
      </c>
      <c r="CT2714" s="1384"/>
      <c r="DF2714" s="340">
        <v>221.06</v>
      </c>
      <c r="DG2714" s="340" t="s">
        <v>348</v>
      </c>
      <c r="DV2714" s="340">
        <v>4503.09</v>
      </c>
      <c r="DW2714" s="340" t="s">
        <v>295</v>
      </c>
      <c r="DX2714" s="1671"/>
    </row>
    <row r="2715" spans="12:128">
      <c r="L2715" s="2481">
        <v>9706.02</v>
      </c>
      <c r="M2715" s="340" t="s">
        <v>352</v>
      </c>
      <c r="N2715" s="1390"/>
      <c r="O2715" s="2479"/>
      <c r="P2715" s="2282"/>
      <c r="AG2715" s="2297">
        <v>9106.01</v>
      </c>
      <c r="AH2715" s="2297" t="s">
        <v>337</v>
      </c>
      <c r="AI2715" s="1390"/>
      <c r="AJ2715" s="2282"/>
      <c r="AK2715" s="2282"/>
      <c r="AL2715" s="1037"/>
      <c r="AX2715" s="340">
        <v>18.010000000000002</v>
      </c>
      <c r="AY2715" s="340" t="s">
        <v>347</v>
      </c>
      <c r="BN2715" s="340">
        <v>1103.3900000000001</v>
      </c>
      <c r="BO2715" s="340" t="s">
        <v>289</v>
      </c>
      <c r="BP2715" s="1385"/>
      <c r="BV2715" s="236">
        <v>83.14</v>
      </c>
      <c r="BW2715" s="236" t="s">
        <v>331</v>
      </c>
      <c r="CB2715" s="340">
        <v>19.03</v>
      </c>
      <c r="CC2715" s="340" t="s">
        <v>347</v>
      </c>
      <c r="CL2715" s="236">
        <v>160.01</v>
      </c>
      <c r="CM2715" s="236" t="s">
        <v>344</v>
      </c>
      <c r="CR2715" s="340">
        <v>1103.33</v>
      </c>
      <c r="CS2715" s="340" t="s">
        <v>289</v>
      </c>
      <c r="CT2715" s="1384"/>
      <c r="DF2715" s="340">
        <v>222.01</v>
      </c>
      <c r="DG2715" s="340" t="s">
        <v>348</v>
      </c>
      <c r="DV2715" s="340">
        <v>4505.01</v>
      </c>
      <c r="DW2715" s="340" t="s">
        <v>295</v>
      </c>
      <c r="DX2715" s="1671"/>
    </row>
    <row r="2716" spans="12:128">
      <c r="L2716" s="2481">
        <v>9503.02</v>
      </c>
      <c r="M2716" s="340" t="s">
        <v>353</v>
      </c>
      <c r="N2716" s="1390"/>
      <c r="O2716" s="2479"/>
      <c r="P2716" s="2282"/>
      <c r="AG2716" s="2297">
        <v>9107.02</v>
      </c>
      <c r="AH2716" s="2297" t="s">
        <v>351</v>
      </c>
      <c r="AI2716" s="1390"/>
      <c r="AJ2716" s="2282"/>
      <c r="AK2716" s="2282"/>
      <c r="AL2716" s="1037"/>
      <c r="AX2716" s="340">
        <v>18.05</v>
      </c>
      <c r="AY2716" s="340" t="s">
        <v>347</v>
      </c>
      <c r="BN2716" s="340">
        <v>1103.44</v>
      </c>
      <c r="BO2716" s="340" t="s">
        <v>289</v>
      </c>
      <c r="BP2716" s="1385"/>
      <c r="BV2716" s="236">
        <v>83.15</v>
      </c>
      <c r="BW2716" s="236" t="s">
        <v>331</v>
      </c>
      <c r="CB2716" s="340">
        <v>19.04</v>
      </c>
      <c r="CC2716" s="340" t="s">
        <v>347</v>
      </c>
      <c r="CL2716" s="236">
        <v>160.02000000000001</v>
      </c>
      <c r="CM2716" s="236" t="s">
        <v>302</v>
      </c>
      <c r="CR2716" s="340">
        <v>1103.3699999999999</v>
      </c>
      <c r="CS2716" s="340" t="s">
        <v>289</v>
      </c>
      <c r="CT2716" s="1384"/>
      <c r="DF2716" s="340">
        <v>222.05</v>
      </c>
      <c r="DG2716" s="340" t="s">
        <v>348</v>
      </c>
      <c r="DV2716" s="340">
        <v>4507.03</v>
      </c>
      <c r="DW2716" s="340" t="s">
        <v>295</v>
      </c>
      <c r="DX2716" s="1671"/>
    </row>
    <row r="2717" spans="12:128">
      <c r="L2717" s="2481">
        <v>9504.02</v>
      </c>
      <c r="M2717" s="340" t="s">
        <v>353</v>
      </c>
      <c r="N2717" s="1390"/>
      <c r="O2717" s="2479"/>
      <c r="P2717" s="2282"/>
      <c r="AG2717" s="2297">
        <v>9108</v>
      </c>
      <c r="AH2717" s="2297" t="s">
        <v>351</v>
      </c>
      <c r="AI2717" s="1390"/>
      <c r="AJ2717" s="2282"/>
      <c r="AK2717" s="2282"/>
      <c r="AL2717" s="1037"/>
      <c r="AX2717" s="340">
        <v>19.03</v>
      </c>
      <c r="AY2717" s="340" t="s">
        <v>347</v>
      </c>
      <c r="BN2717" s="340">
        <v>1103.45</v>
      </c>
      <c r="BO2717" s="340" t="s">
        <v>289</v>
      </c>
      <c r="BP2717" s="1385"/>
      <c r="BV2717" s="236">
        <v>84.09</v>
      </c>
      <c r="BW2717" s="236" t="s">
        <v>331</v>
      </c>
      <c r="CB2717" s="340">
        <v>19.05</v>
      </c>
      <c r="CC2717" s="340" t="s">
        <v>347</v>
      </c>
      <c r="CL2717" s="236">
        <v>160.02000000000001</v>
      </c>
      <c r="CM2717" s="236" t="s">
        <v>338</v>
      </c>
      <c r="CR2717" s="340">
        <v>1103.44</v>
      </c>
      <c r="CS2717" s="340" t="s">
        <v>289</v>
      </c>
      <c r="CT2717" s="1384"/>
      <c r="DF2717" s="340">
        <v>222.07</v>
      </c>
      <c r="DG2717" s="340" t="s">
        <v>348</v>
      </c>
      <c r="DV2717" s="340">
        <v>4507.04</v>
      </c>
      <c r="DW2717" s="340" t="s">
        <v>295</v>
      </c>
      <c r="DX2717" s="1671"/>
    </row>
    <row r="2718" spans="12:128">
      <c r="L2718" s="2481">
        <v>9603</v>
      </c>
      <c r="M2718" s="340" t="s">
        <v>354</v>
      </c>
      <c r="N2718" s="1390"/>
      <c r="O2718" s="2479"/>
      <c r="P2718" s="2282"/>
      <c r="AG2718" s="2297">
        <v>9112.01</v>
      </c>
      <c r="AH2718" s="2297" t="s">
        <v>351</v>
      </c>
      <c r="AI2718" s="1390"/>
      <c r="AJ2718" s="2282"/>
      <c r="AK2718" s="2282"/>
      <c r="AL2718" s="1037"/>
      <c r="AX2718" s="340">
        <v>19.04</v>
      </c>
      <c r="AY2718" s="340" t="s">
        <v>347</v>
      </c>
      <c r="BN2718" s="340">
        <v>1103.46</v>
      </c>
      <c r="BO2718" s="340" t="s">
        <v>289</v>
      </c>
      <c r="BP2718" s="1385"/>
      <c r="BV2718" s="236">
        <v>84.15</v>
      </c>
      <c r="BW2718" s="236" t="s">
        <v>331</v>
      </c>
      <c r="CB2718" s="340">
        <v>19.09</v>
      </c>
      <c r="CC2718" s="340" t="s">
        <v>347</v>
      </c>
      <c r="CL2718" s="236">
        <v>160.02000000000001</v>
      </c>
      <c r="CM2718" s="236" t="s">
        <v>344</v>
      </c>
      <c r="CR2718" s="340">
        <v>1103.45</v>
      </c>
      <c r="CS2718" s="340" t="s">
        <v>289</v>
      </c>
      <c r="CT2718" s="1384"/>
      <c r="DF2718" s="340">
        <v>9101</v>
      </c>
      <c r="DG2718" s="340" t="s">
        <v>351</v>
      </c>
      <c r="DV2718" s="340">
        <v>4507.05</v>
      </c>
      <c r="DW2718" s="340" t="s">
        <v>295</v>
      </c>
      <c r="DX2718" s="1671"/>
    </row>
    <row r="2719" spans="12:128">
      <c r="L2719" s="2481">
        <v>801.01</v>
      </c>
      <c r="M2719" s="340" t="s">
        <v>355</v>
      </c>
      <c r="N2719" s="1390"/>
      <c r="O2719" s="2479"/>
      <c r="P2719" s="2282"/>
      <c r="AG2719" s="2297">
        <v>9112.0300000000007</v>
      </c>
      <c r="AH2719" s="2297" t="s">
        <v>351</v>
      </c>
      <c r="AI2719" s="1390"/>
      <c r="AJ2719" s="2282"/>
      <c r="AK2719" s="2282"/>
      <c r="AL2719" s="1037"/>
      <c r="AX2719" s="340">
        <v>19.05</v>
      </c>
      <c r="AY2719" s="340" t="s">
        <v>347</v>
      </c>
      <c r="BN2719" s="340">
        <v>1103.47</v>
      </c>
      <c r="BO2719" s="340" t="s">
        <v>289</v>
      </c>
      <c r="BP2719" s="1385"/>
      <c r="BV2719" s="236">
        <v>84.16</v>
      </c>
      <c r="BW2719" s="236" t="s">
        <v>331</v>
      </c>
      <c r="CB2719" s="340">
        <v>20.04</v>
      </c>
      <c r="CC2719" s="340" t="s">
        <v>347</v>
      </c>
      <c r="CL2719" s="236">
        <v>160.03</v>
      </c>
      <c r="CM2719" s="236" t="s">
        <v>344</v>
      </c>
      <c r="CR2719" s="340">
        <v>1103.46</v>
      </c>
      <c r="CS2719" s="340" t="s">
        <v>289</v>
      </c>
      <c r="CT2719" s="1384"/>
      <c r="DF2719" s="340">
        <v>9103</v>
      </c>
      <c r="DG2719" s="340" t="s">
        <v>351</v>
      </c>
      <c r="DV2719" s="340">
        <v>4507.0600000000004</v>
      </c>
      <c r="DW2719" s="340" t="s">
        <v>295</v>
      </c>
      <c r="DX2719" s="1671"/>
    </row>
    <row r="2720" spans="12:128">
      <c r="L2720" s="2481">
        <v>801.02</v>
      </c>
      <c r="M2720" s="340" t="s">
        <v>355</v>
      </c>
      <c r="N2720" s="1390"/>
      <c r="O2720" s="2479"/>
      <c r="P2720" s="2282"/>
      <c r="AG2720" s="2297">
        <v>9112.0400000000009</v>
      </c>
      <c r="AH2720" s="2297" t="s">
        <v>351</v>
      </c>
      <c r="AI2720" s="1390"/>
      <c r="AJ2720" s="2282"/>
      <c r="AK2720" s="2282"/>
      <c r="AL2720" s="1037"/>
      <c r="AX2720" s="340">
        <v>19.09</v>
      </c>
      <c r="AY2720" s="340" t="s">
        <v>347</v>
      </c>
      <c r="BN2720" s="340">
        <v>1103.48</v>
      </c>
      <c r="BO2720" s="340" t="s">
        <v>289</v>
      </c>
      <c r="BP2720" s="1385"/>
      <c r="BV2720" s="236">
        <v>84.18</v>
      </c>
      <c r="BW2720" s="236" t="s">
        <v>331</v>
      </c>
      <c r="CB2720" s="340">
        <v>20.07</v>
      </c>
      <c r="CC2720" s="340" t="s">
        <v>347</v>
      </c>
      <c r="CL2720" s="236">
        <v>161</v>
      </c>
      <c r="CM2720" s="236" t="s">
        <v>331</v>
      </c>
      <c r="CR2720" s="340">
        <v>1103.47</v>
      </c>
      <c r="CS2720" s="340" t="s">
        <v>289</v>
      </c>
      <c r="CT2720" s="1384"/>
      <c r="DF2720" s="340">
        <v>9107.02</v>
      </c>
      <c r="DG2720" s="340" t="s">
        <v>351</v>
      </c>
      <c r="DV2720" s="340">
        <v>4509.01</v>
      </c>
      <c r="DW2720" s="340" t="s">
        <v>295</v>
      </c>
      <c r="DX2720" s="1671"/>
    </row>
    <row r="2721" spans="12:128">
      <c r="L2721" s="2481">
        <v>802.01</v>
      </c>
      <c r="M2721" s="340" t="s">
        <v>355</v>
      </c>
      <c r="N2721" s="1390"/>
      <c r="O2721" s="2479"/>
      <c r="P2721" s="2282"/>
      <c r="AG2721" s="2297">
        <v>9112.0499999999993</v>
      </c>
      <c r="AH2721" s="2297" t="s">
        <v>351</v>
      </c>
      <c r="AI2721" s="1390"/>
      <c r="AJ2721" s="2282"/>
      <c r="AK2721" s="2282"/>
      <c r="AL2721" s="1037"/>
      <c r="AX2721" s="340">
        <v>20.04</v>
      </c>
      <c r="AY2721" s="340" t="s">
        <v>347</v>
      </c>
      <c r="BN2721" s="340">
        <v>1103.49</v>
      </c>
      <c r="BO2721" s="340" t="s">
        <v>289</v>
      </c>
      <c r="BP2721" s="1385"/>
      <c r="BV2721" s="236">
        <v>84.19</v>
      </c>
      <c r="BW2721" s="236" t="s">
        <v>331</v>
      </c>
      <c r="CB2721" s="340">
        <v>20.079999999999998</v>
      </c>
      <c r="CC2721" s="340" t="s">
        <v>347</v>
      </c>
      <c r="CL2721" s="236">
        <v>161</v>
      </c>
      <c r="CM2721" s="236" t="s">
        <v>338</v>
      </c>
      <c r="CR2721" s="340">
        <v>1103.48</v>
      </c>
      <c r="CS2721" s="340" t="s">
        <v>289</v>
      </c>
      <c r="CT2721" s="1384"/>
      <c r="DF2721" s="340">
        <v>9108</v>
      </c>
      <c r="DG2721" s="340" t="s">
        <v>351</v>
      </c>
      <c r="DV2721" s="340">
        <v>4510.01</v>
      </c>
      <c r="DW2721" s="340" t="s">
        <v>295</v>
      </c>
      <c r="DX2721" s="1671"/>
    </row>
    <row r="2722" spans="12:128">
      <c r="L2722" s="2481">
        <v>802.02</v>
      </c>
      <c r="M2722" s="340" t="s">
        <v>355</v>
      </c>
      <c r="N2722" s="1390"/>
      <c r="O2722" s="2479"/>
      <c r="P2722" s="2282"/>
      <c r="AG2722" s="2297">
        <v>9112.06</v>
      </c>
      <c r="AH2722" s="2297" t="s">
        <v>351</v>
      </c>
      <c r="AI2722" s="1390"/>
      <c r="AJ2722" s="2282"/>
      <c r="AK2722" s="2282"/>
      <c r="AL2722" s="1037"/>
      <c r="AX2722" s="340">
        <v>20.07</v>
      </c>
      <c r="AY2722" s="340" t="s">
        <v>347</v>
      </c>
      <c r="BN2722" s="340">
        <v>1103.5</v>
      </c>
      <c r="BO2722" s="340" t="s">
        <v>289</v>
      </c>
      <c r="BP2722" s="1385"/>
      <c r="BV2722" s="236">
        <v>84.2</v>
      </c>
      <c r="BW2722" s="236" t="s">
        <v>331</v>
      </c>
      <c r="CB2722" s="340">
        <v>20.12</v>
      </c>
      <c r="CC2722" s="340" t="s">
        <v>347</v>
      </c>
      <c r="CL2722" s="236">
        <v>161</v>
      </c>
      <c r="CM2722" s="236" t="s">
        <v>344</v>
      </c>
      <c r="CR2722" s="340">
        <v>1103.49</v>
      </c>
      <c r="CS2722" s="340" t="s">
        <v>289</v>
      </c>
      <c r="CT2722" s="1384"/>
      <c r="DF2722" s="340">
        <v>9112.01</v>
      </c>
      <c r="DG2722" s="340" t="s">
        <v>351</v>
      </c>
      <c r="DV2722" s="340">
        <v>4511.01</v>
      </c>
      <c r="DW2722" s="340" t="s">
        <v>295</v>
      </c>
      <c r="DX2722" s="1671"/>
    </row>
    <row r="2723" spans="12:128">
      <c r="L2723" s="2481">
        <v>803</v>
      </c>
      <c r="M2723" s="340" t="s">
        <v>355</v>
      </c>
      <c r="N2723" s="1390"/>
      <c r="O2723" s="2479"/>
      <c r="P2723" s="2282"/>
      <c r="AG2723" s="2297">
        <v>9112.07</v>
      </c>
      <c r="AH2723" s="2297" t="s">
        <v>351</v>
      </c>
      <c r="AI2723" s="1390"/>
      <c r="AJ2723" s="2282"/>
      <c r="AK2723" s="2282"/>
      <c r="AL2723" s="1037"/>
      <c r="AX2723" s="340">
        <v>20.079999999999998</v>
      </c>
      <c r="AY2723" s="340" t="s">
        <v>347</v>
      </c>
      <c r="BN2723" s="340">
        <v>1103.53</v>
      </c>
      <c r="BO2723" s="340" t="s">
        <v>289</v>
      </c>
      <c r="BP2723" s="1385"/>
      <c r="BV2723" s="236">
        <v>84.21</v>
      </c>
      <c r="BW2723" s="236" t="s">
        <v>331</v>
      </c>
      <c r="CB2723" s="340">
        <v>20.13</v>
      </c>
      <c r="CC2723" s="340" t="s">
        <v>347</v>
      </c>
      <c r="CL2723" s="236">
        <v>161.01</v>
      </c>
      <c r="CM2723" s="236" t="s">
        <v>302</v>
      </c>
      <c r="CR2723" s="340">
        <v>1103.5</v>
      </c>
      <c r="CS2723" s="340" t="s">
        <v>289</v>
      </c>
      <c r="CT2723" s="1384"/>
      <c r="DF2723" s="340">
        <v>9112.0300000000007</v>
      </c>
      <c r="DG2723" s="340" t="s">
        <v>351</v>
      </c>
      <c r="DV2723" s="340">
        <v>4513</v>
      </c>
      <c r="DW2723" s="340" t="s">
        <v>295</v>
      </c>
      <c r="DX2723" s="1671"/>
    </row>
    <row r="2724" spans="12:128">
      <c r="L2724" s="2481">
        <v>804</v>
      </c>
      <c r="M2724" s="340" t="s">
        <v>355</v>
      </c>
      <c r="N2724" s="1390"/>
      <c r="O2724" s="2479"/>
      <c r="P2724" s="2282"/>
      <c r="AG2724" s="2297">
        <v>9114.01</v>
      </c>
      <c r="AH2724" s="2297" t="s">
        <v>351</v>
      </c>
      <c r="AI2724" s="1390"/>
      <c r="AJ2724" s="2282"/>
      <c r="AK2724" s="2282"/>
      <c r="AL2724" s="1037"/>
      <c r="AX2724" s="340">
        <v>20.12</v>
      </c>
      <c r="AY2724" s="340" t="s">
        <v>347</v>
      </c>
      <c r="BN2724" s="340">
        <v>1103.56</v>
      </c>
      <c r="BO2724" s="340" t="s">
        <v>289</v>
      </c>
      <c r="BP2724" s="1385"/>
      <c r="BV2724" s="236">
        <v>84.22</v>
      </c>
      <c r="BW2724" s="236" t="s">
        <v>331</v>
      </c>
      <c r="CB2724" s="340">
        <v>20.14</v>
      </c>
      <c r="CC2724" s="340" t="s">
        <v>347</v>
      </c>
      <c r="CL2724" s="236">
        <v>161.02000000000001</v>
      </c>
      <c r="CM2724" s="236" t="s">
        <v>302</v>
      </c>
      <c r="CR2724" s="340">
        <v>1103.52</v>
      </c>
      <c r="CS2724" s="340" t="s">
        <v>289</v>
      </c>
      <c r="CT2724" s="1384"/>
      <c r="DF2724" s="340">
        <v>9112.0400000000009</v>
      </c>
      <c r="DG2724" s="340" t="s">
        <v>351</v>
      </c>
      <c r="DV2724" s="340">
        <v>4514</v>
      </c>
      <c r="DW2724" s="340" t="s">
        <v>295</v>
      </c>
      <c r="DX2724" s="1671"/>
    </row>
    <row r="2725" spans="12:128">
      <c r="L2725" s="2481">
        <v>805</v>
      </c>
      <c r="M2725" s="340" t="s">
        <v>355</v>
      </c>
      <c r="N2725" s="1390"/>
      <c r="O2725" s="2479"/>
      <c r="P2725" s="2282"/>
      <c r="AG2725" s="2297">
        <v>9114.02</v>
      </c>
      <c r="AH2725" s="2297" t="s">
        <v>351</v>
      </c>
      <c r="AI2725" s="1390"/>
      <c r="AJ2725" s="2282"/>
      <c r="AK2725" s="2282"/>
      <c r="AL2725" s="1037"/>
      <c r="AX2725" s="340">
        <v>20.13</v>
      </c>
      <c r="AY2725" s="340" t="s">
        <v>347</v>
      </c>
      <c r="BN2725" s="340">
        <v>1103.57</v>
      </c>
      <c r="BO2725" s="340" t="s">
        <v>289</v>
      </c>
      <c r="BP2725" s="1385"/>
      <c r="BV2725" s="236">
        <v>84.23</v>
      </c>
      <c r="BW2725" s="236" t="s">
        <v>331</v>
      </c>
      <c r="CB2725" s="340">
        <v>20.149999999999999</v>
      </c>
      <c r="CC2725" s="340" t="s">
        <v>347</v>
      </c>
      <c r="CL2725" s="236">
        <v>162</v>
      </c>
      <c r="CM2725" s="236" t="s">
        <v>302</v>
      </c>
      <c r="CR2725" s="340">
        <v>1103.53</v>
      </c>
      <c r="CS2725" s="340" t="s">
        <v>289</v>
      </c>
      <c r="CT2725" s="1384"/>
      <c r="DF2725" s="340">
        <v>9112.0499999999993</v>
      </c>
      <c r="DG2725" s="340" t="s">
        <v>351</v>
      </c>
      <c r="DV2725" s="340">
        <v>4516.03</v>
      </c>
      <c r="DW2725" s="340" t="s">
        <v>295</v>
      </c>
      <c r="DX2725" s="1671"/>
    </row>
    <row r="2726" spans="12:128">
      <c r="L2726" s="2481">
        <v>807</v>
      </c>
      <c r="M2726" s="340" t="s">
        <v>355</v>
      </c>
      <c r="N2726" s="1390"/>
      <c r="O2726" s="2479"/>
      <c r="P2726" s="2282"/>
      <c r="AG2726" s="2297">
        <v>9117.0400000000009</v>
      </c>
      <c r="AH2726" s="2297" t="s">
        <v>351</v>
      </c>
      <c r="AI2726" s="1390"/>
      <c r="AJ2726" s="2282"/>
      <c r="AK2726" s="2282"/>
      <c r="AL2726" s="1037"/>
      <c r="AX2726" s="340">
        <v>20.14</v>
      </c>
      <c r="AY2726" s="340" t="s">
        <v>347</v>
      </c>
      <c r="BN2726" s="340">
        <v>1103.5899999999999</v>
      </c>
      <c r="BO2726" s="340" t="s">
        <v>289</v>
      </c>
      <c r="BP2726" s="1385"/>
      <c r="BV2726" s="236">
        <v>84.24</v>
      </c>
      <c r="BW2726" s="236" t="s">
        <v>331</v>
      </c>
      <c r="CB2726" s="340">
        <v>20.16</v>
      </c>
      <c r="CC2726" s="340" t="s">
        <v>347</v>
      </c>
      <c r="CL2726" s="236">
        <v>162</v>
      </c>
      <c r="CM2726" s="236" t="s">
        <v>331</v>
      </c>
      <c r="CR2726" s="340">
        <v>1103.56</v>
      </c>
      <c r="CS2726" s="340" t="s">
        <v>289</v>
      </c>
      <c r="CT2726" s="1384"/>
      <c r="DF2726" s="340">
        <v>9112.06</v>
      </c>
      <c r="DG2726" s="340" t="s">
        <v>351</v>
      </c>
      <c r="DV2726" s="340">
        <v>4516.04</v>
      </c>
      <c r="DW2726" s="340" t="s">
        <v>295</v>
      </c>
      <c r="DX2726" s="1671"/>
    </row>
    <row r="2727" spans="12:128">
      <c r="L2727" s="2481">
        <v>808.06</v>
      </c>
      <c r="M2727" s="340" t="s">
        <v>355</v>
      </c>
      <c r="N2727" s="1390"/>
      <c r="O2727" s="2479"/>
      <c r="P2727" s="2282"/>
      <c r="AG2727" s="2297">
        <v>9501</v>
      </c>
      <c r="AH2727" s="2297" t="s">
        <v>345</v>
      </c>
      <c r="AI2727" s="1390"/>
      <c r="AJ2727" s="2282"/>
      <c r="AK2727" s="2282"/>
      <c r="AL2727" s="1037"/>
      <c r="AX2727" s="340">
        <v>20.16</v>
      </c>
      <c r="AY2727" s="340" t="s">
        <v>347</v>
      </c>
      <c r="BN2727" s="340">
        <v>1103.5999999999999</v>
      </c>
      <c r="BO2727" s="340" t="s">
        <v>289</v>
      </c>
      <c r="BP2727" s="1385"/>
      <c r="BV2727" s="236">
        <v>84.25</v>
      </c>
      <c r="BW2727" s="236" t="s">
        <v>331</v>
      </c>
      <c r="CB2727" s="340">
        <v>21.01</v>
      </c>
      <c r="CC2727" s="340" t="s">
        <v>347</v>
      </c>
      <c r="CL2727" s="236">
        <v>162</v>
      </c>
      <c r="CM2727" s="236" t="s">
        <v>338</v>
      </c>
      <c r="CR2727" s="340">
        <v>1103.57</v>
      </c>
      <c r="CS2727" s="340" t="s">
        <v>289</v>
      </c>
      <c r="CT2727" s="1384"/>
      <c r="DF2727" s="340">
        <v>9112.07</v>
      </c>
      <c r="DG2727" s="340" t="s">
        <v>351</v>
      </c>
      <c r="DV2727" s="340">
        <v>4516.0600000000004</v>
      </c>
      <c r="DW2727" s="340" t="s">
        <v>295</v>
      </c>
      <c r="DX2727" s="1671"/>
    </row>
    <row r="2728" spans="12:128">
      <c r="L2728" s="2481">
        <v>808.08</v>
      </c>
      <c r="M2728" s="340" t="s">
        <v>355</v>
      </c>
      <c r="N2728" s="1390"/>
      <c r="O2728" s="2479"/>
      <c r="P2728" s="2282"/>
      <c r="AG2728" s="2297">
        <v>9502.01</v>
      </c>
      <c r="AH2728" s="2297" t="s">
        <v>308</v>
      </c>
      <c r="AI2728" s="1390"/>
      <c r="AJ2728" s="2282"/>
      <c r="AK2728" s="2282"/>
      <c r="AL2728" s="1037"/>
      <c r="AX2728" s="340">
        <v>21.01</v>
      </c>
      <c r="AY2728" s="340" t="s">
        <v>347</v>
      </c>
      <c r="BN2728" s="340">
        <v>1103.6099999999999</v>
      </c>
      <c r="BO2728" s="340" t="s">
        <v>289</v>
      </c>
      <c r="BP2728" s="1385"/>
      <c r="BV2728" s="236">
        <v>84.26</v>
      </c>
      <c r="BW2728" s="236" t="s">
        <v>331</v>
      </c>
      <c r="CB2728" s="340">
        <v>21.02</v>
      </c>
      <c r="CC2728" s="340" t="s">
        <v>347</v>
      </c>
      <c r="CL2728" s="236">
        <v>163</v>
      </c>
      <c r="CM2728" s="236" t="s">
        <v>302</v>
      </c>
      <c r="CR2728" s="340">
        <v>1103.58</v>
      </c>
      <c r="CS2728" s="340" t="s">
        <v>289</v>
      </c>
      <c r="CT2728" s="1384"/>
      <c r="DF2728" s="340">
        <v>9114.01</v>
      </c>
      <c r="DG2728" s="340" t="s">
        <v>351</v>
      </c>
      <c r="DV2728" s="340">
        <v>4517.01</v>
      </c>
      <c r="DW2728" s="340" t="s">
        <v>295</v>
      </c>
      <c r="DX2728" s="1671"/>
    </row>
    <row r="2729" spans="12:128">
      <c r="L2729" s="2481">
        <v>811.01</v>
      </c>
      <c r="M2729" s="340" t="s">
        <v>355</v>
      </c>
      <c r="N2729" s="1390"/>
      <c r="O2729" s="2479"/>
      <c r="P2729" s="2282"/>
      <c r="AG2729" s="2297">
        <v>9502.01</v>
      </c>
      <c r="AH2729" s="2297" t="s">
        <v>326</v>
      </c>
      <c r="AI2729" s="1390"/>
      <c r="AJ2729" s="2282"/>
      <c r="AK2729" s="2282"/>
      <c r="AL2729" s="1037"/>
      <c r="AX2729" s="340">
        <v>21.02</v>
      </c>
      <c r="AY2729" s="340" t="s">
        <v>347</v>
      </c>
      <c r="BN2729" s="340">
        <v>1103.6300000000001</v>
      </c>
      <c r="BO2729" s="340" t="s">
        <v>289</v>
      </c>
      <c r="BP2729" s="1385"/>
      <c r="BV2729" s="236">
        <v>84.27</v>
      </c>
      <c r="BW2729" s="236" t="s">
        <v>331</v>
      </c>
      <c r="CB2729" s="340">
        <v>22.04</v>
      </c>
      <c r="CC2729" s="340" t="s">
        <v>347</v>
      </c>
      <c r="CL2729" s="236">
        <v>163</v>
      </c>
      <c r="CM2729" s="236" t="s">
        <v>331</v>
      </c>
      <c r="CR2729" s="340">
        <v>1103.5899999999999</v>
      </c>
      <c r="CS2729" s="340" t="s">
        <v>289</v>
      </c>
      <c r="CT2729" s="1384"/>
      <c r="DF2729" s="340">
        <v>9114.02</v>
      </c>
      <c r="DG2729" s="340" t="s">
        <v>351</v>
      </c>
      <c r="DV2729" s="340">
        <v>9101</v>
      </c>
      <c r="DW2729" s="340" t="s">
        <v>351</v>
      </c>
      <c r="DX2729" s="1671"/>
    </row>
    <row r="2730" spans="12:128">
      <c r="L2730" s="2481">
        <v>813</v>
      </c>
      <c r="M2730" s="340" t="s">
        <v>355</v>
      </c>
      <c r="N2730" s="1390"/>
      <c r="O2730" s="2479"/>
      <c r="P2730" s="2282"/>
      <c r="AG2730" s="2297">
        <v>9502.01</v>
      </c>
      <c r="AH2730" s="2297" t="s">
        <v>345</v>
      </c>
      <c r="AI2730" s="1390"/>
      <c r="AJ2730" s="2282"/>
      <c r="AK2730" s="2282"/>
      <c r="AL2730" s="1037"/>
      <c r="AX2730" s="340">
        <v>22.04</v>
      </c>
      <c r="AY2730" s="340" t="s">
        <v>347</v>
      </c>
      <c r="BN2730" s="340">
        <v>1103.6400000000001</v>
      </c>
      <c r="BO2730" s="340" t="s">
        <v>289</v>
      </c>
      <c r="BP2730" s="1385"/>
      <c r="BV2730" s="236">
        <v>84.28</v>
      </c>
      <c r="BW2730" s="236" t="s">
        <v>331</v>
      </c>
      <c r="CB2730" s="340">
        <v>22.05</v>
      </c>
      <c r="CC2730" s="340" t="s">
        <v>347</v>
      </c>
      <c r="CL2730" s="236">
        <v>163.01</v>
      </c>
      <c r="CM2730" s="236" t="s">
        <v>338</v>
      </c>
      <c r="CR2730" s="340">
        <v>1103.5999999999999</v>
      </c>
      <c r="CS2730" s="340" t="s">
        <v>289</v>
      </c>
      <c r="CT2730" s="1384"/>
      <c r="DF2730" s="340">
        <v>9117.0400000000009</v>
      </c>
      <c r="DG2730" s="340" t="s">
        <v>351</v>
      </c>
      <c r="DV2730" s="340">
        <v>9101.01</v>
      </c>
      <c r="DW2730" s="340" t="s">
        <v>337</v>
      </c>
      <c r="DX2730" s="1671"/>
    </row>
    <row r="2731" spans="12:128">
      <c r="L2731" s="2481">
        <v>824.06</v>
      </c>
      <c r="M2731" s="340" t="s">
        <v>355</v>
      </c>
      <c r="N2731" s="1390"/>
      <c r="O2731" s="2479"/>
      <c r="P2731" s="2282"/>
      <c r="AG2731" s="2297">
        <v>9502.02</v>
      </c>
      <c r="AH2731" s="2297" t="s">
        <v>308</v>
      </c>
      <c r="AI2731" s="1390"/>
      <c r="AJ2731" s="2282"/>
      <c r="AK2731" s="2282"/>
      <c r="AL2731" s="1037"/>
      <c r="AX2731" s="340">
        <v>22.05</v>
      </c>
      <c r="AY2731" s="340" t="s">
        <v>347</v>
      </c>
      <c r="BN2731" s="340">
        <v>1103.6500000000001</v>
      </c>
      <c r="BO2731" s="340" t="s">
        <v>289</v>
      </c>
      <c r="BP2731" s="1385"/>
      <c r="BV2731" s="236">
        <v>84.29</v>
      </c>
      <c r="BW2731" s="236" t="s">
        <v>331</v>
      </c>
      <c r="CB2731" s="340">
        <v>23.06</v>
      </c>
      <c r="CC2731" s="340" t="s">
        <v>347</v>
      </c>
      <c r="CL2731" s="236">
        <v>163.02000000000001</v>
      </c>
      <c r="CM2731" s="236" t="s">
        <v>338</v>
      </c>
      <c r="CR2731" s="340">
        <v>1103.6099999999999</v>
      </c>
      <c r="CS2731" s="340" t="s">
        <v>289</v>
      </c>
      <c r="CT2731" s="1384"/>
      <c r="DF2731" s="340">
        <v>9701</v>
      </c>
      <c r="DG2731" s="340" t="s">
        <v>352</v>
      </c>
      <c r="DV2731" s="340">
        <v>9102.01</v>
      </c>
      <c r="DW2731" s="340" t="s">
        <v>337</v>
      </c>
      <c r="DX2731" s="1671"/>
    </row>
    <row r="2732" spans="12:128">
      <c r="L2732" s="2481">
        <v>824.1</v>
      </c>
      <c r="M2732" s="340" t="s">
        <v>355</v>
      </c>
      <c r="N2732" s="1390"/>
      <c r="O2732" s="2479"/>
      <c r="P2732" s="2282"/>
      <c r="AG2732" s="2297">
        <v>9503</v>
      </c>
      <c r="AH2732" s="2297" t="s">
        <v>345</v>
      </c>
      <c r="AI2732" s="1390"/>
      <c r="AJ2732" s="2282"/>
      <c r="AK2732" s="2282"/>
      <c r="AL2732" s="1037"/>
      <c r="AX2732" s="340">
        <v>23.04</v>
      </c>
      <c r="AY2732" s="340" t="s">
        <v>347</v>
      </c>
      <c r="BN2732" s="340">
        <v>1103.68</v>
      </c>
      <c r="BO2732" s="340" t="s">
        <v>289</v>
      </c>
      <c r="BP2732" s="1385"/>
      <c r="BV2732" s="236">
        <v>84.3</v>
      </c>
      <c r="BW2732" s="236" t="s">
        <v>331</v>
      </c>
      <c r="CB2732" s="340">
        <v>24.01</v>
      </c>
      <c r="CC2732" s="340" t="s">
        <v>347</v>
      </c>
      <c r="CL2732" s="236">
        <v>164</v>
      </c>
      <c r="CM2732" s="236" t="s">
        <v>302</v>
      </c>
      <c r="CR2732" s="340">
        <v>1103.6199999999999</v>
      </c>
      <c r="CS2732" s="340" t="s">
        <v>289</v>
      </c>
      <c r="CT2732" s="1384"/>
      <c r="DF2732" s="340">
        <v>9704.01</v>
      </c>
      <c r="DG2732" s="340" t="s">
        <v>352</v>
      </c>
      <c r="DV2732" s="340">
        <v>9103</v>
      </c>
      <c r="DW2732" s="340" t="s">
        <v>337</v>
      </c>
      <c r="DX2732" s="1671"/>
    </row>
    <row r="2733" spans="12:128">
      <c r="L2733" s="2481">
        <v>824.11</v>
      </c>
      <c r="M2733" s="340" t="s">
        <v>355</v>
      </c>
      <c r="N2733" s="1390"/>
      <c r="O2733" s="2479"/>
      <c r="P2733" s="2282"/>
      <c r="AG2733" s="2297">
        <v>9503.02</v>
      </c>
      <c r="AH2733" s="2297" t="s">
        <v>353</v>
      </c>
      <c r="AI2733" s="1390"/>
      <c r="AJ2733" s="2282"/>
      <c r="AK2733" s="2282"/>
      <c r="AL2733" s="1037"/>
      <c r="AX2733" s="340">
        <v>23.05</v>
      </c>
      <c r="AY2733" s="340" t="s">
        <v>347</v>
      </c>
      <c r="BN2733" s="340">
        <v>1104</v>
      </c>
      <c r="BO2733" s="340" t="s">
        <v>327</v>
      </c>
      <c r="BP2733" s="1385"/>
      <c r="BV2733" s="236">
        <v>84.31</v>
      </c>
      <c r="BW2733" s="236" t="s">
        <v>331</v>
      </c>
      <c r="CB2733" s="340">
        <v>25.05</v>
      </c>
      <c r="CC2733" s="340" t="s">
        <v>347</v>
      </c>
      <c r="CL2733" s="236">
        <v>164</v>
      </c>
      <c r="CM2733" s="236" t="s">
        <v>344</v>
      </c>
      <c r="CR2733" s="340">
        <v>1103.6300000000001</v>
      </c>
      <c r="CS2733" s="340" t="s">
        <v>289</v>
      </c>
      <c r="CT2733" s="1384"/>
      <c r="DF2733" s="340">
        <v>9704.02</v>
      </c>
      <c r="DG2733" s="340" t="s">
        <v>352</v>
      </c>
      <c r="DV2733" s="340">
        <v>9103</v>
      </c>
      <c r="DW2733" s="340" t="s">
        <v>351</v>
      </c>
      <c r="DX2733" s="1671"/>
    </row>
    <row r="2734" spans="12:128">
      <c r="L2734" s="2481">
        <v>824.12</v>
      </c>
      <c r="M2734" s="340" t="s">
        <v>355</v>
      </c>
      <c r="N2734" s="1390"/>
      <c r="O2734" s="2479"/>
      <c r="P2734" s="2282"/>
      <c r="AG2734" s="2297">
        <v>9504.02</v>
      </c>
      <c r="AH2734" s="2297" t="s">
        <v>353</v>
      </c>
      <c r="AI2734" s="1390"/>
      <c r="AJ2734" s="2282"/>
      <c r="AK2734" s="2282"/>
      <c r="AL2734" s="1037"/>
      <c r="AX2734" s="340">
        <v>23.06</v>
      </c>
      <c r="AY2734" s="340" t="s">
        <v>347</v>
      </c>
      <c r="BN2734" s="340">
        <v>1104.02</v>
      </c>
      <c r="BO2734" s="340" t="s">
        <v>289</v>
      </c>
      <c r="BP2734" s="1385"/>
      <c r="BV2734" s="236">
        <v>85.02</v>
      </c>
      <c r="BW2734" s="236" t="s">
        <v>331</v>
      </c>
      <c r="CB2734" s="340">
        <v>25.1</v>
      </c>
      <c r="CC2734" s="340" t="s">
        <v>347</v>
      </c>
      <c r="CL2734" s="236">
        <v>164.01</v>
      </c>
      <c r="CM2734" s="236" t="s">
        <v>331</v>
      </c>
      <c r="CR2734" s="340">
        <v>1103.6400000000001</v>
      </c>
      <c r="CS2734" s="340" t="s">
        <v>289</v>
      </c>
      <c r="CT2734" s="1384"/>
      <c r="DF2734" s="340">
        <v>9705.01</v>
      </c>
      <c r="DG2734" s="340" t="s">
        <v>352</v>
      </c>
      <c r="DV2734" s="340">
        <v>9104.01</v>
      </c>
      <c r="DW2734" s="340" t="s">
        <v>337</v>
      </c>
      <c r="DX2734" s="1671"/>
    </row>
    <row r="2735" spans="12:128">
      <c r="L2735" s="2481">
        <v>824.13</v>
      </c>
      <c r="M2735" s="340" t="s">
        <v>355</v>
      </c>
      <c r="N2735" s="1390"/>
      <c r="O2735" s="2479"/>
      <c r="P2735" s="2282"/>
      <c r="AG2735" s="2297">
        <v>9505.01</v>
      </c>
      <c r="AH2735" s="2297" t="s">
        <v>357</v>
      </c>
      <c r="AI2735" s="1390"/>
      <c r="AJ2735" s="2282"/>
      <c r="AK2735" s="2282"/>
      <c r="AL2735" s="1037"/>
      <c r="AX2735" s="340">
        <v>24.01</v>
      </c>
      <c r="AY2735" s="340" t="s">
        <v>347</v>
      </c>
      <c r="BN2735" s="340">
        <v>1105</v>
      </c>
      <c r="BO2735" s="340" t="s">
        <v>298</v>
      </c>
      <c r="BP2735" s="1385"/>
      <c r="BV2735" s="236">
        <v>85.03</v>
      </c>
      <c r="BW2735" s="236" t="s">
        <v>331</v>
      </c>
      <c r="CB2735" s="340">
        <v>25.11</v>
      </c>
      <c r="CC2735" s="340" t="s">
        <v>347</v>
      </c>
      <c r="CL2735" s="236">
        <v>164.02</v>
      </c>
      <c r="CM2735" s="236" t="s">
        <v>331</v>
      </c>
      <c r="CR2735" s="340">
        <v>1103.6500000000001</v>
      </c>
      <c r="CS2735" s="340" t="s">
        <v>289</v>
      </c>
      <c r="CT2735" s="1384"/>
      <c r="DF2735" s="340">
        <v>9705.02</v>
      </c>
      <c r="DG2735" s="340" t="s">
        <v>352</v>
      </c>
      <c r="DV2735" s="340">
        <v>9106.01</v>
      </c>
      <c r="DW2735" s="340" t="s">
        <v>337</v>
      </c>
      <c r="DX2735" s="1671"/>
    </row>
    <row r="2736" spans="12:128">
      <c r="L2736" s="2481">
        <v>824.14</v>
      </c>
      <c r="M2736" s="340" t="s">
        <v>355</v>
      </c>
      <c r="N2736" s="1390"/>
      <c r="O2736" s="2479"/>
      <c r="P2736" s="2282"/>
      <c r="AG2736" s="2297">
        <v>9505.02</v>
      </c>
      <c r="AH2736" s="2297" t="s">
        <v>357</v>
      </c>
      <c r="AI2736" s="1390"/>
      <c r="AJ2736" s="2282"/>
      <c r="AK2736" s="2282"/>
      <c r="AL2736" s="1037"/>
      <c r="AX2736" s="340">
        <v>25.04</v>
      </c>
      <c r="AY2736" s="340" t="s">
        <v>347</v>
      </c>
      <c r="BN2736" s="340">
        <v>1105.01</v>
      </c>
      <c r="BO2736" s="340" t="s">
        <v>289</v>
      </c>
      <c r="BP2736" s="1385"/>
      <c r="BV2736" s="236">
        <v>85.04</v>
      </c>
      <c r="BW2736" s="236" t="s">
        <v>331</v>
      </c>
      <c r="CB2736" s="340">
        <v>26.01</v>
      </c>
      <c r="CC2736" s="340" t="s">
        <v>347</v>
      </c>
      <c r="CL2736" s="236">
        <v>164.02</v>
      </c>
      <c r="CM2736" s="236" t="s">
        <v>338</v>
      </c>
      <c r="CR2736" s="340">
        <v>1103.68</v>
      </c>
      <c r="CS2736" s="340" t="s">
        <v>289</v>
      </c>
      <c r="CT2736" s="1384"/>
      <c r="DF2736" s="340">
        <v>9706.02</v>
      </c>
      <c r="DG2736" s="340" t="s">
        <v>352</v>
      </c>
      <c r="DV2736" s="340">
        <v>9106.02</v>
      </c>
      <c r="DW2736" s="340" t="s">
        <v>337</v>
      </c>
      <c r="DX2736" s="1671"/>
    </row>
    <row r="2737" spans="12:128">
      <c r="L2737" s="2481">
        <v>825.08</v>
      </c>
      <c r="M2737" s="340" t="s">
        <v>355</v>
      </c>
      <c r="N2737" s="1390"/>
      <c r="O2737" s="2479"/>
      <c r="P2737" s="2282"/>
      <c r="AG2737" s="2297">
        <v>9506</v>
      </c>
      <c r="AH2737" s="2297" t="s">
        <v>345</v>
      </c>
      <c r="AI2737" s="1390"/>
      <c r="AJ2737" s="2282"/>
      <c r="AK2737" s="2282"/>
      <c r="AL2737" s="1037"/>
      <c r="AX2737" s="340">
        <v>25.05</v>
      </c>
      <c r="AY2737" s="340" t="s">
        <v>347</v>
      </c>
      <c r="BN2737" s="340">
        <v>1106</v>
      </c>
      <c r="BO2737" s="340" t="s">
        <v>289</v>
      </c>
      <c r="BP2737" s="1385"/>
      <c r="BV2737" s="236">
        <v>86.01</v>
      </c>
      <c r="BW2737" s="236" t="s">
        <v>331</v>
      </c>
      <c r="CB2737" s="340">
        <v>26.04</v>
      </c>
      <c r="CC2737" s="340" t="s">
        <v>347</v>
      </c>
      <c r="CL2737" s="236">
        <v>164.06</v>
      </c>
      <c r="CM2737" s="236" t="s">
        <v>338</v>
      </c>
      <c r="CR2737" s="340">
        <v>1104</v>
      </c>
      <c r="CS2737" s="340" t="s">
        <v>327</v>
      </c>
      <c r="CT2737" s="1384"/>
      <c r="DF2737" s="340">
        <v>9504.01</v>
      </c>
      <c r="DG2737" s="340" t="s">
        <v>353</v>
      </c>
      <c r="DV2737" s="340">
        <v>9107.02</v>
      </c>
      <c r="DW2737" s="340" t="s">
        <v>351</v>
      </c>
      <c r="DX2737" s="1671"/>
    </row>
    <row r="2738" spans="12:128">
      <c r="L2738" s="2481">
        <v>825.09</v>
      </c>
      <c r="M2738" s="340" t="s">
        <v>355</v>
      </c>
      <c r="N2738" s="1390"/>
      <c r="O2738" s="2479"/>
      <c r="P2738" s="2282"/>
      <c r="AG2738" s="2297">
        <v>9506.0400000000009</v>
      </c>
      <c r="AH2738" s="2297" t="s">
        <v>357</v>
      </c>
      <c r="AI2738" s="1390"/>
      <c r="AJ2738" s="2282"/>
      <c r="AK2738" s="2282"/>
      <c r="AL2738" s="1037"/>
      <c r="AX2738" s="340">
        <v>25.1</v>
      </c>
      <c r="AY2738" s="340" t="s">
        <v>347</v>
      </c>
      <c r="BN2738" s="340">
        <v>1106.02</v>
      </c>
      <c r="BO2738" s="340" t="s">
        <v>298</v>
      </c>
      <c r="BP2738" s="1385"/>
      <c r="BV2738" s="236">
        <v>86.03</v>
      </c>
      <c r="BW2738" s="236" t="s">
        <v>331</v>
      </c>
      <c r="CB2738" s="340">
        <v>27.16</v>
      </c>
      <c r="CC2738" s="340" t="s">
        <v>347</v>
      </c>
      <c r="CL2738" s="236">
        <v>164.07</v>
      </c>
      <c r="CM2738" s="236" t="s">
        <v>338</v>
      </c>
      <c r="CR2738" s="340">
        <v>1104.02</v>
      </c>
      <c r="CS2738" s="340" t="s">
        <v>289</v>
      </c>
      <c r="CT2738" s="1384"/>
      <c r="DF2738" s="340">
        <v>9602.02</v>
      </c>
      <c r="DG2738" s="340" t="s">
        <v>354</v>
      </c>
      <c r="DV2738" s="340">
        <v>9108</v>
      </c>
      <c r="DW2738" s="340" t="s">
        <v>351</v>
      </c>
      <c r="DX2738" s="1671"/>
    </row>
    <row r="2739" spans="12:128">
      <c r="L2739" s="2481">
        <v>825.12</v>
      </c>
      <c r="M2739" s="340" t="s">
        <v>355</v>
      </c>
      <c r="N2739" s="1390"/>
      <c r="O2739" s="2479"/>
      <c r="P2739" s="2282"/>
      <c r="AG2739" s="2297">
        <v>9506.0499999999993</v>
      </c>
      <c r="AH2739" s="2297" t="s">
        <v>357</v>
      </c>
      <c r="AI2739" s="1390"/>
      <c r="AJ2739" s="2282"/>
      <c r="AK2739" s="2282"/>
      <c r="AL2739" s="1037"/>
      <c r="AX2739" s="340">
        <v>25.11</v>
      </c>
      <c r="AY2739" s="340" t="s">
        <v>347</v>
      </c>
      <c r="BN2739" s="340">
        <v>1106.04</v>
      </c>
      <c r="BO2739" s="340" t="s">
        <v>298</v>
      </c>
      <c r="BP2739" s="1385"/>
      <c r="BV2739" s="236">
        <v>86.04</v>
      </c>
      <c r="BW2739" s="236" t="s">
        <v>331</v>
      </c>
      <c r="CB2739" s="340">
        <v>27.2</v>
      </c>
      <c r="CC2739" s="340" t="s">
        <v>347</v>
      </c>
      <c r="CL2739" s="236">
        <v>164.08</v>
      </c>
      <c r="CM2739" s="236" t="s">
        <v>338</v>
      </c>
      <c r="CR2739" s="340">
        <v>1105.01</v>
      </c>
      <c r="CS2739" s="340" t="s">
        <v>289</v>
      </c>
      <c r="CT2739" s="1384"/>
      <c r="DF2739" s="340">
        <v>9603</v>
      </c>
      <c r="DG2739" s="340" t="s">
        <v>354</v>
      </c>
      <c r="DV2739" s="340">
        <v>9112.01</v>
      </c>
      <c r="DW2739" s="340" t="s">
        <v>351</v>
      </c>
      <c r="DX2739" s="1671"/>
    </row>
    <row r="2740" spans="12:128">
      <c r="L2740" s="2481">
        <v>826.04</v>
      </c>
      <c r="M2740" s="340" t="s">
        <v>355</v>
      </c>
      <c r="N2740" s="1390"/>
      <c r="O2740" s="2479"/>
      <c r="P2740" s="2282"/>
      <c r="AG2740" s="2297">
        <v>9506.06</v>
      </c>
      <c r="AH2740" s="2297" t="s">
        <v>357</v>
      </c>
      <c r="AI2740" s="1390"/>
      <c r="AJ2740" s="2282"/>
      <c r="AK2740" s="2282"/>
      <c r="AL2740" s="1037"/>
      <c r="AX2740" s="340">
        <v>26.01</v>
      </c>
      <c r="AY2740" s="340" t="s">
        <v>347</v>
      </c>
      <c r="BN2740" s="340">
        <v>1107</v>
      </c>
      <c r="BO2740" s="340" t="s">
        <v>298</v>
      </c>
      <c r="BP2740" s="1385"/>
      <c r="BV2740" s="236">
        <v>87.02</v>
      </c>
      <c r="BW2740" s="236" t="s">
        <v>331</v>
      </c>
      <c r="CB2740" s="340">
        <v>27.25</v>
      </c>
      <c r="CC2740" s="340" t="s">
        <v>347</v>
      </c>
      <c r="CL2740" s="236">
        <v>164.09</v>
      </c>
      <c r="CM2740" s="236" t="s">
        <v>338</v>
      </c>
      <c r="CR2740" s="340">
        <v>1106</v>
      </c>
      <c r="CS2740" s="340" t="s">
        <v>289</v>
      </c>
      <c r="CT2740" s="1384"/>
      <c r="DF2740" s="340">
        <v>801.01</v>
      </c>
      <c r="DG2740" s="340" t="s">
        <v>355</v>
      </c>
      <c r="DV2740" s="340">
        <v>9112.0300000000007</v>
      </c>
      <c r="DW2740" s="340" t="s">
        <v>351</v>
      </c>
      <c r="DX2740" s="1671"/>
    </row>
    <row r="2741" spans="12:128">
      <c r="L2741" s="2481">
        <v>826.05</v>
      </c>
      <c r="M2741" s="340" t="s">
        <v>355</v>
      </c>
      <c r="N2741" s="1390"/>
      <c r="O2741" s="2479"/>
      <c r="P2741" s="2282"/>
      <c r="AG2741" s="2297">
        <v>9506.07</v>
      </c>
      <c r="AH2741" s="2297" t="s">
        <v>357</v>
      </c>
      <c r="AI2741" s="1390"/>
      <c r="AJ2741" s="2282"/>
      <c r="AK2741" s="2282"/>
      <c r="AL2741" s="1037"/>
      <c r="AX2741" s="340">
        <v>27.14</v>
      </c>
      <c r="AY2741" s="340" t="s">
        <v>347</v>
      </c>
      <c r="BN2741" s="340">
        <v>1108</v>
      </c>
      <c r="BO2741" s="340" t="s">
        <v>276</v>
      </c>
      <c r="BP2741" s="1385"/>
      <c r="BV2741" s="236">
        <v>87.03</v>
      </c>
      <c r="BW2741" s="236" t="s">
        <v>331</v>
      </c>
      <c r="CB2741" s="340">
        <v>27.26</v>
      </c>
      <c r="CC2741" s="340" t="s">
        <v>347</v>
      </c>
      <c r="CL2741" s="236">
        <v>164.11</v>
      </c>
      <c r="CM2741" s="236" t="s">
        <v>338</v>
      </c>
      <c r="CR2741" s="340">
        <v>1106.02</v>
      </c>
      <c r="CS2741" s="340" t="s">
        <v>298</v>
      </c>
      <c r="CT2741" s="1384"/>
      <c r="DF2741" s="340">
        <v>801.02</v>
      </c>
      <c r="DG2741" s="340" t="s">
        <v>355</v>
      </c>
      <c r="DV2741" s="340">
        <v>9112.0400000000009</v>
      </c>
      <c r="DW2741" s="340" t="s">
        <v>351</v>
      </c>
      <c r="DX2741" s="1671"/>
    </row>
    <row r="2742" spans="12:128">
      <c r="L2742" s="2481">
        <v>826.06</v>
      </c>
      <c r="M2742" s="340" t="s">
        <v>355</v>
      </c>
      <c r="N2742" s="1390"/>
      <c r="O2742" s="2479"/>
      <c r="P2742" s="2282"/>
      <c r="AG2742" s="2297">
        <v>9506.08</v>
      </c>
      <c r="AH2742" s="2297" t="s">
        <v>357</v>
      </c>
      <c r="AI2742" s="1390"/>
      <c r="AJ2742" s="2282"/>
      <c r="AK2742" s="2282"/>
      <c r="AL2742" s="1037"/>
      <c r="AX2742" s="340">
        <v>27.16</v>
      </c>
      <c r="AY2742" s="340" t="s">
        <v>347</v>
      </c>
      <c r="BN2742" s="340">
        <v>1109.04</v>
      </c>
      <c r="BO2742" s="340" t="s">
        <v>298</v>
      </c>
      <c r="BP2742" s="1385"/>
      <c r="BV2742" s="236">
        <v>87.04</v>
      </c>
      <c r="BW2742" s="236" t="s">
        <v>331</v>
      </c>
      <c r="CB2742" s="340">
        <v>27.27</v>
      </c>
      <c r="CC2742" s="340" t="s">
        <v>347</v>
      </c>
      <c r="CL2742" s="236">
        <v>164.12</v>
      </c>
      <c r="CM2742" s="236" t="s">
        <v>338</v>
      </c>
      <c r="CR2742" s="340">
        <v>1106.04</v>
      </c>
      <c r="CS2742" s="340" t="s">
        <v>298</v>
      </c>
      <c r="CT2742" s="1384"/>
      <c r="DF2742" s="340">
        <v>802.01</v>
      </c>
      <c r="DG2742" s="340" t="s">
        <v>355</v>
      </c>
      <c r="DV2742" s="340">
        <v>9112.0499999999993</v>
      </c>
      <c r="DW2742" s="340" t="s">
        <v>351</v>
      </c>
      <c r="DX2742" s="1671"/>
    </row>
    <row r="2743" spans="12:128">
      <c r="L2743" s="2481">
        <v>826.07</v>
      </c>
      <c r="M2743" s="340" t="s">
        <v>355</v>
      </c>
      <c r="N2743" s="1390"/>
      <c r="O2743" s="2479"/>
      <c r="P2743" s="2282"/>
      <c r="AG2743" s="2297">
        <v>9506.09</v>
      </c>
      <c r="AH2743" s="2297" t="s">
        <v>357</v>
      </c>
      <c r="AI2743" s="1390"/>
      <c r="AJ2743" s="2282"/>
      <c r="AK2743" s="2282"/>
      <c r="AL2743" s="1037"/>
      <c r="AX2743" s="340">
        <v>27.2</v>
      </c>
      <c r="AY2743" s="340" t="s">
        <v>347</v>
      </c>
      <c r="BN2743" s="340">
        <v>2101</v>
      </c>
      <c r="BO2743" s="340" t="s">
        <v>319</v>
      </c>
      <c r="BP2743" s="1385"/>
      <c r="BV2743" s="236">
        <v>88.05</v>
      </c>
      <c r="BW2743" s="236" t="s">
        <v>331</v>
      </c>
      <c r="CB2743" s="340">
        <v>27.28</v>
      </c>
      <c r="CC2743" s="340" t="s">
        <v>347</v>
      </c>
      <c r="CL2743" s="236">
        <v>164.13</v>
      </c>
      <c r="CM2743" s="236" t="s">
        <v>338</v>
      </c>
      <c r="CR2743" s="340">
        <v>1107</v>
      </c>
      <c r="CS2743" s="340" t="s">
        <v>298</v>
      </c>
      <c r="CT2743" s="1384"/>
      <c r="DF2743" s="340">
        <v>802.02</v>
      </c>
      <c r="DG2743" s="340" t="s">
        <v>355</v>
      </c>
      <c r="DV2743" s="340">
        <v>9112.06</v>
      </c>
      <c r="DW2743" s="340" t="s">
        <v>351</v>
      </c>
      <c r="DX2743" s="1671"/>
    </row>
    <row r="2744" spans="12:128">
      <c r="L2744" s="2481">
        <v>827.01</v>
      </c>
      <c r="M2744" s="340" t="s">
        <v>355</v>
      </c>
      <c r="N2744" s="1390"/>
      <c r="O2744" s="2479"/>
      <c r="P2744" s="2282"/>
      <c r="AG2744" s="2297">
        <v>9506.1</v>
      </c>
      <c r="AH2744" s="2297" t="s">
        <v>357</v>
      </c>
      <c r="AI2744" s="1390"/>
      <c r="AJ2744" s="2282"/>
      <c r="AK2744" s="2282"/>
      <c r="AL2744" s="1037"/>
      <c r="AX2744" s="340">
        <v>27.25</v>
      </c>
      <c r="AY2744" s="340" t="s">
        <v>347</v>
      </c>
      <c r="BN2744" s="340">
        <v>2103.0100000000002</v>
      </c>
      <c r="BO2744" s="340" t="s">
        <v>319</v>
      </c>
      <c r="BP2744" s="1385"/>
      <c r="BV2744" s="236">
        <v>88.06</v>
      </c>
      <c r="BW2744" s="236" t="s">
        <v>331</v>
      </c>
      <c r="CB2744" s="340">
        <v>27.3</v>
      </c>
      <c r="CC2744" s="340" t="s">
        <v>347</v>
      </c>
      <c r="CL2744" s="236">
        <v>164.14</v>
      </c>
      <c r="CM2744" s="236" t="s">
        <v>338</v>
      </c>
      <c r="CR2744" s="340">
        <v>1108</v>
      </c>
      <c r="CS2744" s="340" t="s">
        <v>276</v>
      </c>
      <c r="CT2744" s="1384"/>
      <c r="DF2744" s="340">
        <v>803</v>
      </c>
      <c r="DG2744" s="340" t="s">
        <v>355</v>
      </c>
      <c r="DV2744" s="340">
        <v>9112.07</v>
      </c>
      <c r="DW2744" s="340" t="s">
        <v>351</v>
      </c>
      <c r="DX2744" s="1671"/>
    </row>
    <row r="2745" spans="12:128">
      <c r="L2745" s="2481">
        <v>827.03</v>
      </c>
      <c r="M2745" s="340" t="s">
        <v>355</v>
      </c>
      <c r="N2745" s="1390"/>
      <c r="O2745" s="2479"/>
      <c r="P2745" s="2282"/>
      <c r="AG2745" s="2297">
        <v>9506.11</v>
      </c>
      <c r="AH2745" s="2297" t="s">
        <v>357</v>
      </c>
      <c r="AI2745" s="1390"/>
      <c r="AJ2745" s="2282"/>
      <c r="AK2745" s="2282"/>
      <c r="AL2745" s="1037"/>
      <c r="AX2745" s="340">
        <v>27.26</v>
      </c>
      <c r="AY2745" s="340" t="s">
        <v>347</v>
      </c>
      <c r="BN2745" s="340">
        <v>2104</v>
      </c>
      <c r="BO2745" s="340" t="s">
        <v>319</v>
      </c>
      <c r="BP2745" s="1385"/>
      <c r="BV2745" s="236">
        <v>88.07</v>
      </c>
      <c r="BW2745" s="236" t="s">
        <v>331</v>
      </c>
      <c r="CB2745" s="340">
        <v>27.31</v>
      </c>
      <c r="CC2745" s="340" t="s">
        <v>347</v>
      </c>
      <c r="CL2745" s="236">
        <v>165</v>
      </c>
      <c r="CM2745" s="236" t="s">
        <v>302</v>
      </c>
      <c r="CR2745" s="340">
        <v>1108</v>
      </c>
      <c r="CS2745" s="340" t="s">
        <v>298</v>
      </c>
      <c r="CT2745" s="1384"/>
      <c r="DF2745" s="340">
        <v>804</v>
      </c>
      <c r="DG2745" s="340" t="s">
        <v>355</v>
      </c>
      <c r="DV2745" s="340">
        <v>9114.01</v>
      </c>
      <c r="DW2745" s="340" t="s">
        <v>351</v>
      </c>
      <c r="DX2745" s="1671"/>
    </row>
    <row r="2746" spans="12:128">
      <c r="L2746" s="2481">
        <v>827.04</v>
      </c>
      <c r="M2746" s="340" t="s">
        <v>355</v>
      </c>
      <c r="N2746" s="1390"/>
      <c r="O2746" s="2479"/>
      <c r="P2746" s="2282"/>
      <c r="AG2746" s="2297">
        <v>9510</v>
      </c>
      <c r="AH2746" s="2297" t="s">
        <v>345</v>
      </c>
      <c r="AI2746" s="1390"/>
      <c r="AJ2746" s="2282"/>
      <c r="AK2746" s="2282"/>
      <c r="AL2746" s="1037"/>
      <c r="AX2746" s="340">
        <v>27.27</v>
      </c>
      <c r="AY2746" s="340" t="s">
        <v>347</v>
      </c>
      <c r="BN2746" s="340">
        <v>2105</v>
      </c>
      <c r="BO2746" s="340" t="s">
        <v>319</v>
      </c>
      <c r="BP2746" s="1385"/>
      <c r="BV2746" s="236">
        <v>88.08</v>
      </c>
      <c r="BW2746" s="236" t="s">
        <v>331</v>
      </c>
      <c r="CB2746" s="340">
        <v>27.32</v>
      </c>
      <c r="CC2746" s="340" t="s">
        <v>347</v>
      </c>
      <c r="CL2746" s="236">
        <v>165.01</v>
      </c>
      <c r="CM2746" s="236" t="s">
        <v>331</v>
      </c>
      <c r="CR2746" s="340">
        <v>1109.03</v>
      </c>
      <c r="CS2746" s="340" t="s">
        <v>298</v>
      </c>
      <c r="CT2746" s="1384"/>
      <c r="DF2746" s="340">
        <v>805</v>
      </c>
      <c r="DG2746" s="340" t="s">
        <v>355</v>
      </c>
      <c r="DV2746" s="340">
        <v>9114.02</v>
      </c>
      <c r="DW2746" s="340" t="s">
        <v>351</v>
      </c>
      <c r="DX2746" s="1671"/>
    </row>
    <row r="2747" spans="12:128">
      <c r="L2747" s="2481">
        <v>827.05</v>
      </c>
      <c r="M2747" s="340" t="s">
        <v>355</v>
      </c>
      <c r="N2747" s="1390"/>
      <c r="O2747" s="2479"/>
      <c r="P2747" s="2282"/>
      <c r="AG2747" s="2297">
        <v>9511</v>
      </c>
      <c r="AH2747" s="2297" t="s">
        <v>345</v>
      </c>
      <c r="AI2747" s="1390"/>
      <c r="AJ2747" s="2282"/>
      <c r="AK2747" s="2282"/>
      <c r="AL2747" s="1037"/>
      <c r="AX2747" s="340">
        <v>27.28</v>
      </c>
      <c r="AY2747" s="340" t="s">
        <v>347</v>
      </c>
      <c r="BN2747" s="340">
        <v>2107</v>
      </c>
      <c r="BO2747" s="340" t="s">
        <v>319</v>
      </c>
      <c r="BP2747" s="1385"/>
      <c r="BV2747" s="236">
        <v>88.09</v>
      </c>
      <c r="BW2747" s="236" t="s">
        <v>331</v>
      </c>
      <c r="CB2747" s="340">
        <v>27.33</v>
      </c>
      <c r="CC2747" s="340" t="s">
        <v>347</v>
      </c>
      <c r="CL2747" s="236">
        <v>165.02</v>
      </c>
      <c r="CM2747" s="236" t="s">
        <v>331</v>
      </c>
      <c r="CR2747" s="340">
        <v>1109.04</v>
      </c>
      <c r="CS2747" s="340" t="s">
        <v>298</v>
      </c>
      <c r="CT2747" s="1384"/>
      <c r="DF2747" s="340">
        <v>807</v>
      </c>
      <c r="DG2747" s="340" t="s">
        <v>355</v>
      </c>
      <c r="DV2747" s="340">
        <v>9117.0400000000009</v>
      </c>
      <c r="DW2747" s="340" t="s">
        <v>351</v>
      </c>
      <c r="DX2747" s="1671"/>
    </row>
    <row r="2748" spans="12:128">
      <c r="L2748" s="2481">
        <v>828.02</v>
      </c>
      <c r="M2748" s="340" t="s">
        <v>355</v>
      </c>
      <c r="N2748" s="1390"/>
      <c r="O2748" s="2479"/>
      <c r="P2748" s="2282"/>
      <c r="AG2748" s="2297">
        <v>9601</v>
      </c>
      <c r="AH2748" s="2297" t="s">
        <v>317</v>
      </c>
      <c r="AI2748" s="1390"/>
      <c r="AJ2748" s="2282"/>
      <c r="AK2748" s="2282"/>
      <c r="AL2748" s="1037"/>
      <c r="AX2748" s="340">
        <v>27.3</v>
      </c>
      <c r="AY2748" s="340" t="s">
        <v>347</v>
      </c>
      <c r="BN2748" s="340">
        <v>2109.0100000000002</v>
      </c>
      <c r="BO2748" s="340" t="s">
        <v>319</v>
      </c>
      <c r="BP2748" s="1385"/>
      <c r="BV2748" s="236">
        <v>88.1</v>
      </c>
      <c r="BW2748" s="236" t="s">
        <v>331</v>
      </c>
      <c r="CB2748" s="340">
        <v>27.34</v>
      </c>
      <c r="CC2748" s="340" t="s">
        <v>347</v>
      </c>
      <c r="CL2748" s="236">
        <v>165.03</v>
      </c>
      <c r="CM2748" s="236" t="s">
        <v>338</v>
      </c>
      <c r="CR2748" s="340">
        <v>2101</v>
      </c>
      <c r="CS2748" s="340" t="s">
        <v>319</v>
      </c>
      <c r="CT2748" s="1384"/>
      <c r="DF2748" s="340">
        <v>808.03</v>
      </c>
      <c r="DG2748" s="340" t="s">
        <v>355</v>
      </c>
      <c r="DV2748" s="340">
        <v>9501</v>
      </c>
      <c r="DW2748" s="340" t="s">
        <v>326</v>
      </c>
      <c r="DX2748" s="1671"/>
    </row>
    <row r="2749" spans="12:128">
      <c r="L2749" s="2481">
        <v>829.03</v>
      </c>
      <c r="M2749" s="340" t="s">
        <v>355</v>
      </c>
      <c r="N2749" s="1390"/>
      <c r="O2749" s="2479"/>
      <c r="P2749" s="2282"/>
      <c r="AG2749" s="2297">
        <v>9601.01</v>
      </c>
      <c r="AH2749" s="2297" t="s">
        <v>315</v>
      </c>
      <c r="AI2749" s="1390"/>
      <c r="AJ2749" s="2282"/>
      <c r="AK2749" s="2282"/>
      <c r="AL2749" s="1037"/>
      <c r="AX2749" s="340">
        <v>27.31</v>
      </c>
      <c r="AY2749" s="340" t="s">
        <v>347</v>
      </c>
      <c r="BN2749" s="340">
        <v>2110</v>
      </c>
      <c r="BO2749" s="340" t="s">
        <v>319</v>
      </c>
      <c r="BP2749" s="1385"/>
      <c r="BV2749" s="236">
        <v>89.04</v>
      </c>
      <c r="BW2749" s="236" t="s">
        <v>331</v>
      </c>
      <c r="CB2749" s="340">
        <v>27.35</v>
      </c>
      <c r="CC2749" s="340" t="s">
        <v>347</v>
      </c>
      <c r="CL2749" s="236">
        <v>165.04</v>
      </c>
      <c r="CM2749" s="236" t="s">
        <v>338</v>
      </c>
      <c r="CR2749" s="340">
        <v>2103.0100000000002</v>
      </c>
      <c r="CS2749" s="340" t="s">
        <v>319</v>
      </c>
      <c r="CT2749" s="1384"/>
      <c r="DF2749" s="340">
        <v>808.06</v>
      </c>
      <c r="DG2749" s="340" t="s">
        <v>355</v>
      </c>
      <c r="DV2749" s="340">
        <v>9501</v>
      </c>
      <c r="DW2749" s="340" t="s">
        <v>345</v>
      </c>
      <c r="DX2749" s="1671"/>
    </row>
    <row r="2750" spans="12:128">
      <c r="L2750" s="2481">
        <v>829.04</v>
      </c>
      <c r="M2750" s="340" t="s">
        <v>355</v>
      </c>
      <c r="N2750" s="1390"/>
      <c r="O2750" s="2479"/>
      <c r="P2750" s="2282"/>
      <c r="AG2750" s="2297">
        <v>9601.02</v>
      </c>
      <c r="AH2750" s="2297" t="s">
        <v>310</v>
      </c>
      <c r="AI2750" s="1390"/>
      <c r="AJ2750" s="2282"/>
      <c r="AK2750" s="2282"/>
      <c r="AL2750" s="1037"/>
      <c r="AX2750" s="340">
        <v>27.32</v>
      </c>
      <c r="AY2750" s="340" t="s">
        <v>347</v>
      </c>
      <c r="BN2750" s="340">
        <v>2111</v>
      </c>
      <c r="BO2750" s="340" t="s">
        <v>319</v>
      </c>
      <c r="BP2750" s="1385"/>
      <c r="BV2750" s="236">
        <v>89.06</v>
      </c>
      <c r="BW2750" s="236" t="s">
        <v>331</v>
      </c>
      <c r="CB2750" s="340">
        <v>27.36</v>
      </c>
      <c r="CC2750" s="340" t="s">
        <v>347</v>
      </c>
      <c r="CL2750" s="236">
        <v>165.05</v>
      </c>
      <c r="CM2750" s="236" t="s">
        <v>338</v>
      </c>
      <c r="CR2750" s="340">
        <v>2103.02</v>
      </c>
      <c r="CS2750" s="340" t="s">
        <v>319</v>
      </c>
      <c r="CT2750" s="1384"/>
      <c r="DF2750" s="340">
        <v>808.07</v>
      </c>
      <c r="DG2750" s="340" t="s">
        <v>355</v>
      </c>
      <c r="DV2750" s="340">
        <v>9502.02</v>
      </c>
      <c r="DW2750" s="340" t="s">
        <v>308</v>
      </c>
      <c r="DX2750" s="1671"/>
    </row>
    <row r="2751" spans="12:128">
      <c r="L2751" s="2481">
        <v>830.05</v>
      </c>
      <c r="M2751" s="340" t="s">
        <v>355</v>
      </c>
      <c r="N2751" s="1390"/>
      <c r="O2751" s="2479"/>
      <c r="P2751" s="2282"/>
      <c r="AG2751" s="2297">
        <v>9601.02</v>
      </c>
      <c r="AH2751" s="2297" t="s">
        <v>311</v>
      </c>
      <c r="AI2751" s="1390"/>
      <c r="AJ2751" s="2282"/>
      <c r="AK2751" s="2282"/>
      <c r="AL2751" s="1037"/>
      <c r="AX2751" s="340">
        <v>27.33</v>
      </c>
      <c r="AY2751" s="340" t="s">
        <v>347</v>
      </c>
      <c r="BN2751" s="340">
        <v>2501.04</v>
      </c>
      <c r="BO2751" s="340" t="s">
        <v>320</v>
      </c>
      <c r="BP2751" s="1385"/>
      <c r="BV2751" s="236">
        <v>89.07</v>
      </c>
      <c r="BW2751" s="236" t="s">
        <v>331</v>
      </c>
      <c r="CB2751" s="340">
        <v>27.37</v>
      </c>
      <c r="CC2751" s="340" t="s">
        <v>347</v>
      </c>
      <c r="CL2751" s="236">
        <v>165.09</v>
      </c>
      <c r="CM2751" s="236" t="s">
        <v>338</v>
      </c>
      <c r="CR2751" s="340">
        <v>2104</v>
      </c>
      <c r="CS2751" s="340" t="s">
        <v>319</v>
      </c>
      <c r="CT2751" s="1384"/>
      <c r="DF2751" s="340">
        <v>811.01</v>
      </c>
      <c r="DG2751" s="340" t="s">
        <v>355</v>
      </c>
      <c r="DV2751" s="340">
        <v>9502.0300000000007</v>
      </c>
      <c r="DW2751" s="340" t="s">
        <v>308</v>
      </c>
      <c r="DX2751" s="1671"/>
    </row>
    <row r="2752" spans="12:128">
      <c r="L2752" s="2481">
        <v>830.08</v>
      </c>
      <c r="M2752" s="340" t="s">
        <v>355</v>
      </c>
      <c r="N2752" s="1390"/>
      <c r="O2752" s="2479"/>
      <c r="P2752" s="2282"/>
      <c r="AG2752" s="2297">
        <v>9601.0400000000009</v>
      </c>
      <c r="AH2752" s="2297" t="s">
        <v>315</v>
      </c>
      <c r="AI2752" s="1390"/>
      <c r="AJ2752" s="2282"/>
      <c r="AK2752" s="2282"/>
      <c r="AL2752" s="1037"/>
      <c r="AX2752" s="340">
        <v>27.34</v>
      </c>
      <c r="AY2752" s="340" t="s">
        <v>347</v>
      </c>
      <c r="BN2752" s="340">
        <v>2501.0500000000002</v>
      </c>
      <c r="BO2752" s="340" t="s">
        <v>320</v>
      </c>
      <c r="BP2752" s="1385"/>
      <c r="BV2752" s="236">
        <v>89.08</v>
      </c>
      <c r="BW2752" s="236" t="s">
        <v>331</v>
      </c>
      <c r="CB2752" s="340">
        <v>27.38</v>
      </c>
      <c r="CC2752" s="340" t="s">
        <v>347</v>
      </c>
      <c r="CL2752" s="236">
        <v>165.1</v>
      </c>
      <c r="CM2752" s="236" t="s">
        <v>338</v>
      </c>
      <c r="CR2752" s="340">
        <v>2105</v>
      </c>
      <c r="CS2752" s="340" t="s">
        <v>319</v>
      </c>
      <c r="CT2752" s="1384"/>
      <c r="DF2752" s="340">
        <v>812.01</v>
      </c>
      <c r="DG2752" s="340" t="s">
        <v>355</v>
      </c>
      <c r="DV2752" s="340">
        <v>9503</v>
      </c>
      <c r="DW2752" s="340" t="s">
        <v>345</v>
      </c>
      <c r="DX2752" s="1671"/>
    </row>
    <row r="2753" spans="12:128">
      <c r="L2753" s="2481">
        <v>832.03</v>
      </c>
      <c r="M2753" s="340" t="s">
        <v>355</v>
      </c>
      <c r="N2753" s="1390"/>
      <c r="O2753" s="2479"/>
      <c r="P2753" s="2282"/>
      <c r="AG2753" s="2297">
        <v>9602</v>
      </c>
      <c r="AH2753" s="2297" t="s">
        <v>310</v>
      </c>
      <c r="AI2753" s="1390"/>
      <c r="AJ2753" s="2282"/>
      <c r="AK2753" s="2282"/>
      <c r="AL2753" s="1037"/>
      <c r="AX2753" s="340">
        <v>27.35</v>
      </c>
      <c r="AY2753" s="340" t="s">
        <v>347</v>
      </c>
      <c r="BN2753" s="340">
        <v>2501.06</v>
      </c>
      <c r="BO2753" s="340" t="s">
        <v>320</v>
      </c>
      <c r="BP2753" s="1385"/>
      <c r="BV2753" s="236">
        <v>89.09</v>
      </c>
      <c r="BW2753" s="236" t="s">
        <v>331</v>
      </c>
      <c r="CB2753" s="340">
        <v>27.42</v>
      </c>
      <c r="CC2753" s="340" t="s">
        <v>347</v>
      </c>
      <c r="CL2753" s="236">
        <v>165.11</v>
      </c>
      <c r="CM2753" s="236" t="s">
        <v>338</v>
      </c>
      <c r="CR2753" s="340">
        <v>2107</v>
      </c>
      <c r="CS2753" s="340" t="s">
        <v>319</v>
      </c>
      <c r="CT2753" s="1384"/>
      <c r="DF2753" s="340">
        <v>813</v>
      </c>
      <c r="DG2753" s="340" t="s">
        <v>355</v>
      </c>
      <c r="DV2753" s="340">
        <v>9504</v>
      </c>
      <c r="DW2753" s="340" t="s">
        <v>345</v>
      </c>
      <c r="DX2753" s="1671"/>
    </row>
    <row r="2754" spans="12:128">
      <c r="L2754" s="2481">
        <v>832.05</v>
      </c>
      <c r="M2754" s="340" t="s">
        <v>355</v>
      </c>
      <c r="N2754" s="1390"/>
      <c r="O2754" s="2479"/>
      <c r="P2754" s="2282"/>
      <c r="AG2754" s="2297">
        <v>9602.01</v>
      </c>
      <c r="AH2754" s="2297" t="s">
        <v>317</v>
      </c>
      <c r="AI2754" s="1390"/>
      <c r="AJ2754" s="2282"/>
      <c r="AK2754" s="2282"/>
      <c r="AL2754" s="1037"/>
      <c r="AX2754" s="340">
        <v>27.37</v>
      </c>
      <c r="AY2754" s="340" t="s">
        <v>347</v>
      </c>
      <c r="BN2754" s="340">
        <v>2502</v>
      </c>
      <c r="BO2754" s="340" t="s">
        <v>320</v>
      </c>
      <c r="BP2754" s="1385"/>
      <c r="BV2754" s="236">
        <v>89.1</v>
      </c>
      <c r="BW2754" s="236" t="s">
        <v>331</v>
      </c>
      <c r="CB2754" s="340">
        <v>27.44</v>
      </c>
      <c r="CC2754" s="340" t="s">
        <v>347</v>
      </c>
      <c r="CL2754" s="236">
        <v>165.12</v>
      </c>
      <c r="CM2754" s="236" t="s">
        <v>338</v>
      </c>
      <c r="CR2754" s="340">
        <v>2109.02</v>
      </c>
      <c r="CS2754" s="340" t="s">
        <v>319</v>
      </c>
      <c r="CT2754" s="1384"/>
      <c r="DF2754" s="340">
        <v>824.05</v>
      </c>
      <c r="DG2754" s="340" t="s">
        <v>355</v>
      </c>
      <c r="DV2754" s="340">
        <v>9504.01</v>
      </c>
      <c r="DW2754" s="340" t="s">
        <v>353</v>
      </c>
      <c r="DX2754" s="1671"/>
    </row>
    <row r="2755" spans="12:128">
      <c r="L2755" s="2481">
        <v>832.06</v>
      </c>
      <c r="M2755" s="340" t="s">
        <v>355</v>
      </c>
      <c r="N2755" s="1390"/>
      <c r="O2755" s="2479"/>
      <c r="P2755" s="2282"/>
      <c r="AG2755" s="2297">
        <v>9602.02</v>
      </c>
      <c r="AH2755" s="2297" t="s">
        <v>311</v>
      </c>
      <c r="AI2755" s="1390"/>
      <c r="AJ2755" s="2282"/>
      <c r="AK2755" s="2282"/>
      <c r="AL2755" s="1037"/>
      <c r="AX2755" s="340">
        <v>27.38</v>
      </c>
      <c r="AY2755" s="340" t="s">
        <v>347</v>
      </c>
      <c r="BN2755" s="340">
        <v>3807</v>
      </c>
      <c r="BO2755" s="340" t="s">
        <v>350</v>
      </c>
      <c r="BP2755" s="1385"/>
      <c r="BV2755" s="236">
        <v>89.11</v>
      </c>
      <c r="BW2755" s="236" t="s">
        <v>331</v>
      </c>
      <c r="CB2755" s="340">
        <v>27.47</v>
      </c>
      <c r="CC2755" s="340" t="s">
        <v>347</v>
      </c>
      <c r="CL2755" s="236">
        <v>165.13</v>
      </c>
      <c r="CM2755" s="236" t="s">
        <v>338</v>
      </c>
      <c r="CR2755" s="340">
        <v>2111</v>
      </c>
      <c r="CS2755" s="340" t="s">
        <v>319</v>
      </c>
      <c r="CT2755" s="1384"/>
      <c r="DF2755" s="340">
        <v>824.06</v>
      </c>
      <c r="DG2755" s="340" t="s">
        <v>355</v>
      </c>
      <c r="DV2755" s="340">
        <v>9505</v>
      </c>
      <c r="DW2755" s="340" t="s">
        <v>345</v>
      </c>
      <c r="DX2755" s="1671"/>
    </row>
    <row r="2756" spans="12:128">
      <c r="L2756" s="2481">
        <v>832.07</v>
      </c>
      <c r="M2756" s="340" t="s">
        <v>355</v>
      </c>
      <c r="N2756" s="1390"/>
      <c r="O2756" s="2479"/>
      <c r="P2756" s="2282"/>
      <c r="AG2756" s="2297">
        <v>9602.02</v>
      </c>
      <c r="AH2756" s="2297" t="s">
        <v>321</v>
      </c>
      <c r="AI2756" s="1390"/>
      <c r="AJ2756" s="2282"/>
      <c r="AK2756" s="2282"/>
      <c r="AL2756" s="1037"/>
      <c r="AX2756" s="340">
        <v>27.42</v>
      </c>
      <c r="AY2756" s="340" t="s">
        <v>347</v>
      </c>
      <c r="BN2756" s="340">
        <v>3810</v>
      </c>
      <c r="BO2756" s="340" t="s">
        <v>350</v>
      </c>
      <c r="BP2756" s="1385"/>
      <c r="BV2756" s="236">
        <v>90.1</v>
      </c>
      <c r="BW2756" s="236" t="s">
        <v>331</v>
      </c>
      <c r="CB2756" s="340">
        <v>27.48</v>
      </c>
      <c r="CC2756" s="340" t="s">
        <v>347</v>
      </c>
      <c r="CL2756" s="236">
        <v>165.14</v>
      </c>
      <c r="CM2756" s="236" t="s">
        <v>338</v>
      </c>
      <c r="CR2756" s="340">
        <v>2501.04</v>
      </c>
      <c r="CS2756" s="340" t="s">
        <v>320</v>
      </c>
      <c r="CT2756" s="1384"/>
      <c r="DF2756" s="340">
        <v>824.1</v>
      </c>
      <c r="DG2756" s="340" t="s">
        <v>355</v>
      </c>
      <c r="DV2756" s="340">
        <v>9505.02</v>
      </c>
      <c r="DW2756" s="340" t="s">
        <v>357</v>
      </c>
      <c r="DX2756" s="1671"/>
    </row>
    <row r="2757" spans="12:128">
      <c r="L2757" s="2481">
        <v>832.09</v>
      </c>
      <c r="M2757" s="340" t="s">
        <v>355</v>
      </c>
      <c r="N2757" s="1390"/>
      <c r="O2757" s="2479"/>
      <c r="P2757" s="2282"/>
      <c r="AG2757" s="2297">
        <v>9603</v>
      </c>
      <c r="AH2757" s="2297" t="s">
        <v>354</v>
      </c>
      <c r="AI2757" s="1390"/>
      <c r="AJ2757" s="2282"/>
      <c r="AK2757" s="2282"/>
      <c r="AL2757" s="1037"/>
      <c r="AX2757" s="340">
        <v>27.45</v>
      </c>
      <c r="AY2757" s="340" t="s">
        <v>347</v>
      </c>
      <c r="BN2757" s="340">
        <v>3811.05</v>
      </c>
      <c r="BO2757" s="340" t="s">
        <v>350</v>
      </c>
      <c r="BP2757" s="1385"/>
      <c r="BV2757" s="236">
        <v>90.14</v>
      </c>
      <c r="BW2757" s="236" t="s">
        <v>331</v>
      </c>
      <c r="CB2757" s="340">
        <v>206.02</v>
      </c>
      <c r="CC2757" s="340" t="s">
        <v>348</v>
      </c>
      <c r="CL2757" s="236">
        <v>165.15</v>
      </c>
      <c r="CM2757" s="236" t="s">
        <v>338</v>
      </c>
      <c r="CR2757" s="340">
        <v>2501.0500000000002</v>
      </c>
      <c r="CS2757" s="340" t="s">
        <v>320</v>
      </c>
      <c r="CT2757" s="1384"/>
      <c r="DF2757" s="340">
        <v>824.11</v>
      </c>
      <c r="DG2757" s="340" t="s">
        <v>355</v>
      </c>
      <c r="DV2757" s="340">
        <v>9506</v>
      </c>
      <c r="DW2757" s="340" t="s">
        <v>345</v>
      </c>
      <c r="DX2757" s="1671"/>
    </row>
    <row r="2758" spans="12:128">
      <c r="L2758" s="2481">
        <v>832.1</v>
      </c>
      <c r="M2758" s="340" t="s">
        <v>355</v>
      </c>
      <c r="N2758" s="1390"/>
      <c r="O2758" s="2479"/>
      <c r="P2758" s="2282"/>
      <c r="AG2758" s="2297">
        <v>9603.02</v>
      </c>
      <c r="AH2758" s="2297" t="s">
        <v>310</v>
      </c>
      <c r="AI2758" s="1390"/>
      <c r="AJ2758" s="2282"/>
      <c r="AK2758" s="2282"/>
      <c r="AL2758" s="1037"/>
      <c r="AX2758" s="340">
        <v>27.47</v>
      </c>
      <c r="AY2758" s="340" t="s">
        <v>347</v>
      </c>
      <c r="BN2758" s="340">
        <v>3811.06</v>
      </c>
      <c r="BO2758" s="340" t="s">
        <v>350</v>
      </c>
      <c r="BP2758" s="1385"/>
      <c r="BV2758" s="236">
        <v>90.15</v>
      </c>
      <c r="BW2758" s="236" t="s">
        <v>331</v>
      </c>
      <c r="CB2758" s="340">
        <v>207.03</v>
      </c>
      <c r="CC2758" s="340" t="s">
        <v>348</v>
      </c>
      <c r="CL2758" s="236">
        <v>166</v>
      </c>
      <c r="CM2758" s="236" t="s">
        <v>331</v>
      </c>
      <c r="CR2758" s="340">
        <v>2501.06</v>
      </c>
      <c r="CS2758" s="340" t="s">
        <v>320</v>
      </c>
      <c r="CT2758" s="1384"/>
      <c r="DF2758" s="340">
        <v>824.12</v>
      </c>
      <c r="DG2758" s="340" t="s">
        <v>355</v>
      </c>
      <c r="DV2758" s="340">
        <v>9506.0400000000009</v>
      </c>
      <c r="DW2758" s="340" t="s">
        <v>357</v>
      </c>
      <c r="DX2758" s="1671"/>
    </row>
    <row r="2759" spans="12:128">
      <c r="L2759" s="2481">
        <v>832.11</v>
      </c>
      <c r="M2759" s="340" t="s">
        <v>355</v>
      </c>
      <c r="N2759" s="1390"/>
      <c r="O2759" s="2479"/>
      <c r="P2759" s="2282"/>
      <c r="AG2759" s="2297">
        <v>9604.02</v>
      </c>
      <c r="AH2759" s="2297" t="s">
        <v>315</v>
      </c>
      <c r="AI2759" s="1390"/>
      <c r="AJ2759" s="2282"/>
      <c r="AK2759" s="2282"/>
      <c r="AL2759" s="1037"/>
      <c r="AX2759" s="340">
        <v>206.02</v>
      </c>
      <c r="AY2759" s="340" t="s">
        <v>348</v>
      </c>
      <c r="BN2759" s="340">
        <v>3812.04</v>
      </c>
      <c r="BO2759" s="340" t="s">
        <v>350</v>
      </c>
      <c r="BP2759" s="1385"/>
      <c r="BV2759" s="236">
        <v>90.2</v>
      </c>
      <c r="BW2759" s="236" t="s">
        <v>331</v>
      </c>
      <c r="CB2759" s="340">
        <v>207.04</v>
      </c>
      <c r="CC2759" s="340" t="s">
        <v>348</v>
      </c>
      <c r="CL2759" s="236">
        <v>166.03</v>
      </c>
      <c r="CM2759" s="236" t="s">
        <v>302</v>
      </c>
      <c r="CR2759" s="340">
        <v>3807</v>
      </c>
      <c r="CS2759" s="340" t="s">
        <v>350</v>
      </c>
      <c r="CT2759" s="1384"/>
      <c r="DF2759" s="340">
        <v>824.13</v>
      </c>
      <c r="DG2759" s="340" t="s">
        <v>355</v>
      </c>
      <c r="DV2759" s="340">
        <v>9506.0499999999993</v>
      </c>
      <c r="DW2759" s="340" t="s">
        <v>357</v>
      </c>
      <c r="DX2759" s="1671"/>
    </row>
    <row r="2760" spans="12:128">
      <c r="L2760" s="2481">
        <v>901.02</v>
      </c>
      <c r="M2760" s="340" t="s">
        <v>355</v>
      </c>
      <c r="N2760" s="1390"/>
      <c r="O2760" s="2479"/>
      <c r="P2760" s="2282"/>
      <c r="AG2760" s="2297">
        <v>9604.02</v>
      </c>
      <c r="AH2760" s="2297" t="s">
        <v>317</v>
      </c>
      <c r="AI2760" s="1390"/>
      <c r="AJ2760" s="2282"/>
      <c r="AK2760" s="2282"/>
      <c r="AL2760" s="1037"/>
      <c r="AX2760" s="340">
        <v>207.03</v>
      </c>
      <c r="AY2760" s="340" t="s">
        <v>348</v>
      </c>
      <c r="BN2760" s="340">
        <v>3813</v>
      </c>
      <c r="BO2760" s="340" t="s">
        <v>350</v>
      </c>
      <c r="BP2760" s="1385"/>
      <c r="BV2760" s="236">
        <v>90.21</v>
      </c>
      <c r="BW2760" s="236" t="s">
        <v>331</v>
      </c>
      <c r="CB2760" s="340">
        <v>207.05</v>
      </c>
      <c r="CC2760" s="340" t="s">
        <v>348</v>
      </c>
      <c r="CL2760" s="236">
        <v>166.03</v>
      </c>
      <c r="CM2760" s="236" t="s">
        <v>338</v>
      </c>
      <c r="CR2760" s="340">
        <v>3811.05</v>
      </c>
      <c r="CS2760" s="340" t="s">
        <v>350</v>
      </c>
      <c r="CT2760" s="1384"/>
      <c r="DF2760" s="340">
        <v>825.06</v>
      </c>
      <c r="DG2760" s="340" t="s">
        <v>355</v>
      </c>
      <c r="DV2760" s="340">
        <v>9506.06</v>
      </c>
      <c r="DW2760" s="340" t="s">
        <v>357</v>
      </c>
      <c r="DX2760" s="1671"/>
    </row>
    <row r="2761" spans="12:128">
      <c r="L2761" s="2481">
        <v>902.04</v>
      </c>
      <c r="M2761" s="340" t="s">
        <v>355</v>
      </c>
      <c r="N2761" s="1390"/>
      <c r="O2761" s="2479"/>
      <c r="P2761" s="2282"/>
      <c r="AG2761" s="2297">
        <v>9605.0300000000007</v>
      </c>
      <c r="AH2761" s="2297" t="s">
        <v>315</v>
      </c>
      <c r="AI2761" s="1390"/>
      <c r="AJ2761" s="2282"/>
      <c r="AK2761" s="2282"/>
      <c r="AL2761" s="1037"/>
      <c r="AX2761" s="340">
        <v>207.04</v>
      </c>
      <c r="AY2761" s="340" t="s">
        <v>348</v>
      </c>
      <c r="BN2761" s="340">
        <v>3815.04</v>
      </c>
      <c r="BO2761" s="340" t="s">
        <v>350</v>
      </c>
      <c r="BP2761" s="1385"/>
      <c r="BV2761" s="236">
        <v>90.22</v>
      </c>
      <c r="BW2761" s="236" t="s">
        <v>331</v>
      </c>
      <c r="CB2761" s="340">
        <v>207.06</v>
      </c>
      <c r="CC2761" s="340" t="s">
        <v>348</v>
      </c>
      <c r="CL2761" s="236">
        <v>166.04</v>
      </c>
      <c r="CM2761" s="236" t="s">
        <v>302</v>
      </c>
      <c r="CR2761" s="340">
        <v>3811.06</v>
      </c>
      <c r="CS2761" s="340" t="s">
        <v>350</v>
      </c>
      <c r="CT2761" s="1384"/>
      <c r="DF2761" s="340">
        <v>825.08</v>
      </c>
      <c r="DG2761" s="340" t="s">
        <v>355</v>
      </c>
      <c r="DV2761" s="340">
        <v>9506.07</v>
      </c>
      <c r="DW2761" s="340" t="s">
        <v>357</v>
      </c>
      <c r="DX2761" s="1671"/>
    </row>
    <row r="2762" spans="12:128">
      <c r="L2762" s="2481">
        <v>903.04</v>
      </c>
      <c r="M2762" s="340" t="s">
        <v>355</v>
      </c>
      <c r="N2762" s="1390"/>
      <c r="O2762" s="2479"/>
      <c r="P2762" s="2282"/>
      <c r="AG2762" s="2297">
        <v>9606.01</v>
      </c>
      <c r="AH2762" s="2297" t="s">
        <v>315</v>
      </c>
      <c r="AI2762" s="1390"/>
      <c r="AJ2762" s="2282"/>
      <c r="AK2762" s="2282"/>
      <c r="AL2762" s="1037"/>
      <c r="AX2762" s="340">
        <v>207.05</v>
      </c>
      <c r="AY2762" s="340" t="s">
        <v>348</v>
      </c>
      <c r="BN2762" s="340">
        <v>3815.05</v>
      </c>
      <c r="BO2762" s="340" t="s">
        <v>350</v>
      </c>
      <c r="BP2762" s="1385"/>
      <c r="BV2762" s="236">
        <v>90.24</v>
      </c>
      <c r="BW2762" s="236" t="s">
        <v>331</v>
      </c>
      <c r="CB2762" s="340">
        <v>207.07</v>
      </c>
      <c r="CC2762" s="340" t="s">
        <v>348</v>
      </c>
      <c r="CL2762" s="236">
        <v>166.04</v>
      </c>
      <c r="CM2762" s="236" t="s">
        <v>338</v>
      </c>
      <c r="CR2762" s="340">
        <v>3812.04</v>
      </c>
      <c r="CS2762" s="340" t="s">
        <v>350</v>
      </c>
      <c r="CT2762" s="1384"/>
      <c r="DF2762" s="340">
        <v>825.09</v>
      </c>
      <c r="DG2762" s="340" t="s">
        <v>355</v>
      </c>
      <c r="DV2762" s="340">
        <v>9506.08</v>
      </c>
      <c r="DW2762" s="340" t="s">
        <v>357</v>
      </c>
      <c r="DX2762" s="1671"/>
    </row>
    <row r="2763" spans="12:128">
      <c r="L2763" s="2481">
        <v>903.05</v>
      </c>
      <c r="M2763" s="340" t="s">
        <v>355</v>
      </c>
      <c r="N2763" s="1390"/>
      <c r="O2763" s="2479"/>
      <c r="P2763" s="2282"/>
      <c r="AG2763" s="2297">
        <v>9606.02</v>
      </c>
      <c r="AH2763" s="2297" t="s">
        <v>315</v>
      </c>
      <c r="AI2763" s="1390"/>
      <c r="AJ2763" s="2282"/>
      <c r="AK2763" s="2282"/>
      <c r="AL2763" s="1037"/>
      <c r="AX2763" s="340">
        <v>207.06</v>
      </c>
      <c r="AY2763" s="340" t="s">
        <v>348</v>
      </c>
      <c r="BN2763" s="340">
        <v>3815.06</v>
      </c>
      <c r="BO2763" s="340" t="s">
        <v>350</v>
      </c>
      <c r="BP2763" s="1385"/>
      <c r="BV2763" s="236">
        <v>90.26</v>
      </c>
      <c r="BW2763" s="236" t="s">
        <v>331</v>
      </c>
      <c r="CB2763" s="340">
        <v>208.03</v>
      </c>
      <c r="CC2763" s="340" t="s">
        <v>348</v>
      </c>
      <c r="CL2763" s="236">
        <v>166.05</v>
      </c>
      <c r="CM2763" s="236" t="s">
        <v>302</v>
      </c>
      <c r="CR2763" s="340">
        <v>3813</v>
      </c>
      <c r="CS2763" s="340" t="s">
        <v>350</v>
      </c>
      <c r="CT2763" s="1384"/>
      <c r="DF2763" s="340">
        <v>825.12</v>
      </c>
      <c r="DG2763" s="340" t="s">
        <v>355</v>
      </c>
      <c r="DV2763" s="340">
        <v>9506.09</v>
      </c>
      <c r="DW2763" s="340" t="s">
        <v>357</v>
      </c>
      <c r="DX2763" s="1671"/>
    </row>
    <row r="2764" spans="12:128">
      <c r="L2764" s="2481">
        <v>903.06</v>
      </c>
      <c r="M2764" s="340" t="s">
        <v>355</v>
      </c>
      <c r="N2764" s="1390"/>
      <c r="O2764" s="2479"/>
      <c r="P2764" s="2282"/>
      <c r="AG2764" s="2297">
        <v>9607</v>
      </c>
      <c r="AH2764" s="2297" t="s">
        <v>315</v>
      </c>
      <c r="AI2764" s="1390"/>
      <c r="AJ2764" s="2282"/>
      <c r="AK2764" s="2282"/>
      <c r="AL2764" s="1037"/>
      <c r="AX2764" s="340">
        <v>207.07</v>
      </c>
      <c r="AY2764" s="340" t="s">
        <v>348</v>
      </c>
      <c r="BN2764" s="340">
        <v>3815.08</v>
      </c>
      <c r="BO2764" s="340" t="s">
        <v>350</v>
      </c>
      <c r="BP2764" s="1385"/>
      <c r="BV2764" s="236">
        <v>90.27</v>
      </c>
      <c r="BW2764" s="236" t="s">
        <v>331</v>
      </c>
      <c r="CB2764" s="340">
        <v>208.05</v>
      </c>
      <c r="CC2764" s="340" t="s">
        <v>348</v>
      </c>
      <c r="CL2764" s="236">
        <v>166.05</v>
      </c>
      <c r="CM2764" s="236" t="s">
        <v>338</v>
      </c>
      <c r="CR2764" s="340">
        <v>3815.05</v>
      </c>
      <c r="CS2764" s="340" t="s">
        <v>350</v>
      </c>
      <c r="CT2764" s="1384"/>
      <c r="DF2764" s="340">
        <v>826.04</v>
      </c>
      <c r="DG2764" s="340" t="s">
        <v>355</v>
      </c>
      <c r="DV2764" s="340">
        <v>9506.1</v>
      </c>
      <c r="DW2764" s="340" t="s">
        <v>357</v>
      </c>
      <c r="DX2764" s="1671"/>
    </row>
    <row r="2765" spans="12:128">
      <c r="L2765" s="2481">
        <v>903.07</v>
      </c>
      <c r="M2765" s="340" t="s">
        <v>355</v>
      </c>
      <c r="N2765" s="1390"/>
      <c r="O2765" s="2479"/>
      <c r="P2765" s="2282"/>
      <c r="AG2765" s="2297">
        <v>9610</v>
      </c>
      <c r="AH2765" s="2297" t="s">
        <v>315</v>
      </c>
      <c r="AI2765" s="1390"/>
      <c r="AJ2765" s="2282"/>
      <c r="AK2765" s="2282"/>
      <c r="AL2765" s="1037"/>
      <c r="AX2765" s="340">
        <v>208.03</v>
      </c>
      <c r="AY2765" s="340" t="s">
        <v>348</v>
      </c>
      <c r="BN2765" s="340">
        <v>3816.02</v>
      </c>
      <c r="BO2765" s="340" t="s">
        <v>350</v>
      </c>
      <c r="BP2765" s="1385"/>
      <c r="BV2765" s="236">
        <v>90.28</v>
      </c>
      <c r="BW2765" s="236" t="s">
        <v>331</v>
      </c>
      <c r="CB2765" s="340">
        <v>208.06</v>
      </c>
      <c r="CC2765" s="340" t="s">
        <v>348</v>
      </c>
      <c r="CL2765" s="236">
        <v>166.06</v>
      </c>
      <c r="CM2765" s="236" t="s">
        <v>302</v>
      </c>
      <c r="CR2765" s="340">
        <v>3815.06</v>
      </c>
      <c r="CS2765" s="340" t="s">
        <v>350</v>
      </c>
      <c r="CT2765" s="1384"/>
      <c r="DF2765" s="340">
        <v>826.05</v>
      </c>
      <c r="DG2765" s="340" t="s">
        <v>355</v>
      </c>
      <c r="DV2765" s="340">
        <v>9506.11</v>
      </c>
      <c r="DW2765" s="340" t="s">
        <v>357</v>
      </c>
      <c r="DX2765" s="1671"/>
    </row>
    <row r="2766" spans="12:128">
      <c r="L2766" s="2481">
        <v>904.01</v>
      </c>
      <c r="M2766" s="340" t="s">
        <v>355</v>
      </c>
      <c r="N2766" s="1390"/>
      <c r="O2766" s="2479"/>
      <c r="P2766" s="2282"/>
      <c r="AG2766" s="2297">
        <v>9613.01</v>
      </c>
      <c r="AH2766" s="2297" t="s">
        <v>315</v>
      </c>
      <c r="AI2766" s="1390"/>
      <c r="AJ2766" s="2282"/>
      <c r="AK2766" s="2282"/>
      <c r="AL2766" s="1037"/>
      <c r="AX2766" s="340">
        <v>208.05</v>
      </c>
      <c r="AY2766" s="340" t="s">
        <v>348</v>
      </c>
      <c r="BN2766" s="340">
        <v>3816.04</v>
      </c>
      <c r="BO2766" s="340" t="s">
        <v>350</v>
      </c>
      <c r="BP2766" s="1385"/>
      <c r="BV2766" s="236">
        <v>90.29</v>
      </c>
      <c r="BW2766" s="236" t="s">
        <v>331</v>
      </c>
      <c r="CB2766" s="340">
        <v>208.08</v>
      </c>
      <c r="CC2766" s="340" t="s">
        <v>348</v>
      </c>
      <c r="CL2766" s="236">
        <v>166.06</v>
      </c>
      <c r="CM2766" s="236" t="s">
        <v>338</v>
      </c>
      <c r="CR2766" s="340">
        <v>3815.08</v>
      </c>
      <c r="CS2766" s="340" t="s">
        <v>350</v>
      </c>
      <c r="CT2766" s="1384"/>
      <c r="DF2766" s="340">
        <v>826.06</v>
      </c>
      <c r="DG2766" s="340" t="s">
        <v>355</v>
      </c>
      <c r="DV2766" s="340">
        <v>9510</v>
      </c>
      <c r="DW2766" s="340" t="s">
        <v>345</v>
      </c>
      <c r="DX2766" s="1671"/>
    </row>
    <row r="2767" spans="12:128">
      <c r="L2767" s="2481">
        <v>904.02</v>
      </c>
      <c r="M2767" s="340" t="s">
        <v>355</v>
      </c>
      <c r="N2767" s="1390"/>
      <c r="O2767" s="2479"/>
      <c r="P2767" s="2282"/>
      <c r="AG2767" s="2297">
        <v>9613.0400000000009</v>
      </c>
      <c r="AH2767" s="2297" t="s">
        <v>315</v>
      </c>
      <c r="AI2767" s="1390"/>
      <c r="AJ2767" s="2282"/>
      <c r="AK2767" s="2282"/>
      <c r="AL2767" s="1037"/>
      <c r="AX2767" s="340">
        <v>208.08</v>
      </c>
      <c r="AY2767" s="340" t="s">
        <v>348</v>
      </c>
      <c r="BN2767" s="340">
        <v>3817.01</v>
      </c>
      <c r="BO2767" s="340" t="s">
        <v>350</v>
      </c>
      <c r="BP2767" s="1385"/>
      <c r="BV2767" s="236">
        <v>90.3</v>
      </c>
      <c r="BW2767" s="236" t="s">
        <v>331</v>
      </c>
      <c r="CB2767" s="340">
        <v>208.1</v>
      </c>
      <c r="CC2767" s="340" t="s">
        <v>348</v>
      </c>
      <c r="CL2767" s="236">
        <v>166.07</v>
      </c>
      <c r="CM2767" s="236" t="s">
        <v>338</v>
      </c>
      <c r="CR2767" s="340">
        <v>3816.02</v>
      </c>
      <c r="CS2767" s="340" t="s">
        <v>350</v>
      </c>
      <c r="CT2767" s="1384"/>
      <c r="DF2767" s="340">
        <v>826.07</v>
      </c>
      <c r="DG2767" s="340" t="s">
        <v>355</v>
      </c>
      <c r="DV2767" s="340">
        <v>9513</v>
      </c>
      <c r="DW2767" s="340" t="s">
        <v>345</v>
      </c>
      <c r="DX2767" s="1671"/>
    </row>
    <row r="2768" spans="12:128">
      <c r="L2768" s="2481">
        <v>905</v>
      </c>
      <c r="M2768" s="340" t="s">
        <v>355</v>
      </c>
      <c r="N2768" s="1390"/>
      <c r="O2768" s="2479"/>
      <c r="P2768" s="2282"/>
      <c r="AG2768" s="2297">
        <v>9614.01</v>
      </c>
      <c r="AH2768" s="2297" t="s">
        <v>315</v>
      </c>
      <c r="AI2768" s="1390"/>
      <c r="AJ2768" s="2282"/>
      <c r="AK2768" s="2282"/>
      <c r="AL2768" s="1037"/>
      <c r="AX2768" s="340">
        <v>208.1</v>
      </c>
      <c r="AY2768" s="340" t="s">
        <v>348</v>
      </c>
      <c r="BN2768" s="340">
        <v>3817.02</v>
      </c>
      <c r="BO2768" s="340" t="s">
        <v>350</v>
      </c>
      <c r="BP2768" s="1385"/>
      <c r="BV2768" s="236">
        <v>90.31</v>
      </c>
      <c r="BW2768" s="236" t="s">
        <v>331</v>
      </c>
      <c r="CB2768" s="340">
        <v>208.11</v>
      </c>
      <c r="CC2768" s="340" t="s">
        <v>348</v>
      </c>
      <c r="CL2768" s="236">
        <v>167</v>
      </c>
      <c r="CM2768" s="236" t="s">
        <v>331</v>
      </c>
      <c r="CR2768" s="340">
        <v>3816.03</v>
      </c>
      <c r="CS2768" s="340" t="s">
        <v>350</v>
      </c>
      <c r="CT2768" s="1384"/>
      <c r="DF2768" s="340">
        <v>827.01</v>
      </c>
      <c r="DG2768" s="340" t="s">
        <v>355</v>
      </c>
      <c r="DV2768" s="340">
        <v>9601</v>
      </c>
      <c r="DW2768" s="340" t="s">
        <v>317</v>
      </c>
      <c r="DX2768" s="1671"/>
    </row>
    <row r="2769" spans="12:128">
      <c r="L2769" s="2481">
        <v>907.01</v>
      </c>
      <c r="M2769" s="340" t="s">
        <v>355</v>
      </c>
      <c r="N2769" s="1390"/>
      <c r="O2769" s="2479"/>
      <c r="P2769" s="2282"/>
      <c r="AG2769" s="2297">
        <v>9615</v>
      </c>
      <c r="AH2769" s="2297" t="s">
        <v>315</v>
      </c>
      <c r="AI2769" s="1390"/>
      <c r="AJ2769" s="2282"/>
      <c r="AK2769" s="2282"/>
      <c r="AL2769" s="1037"/>
      <c r="AX2769" s="340">
        <v>208.11</v>
      </c>
      <c r="AY2769" s="340" t="s">
        <v>348</v>
      </c>
      <c r="BN2769" s="340">
        <v>3818.03</v>
      </c>
      <c r="BO2769" s="340" t="s">
        <v>350</v>
      </c>
      <c r="BP2769" s="1385"/>
      <c r="BV2769" s="236">
        <v>90.39</v>
      </c>
      <c r="BW2769" s="236" t="s">
        <v>331</v>
      </c>
      <c r="CB2769" s="340">
        <v>209.05</v>
      </c>
      <c r="CC2769" s="340" t="s">
        <v>348</v>
      </c>
      <c r="CL2769" s="236">
        <v>167.09</v>
      </c>
      <c r="CM2769" s="236" t="s">
        <v>338</v>
      </c>
      <c r="CR2769" s="340">
        <v>3816.04</v>
      </c>
      <c r="CS2769" s="340" t="s">
        <v>350</v>
      </c>
      <c r="CT2769" s="1384"/>
      <c r="DF2769" s="340">
        <v>827.03</v>
      </c>
      <c r="DG2769" s="340" t="s">
        <v>355</v>
      </c>
      <c r="DV2769" s="340">
        <v>9601.01</v>
      </c>
      <c r="DW2769" s="340" t="s">
        <v>315</v>
      </c>
      <c r="DX2769" s="1671"/>
    </row>
    <row r="2770" spans="12:128">
      <c r="L2770" s="2481">
        <v>908.03</v>
      </c>
      <c r="M2770" s="340" t="s">
        <v>355</v>
      </c>
      <c r="N2770" s="1390"/>
      <c r="O2770" s="2479"/>
      <c r="P2770" s="2282"/>
      <c r="AG2770" s="2297">
        <v>9616.01</v>
      </c>
      <c r="AH2770" s="2297" t="s">
        <v>315</v>
      </c>
      <c r="AI2770" s="1390"/>
      <c r="AJ2770" s="2282"/>
      <c r="AK2770" s="2282"/>
      <c r="AL2770" s="1037"/>
      <c r="AX2770" s="340">
        <v>210</v>
      </c>
      <c r="AY2770" s="340" t="s">
        <v>348</v>
      </c>
      <c r="BN2770" s="340">
        <v>3819</v>
      </c>
      <c r="BO2770" s="340" t="s">
        <v>350</v>
      </c>
      <c r="BP2770" s="1385"/>
      <c r="BV2770" s="236">
        <v>90.4</v>
      </c>
      <c r="BW2770" s="236" t="s">
        <v>331</v>
      </c>
      <c r="CB2770" s="340">
        <v>210</v>
      </c>
      <c r="CC2770" s="340" t="s">
        <v>348</v>
      </c>
      <c r="CL2770" s="236">
        <v>167.1</v>
      </c>
      <c r="CM2770" s="236" t="s">
        <v>338</v>
      </c>
      <c r="CR2770" s="340">
        <v>3817.01</v>
      </c>
      <c r="CS2770" s="340" t="s">
        <v>350</v>
      </c>
      <c r="CT2770" s="1384"/>
      <c r="DF2770" s="340">
        <v>827.04</v>
      </c>
      <c r="DG2770" s="340" t="s">
        <v>355</v>
      </c>
      <c r="DV2770" s="340">
        <v>9601.02</v>
      </c>
      <c r="DW2770" s="340" t="s">
        <v>310</v>
      </c>
      <c r="DX2770" s="1671"/>
    </row>
    <row r="2771" spans="12:128">
      <c r="L2771" s="2481">
        <v>908.06</v>
      </c>
      <c r="M2771" s="340" t="s">
        <v>355</v>
      </c>
      <c r="N2771" s="1390"/>
      <c r="O2771" s="2479"/>
      <c r="P2771" s="2282"/>
      <c r="AG2771" s="2297">
        <v>9616.02</v>
      </c>
      <c r="AH2771" s="2297" t="s">
        <v>315</v>
      </c>
      <c r="AI2771" s="1390"/>
      <c r="AJ2771" s="2282"/>
      <c r="AK2771" s="2282"/>
      <c r="AL2771" s="1037"/>
      <c r="AX2771" s="340">
        <v>211</v>
      </c>
      <c r="AY2771" s="340" t="s">
        <v>348</v>
      </c>
      <c r="BN2771" s="340">
        <v>3820.07</v>
      </c>
      <c r="BO2771" s="340" t="s">
        <v>350</v>
      </c>
      <c r="BP2771" s="1385"/>
      <c r="BV2771" s="236">
        <v>90.43</v>
      </c>
      <c r="BW2771" s="236" t="s">
        <v>331</v>
      </c>
      <c r="CB2771" s="340">
        <v>211</v>
      </c>
      <c r="CC2771" s="340" t="s">
        <v>348</v>
      </c>
      <c r="CL2771" s="236">
        <v>167.11</v>
      </c>
      <c r="CM2771" s="236" t="s">
        <v>302</v>
      </c>
      <c r="CR2771" s="340">
        <v>3817.02</v>
      </c>
      <c r="CS2771" s="340" t="s">
        <v>350</v>
      </c>
      <c r="CT2771" s="1384"/>
      <c r="DF2771" s="340">
        <v>827.05</v>
      </c>
      <c r="DG2771" s="340" t="s">
        <v>355</v>
      </c>
      <c r="DV2771" s="340">
        <v>9601.02</v>
      </c>
      <c r="DW2771" s="340" t="s">
        <v>311</v>
      </c>
      <c r="DX2771" s="1671"/>
    </row>
    <row r="2772" spans="12:128">
      <c r="L2772" s="2481">
        <v>908.07</v>
      </c>
      <c r="M2772" s="340" t="s">
        <v>355</v>
      </c>
      <c r="N2772" s="1390"/>
      <c r="O2772" s="2479"/>
      <c r="P2772" s="2282"/>
      <c r="AG2772" s="2297">
        <v>9701</v>
      </c>
      <c r="AH2772" s="2297" t="s">
        <v>352</v>
      </c>
      <c r="AI2772" s="1390"/>
      <c r="AJ2772" s="2282"/>
      <c r="AK2772" s="2282"/>
      <c r="AL2772" s="1037"/>
      <c r="AX2772" s="340">
        <v>212.01</v>
      </c>
      <c r="AY2772" s="340" t="s">
        <v>348</v>
      </c>
      <c r="BN2772" s="340">
        <v>3820.08</v>
      </c>
      <c r="BO2772" s="340" t="s">
        <v>350</v>
      </c>
      <c r="BP2772" s="1385"/>
      <c r="BV2772" s="236">
        <v>90.44</v>
      </c>
      <c r="BW2772" s="236" t="s">
        <v>331</v>
      </c>
      <c r="CB2772" s="340">
        <v>212.01</v>
      </c>
      <c r="CC2772" s="340" t="s">
        <v>348</v>
      </c>
      <c r="CL2772" s="236">
        <v>167.13</v>
      </c>
      <c r="CM2772" s="236" t="s">
        <v>338</v>
      </c>
      <c r="CR2772" s="340">
        <v>3818.03</v>
      </c>
      <c r="CS2772" s="340" t="s">
        <v>350</v>
      </c>
      <c r="CT2772" s="1384"/>
      <c r="DF2772" s="340">
        <v>828.01</v>
      </c>
      <c r="DG2772" s="340" t="s">
        <v>355</v>
      </c>
      <c r="DV2772" s="340">
        <v>9601.02</v>
      </c>
      <c r="DW2772" s="340" t="s">
        <v>315</v>
      </c>
      <c r="DX2772" s="1671"/>
    </row>
    <row r="2773" spans="12:128">
      <c r="L2773" s="2481">
        <v>909.03</v>
      </c>
      <c r="M2773" s="340" t="s">
        <v>355</v>
      </c>
      <c r="N2773" s="1390"/>
      <c r="O2773" s="2479"/>
      <c r="P2773" s="2282"/>
      <c r="AG2773" s="2297">
        <v>9701.01</v>
      </c>
      <c r="AH2773" s="2297" t="s">
        <v>312</v>
      </c>
      <c r="AI2773" s="1390"/>
      <c r="AJ2773" s="2282"/>
      <c r="AK2773" s="2282"/>
      <c r="AL2773" s="1037"/>
      <c r="AX2773" s="340">
        <v>212.03</v>
      </c>
      <c r="AY2773" s="340" t="s">
        <v>348</v>
      </c>
      <c r="BN2773" s="340">
        <v>3820.09</v>
      </c>
      <c r="BO2773" s="340" t="s">
        <v>350</v>
      </c>
      <c r="BP2773" s="1385"/>
      <c r="BV2773" s="236">
        <v>90.48</v>
      </c>
      <c r="BW2773" s="236" t="s">
        <v>331</v>
      </c>
      <c r="CB2773" s="340">
        <v>212.03</v>
      </c>
      <c r="CC2773" s="340" t="s">
        <v>348</v>
      </c>
      <c r="CL2773" s="236">
        <v>167.14</v>
      </c>
      <c r="CM2773" s="236" t="s">
        <v>338</v>
      </c>
      <c r="CR2773" s="340">
        <v>3819</v>
      </c>
      <c r="CS2773" s="340" t="s">
        <v>350</v>
      </c>
      <c r="CT2773" s="1384"/>
      <c r="DF2773" s="340">
        <v>828.02</v>
      </c>
      <c r="DG2773" s="340" t="s">
        <v>355</v>
      </c>
      <c r="DV2773" s="340">
        <v>9601.0400000000009</v>
      </c>
      <c r="DW2773" s="340" t="s">
        <v>315</v>
      </c>
      <c r="DX2773" s="1671"/>
    </row>
    <row r="2774" spans="12:128">
      <c r="L2774" s="2481">
        <v>909.04</v>
      </c>
      <c r="M2774" s="340" t="s">
        <v>355</v>
      </c>
      <c r="N2774" s="1390"/>
      <c r="O2774" s="2479"/>
      <c r="P2774" s="2282"/>
      <c r="AG2774" s="2297">
        <v>9701.01</v>
      </c>
      <c r="AH2774" s="2297" t="s">
        <v>325</v>
      </c>
      <c r="AI2774" s="1390"/>
      <c r="AJ2774" s="2282"/>
      <c r="AK2774" s="2282"/>
      <c r="AL2774" s="1037"/>
      <c r="AX2774" s="340">
        <v>212.05</v>
      </c>
      <c r="AY2774" s="340" t="s">
        <v>348</v>
      </c>
      <c r="BN2774" s="340">
        <v>3820.11</v>
      </c>
      <c r="BO2774" s="340" t="s">
        <v>350</v>
      </c>
      <c r="BP2774" s="1385"/>
      <c r="BV2774" s="236">
        <v>90.49</v>
      </c>
      <c r="BW2774" s="236" t="s">
        <v>331</v>
      </c>
      <c r="CB2774" s="340">
        <v>212.05</v>
      </c>
      <c r="CC2774" s="340" t="s">
        <v>348</v>
      </c>
      <c r="CL2774" s="236">
        <v>167.15</v>
      </c>
      <c r="CM2774" s="236" t="s">
        <v>338</v>
      </c>
      <c r="CR2774" s="340">
        <v>3820.07</v>
      </c>
      <c r="CS2774" s="340" t="s">
        <v>350</v>
      </c>
      <c r="CT2774" s="1384"/>
      <c r="DF2774" s="340">
        <v>829.03</v>
      </c>
      <c r="DG2774" s="340" t="s">
        <v>355</v>
      </c>
      <c r="DV2774" s="340">
        <v>9602</v>
      </c>
      <c r="DW2774" s="340" t="s">
        <v>310</v>
      </c>
      <c r="DX2774" s="1671"/>
    </row>
    <row r="2775" spans="12:128">
      <c r="L2775" s="2481">
        <v>909.05</v>
      </c>
      <c r="M2775" s="340" t="s">
        <v>355</v>
      </c>
      <c r="N2775" s="1390"/>
      <c r="O2775" s="2479"/>
      <c r="P2775" s="2282"/>
      <c r="AG2775" s="2297">
        <v>9701.02</v>
      </c>
      <c r="AH2775" s="2297" t="s">
        <v>306</v>
      </c>
      <c r="AI2775" s="1390"/>
      <c r="AJ2775" s="2282"/>
      <c r="AK2775" s="2282"/>
      <c r="AL2775" s="1037"/>
      <c r="AX2775" s="340">
        <v>212.06</v>
      </c>
      <c r="AY2775" s="340" t="s">
        <v>348</v>
      </c>
      <c r="BN2775" s="340">
        <v>3820.16</v>
      </c>
      <c r="BO2775" s="340" t="s">
        <v>350</v>
      </c>
      <c r="BP2775" s="1385"/>
      <c r="BV2775" s="236">
        <v>90.5</v>
      </c>
      <c r="BW2775" s="236" t="s">
        <v>331</v>
      </c>
      <c r="CB2775" s="340">
        <v>212.06</v>
      </c>
      <c r="CC2775" s="340" t="s">
        <v>348</v>
      </c>
      <c r="CL2775" s="236">
        <v>167.16</v>
      </c>
      <c r="CM2775" s="236" t="s">
        <v>338</v>
      </c>
      <c r="CR2775" s="340">
        <v>3820.08</v>
      </c>
      <c r="CS2775" s="340" t="s">
        <v>350</v>
      </c>
      <c r="CT2775" s="1384"/>
      <c r="DF2775" s="340">
        <v>829.04</v>
      </c>
      <c r="DG2775" s="340" t="s">
        <v>355</v>
      </c>
      <c r="DV2775" s="340">
        <v>9602.01</v>
      </c>
      <c r="DW2775" s="340" t="s">
        <v>317</v>
      </c>
      <c r="DX2775" s="1671"/>
    </row>
    <row r="2776" spans="12:128">
      <c r="L2776" s="2481">
        <v>910.01</v>
      </c>
      <c r="M2776" s="340" t="s">
        <v>355</v>
      </c>
      <c r="N2776" s="1390"/>
      <c r="O2776" s="2479"/>
      <c r="P2776" s="2282"/>
      <c r="AG2776">
        <v>9701.02</v>
      </c>
      <c r="AH2776" t="s">
        <v>358</v>
      </c>
      <c r="AI2776" s="1390"/>
      <c r="AJ2776" s="2282"/>
      <c r="AK2776" s="2282"/>
      <c r="AL2776" s="1037"/>
      <c r="AX2776" s="340">
        <v>213.06</v>
      </c>
      <c r="AY2776" s="340" t="s">
        <v>348</v>
      </c>
      <c r="BN2776" s="340">
        <v>3821.1</v>
      </c>
      <c r="BO2776" s="340" t="s">
        <v>350</v>
      </c>
      <c r="BP2776" s="1385"/>
      <c r="BV2776" s="236">
        <v>90.51</v>
      </c>
      <c r="BW2776" s="236" t="s">
        <v>331</v>
      </c>
      <c r="CB2776" s="340">
        <v>213.06</v>
      </c>
      <c r="CC2776" s="340" t="s">
        <v>348</v>
      </c>
      <c r="CL2776" s="236">
        <v>167.17</v>
      </c>
      <c r="CM2776" s="236" t="s">
        <v>338</v>
      </c>
      <c r="CR2776" s="340">
        <v>3820.09</v>
      </c>
      <c r="CS2776" s="340" t="s">
        <v>350</v>
      </c>
      <c r="CT2776" s="1384"/>
      <c r="DF2776" s="340">
        <v>830.05</v>
      </c>
      <c r="DG2776" s="340" t="s">
        <v>355</v>
      </c>
      <c r="DV2776" s="340">
        <v>9602.02</v>
      </c>
      <c r="DW2776" s="340" t="s">
        <v>321</v>
      </c>
      <c r="DX2776" s="1671"/>
    </row>
    <row r="2777" spans="12:128">
      <c r="L2777" s="2481">
        <v>910.05</v>
      </c>
      <c r="M2777" s="340" t="s">
        <v>355</v>
      </c>
      <c r="N2777" s="1390"/>
      <c r="O2777" s="2479"/>
      <c r="P2777" s="2282"/>
      <c r="AG2777" s="2297">
        <v>9701.0300000000007</v>
      </c>
      <c r="AH2777" s="2297" t="s">
        <v>301</v>
      </c>
      <c r="AI2777" s="1390"/>
      <c r="AJ2777" s="2282"/>
      <c r="AK2777" s="2282"/>
      <c r="AL2777" s="1037"/>
      <c r="AX2777" s="340">
        <v>213.07</v>
      </c>
      <c r="AY2777" s="340" t="s">
        <v>348</v>
      </c>
      <c r="BN2777" s="340">
        <v>3821.14</v>
      </c>
      <c r="BO2777" s="340" t="s">
        <v>350</v>
      </c>
      <c r="BP2777" s="1385"/>
      <c r="BV2777" s="236">
        <v>90.52</v>
      </c>
      <c r="BW2777" s="236" t="s">
        <v>331</v>
      </c>
      <c r="CB2777" s="340">
        <v>213.07</v>
      </c>
      <c r="CC2777" s="340" t="s">
        <v>348</v>
      </c>
      <c r="CL2777" s="236">
        <v>167.23</v>
      </c>
      <c r="CM2777" s="236" t="s">
        <v>338</v>
      </c>
      <c r="CR2777" s="340">
        <v>3820.11</v>
      </c>
      <c r="CS2777" s="340" t="s">
        <v>350</v>
      </c>
      <c r="CT2777" s="1384"/>
      <c r="DF2777" s="340">
        <v>830.08</v>
      </c>
      <c r="DG2777" s="340" t="s">
        <v>355</v>
      </c>
      <c r="DV2777" s="340">
        <v>9602.02</v>
      </c>
      <c r="DW2777" s="340" t="s">
        <v>354</v>
      </c>
      <c r="DX2777" s="1671"/>
    </row>
    <row r="2778" spans="12:128">
      <c r="L2778" s="2481">
        <v>910.17</v>
      </c>
      <c r="M2778" s="340" t="s">
        <v>355</v>
      </c>
      <c r="N2778" s="1390"/>
      <c r="O2778" s="2479"/>
      <c r="P2778" s="2282"/>
      <c r="AG2778" s="2297">
        <v>9701.0300000000007</v>
      </c>
      <c r="AH2778" s="2297" t="s">
        <v>325</v>
      </c>
      <c r="AI2778" s="1390"/>
      <c r="AJ2778" s="2282"/>
      <c r="AK2778" s="2282"/>
      <c r="AL2778" s="1037"/>
      <c r="AX2778" s="340">
        <v>213.11</v>
      </c>
      <c r="AY2778" s="340" t="s">
        <v>348</v>
      </c>
      <c r="BN2778" s="340">
        <v>3821.16</v>
      </c>
      <c r="BO2778" s="340" t="s">
        <v>350</v>
      </c>
      <c r="BP2778" s="1385"/>
      <c r="BV2778" s="236">
        <v>90.53</v>
      </c>
      <c r="BW2778" s="236" t="s">
        <v>331</v>
      </c>
      <c r="CB2778" s="340">
        <v>213.11</v>
      </c>
      <c r="CC2778" s="340" t="s">
        <v>348</v>
      </c>
      <c r="CL2778" s="236">
        <v>167.24</v>
      </c>
      <c r="CM2778" s="236" t="s">
        <v>302</v>
      </c>
      <c r="CR2778" s="340">
        <v>3820.16</v>
      </c>
      <c r="CS2778" s="340" t="s">
        <v>350</v>
      </c>
      <c r="CT2778" s="1384"/>
      <c r="DF2778" s="340">
        <v>832.03</v>
      </c>
      <c r="DG2778" s="340" t="s">
        <v>355</v>
      </c>
      <c r="DV2778" s="340">
        <v>9603</v>
      </c>
      <c r="DW2778" s="340" t="s">
        <v>311</v>
      </c>
      <c r="DX2778" s="1671"/>
    </row>
    <row r="2779" spans="12:128">
      <c r="L2779" s="2481">
        <v>910.18</v>
      </c>
      <c r="M2779" s="340" t="s">
        <v>355</v>
      </c>
      <c r="N2779" s="1390"/>
      <c r="O2779" s="2479"/>
      <c r="P2779" s="2282"/>
      <c r="AG2779">
        <v>9701.0300000000007</v>
      </c>
      <c r="AH2779" t="s">
        <v>358</v>
      </c>
      <c r="AI2779" s="1390"/>
      <c r="AJ2779" s="2282"/>
      <c r="AK2779" s="2282"/>
      <c r="AL2779" s="1037"/>
      <c r="AX2779" s="340">
        <v>213.12</v>
      </c>
      <c r="AY2779" s="340" t="s">
        <v>348</v>
      </c>
      <c r="BN2779" s="340">
        <v>3821.17</v>
      </c>
      <c r="BO2779" s="340" t="s">
        <v>350</v>
      </c>
      <c r="BP2779" s="1385"/>
      <c r="BV2779" s="236">
        <v>90.54</v>
      </c>
      <c r="BW2779" s="236" t="s">
        <v>331</v>
      </c>
      <c r="CB2779" s="340">
        <v>213.12</v>
      </c>
      <c r="CC2779" s="340" t="s">
        <v>348</v>
      </c>
      <c r="CL2779" s="236">
        <v>167.24</v>
      </c>
      <c r="CM2779" s="236" t="s">
        <v>338</v>
      </c>
      <c r="CR2779" s="340">
        <v>3821.14</v>
      </c>
      <c r="CS2779" s="340" t="s">
        <v>350</v>
      </c>
      <c r="CT2779" s="1384"/>
      <c r="DF2779" s="340">
        <v>832.05</v>
      </c>
      <c r="DG2779" s="340" t="s">
        <v>355</v>
      </c>
      <c r="DV2779" s="340">
        <v>9603</v>
      </c>
      <c r="DW2779" s="340" t="s">
        <v>354</v>
      </c>
      <c r="DX2779" s="1671"/>
    </row>
    <row r="2780" spans="12:128">
      <c r="L2780" s="2481">
        <v>910.19</v>
      </c>
      <c r="M2780" s="340" t="s">
        <v>355</v>
      </c>
      <c r="N2780" s="1390"/>
      <c r="O2780" s="2479"/>
      <c r="P2780" s="2282"/>
      <c r="AG2780" s="2297">
        <v>9702</v>
      </c>
      <c r="AH2780" s="2297" t="s">
        <v>325</v>
      </c>
      <c r="AI2780" s="1390"/>
      <c r="AJ2780" s="2282"/>
      <c r="AK2780" s="2282"/>
      <c r="AL2780" s="1037"/>
      <c r="AX2780" s="340">
        <v>213.13</v>
      </c>
      <c r="AY2780" s="340" t="s">
        <v>348</v>
      </c>
      <c r="BN2780" s="340">
        <v>3821.18</v>
      </c>
      <c r="BO2780" s="340" t="s">
        <v>350</v>
      </c>
      <c r="BP2780" s="1385"/>
      <c r="BV2780" s="236">
        <v>90.55</v>
      </c>
      <c r="BW2780" s="236" t="s">
        <v>331</v>
      </c>
      <c r="CB2780" s="340">
        <v>213.13</v>
      </c>
      <c r="CC2780" s="340" t="s">
        <v>348</v>
      </c>
      <c r="CL2780" s="236">
        <v>167.25</v>
      </c>
      <c r="CM2780" s="236" t="s">
        <v>302</v>
      </c>
      <c r="CR2780" s="340">
        <v>3821.16</v>
      </c>
      <c r="CS2780" s="340" t="s">
        <v>350</v>
      </c>
      <c r="CT2780" s="1384"/>
      <c r="DF2780" s="340">
        <v>832.06</v>
      </c>
      <c r="DG2780" s="340" t="s">
        <v>355</v>
      </c>
      <c r="DV2780" s="340">
        <v>9603.02</v>
      </c>
      <c r="DW2780" s="340" t="s">
        <v>310</v>
      </c>
      <c r="DX2780" s="1671"/>
    </row>
    <row r="2781" spans="12:128">
      <c r="L2781" s="2481">
        <v>910.2</v>
      </c>
      <c r="M2781" s="340" t="s">
        <v>355</v>
      </c>
      <c r="N2781" s="1390"/>
      <c r="O2781" s="2479"/>
      <c r="P2781" s="2282"/>
      <c r="AG2781" s="2297">
        <v>9702.01</v>
      </c>
      <c r="AH2781" s="2297" t="s">
        <v>301</v>
      </c>
      <c r="AI2781" s="1390"/>
      <c r="AJ2781" s="2282"/>
      <c r="AK2781" s="2282"/>
      <c r="AL2781" s="1037"/>
      <c r="AX2781" s="340">
        <v>213.14</v>
      </c>
      <c r="AY2781" s="340" t="s">
        <v>348</v>
      </c>
      <c r="BN2781" s="340">
        <v>3821.19</v>
      </c>
      <c r="BO2781" s="340" t="s">
        <v>350</v>
      </c>
      <c r="BP2781" s="1385"/>
      <c r="BV2781" s="236">
        <v>90.56</v>
      </c>
      <c r="BW2781" s="236" t="s">
        <v>331</v>
      </c>
      <c r="CB2781" s="340">
        <v>213.14</v>
      </c>
      <c r="CC2781" s="340" t="s">
        <v>348</v>
      </c>
      <c r="CL2781" s="236">
        <v>167.26</v>
      </c>
      <c r="CM2781" s="236" t="s">
        <v>302</v>
      </c>
      <c r="CR2781" s="340">
        <v>3821.17</v>
      </c>
      <c r="CS2781" s="340" t="s">
        <v>350</v>
      </c>
      <c r="CT2781" s="1384"/>
      <c r="DF2781" s="340">
        <v>832.07</v>
      </c>
      <c r="DG2781" s="340" t="s">
        <v>355</v>
      </c>
      <c r="DV2781" s="340">
        <v>9604.02</v>
      </c>
      <c r="DW2781" s="340" t="s">
        <v>315</v>
      </c>
      <c r="DX2781" s="1671"/>
    </row>
    <row r="2782" spans="12:128">
      <c r="L2782" s="2481">
        <v>910.21</v>
      </c>
      <c r="M2782" s="340" t="s">
        <v>355</v>
      </c>
      <c r="N2782" s="1390"/>
      <c r="O2782" s="2479"/>
      <c r="P2782" s="2282"/>
      <c r="AG2782" s="2297">
        <v>9702.02</v>
      </c>
      <c r="AH2782" s="2297" t="s">
        <v>301</v>
      </c>
      <c r="AI2782" s="1390"/>
      <c r="AJ2782" s="2282"/>
      <c r="AK2782" s="2282"/>
      <c r="AL2782" s="1037"/>
      <c r="AX2782" s="340">
        <v>213.16</v>
      </c>
      <c r="AY2782" s="340" t="s">
        <v>348</v>
      </c>
      <c r="BN2782" s="340">
        <v>3821.2</v>
      </c>
      <c r="BO2782" s="340" t="s">
        <v>350</v>
      </c>
      <c r="BP2782" s="1385"/>
      <c r="BV2782" s="236">
        <v>90.57</v>
      </c>
      <c r="BW2782" s="236" t="s">
        <v>331</v>
      </c>
      <c r="CB2782" s="340">
        <v>213.16</v>
      </c>
      <c r="CC2782" s="340" t="s">
        <v>348</v>
      </c>
      <c r="CL2782" s="236">
        <v>167.27</v>
      </c>
      <c r="CM2782" s="236" t="s">
        <v>302</v>
      </c>
      <c r="CR2782" s="340">
        <v>3821.18</v>
      </c>
      <c r="CS2782" s="340" t="s">
        <v>350</v>
      </c>
      <c r="CT2782" s="1384"/>
      <c r="DF2782" s="340">
        <v>832.09</v>
      </c>
      <c r="DG2782" s="340" t="s">
        <v>355</v>
      </c>
      <c r="DV2782" s="340">
        <v>9604.0300000000007</v>
      </c>
      <c r="DW2782" s="340" t="s">
        <v>317</v>
      </c>
      <c r="DX2782" s="1671"/>
    </row>
    <row r="2783" spans="12:128">
      <c r="L2783" s="2481">
        <v>910.23</v>
      </c>
      <c r="M2783" s="340" t="s">
        <v>355</v>
      </c>
      <c r="N2783" s="1390"/>
      <c r="O2783" s="2479"/>
      <c r="P2783" s="2282"/>
      <c r="AG2783" s="2297">
        <v>9702.02</v>
      </c>
      <c r="AH2783" s="2297" t="s">
        <v>312</v>
      </c>
      <c r="AI2783" s="1390"/>
      <c r="AJ2783" s="2282"/>
      <c r="AK2783" s="2282"/>
      <c r="AL2783" s="1037"/>
      <c r="AX2783" s="340">
        <v>213.17</v>
      </c>
      <c r="AY2783" s="340" t="s">
        <v>348</v>
      </c>
      <c r="BN2783" s="340">
        <v>3821.21</v>
      </c>
      <c r="BO2783" s="340" t="s">
        <v>350</v>
      </c>
      <c r="BP2783" s="1385"/>
      <c r="BV2783" s="236">
        <v>90.58</v>
      </c>
      <c r="BW2783" s="236" t="s">
        <v>331</v>
      </c>
      <c r="CB2783" s="340">
        <v>213.17</v>
      </c>
      <c r="CC2783" s="340" t="s">
        <v>348</v>
      </c>
      <c r="CL2783" s="236">
        <v>167.28</v>
      </c>
      <c r="CM2783" s="236" t="s">
        <v>302</v>
      </c>
      <c r="CR2783" s="340">
        <v>3821.19</v>
      </c>
      <c r="CS2783" s="340" t="s">
        <v>350</v>
      </c>
      <c r="CT2783" s="1384"/>
      <c r="DF2783" s="340">
        <v>832.1</v>
      </c>
      <c r="DG2783" s="340" t="s">
        <v>355</v>
      </c>
      <c r="DV2783" s="340">
        <v>9605.0300000000007</v>
      </c>
      <c r="DW2783" s="340" t="s">
        <v>315</v>
      </c>
      <c r="DX2783" s="1671"/>
    </row>
    <row r="2784" spans="12:128">
      <c r="L2784" s="2481">
        <v>910.25</v>
      </c>
      <c r="M2784" s="340" t="s">
        <v>355</v>
      </c>
      <c r="N2784" s="1390"/>
      <c r="O2784" s="2479"/>
      <c r="P2784" s="2282"/>
      <c r="AG2784" s="2297">
        <v>9703.01</v>
      </c>
      <c r="AH2784" s="2297" t="s">
        <v>325</v>
      </c>
      <c r="AI2784" s="1390"/>
      <c r="AJ2784" s="2282"/>
      <c r="AK2784" s="2282"/>
      <c r="AL2784" s="1037"/>
      <c r="AX2784" s="340">
        <v>213.18</v>
      </c>
      <c r="AY2784" s="340" t="s">
        <v>348</v>
      </c>
      <c r="BN2784" s="340">
        <v>3821.22</v>
      </c>
      <c r="BO2784" s="340" t="s">
        <v>350</v>
      </c>
      <c r="BP2784" s="1385"/>
      <c r="BV2784" s="236">
        <v>90.59</v>
      </c>
      <c r="BW2784" s="236" t="s">
        <v>331</v>
      </c>
      <c r="CB2784" s="340">
        <v>213.18</v>
      </c>
      <c r="CC2784" s="340" t="s">
        <v>348</v>
      </c>
      <c r="CL2784" s="236">
        <v>167.28</v>
      </c>
      <c r="CM2784" s="236" t="s">
        <v>338</v>
      </c>
      <c r="CR2784" s="340">
        <v>3821.2</v>
      </c>
      <c r="CS2784" s="340" t="s">
        <v>350</v>
      </c>
      <c r="CT2784" s="1384"/>
      <c r="DF2784" s="340">
        <v>832.11</v>
      </c>
      <c r="DG2784" s="340" t="s">
        <v>355</v>
      </c>
      <c r="DV2784" s="340">
        <v>9606.01</v>
      </c>
      <c r="DW2784" s="340" t="s">
        <v>315</v>
      </c>
      <c r="DX2784" s="1671"/>
    </row>
    <row r="2785" spans="12:128">
      <c r="L2785" s="2481">
        <v>910.29</v>
      </c>
      <c r="M2785" s="340" t="s">
        <v>355</v>
      </c>
      <c r="N2785" s="1390"/>
      <c r="O2785" s="2479"/>
      <c r="P2785" s="2282"/>
      <c r="AG2785">
        <v>9703.01</v>
      </c>
      <c r="AH2785" t="s">
        <v>358</v>
      </c>
      <c r="AI2785" s="1390"/>
      <c r="AJ2785" s="2282"/>
      <c r="AK2785" s="2282"/>
      <c r="AL2785" s="1037"/>
      <c r="AX2785" s="340">
        <v>213.19</v>
      </c>
      <c r="AY2785" s="340" t="s">
        <v>348</v>
      </c>
      <c r="BN2785" s="340">
        <v>3821.24</v>
      </c>
      <c r="BO2785" s="340" t="s">
        <v>350</v>
      </c>
      <c r="BP2785" s="1385"/>
      <c r="BV2785" s="236">
        <v>90.6</v>
      </c>
      <c r="BW2785" s="236" t="s">
        <v>331</v>
      </c>
      <c r="CB2785" s="340">
        <v>213.19</v>
      </c>
      <c r="CC2785" s="340" t="s">
        <v>348</v>
      </c>
      <c r="CL2785" s="236">
        <v>167.29</v>
      </c>
      <c r="CM2785" s="236" t="s">
        <v>302</v>
      </c>
      <c r="CR2785" s="340">
        <v>3821.21</v>
      </c>
      <c r="CS2785" s="340" t="s">
        <v>350</v>
      </c>
      <c r="CT2785" s="1384"/>
      <c r="DF2785" s="340">
        <v>901.02</v>
      </c>
      <c r="DG2785" s="340" t="s">
        <v>355</v>
      </c>
      <c r="DV2785" s="340">
        <v>9606.02</v>
      </c>
      <c r="DW2785" s="340" t="s">
        <v>315</v>
      </c>
      <c r="DX2785" s="1671"/>
    </row>
    <row r="2786" spans="12:128">
      <c r="L2786" s="2481">
        <v>910.3</v>
      </c>
      <c r="M2786" s="340" t="s">
        <v>355</v>
      </c>
      <c r="N2786" s="1390"/>
      <c r="O2786" s="2479"/>
      <c r="P2786" s="2282"/>
      <c r="AG2786">
        <v>9703.02</v>
      </c>
      <c r="AH2786" t="s">
        <v>358</v>
      </c>
      <c r="AI2786" s="1390"/>
      <c r="AJ2786" s="2282"/>
      <c r="AK2786" s="2282"/>
      <c r="AL2786" s="1037"/>
      <c r="AX2786" s="340">
        <v>213.2</v>
      </c>
      <c r="AY2786" s="340" t="s">
        <v>348</v>
      </c>
      <c r="BN2786" s="340">
        <v>3821.25</v>
      </c>
      <c r="BO2786" s="340" t="s">
        <v>350</v>
      </c>
      <c r="BP2786" s="1385"/>
      <c r="BV2786" s="236">
        <v>90.61</v>
      </c>
      <c r="BW2786" s="236" t="s">
        <v>331</v>
      </c>
      <c r="CB2786" s="340">
        <v>213.2</v>
      </c>
      <c r="CC2786" s="340" t="s">
        <v>348</v>
      </c>
      <c r="CL2786" s="236">
        <v>167.3</v>
      </c>
      <c r="CM2786" s="236" t="s">
        <v>302</v>
      </c>
      <c r="CR2786" s="340">
        <v>3821.22</v>
      </c>
      <c r="CS2786" s="340" t="s">
        <v>350</v>
      </c>
      <c r="CT2786" s="1384"/>
      <c r="DF2786" s="340">
        <v>902.04</v>
      </c>
      <c r="DG2786" s="340" t="s">
        <v>355</v>
      </c>
      <c r="DV2786" s="340">
        <v>9607</v>
      </c>
      <c r="DW2786" s="340" t="s">
        <v>315</v>
      </c>
      <c r="DX2786" s="1671"/>
    </row>
    <row r="2787" spans="12:128">
      <c r="L2787" s="2481">
        <v>910.32</v>
      </c>
      <c r="M2787" s="340" t="s">
        <v>355</v>
      </c>
      <c r="N2787" s="1390"/>
      <c r="O2787" s="2479"/>
      <c r="P2787" s="2282"/>
      <c r="AG2787" s="2297">
        <v>9703.0300000000007</v>
      </c>
      <c r="AH2787" s="2297" t="s">
        <v>325</v>
      </c>
      <c r="AI2787" s="1390"/>
      <c r="AJ2787" s="2282"/>
      <c r="AK2787" s="2282"/>
      <c r="AL2787" s="1037"/>
      <c r="AX2787" s="340">
        <v>213.21</v>
      </c>
      <c r="AY2787" s="340" t="s">
        <v>348</v>
      </c>
      <c r="BN2787" s="340">
        <v>3821.26</v>
      </c>
      <c r="BO2787" s="340" t="s">
        <v>350</v>
      </c>
      <c r="BP2787" s="1385"/>
      <c r="BV2787" s="236">
        <v>90.62</v>
      </c>
      <c r="BW2787" s="236" t="s">
        <v>331</v>
      </c>
      <c r="CB2787" s="340">
        <v>213.21</v>
      </c>
      <c r="CC2787" s="340" t="s">
        <v>348</v>
      </c>
      <c r="CL2787" s="236">
        <v>167.31</v>
      </c>
      <c r="CM2787" s="236" t="s">
        <v>302</v>
      </c>
      <c r="CR2787" s="340">
        <v>3821.24</v>
      </c>
      <c r="CS2787" s="340" t="s">
        <v>350</v>
      </c>
      <c r="CT2787" s="1384"/>
      <c r="DF2787" s="340">
        <v>903.04</v>
      </c>
      <c r="DG2787" s="340" t="s">
        <v>355</v>
      </c>
      <c r="DV2787" s="340">
        <v>9610</v>
      </c>
      <c r="DW2787" s="340" t="s">
        <v>315</v>
      </c>
      <c r="DX2787" s="1671"/>
    </row>
    <row r="2788" spans="12:128">
      <c r="L2788" s="2481">
        <v>910.33</v>
      </c>
      <c r="M2788" s="340" t="s">
        <v>355</v>
      </c>
      <c r="N2788" s="1390"/>
      <c r="O2788" s="2479"/>
      <c r="P2788" s="2282"/>
      <c r="AG2788" s="2297">
        <v>9703.0400000000009</v>
      </c>
      <c r="AH2788" s="2297" t="s">
        <v>306</v>
      </c>
      <c r="AI2788" s="1390"/>
      <c r="AJ2788" s="2282"/>
      <c r="AK2788" s="2282"/>
      <c r="AL2788" s="1037"/>
      <c r="AX2788" s="340">
        <v>214.03</v>
      </c>
      <c r="AY2788" s="340" t="s">
        <v>348</v>
      </c>
      <c r="BN2788" s="340">
        <v>3821.27</v>
      </c>
      <c r="BO2788" s="340" t="s">
        <v>350</v>
      </c>
      <c r="BP2788" s="1385"/>
      <c r="BV2788" s="236">
        <v>90.63</v>
      </c>
      <c r="BW2788" s="236" t="s">
        <v>331</v>
      </c>
      <c r="CB2788" s="340">
        <v>214.03</v>
      </c>
      <c r="CC2788" s="340" t="s">
        <v>348</v>
      </c>
      <c r="CL2788" s="236">
        <v>167.31</v>
      </c>
      <c r="CM2788" s="236" t="s">
        <v>338</v>
      </c>
      <c r="CR2788" s="340">
        <v>3821.25</v>
      </c>
      <c r="CS2788" s="340" t="s">
        <v>350</v>
      </c>
      <c r="CT2788" s="1384"/>
      <c r="DF2788" s="340">
        <v>903.05</v>
      </c>
      <c r="DG2788" s="340" t="s">
        <v>355</v>
      </c>
      <c r="DV2788" s="340">
        <v>9613.01</v>
      </c>
      <c r="DW2788" s="340" t="s">
        <v>315</v>
      </c>
      <c r="DX2788" s="1671"/>
    </row>
    <row r="2789" spans="12:128">
      <c r="L2789" s="2481">
        <v>910.35</v>
      </c>
      <c r="M2789" s="340" t="s">
        <v>355</v>
      </c>
      <c r="N2789" s="1390"/>
      <c r="O2789" s="2479"/>
      <c r="P2789" s="2282"/>
      <c r="AG2789" s="2297">
        <v>9704</v>
      </c>
      <c r="AH2789" s="2297" t="s">
        <v>325</v>
      </c>
      <c r="AI2789" s="1390"/>
      <c r="AJ2789" s="2282"/>
      <c r="AK2789" s="2282"/>
      <c r="AL2789" s="1037"/>
      <c r="AX2789" s="340">
        <v>215.05</v>
      </c>
      <c r="AY2789" s="340" t="s">
        <v>348</v>
      </c>
      <c r="BN2789" s="340">
        <v>3821.28</v>
      </c>
      <c r="BO2789" s="340" t="s">
        <v>350</v>
      </c>
      <c r="BP2789" s="1385"/>
      <c r="BV2789" s="236">
        <v>90.64</v>
      </c>
      <c r="BW2789" s="236" t="s">
        <v>331</v>
      </c>
      <c r="CB2789" s="340">
        <v>214.04</v>
      </c>
      <c r="CC2789" s="340" t="s">
        <v>348</v>
      </c>
      <c r="CL2789" s="236">
        <v>167.33</v>
      </c>
      <c r="CM2789" s="236" t="s">
        <v>338</v>
      </c>
      <c r="CR2789" s="340">
        <v>3821.26</v>
      </c>
      <c r="CS2789" s="340" t="s">
        <v>350</v>
      </c>
      <c r="CT2789" s="1384"/>
      <c r="DF2789" s="340">
        <v>903.06</v>
      </c>
      <c r="DG2789" s="340" t="s">
        <v>355</v>
      </c>
      <c r="DV2789" s="340">
        <v>9613.0400000000009</v>
      </c>
      <c r="DW2789" s="340" t="s">
        <v>315</v>
      </c>
      <c r="DX2789" s="1671"/>
    </row>
    <row r="2790" spans="12:128">
      <c r="L2790" s="2481">
        <v>910.36</v>
      </c>
      <c r="M2790" s="340" t="s">
        <v>355</v>
      </c>
      <c r="N2790" s="1390"/>
      <c r="O2790" s="2479"/>
      <c r="P2790" s="2282"/>
      <c r="AG2790" s="2297">
        <v>9704.01</v>
      </c>
      <c r="AH2790" s="2297" t="s">
        <v>352</v>
      </c>
      <c r="AI2790" s="1390"/>
      <c r="AJ2790" s="2282"/>
      <c r="AK2790" s="2282"/>
      <c r="AL2790" s="1037"/>
      <c r="AX2790" s="340">
        <v>216.04</v>
      </c>
      <c r="AY2790" s="340" t="s">
        <v>348</v>
      </c>
      <c r="BN2790" s="340">
        <v>3821.3</v>
      </c>
      <c r="BO2790" s="340" t="s">
        <v>350</v>
      </c>
      <c r="BP2790" s="1385"/>
      <c r="BV2790" s="236">
        <v>90.65</v>
      </c>
      <c r="BW2790" s="236" t="s">
        <v>331</v>
      </c>
      <c r="CB2790" s="340">
        <v>215.04</v>
      </c>
      <c r="CC2790" s="340" t="s">
        <v>348</v>
      </c>
      <c r="CL2790" s="236">
        <v>167.35</v>
      </c>
      <c r="CM2790" s="236" t="s">
        <v>338</v>
      </c>
      <c r="CR2790" s="340">
        <v>3821.27</v>
      </c>
      <c r="CS2790" s="340" t="s">
        <v>350</v>
      </c>
      <c r="CT2790" s="1384"/>
      <c r="DF2790" s="340">
        <v>903.07</v>
      </c>
      <c r="DG2790" s="340" t="s">
        <v>355</v>
      </c>
      <c r="DV2790" s="340">
        <v>9614.01</v>
      </c>
      <c r="DW2790" s="340" t="s">
        <v>315</v>
      </c>
      <c r="DX2790" s="1671"/>
    </row>
    <row r="2791" spans="12:128">
      <c r="L2791" s="2481">
        <v>910.37</v>
      </c>
      <c r="M2791" s="340" t="s">
        <v>355</v>
      </c>
      <c r="N2791" s="1390"/>
      <c r="O2791" s="2479"/>
      <c r="P2791" s="2282"/>
      <c r="AG2791" s="2297">
        <v>9704.02</v>
      </c>
      <c r="AH2791" s="2297" t="s">
        <v>352</v>
      </c>
      <c r="AI2791" s="1390"/>
      <c r="AJ2791" s="2282"/>
      <c r="AK2791" s="2282"/>
      <c r="AL2791" s="1037"/>
      <c r="AX2791" s="340">
        <v>216.06</v>
      </c>
      <c r="AY2791" s="340" t="s">
        <v>348</v>
      </c>
      <c r="BN2791" s="340">
        <v>3822.02</v>
      </c>
      <c r="BO2791" s="340" t="s">
        <v>350</v>
      </c>
      <c r="BP2791" s="1385"/>
      <c r="BV2791" s="236">
        <v>90.66</v>
      </c>
      <c r="BW2791" s="236" t="s">
        <v>331</v>
      </c>
      <c r="CB2791" s="340">
        <v>215.05</v>
      </c>
      <c r="CC2791" s="340" t="s">
        <v>348</v>
      </c>
      <c r="CL2791" s="236">
        <v>167.36</v>
      </c>
      <c r="CM2791" s="236" t="s">
        <v>338</v>
      </c>
      <c r="CR2791" s="340">
        <v>3821.28</v>
      </c>
      <c r="CS2791" s="340" t="s">
        <v>350</v>
      </c>
      <c r="CT2791" s="1384"/>
      <c r="DF2791" s="340">
        <v>904.01</v>
      </c>
      <c r="DG2791" s="340" t="s">
        <v>355</v>
      </c>
      <c r="DV2791" s="340">
        <v>9615</v>
      </c>
      <c r="DW2791" s="340" t="s">
        <v>315</v>
      </c>
      <c r="DX2791" s="1671"/>
    </row>
    <row r="2792" spans="12:128">
      <c r="L2792" s="2481">
        <v>910.38</v>
      </c>
      <c r="M2792" s="340" t="s">
        <v>355</v>
      </c>
      <c r="N2792" s="1390"/>
      <c r="O2792" s="2479"/>
      <c r="P2792" s="2282"/>
      <c r="AG2792" s="2297">
        <v>9705</v>
      </c>
      <c r="AH2792" s="2297" t="s">
        <v>333</v>
      </c>
      <c r="AI2792" s="1390"/>
      <c r="AJ2792" s="2282"/>
      <c r="AK2792" s="2282"/>
      <c r="AL2792" s="1037"/>
      <c r="AX2792" s="340">
        <v>216.09</v>
      </c>
      <c r="AY2792" s="340" t="s">
        <v>348</v>
      </c>
      <c r="BN2792" s="340">
        <v>4501.03</v>
      </c>
      <c r="BO2792" s="340" t="s">
        <v>295</v>
      </c>
      <c r="BP2792" s="1385"/>
      <c r="BV2792" s="236">
        <v>91.01</v>
      </c>
      <c r="BW2792" s="236" t="s">
        <v>331</v>
      </c>
      <c r="CB2792" s="340">
        <v>215.06</v>
      </c>
      <c r="CC2792" s="340" t="s">
        <v>348</v>
      </c>
      <c r="CL2792" s="236">
        <v>167.37</v>
      </c>
      <c r="CM2792" s="236" t="s">
        <v>338</v>
      </c>
      <c r="CR2792" s="340">
        <v>3821.3</v>
      </c>
      <c r="CS2792" s="340" t="s">
        <v>350</v>
      </c>
      <c r="CT2792" s="1384"/>
      <c r="DF2792" s="340">
        <v>904.02</v>
      </c>
      <c r="DG2792" s="340" t="s">
        <v>355</v>
      </c>
      <c r="DV2792" s="340">
        <v>9616.01</v>
      </c>
      <c r="DW2792" s="340" t="s">
        <v>315</v>
      </c>
      <c r="DX2792" s="1671"/>
    </row>
    <row r="2793" spans="12:128">
      <c r="L2793" s="2481">
        <v>910.39</v>
      </c>
      <c r="M2793" s="340" t="s">
        <v>355</v>
      </c>
      <c r="N2793" s="1390"/>
      <c r="O2793" s="2479"/>
      <c r="P2793" s="2282"/>
      <c r="AG2793" s="2297">
        <v>9705.01</v>
      </c>
      <c r="AH2793" s="2297" t="s">
        <v>325</v>
      </c>
      <c r="AI2793" s="1390"/>
      <c r="AJ2793" s="2282"/>
      <c r="AK2793" s="2282"/>
      <c r="AL2793" s="1037"/>
      <c r="AX2793" s="340">
        <v>216.11</v>
      </c>
      <c r="AY2793" s="340" t="s">
        <v>348</v>
      </c>
      <c r="BN2793" s="340">
        <v>4501.04</v>
      </c>
      <c r="BO2793" s="340" t="s">
        <v>295</v>
      </c>
      <c r="BP2793" s="1385"/>
      <c r="BV2793" s="236">
        <v>91.02</v>
      </c>
      <c r="BW2793" s="236" t="s">
        <v>331</v>
      </c>
      <c r="CB2793" s="340">
        <v>216.04</v>
      </c>
      <c r="CC2793" s="340" t="s">
        <v>348</v>
      </c>
      <c r="CL2793" s="236">
        <v>167.38</v>
      </c>
      <c r="CM2793" s="236" t="s">
        <v>338</v>
      </c>
      <c r="CR2793" s="340">
        <v>3822.02</v>
      </c>
      <c r="CS2793" s="340" t="s">
        <v>350</v>
      </c>
      <c r="CT2793" s="1384"/>
      <c r="DF2793" s="340">
        <v>906</v>
      </c>
      <c r="DG2793" s="340" t="s">
        <v>355</v>
      </c>
      <c r="DV2793" s="340">
        <v>9616.02</v>
      </c>
      <c r="DW2793" s="340" t="s">
        <v>315</v>
      </c>
      <c r="DX2793" s="1671"/>
    </row>
    <row r="2794" spans="12:128">
      <c r="L2794" s="2481">
        <v>925</v>
      </c>
      <c r="M2794" s="340" t="s">
        <v>355</v>
      </c>
      <c r="N2794" s="1390"/>
      <c r="O2794" s="2479"/>
      <c r="P2794" s="2282"/>
      <c r="AG2794" s="2297">
        <v>9705.01</v>
      </c>
      <c r="AH2794" s="2297" t="s">
        <v>352</v>
      </c>
      <c r="AI2794" s="1390"/>
      <c r="AJ2794" s="2282"/>
      <c r="AK2794" s="2282"/>
      <c r="AL2794" s="1037"/>
      <c r="AX2794" s="340">
        <v>216.12</v>
      </c>
      <c r="AY2794" s="340" t="s">
        <v>348</v>
      </c>
      <c r="BN2794" s="340">
        <v>4502.0200000000004</v>
      </c>
      <c r="BO2794" s="340" t="s">
        <v>295</v>
      </c>
      <c r="BP2794" s="1385"/>
      <c r="BV2794" s="236">
        <v>92</v>
      </c>
      <c r="BW2794" s="236" t="s">
        <v>331</v>
      </c>
      <c r="CB2794" s="340">
        <v>216.09</v>
      </c>
      <c r="CC2794" s="340" t="s">
        <v>348</v>
      </c>
      <c r="CL2794" s="236">
        <v>167.39</v>
      </c>
      <c r="CM2794" s="236" t="s">
        <v>338</v>
      </c>
      <c r="CR2794" s="340">
        <v>4501.03</v>
      </c>
      <c r="CS2794" s="340" t="s">
        <v>295</v>
      </c>
      <c r="CT2794" s="1384"/>
      <c r="DF2794" s="340">
        <v>907.01</v>
      </c>
      <c r="DG2794" s="340" t="s">
        <v>355</v>
      </c>
      <c r="DV2794" s="340">
        <v>9616.0499999999993</v>
      </c>
      <c r="DW2794" s="340" t="s">
        <v>315</v>
      </c>
      <c r="DX2794" s="1671"/>
    </row>
    <row r="2795" spans="12:128">
      <c r="L2795" s="2481">
        <v>102.04</v>
      </c>
      <c r="M2795" s="340" t="s">
        <v>356</v>
      </c>
      <c r="N2795" s="1390"/>
      <c r="O2795" s="2479"/>
      <c r="P2795" s="2282"/>
      <c r="AG2795" s="2297">
        <v>9705.02</v>
      </c>
      <c r="AH2795" s="2297" t="s">
        <v>325</v>
      </c>
      <c r="AI2795" s="1390"/>
      <c r="AJ2795" s="2282"/>
      <c r="AK2795" s="2282"/>
      <c r="AL2795" s="1037"/>
      <c r="AX2795" s="340">
        <v>216.14</v>
      </c>
      <c r="AY2795" s="340" t="s">
        <v>348</v>
      </c>
      <c r="BN2795" s="340">
        <v>4503.05</v>
      </c>
      <c r="BO2795" s="340" t="s">
        <v>295</v>
      </c>
      <c r="BP2795" s="1385"/>
      <c r="BV2795" s="236">
        <v>93.05</v>
      </c>
      <c r="BW2795" s="236" t="s">
        <v>331</v>
      </c>
      <c r="CB2795" s="340">
        <v>216.11</v>
      </c>
      <c r="CC2795" s="340" t="s">
        <v>348</v>
      </c>
      <c r="CL2795" s="236">
        <v>167.4</v>
      </c>
      <c r="CM2795" s="236" t="s">
        <v>338</v>
      </c>
      <c r="CR2795" s="340">
        <v>4501.04</v>
      </c>
      <c r="CS2795" s="340" t="s">
        <v>295</v>
      </c>
      <c r="CT2795" s="1384"/>
      <c r="DF2795" s="340">
        <v>908.03</v>
      </c>
      <c r="DG2795" s="340" t="s">
        <v>355</v>
      </c>
      <c r="DV2795" s="340">
        <v>9701</v>
      </c>
      <c r="DW2795" s="340" t="s">
        <v>352</v>
      </c>
      <c r="DX2795" s="1671"/>
    </row>
    <row r="2796" spans="12:128">
      <c r="L2796" s="2481">
        <v>102.05</v>
      </c>
      <c r="M2796" s="340" t="s">
        <v>356</v>
      </c>
      <c r="N2796" s="1390"/>
      <c r="O2796" s="2479"/>
      <c r="P2796" s="2282"/>
      <c r="AG2796" s="2297">
        <v>9705.02</v>
      </c>
      <c r="AH2796" s="2297" t="s">
        <v>352</v>
      </c>
      <c r="AI2796" s="1390"/>
      <c r="AJ2796" s="2282"/>
      <c r="AK2796" s="2282"/>
      <c r="AL2796" s="1037"/>
      <c r="AX2796" s="340">
        <v>216.17</v>
      </c>
      <c r="AY2796" s="340" t="s">
        <v>348</v>
      </c>
      <c r="BN2796" s="340">
        <v>4503.07</v>
      </c>
      <c r="BO2796" s="340" t="s">
        <v>295</v>
      </c>
      <c r="BP2796" s="1385"/>
      <c r="BV2796" s="236">
        <v>93.12</v>
      </c>
      <c r="BW2796" s="236" t="s">
        <v>331</v>
      </c>
      <c r="CB2796" s="340">
        <v>216.12</v>
      </c>
      <c r="CC2796" s="340" t="s">
        <v>348</v>
      </c>
      <c r="CL2796" s="236">
        <v>167.41</v>
      </c>
      <c r="CM2796" s="236" t="s">
        <v>338</v>
      </c>
      <c r="CR2796" s="340">
        <v>4503.05</v>
      </c>
      <c r="CS2796" s="340" t="s">
        <v>295</v>
      </c>
      <c r="CT2796" s="1384"/>
      <c r="DF2796" s="340">
        <v>909.03</v>
      </c>
      <c r="DG2796" s="340" t="s">
        <v>355</v>
      </c>
      <c r="DV2796" s="340">
        <v>9701.01</v>
      </c>
      <c r="DW2796" s="340" t="s">
        <v>325</v>
      </c>
      <c r="DX2796" s="1671"/>
    </row>
    <row r="2797" spans="12:128">
      <c r="L2797" s="2481">
        <v>102.07</v>
      </c>
      <c r="M2797" s="340" t="s">
        <v>356</v>
      </c>
      <c r="N2797" s="1390"/>
      <c r="O2797" s="2479"/>
      <c r="P2797" s="2282"/>
      <c r="AG2797" s="2297">
        <v>9706.02</v>
      </c>
      <c r="AH2797" s="2297" t="s">
        <v>352</v>
      </c>
      <c r="AI2797" s="1390"/>
      <c r="AJ2797" s="2282"/>
      <c r="AK2797" s="2282"/>
      <c r="AL2797" s="1037"/>
      <c r="AX2797" s="340">
        <v>217.04</v>
      </c>
      <c r="AY2797" s="340" t="s">
        <v>348</v>
      </c>
      <c r="BN2797" s="340">
        <v>4503.08</v>
      </c>
      <c r="BO2797" s="340" t="s">
        <v>295</v>
      </c>
      <c r="BP2797" s="1385"/>
      <c r="BV2797" s="236">
        <v>93.14</v>
      </c>
      <c r="BW2797" s="236" t="s">
        <v>331</v>
      </c>
      <c r="CB2797" s="340">
        <v>216.13</v>
      </c>
      <c r="CC2797" s="340" t="s">
        <v>348</v>
      </c>
      <c r="CL2797" s="236">
        <v>167.42</v>
      </c>
      <c r="CM2797" s="236" t="s">
        <v>338</v>
      </c>
      <c r="CR2797" s="340">
        <v>4503.07</v>
      </c>
      <c r="CS2797" s="340" t="s">
        <v>295</v>
      </c>
      <c r="CT2797" s="1384"/>
      <c r="DF2797" s="340">
        <v>909.04</v>
      </c>
      <c r="DG2797" s="340" t="s">
        <v>355</v>
      </c>
      <c r="DV2797" s="340">
        <v>9701.02</v>
      </c>
      <c r="DW2797" s="340" t="s">
        <v>306</v>
      </c>
      <c r="DX2797" s="1671"/>
    </row>
    <row r="2798" spans="12:128">
      <c r="L2798" s="2481">
        <v>102.08</v>
      </c>
      <c r="M2798" s="340" t="s">
        <v>356</v>
      </c>
      <c r="N2798" s="1390"/>
      <c r="O2798" s="2479"/>
      <c r="P2798" s="2282"/>
      <c r="AG2798" s="2297">
        <v>9708</v>
      </c>
      <c r="AH2798" s="2297" t="s">
        <v>333</v>
      </c>
      <c r="AI2798" s="1390"/>
      <c r="AJ2798" s="2282"/>
      <c r="AK2798" s="2282"/>
      <c r="AL2798" s="1037"/>
      <c r="AX2798" s="340">
        <v>217.06</v>
      </c>
      <c r="AY2798" s="340" t="s">
        <v>348</v>
      </c>
      <c r="BN2798" s="340">
        <v>4504.0200000000004</v>
      </c>
      <c r="BO2798" s="340" t="s">
        <v>295</v>
      </c>
      <c r="BP2798" s="1385"/>
      <c r="BV2798" s="236">
        <v>93.15</v>
      </c>
      <c r="BW2798" s="236" t="s">
        <v>331</v>
      </c>
      <c r="CB2798" s="340">
        <v>216.14</v>
      </c>
      <c r="CC2798" s="340" t="s">
        <v>348</v>
      </c>
      <c r="CL2798" s="236">
        <v>167.43</v>
      </c>
      <c r="CM2798" s="236" t="s">
        <v>338</v>
      </c>
      <c r="CR2798" s="340">
        <v>4503.08</v>
      </c>
      <c r="CS2798" s="340" t="s">
        <v>295</v>
      </c>
      <c r="CT2798" s="1384"/>
      <c r="DF2798" s="340">
        <v>909.05</v>
      </c>
      <c r="DG2798" s="340" t="s">
        <v>355</v>
      </c>
      <c r="DV2798" s="340">
        <v>9701.02</v>
      </c>
      <c r="DW2798" s="340" t="s">
        <v>312</v>
      </c>
      <c r="DX2798" s="1671"/>
    </row>
    <row r="2799" spans="12:128">
      <c r="L2799" s="2481">
        <v>102.09</v>
      </c>
      <c r="M2799" s="340" t="s">
        <v>356</v>
      </c>
      <c r="N2799" s="1390"/>
      <c r="O2799" s="2479"/>
      <c r="P2799" s="2282"/>
      <c r="AG2799" s="2297">
        <v>9710.01</v>
      </c>
      <c r="AH2799" s="2297" t="s">
        <v>333</v>
      </c>
      <c r="AI2799" s="1390"/>
      <c r="AJ2799" s="2282"/>
      <c r="AK2799" s="2282"/>
      <c r="AL2799" s="1037"/>
      <c r="AX2799" s="340">
        <v>217.07</v>
      </c>
      <c r="AY2799" s="340" t="s">
        <v>348</v>
      </c>
      <c r="BN2799" s="340">
        <v>4505.01</v>
      </c>
      <c r="BO2799" s="340" t="s">
        <v>295</v>
      </c>
      <c r="BP2799" s="1385"/>
      <c r="BV2799" s="236">
        <v>93.16</v>
      </c>
      <c r="BW2799" s="236" t="s">
        <v>331</v>
      </c>
      <c r="CB2799" s="340">
        <v>216.17</v>
      </c>
      <c r="CC2799" s="340" t="s">
        <v>348</v>
      </c>
      <c r="CL2799" s="236">
        <v>167.44</v>
      </c>
      <c r="CM2799" s="236" t="s">
        <v>338</v>
      </c>
      <c r="CR2799" s="340">
        <v>4503.09</v>
      </c>
      <c r="CS2799" s="340" t="s">
        <v>295</v>
      </c>
      <c r="CT2799" s="1384"/>
      <c r="DF2799" s="340">
        <v>910.01</v>
      </c>
      <c r="DG2799" s="340" t="s">
        <v>355</v>
      </c>
      <c r="DV2799" s="340">
        <v>9701.02</v>
      </c>
      <c r="DW2799" s="340" t="s">
        <v>358</v>
      </c>
      <c r="DX2799" s="1671"/>
    </row>
    <row r="2800" spans="12:128">
      <c r="L2800" s="2481">
        <v>9505.01</v>
      </c>
      <c r="M2800" s="340" t="s">
        <v>357</v>
      </c>
      <c r="N2800" s="1390"/>
      <c r="O2800" s="2479"/>
      <c r="P2800" s="2282"/>
      <c r="AG2800" s="2297">
        <v>9710.02</v>
      </c>
      <c r="AH2800" s="2297" t="s">
        <v>333</v>
      </c>
      <c r="AI2800" s="1390"/>
      <c r="AJ2800" s="2282"/>
      <c r="AK2800" s="2282"/>
      <c r="AL2800" s="1037"/>
      <c r="AX2800" s="340">
        <v>217.08</v>
      </c>
      <c r="AY2800" s="340" t="s">
        <v>348</v>
      </c>
      <c r="BN2800" s="340">
        <v>4505.0200000000004</v>
      </c>
      <c r="BO2800" s="340" t="s">
        <v>295</v>
      </c>
      <c r="BP2800" s="1385"/>
      <c r="BV2800" s="236">
        <v>93.17</v>
      </c>
      <c r="BW2800" s="236" t="s">
        <v>331</v>
      </c>
      <c r="CB2800" s="340">
        <v>217.04</v>
      </c>
      <c r="CC2800" s="340" t="s">
        <v>348</v>
      </c>
      <c r="CL2800" s="236">
        <v>167.45</v>
      </c>
      <c r="CM2800" s="236" t="s">
        <v>338</v>
      </c>
      <c r="CR2800" s="340">
        <v>4503.1000000000004</v>
      </c>
      <c r="CS2800" s="340" t="s">
        <v>295</v>
      </c>
      <c r="CT2800" s="1384"/>
      <c r="DF2800" s="340">
        <v>910.05</v>
      </c>
      <c r="DG2800" s="340" t="s">
        <v>355</v>
      </c>
      <c r="DV2800" s="340">
        <v>9701.0300000000007</v>
      </c>
      <c r="DW2800" s="340" t="s">
        <v>325</v>
      </c>
      <c r="DX2800" s="1671"/>
    </row>
    <row r="2801" spans="12:128">
      <c r="L2801" s="2481">
        <v>9505.02</v>
      </c>
      <c r="M2801" s="340" t="s">
        <v>357</v>
      </c>
      <c r="N2801" s="1390"/>
      <c r="O2801" s="2479"/>
      <c r="P2801" s="2282"/>
      <c r="AG2801" s="2297">
        <v>9712</v>
      </c>
      <c r="AH2801" s="2297" t="s">
        <v>333</v>
      </c>
      <c r="AI2801" s="1390"/>
      <c r="AJ2801" s="2282"/>
      <c r="AK2801" s="2282"/>
      <c r="AL2801" s="1037"/>
      <c r="AX2801" s="340">
        <v>218.03</v>
      </c>
      <c r="AY2801" s="340" t="s">
        <v>348</v>
      </c>
      <c r="BN2801" s="340">
        <v>4506.0200000000004</v>
      </c>
      <c r="BO2801" s="340" t="s">
        <v>295</v>
      </c>
      <c r="BP2801" s="1385"/>
      <c r="BV2801" s="236">
        <v>93.18</v>
      </c>
      <c r="BW2801" s="236" t="s">
        <v>331</v>
      </c>
      <c r="CB2801" s="340">
        <v>217.07</v>
      </c>
      <c r="CC2801" s="340" t="s">
        <v>348</v>
      </c>
      <c r="CL2801" s="236">
        <v>167.46</v>
      </c>
      <c r="CM2801" s="236" t="s">
        <v>338</v>
      </c>
      <c r="CR2801" s="340">
        <v>4504.0200000000004</v>
      </c>
      <c r="CS2801" s="340" t="s">
        <v>295</v>
      </c>
      <c r="CT2801" s="1384"/>
      <c r="DF2801" s="340">
        <v>910.15</v>
      </c>
      <c r="DG2801" s="340" t="s">
        <v>355</v>
      </c>
      <c r="DV2801" s="340">
        <v>9701.0300000000007</v>
      </c>
      <c r="DW2801" s="340" t="s">
        <v>358</v>
      </c>
      <c r="DX2801" s="1671"/>
    </row>
    <row r="2802" spans="12:128">
      <c r="L2802" s="2481">
        <v>9506.0400000000009</v>
      </c>
      <c r="M2802" s="340" t="s">
        <v>357</v>
      </c>
      <c r="N2802" s="1390"/>
      <c r="O2802" s="2479"/>
      <c r="P2802" s="2282"/>
      <c r="AG2802" s="2297">
        <v>9714.01</v>
      </c>
      <c r="AH2802" s="2297" t="s">
        <v>333</v>
      </c>
      <c r="AI2802" s="1390"/>
      <c r="AJ2802" s="2282"/>
      <c r="AK2802" s="2282"/>
      <c r="AL2802" s="1037"/>
      <c r="AX2802" s="340">
        <v>218.05</v>
      </c>
      <c r="AY2802" s="340" t="s">
        <v>348</v>
      </c>
      <c r="BN2802" s="340">
        <v>4507.03</v>
      </c>
      <c r="BO2802" s="340" t="s">
        <v>295</v>
      </c>
      <c r="BP2802" s="1385"/>
      <c r="BV2802" s="236">
        <v>93.19</v>
      </c>
      <c r="BW2802" s="236" t="s">
        <v>331</v>
      </c>
      <c r="CB2802" s="340">
        <v>217.08</v>
      </c>
      <c r="CC2802" s="340" t="s">
        <v>348</v>
      </c>
      <c r="CL2802" s="236">
        <v>167.47</v>
      </c>
      <c r="CM2802" s="236" t="s">
        <v>338</v>
      </c>
      <c r="CR2802" s="340">
        <v>4505.01</v>
      </c>
      <c r="CS2802" s="340" t="s">
        <v>295</v>
      </c>
      <c r="CT2802" s="1384"/>
      <c r="DF2802" s="340">
        <v>910.16</v>
      </c>
      <c r="DG2802" s="340" t="s">
        <v>355</v>
      </c>
      <c r="DV2802" s="340">
        <v>9701.0400000000009</v>
      </c>
      <c r="DW2802" s="340" t="s">
        <v>358</v>
      </c>
      <c r="DX2802" s="1671"/>
    </row>
    <row r="2803" spans="12:128">
      <c r="L2803" s="2481">
        <v>9506.0499999999993</v>
      </c>
      <c r="M2803" s="340" t="s">
        <v>357</v>
      </c>
      <c r="N2803" s="1390"/>
      <c r="O2803" s="2479"/>
      <c r="P2803" s="2282"/>
      <c r="AG2803" s="2297">
        <v>9715.01</v>
      </c>
      <c r="AH2803" s="2297" t="s">
        <v>333</v>
      </c>
      <c r="AI2803" s="1390"/>
      <c r="AJ2803" s="2282"/>
      <c r="AK2803" s="2282"/>
      <c r="AL2803" s="1037"/>
      <c r="AX2803" s="340">
        <v>218.06</v>
      </c>
      <c r="AY2803" s="340" t="s">
        <v>348</v>
      </c>
      <c r="BN2803" s="340">
        <v>4507.04</v>
      </c>
      <c r="BO2803" s="340" t="s">
        <v>295</v>
      </c>
      <c r="BP2803" s="1385"/>
      <c r="BV2803" s="236">
        <v>93.2</v>
      </c>
      <c r="BW2803" s="236" t="s">
        <v>331</v>
      </c>
      <c r="CB2803" s="340">
        <v>218.05</v>
      </c>
      <c r="CC2803" s="340" t="s">
        <v>348</v>
      </c>
      <c r="CL2803" s="236">
        <v>167.48</v>
      </c>
      <c r="CM2803" s="236" t="s">
        <v>338</v>
      </c>
      <c r="CR2803" s="340">
        <v>4505.0200000000004</v>
      </c>
      <c r="CS2803" s="340" t="s">
        <v>295</v>
      </c>
      <c r="CT2803" s="1384"/>
      <c r="DF2803" s="340">
        <v>910.17</v>
      </c>
      <c r="DG2803" s="340" t="s">
        <v>355</v>
      </c>
      <c r="DV2803" s="340">
        <v>9702</v>
      </c>
      <c r="DW2803" s="340" t="s">
        <v>325</v>
      </c>
      <c r="DX2803" s="1671"/>
    </row>
    <row r="2804" spans="12:128">
      <c r="L2804" s="2481">
        <v>9506.06</v>
      </c>
      <c r="M2804" s="340" t="s">
        <v>357</v>
      </c>
      <c r="N2804" s="1390"/>
      <c r="O2804" s="2479"/>
      <c r="P2804" s="2282"/>
      <c r="AG2804" s="2297">
        <v>9715.02</v>
      </c>
      <c r="AH2804" s="2297" t="s">
        <v>333</v>
      </c>
      <c r="AI2804" s="1390"/>
      <c r="AJ2804" s="2282"/>
      <c r="AK2804" s="2282"/>
      <c r="AL2804" s="1037"/>
      <c r="AX2804" s="340">
        <v>219.01</v>
      </c>
      <c r="AY2804" s="340" t="s">
        <v>348</v>
      </c>
      <c r="BN2804" s="340">
        <v>4509.01</v>
      </c>
      <c r="BO2804" s="340" t="s">
        <v>295</v>
      </c>
      <c r="BP2804" s="1385"/>
      <c r="BV2804" s="236">
        <v>93.21</v>
      </c>
      <c r="BW2804" s="236" t="s">
        <v>331</v>
      </c>
      <c r="CB2804" s="340">
        <v>218.06</v>
      </c>
      <c r="CC2804" s="340" t="s">
        <v>348</v>
      </c>
      <c r="CL2804" s="236">
        <v>167.49</v>
      </c>
      <c r="CM2804" s="236" t="s">
        <v>338</v>
      </c>
      <c r="CR2804" s="340">
        <v>4507.03</v>
      </c>
      <c r="CS2804" s="340" t="s">
        <v>295</v>
      </c>
      <c r="CT2804" s="1384"/>
      <c r="DF2804" s="340">
        <v>910.18</v>
      </c>
      <c r="DG2804" s="340" t="s">
        <v>355</v>
      </c>
      <c r="DV2804" s="340">
        <v>9702.01</v>
      </c>
      <c r="DW2804" s="340" t="s">
        <v>301</v>
      </c>
      <c r="DX2804" s="1671"/>
    </row>
    <row r="2805" spans="12:128">
      <c r="L2805" s="2481">
        <v>9506.07</v>
      </c>
      <c r="M2805" s="340" t="s">
        <v>357</v>
      </c>
      <c r="N2805" s="1390"/>
      <c r="O2805" s="2479"/>
      <c r="P2805" s="2282"/>
      <c r="AG2805" s="2297">
        <v>9716</v>
      </c>
      <c r="AH2805" s="2297" t="s">
        <v>333</v>
      </c>
      <c r="AI2805" s="1390"/>
      <c r="AJ2805" s="2282"/>
      <c r="AK2805" s="2282"/>
      <c r="AL2805" s="1037"/>
      <c r="AX2805" s="340">
        <v>220.02</v>
      </c>
      <c r="AY2805" s="340" t="s">
        <v>348</v>
      </c>
      <c r="BN2805" s="340">
        <v>4509.0200000000004</v>
      </c>
      <c r="BO2805" s="340" t="s">
        <v>295</v>
      </c>
      <c r="BP2805" s="1385"/>
      <c r="BV2805" s="236">
        <v>93.22</v>
      </c>
      <c r="BW2805" s="236" t="s">
        <v>331</v>
      </c>
      <c r="CB2805" s="340">
        <v>219.02</v>
      </c>
      <c r="CC2805" s="340" t="s">
        <v>348</v>
      </c>
      <c r="CL2805" s="236">
        <v>167.5</v>
      </c>
      <c r="CM2805" s="236" t="s">
        <v>338</v>
      </c>
      <c r="CR2805" s="340">
        <v>4507.05</v>
      </c>
      <c r="CS2805" s="340" t="s">
        <v>295</v>
      </c>
      <c r="CT2805" s="1384"/>
      <c r="DF2805" s="340">
        <v>910.19</v>
      </c>
      <c r="DG2805" s="340" t="s">
        <v>355</v>
      </c>
      <c r="DV2805" s="340">
        <v>9702.02</v>
      </c>
      <c r="DW2805" s="340" t="s">
        <v>301</v>
      </c>
      <c r="DX2805" s="1671"/>
    </row>
    <row r="2806" spans="12:128">
      <c r="L2806" s="2481">
        <v>9506.08</v>
      </c>
      <c r="M2806" s="340" t="s">
        <v>357</v>
      </c>
      <c r="N2806" s="1390"/>
      <c r="O2806" s="2479"/>
      <c r="P2806" s="2282"/>
      <c r="AG2806" s="2297">
        <v>9717</v>
      </c>
      <c r="AH2806" s="2297" t="s">
        <v>333</v>
      </c>
      <c r="AI2806" s="1390"/>
      <c r="AJ2806" s="2282"/>
      <c r="AK2806" s="2282"/>
      <c r="AL2806" s="1037"/>
      <c r="AX2806" s="340">
        <v>220.04</v>
      </c>
      <c r="AY2806" s="340" t="s">
        <v>348</v>
      </c>
      <c r="BN2806" s="340">
        <v>4510.01</v>
      </c>
      <c r="BO2806" s="340" t="s">
        <v>295</v>
      </c>
      <c r="BP2806" s="1385"/>
      <c r="BV2806" s="236">
        <v>93.23</v>
      </c>
      <c r="BW2806" s="236" t="s">
        <v>331</v>
      </c>
      <c r="CB2806" s="340">
        <v>220.02</v>
      </c>
      <c r="CC2806" s="340" t="s">
        <v>348</v>
      </c>
      <c r="CL2806" s="236">
        <v>167.51</v>
      </c>
      <c r="CM2806" s="236" t="s">
        <v>338</v>
      </c>
      <c r="CR2806" s="340">
        <v>4507.0600000000004</v>
      </c>
      <c r="CS2806" s="340" t="s">
        <v>295</v>
      </c>
      <c r="CT2806" s="1384"/>
      <c r="DF2806" s="340">
        <v>910.2</v>
      </c>
      <c r="DG2806" s="340" t="s">
        <v>355</v>
      </c>
      <c r="DV2806" s="340">
        <v>9702.02</v>
      </c>
      <c r="DW2806" s="340" t="s">
        <v>312</v>
      </c>
      <c r="DX2806" s="1671"/>
    </row>
    <row r="2807" spans="12:128">
      <c r="L2807" s="2481">
        <v>9506.09</v>
      </c>
      <c r="M2807" s="340" t="s">
        <v>357</v>
      </c>
      <c r="N2807" s="1390"/>
      <c r="O2807" s="2479"/>
      <c r="P2807" s="2282"/>
      <c r="AG2807" s="2297">
        <v>9720</v>
      </c>
      <c r="AH2807" s="2297" t="s">
        <v>333</v>
      </c>
      <c r="AI2807" s="1390"/>
      <c r="AJ2807" s="2282"/>
      <c r="AK2807" s="2282"/>
      <c r="AL2807" s="1037"/>
      <c r="AX2807" s="340">
        <v>220.07</v>
      </c>
      <c r="AY2807" s="340" t="s">
        <v>348</v>
      </c>
      <c r="BN2807" s="340">
        <v>4511.01</v>
      </c>
      <c r="BO2807" s="340" t="s">
        <v>295</v>
      </c>
      <c r="BP2807" s="1385"/>
      <c r="BV2807" s="236">
        <v>93.24</v>
      </c>
      <c r="BW2807" s="236" t="s">
        <v>331</v>
      </c>
      <c r="CB2807" s="340">
        <v>220.04</v>
      </c>
      <c r="CC2807" s="340" t="s">
        <v>348</v>
      </c>
      <c r="CL2807" s="236">
        <v>167.52</v>
      </c>
      <c r="CM2807" s="236" t="s">
        <v>338</v>
      </c>
      <c r="CR2807" s="340">
        <v>4509.01</v>
      </c>
      <c r="CS2807" s="340" t="s">
        <v>295</v>
      </c>
      <c r="CT2807" s="1384"/>
      <c r="DF2807" s="340">
        <v>910.21</v>
      </c>
      <c r="DG2807" s="340" t="s">
        <v>355</v>
      </c>
      <c r="DV2807" s="340">
        <v>9703.01</v>
      </c>
      <c r="DW2807" s="340" t="s">
        <v>325</v>
      </c>
      <c r="DX2807" s="1671"/>
    </row>
    <row r="2808" spans="12:128">
      <c r="L2808" s="2481">
        <v>9506.1</v>
      </c>
      <c r="M2808" s="340" t="s">
        <v>357</v>
      </c>
      <c r="N2808" s="1390"/>
      <c r="O2808" s="2479"/>
      <c r="P2808" s="2282"/>
      <c r="AG2808" s="2297">
        <v>9721</v>
      </c>
      <c r="AH2808" s="2297" t="s">
        <v>333</v>
      </c>
      <c r="AI2808" s="1390"/>
      <c r="AJ2808" s="2282"/>
      <c r="AK2808" s="2282"/>
      <c r="AL2808" s="1037"/>
      <c r="AX2808" s="340">
        <v>221.04</v>
      </c>
      <c r="AY2808" s="340" t="s">
        <v>348</v>
      </c>
      <c r="BN2808" s="340">
        <v>4511.04</v>
      </c>
      <c r="BO2808" s="340" t="s">
        <v>295</v>
      </c>
      <c r="BP2808" s="1385"/>
      <c r="BV2808" s="236">
        <v>93.25</v>
      </c>
      <c r="BW2808" s="236" t="s">
        <v>331</v>
      </c>
      <c r="CB2808" s="340">
        <v>220.07</v>
      </c>
      <c r="CC2808" s="340" t="s">
        <v>348</v>
      </c>
      <c r="CL2808" s="236">
        <v>167.53</v>
      </c>
      <c r="CM2808" s="236" t="s">
        <v>338</v>
      </c>
      <c r="CR2808" s="340">
        <v>4509.0200000000004</v>
      </c>
      <c r="CS2808" s="340" t="s">
        <v>295</v>
      </c>
      <c r="CT2808" s="1384"/>
      <c r="DF2808" s="340">
        <v>910.23</v>
      </c>
      <c r="DG2808" s="340" t="s">
        <v>355</v>
      </c>
      <c r="DV2808" s="340">
        <v>9703.01</v>
      </c>
      <c r="DW2808" s="340" t="s">
        <v>358</v>
      </c>
      <c r="DX2808" s="1671"/>
    </row>
    <row r="2809" spans="12:128">
      <c r="L2809" s="2481">
        <v>9506.11</v>
      </c>
      <c r="M2809" s="340" t="s">
        <v>357</v>
      </c>
      <c r="N2809" s="1390"/>
      <c r="O2809" s="2479"/>
      <c r="P2809" s="2282"/>
      <c r="AG2809" s="2297">
        <v>9722</v>
      </c>
      <c r="AH2809" s="2297" t="s">
        <v>333</v>
      </c>
      <c r="AI2809" s="1390"/>
      <c r="AJ2809" s="2282"/>
      <c r="AK2809" s="2282"/>
      <c r="AL2809" s="1037"/>
      <c r="AX2809" s="340">
        <v>221.05</v>
      </c>
      <c r="AY2809" s="340" t="s">
        <v>348</v>
      </c>
      <c r="BN2809" s="340">
        <v>4513</v>
      </c>
      <c r="BO2809" s="340" t="s">
        <v>295</v>
      </c>
      <c r="BP2809" s="1385"/>
      <c r="BV2809" s="236">
        <v>93.26</v>
      </c>
      <c r="BW2809" s="236" t="s">
        <v>331</v>
      </c>
      <c r="CB2809" s="340">
        <v>221.06</v>
      </c>
      <c r="CC2809" s="340" t="s">
        <v>348</v>
      </c>
      <c r="CL2809" s="236">
        <v>167.54</v>
      </c>
      <c r="CM2809" s="236" t="s">
        <v>338</v>
      </c>
      <c r="CR2809" s="340">
        <v>4510.01</v>
      </c>
      <c r="CS2809" s="340" t="s">
        <v>295</v>
      </c>
      <c r="CT2809" s="1384"/>
      <c r="DF2809" s="340">
        <v>910.25</v>
      </c>
      <c r="DG2809" s="340" t="s">
        <v>355</v>
      </c>
      <c r="DV2809" s="340">
        <v>9703.02</v>
      </c>
      <c r="DW2809" s="340" t="s">
        <v>358</v>
      </c>
      <c r="DX2809" s="1671"/>
    </row>
    <row r="2810" spans="12:128">
      <c r="L2810" s="2481">
        <v>9701.02</v>
      </c>
      <c r="M2810" s="340" t="s">
        <v>358</v>
      </c>
      <c r="N2810" s="823"/>
      <c r="O2810" s="2479"/>
      <c r="P2810" s="2282"/>
      <c r="AG2810" s="2297">
        <v>9725</v>
      </c>
      <c r="AH2810" s="2297" t="s">
        <v>333</v>
      </c>
      <c r="AI2810" s="823"/>
      <c r="AJ2810" s="2282"/>
      <c r="AK2810" s="2282"/>
      <c r="AL2810" s="1037"/>
      <c r="AX2810" s="340">
        <v>221.06</v>
      </c>
      <c r="AY2810" s="340" t="s">
        <v>348</v>
      </c>
      <c r="BN2810" s="340">
        <v>4516.03</v>
      </c>
      <c r="BO2810" s="340" t="s">
        <v>295</v>
      </c>
      <c r="BP2810" s="1385"/>
      <c r="BV2810" s="236">
        <v>93.27</v>
      </c>
      <c r="BW2810" s="236" t="s">
        <v>331</v>
      </c>
      <c r="CB2810" s="340">
        <v>222.01</v>
      </c>
      <c r="CC2810" s="340" t="s">
        <v>348</v>
      </c>
      <c r="CL2810" s="236">
        <v>167.55</v>
      </c>
      <c r="CM2810" s="236" t="s">
        <v>338</v>
      </c>
      <c r="CR2810" s="340">
        <v>4511.01</v>
      </c>
      <c r="CS2810" s="340" t="s">
        <v>295</v>
      </c>
      <c r="CT2810" s="1384"/>
      <c r="DF2810" s="340">
        <v>910.29</v>
      </c>
      <c r="DG2810" s="340" t="s">
        <v>355</v>
      </c>
      <c r="DV2810" s="340">
        <v>9703.0400000000009</v>
      </c>
      <c r="DW2810" s="340" t="s">
        <v>306</v>
      </c>
      <c r="DX2810" s="1671"/>
    </row>
    <row r="2811" spans="12:128">
      <c r="L2811" s="2481">
        <v>9701.0300000000007</v>
      </c>
      <c r="M2811" s="340" t="s">
        <v>358</v>
      </c>
      <c r="O2811" s="2479"/>
      <c r="P2811" s="2282"/>
      <c r="AG2811" s="2297">
        <v>9728</v>
      </c>
      <c r="AH2811" s="2297" t="s">
        <v>333</v>
      </c>
      <c r="AJ2811" s="2282"/>
      <c r="AK2811" s="2282"/>
      <c r="AL2811" s="1037"/>
      <c r="AX2811" s="340">
        <v>222.01</v>
      </c>
      <c r="AY2811" s="340" t="s">
        <v>348</v>
      </c>
      <c r="BN2811" s="340">
        <v>4516.04</v>
      </c>
      <c r="BO2811" s="340" t="s">
        <v>295</v>
      </c>
      <c r="BP2811" s="1385"/>
      <c r="BV2811" s="236">
        <v>94.01</v>
      </c>
      <c r="BW2811" s="236" t="s">
        <v>331</v>
      </c>
      <c r="CB2811" s="340">
        <v>222.05</v>
      </c>
      <c r="CC2811" s="340" t="s">
        <v>348</v>
      </c>
      <c r="CL2811" s="236">
        <v>167.56</v>
      </c>
      <c r="CM2811" s="236" t="s">
        <v>338</v>
      </c>
      <c r="CR2811" s="340">
        <v>4511.04</v>
      </c>
      <c r="CS2811" s="340" t="s">
        <v>295</v>
      </c>
      <c r="CT2811" s="1384"/>
      <c r="DF2811" s="340">
        <v>910.3</v>
      </c>
      <c r="DG2811" s="340" t="s">
        <v>355</v>
      </c>
      <c r="DV2811" s="340">
        <v>9704</v>
      </c>
      <c r="DW2811" s="340" t="s">
        <v>325</v>
      </c>
      <c r="DX2811" s="1671"/>
    </row>
    <row r="2812" spans="12:128">
      <c r="L2812" s="2481">
        <v>9703.01</v>
      </c>
      <c r="M2812" s="340" t="s">
        <v>358</v>
      </c>
      <c r="O2812" s="2479"/>
      <c r="P2812" s="2282"/>
      <c r="AG2812" s="2297">
        <v>9800</v>
      </c>
      <c r="AH2812" s="2297" t="s">
        <v>296</v>
      </c>
      <c r="AJ2812" s="2282"/>
      <c r="AK2812" s="2282"/>
      <c r="AL2812" s="1037"/>
      <c r="AX2812" s="340">
        <v>222.05</v>
      </c>
      <c r="AY2812" s="340" t="s">
        <v>348</v>
      </c>
      <c r="BN2812" s="340">
        <v>4516.0600000000004</v>
      </c>
      <c r="BO2812" s="340" t="s">
        <v>295</v>
      </c>
      <c r="BP2812" s="1385"/>
      <c r="BV2812" s="236">
        <v>94.02</v>
      </c>
      <c r="BW2812" s="236" t="s">
        <v>331</v>
      </c>
      <c r="CB2812" s="340">
        <v>222.06</v>
      </c>
      <c r="CC2812" s="340" t="s">
        <v>348</v>
      </c>
      <c r="CL2812" s="236">
        <v>168</v>
      </c>
      <c r="CM2812" s="236" t="s">
        <v>331</v>
      </c>
      <c r="CR2812" s="340">
        <v>4513</v>
      </c>
      <c r="CS2812" s="340" t="s">
        <v>295</v>
      </c>
      <c r="CT2812" s="1384"/>
      <c r="DF2812" s="340">
        <v>910.32</v>
      </c>
      <c r="DG2812" s="340" t="s">
        <v>355</v>
      </c>
      <c r="DV2812" s="340">
        <v>9704.01</v>
      </c>
      <c r="DW2812" s="340" t="s">
        <v>352</v>
      </c>
      <c r="DX2812" s="1671"/>
    </row>
    <row r="2813" spans="12:128">
      <c r="L2813" s="2481">
        <v>9703.02</v>
      </c>
      <c r="M2813" s="340" t="s">
        <v>358</v>
      </c>
      <c r="O2813" s="2479"/>
      <c r="P2813" s="2282"/>
      <c r="AG2813" s="2297">
        <v>9805</v>
      </c>
      <c r="AH2813" s="2297" t="s">
        <v>331</v>
      </c>
      <c r="AJ2813" s="2282"/>
      <c r="AK2813" s="2282"/>
      <c r="AL2813" s="1037"/>
      <c r="AX2813" s="340">
        <v>222.06</v>
      </c>
      <c r="AY2813" s="340" t="s">
        <v>348</v>
      </c>
      <c r="BN2813" s="340">
        <v>4517.01</v>
      </c>
      <c r="BO2813" s="340" t="s">
        <v>295</v>
      </c>
      <c r="BP2813" s="1385"/>
      <c r="BV2813" s="236">
        <v>95.03</v>
      </c>
      <c r="BW2813" s="236" t="s">
        <v>331</v>
      </c>
      <c r="CB2813" s="340">
        <v>222.07</v>
      </c>
      <c r="CC2813" s="340" t="s">
        <v>348</v>
      </c>
      <c r="CL2813" s="236">
        <v>168.01</v>
      </c>
      <c r="CM2813" s="236" t="s">
        <v>302</v>
      </c>
      <c r="CR2813" s="340">
        <v>4516.03</v>
      </c>
      <c r="CS2813" s="340" t="s">
        <v>295</v>
      </c>
      <c r="CT2813" s="1384"/>
      <c r="DF2813" s="340">
        <v>910.33</v>
      </c>
      <c r="DG2813" s="340" t="s">
        <v>355</v>
      </c>
      <c r="DV2813" s="340">
        <v>9704.02</v>
      </c>
      <c r="DW2813" s="340" t="s">
        <v>352</v>
      </c>
      <c r="DX2813" s="1671"/>
    </row>
    <row r="2814" spans="12:128">
      <c r="L2814" s="2711" t="s">
        <v>2075</v>
      </c>
      <c r="M2814" s="2712"/>
      <c r="O2814" s="2711" t="s">
        <v>2075</v>
      </c>
      <c r="P2814" s="2712"/>
      <c r="AG2814" s="2711" t="s">
        <v>2075</v>
      </c>
      <c r="AH2814" s="2712"/>
      <c r="AJ2814" s="2711" t="s">
        <v>2075</v>
      </c>
      <c r="AK2814" s="2712"/>
      <c r="AL2814" s="1037"/>
      <c r="AX2814" s="340">
        <v>222.07</v>
      </c>
      <c r="AY2814" s="340" t="s">
        <v>348</v>
      </c>
      <c r="BN2814" s="340">
        <v>4901</v>
      </c>
      <c r="BO2814" s="340" t="s">
        <v>331</v>
      </c>
      <c r="BP2814" s="1385"/>
      <c r="BV2814" s="236">
        <v>95.04</v>
      </c>
      <c r="BW2814" s="236" t="s">
        <v>331</v>
      </c>
      <c r="CB2814" s="340">
        <v>9101</v>
      </c>
      <c r="CC2814" s="340" t="s">
        <v>351</v>
      </c>
      <c r="CL2814" s="236">
        <v>168.02</v>
      </c>
      <c r="CM2814" s="236" t="s">
        <v>338</v>
      </c>
      <c r="CR2814" s="340">
        <v>4516.04</v>
      </c>
      <c r="CS2814" s="340" t="s">
        <v>295</v>
      </c>
      <c r="CT2814" s="1384"/>
      <c r="DF2814" s="340">
        <v>910.34</v>
      </c>
      <c r="DG2814" s="340" t="s">
        <v>355</v>
      </c>
      <c r="DV2814" s="340">
        <v>9705</v>
      </c>
      <c r="DW2814" s="340" t="s">
        <v>333</v>
      </c>
      <c r="DX2814" s="1671"/>
    </row>
    <row r="2815" spans="12:128">
      <c r="AL2815" s="1037"/>
      <c r="AX2815" s="340">
        <v>9101</v>
      </c>
      <c r="AY2815" s="340" t="s">
        <v>351</v>
      </c>
      <c r="BN2815" s="340">
        <v>9101</v>
      </c>
      <c r="BO2815" s="340" t="s">
        <v>351</v>
      </c>
      <c r="BP2815" s="1385"/>
      <c r="BV2815" s="236">
        <v>95.05</v>
      </c>
      <c r="BW2815" s="236" t="s">
        <v>331</v>
      </c>
      <c r="CB2815" s="340">
        <v>9103</v>
      </c>
      <c r="CC2815" s="340" t="s">
        <v>351</v>
      </c>
      <c r="CL2815" s="236">
        <v>168.03</v>
      </c>
      <c r="CM2815" s="236" t="s">
        <v>302</v>
      </c>
      <c r="CR2815" s="340">
        <v>4516.0600000000004</v>
      </c>
      <c r="CS2815" s="340" t="s">
        <v>295</v>
      </c>
      <c r="CT2815" s="1384"/>
      <c r="DF2815" s="340">
        <v>910.36</v>
      </c>
      <c r="DG2815" s="340" t="s">
        <v>355</v>
      </c>
      <c r="DV2815" s="340">
        <v>9705.01</v>
      </c>
      <c r="DW2815" s="340" t="s">
        <v>325</v>
      </c>
      <c r="DX2815" s="1671"/>
    </row>
    <row r="2816" spans="12:128">
      <c r="AL2816" s="1037"/>
      <c r="AX2816" s="340">
        <v>9103</v>
      </c>
      <c r="AY2816" s="340" t="s">
        <v>351</v>
      </c>
      <c r="BN2816" s="340">
        <v>9101.01</v>
      </c>
      <c r="BO2816" s="340" t="s">
        <v>337</v>
      </c>
      <c r="BP2816" s="1385"/>
      <c r="BV2816" s="236">
        <v>95.06</v>
      </c>
      <c r="BW2816" s="236" t="s">
        <v>331</v>
      </c>
      <c r="CB2816" s="340">
        <v>9107.02</v>
      </c>
      <c r="CC2816" s="340" t="s">
        <v>351</v>
      </c>
      <c r="CL2816" s="236">
        <v>168.03</v>
      </c>
      <c r="CM2816" s="236" t="s">
        <v>338</v>
      </c>
      <c r="CR2816" s="340">
        <v>4517.01</v>
      </c>
      <c r="CS2816" s="340" t="s">
        <v>295</v>
      </c>
      <c r="CT2816" s="1384"/>
      <c r="DF2816" s="340">
        <v>910.37</v>
      </c>
      <c r="DG2816" s="340" t="s">
        <v>355</v>
      </c>
      <c r="DV2816" s="340">
        <v>9705.01</v>
      </c>
      <c r="DW2816" s="340" t="s">
        <v>352</v>
      </c>
      <c r="DX2816" s="1671"/>
    </row>
    <row r="2817" spans="38:128">
      <c r="AL2817" s="1037"/>
      <c r="AX2817" s="340">
        <v>9107.02</v>
      </c>
      <c r="AY2817" s="340" t="s">
        <v>351</v>
      </c>
      <c r="BN2817" s="340">
        <v>9101.02</v>
      </c>
      <c r="BO2817" s="340" t="s">
        <v>337</v>
      </c>
      <c r="BP2817" s="1385"/>
      <c r="BV2817" s="236">
        <v>96.01</v>
      </c>
      <c r="BW2817" s="236" t="s">
        <v>331</v>
      </c>
      <c r="CB2817" s="340">
        <v>9108</v>
      </c>
      <c r="CC2817" s="340" t="s">
        <v>351</v>
      </c>
      <c r="CL2817" s="236">
        <v>168.04</v>
      </c>
      <c r="CM2817" s="236" t="s">
        <v>302</v>
      </c>
      <c r="CR2817" s="340">
        <v>4901</v>
      </c>
      <c r="CS2817" s="340" t="s">
        <v>331</v>
      </c>
      <c r="CT2817" s="1384"/>
      <c r="DF2817" s="340">
        <v>910.39</v>
      </c>
      <c r="DG2817" s="340" t="s">
        <v>355</v>
      </c>
      <c r="DV2817" s="340">
        <v>9705.02</v>
      </c>
      <c r="DW2817" s="340" t="s">
        <v>325</v>
      </c>
      <c r="DX2817" s="1671"/>
    </row>
    <row r="2818" spans="38:128">
      <c r="AL2818" s="1037"/>
      <c r="AX2818" s="340">
        <v>9108</v>
      </c>
      <c r="AY2818" s="340" t="s">
        <v>351</v>
      </c>
      <c r="BN2818" s="340">
        <v>9102.01</v>
      </c>
      <c r="BO2818" s="340" t="s">
        <v>337</v>
      </c>
      <c r="BP2818" s="1385"/>
      <c r="BV2818" s="236">
        <v>96.02</v>
      </c>
      <c r="BW2818" s="236" t="s">
        <v>331</v>
      </c>
      <c r="CB2818" s="340">
        <v>9112.01</v>
      </c>
      <c r="CC2818" s="340" t="s">
        <v>351</v>
      </c>
      <c r="CL2818" s="236">
        <v>168.04</v>
      </c>
      <c r="CM2818" s="236" t="s">
        <v>338</v>
      </c>
      <c r="CR2818" s="340">
        <v>9101</v>
      </c>
      <c r="CS2818" s="340" t="s">
        <v>351</v>
      </c>
      <c r="CT2818" s="1384"/>
      <c r="DF2818" s="340">
        <v>925</v>
      </c>
      <c r="DG2818" s="340" t="s">
        <v>355</v>
      </c>
      <c r="DV2818" s="340">
        <v>9705.02</v>
      </c>
      <c r="DW2818" s="340" t="s">
        <v>352</v>
      </c>
      <c r="DX2818" s="1671"/>
    </row>
    <row r="2819" spans="38:128">
      <c r="AL2819" s="1037"/>
      <c r="AX2819" s="340">
        <v>9112.01</v>
      </c>
      <c r="AY2819" s="340" t="s">
        <v>351</v>
      </c>
      <c r="BN2819" s="340">
        <v>9103</v>
      </c>
      <c r="BO2819" s="340" t="s">
        <v>351</v>
      </c>
      <c r="BP2819" s="1385"/>
      <c r="BV2819" s="236">
        <v>97.03</v>
      </c>
      <c r="BW2819" s="236" t="s">
        <v>331</v>
      </c>
      <c r="CB2819" s="340">
        <v>9112.02</v>
      </c>
      <c r="CC2819" s="340" t="s">
        <v>351</v>
      </c>
      <c r="CL2819" s="236">
        <v>168.07</v>
      </c>
      <c r="CM2819" s="236" t="s">
        <v>302</v>
      </c>
      <c r="CR2819" s="340">
        <v>9101.01</v>
      </c>
      <c r="CS2819" s="340" t="s">
        <v>337</v>
      </c>
      <c r="CT2819" s="1384"/>
      <c r="DF2819" s="340">
        <v>101.01</v>
      </c>
      <c r="DG2819" s="340" t="s">
        <v>356</v>
      </c>
      <c r="DV2819" s="340">
        <v>9706.02</v>
      </c>
      <c r="DW2819" s="340" t="s">
        <v>352</v>
      </c>
      <c r="DX2819" s="1671"/>
    </row>
    <row r="2820" spans="38:128">
      <c r="AL2820" s="1037"/>
      <c r="AX2820" s="340">
        <v>9112.0300000000007</v>
      </c>
      <c r="AY2820" s="340" t="s">
        <v>351</v>
      </c>
      <c r="BN2820" s="340">
        <v>9104.01</v>
      </c>
      <c r="BO2820" s="340" t="s">
        <v>337</v>
      </c>
      <c r="BP2820" s="1385"/>
      <c r="BV2820" s="236">
        <v>97.04</v>
      </c>
      <c r="BW2820" s="236" t="s">
        <v>331</v>
      </c>
      <c r="CB2820" s="340">
        <v>9112.0300000000007</v>
      </c>
      <c r="CC2820" s="340" t="s">
        <v>351</v>
      </c>
      <c r="CL2820" s="236">
        <v>168.08</v>
      </c>
      <c r="CM2820" s="236" t="s">
        <v>302</v>
      </c>
      <c r="CR2820" s="340">
        <v>9101.02</v>
      </c>
      <c r="CS2820" s="340" t="s">
        <v>337</v>
      </c>
      <c r="CT2820" s="1384"/>
      <c r="DF2820" s="340">
        <v>102.04</v>
      </c>
      <c r="DG2820" s="340" t="s">
        <v>356</v>
      </c>
      <c r="DV2820" s="340">
        <v>9707</v>
      </c>
      <c r="DW2820" s="340" t="s">
        <v>325</v>
      </c>
      <c r="DX2820" s="1671"/>
    </row>
    <row r="2821" spans="38:128">
      <c r="AL2821" s="1037"/>
      <c r="AX2821" s="340">
        <v>9112.0400000000009</v>
      </c>
      <c r="AY2821" s="340" t="s">
        <v>351</v>
      </c>
      <c r="BN2821" s="340">
        <v>9105</v>
      </c>
      <c r="BO2821" s="340" t="s">
        <v>337</v>
      </c>
      <c r="BP2821" s="1385"/>
      <c r="BV2821" s="236">
        <v>97.05</v>
      </c>
      <c r="BW2821" s="236" t="s">
        <v>331</v>
      </c>
      <c r="CB2821" s="340">
        <v>9112.0400000000009</v>
      </c>
      <c r="CC2821" s="340" t="s">
        <v>351</v>
      </c>
      <c r="CL2821" s="236">
        <v>168.08</v>
      </c>
      <c r="CM2821" s="236" t="s">
        <v>338</v>
      </c>
      <c r="CR2821" s="340">
        <v>9102.02</v>
      </c>
      <c r="CS2821" s="340" t="s">
        <v>337</v>
      </c>
      <c r="CT2821" s="1384"/>
      <c r="DF2821" s="340">
        <v>102.05</v>
      </c>
      <c r="DG2821" s="340" t="s">
        <v>356</v>
      </c>
      <c r="DV2821" s="340">
        <v>9708</v>
      </c>
      <c r="DW2821" s="340" t="s">
        <v>333</v>
      </c>
      <c r="DX2821" s="1671"/>
    </row>
    <row r="2822" spans="38:128">
      <c r="AL2822" s="1037"/>
      <c r="AX2822" s="340">
        <v>9112.0499999999993</v>
      </c>
      <c r="AY2822" s="340" t="s">
        <v>351</v>
      </c>
      <c r="BN2822" s="340">
        <v>9106.01</v>
      </c>
      <c r="BO2822" s="340" t="s">
        <v>337</v>
      </c>
      <c r="BP2822" s="1385"/>
      <c r="BV2822" s="236">
        <v>97.06</v>
      </c>
      <c r="BW2822" s="236" t="s">
        <v>331</v>
      </c>
      <c r="CB2822" s="340">
        <v>9112.0499999999993</v>
      </c>
      <c r="CC2822" s="340" t="s">
        <v>351</v>
      </c>
      <c r="CL2822" s="236">
        <v>168.09</v>
      </c>
      <c r="CM2822" s="236" t="s">
        <v>302</v>
      </c>
      <c r="CR2822" s="340">
        <v>9103</v>
      </c>
      <c r="CS2822" s="340" t="s">
        <v>351</v>
      </c>
      <c r="CT2822" s="1384"/>
      <c r="DF2822" s="340">
        <v>102.07</v>
      </c>
      <c r="DG2822" s="340" t="s">
        <v>356</v>
      </c>
      <c r="DV2822" s="340">
        <v>9709</v>
      </c>
      <c r="DW2822" s="340" t="s">
        <v>333</v>
      </c>
      <c r="DX2822" s="1671"/>
    </row>
    <row r="2823" spans="38:128">
      <c r="AL2823" s="1037"/>
      <c r="AX2823" s="340">
        <v>9112.06</v>
      </c>
      <c r="AY2823" s="340" t="s">
        <v>351</v>
      </c>
      <c r="BN2823" s="340">
        <v>9106.02</v>
      </c>
      <c r="BO2823" s="340" t="s">
        <v>337</v>
      </c>
      <c r="BP2823" s="1385"/>
      <c r="BV2823" s="236">
        <v>98.03</v>
      </c>
      <c r="BW2823" s="236" t="s">
        <v>331</v>
      </c>
      <c r="CB2823" s="340">
        <v>9112.06</v>
      </c>
      <c r="CC2823" s="340" t="s">
        <v>351</v>
      </c>
      <c r="CL2823" s="236">
        <v>168.09</v>
      </c>
      <c r="CM2823" s="236" t="s">
        <v>338</v>
      </c>
      <c r="CR2823" s="340">
        <v>9104.01</v>
      </c>
      <c r="CS2823" s="340" t="s">
        <v>337</v>
      </c>
      <c r="CT2823" s="1384"/>
      <c r="DF2823" s="340">
        <v>102.08</v>
      </c>
      <c r="DG2823" s="340" t="s">
        <v>356</v>
      </c>
      <c r="DV2823" s="340">
        <v>9710.01</v>
      </c>
      <c r="DW2823" s="340" t="s">
        <v>333</v>
      </c>
      <c r="DX2823" s="1671"/>
    </row>
    <row r="2824" spans="38:128">
      <c r="AL2824" s="1037"/>
      <c r="AX2824" s="340">
        <v>9112.07</v>
      </c>
      <c r="AY2824" s="340" t="s">
        <v>351</v>
      </c>
      <c r="BN2824" s="340">
        <v>9107.02</v>
      </c>
      <c r="BO2824" s="340" t="s">
        <v>351</v>
      </c>
      <c r="BP2824" s="1385"/>
      <c r="BV2824" s="236">
        <v>98.04</v>
      </c>
      <c r="BW2824" s="236" t="s">
        <v>331</v>
      </c>
      <c r="CB2824" s="340">
        <v>9112.07</v>
      </c>
      <c r="CC2824" s="340" t="s">
        <v>351</v>
      </c>
      <c r="CL2824" s="236">
        <v>168.1</v>
      </c>
      <c r="CM2824" s="236" t="s">
        <v>302</v>
      </c>
      <c r="CR2824" s="340">
        <v>9105</v>
      </c>
      <c r="CS2824" s="340" t="s">
        <v>337</v>
      </c>
      <c r="CT2824" s="1384"/>
      <c r="DF2824" s="340">
        <v>102.09</v>
      </c>
      <c r="DG2824" s="340" t="s">
        <v>356</v>
      </c>
      <c r="DV2824" s="340">
        <v>9710.02</v>
      </c>
      <c r="DW2824" s="340" t="s">
        <v>333</v>
      </c>
      <c r="DX2824" s="1671"/>
    </row>
    <row r="2825" spans="38:128">
      <c r="AL2825" s="1037"/>
      <c r="AX2825" s="340">
        <v>9114.01</v>
      </c>
      <c r="AY2825" s="340" t="s">
        <v>351</v>
      </c>
      <c r="BN2825" s="340">
        <v>9108</v>
      </c>
      <c r="BO2825" s="340" t="s">
        <v>351</v>
      </c>
      <c r="BP2825" s="1385"/>
      <c r="BV2825" s="236">
        <v>98.06</v>
      </c>
      <c r="BW2825" s="236" t="s">
        <v>331</v>
      </c>
      <c r="CB2825" s="340">
        <v>9114.01</v>
      </c>
      <c r="CC2825" s="340" t="s">
        <v>351</v>
      </c>
      <c r="CL2825" s="236">
        <v>168.1</v>
      </c>
      <c r="CM2825" s="236" t="s">
        <v>338</v>
      </c>
      <c r="CR2825" s="340">
        <v>9106.01</v>
      </c>
      <c r="CS2825" s="340" t="s">
        <v>337</v>
      </c>
      <c r="CT2825" s="1384"/>
      <c r="DF2825" s="340">
        <v>9505.02</v>
      </c>
      <c r="DG2825" s="340" t="s">
        <v>357</v>
      </c>
      <c r="DV2825" s="340">
        <v>9712</v>
      </c>
      <c r="DW2825" s="340" t="s">
        <v>333</v>
      </c>
      <c r="DX2825" s="1671"/>
    </row>
    <row r="2826" spans="38:128">
      <c r="AL2826" s="1037"/>
      <c r="AX2826" s="340">
        <v>9114.02</v>
      </c>
      <c r="AY2826" s="340" t="s">
        <v>351</v>
      </c>
      <c r="BN2826" s="340">
        <v>9112.01</v>
      </c>
      <c r="BO2826" s="340" t="s">
        <v>351</v>
      </c>
      <c r="BP2826" s="1385"/>
      <c r="BV2826" s="236">
        <v>98.09</v>
      </c>
      <c r="BW2826" s="236" t="s">
        <v>331</v>
      </c>
      <c r="CB2826" s="340">
        <v>9114.02</v>
      </c>
      <c r="CC2826" s="340" t="s">
        <v>351</v>
      </c>
      <c r="CL2826" s="236">
        <v>168.11</v>
      </c>
      <c r="CM2826" s="236" t="s">
        <v>302</v>
      </c>
      <c r="CR2826" s="340">
        <v>9106.02</v>
      </c>
      <c r="CS2826" s="340" t="s">
        <v>337</v>
      </c>
      <c r="CT2826" s="1384"/>
      <c r="DF2826" s="340">
        <v>9506.0400000000009</v>
      </c>
      <c r="DG2826" s="340" t="s">
        <v>357</v>
      </c>
      <c r="DV2826" s="340">
        <v>9714.01</v>
      </c>
      <c r="DW2826" s="340" t="s">
        <v>333</v>
      </c>
      <c r="DX2826" s="1671"/>
    </row>
    <row r="2827" spans="38:128">
      <c r="AL2827" s="1037"/>
      <c r="AX2827" s="340">
        <v>9115</v>
      </c>
      <c r="AY2827" s="340" t="s">
        <v>351</v>
      </c>
      <c r="BN2827" s="340">
        <v>9112.0300000000007</v>
      </c>
      <c r="BO2827" s="340" t="s">
        <v>351</v>
      </c>
      <c r="BP2827" s="1385"/>
      <c r="BV2827" s="236">
        <v>98.1</v>
      </c>
      <c r="BW2827" s="236" t="s">
        <v>331</v>
      </c>
      <c r="CB2827" s="340">
        <v>9117.0300000000007</v>
      </c>
      <c r="CC2827" s="340" t="s">
        <v>351</v>
      </c>
      <c r="CL2827" s="236">
        <v>168.11</v>
      </c>
      <c r="CM2827" s="236" t="s">
        <v>338</v>
      </c>
      <c r="CR2827" s="340">
        <v>9107.02</v>
      </c>
      <c r="CS2827" s="340" t="s">
        <v>351</v>
      </c>
      <c r="CT2827" s="1384"/>
      <c r="DF2827" s="340">
        <v>9506.0499999999993</v>
      </c>
      <c r="DG2827" s="340" t="s">
        <v>357</v>
      </c>
      <c r="DV2827" s="340">
        <v>9714.02</v>
      </c>
      <c r="DW2827" s="340" t="s">
        <v>333</v>
      </c>
      <c r="DX2827" s="1671"/>
    </row>
    <row r="2828" spans="38:128">
      <c r="AL2828" s="1037"/>
      <c r="AX2828" s="340">
        <v>9117.0300000000007</v>
      </c>
      <c r="AY2828" s="340" t="s">
        <v>351</v>
      </c>
      <c r="BN2828" s="340">
        <v>9112.0400000000009</v>
      </c>
      <c r="BO2828" s="340" t="s">
        <v>351</v>
      </c>
      <c r="BP2828" s="1385"/>
      <c r="BV2828" s="236">
        <v>98.11</v>
      </c>
      <c r="BW2828" s="236" t="s">
        <v>331</v>
      </c>
      <c r="CB2828" s="340">
        <v>9117.0400000000009</v>
      </c>
      <c r="CC2828" s="340" t="s">
        <v>351</v>
      </c>
      <c r="CL2828" s="236">
        <v>168.12</v>
      </c>
      <c r="CM2828" s="236" t="s">
        <v>302</v>
      </c>
      <c r="CR2828" s="340">
        <v>9108</v>
      </c>
      <c r="CS2828" s="340" t="s">
        <v>351</v>
      </c>
      <c r="CT2828" s="1384"/>
      <c r="DF2828" s="340">
        <v>9506.06</v>
      </c>
      <c r="DG2828" s="340" t="s">
        <v>357</v>
      </c>
      <c r="DV2828" s="340">
        <v>9715.01</v>
      </c>
      <c r="DW2828" s="340" t="s">
        <v>333</v>
      </c>
      <c r="DX2828" s="1671"/>
    </row>
    <row r="2829" spans="38:128">
      <c r="AL2829" s="1037"/>
      <c r="AX2829" s="340">
        <v>9117.0400000000009</v>
      </c>
      <c r="AY2829" s="340" t="s">
        <v>351</v>
      </c>
      <c r="BN2829" s="340">
        <v>9112.0499999999993</v>
      </c>
      <c r="BO2829" s="340" t="s">
        <v>351</v>
      </c>
      <c r="BP2829" s="1385"/>
      <c r="BV2829" s="236">
        <v>98.12</v>
      </c>
      <c r="BW2829" s="236" t="s">
        <v>331</v>
      </c>
      <c r="CB2829" s="340">
        <v>9701</v>
      </c>
      <c r="CC2829" s="340" t="s">
        <v>352</v>
      </c>
      <c r="CL2829" s="236">
        <v>168.12</v>
      </c>
      <c r="CM2829" s="236" t="s">
        <v>338</v>
      </c>
      <c r="CR2829" s="340">
        <v>9112.01</v>
      </c>
      <c r="CS2829" s="340" t="s">
        <v>351</v>
      </c>
      <c r="CT2829" s="1384"/>
      <c r="DF2829" s="340">
        <v>9506.07</v>
      </c>
      <c r="DG2829" s="340" t="s">
        <v>357</v>
      </c>
      <c r="DV2829" s="340">
        <v>9715.02</v>
      </c>
      <c r="DW2829" s="340" t="s">
        <v>333</v>
      </c>
      <c r="DX2829" s="1671"/>
    </row>
    <row r="2830" spans="38:128">
      <c r="AL2830" s="1037"/>
      <c r="AX2830" s="340">
        <v>9701</v>
      </c>
      <c r="AY2830" s="340" t="s">
        <v>352</v>
      </c>
      <c r="BN2830" s="340">
        <v>9112.06</v>
      </c>
      <c r="BO2830" s="340" t="s">
        <v>351</v>
      </c>
      <c r="BP2830" s="1385"/>
      <c r="BV2830" s="236">
        <v>99.03</v>
      </c>
      <c r="BW2830" s="236" t="s">
        <v>331</v>
      </c>
      <c r="CB2830" s="340">
        <v>9702</v>
      </c>
      <c r="CC2830" s="340" t="s">
        <v>352</v>
      </c>
      <c r="CL2830" s="236">
        <v>168.13</v>
      </c>
      <c r="CM2830" s="236" t="s">
        <v>302</v>
      </c>
      <c r="CR2830" s="340">
        <v>9112.02</v>
      </c>
      <c r="CS2830" s="340" t="s">
        <v>351</v>
      </c>
      <c r="CT2830" s="1384"/>
      <c r="DF2830" s="340">
        <v>9506.08</v>
      </c>
      <c r="DG2830" s="340" t="s">
        <v>357</v>
      </c>
      <c r="DV2830" s="340">
        <v>9716</v>
      </c>
      <c r="DW2830" s="340" t="s">
        <v>333</v>
      </c>
      <c r="DX2830" s="1671"/>
    </row>
    <row r="2831" spans="38:128">
      <c r="AL2831" s="1037"/>
      <c r="AX2831" s="340">
        <v>9702</v>
      </c>
      <c r="AY2831" s="340" t="s">
        <v>352</v>
      </c>
      <c r="BN2831" s="340">
        <v>9112.07</v>
      </c>
      <c r="BO2831" s="340" t="s">
        <v>351</v>
      </c>
      <c r="BP2831" s="1385"/>
      <c r="BV2831" s="236">
        <v>99.04</v>
      </c>
      <c r="BW2831" s="236" t="s">
        <v>331</v>
      </c>
      <c r="CB2831" s="340">
        <v>9704.01</v>
      </c>
      <c r="CC2831" s="340" t="s">
        <v>352</v>
      </c>
      <c r="CL2831" s="236">
        <v>168.13</v>
      </c>
      <c r="CM2831" s="236" t="s">
        <v>338</v>
      </c>
      <c r="CR2831" s="340">
        <v>9112.0300000000007</v>
      </c>
      <c r="CS2831" s="340" t="s">
        <v>351</v>
      </c>
      <c r="CT2831" s="1384"/>
      <c r="DF2831" s="340">
        <v>9506.09</v>
      </c>
      <c r="DG2831" s="340" t="s">
        <v>357</v>
      </c>
      <c r="DV2831" s="340">
        <v>9717</v>
      </c>
      <c r="DW2831" s="340" t="s">
        <v>333</v>
      </c>
      <c r="DX2831" s="1671"/>
    </row>
    <row r="2832" spans="38:128">
      <c r="AL2832" s="1037"/>
      <c r="AX2832" s="340">
        <v>9704.01</v>
      </c>
      <c r="AY2832" s="340" t="s">
        <v>352</v>
      </c>
      <c r="BN2832" s="340">
        <v>9114.01</v>
      </c>
      <c r="BO2832" s="340" t="s">
        <v>351</v>
      </c>
      <c r="BP2832" s="1385"/>
      <c r="BV2832" s="236">
        <v>99.05</v>
      </c>
      <c r="BW2832" s="236" t="s">
        <v>331</v>
      </c>
      <c r="CB2832" s="340">
        <v>9704.02</v>
      </c>
      <c r="CC2832" s="340" t="s">
        <v>352</v>
      </c>
      <c r="CL2832" s="236">
        <v>168.14</v>
      </c>
      <c r="CM2832" s="236" t="s">
        <v>338</v>
      </c>
      <c r="CR2832" s="340">
        <v>9112.0400000000009</v>
      </c>
      <c r="CS2832" s="340" t="s">
        <v>351</v>
      </c>
      <c r="CT2832" s="1384"/>
      <c r="DF2832" s="340">
        <v>9506.1</v>
      </c>
      <c r="DG2832" s="340" t="s">
        <v>357</v>
      </c>
      <c r="DV2832" s="340">
        <v>9720</v>
      </c>
      <c r="DW2832" s="340" t="s">
        <v>333</v>
      </c>
      <c r="DX2832" s="1671"/>
    </row>
    <row r="2833" spans="38:128">
      <c r="AL2833" s="1037"/>
      <c r="AX2833" s="340">
        <v>9704.02</v>
      </c>
      <c r="AY2833" s="340" t="s">
        <v>352</v>
      </c>
      <c r="BN2833" s="340">
        <v>9114.02</v>
      </c>
      <c r="BO2833" s="340" t="s">
        <v>351</v>
      </c>
      <c r="BP2833" s="1385"/>
      <c r="BV2833" s="236">
        <v>99.06</v>
      </c>
      <c r="BW2833" s="236" t="s">
        <v>331</v>
      </c>
      <c r="CB2833" s="340">
        <v>9705.01</v>
      </c>
      <c r="CC2833" s="340" t="s">
        <v>352</v>
      </c>
      <c r="CL2833" s="236">
        <v>169</v>
      </c>
      <c r="CM2833" s="236" t="s">
        <v>331</v>
      </c>
      <c r="CR2833" s="340">
        <v>9112.0499999999993</v>
      </c>
      <c r="CS2833" s="340" t="s">
        <v>351</v>
      </c>
      <c r="CT2833" s="1384"/>
      <c r="DF2833" s="340">
        <v>9506.11</v>
      </c>
      <c r="DG2833" s="340" t="s">
        <v>357</v>
      </c>
      <c r="DV2833" s="340">
        <v>9721</v>
      </c>
      <c r="DW2833" s="340" t="s">
        <v>333</v>
      </c>
      <c r="DX2833" s="1671"/>
    </row>
    <row r="2834" spans="38:128">
      <c r="AL2834" s="1037"/>
      <c r="AX2834" s="340">
        <v>9705.01</v>
      </c>
      <c r="AY2834" s="340" t="s">
        <v>352</v>
      </c>
      <c r="BN2834" s="340">
        <v>9115</v>
      </c>
      <c r="BO2834" s="340" t="s">
        <v>351</v>
      </c>
      <c r="BP2834" s="1385"/>
      <c r="BV2834" s="236">
        <v>99.07</v>
      </c>
      <c r="BW2834" s="236" t="s">
        <v>331</v>
      </c>
      <c r="CB2834" s="340">
        <v>9705.02</v>
      </c>
      <c r="CC2834" s="340" t="s">
        <v>352</v>
      </c>
      <c r="CL2834" s="236">
        <v>169.02</v>
      </c>
      <c r="CM2834" s="236" t="s">
        <v>338</v>
      </c>
      <c r="CR2834" s="340">
        <v>9112.06</v>
      </c>
      <c r="CS2834" s="340" t="s">
        <v>351</v>
      </c>
      <c r="CT2834" s="1384"/>
      <c r="DF2834" s="340">
        <v>9701.02</v>
      </c>
      <c r="DG2834" s="340" t="s">
        <v>358</v>
      </c>
      <c r="DV2834" s="340">
        <v>9722</v>
      </c>
      <c r="DW2834" s="340" t="s">
        <v>333</v>
      </c>
      <c r="DX2834" s="1671"/>
    </row>
    <row r="2835" spans="38:128">
      <c r="AL2835" s="1037"/>
      <c r="AX2835" s="340">
        <v>9705.02</v>
      </c>
      <c r="AY2835" s="340" t="s">
        <v>352</v>
      </c>
      <c r="BN2835" s="340">
        <v>9117.0300000000007</v>
      </c>
      <c r="BO2835" s="340" t="s">
        <v>351</v>
      </c>
      <c r="BP2835" s="1385"/>
      <c r="BV2835" s="236">
        <v>99.08</v>
      </c>
      <c r="BW2835" s="236" t="s">
        <v>331</v>
      </c>
      <c r="CB2835" s="340">
        <v>9706.01</v>
      </c>
      <c r="CC2835" s="340" t="s">
        <v>352</v>
      </c>
      <c r="CL2835" s="236">
        <v>169.04</v>
      </c>
      <c r="CM2835" s="236" t="s">
        <v>338</v>
      </c>
      <c r="CR2835" s="340">
        <v>9112.07</v>
      </c>
      <c r="CS2835" s="340" t="s">
        <v>351</v>
      </c>
      <c r="CT2835" s="1384"/>
      <c r="DF2835" s="340">
        <v>9701.0300000000007</v>
      </c>
      <c r="DG2835" s="340" t="s">
        <v>358</v>
      </c>
      <c r="DV2835" s="340">
        <v>9725</v>
      </c>
      <c r="DW2835" s="340" t="s">
        <v>333</v>
      </c>
      <c r="DX2835" s="1671"/>
    </row>
    <row r="2836" spans="38:128">
      <c r="AL2836" s="1037"/>
      <c r="AX2836" s="340">
        <v>9706.01</v>
      </c>
      <c r="AY2836" s="340" t="s">
        <v>352</v>
      </c>
      <c r="BN2836" s="340">
        <v>9117.0400000000009</v>
      </c>
      <c r="BO2836" s="340" t="s">
        <v>351</v>
      </c>
      <c r="BP2836" s="1385"/>
      <c r="BV2836" s="236">
        <v>99.09</v>
      </c>
      <c r="BW2836" s="236" t="s">
        <v>331</v>
      </c>
      <c r="CB2836" s="340">
        <v>9706.02</v>
      </c>
      <c r="CC2836" s="340" t="s">
        <v>352</v>
      </c>
      <c r="CL2836" s="236">
        <v>169.06</v>
      </c>
      <c r="CM2836" s="236" t="s">
        <v>338</v>
      </c>
      <c r="CR2836" s="340">
        <v>9114.01</v>
      </c>
      <c r="CS2836" s="340" t="s">
        <v>351</v>
      </c>
      <c r="CT2836" s="1384"/>
      <c r="DF2836" s="340">
        <v>9701.0400000000009</v>
      </c>
      <c r="DG2836" s="340" t="s">
        <v>358</v>
      </c>
      <c r="DV2836" s="340">
        <v>9728</v>
      </c>
      <c r="DW2836" s="340" t="s">
        <v>333</v>
      </c>
      <c r="DX2836" s="1671"/>
    </row>
    <row r="2837" spans="38:128">
      <c r="AL2837" s="1037"/>
      <c r="AX2837" s="340">
        <v>9706.02</v>
      </c>
      <c r="AY2837" s="340" t="s">
        <v>352</v>
      </c>
      <c r="BN2837" s="340">
        <v>9501</v>
      </c>
      <c r="BO2837" s="340" t="s">
        <v>326</v>
      </c>
      <c r="BP2837" s="1385"/>
      <c r="BV2837" s="236">
        <v>100.1</v>
      </c>
      <c r="BW2837" s="236" t="s">
        <v>331</v>
      </c>
      <c r="CB2837" s="340">
        <v>9501</v>
      </c>
      <c r="CC2837" s="340" t="s">
        <v>353</v>
      </c>
      <c r="CL2837" s="236">
        <v>169.07</v>
      </c>
      <c r="CM2837" s="236" t="s">
        <v>338</v>
      </c>
      <c r="CR2837" s="340">
        <v>9114.02</v>
      </c>
      <c r="CS2837" s="340" t="s">
        <v>351</v>
      </c>
      <c r="CT2837" s="1384"/>
      <c r="DF2837" s="340">
        <v>9703.01</v>
      </c>
      <c r="DG2837" s="340" t="s">
        <v>358</v>
      </c>
      <c r="DV2837" s="340">
        <v>9800</v>
      </c>
      <c r="DW2837" s="340" t="s">
        <v>296</v>
      </c>
      <c r="DX2837" s="1671"/>
    </row>
    <row r="2838" spans="38:128">
      <c r="AL2838" s="1037"/>
      <c r="AX2838" s="340">
        <v>9501</v>
      </c>
      <c r="AY2838" s="340" t="s">
        <v>353</v>
      </c>
      <c r="BN2838" s="340">
        <v>9501</v>
      </c>
      <c r="BO2838" s="340" t="s">
        <v>353</v>
      </c>
      <c r="BP2838" s="1385"/>
      <c r="BV2838" s="236">
        <v>100.12</v>
      </c>
      <c r="BW2838" s="236" t="s">
        <v>331</v>
      </c>
      <c r="CB2838" s="340">
        <v>9502.02</v>
      </c>
      <c r="CC2838" s="340" t="s">
        <v>353</v>
      </c>
      <c r="CL2838" s="236">
        <v>169.08</v>
      </c>
      <c r="CM2838" s="236" t="s">
        <v>338</v>
      </c>
      <c r="CR2838" s="340">
        <v>9117.0300000000007</v>
      </c>
      <c r="CS2838" s="340" t="s">
        <v>351</v>
      </c>
      <c r="CT2838" s="1384"/>
      <c r="DF2838" s="340">
        <v>9703.02</v>
      </c>
      <c r="DG2838" s="340" t="s">
        <v>358</v>
      </c>
      <c r="DV2838" s="340">
        <v>9805</v>
      </c>
      <c r="DW2838" s="340" t="s">
        <v>331</v>
      </c>
      <c r="DX2838" s="1671"/>
    </row>
    <row r="2839" spans="38:128">
      <c r="AL2839" s="1037"/>
      <c r="AX2839" s="340">
        <v>9502.02</v>
      </c>
      <c r="AY2839" s="340" t="s">
        <v>353</v>
      </c>
      <c r="BN2839" s="340">
        <v>9501.02</v>
      </c>
      <c r="BO2839" s="340" t="s">
        <v>357</v>
      </c>
      <c r="BP2839" s="1385"/>
      <c r="BV2839" s="236">
        <v>100.13</v>
      </c>
      <c r="BW2839" s="236" t="s">
        <v>331</v>
      </c>
      <c r="CB2839" s="340">
        <v>9503.02</v>
      </c>
      <c r="CC2839" s="340" t="s">
        <v>353</v>
      </c>
      <c r="CL2839" s="236">
        <v>169.09</v>
      </c>
      <c r="CM2839" s="236" t="s">
        <v>338</v>
      </c>
      <c r="CR2839" s="340">
        <v>9117.0400000000009</v>
      </c>
      <c r="CS2839" s="340" t="s">
        <v>351</v>
      </c>
      <c r="CT2839" s="1384"/>
      <c r="DF2839" s="340"/>
      <c r="DG2839" s="340"/>
      <c r="DV2839" s="340"/>
      <c r="DW2839" s="340"/>
      <c r="DX2839" s="1671"/>
    </row>
    <row r="2840" spans="38:128">
      <c r="AL2840" s="1037"/>
      <c r="AX2840" s="340">
        <v>9503.02</v>
      </c>
      <c r="AY2840" s="340" t="s">
        <v>353</v>
      </c>
      <c r="BN2840" s="340">
        <v>9502.01</v>
      </c>
      <c r="BO2840" s="340" t="s">
        <v>308</v>
      </c>
      <c r="BP2840" s="1385"/>
      <c r="BV2840" s="236">
        <v>100.15</v>
      </c>
      <c r="BW2840" s="236" t="s">
        <v>331</v>
      </c>
      <c r="CB2840" s="340">
        <v>9504.01</v>
      </c>
      <c r="CC2840" s="340" t="s">
        <v>353</v>
      </c>
      <c r="CL2840" s="236">
        <v>169.1</v>
      </c>
      <c r="CM2840" s="236" t="s">
        <v>338</v>
      </c>
      <c r="CR2840" s="340">
        <v>9501</v>
      </c>
      <c r="CS2840" s="340" t="s">
        <v>326</v>
      </c>
      <c r="CT2840" s="1384"/>
      <c r="DF2840" s="340"/>
      <c r="DG2840" s="340"/>
      <c r="DV2840" s="340"/>
      <c r="DW2840" s="340"/>
      <c r="DX2840" s="1671"/>
    </row>
    <row r="2841" spans="38:128">
      <c r="AL2841" s="1037"/>
      <c r="AX2841" s="340">
        <v>9504.01</v>
      </c>
      <c r="AY2841" s="340" t="s">
        <v>353</v>
      </c>
      <c r="BN2841" s="340">
        <v>9502.01</v>
      </c>
      <c r="BO2841" s="340" t="s">
        <v>326</v>
      </c>
      <c r="BP2841" s="1385"/>
      <c r="BV2841" s="236">
        <v>100.16</v>
      </c>
      <c r="BW2841" s="236" t="s">
        <v>331</v>
      </c>
      <c r="CB2841" s="340">
        <v>9601</v>
      </c>
      <c r="CC2841" s="340" t="s">
        <v>354</v>
      </c>
      <c r="CL2841" s="236">
        <v>169.11</v>
      </c>
      <c r="CM2841" s="236" t="s">
        <v>338</v>
      </c>
      <c r="CR2841" s="340">
        <v>9501</v>
      </c>
      <c r="CS2841" s="340" t="s">
        <v>345</v>
      </c>
      <c r="CT2841" s="1384"/>
      <c r="DF2841" s="340"/>
      <c r="DG2841" s="340"/>
      <c r="DV2841" s="340"/>
      <c r="DW2841" s="340"/>
      <c r="DX2841" s="1671"/>
    </row>
    <row r="2842" spans="38:128">
      <c r="AL2842" s="1037"/>
      <c r="AX2842" s="340">
        <v>9504.02</v>
      </c>
      <c r="AY2842" s="340" t="s">
        <v>353</v>
      </c>
      <c r="BN2842" s="340">
        <v>9502.02</v>
      </c>
      <c r="BO2842" s="340" t="s">
        <v>308</v>
      </c>
      <c r="BP2842" s="1385"/>
      <c r="BV2842" s="236">
        <v>100.17</v>
      </c>
      <c r="BW2842" s="236" t="s">
        <v>331</v>
      </c>
      <c r="CB2842" s="340">
        <v>9602.02</v>
      </c>
      <c r="CC2842" s="340" t="s">
        <v>354</v>
      </c>
      <c r="CL2842" s="236">
        <v>170</v>
      </c>
      <c r="CM2842" s="236" t="s">
        <v>331</v>
      </c>
      <c r="CR2842" s="340">
        <v>9501</v>
      </c>
      <c r="CS2842" s="340" t="s">
        <v>353</v>
      </c>
      <c r="CT2842" s="1384"/>
      <c r="DF2842" s="340"/>
      <c r="DG2842" s="340"/>
      <c r="DV2842" s="340"/>
      <c r="DW2842" s="340"/>
      <c r="DX2842" s="1671"/>
    </row>
    <row r="2843" spans="38:128">
      <c r="AL2843" s="1037"/>
      <c r="AX2843" s="340">
        <v>9602.01</v>
      </c>
      <c r="AY2843" s="340" t="s">
        <v>354</v>
      </c>
      <c r="BN2843" s="340">
        <v>9502.02</v>
      </c>
      <c r="BO2843" s="340" t="s">
        <v>326</v>
      </c>
      <c r="BP2843" s="1385"/>
      <c r="BV2843" s="236">
        <v>100.18</v>
      </c>
      <c r="BW2843" s="236" t="s">
        <v>331</v>
      </c>
      <c r="CB2843" s="340">
        <v>9603</v>
      </c>
      <c r="CC2843" s="340" t="s">
        <v>354</v>
      </c>
      <c r="CL2843" s="236">
        <v>170.01</v>
      </c>
      <c r="CM2843" s="236" t="s">
        <v>338</v>
      </c>
      <c r="CR2843" s="340">
        <v>9501.02</v>
      </c>
      <c r="CS2843" s="340" t="s">
        <v>357</v>
      </c>
      <c r="CT2843" s="1384"/>
      <c r="DF2843" s="340"/>
      <c r="DG2843" s="340"/>
      <c r="DV2843" s="340"/>
      <c r="DW2843" s="340"/>
      <c r="DX2843" s="1671"/>
    </row>
    <row r="2844" spans="38:128">
      <c r="AL2844" s="1037"/>
      <c r="AX2844" s="340">
        <v>9602.02</v>
      </c>
      <c r="AY2844" s="340" t="s">
        <v>354</v>
      </c>
      <c r="BN2844" s="340">
        <v>9502.02</v>
      </c>
      <c r="BO2844" s="340" t="s">
        <v>353</v>
      </c>
      <c r="BP2844" s="1385"/>
      <c r="BV2844" s="236">
        <v>100.19</v>
      </c>
      <c r="BW2844" s="236" t="s">
        <v>331</v>
      </c>
      <c r="CB2844" s="340">
        <v>801.01</v>
      </c>
      <c r="CC2844" s="340" t="s">
        <v>355</v>
      </c>
      <c r="CL2844" s="236">
        <v>170.04</v>
      </c>
      <c r="CM2844" s="236" t="s">
        <v>338</v>
      </c>
      <c r="CR2844" s="340">
        <v>9502.01</v>
      </c>
      <c r="CS2844" s="340" t="s">
        <v>308</v>
      </c>
      <c r="CT2844" s="1384"/>
      <c r="DF2844" s="340"/>
      <c r="DG2844" s="340"/>
      <c r="DV2844" s="340"/>
      <c r="DW2844" s="340"/>
      <c r="DX2844" s="1671"/>
    </row>
    <row r="2845" spans="38:128">
      <c r="AL2845" s="1037"/>
      <c r="AX2845" s="340">
        <v>9603</v>
      </c>
      <c r="AY2845" s="340" t="s">
        <v>354</v>
      </c>
      <c r="BN2845" s="340">
        <v>9502.0300000000007</v>
      </c>
      <c r="BO2845" s="340" t="s">
        <v>308</v>
      </c>
      <c r="BP2845" s="1385"/>
      <c r="BV2845" s="236">
        <v>100.2</v>
      </c>
      <c r="BW2845" s="236" t="s">
        <v>331</v>
      </c>
      <c r="CB2845" s="340">
        <v>801.02</v>
      </c>
      <c r="CC2845" s="340" t="s">
        <v>355</v>
      </c>
      <c r="CL2845" s="236">
        <v>170.06</v>
      </c>
      <c r="CM2845" s="236" t="s">
        <v>338</v>
      </c>
      <c r="CR2845" s="340">
        <v>9502.01</v>
      </c>
      <c r="CS2845" s="340" t="s">
        <v>326</v>
      </c>
      <c r="CT2845" s="1384"/>
      <c r="DF2845" s="340"/>
      <c r="DG2845" s="340"/>
      <c r="DV2845" s="340"/>
      <c r="DW2845" s="340"/>
      <c r="DX2845" s="1671"/>
    </row>
    <row r="2846" spans="38:128">
      <c r="AL2846" s="1037"/>
      <c r="AX2846" s="340">
        <v>801.01</v>
      </c>
      <c r="AY2846" s="340" t="s">
        <v>355</v>
      </c>
      <c r="BN2846" s="340">
        <v>9503</v>
      </c>
      <c r="BO2846" s="340" t="s">
        <v>345</v>
      </c>
      <c r="BP2846" s="1385"/>
      <c r="BV2846" s="236">
        <v>100.21</v>
      </c>
      <c r="BW2846" s="236" t="s">
        <v>331</v>
      </c>
      <c r="CB2846" s="340">
        <v>802.01</v>
      </c>
      <c r="CC2846" s="340" t="s">
        <v>355</v>
      </c>
      <c r="CL2846" s="236">
        <v>170.11</v>
      </c>
      <c r="CM2846" s="236" t="s">
        <v>338</v>
      </c>
      <c r="CR2846" s="340">
        <v>9502.01</v>
      </c>
      <c r="CS2846" s="340" t="s">
        <v>345</v>
      </c>
      <c r="CT2846" s="1384"/>
      <c r="DF2846" s="340"/>
      <c r="DG2846" s="340"/>
      <c r="DV2846" s="340"/>
      <c r="DW2846" s="340"/>
      <c r="DX2846" s="1671"/>
    </row>
    <row r="2847" spans="38:128">
      <c r="AL2847" s="1037"/>
      <c r="AX2847" s="340">
        <v>801.02</v>
      </c>
      <c r="AY2847" s="340" t="s">
        <v>355</v>
      </c>
      <c r="BN2847" s="340">
        <v>9503.02</v>
      </c>
      <c r="BO2847" s="340" t="s">
        <v>353</v>
      </c>
      <c r="BP2847" s="1385"/>
      <c r="BV2847" s="236">
        <v>100.22</v>
      </c>
      <c r="BW2847" s="236" t="s">
        <v>331</v>
      </c>
      <c r="CB2847" s="340">
        <v>802.02</v>
      </c>
      <c r="CC2847" s="340" t="s">
        <v>355</v>
      </c>
      <c r="CL2847" s="236">
        <v>170.12</v>
      </c>
      <c r="CM2847" s="236" t="s">
        <v>338</v>
      </c>
      <c r="CR2847" s="340">
        <v>9502.02</v>
      </c>
      <c r="CS2847" s="340" t="s">
        <v>308</v>
      </c>
      <c r="CT2847" s="1384"/>
      <c r="DF2847" s="340"/>
      <c r="DG2847" s="340"/>
      <c r="DV2847" s="340"/>
      <c r="DW2847" s="340"/>
      <c r="DX2847" s="1671"/>
    </row>
    <row r="2848" spans="38:128">
      <c r="AL2848" s="1037"/>
      <c r="AX2848" s="340">
        <v>802.01</v>
      </c>
      <c r="AY2848" s="340" t="s">
        <v>355</v>
      </c>
      <c r="BN2848" s="340">
        <v>9503.0300000000007</v>
      </c>
      <c r="BO2848" s="340" t="s">
        <v>357</v>
      </c>
      <c r="BP2848" s="1385"/>
      <c r="BV2848" s="236">
        <v>100.23</v>
      </c>
      <c r="BW2848" s="236" t="s">
        <v>331</v>
      </c>
      <c r="CB2848" s="340">
        <v>804</v>
      </c>
      <c r="CC2848" s="340" t="s">
        <v>355</v>
      </c>
      <c r="CL2848" s="236">
        <v>170.13</v>
      </c>
      <c r="CM2848" s="236" t="s">
        <v>338</v>
      </c>
      <c r="CR2848" s="340">
        <v>9502.02</v>
      </c>
      <c r="CS2848" s="340" t="s">
        <v>353</v>
      </c>
      <c r="CT2848" s="1384"/>
      <c r="DF2848" s="340"/>
      <c r="DG2848" s="340"/>
      <c r="DV2848" s="340"/>
      <c r="DW2848" s="340"/>
      <c r="DX2848" s="1671"/>
    </row>
    <row r="2849" spans="38:128">
      <c r="AL2849" s="1037"/>
      <c r="AX2849" s="340">
        <v>802.02</v>
      </c>
      <c r="AY2849" s="340" t="s">
        <v>355</v>
      </c>
      <c r="BN2849" s="340">
        <v>9503.06</v>
      </c>
      <c r="BO2849" s="340" t="s">
        <v>357</v>
      </c>
      <c r="BP2849" s="1385"/>
      <c r="BV2849" s="236">
        <v>100.24</v>
      </c>
      <c r="BW2849" s="236" t="s">
        <v>331</v>
      </c>
      <c r="CB2849" s="340">
        <v>805</v>
      </c>
      <c r="CC2849" s="340" t="s">
        <v>355</v>
      </c>
      <c r="CL2849" s="236">
        <v>170.15</v>
      </c>
      <c r="CM2849" s="236" t="s">
        <v>338</v>
      </c>
      <c r="CR2849" s="340">
        <v>9502.0300000000007</v>
      </c>
      <c r="CS2849" s="340" t="s">
        <v>308</v>
      </c>
      <c r="CT2849" s="1384"/>
      <c r="DF2849" s="340"/>
      <c r="DG2849" s="340"/>
      <c r="DV2849" s="340"/>
      <c r="DW2849" s="340"/>
      <c r="DX2849" s="1671"/>
    </row>
    <row r="2850" spans="38:128">
      <c r="AL2850" s="1037"/>
      <c r="AX2850" s="340">
        <v>804</v>
      </c>
      <c r="AY2850" s="340" t="s">
        <v>355</v>
      </c>
      <c r="BN2850" s="340">
        <v>9504</v>
      </c>
      <c r="BO2850" s="340" t="s">
        <v>345</v>
      </c>
      <c r="BP2850" s="1385"/>
      <c r="BV2850" s="236">
        <v>100.25</v>
      </c>
      <c r="BW2850" s="236" t="s">
        <v>331</v>
      </c>
      <c r="CB2850" s="340">
        <v>807</v>
      </c>
      <c r="CC2850" s="340" t="s">
        <v>355</v>
      </c>
      <c r="CL2850" s="236">
        <v>170.18</v>
      </c>
      <c r="CM2850" s="236" t="s">
        <v>338</v>
      </c>
      <c r="CR2850" s="340">
        <v>9503</v>
      </c>
      <c r="CS2850" s="340" t="s">
        <v>345</v>
      </c>
      <c r="CT2850" s="1384"/>
      <c r="DF2850" s="340"/>
      <c r="DG2850" s="340"/>
      <c r="DV2850" s="340"/>
      <c r="DW2850" s="340"/>
      <c r="DX2850" s="1671"/>
    </row>
    <row r="2851" spans="38:128">
      <c r="AL2851" s="1037"/>
      <c r="AX2851" s="340">
        <v>805</v>
      </c>
      <c r="AY2851" s="340" t="s">
        <v>355</v>
      </c>
      <c r="BN2851" s="340">
        <v>9504.01</v>
      </c>
      <c r="BO2851" s="340" t="s">
        <v>353</v>
      </c>
      <c r="BP2851" s="1385"/>
      <c r="BV2851" s="236">
        <v>100.26</v>
      </c>
      <c r="BW2851" s="236" t="s">
        <v>331</v>
      </c>
      <c r="CB2851" s="340">
        <v>808.03</v>
      </c>
      <c r="CC2851" s="340" t="s">
        <v>355</v>
      </c>
      <c r="CL2851" s="236">
        <v>170.19</v>
      </c>
      <c r="CM2851" s="236" t="s">
        <v>338</v>
      </c>
      <c r="CR2851" s="340">
        <v>9503.02</v>
      </c>
      <c r="CS2851" s="340" t="s">
        <v>353</v>
      </c>
      <c r="CT2851" s="1384"/>
      <c r="DF2851" s="340"/>
      <c r="DG2851" s="340"/>
      <c r="DV2851" s="340"/>
      <c r="DW2851" s="340"/>
      <c r="DX2851" s="1671"/>
    </row>
    <row r="2852" spans="38:128">
      <c r="AL2852" s="1037"/>
      <c r="AX2852" s="340">
        <v>807</v>
      </c>
      <c r="AY2852" s="340" t="s">
        <v>355</v>
      </c>
      <c r="BN2852" s="340">
        <v>9504.02</v>
      </c>
      <c r="BO2852" s="340" t="s">
        <v>353</v>
      </c>
      <c r="BP2852" s="1385"/>
      <c r="BV2852" s="236">
        <v>101.93</v>
      </c>
      <c r="BW2852" s="236" t="s">
        <v>331</v>
      </c>
      <c r="CB2852" s="340">
        <v>808.06</v>
      </c>
      <c r="CC2852" s="340" t="s">
        <v>355</v>
      </c>
      <c r="CL2852" s="236">
        <v>170.2</v>
      </c>
      <c r="CM2852" s="236" t="s">
        <v>338</v>
      </c>
      <c r="CR2852" s="340">
        <v>9504</v>
      </c>
      <c r="CS2852" s="340" t="s">
        <v>345</v>
      </c>
      <c r="CT2852" s="1384"/>
      <c r="DF2852" s="340"/>
      <c r="DG2852" s="340"/>
      <c r="DV2852" s="340"/>
      <c r="DW2852" s="340"/>
      <c r="DX2852" s="1671"/>
    </row>
    <row r="2853" spans="38:128">
      <c r="AL2853" s="1037"/>
      <c r="AX2853" s="340">
        <v>808.03</v>
      </c>
      <c r="AY2853" s="340" t="s">
        <v>355</v>
      </c>
      <c r="BN2853" s="340">
        <v>9505</v>
      </c>
      <c r="BO2853" s="340" t="s">
        <v>345</v>
      </c>
      <c r="BP2853" s="1385"/>
      <c r="BV2853" s="236">
        <v>101.98</v>
      </c>
      <c r="BW2853" s="236" t="s">
        <v>331</v>
      </c>
      <c r="CB2853" s="340">
        <v>808.07</v>
      </c>
      <c r="CC2853" s="340" t="s">
        <v>355</v>
      </c>
      <c r="CL2853" s="236">
        <v>170.21</v>
      </c>
      <c r="CM2853" s="236" t="s">
        <v>338</v>
      </c>
      <c r="CR2853" s="340">
        <v>9504.01</v>
      </c>
      <c r="CS2853" s="340" t="s">
        <v>353</v>
      </c>
      <c r="CT2853" s="1384"/>
      <c r="DF2853" s="340"/>
      <c r="DG2853" s="340"/>
      <c r="DV2853" s="340"/>
      <c r="DW2853" s="340"/>
      <c r="DX2853" s="1671"/>
    </row>
    <row r="2854" spans="38:128">
      <c r="AL2854" s="1037"/>
      <c r="AX2854" s="340">
        <v>808.06</v>
      </c>
      <c r="AY2854" s="340" t="s">
        <v>355</v>
      </c>
      <c r="BN2854" s="340">
        <v>9505.01</v>
      </c>
      <c r="BO2854" s="340" t="s">
        <v>357</v>
      </c>
      <c r="BP2854" s="1385"/>
      <c r="BV2854" s="236">
        <v>102.01</v>
      </c>
      <c r="BW2854" s="236" t="s">
        <v>331</v>
      </c>
      <c r="CB2854" s="340">
        <v>808.08</v>
      </c>
      <c r="CC2854" s="340" t="s">
        <v>355</v>
      </c>
      <c r="CL2854" s="236">
        <v>170.22</v>
      </c>
      <c r="CM2854" s="236" t="s">
        <v>338</v>
      </c>
      <c r="CR2854" s="340">
        <v>9505</v>
      </c>
      <c r="CS2854" s="340" t="s">
        <v>345</v>
      </c>
      <c r="CT2854" s="1384"/>
      <c r="DF2854" s="340"/>
      <c r="DG2854" s="340"/>
      <c r="DV2854" s="340"/>
      <c r="DW2854" s="340"/>
      <c r="DX2854" s="1671"/>
    </row>
    <row r="2855" spans="38:128">
      <c r="AL2855" s="1037"/>
      <c r="AX2855" s="340">
        <v>808.07</v>
      </c>
      <c r="AY2855" s="340" t="s">
        <v>355</v>
      </c>
      <c r="BN2855" s="340">
        <v>9505.02</v>
      </c>
      <c r="BO2855" s="340" t="s">
        <v>357</v>
      </c>
      <c r="BP2855" s="1385"/>
      <c r="BV2855" s="236">
        <v>102.05</v>
      </c>
      <c r="BW2855" s="236" t="s">
        <v>331</v>
      </c>
      <c r="CB2855" s="340">
        <v>811.01</v>
      </c>
      <c r="CC2855" s="340" t="s">
        <v>355</v>
      </c>
      <c r="CL2855" s="236">
        <v>170.23</v>
      </c>
      <c r="CM2855" s="236" t="s">
        <v>338</v>
      </c>
      <c r="CR2855" s="340">
        <v>9505.02</v>
      </c>
      <c r="CS2855" s="340" t="s">
        <v>357</v>
      </c>
      <c r="CT2855" s="1384"/>
      <c r="DF2855" s="340"/>
      <c r="DG2855" s="340"/>
      <c r="DV2855" s="340"/>
      <c r="DW2855" s="340"/>
      <c r="DX2855" s="1671"/>
    </row>
    <row r="2856" spans="38:128">
      <c r="AL2856" s="1037"/>
      <c r="AX2856" s="340">
        <v>808.08</v>
      </c>
      <c r="AY2856" s="340" t="s">
        <v>355</v>
      </c>
      <c r="BN2856" s="340">
        <v>9506</v>
      </c>
      <c r="BO2856" s="340" t="s">
        <v>345</v>
      </c>
      <c r="BP2856" s="1385"/>
      <c r="BV2856" s="236">
        <v>102.07</v>
      </c>
      <c r="BW2856" s="236" t="s">
        <v>331</v>
      </c>
      <c r="CB2856" s="340">
        <v>811.02</v>
      </c>
      <c r="CC2856" s="340" t="s">
        <v>355</v>
      </c>
      <c r="CL2856" s="236">
        <v>170.24</v>
      </c>
      <c r="CM2856" s="236" t="s">
        <v>338</v>
      </c>
      <c r="CR2856" s="340">
        <v>9506</v>
      </c>
      <c r="CS2856" s="340" t="s">
        <v>345</v>
      </c>
      <c r="CT2856" s="1384"/>
      <c r="DF2856" s="340"/>
      <c r="DG2856" s="340"/>
      <c r="DV2856" s="340"/>
      <c r="DW2856" s="340"/>
      <c r="DX2856" s="1671"/>
    </row>
    <row r="2857" spans="38:128">
      <c r="AL2857" s="1037"/>
      <c r="AX2857" s="340">
        <v>811.02</v>
      </c>
      <c r="AY2857" s="340" t="s">
        <v>355</v>
      </c>
      <c r="BN2857" s="340">
        <v>9506.0400000000009</v>
      </c>
      <c r="BO2857" s="340" t="s">
        <v>357</v>
      </c>
      <c r="BP2857" s="1385"/>
      <c r="BV2857" s="236">
        <v>102.08</v>
      </c>
      <c r="BW2857" s="236" t="s">
        <v>331</v>
      </c>
      <c r="CB2857" s="340">
        <v>823.03</v>
      </c>
      <c r="CC2857" s="340" t="s">
        <v>355</v>
      </c>
      <c r="CL2857" s="236">
        <v>170.25</v>
      </c>
      <c r="CM2857" s="236" t="s">
        <v>338</v>
      </c>
      <c r="CR2857" s="340">
        <v>9506.0400000000009</v>
      </c>
      <c r="CS2857" s="340" t="s">
        <v>357</v>
      </c>
      <c r="CT2857" s="1384"/>
      <c r="DF2857" s="340"/>
      <c r="DG2857" s="340"/>
      <c r="DV2857" s="340"/>
      <c r="DW2857" s="340"/>
      <c r="DX2857" s="1671"/>
    </row>
    <row r="2858" spans="38:128">
      <c r="AL2858" s="1037"/>
      <c r="AX2858" s="340">
        <v>812.01</v>
      </c>
      <c r="AY2858" s="340" t="s">
        <v>355</v>
      </c>
      <c r="BN2858" s="340">
        <v>9506.0499999999993</v>
      </c>
      <c r="BO2858" s="340" t="s">
        <v>357</v>
      </c>
      <c r="BP2858" s="1385"/>
      <c r="BV2858" s="236">
        <v>102.09</v>
      </c>
      <c r="BW2858" s="236" t="s">
        <v>331</v>
      </c>
      <c r="CB2858" s="340">
        <v>824.05</v>
      </c>
      <c r="CC2858" s="340" t="s">
        <v>355</v>
      </c>
      <c r="CL2858" s="236">
        <v>170.26</v>
      </c>
      <c r="CM2858" s="236" t="s">
        <v>338</v>
      </c>
      <c r="CR2858" s="340">
        <v>9506.0499999999993</v>
      </c>
      <c r="CS2858" s="340" t="s">
        <v>357</v>
      </c>
      <c r="CT2858" s="1384"/>
      <c r="DF2858" s="340"/>
      <c r="DG2858" s="340"/>
      <c r="DV2858" s="340"/>
      <c r="DW2858" s="340"/>
      <c r="DX2858" s="1671"/>
    </row>
    <row r="2859" spans="38:128">
      <c r="AL2859" s="1037"/>
      <c r="AX2859" s="340">
        <v>813</v>
      </c>
      <c r="AY2859" s="340" t="s">
        <v>355</v>
      </c>
      <c r="BN2859" s="340">
        <v>9506.06</v>
      </c>
      <c r="BO2859" s="340" t="s">
        <v>357</v>
      </c>
      <c r="BP2859" s="1385"/>
      <c r="BV2859" s="236">
        <v>102.11</v>
      </c>
      <c r="BW2859" s="236" t="s">
        <v>331</v>
      </c>
      <c r="CB2859" s="340">
        <v>824.06</v>
      </c>
      <c r="CC2859" s="340" t="s">
        <v>355</v>
      </c>
      <c r="CL2859" s="236">
        <v>171.01</v>
      </c>
      <c r="CM2859" s="236" t="s">
        <v>302</v>
      </c>
      <c r="CR2859" s="340">
        <v>9506.06</v>
      </c>
      <c r="CS2859" s="340" t="s">
        <v>357</v>
      </c>
      <c r="CT2859" s="1384"/>
      <c r="DF2859" s="340"/>
      <c r="DG2859" s="340"/>
      <c r="DV2859" s="340"/>
      <c r="DW2859" s="340"/>
      <c r="DX2859" s="1671"/>
    </row>
    <row r="2860" spans="38:128">
      <c r="AL2860" s="1037"/>
      <c r="AX2860" s="340">
        <v>823.03</v>
      </c>
      <c r="AY2860" s="340" t="s">
        <v>355</v>
      </c>
      <c r="BN2860" s="340">
        <v>9506.07</v>
      </c>
      <c r="BO2860" s="340" t="s">
        <v>357</v>
      </c>
      <c r="BP2860" s="1385"/>
      <c r="BV2860" s="236">
        <v>102.12</v>
      </c>
      <c r="BW2860" s="236" t="s">
        <v>331</v>
      </c>
      <c r="CB2860" s="340">
        <v>824.1</v>
      </c>
      <c r="CC2860" s="340" t="s">
        <v>355</v>
      </c>
      <c r="CL2860" s="236">
        <v>171.01</v>
      </c>
      <c r="CM2860" s="236" t="s">
        <v>331</v>
      </c>
      <c r="CR2860" s="340">
        <v>9506.07</v>
      </c>
      <c r="CS2860" s="340" t="s">
        <v>357</v>
      </c>
      <c r="CT2860" s="1384"/>
      <c r="DF2860" s="340"/>
      <c r="DG2860" s="340"/>
      <c r="DV2860" s="340"/>
      <c r="DW2860" s="340"/>
      <c r="DX2860" s="1671"/>
    </row>
    <row r="2861" spans="38:128">
      <c r="AL2861" s="1037"/>
      <c r="AX2861" s="340">
        <v>824.05</v>
      </c>
      <c r="AY2861" s="340" t="s">
        <v>355</v>
      </c>
      <c r="BN2861" s="340">
        <v>9506.08</v>
      </c>
      <c r="BO2861" s="340" t="s">
        <v>357</v>
      </c>
      <c r="BP2861" s="1385"/>
      <c r="BV2861" s="236">
        <v>102.13</v>
      </c>
      <c r="BW2861" s="236" t="s">
        <v>331</v>
      </c>
      <c r="CB2861" s="340">
        <v>824.12</v>
      </c>
      <c r="CC2861" s="340" t="s">
        <v>355</v>
      </c>
      <c r="CL2861" s="236">
        <v>171.02</v>
      </c>
      <c r="CM2861" s="236" t="s">
        <v>302</v>
      </c>
      <c r="CR2861" s="340">
        <v>9506.08</v>
      </c>
      <c r="CS2861" s="340" t="s">
        <v>357</v>
      </c>
      <c r="CT2861" s="1384"/>
      <c r="DF2861" s="340"/>
      <c r="DG2861" s="340"/>
      <c r="DV2861" s="340"/>
      <c r="DW2861" s="340"/>
      <c r="DX2861" s="1671"/>
    </row>
    <row r="2862" spans="38:128">
      <c r="AL2862" s="1037"/>
      <c r="AX2862" s="340">
        <v>824.06</v>
      </c>
      <c r="AY2862" s="340" t="s">
        <v>355</v>
      </c>
      <c r="BN2862" s="340">
        <v>9506.09</v>
      </c>
      <c r="BO2862" s="340" t="s">
        <v>357</v>
      </c>
      <c r="BP2862" s="1385"/>
      <c r="BV2862" s="236">
        <v>102.14</v>
      </c>
      <c r="BW2862" s="236" t="s">
        <v>331</v>
      </c>
      <c r="CB2862" s="340">
        <v>824.13</v>
      </c>
      <c r="CC2862" s="340" t="s">
        <v>355</v>
      </c>
      <c r="CL2862" s="236">
        <v>171.02</v>
      </c>
      <c r="CM2862" s="236" t="s">
        <v>331</v>
      </c>
      <c r="CR2862" s="340">
        <v>9506.09</v>
      </c>
      <c r="CS2862" s="340" t="s">
        <v>357</v>
      </c>
      <c r="CT2862" s="1384"/>
      <c r="DF2862" s="340"/>
      <c r="DG2862" s="340"/>
      <c r="DV2862" s="340"/>
      <c r="DW2862" s="340"/>
      <c r="DX2862" s="1671"/>
    </row>
    <row r="2863" spans="38:128">
      <c r="AL2863" s="1037"/>
      <c r="AX2863" s="340">
        <v>824.1</v>
      </c>
      <c r="AY2863" s="340" t="s">
        <v>355</v>
      </c>
      <c r="BN2863" s="340">
        <v>9506.1</v>
      </c>
      <c r="BO2863" s="340" t="s">
        <v>357</v>
      </c>
      <c r="BP2863" s="1385"/>
      <c r="BV2863" s="236">
        <v>103.01</v>
      </c>
      <c r="BW2863" s="236" t="s">
        <v>331</v>
      </c>
      <c r="CB2863" s="340">
        <v>825.03</v>
      </c>
      <c r="CC2863" s="340" t="s">
        <v>355</v>
      </c>
      <c r="CL2863" s="236">
        <v>171.08</v>
      </c>
      <c r="CM2863" s="236" t="s">
        <v>338</v>
      </c>
      <c r="CR2863" s="340">
        <v>9506.1</v>
      </c>
      <c r="CS2863" s="340" t="s">
        <v>357</v>
      </c>
      <c r="CT2863" s="1384"/>
      <c r="DF2863" s="340"/>
      <c r="DG2863" s="340"/>
      <c r="DV2863" s="340"/>
      <c r="DW2863" s="340"/>
      <c r="DX2863" s="1671"/>
    </row>
    <row r="2864" spans="38:128">
      <c r="AL2864" s="1037"/>
      <c r="AX2864" s="340">
        <v>824.13</v>
      </c>
      <c r="AY2864" s="340" t="s">
        <v>355</v>
      </c>
      <c r="BN2864" s="340">
        <v>9506.11</v>
      </c>
      <c r="BO2864" s="340" t="s">
        <v>357</v>
      </c>
      <c r="BP2864" s="1385"/>
      <c r="BV2864" s="236">
        <v>103.02</v>
      </c>
      <c r="BW2864" s="236" t="s">
        <v>331</v>
      </c>
      <c r="CB2864" s="340">
        <v>825.08</v>
      </c>
      <c r="CC2864" s="340" t="s">
        <v>355</v>
      </c>
      <c r="CL2864" s="236">
        <v>171.09</v>
      </c>
      <c r="CM2864" s="236" t="s">
        <v>338</v>
      </c>
      <c r="CR2864" s="340">
        <v>9506.11</v>
      </c>
      <c r="CS2864" s="340" t="s">
        <v>357</v>
      </c>
      <c r="CT2864" s="1384"/>
      <c r="DF2864" s="340"/>
      <c r="DG2864" s="340"/>
      <c r="DV2864" s="340"/>
      <c r="DW2864" s="340"/>
      <c r="DX2864" s="1671"/>
    </row>
    <row r="2865" spans="38:128">
      <c r="AL2865" s="1037"/>
      <c r="AX2865" s="340">
        <v>825.08</v>
      </c>
      <c r="AY2865" s="340" t="s">
        <v>355</v>
      </c>
      <c r="BN2865" s="340">
        <v>9509</v>
      </c>
      <c r="BO2865" s="340" t="s">
        <v>345</v>
      </c>
      <c r="BP2865" s="1385"/>
      <c r="BV2865" s="236">
        <v>103.03</v>
      </c>
      <c r="BW2865" s="236" t="s">
        <v>331</v>
      </c>
      <c r="CB2865" s="340">
        <v>825.09</v>
      </c>
      <c r="CC2865" s="340" t="s">
        <v>355</v>
      </c>
      <c r="CL2865" s="236">
        <v>171.1</v>
      </c>
      <c r="CM2865" s="236" t="s">
        <v>338</v>
      </c>
      <c r="CR2865" s="340">
        <v>9510</v>
      </c>
      <c r="CS2865" s="340" t="s">
        <v>345</v>
      </c>
      <c r="CT2865" s="1384"/>
      <c r="DF2865" s="340"/>
      <c r="DG2865" s="340"/>
      <c r="DV2865" s="340"/>
      <c r="DW2865" s="340"/>
      <c r="DX2865" s="1671"/>
    </row>
    <row r="2866" spans="38:128">
      <c r="AL2866" s="1037"/>
      <c r="AX2866" s="340">
        <v>825.09</v>
      </c>
      <c r="AY2866" s="340" t="s">
        <v>355</v>
      </c>
      <c r="BN2866" s="340">
        <v>9510</v>
      </c>
      <c r="BO2866" s="340" t="s">
        <v>345</v>
      </c>
      <c r="BP2866" s="1385"/>
      <c r="BV2866" s="236">
        <v>104</v>
      </c>
      <c r="BW2866" s="236" t="s">
        <v>331</v>
      </c>
      <c r="CB2866" s="340">
        <v>825.12</v>
      </c>
      <c r="CC2866" s="340" t="s">
        <v>355</v>
      </c>
      <c r="CL2866" s="236">
        <v>171.11</v>
      </c>
      <c r="CM2866" s="236" t="s">
        <v>338</v>
      </c>
      <c r="CR2866" s="340">
        <v>9511</v>
      </c>
      <c r="CS2866" s="340" t="s">
        <v>345</v>
      </c>
      <c r="CT2866" s="1384"/>
      <c r="DF2866" s="340"/>
      <c r="DG2866" s="340"/>
      <c r="DV2866" s="340"/>
      <c r="DW2866" s="340"/>
      <c r="DX2866" s="1671"/>
    </row>
    <row r="2867" spans="38:128">
      <c r="AL2867" s="1037"/>
      <c r="AX2867" s="340">
        <v>825.12</v>
      </c>
      <c r="AY2867" s="340" t="s">
        <v>355</v>
      </c>
      <c r="BN2867" s="340">
        <v>9511</v>
      </c>
      <c r="BO2867" s="340" t="s">
        <v>345</v>
      </c>
      <c r="BP2867" s="1385"/>
      <c r="BV2867" s="236">
        <v>105.01</v>
      </c>
      <c r="BW2867" s="236" t="s">
        <v>331</v>
      </c>
      <c r="CB2867" s="340">
        <v>826.04</v>
      </c>
      <c r="CC2867" s="340" t="s">
        <v>355</v>
      </c>
      <c r="CL2867" s="236">
        <v>171.12</v>
      </c>
      <c r="CM2867" s="236" t="s">
        <v>338</v>
      </c>
      <c r="CR2867" s="340">
        <v>9513</v>
      </c>
      <c r="CS2867" s="340" t="s">
        <v>345</v>
      </c>
      <c r="CT2867" s="1384"/>
      <c r="DF2867" s="340"/>
      <c r="DG2867" s="340"/>
      <c r="DV2867" s="340"/>
      <c r="DW2867" s="340"/>
      <c r="DX2867" s="1671"/>
    </row>
    <row r="2868" spans="38:128">
      <c r="AL2868" s="1037"/>
      <c r="AX2868" s="340">
        <v>826.05</v>
      </c>
      <c r="AY2868" s="340" t="s">
        <v>355</v>
      </c>
      <c r="BN2868" s="340">
        <v>9513</v>
      </c>
      <c r="BO2868" s="340" t="s">
        <v>345</v>
      </c>
      <c r="BP2868" s="1385"/>
      <c r="BV2868" s="236">
        <v>105.02</v>
      </c>
      <c r="BW2868" s="236" t="s">
        <v>331</v>
      </c>
      <c r="CB2868" s="340">
        <v>826.05</v>
      </c>
      <c r="CC2868" s="340" t="s">
        <v>355</v>
      </c>
      <c r="CL2868" s="236">
        <v>171.13</v>
      </c>
      <c r="CM2868" s="236" t="s">
        <v>338</v>
      </c>
      <c r="CR2868" s="340">
        <v>9601</v>
      </c>
      <c r="CS2868" s="340" t="s">
        <v>317</v>
      </c>
      <c r="CT2868" s="1384"/>
      <c r="DF2868" s="340"/>
      <c r="DG2868" s="340"/>
      <c r="DV2868" s="340"/>
      <c r="DW2868" s="340"/>
      <c r="DX2868" s="1671"/>
    </row>
    <row r="2869" spans="38:128">
      <c r="AL2869" s="1037"/>
      <c r="AX2869" s="340">
        <v>826.06</v>
      </c>
      <c r="AY2869" s="340" t="s">
        <v>355</v>
      </c>
      <c r="BN2869" s="340">
        <v>9601</v>
      </c>
      <c r="BO2869" s="340" t="s">
        <v>317</v>
      </c>
      <c r="BP2869" s="1385"/>
      <c r="BV2869" s="236">
        <v>106.04</v>
      </c>
      <c r="BW2869" s="236" t="s">
        <v>331</v>
      </c>
      <c r="CB2869" s="340">
        <v>826.06</v>
      </c>
      <c r="CC2869" s="340" t="s">
        <v>355</v>
      </c>
      <c r="CL2869" s="236">
        <v>171.14</v>
      </c>
      <c r="CM2869" s="236" t="s">
        <v>338</v>
      </c>
      <c r="CR2869" s="340">
        <v>9601</v>
      </c>
      <c r="CS2869" s="340" t="s">
        <v>354</v>
      </c>
      <c r="CT2869" s="1384"/>
      <c r="DF2869" s="340"/>
      <c r="DG2869" s="340"/>
      <c r="DV2869" s="340"/>
      <c r="DW2869" s="340"/>
      <c r="DX2869" s="1671"/>
    </row>
    <row r="2870" spans="38:128">
      <c r="AL2870" s="1037"/>
      <c r="AX2870" s="340">
        <v>826.07</v>
      </c>
      <c r="AY2870" s="340" t="s">
        <v>355</v>
      </c>
      <c r="BN2870" s="340">
        <v>9601.01</v>
      </c>
      <c r="BO2870" s="340" t="s">
        <v>310</v>
      </c>
      <c r="BP2870" s="1385"/>
      <c r="BV2870" s="236">
        <v>106.08</v>
      </c>
      <c r="BW2870" s="236" t="s">
        <v>331</v>
      </c>
      <c r="CB2870" s="340">
        <v>826.07</v>
      </c>
      <c r="CC2870" s="340" t="s">
        <v>355</v>
      </c>
      <c r="CL2870" s="236">
        <v>171.15</v>
      </c>
      <c r="CM2870" s="236" t="s">
        <v>338</v>
      </c>
      <c r="CR2870" s="340">
        <v>9601.01</v>
      </c>
      <c r="CS2870" s="340" t="s">
        <v>315</v>
      </c>
      <c r="CT2870" s="1384"/>
      <c r="DF2870" s="340"/>
      <c r="DG2870" s="340"/>
      <c r="DV2870" s="340"/>
      <c r="DW2870" s="340"/>
      <c r="DX2870" s="1671"/>
    </row>
    <row r="2871" spans="38:128">
      <c r="AL2871" s="1037"/>
      <c r="AX2871" s="340">
        <v>827.01</v>
      </c>
      <c r="AY2871" s="340" t="s">
        <v>355</v>
      </c>
      <c r="BN2871" s="340">
        <v>9601.01</v>
      </c>
      <c r="BO2871" s="340" t="s">
        <v>315</v>
      </c>
      <c r="BP2871" s="1385"/>
      <c r="BV2871" s="236">
        <v>106.09</v>
      </c>
      <c r="BW2871" s="236" t="s">
        <v>331</v>
      </c>
      <c r="CB2871" s="340">
        <v>827.01</v>
      </c>
      <c r="CC2871" s="340" t="s">
        <v>355</v>
      </c>
      <c r="CL2871" s="236">
        <v>171.16</v>
      </c>
      <c r="CM2871" s="236" t="s">
        <v>338</v>
      </c>
      <c r="CR2871" s="340">
        <v>9601.02</v>
      </c>
      <c r="CS2871" s="340" t="s">
        <v>311</v>
      </c>
      <c r="CT2871" s="1384"/>
      <c r="DF2871" s="340"/>
      <c r="DG2871" s="340"/>
      <c r="DV2871" s="340"/>
      <c r="DW2871" s="340"/>
      <c r="DX2871" s="1671"/>
    </row>
    <row r="2872" spans="38:128">
      <c r="AL2872" s="1037"/>
      <c r="AX2872" s="340">
        <v>827.03</v>
      </c>
      <c r="AY2872" s="340" t="s">
        <v>355</v>
      </c>
      <c r="BN2872" s="340">
        <v>9601.02</v>
      </c>
      <c r="BO2872" s="340" t="s">
        <v>311</v>
      </c>
      <c r="BP2872" s="1385"/>
      <c r="BV2872" s="236">
        <v>106.1</v>
      </c>
      <c r="BW2872" s="236" t="s">
        <v>331</v>
      </c>
      <c r="CB2872" s="340">
        <v>827.03</v>
      </c>
      <c r="CC2872" s="340" t="s">
        <v>355</v>
      </c>
      <c r="CL2872" s="236">
        <v>171.17</v>
      </c>
      <c r="CM2872" s="236" t="s">
        <v>338</v>
      </c>
      <c r="CR2872" s="340">
        <v>9601.02</v>
      </c>
      <c r="CS2872" s="340" t="s">
        <v>315</v>
      </c>
      <c r="CT2872" s="1384"/>
      <c r="DF2872" s="340"/>
      <c r="DG2872" s="340"/>
      <c r="DV2872" s="340"/>
      <c r="DW2872" s="340"/>
      <c r="DX2872" s="1671"/>
    </row>
    <row r="2873" spans="38:128">
      <c r="AL2873" s="1037"/>
      <c r="AX2873" s="340">
        <v>827.04</v>
      </c>
      <c r="AY2873" s="340" t="s">
        <v>355</v>
      </c>
      <c r="BN2873" s="340">
        <v>9601.02</v>
      </c>
      <c r="BO2873" s="340" t="s">
        <v>315</v>
      </c>
      <c r="BP2873" s="1385"/>
      <c r="BV2873" s="236">
        <v>106.13</v>
      </c>
      <c r="BW2873" s="236" t="s">
        <v>331</v>
      </c>
      <c r="CB2873" s="340">
        <v>827.04</v>
      </c>
      <c r="CC2873" s="340" t="s">
        <v>355</v>
      </c>
      <c r="CL2873" s="236">
        <v>171.18</v>
      </c>
      <c r="CM2873" s="236" t="s">
        <v>338</v>
      </c>
      <c r="CR2873" s="340">
        <v>9601.0400000000009</v>
      </c>
      <c r="CS2873" s="340" t="s">
        <v>315</v>
      </c>
      <c r="CT2873" s="1384"/>
      <c r="DF2873" s="340"/>
      <c r="DG2873" s="340"/>
      <c r="DV2873" s="340"/>
      <c r="DW2873" s="340"/>
      <c r="DX2873" s="1671"/>
    </row>
    <row r="2874" spans="38:128">
      <c r="AL2874" s="1037"/>
      <c r="AX2874" s="340">
        <v>827.05</v>
      </c>
      <c r="AY2874" s="340" t="s">
        <v>355</v>
      </c>
      <c r="BN2874" s="340">
        <v>9601.0400000000009</v>
      </c>
      <c r="BO2874" s="340" t="s">
        <v>315</v>
      </c>
      <c r="BP2874" s="1385"/>
      <c r="BV2874" s="236">
        <v>106.18</v>
      </c>
      <c r="BW2874" s="236" t="s">
        <v>331</v>
      </c>
      <c r="CB2874" s="340">
        <v>827.05</v>
      </c>
      <c r="CC2874" s="340" t="s">
        <v>355</v>
      </c>
      <c r="CL2874" s="236">
        <v>171.19</v>
      </c>
      <c r="CM2874" s="236" t="s">
        <v>338</v>
      </c>
      <c r="CR2874" s="340">
        <v>9602</v>
      </c>
      <c r="CS2874" s="340" t="s">
        <v>310</v>
      </c>
      <c r="CT2874" s="1384"/>
      <c r="DF2874" s="340"/>
      <c r="DG2874" s="340"/>
      <c r="DV2874" s="340"/>
      <c r="DW2874" s="340"/>
      <c r="DX2874" s="1671"/>
    </row>
    <row r="2875" spans="38:128">
      <c r="AL2875" s="1037"/>
      <c r="AX2875" s="340">
        <v>828.01</v>
      </c>
      <c r="AY2875" s="340" t="s">
        <v>355</v>
      </c>
      <c r="BN2875" s="340">
        <v>9601.0499999999993</v>
      </c>
      <c r="BO2875" s="340" t="s">
        <v>315</v>
      </c>
      <c r="BP2875" s="1385"/>
      <c r="BV2875" s="236">
        <v>106.19</v>
      </c>
      <c r="BW2875" s="236" t="s">
        <v>331</v>
      </c>
      <c r="CB2875" s="340">
        <v>828.01</v>
      </c>
      <c r="CC2875" s="340" t="s">
        <v>355</v>
      </c>
      <c r="CL2875" s="236">
        <v>171.2</v>
      </c>
      <c r="CM2875" s="236" t="s">
        <v>338</v>
      </c>
      <c r="CR2875" s="340">
        <v>9602.01</v>
      </c>
      <c r="CS2875" s="340" t="s">
        <v>317</v>
      </c>
      <c r="CT2875" s="1384"/>
      <c r="DF2875" s="340"/>
      <c r="DG2875" s="340"/>
      <c r="DV2875" s="340"/>
      <c r="DW2875" s="340"/>
      <c r="DX2875" s="1671"/>
    </row>
    <row r="2876" spans="38:128">
      <c r="AL2876" s="1037"/>
      <c r="AX2876" s="340">
        <v>828.02</v>
      </c>
      <c r="AY2876" s="340" t="s">
        <v>355</v>
      </c>
      <c r="BN2876" s="340">
        <v>9602</v>
      </c>
      <c r="BO2876" s="340" t="s">
        <v>310</v>
      </c>
      <c r="BP2876" s="1385"/>
      <c r="BV2876" s="236">
        <v>106.2</v>
      </c>
      <c r="BW2876" s="236" t="s">
        <v>331</v>
      </c>
      <c r="CB2876" s="340">
        <v>828.02</v>
      </c>
      <c r="CC2876" s="340" t="s">
        <v>355</v>
      </c>
      <c r="CL2876" s="236">
        <v>171.21</v>
      </c>
      <c r="CM2876" s="236" t="s">
        <v>338</v>
      </c>
      <c r="CR2876" s="340">
        <v>9602.02</v>
      </c>
      <c r="CS2876" s="340" t="s">
        <v>321</v>
      </c>
      <c r="CT2876" s="1384"/>
      <c r="DF2876" s="340"/>
      <c r="DG2876" s="340"/>
      <c r="DV2876" s="340"/>
      <c r="DW2876" s="340"/>
      <c r="DX2876" s="1671"/>
    </row>
    <row r="2877" spans="38:128">
      <c r="AL2877" s="1037"/>
      <c r="AX2877" s="340">
        <v>829.03</v>
      </c>
      <c r="AY2877" s="340" t="s">
        <v>355</v>
      </c>
      <c r="BN2877" s="340">
        <v>9602.01</v>
      </c>
      <c r="BO2877" s="340" t="s">
        <v>317</v>
      </c>
      <c r="BP2877" s="1385"/>
      <c r="BV2877" s="236">
        <v>106.21</v>
      </c>
      <c r="BW2877" s="236" t="s">
        <v>331</v>
      </c>
      <c r="CB2877" s="340">
        <v>829.03</v>
      </c>
      <c r="CC2877" s="340" t="s">
        <v>355</v>
      </c>
      <c r="CL2877" s="236">
        <v>171.22</v>
      </c>
      <c r="CM2877" s="236" t="s">
        <v>338</v>
      </c>
      <c r="CR2877" s="340">
        <v>9602.02</v>
      </c>
      <c r="CS2877" s="340" t="s">
        <v>354</v>
      </c>
      <c r="CT2877" s="1384"/>
      <c r="DF2877" s="340"/>
      <c r="DG2877" s="340"/>
      <c r="DV2877" s="340"/>
      <c r="DW2877" s="340"/>
      <c r="DX2877" s="1671"/>
    </row>
    <row r="2878" spans="38:128">
      <c r="AL2878" s="1037"/>
      <c r="AX2878" s="340">
        <v>829.04</v>
      </c>
      <c r="AY2878" s="340" t="s">
        <v>355</v>
      </c>
      <c r="BN2878" s="340">
        <v>9602.01</v>
      </c>
      <c r="BO2878" s="340" t="s">
        <v>354</v>
      </c>
      <c r="BP2878" s="1385"/>
      <c r="BV2878" s="236">
        <v>106.22</v>
      </c>
      <c r="BW2878" s="236" t="s">
        <v>331</v>
      </c>
      <c r="CB2878" s="340">
        <v>829.04</v>
      </c>
      <c r="CC2878" s="340" t="s">
        <v>355</v>
      </c>
      <c r="CL2878" s="236">
        <v>171.23</v>
      </c>
      <c r="CM2878" s="236" t="s">
        <v>338</v>
      </c>
      <c r="CR2878" s="340">
        <v>9603</v>
      </c>
      <c r="CS2878" s="340" t="s">
        <v>311</v>
      </c>
      <c r="CT2878" s="1384"/>
      <c r="DF2878" s="340"/>
      <c r="DG2878" s="340"/>
      <c r="DV2878" s="340"/>
      <c r="DW2878" s="340"/>
      <c r="DX2878" s="1671"/>
    </row>
    <row r="2879" spans="38:128">
      <c r="AL2879" s="1037"/>
      <c r="AX2879" s="340">
        <v>830.06</v>
      </c>
      <c r="AY2879" s="340" t="s">
        <v>355</v>
      </c>
      <c r="BN2879" s="340">
        <v>9602.02</v>
      </c>
      <c r="BO2879" s="340" t="s">
        <v>321</v>
      </c>
      <c r="BP2879" s="1385"/>
      <c r="BV2879" s="236">
        <v>106.23</v>
      </c>
      <c r="BW2879" s="236" t="s">
        <v>331</v>
      </c>
      <c r="CB2879" s="340">
        <v>830.03</v>
      </c>
      <c r="CC2879" s="340" t="s">
        <v>355</v>
      </c>
      <c r="CL2879" s="236">
        <v>172</v>
      </c>
      <c r="CM2879" s="236" t="s">
        <v>302</v>
      </c>
      <c r="CR2879" s="340">
        <v>9603</v>
      </c>
      <c r="CS2879" s="340" t="s">
        <v>317</v>
      </c>
      <c r="CT2879" s="1384"/>
      <c r="DF2879" s="340"/>
      <c r="DG2879" s="340"/>
      <c r="DV2879" s="340"/>
      <c r="DW2879" s="340"/>
      <c r="DX2879" s="1671"/>
    </row>
    <row r="2880" spans="38:128">
      <c r="AL2880" s="1037"/>
      <c r="AX2880" s="340">
        <v>830.07</v>
      </c>
      <c r="AY2880" s="340" t="s">
        <v>355</v>
      </c>
      <c r="BN2880" s="340">
        <v>9602.02</v>
      </c>
      <c r="BO2880" s="340" t="s">
        <v>354</v>
      </c>
      <c r="BP2880" s="1385"/>
      <c r="BV2880" s="236">
        <v>106.24</v>
      </c>
      <c r="BW2880" s="236" t="s">
        <v>331</v>
      </c>
      <c r="CB2880" s="340">
        <v>830.07</v>
      </c>
      <c r="CC2880" s="340" t="s">
        <v>355</v>
      </c>
      <c r="CL2880" s="236">
        <v>172</v>
      </c>
      <c r="CM2880" s="236" t="s">
        <v>331</v>
      </c>
      <c r="CR2880" s="340">
        <v>9603</v>
      </c>
      <c r="CS2880" s="340" t="s">
        <v>354</v>
      </c>
      <c r="CT2880" s="1384"/>
      <c r="DF2880" s="340"/>
      <c r="DG2880" s="340"/>
      <c r="DV2880" s="340"/>
      <c r="DW2880" s="340"/>
      <c r="DX2880" s="1671"/>
    </row>
    <row r="2881" spans="38:128">
      <c r="AL2881" s="1037"/>
      <c r="AX2881" s="340">
        <v>830.08</v>
      </c>
      <c r="AY2881" s="340" t="s">
        <v>355</v>
      </c>
      <c r="BN2881" s="340">
        <v>9603</v>
      </c>
      <c r="BO2881" s="340" t="s">
        <v>311</v>
      </c>
      <c r="BP2881" s="1385"/>
      <c r="BV2881" s="236">
        <v>106.25</v>
      </c>
      <c r="BW2881" s="236" t="s">
        <v>331</v>
      </c>
      <c r="CB2881" s="340">
        <v>830.08</v>
      </c>
      <c r="CC2881" s="340" t="s">
        <v>355</v>
      </c>
      <c r="CL2881" s="236">
        <v>172</v>
      </c>
      <c r="CM2881" s="236" t="s">
        <v>338</v>
      </c>
      <c r="CR2881" s="340">
        <v>9603.01</v>
      </c>
      <c r="CS2881" s="340" t="s">
        <v>310</v>
      </c>
      <c r="CT2881" s="1384"/>
      <c r="DF2881" s="340"/>
      <c r="DG2881" s="340"/>
      <c r="DV2881" s="340"/>
      <c r="DW2881" s="340"/>
      <c r="DX2881" s="1671"/>
    </row>
    <row r="2882" spans="38:128">
      <c r="AL2882" s="1037"/>
      <c r="AX2882" s="340">
        <v>832.03</v>
      </c>
      <c r="AY2882" s="340" t="s">
        <v>355</v>
      </c>
      <c r="BN2882" s="340">
        <v>9603</v>
      </c>
      <c r="BO2882" s="340" t="s">
        <v>317</v>
      </c>
      <c r="BP2882" s="1385"/>
      <c r="BV2882" s="236">
        <v>106.26</v>
      </c>
      <c r="BW2882" s="236" t="s">
        <v>331</v>
      </c>
      <c r="CB2882" s="340">
        <v>832.03</v>
      </c>
      <c r="CC2882" s="340" t="s">
        <v>355</v>
      </c>
      <c r="CL2882" s="236">
        <v>173</v>
      </c>
      <c r="CM2882" s="236" t="s">
        <v>302</v>
      </c>
      <c r="CR2882" s="340">
        <v>9603.02</v>
      </c>
      <c r="CS2882" s="340" t="s">
        <v>310</v>
      </c>
      <c r="CT2882" s="1384"/>
      <c r="DF2882" s="340"/>
      <c r="DG2882" s="340"/>
      <c r="DV2882" s="340"/>
      <c r="DW2882" s="340"/>
      <c r="DX2882" s="1671"/>
    </row>
    <row r="2883" spans="38:128">
      <c r="AL2883" s="1037"/>
      <c r="AX2883" s="340">
        <v>832.05</v>
      </c>
      <c r="AY2883" s="340" t="s">
        <v>355</v>
      </c>
      <c r="BN2883" s="340">
        <v>9603</v>
      </c>
      <c r="BO2883" s="340" t="s">
        <v>354</v>
      </c>
      <c r="BP2883" s="1385"/>
      <c r="BV2883" s="236">
        <v>107.05</v>
      </c>
      <c r="BW2883" s="236" t="s">
        <v>331</v>
      </c>
      <c r="CB2883" s="340">
        <v>832.05</v>
      </c>
      <c r="CC2883" s="340" t="s">
        <v>355</v>
      </c>
      <c r="CL2883" s="236">
        <v>173</v>
      </c>
      <c r="CM2883" s="236" t="s">
        <v>331</v>
      </c>
      <c r="CR2883" s="340">
        <v>9604.02</v>
      </c>
      <c r="CS2883" s="340" t="s">
        <v>315</v>
      </c>
      <c r="CT2883" s="1384"/>
      <c r="DF2883" s="340"/>
      <c r="DG2883" s="340"/>
      <c r="DV2883" s="340"/>
      <c r="DW2883" s="340"/>
      <c r="DX2883" s="1671"/>
    </row>
    <row r="2884" spans="38:128">
      <c r="AL2884" s="1037"/>
      <c r="AX2884" s="340">
        <v>832.07</v>
      </c>
      <c r="AY2884" s="340" t="s">
        <v>355</v>
      </c>
      <c r="BN2884" s="340">
        <v>9603.01</v>
      </c>
      <c r="BO2884" s="340" t="s">
        <v>310</v>
      </c>
      <c r="BP2884" s="1385"/>
      <c r="BV2884" s="236">
        <v>107.06</v>
      </c>
      <c r="BW2884" s="236" t="s">
        <v>331</v>
      </c>
      <c r="CB2884" s="340">
        <v>832.06</v>
      </c>
      <c r="CC2884" s="340" t="s">
        <v>355</v>
      </c>
      <c r="CL2884" s="236">
        <v>173.01</v>
      </c>
      <c r="CM2884" s="236" t="s">
        <v>338</v>
      </c>
      <c r="CR2884" s="340">
        <v>9604.02</v>
      </c>
      <c r="CS2884" s="340" t="s">
        <v>317</v>
      </c>
      <c r="CT2884" s="1384"/>
      <c r="DF2884" s="340"/>
      <c r="DG2884" s="340"/>
      <c r="DV2884" s="340"/>
      <c r="DW2884" s="340"/>
      <c r="DX2884" s="1671"/>
    </row>
    <row r="2885" spans="38:128">
      <c r="AL2885" s="1037"/>
      <c r="AX2885" s="340">
        <v>832.09</v>
      </c>
      <c r="AY2885" s="340" t="s">
        <v>355</v>
      </c>
      <c r="BN2885" s="340">
        <v>9603.02</v>
      </c>
      <c r="BO2885" s="340" t="s">
        <v>310</v>
      </c>
      <c r="BP2885" s="1385"/>
      <c r="BV2885" s="236">
        <v>107.07</v>
      </c>
      <c r="BW2885" s="236" t="s">
        <v>331</v>
      </c>
      <c r="CB2885" s="340">
        <v>832.07</v>
      </c>
      <c r="CC2885" s="340" t="s">
        <v>355</v>
      </c>
      <c r="CL2885" s="236">
        <v>173.02</v>
      </c>
      <c r="CM2885" s="236" t="s">
        <v>338</v>
      </c>
      <c r="CR2885" s="340">
        <v>9605.0300000000007</v>
      </c>
      <c r="CS2885" s="340" t="s">
        <v>315</v>
      </c>
      <c r="CT2885" s="1384"/>
      <c r="DF2885" s="340"/>
      <c r="DG2885" s="340"/>
      <c r="DV2885" s="340"/>
      <c r="DW2885" s="340"/>
      <c r="DX2885" s="1671"/>
    </row>
    <row r="2886" spans="38:128">
      <c r="AL2886" s="1037"/>
      <c r="AX2886" s="340">
        <v>832.1</v>
      </c>
      <c r="AY2886" s="340" t="s">
        <v>355</v>
      </c>
      <c r="BN2886" s="340">
        <v>9604.02</v>
      </c>
      <c r="BO2886" s="340" t="s">
        <v>315</v>
      </c>
      <c r="BP2886" s="1385"/>
      <c r="BV2886" s="236">
        <v>107.08</v>
      </c>
      <c r="BW2886" s="236" t="s">
        <v>331</v>
      </c>
      <c r="CB2886" s="340">
        <v>832.09</v>
      </c>
      <c r="CC2886" s="340" t="s">
        <v>355</v>
      </c>
      <c r="CL2886" s="236">
        <v>174</v>
      </c>
      <c r="CM2886" s="236" t="s">
        <v>302</v>
      </c>
      <c r="CR2886" s="340">
        <v>9606.01</v>
      </c>
      <c r="CS2886" s="340" t="s">
        <v>315</v>
      </c>
      <c r="CT2886" s="1384"/>
      <c r="DF2886" s="340"/>
      <c r="DG2886" s="340"/>
      <c r="DV2886" s="340"/>
      <c r="DW2886" s="340"/>
      <c r="DX2886" s="1671"/>
    </row>
    <row r="2887" spans="38:128">
      <c r="AL2887" s="1037"/>
      <c r="AX2887" s="340">
        <v>832.11</v>
      </c>
      <c r="AY2887" s="340" t="s">
        <v>355</v>
      </c>
      <c r="BN2887" s="340">
        <v>9604.02</v>
      </c>
      <c r="BO2887" s="340" t="s">
        <v>317</v>
      </c>
      <c r="BP2887" s="1385"/>
      <c r="BV2887" s="236">
        <v>107.09</v>
      </c>
      <c r="BW2887" s="236" t="s">
        <v>331</v>
      </c>
      <c r="CB2887" s="340">
        <v>832.1</v>
      </c>
      <c r="CC2887" s="340" t="s">
        <v>355</v>
      </c>
      <c r="CL2887" s="236">
        <v>174.01</v>
      </c>
      <c r="CM2887" s="236" t="s">
        <v>331</v>
      </c>
      <c r="CR2887" s="340">
        <v>9606.02</v>
      </c>
      <c r="CS2887" s="340" t="s">
        <v>315</v>
      </c>
      <c r="CT2887" s="1384"/>
      <c r="DF2887" s="340"/>
      <c r="DG2887" s="340"/>
      <c r="DV2887" s="340"/>
      <c r="DW2887" s="340"/>
      <c r="DX2887" s="1671"/>
    </row>
    <row r="2888" spans="38:128">
      <c r="AL2888" s="1037"/>
      <c r="AX2888" s="340">
        <v>901.01</v>
      </c>
      <c r="AY2888" s="340" t="s">
        <v>355</v>
      </c>
      <c r="BN2888" s="340">
        <v>9604.0300000000007</v>
      </c>
      <c r="BO2888" s="340" t="s">
        <v>317</v>
      </c>
      <c r="BP2888" s="1385"/>
      <c r="BV2888" s="236">
        <v>107.1</v>
      </c>
      <c r="BW2888" s="236" t="s">
        <v>331</v>
      </c>
      <c r="CB2888" s="340">
        <v>832.11</v>
      </c>
      <c r="CC2888" s="340" t="s">
        <v>355</v>
      </c>
      <c r="CL2888" s="236">
        <v>174.01</v>
      </c>
      <c r="CM2888" s="236" t="s">
        <v>338</v>
      </c>
      <c r="CR2888" s="340">
        <v>9607</v>
      </c>
      <c r="CS2888" s="340" t="s">
        <v>315</v>
      </c>
      <c r="CT2888" s="1384"/>
      <c r="DF2888" s="340"/>
      <c r="DG2888" s="340"/>
      <c r="DV2888" s="340"/>
      <c r="DW2888" s="340"/>
      <c r="DX2888" s="1671"/>
    </row>
    <row r="2889" spans="38:128">
      <c r="AL2889" s="1037"/>
      <c r="AX2889" s="340">
        <v>901.02</v>
      </c>
      <c r="AY2889" s="340" t="s">
        <v>355</v>
      </c>
      <c r="BN2889" s="340">
        <v>9605.0300000000007</v>
      </c>
      <c r="BO2889" s="340" t="s">
        <v>315</v>
      </c>
      <c r="BP2889" s="1385"/>
      <c r="BV2889" s="236">
        <v>108.03</v>
      </c>
      <c r="BW2889" s="236" t="s">
        <v>331</v>
      </c>
      <c r="CB2889" s="340">
        <v>901.01</v>
      </c>
      <c r="CC2889" s="340" t="s">
        <v>355</v>
      </c>
      <c r="CL2889" s="236">
        <v>174.02</v>
      </c>
      <c r="CM2889" s="236" t="s">
        <v>331</v>
      </c>
      <c r="CR2889" s="340">
        <v>9610</v>
      </c>
      <c r="CS2889" s="340" t="s">
        <v>315</v>
      </c>
      <c r="CT2889" s="1384"/>
      <c r="DF2889" s="340"/>
      <c r="DG2889" s="340"/>
      <c r="DV2889" s="340"/>
      <c r="DW2889" s="340"/>
      <c r="DX2889" s="1671"/>
    </row>
    <row r="2890" spans="38:128">
      <c r="AL2890" s="1037"/>
      <c r="AX2890" s="340">
        <v>902.02</v>
      </c>
      <c r="AY2890" s="340" t="s">
        <v>355</v>
      </c>
      <c r="BN2890" s="340">
        <v>9605.0400000000009</v>
      </c>
      <c r="BO2890" s="340" t="s">
        <v>315</v>
      </c>
      <c r="BP2890" s="1385"/>
      <c r="BV2890" s="236">
        <v>108.04</v>
      </c>
      <c r="BW2890" s="236" t="s">
        <v>331</v>
      </c>
      <c r="CB2890" s="340">
        <v>901.02</v>
      </c>
      <c r="CC2890" s="340" t="s">
        <v>355</v>
      </c>
      <c r="CL2890" s="236">
        <v>174.02</v>
      </c>
      <c r="CM2890" s="236" t="s">
        <v>338</v>
      </c>
      <c r="CR2890" s="340">
        <v>9613.01</v>
      </c>
      <c r="CS2890" s="340" t="s">
        <v>315</v>
      </c>
      <c r="CT2890" s="1384"/>
      <c r="DF2890" s="340"/>
      <c r="DG2890" s="340"/>
      <c r="DV2890" s="340"/>
      <c r="DW2890" s="340"/>
      <c r="DX2890" s="1671"/>
    </row>
    <row r="2891" spans="38:128">
      <c r="AL2891" s="1037"/>
      <c r="AX2891" s="340">
        <v>902.04</v>
      </c>
      <c r="AY2891" s="340" t="s">
        <v>355</v>
      </c>
      <c r="BN2891" s="340">
        <v>9606.01</v>
      </c>
      <c r="BO2891" s="340" t="s">
        <v>315</v>
      </c>
      <c r="BP2891" s="1385"/>
      <c r="BV2891" s="236">
        <v>108.05</v>
      </c>
      <c r="BW2891" s="236" t="s">
        <v>331</v>
      </c>
      <c r="CB2891" s="340">
        <v>902.04</v>
      </c>
      <c r="CC2891" s="340" t="s">
        <v>355</v>
      </c>
      <c r="CL2891" s="236">
        <v>175</v>
      </c>
      <c r="CM2891" s="236" t="s">
        <v>331</v>
      </c>
      <c r="CR2891" s="340">
        <v>9613.0400000000009</v>
      </c>
      <c r="CS2891" s="340" t="s">
        <v>315</v>
      </c>
      <c r="CT2891" s="1384"/>
      <c r="DF2891" s="340"/>
      <c r="DG2891" s="340"/>
      <c r="DV2891" s="340"/>
      <c r="DW2891" s="340"/>
      <c r="DX2891" s="1671"/>
    </row>
    <row r="2892" spans="38:128">
      <c r="AL2892" s="1037"/>
      <c r="AX2892" s="340">
        <v>903.04</v>
      </c>
      <c r="AY2892" s="340" t="s">
        <v>355</v>
      </c>
      <c r="BN2892" s="340">
        <v>9606.02</v>
      </c>
      <c r="BO2892" s="340" t="s">
        <v>315</v>
      </c>
      <c r="BP2892" s="1385"/>
      <c r="BV2892" s="236">
        <v>108.06</v>
      </c>
      <c r="BW2892" s="236" t="s">
        <v>331</v>
      </c>
      <c r="CB2892" s="340">
        <v>903.04</v>
      </c>
      <c r="CC2892" s="340" t="s">
        <v>355</v>
      </c>
      <c r="CL2892" s="236">
        <v>175.03</v>
      </c>
      <c r="CM2892" s="236" t="s">
        <v>338</v>
      </c>
      <c r="CR2892" s="340">
        <v>9614.01</v>
      </c>
      <c r="CS2892" s="340" t="s">
        <v>315</v>
      </c>
      <c r="CT2892" s="1384"/>
      <c r="DF2892" s="340"/>
      <c r="DG2892" s="340"/>
      <c r="DV2892" s="340"/>
      <c r="DW2892" s="340"/>
      <c r="DX2892" s="1671"/>
    </row>
    <row r="2893" spans="38:128">
      <c r="AL2893" s="1037"/>
      <c r="AX2893" s="340">
        <v>903.05</v>
      </c>
      <c r="AY2893" s="340" t="s">
        <v>355</v>
      </c>
      <c r="BN2893" s="340">
        <v>9607</v>
      </c>
      <c r="BO2893" s="340" t="s">
        <v>315</v>
      </c>
      <c r="BP2893" s="1385"/>
      <c r="BV2893" s="236">
        <v>109</v>
      </c>
      <c r="BW2893" s="236" t="s">
        <v>331</v>
      </c>
      <c r="CB2893" s="340">
        <v>903.05</v>
      </c>
      <c r="CC2893" s="340" t="s">
        <v>355</v>
      </c>
      <c r="CL2893" s="236">
        <v>175.04</v>
      </c>
      <c r="CM2893" s="236" t="s">
        <v>338</v>
      </c>
      <c r="CR2893" s="340">
        <v>9615</v>
      </c>
      <c r="CS2893" s="340" t="s">
        <v>315</v>
      </c>
      <c r="CT2893" s="1384"/>
      <c r="DF2893" s="340"/>
      <c r="DG2893" s="340"/>
      <c r="DV2893" s="340"/>
      <c r="DW2893" s="340"/>
      <c r="DX2893" s="1671"/>
    </row>
    <row r="2894" spans="38:128">
      <c r="AL2894" s="1037"/>
      <c r="AX2894" s="340">
        <v>903.06</v>
      </c>
      <c r="AY2894" s="340" t="s">
        <v>355</v>
      </c>
      <c r="BN2894" s="340">
        <v>9610</v>
      </c>
      <c r="BO2894" s="340" t="s">
        <v>315</v>
      </c>
      <c r="BP2894" s="1385"/>
      <c r="BV2894" s="236">
        <v>110.03</v>
      </c>
      <c r="BW2894" s="236" t="s">
        <v>331</v>
      </c>
      <c r="CB2894" s="340">
        <v>903.06</v>
      </c>
      <c r="CC2894" s="340" t="s">
        <v>355</v>
      </c>
      <c r="CL2894" s="236">
        <v>175.05</v>
      </c>
      <c r="CM2894" s="236" t="s">
        <v>338</v>
      </c>
      <c r="CR2894" s="340">
        <v>9616.01</v>
      </c>
      <c r="CS2894" s="340" t="s">
        <v>315</v>
      </c>
      <c r="CT2894" s="1384"/>
      <c r="DF2894" s="340"/>
      <c r="DG2894" s="340"/>
      <c r="DV2894" s="340"/>
      <c r="DW2894" s="340"/>
      <c r="DX2894" s="1671"/>
    </row>
    <row r="2895" spans="38:128">
      <c r="AL2895" s="1037"/>
      <c r="AX2895" s="340">
        <v>904.01</v>
      </c>
      <c r="AY2895" s="340" t="s">
        <v>355</v>
      </c>
      <c r="BN2895" s="340">
        <v>9613.01</v>
      </c>
      <c r="BO2895" s="340" t="s">
        <v>315</v>
      </c>
      <c r="BP2895" s="1385"/>
      <c r="BV2895" s="236">
        <v>110.08</v>
      </c>
      <c r="BW2895" s="236" t="s">
        <v>331</v>
      </c>
      <c r="CB2895" s="340">
        <v>903.07</v>
      </c>
      <c r="CC2895" s="340" t="s">
        <v>355</v>
      </c>
      <c r="CL2895" s="236">
        <v>175.06</v>
      </c>
      <c r="CM2895" s="236" t="s">
        <v>338</v>
      </c>
      <c r="CR2895" s="340">
        <v>9616.02</v>
      </c>
      <c r="CS2895" s="340" t="s">
        <v>315</v>
      </c>
      <c r="CT2895" s="1384"/>
      <c r="DF2895" s="340"/>
      <c r="DG2895" s="340"/>
      <c r="DV2895" s="340"/>
      <c r="DW2895" s="340"/>
      <c r="DX2895" s="1671"/>
    </row>
    <row r="2896" spans="38:128">
      <c r="AL2896" s="1037"/>
      <c r="AX2896" s="340">
        <v>904.02</v>
      </c>
      <c r="AY2896" s="340" t="s">
        <v>355</v>
      </c>
      <c r="BN2896" s="340">
        <v>9613.0400000000009</v>
      </c>
      <c r="BO2896" s="340" t="s">
        <v>315</v>
      </c>
      <c r="BP2896" s="1385"/>
      <c r="BV2896" s="236">
        <v>110.09</v>
      </c>
      <c r="BW2896" s="236" t="s">
        <v>331</v>
      </c>
      <c r="CB2896" s="340">
        <v>904.01</v>
      </c>
      <c r="CC2896" s="340" t="s">
        <v>355</v>
      </c>
      <c r="CL2896" s="236">
        <v>176</v>
      </c>
      <c r="CM2896" s="236" t="s">
        <v>331</v>
      </c>
      <c r="CR2896" s="340">
        <v>9616.0400000000009</v>
      </c>
      <c r="CS2896" s="340" t="s">
        <v>315</v>
      </c>
      <c r="CT2896" s="1384"/>
      <c r="DF2896" s="340"/>
      <c r="DG2896" s="340"/>
      <c r="DV2896" s="340"/>
      <c r="DW2896" s="340"/>
      <c r="DX2896" s="1671"/>
    </row>
    <row r="2897" spans="38:128">
      <c r="AL2897" s="1037"/>
      <c r="AX2897" s="340">
        <v>906</v>
      </c>
      <c r="AY2897" s="340" t="s">
        <v>355</v>
      </c>
      <c r="BN2897" s="340">
        <v>9614.01</v>
      </c>
      <c r="BO2897" s="340" t="s">
        <v>315</v>
      </c>
      <c r="BP2897" s="1385"/>
      <c r="BV2897" s="236">
        <v>110.1</v>
      </c>
      <c r="BW2897" s="236" t="s">
        <v>331</v>
      </c>
      <c r="CB2897" s="340">
        <v>904.02</v>
      </c>
      <c r="CC2897" s="340" t="s">
        <v>355</v>
      </c>
      <c r="CL2897" s="236">
        <v>176</v>
      </c>
      <c r="CM2897" s="236" t="s">
        <v>338</v>
      </c>
      <c r="CR2897" s="340">
        <v>9616.0499999999993</v>
      </c>
      <c r="CS2897" s="340" t="s">
        <v>315</v>
      </c>
      <c r="CT2897" s="1384"/>
      <c r="DF2897" s="340"/>
      <c r="DG2897" s="340"/>
      <c r="DV2897" s="340"/>
      <c r="DW2897" s="340"/>
      <c r="DX2897" s="1671"/>
    </row>
    <row r="2898" spans="38:128">
      <c r="AL2898" s="1037"/>
      <c r="AX2898" s="340">
        <v>907.01</v>
      </c>
      <c r="AY2898" s="340" t="s">
        <v>355</v>
      </c>
      <c r="BN2898" s="340">
        <v>9615</v>
      </c>
      <c r="BO2898" s="340" t="s">
        <v>315</v>
      </c>
      <c r="BP2898" s="1385"/>
      <c r="BV2898" s="236">
        <v>110.11</v>
      </c>
      <c r="BW2898" s="236" t="s">
        <v>331</v>
      </c>
      <c r="CB2898" s="340">
        <v>905</v>
      </c>
      <c r="CC2898" s="340" t="s">
        <v>355</v>
      </c>
      <c r="CL2898" s="236">
        <v>177</v>
      </c>
      <c r="CM2898" s="236" t="s">
        <v>331</v>
      </c>
      <c r="CR2898" s="340">
        <v>9701</v>
      </c>
      <c r="CS2898" s="340" t="s">
        <v>352</v>
      </c>
      <c r="CT2898" s="1384"/>
      <c r="DF2898" s="340"/>
      <c r="DG2898" s="340"/>
      <c r="DV2898" s="340"/>
      <c r="DW2898" s="340"/>
      <c r="DX2898" s="1671"/>
    </row>
    <row r="2899" spans="38:128">
      <c r="AL2899" s="1037"/>
      <c r="AX2899" s="340">
        <v>908.03</v>
      </c>
      <c r="AY2899" s="340" t="s">
        <v>355</v>
      </c>
      <c r="BN2899" s="340">
        <v>9616.01</v>
      </c>
      <c r="BO2899" s="340" t="s">
        <v>315</v>
      </c>
      <c r="BP2899" s="1385"/>
      <c r="BV2899" s="236">
        <v>110.12</v>
      </c>
      <c r="BW2899" s="236" t="s">
        <v>331</v>
      </c>
      <c r="CB2899" s="340">
        <v>906</v>
      </c>
      <c r="CC2899" s="340" t="s">
        <v>355</v>
      </c>
      <c r="CL2899" s="236">
        <v>177.01</v>
      </c>
      <c r="CM2899" s="236" t="s">
        <v>338</v>
      </c>
      <c r="CR2899" s="340">
        <v>9701.01</v>
      </c>
      <c r="CS2899" s="340" t="s">
        <v>301</v>
      </c>
      <c r="CT2899" s="1384"/>
      <c r="DF2899" s="340"/>
      <c r="DG2899" s="340"/>
      <c r="DV2899" s="340"/>
      <c r="DW2899" s="340"/>
      <c r="DX2899" s="1671"/>
    </row>
    <row r="2900" spans="38:128">
      <c r="AL2900" s="1037"/>
      <c r="AX2900" s="340">
        <v>908.06</v>
      </c>
      <c r="AY2900" s="340" t="s">
        <v>355</v>
      </c>
      <c r="BN2900" s="340">
        <v>9616.02</v>
      </c>
      <c r="BO2900" s="340" t="s">
        <v>315</v>
      </c>
      <c r="BP2900" s="1385"/>
      <c r="BV2900" s="236">
        <v>110.13</v>
      </c>
      <c r="BW2900" s="236" t="s">
        <v>331</v>
      </c>
      <c r="CB2900" s="340">
        <v>907.02</v>
      </c>
      <c r="CC2900" s="340" t="s">
        <v>355</v>
      </c>
      <c r="CL2900" s="236">
        <v>177.02</v>
      </c>
      <c r="CM2900" s="236" t="s">
        <v>338</v>
      </c>
      <c r="CR2900" s="340">
        <v>9701.01</v>
      </c>
      <c r="CS2900" s="340" t="s">
        <v>325</v>
      </c>
      <c r="CT2900" s="1384"/>
      <c r="DF2900" s="340"/>
      <c r="DG2900" s="340"/>
      <c r="DV2900" s="340"/>
      <c r="DW2900" s="340"/>
      <c r="DX2900" s="1671"/>
    </row>
    <row r="2901" spans="38:128">
      <c r="AL2901" s="1037"/>
      <c r="AX2901" s="340">
        <v>908.07</v>
      </c>
      <c r="AY2901" s="340" t="s">
        <v>355</v>
      </c>
      <c r="BN2901" s="340">
        <v>9616.0499999999993</v>
      </c>
      <c r="BO2901" s="340" t="s">
        <v>315</v>
      </c>
      <c r="BP2901" s="1385"/>
      <c r="BV2901" s="236">
        <v>110.14</v>
      </c>
      <c r="BW2901" s="236" t="s">
        <v>331</v>
      </c>
      <c r="CB2901" s="340">
        <v>908.03</v>
      </c>
      <c r="CC2901" s="340" t="s">
        <v>355</v>
      </c>
      <c r="CL2901" s="236">
        <v>177.03</v>
      </c>
      <c r="CM2901" s="236" t="s">
        <v>338</v>
      </c>
      <c r="CR2901" s="340">
        <v>9701.02</v>
      </c>
      <c r="CS2901" s="340" t="s">
        <v>306</v>
      </c>
      <c r="CT2901" s="1384"/>
      <c r="DF2901" s="340"/>
      <c r="DG2901" s="340"/>
      <c r="DV2901" s="340"/>
      <c r="DW2901" s="340"/>
      <c r="DX2901" s="1671"/>
    </row>
    <row r="2902" spans="38:128">
      <c r="AL2902" s="1037"/>
      <c r="AX2902" s="340">
        <v>908.08</v>
      </c>
      <c r="AY2902" s="340" t="s">
        <v>355</v>
      </c>
      <c r="BN2902" s="340">
        <v>9701</v>
      </c>
      <c r="BO2902" s="340" t="s">
        <v>352</v>
      </c>
      <c r="BP2902" s="1385"/>
      <c r="BV2902" s="236">
        <v>110.15</v>
      </c>
      <c r="BW2902" s="236" t="s">
        <v>331</v>
      </c>
      <c r="CB2902" s="340">
        <v>908.08</v>
      </c>
      <c r="CC2902" s="340" t="s">
        <v>355</v>
      </c>
      <c r="CL2902" s="236">
        <v>178</v>
      </c>
      <c r="CM2902" s="236" t="s">
        <v>331</v>
      </c>
      <c r="CR2902" s="340">
        <v>9701.02</v>
      </c>
      <c r="CS2902" s="340" t="s">
        <v>358</v>
      </c>
      <c r="CT2902" s="1384"/>
      <c r="DF2902" s="340"/>
      <c r="DG2902" s="340"/>
      <c r="DV2902" s="340"/>
      <c r="DW2902" s="340"/>
      <c r="DX2902" s="1671"/>
    </row>
    <row r="2903" spans="38:128">
      <c r="AL2903" s="1037"/>
      <c r="AX2903" s="340">
        <v>909.03</v>
      </c>
      <c r="AY2903" s="340" t="s">
        <v>355</v>
      </c>
      <c r="BN2903" s="340">
        <v>9701.01</v>
      </c>
      <c r="BO2903" s="340" t="s">
        <v>301</v>
      </c>
      <c r="BP2903" s="1385"/>
      <c r="BV2903" s="236">
        <v>111.03</v>
      </c>
      <c r="BW2903" s="236" t="s">
        <v>331</v>
      </c>
      <c r="CB2903" s="340">
        <v>909.03</v>
      </c>
      <c r="CC2903" s="340" t="s">
        <v>355</v>
      </c>
      <c r="CL2903" s="236">
        <v>178.05</v>
      </c>
      <c r="CM2903" s="236" t="s">
        <v>338</v>
      </c>
      <c r="CR2903" s="340">
        <v>9701.0300000000007</v>
      </c>
      <c r="CS2903" s="340" t="s">
        <v>325</v>
      </c>
      <c r="CT2903" s="1384"/>
      <c r="DF2903" s="340"/>
      <c r="DG2903" s="340"/>
      <c r="DV2903" s="340"/>
      <c r="DW2903" s="340"/>
      <c r="DX2903" s="1671"/>
    </row>
    <row r="2904" spans="38:128">
      <c r="AL2904" s="1037"/>
      <c r="AX2904" s="340">
        <v>909.04</v>
      </c>
      <c r="AY2904" s="340" t="s">
        <v>355</v>
      </c>
      <c r="BN2904" s="340">
        <v>9701.01</v>
      </c>
      <c r="BO2904" s="340" t="s">
        <v>325</v>
      </c>
      <c r="BP2904" s="1385"/>
      <c r="BV2904" s="236">
        <v>111.04</v>
      </c>
      <c r="BW2904" s="236" t="s">
        <v>331</v>
      </c>
      <c r="CB2904" s="340">
        <v>909.04</v>
      </c>
      <c r="CC2904" s="340" t="s">
        <v>355</v>
      </c>
      <c r="CL2904" s="236">
        <v>178.06</v>
      </c>
      <c r="CM2904" s="236" t="s">
        <v>338</v>
      </c>
      <c r="CR2904" s="340">
        <v>9701.0300000000007</v>
      </c>
      <c r="CS2904" s="340" t="s">
        <v>358</v>
      </c>
      <c r="CT2904" s="1384"/>
      <c r="DF2904" s="340"/>
      <c r="DG2904" s="340"/>
      <c r="DV2904" s="340"/>
      <c r="DW2904" s="340"/>
      <c r="DX2904" s="1671"/>
    </row>
    <row r="2905" spans="38:128">
      <c r="AL2905" s="1037"/>
      <c r="AX2905" s="340">
        <v>909.05</v>
      </c>
      <c r="AY2905" s="340" t="s">
        <v>355</v>
      </c>
      <c r="BN2905" s="340">
        <v>9701.02</v>
      </c>
      <c r="BO2905" s="340" t="s">
        <v>306</v>
      </c>
      <c r="BP2905" s="1385"/>
      <c r="BV2905" s="236">
        <v>111.05</v>
      </c>
      <c r="BW2905" s="236" t="s">
        <v>331</v>
      </c>
      <c r="CB2905" s="340">
        <v>909.05</v>
      </c>
      <c r="CC2905" s="340" t="s">
        <v>355</v>
      </c>
      <c r="CL2905" s="236">
        <v>178.07</v>
      </c>
      <c r="CM2905" s="236" t="s">
        <v>338</v>
      </c>
      <c r="CR2905" s="340">
        <v>9701.0400000000009</v>
      </c>
      <c r="CS2905" s="340" t="s">
        <v>358</v>
      </c>
      <c r="CT2905" s="1384"/>
      <c r="DF2905" s="340"/>
      <c r="DG2905" s="340"/>
      <c r="DV2905" s="340"/>
      <c r="DW2905" s="340"/>
      <c r="DX2905" s="1671"/>
    </row>
    <row r="2906" spans="38:128">
      <c r="AL2906" s="1037"/>
      <c r="AX2906" s="340">
        <v>909.06</v>
      </c>
      <c r="AY2906" s="340" t="s">
        <v>355</v>
      </c>
      <c r="BN2906" s="340">
        <v>9701.02</v>
      </c>
      <c r="BO2906" s="340" t="s">
        <v>358</v>
      </c>
      <c r="BP2906" s="1385"/>
      <c r="BV2906" s="236">
        <v>111.06</v>
      </c>
      <c r="BW2906" s="236" t="s">
        <v>331</v>
      </c>
      <c r="CB2906" s="340">
        <v>909.06</v>
      </c>
      <c r="CC2906" s="340" t="s">
        <v>355</v>
      </c>
      <c r="CL2906" s="236">
        <v>178.08</v>
      </c>
      <c r="CM2906" s="236" t="s">
        <v>338</v>
      </c>
      <c r="CR2906" s="340">
        <v>9702</v>
      </c>
      <c r="CS2906" s="340" t="s">
        <v>325</v>
      </c>
      <c r="CT2906" s="1384"/>
      <c r="DF2906" s="340"/>
      <c r="DG2906" s="340"/>
      <c r="DV2906" s="340"/>
      <c r="DW2906" s="340"/>
      <c r="DX2906" s="1671"/>
    </row>
    <row r="2907" spans="38:128">
      <c r="AL2907" s="1037"/>
      <c r="AX2907" s="340">
        <v>910.01</v>
      </c>
      <c r="AY2907" s="340" t="s">
        <v>355</v>
      </c>
      <c r="BN2907" s="340">
        <v>9701.0300000000007</v>
      </c>
      <c r="BO2907" s="340" t="s">
        <v>301</v>
      </c>
      <c r="BP2907" s="1385"/>
      <c r="BV2907" s="236">
        <v>112.03</v>
      </c>
      <c r="BW2907" s="236" t="s">
        <v>331</v>
      </c>
      <c r="CB2907" s="340">
        <v>910.01</v>
      </c>
      <c r="CC2907" s="340" t="s">
        <v>355</v>
      </c>
      <c r="CL2907" s="236">
        <v>178.09</v>
      </c>
      <c r="CM2907" s="236" t="s">
        <v>338</v>
      </c>
      <c r="CR2907" s="340">
        <v>9702</v>
      </c>
      <c r="CS2907" s="340" t="s">
        <v>352</v>
      </c>
      <c r="CT2907" s="1384"/>
      <c r="DF2907" s="340"/>
      <c r="DG2907" s="340"/>
      <c r="DV2907" s="340"/>
      <c r="DW2907" s="340"/>
      <c r="DX2907" s="1671"/>
    </row>
    <row r="2908" spans="38:128">
      <c r="AL2908" s="1037"/>
      <c r="AX2908" s="340">
        <v>910.05</v>
      </c>
      <c r="AY2908" s="340" t="s">
        <v>355</v>
      </c>
      <c r="BN2908" s="340">
        <v>9701.0300000000007</v>
      </c>
      <c r="BO2908" s="340" t="s">
        <v>325</v>
      </c>
      <c r="BP2908" s="1385"/>
      <c r="BV2908" s="236">
        <v>112.04</v>
      </c>
      <c r="BW2908" s="236" t="s">
        <v>331</v>
      </c>
      <c r="CB2908" s="340">
        <v>910.05</v>
      </c>
      <c r="CC2908" s="340" t="s">
        <v>355</v>
      </c>
      <c r="CL2908" s="236">
        <v>178.1</v>
      </c>
      <c r="CM2908" s="236" t="s">
        <v>338</v>
      </c>
      <c r="CR2908" s="340">
        <v>9702.01</v>
      </c>
      <c r="CS2908" s="340" t="s">
        <v>301</v>
      </c>
      <c r="CT2908" s="1384"/>
      <c r="DF2908" s="340"/>
      <c r="DG2908" s="340"/>
      <c r="DV2908" s="340"/>
      <c r="DW2908" s="340"/>
      <c r="DX2908" s="1671"/>
    </row>
    <row r="2909" spans="38:128">
      <c r="AL2909" s="1037"/>
      <c r="AX2909" s="340">
        <v>910.15</v>
      </c>
      <c r="AY2909" s="340" t="s">
        <v>355</v>
      </c>
      <c r="BN2909" s="340">
        <v>9701.0300000000007</v>
      </c>
      <c r="BO2909" s="340" t="s">
        <v>358</v>
      </c>
      <c r="BP2909" s="1385"/>
      <c r="BV2909" s="236">
        <v>112.05</v>
      </c>
      <c r="BW2909" s="236" t="s">
        <v>331</v>
      </c>
      <c r="CB2909" s="340">
        <v>910.15</v>
      </c>
      <c r="CC2909" s="340" t="s">
        <v>355</v>
      </c>
      <c r="CL2909" s="236">
        <v>178.11</v>
      </c>
      <c r="CM2909" s="236" t="s">
        <v>338</v>
      </c>
      <c r="CR2909" s="340">
        <v>9702.02</v>
      </c>
      <c r="CS2909" s="340" t="s">
        <v>301</v>
      </c>
      <c r="CT2909" s="1384"/>
      <c r="DF2909" s="340"/>
      <c r="DG2909" s="340"/>
      <c r="DV2909" s="340"/>
      <c r="DW2909" s="340"/>
      <c r="DX2909" s="1671"/>
    </row>
    <row r="2910" spans="38:128">
      <c r="AL2910" s="1037"/>
      <c r="AX2910" s="340">
        <v>910.16</v>
      </c>
      <c r="AY2910" s="340" t="s">
        <v>355</v>
      </c>
      <c r="BN2910" s="340">
        <v>9701.0400000000009</v>
      </c>
      <c r="BO2910" s="340" t="s">
        <v>301</v>
      </c>
      <c r="BP2910" s="1385"/>
      <c r="BV2910" s="236">
        <v>112.06</v>
      </c>
      <c r="BW2910" s="236" t="s">
        <v>331</v>
      </c>
      <c r="CB2910" s="340">
        <v>910.16</v>
      </c>
      <c r="CC2910" s="340" t="s">
        <v>355</v>
      </c>
      <c r="CL2910" s="236">
        <v>178.12</v>
      </c>
      <c r="CM2910" s="236" t="s">
        <v>338</v>
      </c>
      <c r="CR2910" s="340">
        <v>9702.02</v>
      </c>
      <c r="CS2910" s="340" t="s">
        <v>312</v>
      </c>
      <c r="CT2910" s="1384"/>
      <c r="DF2910" s="340"/>
      <c r="DG2910" s="340"/>
      <c r="DV2910" s="340"/>
      <c r="DW2910" s="340"/>
      <c r="DX2910" s="1671"/>
    </row>
    <row r="2911" spans="38:128">
      <c r="AL2911" s="1037"/>
      <c r="AX2911" s="340">
        <v>910.17</v>
      </c>
      <c r="AY2911" s="340" t="s">
        <v>355</v>
      </c>
      <c r="BN2911" s="340">
        <v>9701.0400000000009</v>
      </c>
      <c r="BO2911" s="340" t="s">
        <v>358</v>
      </c>
      <c r="BP2911" s="1385"/>
      <c r="BV2911" s="236">
        <v>113.01</v>
      </c>
      <c r="BW2911" s="236" t="s">
        <v>331</v>
      </c>
      <c r="CB2911" s="340">
        <v>910.17</v>
      </c>
      <c r="CC2911" s="340" t="s">
        <v>355</v>
      </c>
      <c r="CL2911" s="236">
        <v>178.13</v>
      </c>
      <c r="CM2911" s="236" t="s">
        <v>338</v>
      </c>
      <c r="CR2911" s="340">
        <v>9703.01</v>
      </c>
      <c r="CS2911" s="340" t="s">
        <v>312</v>
      </c>
      <c r="CT2911" s="1384"/>
      <c r="DF2911" s="340"/>
      <c r="DG2911" s="340"/>
      <c r="DV2911" s="340"/>
      <c r="DW2911" s="340"/>
      <c r="DX2911" s="1671"/>
    </row>
    <row r="2912" spans="38:128">
      <c r="AL2912" s="1037"/>
      <c r="AX2912" s="340">
        <v>910.18</v>
      </c>
      <c r="AY2912" s="340" t="s">
        <v>355</v>
      </c>
      <c r="BN2912" s="340">
        <v>9702</v>
      </c>
      <c r="BO2912" s="340" t="s">
        <v>325</v>
      </c>
      <c r="BP2912" s="1385"/>
      <c r="BV2912" s="236">
        <v>113.02</v>
      </c>
      <c r="BW2912" s="236" t="s">
        <v>331</v>
      </c>
      <c r="CB2912" s="340">
        <v>910.19</v>
      </c>
      <c r="CC2912" s="340" t="s">
        <v>355</v>
      </c>
      <c r="CL2912" s="236">
        <v>178.14</v>
      </c>
      <c r="CM2912" s="236" t="s">
        <v>338</v>
      </c>
      <c r="CR2912" s="340">
        <v>9703.01</v>
      </c>
      <c r="CS2912" s="340" t="s">
        <v>325</v>
      </c>
      <c r="CT2912" s="1384"/>
      <c r="DF2912" s="340"/>
      <c r="DG2912" s="340"/>
      <c r="DV2912" s="340"/>
      <c r="DW2912" s="340"/>
      <c r="DX2912" s="1671"/>
    </row>
    <row r="2913" spans="38:128">
      <c r="AL2913" s="1037"/>
      <c r="AX2913" s="340">
        <v>910.19</v>
      </c>
      <c r="AY2913" s="340" t="s">
        <v>355</v>
      </c>
      <c r="BN2913" s="340">
        <v>9702</v>
      </c>
      <c r="BO2913" s="340" t="s">
        <v>352</v>
      </c>
      <c r="BP2913" s="1385"/>
      <c r="BV2913" s="236">
        <v>114.05</v>
      </c>
      <c r="BW2913" s="236" t="s">
        <v>331</v>
      </c>
      <c r="CB2913" s="340">
        <v>910.2</v>
      </c>
      <c r="CC2913" s="340" t="s">
        <v>355</v>
      </c>
      <c r="CL2913" s="236">
        <v>179.01</v>
      </c>
      <c r="CM2913" s="236" t="s">
        <v>331</v>
      </c>
      <c r="CR2913" s="340">
        <v>9703.01</v>
      </c>
      <c r="CS2913" s="340" t="s">
        <v>358</v>
      </c>
      <c r="CT2913" s="1384"/>
      <c r="DF2913" s="340"/>
      <c r="DG2913" s="340"/>
      <c r="DV2913" s="340"/>
      <c r="DW2913" s="340"/>
      <c r="DX2913" s="1671"/>
    </row>
    <row r="2914" spans="38:128">
      <c r="AL2914" s="1037"/>
      <c r="AX2914" s="340">
        <v>910.2</v>
      </c>
      <c r="AY2914" s="340" t="s">
        <v>355</v>
      </c>
      <c r="BN2914" s="340">
        <v>9702.01</v>
      </c>
      <c r="BO2914" s="340" t="s">
        <v>301</v>
      </c>
      <c r="BP2914" s="1385"/>
      <c r="BV2914" s="236">
        <v>114.06</v>
      </c>
      <c r="BW2914" s="236" t="s">
        <v>331</v>
      </c>
      <c r="CB2914" s="340">
        <v>910.21</v>
      </c>
      <c r="CC2914" s="340" t="s">
        <v>355</v>
      </c>
      <c r="CL2914" s="236">
        <v>179.01</v>
      </c>
      <c r="CM2914" s="236" t="s">
        <v>338</v>
      </c>
      <c r="CR2914" s="340">
        <v>9703.02</v>
      </c>
      <c r="CS2914" s="340" t="s">
        <v>358</v>
      </c>
      <c r="CT2914" s="1384"/>
      <c r="DF2914" s="340"/>
      <c r="DG2914" s="340"/>
      <c r="DV2914" s="340"/>
      <c r="DW2914" s="340"/>
      <c r="DX2914" s="1671"/>
    </row>
    <row r="2915" spans="38:128">
      <c r="AL2915" s="1037"/>
      <c r="AX2915" s="340">
        <v>910.21</v>
      </c>
      <c r="AY2915" s="340" t="s">
        <v>355</v>
      </c>
      <c r="BN2915" s="340">
        <v>9702.02</v>
      </c>
      <c r="BO2915" s="340" t="s">
        <v>301</v>
      </c>
      <c r="BP2915" s="1385"/>
      <c r="BV2915" s="236">
        <v>114.07</v>
      </c>
      <c r="BW2915" s="236" t="s">
        <v>331</v>
      </c>
      <c r="CB2915" s="340">
        <v>910.23</v>
      </c>
      <c r="CC2915" s="340" t="s">
        <v>355</v>
      </c>
      <c r="CL2915" s="236">
        <v>179.02</v>
      </c>
      <c r="CM2915" s="236" t="s">
        <v>331</v>
      </c>
      <c r="CR2915" s="340">
        <v>9703.0400000000009</v>
      </c>
      <c r="CS2915" s="340" t="s">
        <v>306</v>
      </c>
      <c r="CT2915" s="1384"/>
      <c r="DF2915" s="340"/>
      <c r="DG2915" s="340"/>
      <c r="DV2915" s="340"/>
      <c r="DW2915" s="340"/>
      <c r="DX2915" s="1671"/>
    </row>
    <row r="2916" spans="38:128">
      <c r="AL2916" s="1037"/>
      <c r="AX2916" s="340">
        <v>910.23</v>
      </c>
      <c r="AY2916" s="340" t="s">
        <v>355</v>
      </c>
      <c r="BN2916" s="340">
        <v>9702.02</v>
      </c>
      <c r="BO2916" s="340" t="s">
        <v>312</v>
      </c>
      <c r="BP2916" s="1385"/>
      <c r="BV2916" s="236">
        <v>114.08</v>
      </c>
      <c r="BW2916" s="236" t="s">
        <v>331</v>
      </c>
      <c r="CB2916" s="340">
        <v>910.25</v>
      </c>
      <c r="CC2916" s="340" t="s">
        <v>355</v>
      </c>
      <c r="CL2916" s="236">
        <v>179.02</v>
      </c>
      <c r="CM2916" s="236" t="s">
        <v>338</v>
      </c>
      <c r="CR2916" s="340">
        <v>9704</v>
      </c>
      <c r="CS2916" s="340" t="s">
        <v>325</v>
      </c>
      <c r="CT2916" s="1384"/>
      <c r="DF2916" s="340"/>
      <c r="DG2916" s="340"/>
      <c r="DV2916" s="340"/>
      <c r="DW2916" s="340"/>
      <c r="DX2916" s="1671"/>
    </row>
    <row r="2917" spans="38:128">
      <c r="AL2917" s="1037"/>
      <c r="AX2917" s="340">
        <v>910.25</v>
      </c>
      <c r="AY2917" s="340" t="s">
        <v>355</v>
      </c>
      <c r="BN2917" s="340">
        <v>9703.01</v>
      </c>
      <c r="BO2917" s="340" t="s">
        <v>312</v>
      </c>
      <c r="BP2917" s="1385"/>
      <c r="BV2917" s="236">
        <v>114.09</v>
      </c>
      <c r="BW2917" s="236" t="s">
        <v>331</v>
      </c>
      <c r="CB2917" s="340">
        <v>910.29</v>
      </c>
      <c r="CC2917" s="340" t="s">
        <v>355</v>
      </c>
      <c r="CL2917" s="236">
        <v>180</v>
      </c>
      <c r="CM2917" s="236" t="s">
        <v>338</v>
      </c>
      <c r="CR2917" s="340">
        <v>9704.01</v>
      </c>
      <c r="CS2917" s="340" t="s">
        <v>352</v>
      </c>
      <c r="CT2917" s="1384"/>
      <c r="DF2917" s="340"/>
      <c r="DG2917" s="340"/>
      <c r="DV2917" s="340"/>
      <c r="DW2917" s="340"/>
      <c r="DX2917" s="1671"/>
    </row>
    <row r="2918" spans="38:128">
      <c r="AL2918" s="1037"/>
      <c r="AX2918" s="340">
        <v>910.32</v>
      </c>
      <c r="AY2918" s="340" t="s">
        <v>355</v>
      </c>
      <c r="BN2918" s="340">
        <v>9703.01</v>
      </c>
      <c r="BO2918" s="340" t="s">
        <v>325</v>
      </c>
      <c r="BP2918" s="1385"/>
      <c r="BV2918" s="236">
        <v>114.1</v>
      </c>
      <c r="BW2918" s="236" t="s">
        <v>331</v>
      </c>
      <c r="CB2918" s="340">
        <v>910.32</v>
      </c>
      <c r="CC2918" s="340" t="s">
        <v>355</v>
      </c>
      <c r="CL2918" s="236">
        <v>180.01</v>
      </c>
      <c r="CM2918" s="236" t="s">
        <v>331</v>
      </c>
      <c r="CR2918" s="340">
        <v>9704.02</v>
      </c>
      <c r="CS2918" s="340" t="s">
        <v>312</v>
      </c>
      <c r="CT2918" s="1384"/>
      <c r="DF2918" s="340"/>
      <c r="DG2918" s="340"/>
      <c r="DV2918" s="340"/>
      <c r="DW2918" s="340"/>
      <c r="DX2918" s="1671"/>
    </row>
    <row r="2919" spans="38:128">
      <c r="AL2919" s="1037"/>
      <c r="AX2919" s="340">
        <v>910.33</v>
      </c>
      <c r="AY2919" s="340" t="s">
        <v>355</v>
      </c>
      <c r="BN2919" s="340">
        <v>9703.01</v>
      </c>
      <c r="BO2919" s="340" t="s">
        <v>358</v>
      </c>
      <c r="BP2919" s="1385"/>
      <c r="BV2919" s="236">
        <v>114.11</v>
      </c>
      <c r="BW2919" s="236" t="s">
        <v>331</v>
      </c>
      <c r="CB2919" s="340">
        <v>910.33</v>
      </c>
      <c r="CC2919" s="340" t="s">
        <v>355</v>
      </c>
      <c r="CL2919" s="236">
        <v>180.02</v>
      </c>
      <c r="CM2919" s="236" t="s">
        <v>331</v>
      </c>
      <c r="CR2919" s="340">
        <v>9704.02</v>
      </c>
      <c r="CS2919" s="340" t="s">
        <v>352</v>
      </c>
      <c r="CT2919" s="1384"/>
      <c r="DF2919" s="340"/>
      <c r="DG2919" s="340"/>
      <c r="DV2919" s="340"/>
      <c r="DW2919" s="340"/>
      <c r="DX2919" s="1671"/>
    </row>
    <row r="2920" spans="38:128">
      <c r="AL2920" s="1037"/>
      <c r="AX2920" s="340">
        <v>910.34</v>
      </c>
      <c r="AY2920" s="340" t="s">
        <v>355</v>
      </c>
      <c r="BN2920" s="340">
        <v>9703.02</v>
      </c>
      <c r="BO2920" s="340" t="s">
        <v>306</v>
      </c>
      <c r="BP2920" s="1385"/>
      <c r="BV2920" s="236">
        <v>114.12</v>
      </c>
      <c r="BW2920" s="236" t="s">
        <v>331</v>
      </c>
      <c r="CB2920" s="340">
        <v>910.35</v>
      </c>
      <c r="CC2920" s="340" t="s">
        <v>355</v>
      </c>
      <c r="CL2920" s="236">
        <v>180.03</v>
      </c>
      <c r="CM2920" s="236" t="s">
        <v>331</v>
      </c>
      <c r="CR2920" s="340">
        <v>9705</v>
      </c>
      <c r="CS2920" s="340" t="s">
        <v>333</v>
      </c>
      <c r="CT2920" s="1384"/>
      <c r="DF2920" s="340"/>
      <c r="DG2920" s="340"/>
      <c r="DV2920" s="340"/>
      <c r="DW2920" s="340"/>
      <c r="DX2920" s="1671"/>
    </row>
    <row r="2921" spans="38:128">
      <c r="AL2921" s="1037"/>
      <c r="AX2921" s="340">
        <v>910.35</v>
      </c>
      <c r="AY2921" s="340" t="s">
        <v>355</v>
      </c>
      <c r="BN2921" s="340">
        <v>9703.02</v>
      </c>
      <c r="BO2921" s="340" t="s">
        <v>358</v>
      </c>
      <c r="BP2921" s="1385"/>
      <c r="BV2921" s="236">
        <v>115</v>
      </c>
      <c r="BW2921" s="236" t="s">
        <v>331</v>
      </c>
      <c r="CB2921" s="340">
        <v>910.36</v>
      </c>
      <c r="CC2921" s="340" t="s">
        <v>355</v>
      </c>
      <c r="CL2921" s="236">
        <v>181</v>
      </c>
      <c r="CM2921" s="236" t="s">
        <v>331</v>
      </c>
      <c r="CR2921" s="340">
        <v>9705.01</v>
      </c>
      <c r="CS2921" s="340" t="s">
        <v>325</v>
      </c>
      <c r="CT2921" s="1384"/>
      <c r="DF2921" s="340"/>
      <c r="DG2921" s="340"/>
      <c r="DV2921" s="340"/>
      <c r="DW2921" s="340"/>
      <c r="DX2921" s="1671"/>
    </row>
    <row r="2922" spans="38:128">
      <c r="AL2922" s="1037"/>
      <c r="AX2922" s="340">
        <v>910.36</v>
      </c>
      <c r="AY2922" s="340" t="s">
        <v>355</v>
      </c>
      <c r="BN2922" s="340">
        <v>9703.0300000000007</v>
      </c>
      <c r="BO2922" s="340" t="s">
        <v>325</v>
      </c>
      <c r="BP2922" s="1385"/>
      <c r="BV2922" s="236">
        <v>116.01</v>
      </c>
      <c r="BW2922" s="236" t="s">
        <v>331</v>
      </c>
      <c r="CB2922" s="340">
        <v>910.37</v>
      </c>
      <c r="CC2922" s="340" t="s">
        <v>355</v>
      </c>
      <c r="CL2922" s="236">
        <v>181</v>
      </c>
      <c r="CM2922" s="236" t="s">
        <v>338</v>
      </c>
      <c r="CR2922" s="340">
        <v>9705.01</v>
      </c>
      <c r="CS2922" s="340" t="s">
        <v>352</v>
      </c>
      <c r="CT2922" s="1384"/>
      <c r="DF2922" s="340"/>
      <c r="DG2922" s="340"/>
      <c r="DV2922" s="340"/>
      <c r="DW2922" s="340"/>
      <c r="DX2922" s="1671"/>
    </row>
    <row r="2923" spans="38:128">
      <c r="AL2923" s="1037"/>
      <c r="AX2923" s="340">
        <v>910.37</v>
      </c>
      <c r="AY2923" s="340" t="s">
        <v>355</v>
      </c>
      <c r="BN2923" s="340">
        <v>9703.0400000000009</v>
      </c>
      <c r="BO2923" s="340" t="s">
        <v>306</v>
      </c>
      <c r="BP2923" s="1385"/>
      <c r="BV2923" s="236">
        <v>116.02</v>
      </c>
      <c r="BW2923" s="236" t="s">
        <v>331</v>
      </c>
      <c r="CB2923" s="340">
        <v>910.38</v>
      </c>
      <c r="CC2923" s="340" t="s">
        <v>355</v>
      </c>
      <c r="CL2923" s="236">
        <v>182</v>
      </c>
      <c r="CM2923" s="236" t="s">
        <v>331</v>
      </c>
      <c r="CR2923" s="340">
        <v>9705.02</v>
      </c>
      <c r="CS2923" s="340" t="s">
        <v>325</v>
      </c>
      <c r="CT2923" s="1384"/>
      <c r="DF2923" s="340"/>
      <c r="DG2923" s="340"/>
      <c r="DV2923" s="340"/>
      <c r="DW2923" s="340"/>
      <c r="DX2923" s="1671"/>
    </row>
    <row r="2924" spans="38:128">
      <c r="AL2924" s="1037"/>
      <c r="AX2924" s="340">
        <v>910.38</v>
      </c>
      <c r="AY2924" s="340" t="s">
        <v>355</v>
      </c>
      <c r="BN2924" s="340">
        <v>9704</v>
      </c>
      <c r="BO2924" s="340" t="s">
        <v>325</v>
      </c>
      <c r="BP2924" s="1385"/>
      <c r="BV2924" s="236">
        <v>117.01</v>
      </c>
      <c r="BW2924" s="236" t="s">
        <v>331</v>
      </c>
      <c r="CB2924" s="340">
        <v>102.04</v>
      </c>
      <c r="CC2924" s="340" t="s">
        <v>356</v>
      </c>
      <c r="CL2924" s="236">
        <v>182.01</v>
      </c>
      <c r="CM2924" s="236" t="s">
        <v>338</v>
      </c>
      <c r="CR2924" s="340">
        <v>9705.02</v>
      </c>
      <c r="CS2924" s="340" t="s">
        <v>352</v>
      </c>
      <c r="CT2924" s="1384"/>
      <c r="DF2924" s="340"/>
      <c r="DG2924" s="340"/>
      <c r="DV2924" s="340"/>
      <c r="DW2924" s="340"/>
      <c r="DX2924" s="1671"/>
    </row>
    <row r="2925" spans="38:128">
      <c r="AL2925" s="1037"/>
      <c r="AX2925" s="340">
        <v>910.39</v>
      </c>
      <c r="AY2925" s="340" t="s">
        <v>355</v>
      </c>
      <c r="BN2925" s="340">
        <v>9704.01</v>
      </c>
      <c r="BO2925" s="340" t="s">
        <v>352</v>
      </c>
      <c r="BP2925" s="1385"/>
      <c r="BV2925" s="236">
        <v>117.02</v>
      </c>
      <c r="BW2925" s="236" t="s">
        <v>331</v>
      </c>
      <c r="CB2925" s="340">
        <v>102.05</v>
      </c>
      <c r="CC2925" s="340" t="s">
        <v>356</v>
      </c>
      <c r="CL2925" s="236">
        <v>182.02</v>
      </c>
      <c r="CM2925" s="236" t="s">
        <v>338</v>
      </c>
      <c r="CR2925" s="340">
        <v>9706.01</v>
      </c>
      <c r="CS2925" s="340" t="s">
        <v>352</v>
      </c>
      <c r="CT2925" s="1384"/>
      <c r="DF2925" s="340"/>
      <c r="DG2925" s="340"/>
      <c r="DV2925" s="340"/>
      <c r="DW2925" s="340"/>
      <c r="DX2925" s="1671"/>
    </row>
    <row r="2926" spans="38:128">
      <c r="AL2926" s="1037"/>
      <c r="AX2926" s="340">
        <v>925</v>
      </c>
      <c r="AY2926" s="340" t="s">
        <v>355</v>
      </c>
      <c r="BN2926" s="340">
        <v>9704.02</v>
      </c>
      <c r="BO2926" s="340" t="s">
        <v>312</v>
      </c>
      <c r="BP2926" s="1385"/>
      <c r="BV2926" s="236">
        <v>118</v>
      </c>
      <c r="BW2926" s="236" t="s">
        <v>331</v>
      </c>
      <c r="CB2926" s="340">
        <v>102.06</v>
      </c>
      <c r="CC2926" s="340" t="s">
        <v>356</v>
      </c>
      <c r="CL2926" s="236">
        <v>182.03</v>
      </c>
      <c r="CM2926" s="236" t="s">
        <v>338</v>
      </c>
      <c r="CR2926" s="340">
        <v>9706.02</v>
      </c>
      <c r="CS2926" s="340" t="s">
        <v>352</v>
      </c>
      <c r="CT2926" s="1384"/>
      <c r="DF2926" s="340"/>
      <c r="DG2926" s="340"/>
      <c r="DV2926" s="340"/>
      <c r="DW2926" s="340"/>
      <c r="DX2926" s="1671"/>
    </row>
    <row r="2927" spans="38:128">
      <c r="AL2927" s="1037"/>
      <c r="AX2927" s="340">
        <v>101.01</v>
      </c>
      <c r="AY2927" s="340" t="s">
        <v>356</v>
      </c>
      <c r="BN2927" s="340">
        <v>9704.02</v>
      </c>
      <c r="BO2927" s="340" t="s">
        <v>352</v>
      </c>
      <c r="BP2927" s="1385"/>
      <c r="BV2927" s="236">
        <v>119</v>
      </c>
      <c r="BW2927" s="236" t="s">
        <v>331</v>
      </c>
      <c r="CB2927" s="340">
        <v>102.08</v>
      </c>
      <c r="CC2927" s="340" t="s">
        <v>356</v>
      </c>
      <c r="CL2927" s="236">
        <v>182.04</v>
      </c>
      <c r="CM2927" s="236" t="s">
        <v>338</v>
      </c>
      <c r="CR2927" s="340">
        <v>9708</v>
      </c>
      <c r="CS2927" s="340" t="s">
        <v>333</v>
      </c>
      <c r="CT2927" s="1384"/>
      <c r="DF2927" s="340"/>
      <c r="DG2927" s="340"/>
      <c r="DV2927" s="340"/>
      <c r="DW2927" s="340"/>
      <c r="DX2927" s="1671"/>
    </row>
    <row r="2928" spans="38:128">
      <c r="AL2928" s="1037"/>
      <c r="AX2928" s="340">
        <v>102.04</v>
      </c>
      <c r="AY2928" s="340" t="s">
        <v>356</v>
      </c>
      <c r="BN2928" s="340">
        <v>9705</v>
      </c>
      <c r="BO2928" s="340" t="s">
        <v>333</v>
      </c>
      <c r="BP2928" s="1385"/>
      <c r="BV2928" s="236">
        <v>120.01</v>
      </c>
      <c r="BW2928" s="236" t="s">
        <v>331</v>
      </c>
      <c r="CB2928" s="340">
        <v>102.09</v>
      </c>
      <c r="CC2928" s="340" t="s">
        <v>356</v>
      </c>
      <c r="CL2928" s="236">
        <v>183</v>
      </c>
      <c r="CM2928" s="236" t="s">
        <v>331</v>
      </c>
      <c r="CR2928" s="340">
        <v>9709</v>
      </c>
      <c r="CS2928" s="340" t="s">
        <v>333</v>
      </c>
      <c r="CT2928" s="1384"/>
      <c r="DF2928" s="340"/>
      <c r="DG2928" s="340"/>
      <c r="DV2928" s="340"/>
      <c r="DW2928" s="340"/>
      <c r="DX2928" s="1671"/>
    </row>
    <row r="2929" spans="38:128">
      <c r="AL2929" s="1037"/>
      <c r="AX2929" s="340">
        <v>102.05</v>
      </c>
      <c r="AY2929" s="340" t="s">
        <v>356</v>
      </c>
      <c r="BN2929" s="340">
        <v>9705.01</v>
      </c>
      <c r="BO2929" s="340" t="s">
        <v>325</v>
      </c>
      <c r="BP2929" s="1385"/>
      <c r="BV2929" s="236">
        <v>120.02</v>
      </c>
      <c r="BW2929" s="236" t="s">
        <v>331</v>
      </c>
      <c r="CB2929" s="340">
        <v>9501.02</v>
      </c>
      <c r="CC2929" s="340" t="s">
        <v>357</v>
      </c>
      <c r="CL2929" s="236">
        <v>183</v>
      </c>
      <c r="CM2929" s="236" t="s">
        <v>338</v>
      </c>
      <c r="CR2929" s="340">
        <v>9710.01</v>
      </c>
      <c r="CS2929" s="340" t="s">
        <v>333</v>
      </c>
      <c r="CT2929" s="1384"/>
      <c r="DF2929" s="340"/>
      <c r="DG2929" s="340"/>
      <c r="DV2929" s="340"/>
      <c r="DW2929" s="340"/>
      <c r="DX2929" s="1671"/>
    </row>
    <row r="2930" spans="38:128">
      <c r="AL2930" s="1037"/>
      <c r="AX2930" s="340">
        <v>102.07</v>
      </c>
      <c r="AY2930" s="340" t="s">
        <v>356</v>
      </c>
      <c r="BN2930" s="340">
        <v>9705.01</v>
      </c>
      <c r="BO2930" s="340" t="s">
        <v>352</v>
      </c>
      <c r="BP2930" s="1385"/>
      <c r="BV2930" s="236">
        <v>121.01</v>
      </c>
      <c r="BW2930" s="236" t="s">
        <v>331</v>
      </c>
      <c r="CB2930" s="340">
        <v>9505.02</v>
      </c>
      <c r="CC2930" s="340" t="s">
        <v>357</v>
      </c>
      <c r="CL2930" s="236">
        <v>184</v>
      </c>
      <c r="CM2930" s="236" t="s">
        <v>331</v>
      </c>
      <c r="CR2930" s="340">
        <v>9710.02</v>
      </c>
      <c r="CS2930" s="340" t="s">
        <v>333</v>
      </c>
      <c r="CT2930" s="1384"/>
      <c r="DF2930" s="340"/>
      <c r="DG2930" s="340"/>
      <c r="DV2930" s="340"/>
      <c r="DW2930" s="340"/>
      <c r="DX2930" s="1671"/>
    </row>
    <row r="2931" spans="38:128">
      <c r="AL2931" s="1037"/>
      <c r="AX2931" s="340">
        <v>102.08</v>
      </c>
      <c r="AY2931" s="340" t="s">
        <v>356</v>
      </c>
      <c r="BN2931" s="340">
        <v>9705.02</v>
      </c>
      <c r="BO2931" s="340" t="s">
        <v>325</v>
      </c>
      <c r="BP2931" s="1385"/>
      <c r="BV2931" s="236">
        <v>121.02</v>
      </c>
      <c r="BW2931" s="236" t="s">
        <v>331</v>
      </c>
      <c r="CB2931" s="340">
        <v>9506.0400000000009</v>
      </c>
      <c r="CC2931" s="340" t="s">
        <v>357</v>
      </c>
      <c r="CL2931" s="236">
        <v>184</v>
      </c>
      <c r="CM2931" s="236" t="s">
        <v>338</v>
      </c>
      <c r="CR2931" s="340">
        <v>9714.01</v>
      </c>
      <c r="CS2931" s="340" t="s">
        <v>333</v>
      </c>
      <c r="CT2931" s="1384"/>
      <c r="DF2931" s="340"/>
      <c r="DG2931" s="340"/>
      <c r="DV2931" s="340"/>
      <c r="DW2931" s="340"/>
      <c r="DX2931" s="1671"/>
    </row>
    <row r="2932" spans="38:128">
      <c r="AL2932" s="1037"/>
      <c r="AX2932" s="340">
        <v>102.09</v>
      </c>
      <c r="AY2932" s="340" t="s">
        <v>356</v>
      </c>
      <c r="BN2932" s="340">
        <v>9705.02</v>
      </c>
      <c r="BO2932" s="340" t="s">
        <v>352</v>
      </c>
      <c r="BP2932" s="1385"/>
      <c r="BV2932" s="236">
        <v>121.03</v>
      </c>
      <c r="BW2932" s="236" t="s">
        <v>331</v>
      </c>
      <c r="CB2932" s="340">
        <v>9506.0499999999993</v>
      </c>
      <c r="CC2932" s="340" t="s">
        <v>357</v>
      </c>
      <c r="CL2932" s="236">
        <v>185</v>
      </c>
      <c r="CM2932" s="236" t="s">
        <v>331</v>
      </c>
      <c r="CR2932" s="340">
        <v>9714.02</v>
      </c>
      <c r="CS2932" s="340" t="s">
        <v>333</v>
      </c>
      <c r="CT2932" s="1384"/>
      <c r="DF2932" s="340"/>
      <c r="DG2932" s="340"/>
      <c r="DV2932" s="340"/>
      <c r="DW2932" s="340"/>
      <c r="DX2932" s="1671"/>
    </row>
    <row r="2933" spans="38:128">
      <c r="AL2933" s="1037"/>
      <c r="AX2933" s="340">
        <v>9501.02</v>
      </c>
      <c r="AY2933" s="340" t="s">
        <v>357</v>
      </c>
      <c r="BN2933" s="340">
        <v>9706.01</v>
      </c>
      <c r="BO2933" s="340" t="s">
        <v>352</v>
      </c>
      <c r="BP2933" s="1385"/>
      <c r="BV2933" s="236">
        <v>121.04</v>
      </c>
      <c r="BW2933" s="236" t="s">
        <v>331</v>
      </c>
      <c r="CB2933" s="340">
        <v>9506.06</v>
      </c>
      <c r="CC2933" s="340" t="s">
        <v>357</v>
      </c>
      <c r="CL2933" s="236">
        <v>185</v>
      </c>
      <c r="CM2933" s="236" t="s">
        <v>338</v>
      </c>
      <c r="CR2933" s="340">
        <v>9715.01</v>
      </c>
      <c r="CS2933" s="340" t="s">
        <v>333</v>
      </c>
      <c r="CT2933" s="1384"/>
      <c r="DF2933" s="340"/>
      <c r="DG2933" s="340"/>
      <c r="DV2933" s="340"/>
      <c r="DW2933" s="340"/>
      <c r="DX2933" s="1671"/>
    </row>
    <row r="2934" spans="38:128">
      <c r="AL2934" s="1037"/>
      <c r="AX2934" s="340">
        <v>9503.0300000000007</v>
      </c>
      <c r="AY2934" s="340" t="s">
        <v>357</v>
      </c>
      <c r="BN2934" s="340">
        <v>9706.02</v>
      </c>
      <c r="BO2934" s="340" t="s">
        <v>352</v>
      </c>
      <c r="BP2934" s="1385"/>
      <c r="BV2934" s="236">
        <v>121.05</v>
      </c>
      <c r="BW2934" s="236" t="s">
        <v>331</v>
      </c>
      <c r="CB2934" s="340">
        <v>9506.07</v>
      </c>
      <c r="CC2934" s="340" t="s">
        <v>357</v>
      </c>
      <c r="CL2934" s="236">
        <v>186.01</v>
      </c>
      <c r="CM2934" s="236" t="s">
        <v>331</v>
      </c>
      <c r="CR2934" s="340">
        <v>9715.02</v>
      </c>
      <c r="CS2934" s="340" t="s">
        <v>333</v>
      </c>
      <c r="CT2934" s="1384"/>
      <c r="DF2934" s="340"/>
      <c r="DG2934" s="340"/>
      <c r="DV2934" s="340"/>
      <c r="DW2934" s="340"/>
      <c r="DX2934" s="1671"/>
    </row>
    <row r="2935" spans="38:128">
      <c r="AL2935" s="1037"/>
      <c r="AX2935" s="340">
        <v>9503.06</v>
      </c>
      <c r="AY2935" s="340" t="s">
        <v>357</v>
      </c>
      <c r="BN2935" s="340">
        <v>9708</v>
      </c>
      <c r="BO2935" s="340" t="s">
        <v>333</v>
      </c>
      <c r="BP2935" s="1385"/>
      <c r="BV2935" s="236">
        <v>122</v>
      </c>
      <c r="BW2935" s="236" t="s">
        <v>331</v>
      </c>
      <c r="CB2935" s="340">
        <v>9506.08</v>
      </c>
      <c r="CC2935" s="340" t="s">
        <v>357</v>
      </c>
      <c r="CL2935" s="236">
        <v>186.02</v>
      </c>
      <c r="CM2935" s="236" t="s">
        <v>331</v>
      </c>
      <c r="CR2935" s="340">
        <v>9716</v>
      </c>
      <c r="CS2935" s="340" t="s">
        <v>333</v>
      </c>
      <c r="CT2935" s="1384"/>
      <c r="DF2935" s="340"/>
      <c r="DG2935" s="340"/>
      <c r="DV2935" s="340"/>
      <c r="DW2935" s="340"/>
      <c r="DX2935" s="1671"/>
    </row>
    <row r="2936" spans="38:128">
      <c r="AL2936" s="1037"/>
      <c r="AX2936" s="340">
        <v>9505.01</v>
      </c>
      <c r="AY2936" s="340" t="s">
        <v>357</v>
      </c>
      <c r="BN2936" s="340">
        <v>9709</v>
      </c>
      <c r="BO2936" s="340" t="s">
        <v>333</v>
      </c>
      <c r="BP2936" s="1385"/>
      <c r="BV2936" s="236">
        <v>123.01</v>
      </c>
      <c r="BW2936" s="236" t="s">
        <v>331</v>
      </c>
      <c r="CB2936" s="340">
        <v>9506.09</v>
      </c>
      <c r="CC2936" s="340" t="s">
        <v>357</v>
      </c>
      <c r="CL2936" s="236">
        <v>187</v>
      </c>
      <c r="CM2936" s="236" t="s">
        <v>331</v>
      </c>
      <c r="CR2936" s="340">
        <v>9717</v>
      </c>
      <c r="CS2936" s="340" t="s">
        <v>333</v>
      </c>
      <c r="CT2936" s="1384"/>
      <c r="DF2936" s="340"/>
      <c r="DG2936" s="340"/>
      <c r="DV2936" s="340"/>
      <c r="DW2936" s="340"/>
      <c r="DX2936" s="1671"/>
    </row>
    <row r="2937" spans="38:128">
      <c r="AL2937" s="1037"/>
      <c r="AX2937" s="340">
        <v>9505.02</v>
      </c>
      <c r="AY2937" s="340" t="s">
        <v>357</v>
      </c>
      <c r="BN2937" s="340">
        <v>9710.01</v>
      </c>
      <c r="BO2937" s="340" t="s">
        <v>333</v>
      </c>
      <c r="BP2937" s="1385"/>
      <c r="BV2937" s="236">
        <v>123.02</v>
      </c>
      <c r="BW2937" s="236" t="s">
        <v>331</v>
      </c>
      <c r="CB2937" s="340">
        <v>9506.1</v>
      </c>
      <c r="CC2937" s="340" t="s">
        <v>357</v>
      </c>
      <c r="CL2937" s="236">
        <v>187</v>
      </c>
      <c r="CM2937" s="236" t="s">
        <v>338</v>
      </c>
      <c r="CR2937" s="340">
        <v>9720</v>
      </c>
      <c r="CS2937" s="340" t="s">
        <v>333</v>
      </c>
      <c r="CT2937" s="1384"/>
      <c r="DF2937" s="340"/>
      <c r="DG2937" s="340"/>
      <c r="DV2937" s="340"/>
      <c r="DW2937" s="340"/>
      <c r="DX2937" s="1671"/>
    </row>
    <row r="2938" spans="38:128">
      <c r="AL2938" s="1037"/>
      <c r="AX2938" s="340">
        <v>9506.0400000000009</v>
      </c>
      <c r="AY2938" s="340" t="s">
        <v>357</v>
      </c>
      <c r="BN2938" s="340">
        <v>9710.02</v>
      </c>
      <c r="BO2938" s="340" t="s">
        <v>333</v>
      </c>
      <c r="BP2938" s="1385"/>
      <c r="BV2938" s="236">
        <v>124.01</v>
      </c>
      <c r="BW2938" s="236" t="s">
        <v>331</v>
      </c>
      <c r="CB2938" s="340">
        <v>9506.11</v>
      </c>
      <c r="CC2938" s="340" t="s">
        <v>357</v>
      </c>
      <c r="CL2938" s="236">
        <v>188</v>
      </c>
      <c r="CM2938" s="236" t="s">
        <v>338</v>
      </c>
      <c r="CR2938" s="340">
        <v>9721</v>
      </c>
      <c r="CS2938" s="340" t="s">
        <v>333</v>
      </c>
      <c r="CT2938" s="1384"/>
      <c r="DF2938" s="340"/>
      <c r="DG2938" s="340"/>
      <c r="DV2938" s="340"/>
      <c r="DW2938" s="340"/>
      <c r="DX2938" s="1671"/>
    </row>
    <row r="2939" spans="38:128">
      <c r="AL2939" s="1037"/>
      <c r="AX2939" s="340">
        <v>9506.0499999999993</v>
      </c>
      <c r="AY2939" s="340" t="s">
        <v>357</v>
      </c>
      <c r="BN2939" s="340">
        <v>9714.01</v>
      </c>
      <c r="BO2939" s="340" t="s">
        <v>333</v>
      </c>
      <c r="BP2939" s="1385"/>
      <c r="BV2939" s="236">
        <v>124.02</v>
      </c>
      <c r="BW2939" s="236" t="s">
        <v>331</v>
      </c>
      <c r="CB2939" s="340">
        <v>9701.02</v>
      </c>
      <c r="CC2939" s="340" t="s">
        <v>358</v>
      </c>
      <c r="CL2939" s="236">
        <v>188.01</v>
      </c>
      <c r="CM2939" s="236" t="s">
        <v>331</v>
      </c>
      <c r="CR2939" s="340">
        <v>9722</v>
      </c>
      <c r="CS2939" s="340" t="s">
        <v>333</v>
      </c>
      <c r="CT2939" s="1384"/>
      <c r="DF2939" s="340"/>
      <c r="DG2939" s="340"/>
      <c r="DV2939" s="340"/>
      <c r="DW2939" s="340"/>
      <c r="DX2939" s="1671"/>
    </row>
    <row r="2940" spans="38:128">
      <c r="AL2940" s="1037"/>
      <c r="AX2940" s="340">
        <v>9506.06</v>
      </c>
      <c r="AY2940" s="340" t="s">
        <v>357</v>
      </c>
      <c r="BN2940" s="340">
        <v>9715.01</v>
      </c>
      <c r="BO2940" s="340" t="s">
        <v>333</v>
      </c>
      <c r="BP2940" s="1385"/>
      <c r="BV2940" s="236">
        <v>124.03</v>
      </c>
      <c r="BW2940" s="236" t="s">
        <v>331</v>
      </c>
      <c r="CB2940" s="340">
        <v>9701.0300000000007</v>
      </c>
      <c r="CC2940" s="340" t="s">
        <v>358</v>
      </c>
      <c r="CL2940" s="236">
        <v>188.02</v>
      </c>
      <c r="CM2940" s="236" t="s">
        <v>331</v>
      </c>
      <c r="CR2940" s="340">
        <v>9725</v>
      </c>
      <c r="CS2940" s="340" t="s">
        <v>333</v>
      </c>
      <c r="CT2940" s="1384"/>
      <c r="DF2940" s="340"/>
      <c r="DG2940" s="340"/>
      <c r="DV2940" s="340"/>
      <c r="DW2940" s="340"/>
      <c r="DX2940" s="1671"/>
    </row>
    <row r="2941" spans="38:128">
      <c r="AL2941" s="1037"/>
      <c r="AX2941" s="340">
        <v>9506.07</v>
      </c>
      <c r="AY2941" s="340" t="s">
        <v>357</v>
      </c>
      <c r="BN2941" s="340">
        <v>9715.02</v>
      </c>
      <c r="BO2941" s="340" t="s">
        <v>333</v>
      </c>
      <c r="BP2941" s="1385"/>
      <c r="BV2941" s="236">
        <v>125.01</v>
      </c>
      <c r="BW2941" s="236" t="s">
        <v>331</v>
      </c>
      <c r="CB2941" s="340">
        <v>9701.0400000000009</v>
      </c>
      <c r="CC2941" s="340" t="s">
        <v>358</v>
      </c>
      <c r="CL2941" s="236">
        <v>188.03</v>
      </c>
      <c r="CM2941" s="236" t="s">
        <v>331</v>
      </c>
      <c r="CR2941" s="340">
        <v>9728</v>
      </c>
      <c r="CS2941" s="340" t="s">
        <v>333</v>
      </c>
      <c r="CT2941" s="1384"/>
      <c r="DF2941" s="340"/>
      <c r="DG2941" s="340"/>
      <c r="DV2941" s="340"/>
      <c r="DW2941" s="340"/>
      <c r="DX2941" s="1671"/>
    </row>
    <row r="2942" spans="38:128">
      <c r="AL2942" s="1037"/>
      <c r="AX2942" s="340">
        <v>9506.08</v>
      </c>
      <c r="AY2942" s="340" t="s">
        <v>357</v>
      </c>
      <c r="BN2942" s="340">
        <v>9716</v>
      </c>
      <c r="BO2942" s="340" t="s">
        <v>333</v>
      </c>
      <c r="BP2942" s="1385"/>
      <c r="BV2942" s="236">
        <v>125.02</v>
      </c>
      <c r="BW2942" s="236" t="s">
        <v>331</v>
      </c>
      <c r="CB2942" s="340">
        <v>9703.01</v>
      </c>
      <c r="CC2942" s="340" t="s">
        <v>358</v>
      </c>
      <c r="CL2942" s="236">
        <v>189.01</v>
      </c>
      <c r="CM2942" s="236" t="s">
        <v>331</v>
      </c>
      <c r="CR2942" s="340">
        <v>9800</v>
      </c>
      <c r="CS2942" s="340" t="s">
        <v>296</v>
      </c>
      <c r="CT2942" s="1384"/>
      <c r="DF2942" s="340"/>
      <c r="DG2942" s="340"/>
      <c r="DV2942" s="340"/>
      <c r="DW2942" s="340"/>
      <c r="DX2942" s="1671"/>
    </row>
    <row r="2943" spans="38:128">
      <c r="AL2943" s="1037"/>
      <c r="AX2943" s="340">
        <v>9506.09</v>
      </c>
      <c r="AY2943" s="340" t="s">
        <v>357</v>
      </c>
      <c r="BN2943" s="340">
        <v>9720</v>
      </c>
      <c r="BO2943" s="340" t="s">
        <v>333</v>
      </c>
      <c r="BP2943" s="1385"/>
      <c r="BV2943" s="236">
        <v>126.01</v>
      </c>
      <c r="BW2943" s="236" t="s">
        <v>331</v>
      </c>
      <c r="CB2943" s="340">
        <v>9703.02</v>
      </c>
      <c r="CC2943" s="340" t="s">
        <v>358</v>
      </c>
      <c r="CL2943" s="236">
        <v>189.01</v>
      </c>
      <c r="CM2943" s="236" t="s">
        <v>338</v>
      </c>
      <c r="CR2943" s="340">
        <v>9805</v>
      </c>
      <c r="CS2943" s="340" t="s">
        <v>331</v>
      </c>
      <c r="CT2943" s="1384"/>
      <c r="DF2943" s="340"/>
      <c r="DG2943" s="340"/>
      <c r="DV2943" s="340"/>
      <c r="DW2943" s="340"/>
      <c r="DX2943" s="1671"/>
    </row>
    <row r="2944" spans="38:128">
      <c r="AL2944" s="1037"/>
      <c r="AX2944" s="340">
        <v>9506.1</v>
      </c>
      <c r="AY2944" s="340" t="s">
        <v>357</v>
      </c>
      <c r="BN2944" s="340">
        <v>9721</v>
      </c>
      <c r="BO2944" s="340" t="s">
        <v>333</v>
      </c>
      <c r="BP2944" s="1385"/>
      <c r="BV2944" s="236">
        <v>126.02</v>
      </c>
      <c r="BW2944" s="236" t="s">
        <v>331</v>
      </c>
      <c r="CB2944" s="2711" t="s">
        <v>2075</v>
      </c>
      <c r="CC2944" s="2712"/>
      <c r="CL2944" s="236">
        <v>189.02</v>
      </c>
      <c r="CM2944" s="236" t="s">
        <v>331</v>
      </c>
      <c r="CR2944" s="2711" t="s">
        <v>2075</v>
      </c>
      <c r="CS2944" s="2712"/>
      <c r="CT2944" s="1384"/>
      <c r="DF2944" s="340"/>
      <c r="DG2944" s="340"/>
      <c r="DV2944" s="340"/>
      <c r="DW2944" s="340"/>
      <c r="DX2944" s="1671"/>
    </row>
    <row r="2945" spans="38:128">
      <c r="AL2945" s="1037"/>
      <c r="AX2945" s="340">
        <v>9506.11</v>
      </c>
      <c r="AY2945" s="340" t="s">
        <v>357</v>
      </c>
      <c r="BN2945" s="340">
        <v>9722</v>
      </c>
      <c r="BO2945" s="340" t="s">
        <v>333</v>
      </c>
      <c r="BP2945" s="1385"/>
      <c r="BV2945" s="236">
        <v>127.01</v>
      </c>
      <c r="BW2945" s="236" t="s">
        <v>331</v>
      </c>
      <c r="CB2945" s="1390"/>
      <c r="CC2945" s="1390"/>
      <c r="CL2945" s="236">
        <v>189.02</v>
      </c>
      <c r="CM2945" s="236" t="s">
        <v>338</v>
      </c>
      <c r="CR2945" s="1390"/>
      <c r="CS2945" s="1390"/>
      <c r="CT2945" s="1384"/>
      <c r="DF2945" s="340"/>
      <c r="DG2945" s="340"/>
      <c r="DV2945" s="340"/>
      <c r="DW2945" s="340"/>
      <c r="DX2945" s="1671"/>
    </row>
    <row r="2946" spans="38:128">
      <c r="AL2946" s="1037"/>
      <c r="AX2946" s="340">
        <v>9701.02</v>
      </c>
      <c r="AY2946" s="340" t="s">
        <v>358</v>
      </c>
      <c r="BN2946" s="340">
        <v>9724</v>
      </c>
      <c r="BO2946" s="340" t="s">
        <v>333</v>
      </c>
      <c r="BP2946" s="1385"/>
      <c r="BV2946" s="236">
        <v>127.02</v>
      </c>
      <c r="BW2946" s="236" t="s">
        <v>331</v>
      </c>
      <c r="CB2946" s="1390"/>
      <c r="CC2946" s="1390"/>
      <c r="CL2946" s="236">
        <v>190</v>
      </c>
      <c r="CM2946" s="236" t="s">
        <v>331</v>
      </c>
      <c r="CR2946" s="1390"/>
      <c r="CS2946" s="1390"/>
      <c r="CT2946" s="1384"/>
      <c r="DF2946" s="340"/>
      <c r="DG2946" s="340"/>
      <c r="DV2946" s="340"/>
      <c r="DW2946" s="340"/>
      <c r="DX2946" s="1671"/>
    </row>
    <row r="2947" spans="38:128">
      <c r="AL2947" s="1037"/>
      <c r="AX2947" s="340">
        <v>9701.0300000000007</v>
      </c>
      <c r="AY2947" s="340" t="s">
        <v>358</v>
      </c>
      <c r="BN2947" s="340">
        <v>9725</v>
      </c>
      <c r="BO2947" s="340" t="s">
        <v>333</v>
      </c>
      <c r="BP2947" s="1385"/>
      <c r="BV2947" s="236">
        <v>128.01</v>
      </c>
      <c r="BW2947" s="236" t="s">
        <v>331</v>
      </c>
      <c r="CB2947" s="1390"/>
      <c r="CC2947" s="1390"/>
      <c r="CL2947" s="236">
        <v>190</v>
      </c>
      <c r="CM2947" s="236" t="s">
        <v>338</v>
      </c>
      <c r="CR2947" s="1390"/>
      <c r="CS2947" s="1390"/>
      <c r="CT2947" s="1384"/>
      <c r="DF2947" s="340"/>
      <c r="DG2947" s="340"/>
      <c r="DV2947" s="340"/>
      <c r="DW2947" s="340"/>
      <c r="DX2947" s="1671"/>
    </row>
    <row r="2948" spans="38:128">
      <c r="AL2948" s="1037"/>
      <c r="AX2948" s="340">
        <v>9701.0400000000009</v>
      </c>
      <c r="AY2948" s="340" t="s">
        <v>358</v>
      </c>
      <c r="BN2948" s="340">
        <v>9727</v>
      </c>
      <c r="BO2948" s="340" t="s">
        <v>333</v>
      </c>
      <c r="BP2948" s="1385"/>
      <c r="BV2948" s="236">
        <v>128.02000000000001</v>
      </c>
      <c r="BW2948" s="236" t="s">
        <v>331</v>
      </c>
      <c r="CB2948" s="1390"/>
      <c r="CC2948" s="1390"/>
      <c r="CL2948" s="236">
        <v>191</v>
      </c>
      <c r="CM2948" s="236" t="s">
        <v>331</v>
      </c>
      <c r="CR2948" s="1390"/>
      <c r="CS2948" s="1390"/>
      <c r="CT2948" s="1384"/>
      <c r="DF2948" s="340"/>
      <c r="DG2948" s="340"/>
      <c r="DV2948" s="340"/>
      <c r="DW2948" s="340"/>
      <c r="DX2948" s="1671"/>
    </row>
    <row r="2949" spans="38:128">
      <c r="AL2949" s="1037"/>
      <c r="AX2949" s="340">
        <v>9703.01</v>
      </c>
      <c r="AY2949" s="340" t="s">
        <v>358</v>
      </c>
      <c r="BN2949" s="340">
        <v>9728</v>
      </c>
      <c r="BO2949" s="340" t="s">
        <v>333</v>
      </c>
      <c r="BP2949" s="1385"/>
      <c r="BV2949" s="236">
        <v>129</v>
      </c>
      <c r="BW2949" s="236" t="s">
        <v>331</v>
      </c>
      <c r="CB2949" s="1390"/>
      <c r="CC2949" s="1390"/>
      <c r="CL2949" s="236">
        <v>192</v>
      </c>
      <c r="CM2949" s="236" t="s">
        <v>331</v>
      </c>
      <c r="CR2949" s="1390"/>
      <c r="CS2949" s="1390"/>
      <c r="CT2949" s="1384"/>
      <c r="DF2949" s="340"/>
      <c r="DG2949" s="340"/>
      <c r="DV2949" s="340"/>
      <c r="DW2949" s="340"/>
      <c r="DX2949" s="1671"/>
    </row>
    <row r="2950" spans="38:128">
      <c r="AL2950" s="1037"/>
      <c r="AX2950" s="340">
        <v>9703.02</v>
      </c>
      <c r="AY2950" s="340" t="s">
        <v>358</v>
      </c>
      <c r="BN2950" s="340">
        <v>9805</v>
      </c>
      <c r="BO2950" s="340" t="s">
        <v>331</v>
      </c>
      <c r="BP2950" s="1385"/>
      <c r="BV2950" s="236">
        <v>130</v>
      </c>
      <c r="BW2950" s="236" t="s">
        <v>331</v>
      </c>
      <c r="CL2950" s="236">
        <v>193.01</v>
      </c>
      <c r="CM2950" s="236" t="s">
        <v>331</v>
      </c>
      <c r="CR2950" s="1390"/>
      <c r="CS2950" s="1390"/>
      <c r="CT2950" s="1384"/>
      <c r="DF2950" s="340"/>
      <c r="DG2950" s="340"/>
      <c r="DV2950" s="340"/>
      <c r="DW2950" s="340"/>
      <c r="DX2950" s="1671"/>
    </row>
    <row r="2951" spans="38:128">
      <c r="AL2951" s="1037"/>
      <c r="AX2951" s="2711" t="s">
        <v>2075</v>
      </c>
      <c r="AY2951" s="2712"/>
      <c r="BN2951" s="2711" t="s">
        <v>2075</v>
      </c>
      <c r="BO2951" s="2712"/>
      <c r="BP2951" s="1385"/>
      <c r="BV2951" s="236">
        <v>131</v>
      </c>
      <c r="BW2951" s="236" t="s">
        <v>331</v>
      </c>
      <c r="CL2951" s="236">
        <v>193.02</v>
      </c>
      <c r="CM2951" s="236" t="s">
        <v>331</v>
      </c>
      <c r="CT2951" s="1384"/>
      <c r="DF2951" s="340"/>
      <c r="DG2951" s="340"/>
      <c r="DV2951" s="340"/>
      <c r="DW2951" s="340"/>
      <c r="DX2951" s="1671"/>
    </row>
    <row r="2952" spans="38:128">
      <c r="AL2952" s="1037"/>
      <c r="BP2952" s="1385"/>
      <c r="BV2952" s="236">
        <v>132.01</v>
      </c>
      <c r="BW2952" s="236" t="s">
        <v>331</v>
      </c>
      <c r="CL2952" s="236">
        <v>194.01</v>
      </c>
      <c r="CM2952" s="236" t="s">
        <v>331</v>
      </c>
      <c r="CT2952" s="1384"/>
      <c r="DF2952" s="340"/>
      <c r="DG2952" s="340"/>
      <c r="DV2952" s="340"/>
      <c r="DW2952" s="340"/>
      <c r="DX2952" s="1671"/>
    </row>
    <row r="2953" spans="38:128">
      <c r="AL2953" s="1037"/>
      <c r="BP2953" s="1385"/>
      <c r="BV2953" s="236">
        <v>132.02000000000001</v>
      </c>
      <c r="BW2953" s="236" t="s">
        <v>331</v>
      </c>
      <c r="CL2953" s="236">
        <v>194.02</v>
      </c>
      <c r="CM2953" s="236" t="s">
        <v>331</v>
      </c>
      <c r="CT2953" s="1384"/>
      <c r="DF2953" s="340"/>
      <c r="DG2953" s="340"/>
      <c r="DV2953" s="340"/>
      <c r="DW2953" s="340"/>
      <c r="DX2953" s="1671"/>
    </row>
    <row r="2954" spans="38:128">
      <c r="AL2954" s="1037"/>
      <c r="BP2954" s="1385"/>
      <c r="BV2954" s="236">
        <v>133.01</v>
      </c>
      <c r="BW2954" s="236" t="s">
        <v>331</v>
      </c>
      <c r="CL2954" s="236">
        <v>195.01</v>
      </c>
      <c r="CM2954" s="236" t="s">
        <v>331</v>
      </c>
      <c r="CT2954" s="1384"/>
      <c r="DF2954" s="340"/>
      <c r="DG2954" s="340"/>
      <c r="DV2954" s="340"/>
      <c r="DW2954" s="340"/>
      <c r="DX2954" s="1671"/>
    </row>
    <row r="2955" spans="38:128">
      <c r="AL2955" s="1037"/>
      <c r="BP2955" s="1385"/>
      <c r="BV2955" s="236">
        <v>133.02000000000001</v>
      </c>
      <c r="BW2955" s="236" t="s">
        <v>331</v>
      </c>
      <c r="CL2955" s="236">
        <v>195.02</v>
      </c>
      <c r="CM2955" s="236" t="s">
        <v>331</v>
      </c>
      <c r="CT2955" s="1384"/>
      <c r="DF2955" s="340"/>
      <c r="DG2955" s="340"/>
      <c r="DV2955" s="340"/>
      <c r="DW2955" s="340"/>
      <c r="DX2955" s="1671"/>
    </row>
    <row r="2956" spans="38:128">
      <c r="AL2956" s="1037"/>
      <c r="BP2956" s="1385"/>
      <c r="BV2956" s="236">
        <v>134</v>
      </c>
      <c r="BW2956" s="236" t="s">
        <v>331</v>
      </c>
      <c r="CL2956" s="236">
        <v>196</v>
      </c>
      <c r="CM2956" s="236" t="s">
        <v>331</v>
      </c>
      <c r="CT2956" s="1384"/>
      <c r="DF2956" s="340"/>
      <c r="DG2956" s="340"/>
      <c r="DV2956" s="340"/>
      <c r="DW2956" s="340"/>
      <c r="DX2956" s="1671"/>
    </row>
    <row r="2957" spans="38:128">
      <c r="AL2957" s="1037"/>
      <c r="BP2957" s="1385"/>
      <c r="BV2957" s="236">
        <v>135</v>
      </c>
      <c r="BW2957" s="236" t="s">
        <v>331</v>
      </c>
      <c r="CL2957" s="236">
        <v>197</v>
      </c>
      <c r="CM2957" s="236" t="s">
        <v>331</v>
      </c>
      <c r="CT2957" s="1384"/>
      <c r="DF2957" s="340"/>
      <c r="DG2957" s="340"/>
      <c r="DV2957" s="340"/>
      <c r="DW2957" s="340"/>
      <c r="DX2957" s="1671"/>
    </row>
    <row r="2958" spans="38:128">
      <c r="AL2958" s="1037"/>
      <c r="BP2958" s="1385"/>
      <c r="BV2958" s="236">
        <v>136</v>
      </c>
      <c r="BW2958" s="236" t="s">
        <v>331</v>
      </c>
      <c r="CL2958" s="236">
        <v>198.01</v>
      </c>
      <c r="CM2958" s="236" t="s">
        <v>331</v>
      </c>
      <c r="CT2958" s="1384"/>
      <c r="DF2958" s="340"/>
      <c r="DG2958" s="340"/>
      <c r="DV2958" s="340"/>
      <c r="DW2958" s="340"/>
      <c r="DX2958" s="1671"/>
    </row>
    <row r="2959" spans="38:128">
      <c r="AL2959" s="1037"/>
      <c r="BP2959" s="1385"/>
      <c r="BV2959" s="236">
        <v>137</v>
      </c>
      <c r="BW2959" s="236" t="s">
        <v>331</v>
      </c>
      <c r="CL2959" s="236">
        <v>198.02</v>
      </c>
      <c r="CM2959" s="236" t="s">
        <v>331</v>
      </c>
      <c r="CT2959" s="1384"/>
      <c r="DF2959" s="340"/>
      <c r="DG2959" s="340"/>
      <c r="DV2959" s="340"/>
      <c r="DW2959" s="340"/>
      <c r="DX2959" s="1671"/>
    </row>
    <row r="2960" spans="38:128">
      <c r="AL2960" s="1037"/>
      <c r="BP2960" s="1385"/>
      <c r="BV2960" s="236">
        <v>138.01</v>
      </c>
      <c r="BW2960" s="236" t="s">
        <v>331</v>
      </c>
      <c r="CL2960" s="236">
        <v>199.01</v>
      </c>
      <c r="CM2960" s="236" t="s">
        <v>331</v>
      </c>
      <c r="CT2960" s="1384"/>
      <c r="DF2960" s="340"/>
      <c r="DG2960" s="340"/>
      <c r="DV2960" s="340"/>
      <c r="DW2960" s="340"/>
      <c r="DX2960" s="1671"/>
    </row>
    <row r="2961" spans="38:128">
      <c r="AL2961" s="1037"/>
      <c r="BP2961" s="1385"/>
      <c r="BV2961" s="236">
        <v>138.02000000000001</v>
      </c>
      <c r="BW2961" s="236" t="s">
        <v>331</v>
      </c>
      <c r="CL2961" s="236">
        <v>199.02</v>
      </c>
      <c r="CM2961" s="236" t="s">
        <v>331</v>
      </c>
      <c r="CT2961" s="1384"/>
      <c r="DF2961" s="340"/>
      <c r="DG2961" s="340"/>
      <c r="DV2961" s="340"/>
      <c r="DW2961" s="340"/>
      <c r="DX2961" s="1671"/>
    </row>
    <row r="2962" spans="38:128">
      <c r="AL2962" s="1037"/>
      <c r="BP2962" s="1385"/>
      <c r="BV2962" s="236">
        <v>139</v>
      </c>
      <c r="BW2962" s="236" t="s">
        <v>331</v>
      </c>
      <c r="CL2962" s="236">
        <v>200.01</v>
      </c>
      <c r="CM2962" s="236" t="s">
        <v>331</v>
      </c>
      <c r="CT2962" s="1384"/>
      <c r="DF2962" s="340"/>
      <c r="DG2962" s="340"/>
      <c r="DV2962" s="340"/>
      <c r="DW2962" s="340"/>
      <c r="DX2962" s="1671"/>
    </row>
    <row r="2963" spans="38:128">
      <c r="AL2963" s="1037"/>
      <c r="BP2963" s="1385"/>
      <c r="BV2963" s="236">
        <v>141</v>
      </c>
      <c r="BW2963" s="236" t="s">
        <v>331</v>
      </c>
      <c r="CL2963" s="236">
        <v>200.02</v>
      </c>
      <c r="CM2963" s="236" t="s">
        <v>331</v>
      </c>
      <c r="CT2963" s="1384"/>
      <c r="DF2963" s="340"/>
      <c r="DG2963" s="340"/>
      <c r="DV2963" s="340"/>
      <c r="DW2963" s="340"/>
      <c r="DX2963" s="1671"/>
    </row>
    <row r="2964" spans="38:128">
      <c r="AL2964" s="1037"/>
      <c r="BP2964" s="1385"/>
      <c r="BV2964" s="236">
        <v>142</v>
      </c>
      <c r="BW2964" s="236" t="s">
        <v>331</v>
      </c>
      <c r="CL2964" s="236">
        <v>201</v>
      </c>
      <c r="CM2964" s="236" t="s">
        <v>331</v>
      </c>
      <c r="CT2964" s="1384"/>
      <c r="DF2964" s="340"/>
      <c r="DG2964" s="340"/>
      <c r="DV2964" s="340"/>
      <c r="DW2964" s="340"/>
      <c r="DX2964" s="1671"/>
    </row>
    <row r="2965" spans="38:128">
      <c r="AL2965" s="1037"/>
      <c r="BP2965" s="1385"/>
      <c r="BV2965" s="236">
        <v>143</v>
      </c>
      <c r="BW2965" s="236" t="s">
        <v>331</v>
      </c>
      <c r="CL2965" s="338">
        <v>201.01</v>
      </c>
      <c r="CM2965" s="338" t="s">
        <v>289</v>
      </c>
      <c r="CT2965" s="1384"/>
      <c r="DF2965" s="340"/>
      <c r="DG2965" s="340"/>
      <c r="DV2965" s="340"/>
      <c r="DW2965" s="340"/>
      <c r="DX2965" s="1671"/>
    </row>
    <row r="2966" spans="38:128">
      <c r="AL2966" s="1037"/>
      <c r="BP2966" s="1385"/>
      <c r="BV2966" s="236">
        <v>144</v>
      </c>
      <c r="BW2966" s="236" t="s">
        <v>331</v>
      </c>
      <c r="CL2966" s="338">
        <v>201.01</v>
      </c>
      <c r="CM2966" s="338" t="s">
        <v>294</v>
      </c>
      <c r="CT2966" s="1384"/>
      <c r="DF2966" s="340"/>
      <c r="DG2966" s="340"/>
      <c r="DV2966" s="340"/>
      <c r="DW2966" s="340"/>
      <c r="DX2966" s="1671"/>
    </row>
    <row r="2967" spans="38:128">
      <c r="AL2967" s="1037"/>
      <c r="BP2967" s="1385"/>
      <c r="BV2967" s="236">
        <v>145</v>
      </c>
      <c r="BW2967" s="236" t="s">
        <v>331</v>
      </c>
      <c r="CL2967" s="236">
        <v>201.01</v>
      </c>
      <c r="CM2967" s="236" t="s">
        <v>307</v>
      </c>
      <c r="CT2967" s="1384"/>
      <c r="DF2967" s="340"/>
      <c r="DG2967" s="340"/>
      <c r="DV2967" s="340"/>
      <c r="DW2967" s="340"/>
      <c r="DX2967" s="1671"/>
    </row>
    <row r="2968" spans="38:128">
      <c r="AL2968" s="1037"/>
      <c r="BP2968" s="1385"/>
      <c r="BV2968" s="236">
        <v>146.01</v>
      </c>
      <c r="BW2968" s="236" t="s">
        <v>331</v>
      </c>
      <c r="CL2968" s="236">
        <v>201.01</v>
      </c>
      <c r="CM2968" s="236" t="s">
        <v>336</v>
      </c>
      <c r="CT2968" s="1384"/>
      <c r="DF2968" s="340"/>
      <c r="DG2968" s="340"/>
      <c r="DV2968" s="340"/>
      <c r="DW2968" s="340"/>
      <c r="DX2968" s="1671"/>
    </row>
    <row r="2969" spans="38:128">
      <c r="AL2969" s="1037"/>
      <c r="BP2969" s="1385"/>
      <c r="BV2969" s="236">
        <v>146.02000000000001</v>
      </c>
      <c r="BW2969" s="236" t="s">
        <v>331</v>
      </c>
      <c r="CL2969" s="236">
        <v>201.01</v>
      </c>
      <c r="CM2969" s="236" t="s">
        <v>348</v>
      </c>
      <c r="CT2969" s="1384"/>
      <c r="DF2969" s="340"/>
      <c r="DG2969" s="340"/>
      <c r="DV2969" s="340"/>
      <c r="DW2969" s="340"/>
      <c r="DX2969" s="1671"/>
    </row>
    <row r="2970" spans="38:128">
      <c r="AL2970" s="1037"/>
      <c r="BP2970" s="1385"/>
      <c r="BV2970" s="236">
        <v>147.01</v>
      </c>
      <c r="BW2970" s="236" t="s">
        <v>331</v>
      </c>
      <c r="CL2970" s="236">
        <v>201.02</v>
      </c>
      <c r="CM2970" s="236" t="s">
        <v>323</v>
      </c>
      <c r="CT2970" s="1384"/>
      <c r="DF2970" s="340"/>
      <c r="DG2970" s="340"/>
      <c r="DV2970" s="340"/>
      <c r="DW2970" s="340"/>
      <c r="DX2970" s="1671"/>
    </row>
    <row r="2971" spans="38:128">
      <c r="AL2971" s="1037"/>
      <c r="BP2971" s="1385"/>
      <c r="BV2971" s="236">
        <v>147.02000000000001</v>
      </c>
      <c r="BW2971" s="236" t="s">
        <v>331</v>
      </c>
      <c r="CL2971" s="236">
        <v>201.02</v>
      </c>
      <c r="CM2971" s="236" t="s">
        <v>336</v>
      </c>
      <c r="CT2971" s="1384"/>
      <c r="DF2971" s="340"/>
      <c r="DG2971" s="340"/>
      <c r="DV2971" s="340"/>
      <c r="DW2971" s="340"/>
      <c r="DX2971" s="1671"/>
    </row>
    <row r="2972" spans="38:128">
      <c r="AL2972" s="1037"/>
      <c r="BP2972" s="1385"/>
      <c r="BV2972" s="236">
        <v>148</v>
      </c>
      <c r="BW2972" s="236" t="s">
        <v>331</v>
      </c>
      <c r="CL2972" s="236">
        <v>201.02</v>
      </c>
      <c r="CM2972" s="236" t="s">
        <v>348</v>
      </c>
      <c r="CT2972" s="1384"/>
      <c r="DF2972" s="340"/>
      <c r="DG2972" s="340"/>
      <c r="DV2972" s="340"/>
      <c r="DW2972" s="340"/>
      <c r="DX2972" s="1671"/>
    </row>
    <row r="2973" spans="38:128">
      <c r="AL2973" s="1037"/>
      <c r="BP2973" s="1385"/>
      <c r="BV2973" s="236">
        <v>149</v>
      </c>
      <c r="BW2973" s="236" t="s">
        <v>331</v>
      </c>
      <c r="CL2973" s="338">
        <v>201.03</v>
      </c>
      <c r="CM2973" s="338" t="s">
        <v>289</v>
      </c>
      <c r="CT2973" s="1384"/>
      <c r="DF2973" s="340"/>
      <c r="DG2973" s="340"/>
      <c r="DV2973" s="340"/>
      <c r="DW2973" s="340"/>
      <c r="DX2973" s="1671"/>
    </row>
    <row r="2974" spans="38:128">
      <c r="AL2974" s="1037"/>
      <c r="BP2974" s="1385"/>
      <c r="BV2974" s="236">
        <v>150.01</v>
      </c>
      <c r="BW2974" s="236" t="s">
        <v>331</v>
      </c>
      <c r="CL2974" s="338">
        <v>201.03</v>
      </c>
      <c r="CM2974" s="338" t="s">
        <v>294</v>
      </c>
      <c r="CT2974" s="1384"/>
      <c r="DF2974" s="340"/>
      <c r="DG2974" s="340"/>
      <c r="DV2974" s="340"/>
      <c r="DW2974" s="340"/>
      <c r="DX2974" s="1671"/>
    </row>
    <row r="2975" spans="38:128">
      <c r="AL2975" s="1037"/>
      <c r="BP2975" s="1385"/>
      <c r="BV2975" s="236">
        <v>150.02000000000001</v>
      </c>
      <c r="BW2975" s="236" t="s">
        <v>331</v>
      </c>
      <c r="CL2975" s="236">
        <v>201.03</v>
      </c>
      <c r="CM2975" s="236" t="s">
        <v>307</v>
      </c>
      <c r="CT2975" s="1384"/>
      <c r="DF2975" s="340"/>
      <c r="DG2975" s="340"/>
      <c r="DV2975" s="340"/>
      <c r="DW2975" s="340"/>
      <c r="DX2975" s="1671"/>
    </row>
    <row r="2976" spans="38:128">
      <c r="AL2976" s="1037"/>
      <c r="BP2976" s="1385"/>
      <c r="BV2976" s="236">
        <v>151.01</v>
      </c>
      <c r="BW2976" s="236" t="s">
        <v>331</v>
      </c>
      <c r="CL2976" s="236">
        <v>201.03</v>
      </c>
      <c r="CM2976" s="236" t="s">
        <v>323</v>
      </c>
      <c r="CT2976" s="1384"/>
      <c r="DF2976" s="340"/>
      <c r="DG2976" s="340"/>
      <c r="DV2976" s="340"/>
      <c r="DW2976" s="340"/>
      <c r="DX2976" s="1671"/>
    </row>
    <row r="2977" spans="38:128">
      <c r="AL2977" s="1037"/>
      <c r="BP2977" s="1385"/>
      <c r="BV2977" s="236">
        <v>151.02000000000001</v>
      </c>
      <c r="BW2977" s="236" t="s">
        <v>331</v>
      </c>
      <c r="CL2977" s="338">
        <v>201.04</v>
      </c>
      <c r="CM2977" s="338" t="s">
        <v>289</v>
      </c>
      <c r="CT2977" s="1384"/>
      <c r="DF2977" s="340"/>
      <c r="DG2977" s="340"/>
      <c r="DV2977" s="340"/>
      <c r="DW2977" s="340"/>
      <c r="DX2977" s="1671"/>
    </row>
    <row r="2978" spans="38:128">
      <c r="AL2978" s="1037"/>
      <c r="BP2978" s="1385"/>
      <c r="BV2978" s="236">
        <v>151.03</v>
      </c>
      <c r="BW2978" s="236" t="s">
        <v>331</v>
      </c>
      <c r="CL2978" s="338">
        <v>201.04</v>
      </c>
      <c r="CM2978" s="338" t="s">
        <v>294</v>
      </c>
      <c r="CT2978" s="1384"/>
      <c r="DF2978" s="340"/>
      <c r="DG2978" s="340"/>
      <c r="DV2978" s="340"/>
      <c r="DW2978" s="340"/>
      <c r="DX2978" s="1671"/>
    </row>
    <row r="2979" spans="38:128">
      <c r="AL2979" s="1037"/>
      <c r="BP2979" s="1385"/>
      <c r="BV2979" s="236">
        <v>152.01</v>
      </c>
      <c r="BW2979" s="236" t="s">
        <v>331</v>
      </c>
      <c r="CL2979" s="236">
        <v>201.04</v>
      </c>
      <c r="CM2979" s="236" t="s">
        <v>307</v>
      </c>
      <c r="CT2979" s="1384"/>
      <c r="DF2979" s="340"/>
      <c r="DG2979" s="340"/>
      <c r="DV2979" s="340"/>
      <c r="DW2979" s="340"/>
      <c r="DX2979" s="1671"/>
    </row>
    <row r="2980" spans="38:128">
      <c r="AL2980" s="1037"/>
      <c r="BP2980" s="1385"/>
      <c r="BV2980" s="236">
        <v>152.02000000000001</v>
      </c>
      <c r="BW2980" s="236" t="s">
        <v>331</v>
      </c>
      <c r="CL2980" s="236">
        <v>201.04</v>
      </c>
      <c r="CM2980" s="236" t="s">
        <v>323</v>
      </c>
      <c r="CT2980" s="1384"/>
      <c r="DF2980" s="340"/>
      <c r="DG2980" s="340"/>
      <c r="DV2980" s="340"/>
      <c r="DW2980" s="340"/>
      <c r="DX2980" s="1671"/>
    </row>
    <row r="2981" spans="38:128">
      <c r="AL2981" s="1037"/>
      <c r="BP2981" s="1385"/>
      <c r="BV2981" s="236">
        <v>153</v>
      </c>
      <c r="BW2981" s="236" t="s">
        <v>331</v>
      </c>
      <c r="CL2981" s="236">
        <v>201.05</v>
      </c>
      <c r="CM2981" s="236" t="s">
        <v>342</v>
      </c>
      <c r="CT2981" s="1384"/>
      <c r="DF2981" s="340"/>
      <c r="DG2981" s="340"/>
      <c r="DV2981" s="340"/>
      <c r="DW2981" s="340"/>
      <c r="DX2981" s="1671"/>
    </row>
    <row r="2982" spans="38:128">
      <c r="AL2982" s="1037"/>
      <c r="BP2982" s="1385"/>
      <c r="BV2982" s="236">
        <v>154</v>
      </c>
      <c r="BW2982" s="236" t="s">
        <v>331</v>
      </c>
      <c r="CL2982" s="236">
        <v>201.06</v>
      </c>
      <c r="CM2982" s="236" t="s">
        <v>342</v>
      </c>
      <c r="CT2982" s="1384"/>
      <c r="DF2982" s="340"/>
      <c r="DG2982" s="340"/>
      <c r="DV2982" s="340"/>
      <c r="DW2982" s="340"/>
      <c r="DX2982" s="1671"/>
    </row>
    <row r="2983" spans="38:128">
      <c r="AL2983" s="1037"/>
      <c r="BP2983" s="1385"/>
      <c r="BV2983" s="236">
        <v>155.01</v>
      </c>
      <c r="BW2983" s="236" t="s">
        <v>331</v>
      </c>
      <c r="CL2983" s="236">
        <v>201.07</v>
      </c>
      <c r="CM2983" s="236" t="s">
        <v>342</v>
      </c>
      <c r="CT2983" s="1384"/>
      <c r="DF2983" s="340"/>
      <c r="DG2983" s="340"/>
      <c r="DV2983" s="340"/>
      <c r="DW2983" s="340"/>
      <c r="DX2983" s="1671"/>
    </row>
    <row r="2984" spans="38:128">
      <c r="AL2984" s="1037"/>
      <c r="BP2984" s="1385"/>
      <c r="BV2984" s="236">
        <v>155.02000000000001</v>
      </c>
      <c r="BW2984" s="236" t="s">
        <v>331</v>
      </c>
      <c r="CL2984" s="236">
        <v>201.08</v>
      </c>
      <c r="CM2984" s="236" t="s">
        <v>342</v>
      </c>
      <c r="CT2984" s="1384"/>
      <c r="DF2984" s="340"/>
      <c r="DG2984" s="340"/>
      <c r="DV2984" s="340"/>
      <c r="DW2984" s="340"/>
      <c r="DX2984" s="1671"/>
    </row>
    <row r="2985" spans="38:128">
      <c r="AL2985" s="1037"/>
      <c r="BP2985" s="1385"/>
      <c r="BV2985" s="236">
        <v>156</v>
      </c>
      <c r="BW2985" s="236" t="s">
        <v>331</v>
      </c>
      <c r="CL2985" s="236">
        <v>201.09</v>
      </c>
      <c r="CM2985" s="236" t="s">
        <v>342</v>
      </c>
      <c r="CT2985" s="1384"/>
      <c r="DF2985" s="340"/>
      <c r="DG2985" s="340"/>
      <c r="DV2985" s="340"/>
      <c r="DW2985" s="340"/>
      <c r="DX2985" s="1671"/>
    </row>
    <row r="2986" spans="38:128">
      <c r="AL2986" s="1037"/>
      <c r="BP2986" s="1385"/>
      <c r="BV2986" s="236">
        <v>157</v>
      </c>
      <c r="BW2986" s="236" t="s">
        <v>331</v>
      </c>
      <c r="CL2986" s="236">
        <v>201.1</v>
      </c>
      <c r="CM2986" s="236" t="s">
        <v>342</v>
      </c>
      <c r="CT2986" s="1384"/>
      <c r="DF2986" s="340"/>
      <c r="DG2986" s="340"/>
      <c r="DV2986" s="340"/>
      <c r="DW2986" s="340"/>
      <c r="DX2986" s="1671"/>
    </row>
    <row r="2987" spans="38:128">
      <c r="AL2987" s="1037"/>
      <c r="BP2987" s="1385"/>
      <c r="BV2987" s="236">
        <v>158</v>
      </c>
      <c r="BW2987" s="236" t="s">
        <v>331</v>
      </c>
      <c r="CL2987" s="236">
        <v>202</v>
      </c>
      <c r="CM2987" s="236" t="s">
        <v>331</v>
      </c>
      <c r="CT2987" s="1384"/>
      <c r="DF2987" s="340"/>
      <c r="DG2987" s="340"/>
      <c r="DV2987" s="340"/>
      <c r="DW2987" s="340"/>
      <c r="DX2987" s="1671"/>
    </row>
    <row r="2988" spans="38:128">
      <c r="AL2988" s="1037"/>
      <c r="BP2988" s="1385"/>
      <c r="BV2988" s="236">
        <v>159</v>
      </c>
      <c r="BW2988" s="236" t="s">
        <v>331</v>
      </c>
      <c r="CL2988" s="236">
        <v>202</v>
      </c>
      <c r="CM2988" s="236" t="s">
        <v>336</v>
      </c>
      <c r="CT2988" s="1384"/>
      <c r="DF2988" s="340"/>
      <c r="DG2988" s="340"/>
      <c r="DV2988" s="340"/>
      <c r="DW2988" s="340"/>
      <c r="DX2988" s="1671"/>
    </row>
    <row r="2989" spans="38:128">
      <c r="AL2989" s="1037"/>
      <c r="BP2989" s="1385"/>
      <c r="BV2989" s="236">
        <v>160</v>
      </c>
      <c r="BW2989" s="236" t="s">
        <v>331</v>
      </c>
      <c r="CL2989" s="236">
        <v>202</v>
      </c>
      <c r="CM2989" s="236" t="s">
        <v>349</v>
      </c>
      <c r="CT2989" s="1384"/>
      <c r="DF2989" s="340"/>
      <c r="DG2989" s="340"/>
      <c r="DV2989" s="340"/>
      <c r="DW2989" s="340"/>
      <c r="DX2989" s="1671"/>
    </row>
    <row r="2990" spans="38:128">
      <c r="AL2990" s="1037"/>
      <c r="BP2990" s="1385"/>
      <c r="BV2990" s="236">
        <v>161</v>
      </c>
      <c r="BW2990" s="236" t="s">
        <v>331</v>
      </c>
      <c r="CL2990" s="236">
        <v>202.01</v>
      </c>
      <c r="CM2990" s="236" t="s">
        <v>323</v>
      </c>
      <c r="CT2990" s="1384"/>
      <c r="DF2990" s="340"/>
      <c r="DG2990" s="340"/>
      <c r="DV2990" s="340"/>
      <c r="DW2990" s="340"/>
      <c r="DX2990" s="1671"/>
    </row>
    <row r="2991" spans="38:128">
      <c r="AL2991" s="1037"/>
      <c r="BP2991" s="1385"/>
      <c r="BV2991" s="236">
        <v>162</v>
      </c>
      <c r="BW2991" s="236" t="s">
        <v>331</v>
      </c>
      <c r="CL2991" s="236">
        <v>202.01</v>
      </c>
      <c r="CM2991" s="236" t="s">
        <v>342</v>
      </c>
      <c r="CT2991" s="1384"/>
      <c r="DF2991" s="340"/>
      <c r="DG2991" s="340"/>
      <c r="DV2991" s="340"/>
      <c r="DW2991" s="340"/>
      <c r="DX2991" s="1671"/>
    </row>
    <row r="2992" spans="38:128">
      <c r="AL2992" s="1037"/>
      <c r="BP2992" s="1385"/>
      <c r="BV2992" s="236">
        <v>163</v>
      </c>
      <c r="BW2992" s="236" t="s">
        <v>331</v>
      </c>
      <c r="CL2992" s="236">
        <v>202.01</v>
      </c>
      <c r="CM2992" s="236" t="s">
        <v>348</v>
      </c>
      <c r="CT2992" s="1384"/>
      <c r="DF2992" s="340"/>
      <c r="DG2992" s="340"/>
      <c r="DV2992" s="340"/>
      <c r="DW2992" s="340"/>
      <c r="DX2992" s="1671"/>
    </row>
    <row r="2993" spans="38:128">
      <c r="AL2993" s="1037"/>
      <c r="BP2993" s="1385"/>
      <c r="BV2993" s="236">
        <v>164.01</v>
      </c>
      <c r="BW2993" s="236" t="s">
        <v>331</v>
      </c>
      <c r="CL2993" s="236">
        <v>202.02</v>
      </c>
      <c r="CM2993" s="236" t="s">
        <v>323</v>
      </c>
      <c r="CT2993" s="1384"/>
      <c r="DF2993" s="340"/>
      <c r="DG2993" s="340"/>
      <c r="DV2993" s="340"/>
      <c r="DW2993" s="340"/>
      <c r="DX2993" s="1671"/>
    </row>
    <row r="2994" spans="38:128">
      <c r="AL2994" s="1037"/>
      <c r="BP2994" s="1385"/>
      <c r="BV2994" s="236">
        <v>164.02</v>
      </c>
      <c r="BW2994" s="236" t="s">
        <v>331</v>
      </c>
      <c r="CL2994" s="236">
        <v>202.02</v>
      </c>
      <c r="CM2994" s="236" t="s">
        <v>342</v>
      </c>
      <c r="CT2994" s="1384"/>
      <c r="DF2994" s="340"/>
      <c r="DG2994" s="340"/>
      <c r="DV2994" s="340"/>
      <c r="DW2994" s="340"/>
      <c r="DX2994" s="1671"/>
    </row>
    <row r="2995" spans="38:128">
      <c r="AL2995" s="1037"/>
      <c r="BP2995" s="1385"/>
      <c r="BV2995" s="236">
        <v>165.01</v>
      </c>
      <c r="BW2995" s="236" t="s">
        <v>331</v>
      </c>
      <c r="CL2995" s="236">
        <v>202.02</v>
      </c>
      <c r="CM2995" s="236" t="s">
        <v>348</v>
      </c>
      <c r="CT2995" s="1384"/>
      <c r="DF2995" s="340"/>
      <c r="DG2995" s="340"/>
      <c r="DV2995" s="340"/>
      <c r="DW2995" s="340"/>
      <c r="DX2995" s="1671"/>
    </row>
    <row r="2996" spans="38:128">
      <c r="AL2996" s="1037"/>
      <c r="BP2996" s="1385"/>
      <c r="BV2996" s="236">
        <v>165.02</v>
      </c>
      <c r="BW2996" s="236" t="s">
        <v>331</v>
      </c>
      <c r="CL2996" s="338">
        <v>202.03</v>
      </c>
      <c r="CM2996" s="338" t="s">
        <v>294</v>
      </c>
      <c r="CT2996" s="1384"/>
      <c r="DF2996" s="340"/>
      <c r="DG2996" s="340"/>
      <c r="DV2996" s="340"/>
      <c r="DW2996" s="340"/>
      <c r="DX2996" s="1671"/>
    </row>
    <row r="2997" spans="38:128">
      <c r="AL2997" s="1037"/>
      <c r="BP2997" s="1385"/>
      <c r="BV2997" s="236">
        <v>166</v>
      </c>
      <c r="BW2997" s="236" t="s">
        <v>331</v>
      </c>
      <c r="CL2997" s="338">
        <v>202.04</v>
      </c>
      <c r="CM2997" s="338" t="s">
        <v>289</v>
      </c>
      <c r="CT2997" s="1384"/>
      <c r="DF2997" s="340"/>
      <c r="DG2997" s="340"/>
      <c r="DV2997" s="340"/>
      <c r="DW2997" s="340"/>
      <c r="DX2997" s="1671"/>
    </row>
    <row r="2998" spans="38:128">
      <c r="AL2998" s="1037"/>
      <c r="BP2998" s="1385"/>
      <c r="BV2998" s="236">
        <v>167</v>
      </c>
      <c r="BW2998" s="236" t="s">
        <v>331</v>
      </c>
      <c r="CL2998" s="338">
        <v>202.04</v>
      </c>
      <c r="CM2998" s="338" t="s">
        <v>294</v>
      </c>
      <c r="CT2998" s="1384"/>
      <c r="DF2998" s="340"/>
      <c r="DG2998" s="340"/>
      <c r="DV2998" s="340"/>
      <c r="DW2998" s="340"/>
      <c r="DX2998" s="1671"/>
    </row>
    <row r="2999" spans="38:128">
      <c r="AL2999" s="1037"/>
      <c r="BP2999" s="1385"/>
      <c r="BV2999" s="236">
        <v>168</v>
      </c>
      <c r="BW2999" s="236" t="s">
        <v>331</v>
      </c>
      <c r="CL2999" s="338">
        <v>202.05</v>
      </c>
      <c r="CM2999" s="338" t="s">
        <v>289</v>
      </c>
      <c r="CT2999" s="1384"/>
      <c r="DF2999" s="340"/>
      <c r="DG2999" s="340"/>
      <c r="DV2999" s="340"/>
      <c r="DW2999" s="340"/>
      <c r="DX2999" s="1671"/>
    </row>
    <row r="3000" spans="38:128">
      <c r="AL3000" s="1037"/>
      <c r="BP3000" s="1385"/>
      <c r="BV3000" s="236">
        <v>169</v>
      </c>
      <c r="BW3000" s="236" t="s">
        <v>331</v>
      </c>
      <c r="CL3000" s="338">
        <v>202.05</v>
      </c>
      <c r="CM3000" s="338" t="s">
        <v>294</v>
      </c>
      <c r="CT3000" s="1384"/>
      <c r="DF3000" s="340"/>
      <c r="DG3000" s="340"/>
      <c r="DV3000" s="340"/>
      <c r="DW3000" s="340"/>
      <c r="DX3000" s="1671"/>
    </row>
    <row r="3001" spans="38:128">
      <c r="AL3001" s="1037"/>
      <c r="BP3001" s="1385"/>
      <c r="BV3001" s="236">
        <v>170</v>
      </c>
      <c r="BW3001" s="236" t="s">
        <v>331</v>
      </c>
      <c r="CL3001" s="338">
        <v>202.06</v>
      </c>
      <c r="CM3001" s="338" t="s">
        <v>289</v>
      </c>
      <c r="CT3001" s="1384"/>
      <c r="DF3001" s="2711" t="s">
        <v>2075</v>
      </c>
      <c r="DG3001" s="2712"/>
      <c r="DV3001" s="2711" t="s">
        <v>2075</v>
      </c>
      <c r="DW3001" s="2712"/>
      <c r="DX3001" s="1671"/>
    </row>
    <row r="3002" spans="38:128">
      <c r="AL3002" s="1037"/>
      <c r="BP3002" s="1385"/>
      <c r="BV3002" s="236">
        <v>171.01</v>
      </c>
      <c r="BW3002" s="236" t="s">
        <v>331</v>
      </c>
      <c r="CL3002" s="338">
        <v>202.06</v>
      </c>
      <c r="CM3002" s="338" t="s">
        <v>294</v>
      </c>
      <c r="CT3002" s="1384"/>
      <c r="DX3002" s="1671"/>
    </row>
    <row r="3003" spans="38:128">
      <c r="AL3003" s="1037"/>
      <c r="BP3003" s="1385"/>
      <c r="BV3003" s="236">
        <v>171.02</v>
      </c>
      <c r="BW3003" s="236" t="s">
        <v>331</v>
      </c>
      <c r="CL3003" s="236">
        <v>202.06</v>
      </c>
      <c r="CM3003" s="236" t="s">
        <v>342</v>
      </c>
      <c r="CT3003" s="1384"/>
      <c r="DX3003" s="1671"/>
    </row>
    <row r="3004" spans="38:128">
      <c r="AL3004" s="1037"/>
      <c r="BP3004" s="1385"/>
      <c r="BV3004" s="236">
        <v>172</v>
      </c>
      <c r="BW3004" s="236" t="s">
        <v>331</v>
      </c>
      <c r="CL3004" s="236">
        <v>202.07</v>
      </c>
      <c r="CM3004" s="236" t="s">
        <v>342</v>
      </c>
      <c r="CT3004" s="1384"/>
      <c r="DX3004" s="1671"/>
    </row>
    <row r="3005" spans="38:128">
      <c r="AL3005" s="1037"/>
      <c r="BP3005" s="1385"/>
      <c r="BV3005" s="236">
        <v>173</v>
      </c>
      <c r="BW3005" s="236" t="s">
        <v>331</v>
      </c>
      <c r="CL3005" s="236">
        <v>202.08</v>
      </c>
      <c r="CM3005" s="236" t="s">
        <v>342</v>
      </c>
      <c r="CT3005" s="1384"/>
      <c r="DX3005" s="1671"/>
    </row>
    <row r="3006" spans="38:128">
      <c r="AL3006" s="1037"/>
      <c r="BP3006" s="1385"/>
      <c r="BV3006" s="236">
        <v>174.01</v>
      </c>
      <c r="BW3006" s="236" t="s">
        <v>331</v>
      </c>
      <c r="CL3006" s="338">
        <v>202.09</v>
      </c>
      <c r="CM3006" s="338" t="s">
        <v>289</v>
      </c>
      <c r="CT3006" s="1384"/>
      <c r="DX3006" s="1671"/>
    </row>
    <row r="3007" spans="38:128">
      <c r="AL3007" s="1037"/>
      <c r="BP3007" s="1385"/>
      <c r="BV3007" s="236">
        <v>174.02</v>
      </c>
      <c r="BW3007" s="236" t="s">
        <v>331</v>
      </c>
      <c r="CL3007" s="236">
        <v>202.09</v>
      </c>
      <c r="CM3007" s="236" t="s">
        <v>342</v>
      </c>
      <c r="CT3007" s="1384"/>
      <c r="DX3007" s="1671"/>
    </row>
    <row r="3008" spans="38:128">
      <c r="AL3008" s="1037"/>
      <c r="BP3008" s="1385"/>
      <c r="BV3008" s="236">
        <v>175</v>
      </c>
      <c r="BW3008" s="236" t="s">
        <v>331</v>
      </c>
      <c r="CL3008" s="338">
        <v>202.1</v>
      </c>
      <c r="CM3008" s="338" t="s">
        <v>289</v>
      </c>
      <c r="CT3008" s="1384"/>
      <c r="DX3008" s="1671"/>
    </row>
    <row r="3009" spans="38:128">
      <c r="AL3009" s="1037"/>
      <c r="BP3009" s="1385"/>
      <c r="BV3009" s="236">
        <v>176</v>
      </c>
      <c r="BW3009" s="236" t="s">
        <v>331</v>
      </c>
      <c r="CL3009" s="338">
        <v>202.11</v>
      </c>
      <c r="CM3009" s="338" t="s">
        <v>289</v>
      </c>
      <c r="CT3009" s="1384"/>
      <c r="DX3009" s="1671"/>
    </row>
    <row r="3010" spans="38:128">
      <c r="AL3010" s="1037"/>
      <c r="BP3010" s="1385"/>
      <c r="BV3010" s="236">
        <v>177</v>
      </c>
      <c r="BW3010" s="236" t="s">
        <v>331</v>
      </c>
      <c r="CL3010" s="338">
        <v>202.12</v>
      </c>
      <c r="CM3010" s="338" t="s">
        <v>289</v>
      </c>
      <c r="CT3010" s="1384"/>
      <c r="DX3010" s="1671"/>
    </row>
    <row r="3011" spans="38:128">
      <c r="AL3011" s="1037"/>
      <c r="BP3011" s="1385"/>
      <c r="BV3011" s="236">
        <v>178</v>
      </c>
      <c r="BW3011" s="236" t="s">
        <v>331</v>
      </c>
      <c r="CL3011" s="338">
        <v>202.13</v>
      </c>
      <c r="CM3011" s="338" t="s">
        <v>289</v>
      </c>
      <c r="CT3011" s="1384"/>
      <c r="DX3011" s="1671"/>
    </row>
    <row r="3012" spans="38:128">
      <c r="AL3012" s="1037"/>
      <c r="BP3012" s="1385"/>
      <c r="BV3012" s="236">
        <v>179.01</v>
      </c>
      <c r="BW3012" s="236" t="s">
        <v>331</v>
      </c>
      <c r="CL3012" s="338">
        <v>202.14</v>
      </c>
      <c r="CM3012" s="338" t="s">
        <v>289</v>
      </c>
      <c r="CT3012" s="1384"/>
      <c r="DX3012" s="1671"/>
    </row>
    <row r="3013" spans="38:128">
      <c r="AL3013" s="1037"/>
      <c r="BP3013" s="1385"/>
      <c r="BV3013" s="236">
        <v>179.02</v>
      </c>
      <c r="BW3013" s="236" t="s">
        <v>331</v>
      </c>
      <c r="CL3013" s="236">
        <v>203</v>
      </c>
      <c r="CM3013" s="236" t="s">
        <v>307</v>
      </c>
      <c r="CT3013" s="1384"/>
      <c r="DX3013" s="1671"/>
    </row>
    <row r="3014" spans="38:128">
      <c r="AL3014" s="1037"/>
      <c r="BP3014" s="1385"/>
      <c r="BV3014" s="236">
        <v>180.01</v>
      </c>
      <c r="BW3014" s="236" t="s">
        <v>331</v>
      </c>
      <c r="CL3014" s="236">
        <v>203</v>
      </c>
      <c r="CM3014" s="236" t="s">
        <v>331</v>
      </c>
      <c r="CT3014" s="1384"/>
      <c r="DX3014" s="1671"/>
    </row>
    <row r="3015" spans="38:128">
      <c r="AL3015" s="1037"/>
      <c r="BP3015" s="1385"/>
      <c r="BV3015" s="236">
        <v>180.02</v>
      </c>
      <c r="BW3015" s="236" t="s">
        <v>331</v>
      </c>
      <c r="CL3015" s="236">
        <v>203</v>
      </c>
      <c r="CM3015" s="236" t="s">
        <v>349</v>
      </c>
      <c r="CT3015" s="1384"/>
      <c r="DX3015" s="1671"/>
    </row>
    <row r="3016" spans="38:128">
      <c r="AL3016" s="1037"/>
      <c r="BP3016" s="1385"/>
      <c r="BV3016" s="236">
        <v>180.03</v>
      </c>
      <c r="BW3016" s="236" t="s">
        <v>331</v>
      </c>
      <c r="CL3016" s="338">
        <v>203.01</v>
      </c>
      <c r="CM3016" s="338" t="s">
        <v>294</v>
      </c>
      <c r="CT3016" s="1384"/>
      <c r="DX3016" s="1671"/>
    </row>
    <row r="3017" spans="38:128">
      <c r="AL3017" s="1037"/>
      <c r="BP3017" s="1385"/>
      <c r="BV3017" s="236">
        <v>181</v>
      </c>
      <c r="BW3017" s="236" t="s">
        <v>331</v>
      </c>
      <c r="CL3017" s="236">
        <v>203.01</v>
      </c>
      <c r="CM3017" s="236" t="s">
        <v>323</v>
      </c>
      <c r="CT3017" s="1384"/>
      <c r="DX3017" s="1671"/>
    </row>
    <row r="3018" spans="38:128">
      <c r="AL3018" s="1037"/>
      <c r="BP3018" s="1385"/>
      <c r="BV3018" s="236">
        <v>182</v>
      </c>
      <c r="BW3018" s="236" t="s">
        <v>331</v>
      </c>
      <c r="CL3018" s="236">
        <v>203.01</v>
      </c>
      <c r="CM3018" s="236" t="s">
        <v>342</v>
      </c>
      <c r="CT3018" s="1384"/>
      <c r="DX3018" s="1671"/>
    </row>
    <row r="3019" spans="38:128">
      <c r="AL3019" s="1037"/>
      <c r="BP3019" s="1385"/>
      <c r="BV3019" s="236">
        <v>183</v>
      </c>
      <c r="BW3019" s="236" t="s">
        <v>331</v>
      </c>
      <c r="CL3019" s="236">
        <v>203.01</v>
      </c>
      <c r="CM3019" s="236" t="s">
        <v>348</v>
      </c>
      <c r="CT3019" s="1384"/>
      <c r="DX3019" s="1671"/>
    </row>
    <row r="3020" spans="38:128">
      <c r="AL3020" s="1037"/>
      <c r="BP3020" s="1385"/>
      <c r="BV3020" s="236">
        <v>184</v>
      </c>
      <c r="BW3020" s="236" t="s">
        <v>331</v>
      </c>
      <c r="CL3020" s="338">
        <v>203.02</v>
      </c>
      <c r="CM3020" s="338" t="s">
        <v>289</v>
      </c>
      <c r="CT3020" s="1384"/>
      <c r="DX3020" s="1671"/>
    </row>
    <row r="3021" spans="38:128">
      <c r="AL3021" s="1037"/>
      <c r="BP3021" s="1385"/>
      <c r="BV3021" s="236">
        <v>185</v>
      </c>
      <c r="BW3021" s="236" t="s">
        <v>331</v>
      </c>
      <c r="CL3021" s="338">
        <v>203.02</v>
      </c>
      <c r="CM3021" s="338" t="s">
        <v>294</v>
      </c>
      <c r="CT3021" s="1384"/>
      <c r="DX3021" s="1671"/>
    </row>
    <row r="3022" spans="38:128">
      <c r="AL3022" s="1037"/>
      <c r="BP3022" s="1385"/>
      <c r="BV3022" s="236">
        <v>186.01</v>
      </c>
      <c r="BW3022" s="236" t="s">
        <v>331</v>
      </c>
      <c r="CL3022" s="236">
        <v>203.02</v>
      </c>
      <c r="CM3022" s="236" t="s">
        <v>323</v>
      </c>
      <c r="CT3022" s="1384"/>
      <c r="DX3022" s="1671"/>
    </row>
    <row r="3023" spans="38:128">
      <c r="AL3023" s="1037"/>
      <c r="BP3023" s="1385"/>
      <c r="BV3023" s="236">
        <v>186.02</v>
      </c>
      <c r="BW3023" s="236" t="s">
        <v>331</v>
      </c>
      <c r="CL3023" s="236">
        <v>203.02</v>
      </c>
      <c r="CM3023" s="236" t="s">
        <v>342</v>
      </c>
      <c r="CT3023" s="1384"/>
      <c r="DX3023" s="1671"/>
    </row>
    <row r="3024" spans="38:128">
      <c r="AL3024" s="1037"/>
      <c r="BP3024" s="1385"/>
      <c r="BV3024" s="236">
        <v>187</v>
      </c>
      <c r="BW3024" s="236" t="s">
        <v>331</v>
      </c>
      <c r="CL3024" s="236">
        <v>203.02</v>
      </c>
      <c r="CM3024" s="236" t="s">
        <v>348</v>
      </c>
      <c r="CT3024" s="1384"/>
      <c r="DX3024" s="1671"/>
    </row>
    <row r="3025" spans="38:128">
      <c r="AL3025" s="1037"/>
      <c r="BP3025" s="1385"/>
      <c r="BV3025" s="236">
        <v>188.01</v>
      </c>
      <c r="BW3025" s="236" t="s">
        <v>331</v>
      </c>
      <c r="CL3025" s="338">
        <v>203.03</v>
      </c>
      <c r="CM3025" s="338" t="s">
        <v>294</v>
      </c>
      <c r="CT3025" s="1384"/>
      <c r="DX3025" s="1671"/>
    </row>
    <row r="3026" spans="38:128">
      <c r="AL3026" s="1037"/>
      <c r="BP3026" s="1385"/>
      <c r="BV3026" s="236">
        <v>188.02</v>
      </c>
      <c r="BW3026" s="236" t="s">
        <v>331</v>
      </c>
      <c r="CL3026" s="236">
        <v>203.03</v>
      </c>
      <c r="CM3026" s="236" t="s">
        <v>336</v>
      </c>
      <c r="CT3026" s="1384"/>
      <c r="DX3026" s="1671"/>
    </row>
    <row r="3027" spans="38:128">
      <c r="AL3027" s="1037"/>
      <c r="BP3027" s="1385"/>
      <c r="BV3027" s="236">
        <v>188.03</v>
      </c>
      <c r="BW3027" s="236" t="s">
        <v>331</v>
      </c>
      <c r="CL3027" s="236">
        <v>203.04</v>
      </c>
      <c r="CM3027" s="236" t="s">
        <v>336</v>
      </c>
      <c r="CT3027" s="1384"/>
      <c r="DX3027" s="1671"/>
    </row>
    <row r="3028" spans="38:128">
      <c r="AL3028" s="1037"/>
      <c r="BP3028" s="1385"/>
      <c r="BV3028" s="236">
        <v>189.01</v>
      </c>
      <c r="BW3028" s="236" t="s">
        <v>331</v>
      </c>
      <c r="CL3028" s="236">
        <v>203.05</v>
      </c>
      <c r="CM3028" s="236" t="s">
        <v>336</v>
      </c>
      <c r="CT3028" s="1384"/>
      <c r="DX3028" s="1671"/>
    </row>
    <row r="3029" spans="38:128">
      <c r="AL3029" s="1037"/>
      <c r="BP3029" s="1385"/>
      <c r="BV3029" s="236">
        <v>189.02</v>
      </c>
      <c r="BW3029" s="236" t="s">
        <v>331</v>
      </c>
      <c r="CL3029" s="236">
        <v>203.06</v>
      </c>
      <c r="CM3029" s="236" t="s">
        <v>336</v>
      </c>
      <c r="CT3029" s="1384"/>
      <c r="DX3029" s="1671"/>
    </row>
    <row r="3030" spans="38:128">
      <c r="AL3030" s="1037"/>
      <c r="BP3030" s="1385"/>
      <c r="BV3030" s="236">
        <v>190</v>
      </c>
      <c r="BW3030" s="236" t="s">
        <v>331</v>
      </c>
      <c r="CL3030" s="338">
        <v>203.08</v>
      </c>
      <c r="CM3030" s="338" t="s">
        <v>289</v>
      </c>
      <c r="CT3030" s="1384"/>
      <c r="DX3030" s="1671"/>
    </row>
    <row r="3031" spans="38:128">
      <c r="AL3031" s="1037"/>
      <c r="BP3031" s="1385"/>
      <c r="BV3031" s="236">
        <v>191</v>
      </c>
      <c r="BW3031" s="236" t="s">
        <v>331</v>
      </c>
      <c r="CL3031" s="338">
        <v>203.09</v>
      </c>
      <c r="CM3031" s="338" t="s">
        <v>289</v>
      </c>
      <c r="CT3031" s="1384"/>
      <c r="DX3031" s="1671"/>
    </row>
    <row r="3032" spans="38:128">
      <c r="AL3032" s="1037"/>
      <c r="BP3032" s="1385"/>
      <c r="BV3032" s="236">
        <v>192</v>
      </c>
      <c r="BW3032" s="236" t="s">
        <v>331</v>
      </c>
      <c r="CL3032" s="338">
        <v>203.11</v>
      </c>
      <c r="CM3032" s="338" t="s">
        <v>289</v>
      </c>
      <c r="CT3032" s="1384"/>
      <c r="DX3032" s="1671"/>
    </row>
    <row r="3033" spans="38:128">
      <c r="AL3033" s="1037"/>
      <c r="BP3033" s="1385"/>
      <c r="BV3033" s="236">
        <v>193.01</v>
      </c>
      <c r="BW3033" s="236" t="s">
        <v>331</v>
      </c>
      <c r="CL3033" s="338">
        <v>203.12</v>
      </c>
      <c r="CM3033" s="338" t="s">
        <v>289</v>
      </c>
      <c r="CT3033" s="1384"/>
      <c r="DX3033" s="1671"/>
    </row>
    <row r="3034" spans="38:128">
      <c r="AL3034" s="1037"/>
      <c r="BP3034" s="1385"/>
      <c r="BV3034" s="236">
        <v>193.02</v>
      </c>
      <c r="BW3034" s="236" t="s">
        <v>331</v>
      </c>
      <c r="CL3034" s="338">
        <v>203.13</v>
      </c>
      <c r="CM3034" s="338" t="s">
        <v>289</v>
      </c>
      <c r="CT3034" s="1384"/>
      <c r="DX3034" s="1671"/>
    </row>
    <row r="3035" spans="38:128">
      <c r="AL3035" s="1037"/>
      <c r="BP3035" s="1385"/>
      <c r="BV3035" s="236">
        <v>194.01</v>
      </c>
      <c r="BW3035" s="236" t="s">
        <v>331</v>
      </c>
      <c r="CL3035" s="338">
        <v>203.14</v>
      </c>
      <c r="CM3035" s="338" t="s">
        <v>289</v>
      </c>
      <c r="CT3035" s="1384"/>
      <c r="DX3035" s="1671"/>
    </row>
    <row r="3036" spans="38:128">
      <c r="AL3036" s="1037"/>
      <c r="BP3036" s="1385"/>
      <c r="BV3036" s="236">
        <v>194.02</v>
      </c>
      <c r="BW3036" s="236" t="s">
        <v>331</v>
      </c>
      <c r="CL3036" s="338">
        <v>203.15</v>
      </c>
      <c r="CM3036" s="338" t="s">
        <v>289</v>
      </c>
      <c r="CT3036" s="1384"/>
      <c r="DX3036" s="1671"/>
    </row>
    <row r="3037" spans="38:128">
      <c r="AL3037" s="1037"/>
      <c r="BP3037" s="1385"/>
      <c r="BV3037" s="236">
        <v>195.01</v>
      </c>
      <c r="BW3037" s="236" t="s">
        <v>331</v>
      </c>
      <c r="CL3037" s="338">
        <v>203.16</v>
      </c>
      <c r="CM3037" s="338" t="s">
        <v>289</v>
      </c>
      <c r="CT3037" s="1384"/>
      <c r="DX3037" s="1671"/>
    </row>
    <row r="3038" spans="38:128">
      <c r="AL3038" s="1037"/>
      <c r="BP3038" s="1385"/>
      <c r="BV3038" s="236">
        <v>195.02</v>
      </c>
      <c r="BW3038" s="236" t="s">
        <v>331</v>
      </c>
      <c r="CL3038" s="338">
        <v>203.17</v>
      </c>
      <c r="CM3038" s="338" t="s">
        <v>289</v>
      </c>
      <c r="CT3038" s="1384"/>
      <c r="DX3038" s="1671"/>
    </row>
    <row r="3039" spans="38:128">
      <c r="AL3039" s="1037"/>
      <c r="BP3039" s="1385"/>
      <c r="BV3039" s="236">
        <v>196</v>
      </c>
      <c r="BW3039" s="236" t="s">
        <v>331</v>
      </c>
      <c r="CL3039" s="338">
        <v>203.18</v>
      </c>
      <c r="CM3039" s="338" t="s">
        <v>289</v>
      </c>
      <c r="CT3039" s="1384"/>
      <c r="DX3039" s="1671"/>
    </row>
    <row r="3040" spans="38:128">
      <c r="AL3040" s="1037"/>
      <c r="BP3040" s="1385"/>
      <c r="BV3040" s="236">
        <v>197</v>
      </c>
      <c r="BW3040" s="236" t="s">
        <v>331</v>
      </c>
      <c r="CL3040" s="338">
        <v>203.19</v>
      </c>
      <c r="CM3040" s="338" t="s">
        <v>289</v>
      </c>
      <c r="CT3040" s="1384"/>
      <c r="DX3040" s="1671"/>
    </row>
    <row r="3041" spans="38:128">
      <c r="AL3041" s="1037"/>
      <c r="BP3041" s="1385"/>
      <c r="BV3041" s="236">
        <v>198.01</v>
      </c>
      <c r="BW3041" s="236" t="s">
        <v>331</v>
      </c>
      <c r="CL3041" s="338">
        <v>203.2</v>
      </c>
      <c r="CM3041" s="338" t="s">
        <v>289</v>
      </c>
      <c r="CT3041" s="1384"/>
      <c r="DX3041" s="1671"/>
    </row>
    <row r="3042" spans="38:128">
      <c r="AL3042" s="1037"/>
      <c r="BP3042" s="1385"/>
      <c r="BV3042" s="236">
        <v>198.02</v>
      </c>
      <c r="BW3042" s="236" t="s">
        <v>331</v>
      </c>
      <c r="CL3042" s="338">
        <v>203.21</v>
      </c>
      <c r="CM3042" s="338" t="s">
        <v>289</v>
      </c>
      <c r="CT3042" s="1384"/>
      <c r="DX3042" s="1671"/>
    </row>
    <row r="3043" spans="38:128">
      <c r="AL3043" s="1037"/>
      <c r="BP3043" s="1385"/>
      <c r="BV3043" s="236">
        <v>199.01</v>
      </c>
      <c r="BW3043" s="236" t="s">
        <v>331</v>
      </c>
      <c r="CL3043" s="338">
        <v>203.22</v>
      </c>
      <c r="CM3043" s="338" t="s">
        <v>289</v>
      </c>
      <c r="CT3043" s="1384"/>
      <c r="DX3043" s="1671"/>
    </row>
    <row r="3044" spans="38:128">
      <c r="AL3044" s="1037"/>
      <c r="BP3044" s="1385"/>
      <c r="BV3044" s="236">
        <v>199.02</v>
      </c>
      <c r="BW3044" s="236" t="s">
        <v>331</v>
      </c>
      <c r="CL3044" s="338">
        <v>203.23</v>
      </c>
      <c r="CM3044" s="338" t="s">
        <v>289</v>
      </c>
      <c r="CT3044" s="1384"/>
      <c r="DX3044" s="1671"/>
    </row>
    <row r="3045" spans="38:128">
      <c r="AL3045" s="1037"/>
      <c r="BP3045" s="1385"/>
      <c r="BV3045" s="236">
        <v>200.01</v>
      </c>
      <c r="BW3045" s="236" t="s">
        <v>331</v>
      </c>
      <c r="CL3045" s="338">
        <v>203.24</v>
      </c>
      <c r="CM3045" s="338" t="s">
        <v>289</v>
      </c>
      <c r="CT3045" s="1384"/>
      <c r="DX3045" s="1671"/>
    </row>
    <row r="3046" spans="38:128">
      <c r="AL3046" s="1037"/>
      <c r="BP3046" s="1385"/>
      <c r="BV3046" s="236">
        <v>200.02</v>
      </c>
      <c r="BW3046" s="236" t="s">
        <v>331</v>
      </c>
      <c r="CL3046" s="338">
        <v>203.25</v>
      </c>
      <c r="CM3046" s="338" t="s">
        <v>289</v>
      </c>
      <c r="CT3046" s="1384"/>
      <c r="DX3046" s="1671"/>
    </row>
    <row r="3047" spans="38:128">
      <c r="AL3047" s="1037"/>
      <c r="BP3047" s="1385"/>
      <c r="BV3047" s="236">
        <v>201</v>
      </c>
      <c r="BW3047" s="236" t="s">
        <v>331</v>
      </c>
      <c r="CL3047" s="338">
        <v>203.26</v>
      </c>
      <c r="CM3047" s="338" t="s">
        <v>289</v>
      </c>
      <c r="CT3047" s="1384"/>
      <c r="DX3047" s="1671"/>
    </row>
    <row r="3048" spans="38:128">
      <c r="AL3048" s="1037"/>
      <c r="BP3048" s="1385"/>
      <c r="BV3048" s="236">
        <v>202</v>
      </c>
      <c r="BW3048" s="236" t="s">
        <v>331</v>
      </c>
      <c r="CL3048" s="236">
        <v>204</v>
      </c>
      <c r="CM3048" s="236" t="s">
        <v>307</v>
      </c>
      <c r="CT3048" s="1384"/>
      <c r="DX3048" s="1671"/>
    </row>
    <row r="3049" spans="38:128">
      <c r="AL3049" s="1037"/>
      <c r="BP3049" s="1385"/>
      <c r="BV3049" s="236">
        <v>203</v>
      </c>
      <c r="BW3049" s="236" t="s">
        <v>331</v>
      </c>
      <c r="CL3049" s="236">
        <v>204</v>
      </c>
      <c r="CM3049" s="236" t="s">
        <v>323</v>
      </c>
      <c r="CT3049" s="1384"/>
      <c r="DX3049" s="1671"/>
    </row>
    <row r="3050" spans="38:128">
      <c r="AL3050" s="1037"/>
      <c r="BP3050" s="1385"/>
      <c r="BV3050" s="236">
        <v>4901</v>
      </c>
      <c r="BW3050" s="236" t="s">
        <v>331</v>
      </c>
      <c r="CL3050" s="236">
        <v>204</v>
      </c>
      <c r="CM3050" s="236" t="s">
        <v>336</v>
      </c>
      <c r="CT3050" s="1384"/>
      <c r="DX3050" s="1671"/>
    </row>
    <row r="3051" spans="38:128">
      <c r="AL3051" s="1037"/>
      <c r="BP3051" s="1385"/>
      <c r="BV3051" s="236">
        <v>9801</v>
      </c>
      <c r="BW3051" s="236" t="s">
        <v>331</v>
      </c>
      <c r="CL3051" s="236">
        <v>204</v>
      </c>
      <c r="CM3051" s="236" t="s">
        <v>342</v>
      </c>
      <c r="CT3051" s="1384"/>
      <c r="DX3051" s="1671"/>
    </row>
    <row r="3052" spans="38:128">
      <c r="AL3052" s="1037"/>
      <c r="BP3052" s="1385"/>
      <c r="BV3052" s="236">
        <v>9802</v>
      </c>
      <c r="BW3052" s="236" t="s">
        <v>331</v>
      </c>
      <c r="CL3052" s="236">
        <v>204</v>
      </c>
      <c r="CM3052" s="236" t="s">
        <v>349</v>
      </c>
      <c r="CT3052" s="1384"/>
      <c r="DX3052" s="1671"/>
    </row>
    <row r="3053" spans="38:128">
      <c r="AL3053" s="1037"/>
      <c r="BP3053" s="1385"/>
      <c r="BV3053" s="236">
        <v>9803</v>
      </c>
      <c r="BW3053" s="236" t="s">
        <v>331</v>
      </c>
      <c r="CL3053" s="338">
        <v>204.01</v>
      </c>
      <c r="CM3053" s="338" t="s">
        <v>294</v>
      </c>
      <c r="CT3053" s="1384"/>
      <c r="DX3053" s="1671"/>
    </row>
    <row r="3054" spans="38:128">
      <c r="AL3054" s="1037"/>
      <c r="BP3054" s="1385"/>
      <c r="BV3054" s="236">
        <v>9804</v>
      </c>
      <c r="BW3054" s="236" t="s">
        <v>331</v>
      </c>
      <c r="CL3054" s="236">
        <v>204.01</v>
      </c>
      <c r="CM3054" s="236" t="s">
        <v>348</v>
      </c>
      <c r="CT3054" s="1384"/>
      <c r="DX3054" s="1671"/>
    </row>
    <row r="3055" spans="38:128">
      <c r="AL3055" s="1037"/>
      <c r="BP3055" s="1385"/>
      <c r="BV3055" s="236">
        <v>9805</v>
      </c>
      <c r="BW3055" s="236" t="s">
        <v>331</v>
      </c>
      <c r="CL3055" s="338">
        <v>204.02</v>
      </c>
      <c r="CM3055" s="338" t="s">
        <v>294</v>
      </c>
      <c r="CT3055" s="1384"/>
      <c r="DX3055" s="1671"/>
    </row>
    <row r="3056" spans="38:128">
      <c r="AL3056" s="1037"/>
      <c r="BP3056" s="1385"/>
      <c r="BV3056" s="236">
        <v>9806</v>
      </c>
      <c r="BW3056" s="236" t="s">
        <v>331</v>
      </c>
      <c r="CL3056" s="236">
        <v>204.02</v>
      </c>
      <c r="CM3056" s="236" t="s">
        <v>348</v>
      </c>
      <c r="CT3056" s="1384"/>
      <c r="DX3056" s="1671"/>
    </row>
    <row r="3057" spans="38:128">
      <c r="AL3057" s="1037"/>
      <c r="BP3057" s="1385"/>
      <c r="BV3057" s="236">
        <v>9807</v>
      </c>
      <c r="BW3057" s="236" t="s">
        <v>331</v>
      </c>
      <c r="CL3057" s="338">
        <v>204.04</v>
      </c>
      <c r="CM3057" s="338" t="s">
        <v>289</v>
      </c>
      <c r="CT3057" s="1384"/>
      <c r="DX3057" s="1671"/>
    </row>
    <row r="3058" spans="38:128">
      <c r="AL3058" s="1037"/>
      <c r="BP3058" s="1385"/>
      <c r="BV3058" s="236">
        <v>9808</v>
      </c>
      <c r="BW3058" s="236" t="s">
        <v>331</v>
      </c>
      <c r="CL3058" s="338">
        <v>204.05</v>
      </c>
      <c r="CM3058" s="338" t="s">
        <v>289</v>
      </c>
      <c r="CT3058" s="1384"/>
      <c r="DX3058" s="1671"/>
    </row>
    <row r="3059" spans="38:128">
      <c r="AL3059" s="1037"/>
      <c r="BP3059" s="1385"/>
      <c r="BV3059" s="236">
        <v>9809</v>
      </c>
      <c r="BW3059" s="236" t="s">
        <v>331</v>
      </c>
      <c r="CL3059" s="338">
        <v>204.06</v>
      </c>
      <c r="CM3059" s="338" t="s">
        <v>289</v>
      </c>
      <c r="CT3059" s="1384"/>
      <c r="DX3059" s="1671"/>
    </row>
    <row r="3060" spans="38:128">
      <c r="AL3060" s="1037"/>
      <c r="BP3060" s="1385"/>
      <c r="BV3060" s="236">
        <v>9810</v>
      </c>
      <c r="BW3060" s="236" t="s">
        <v>331</v>
      </c>
      <c r="CL3060" s="338">
        <v>204.07</v>
      </c>
      <c r="CM3060" s="338" t="s">
        <v>289</v>
      </c>
      <c r="CT3060" s="1384"/>
      <c r="DX3060" s="1671"/>
    </row>
    <row r="3061" spans="38:128">
      <c r="AL3061" s="1037"/>
      <c r="BP3061" s="1385"/>
      <c r="BV3061" s="236">
        <v>9811</v>
      </c>
      <c r="BW3061" s="236" t="s">
        <v>331</v>
      </c>
      <c r="CL3061" s="338">
        <v>204.12</v>
      </c>
      <c r="CM3061" s="338" t="s">
        <v>289</v>
      </c>
      <c r="CT3061" s="1384"/>
      <c r="DX3061" s="1671"/>
    </row>
    <row r="3062" spans="38:128">
      <c r="AL3062" s="1037"/>
      <c r="BP3062" s="1385"/>
      <c r="BV3062" s="236">
        <v>9812</v>
      </c>
      <c r="BW3062" s="236" t="s">
        <v>331</v>
      </c>
      <c r="CL3062" s="338">
        <v>204.14</v>
      </c>
      <c r="CM3062" s="338" t="s">
        <v>289</v>
      </c>
      <c r="CT3062" s="1384"/>
      <c r="DX3062" s="1671"/>
    </row>
    <row r="3063" spans="38:128">
      <c r="AL3063" s="1037"/>
      <c r="BP3063" s="1385"/>
      <c r="BV3063" s="236">
        <v>9813</v>
      </c>
      <c r="BW3063" s="236" t="s">
        <v>331</v>
      </c>
      <c r="CL3063" s="338">
        <v>204.15</v>
      </c>
      <c r="CM3063" s="338" t="s">
        <v>289</v>
      </c>
      <c r="CT3063" s="1384"/>
      <c r="DX3063" s="1671"/>
    </row>
    <row r="3064" spans="38:128">
      <c r="AL3064" s="1037"/>
      <c r="BP3064" s="1385"/>
      <c r="BV3064" s="236">
        <v>9900</v>
      </c>
      <c r="BW3064" s="236" t="s">
        <v>331</v>
      </c>
      <c r="CL3064" s="338">
        <v>204.16</v>
      </c>
      <c r="CM3064" s="338" t="s">
        <v>289</v>
      </c>
      <c r="CT3064" s="1384"/>
      <c r="DX3064" s="1671"/>
    </row>
    <row r="3065" spans="38:128">
      <c r="AL3065" s="1037"/>
      <c r="BP3065" s="1385"/>
      <c r="BV3065" s="236">
        <v>501.02</v>
      </c>
      <c r="BW3065" s="236" t="s">
        <v>335</v>
      </c>
      <c r="CL3065" s="338">
        <v>204.17</v>
      </c>
      <c r="CM3065" s="338" t="s">
        <v>289</v>
      </c>
      <c r="CT3065" s="1384"/>
      <c r="DX3065" s="1671"/>
    </row>
    <row r="3066" spans="38:128">
      <c r="AL3066" s="1037"/>
      <c r="BP3066" s="1385"/>
      <c r="BV3066" s="236">
        <v>501.03</v>
      </c>
      <c r="BW3066" s="236" t="s">
        <v>335</v>
      </c>
      <c r="CL3066" s="338">
        <v>204.18</v>
      </c>
      <c r="CM3066" s="338" t="s">
        <v>289</v>
      </c>
      <c r="CT3066" s="1384"/>
      <c r="DX3066" s="1671"/>
    </row>
    <row r="3067" spans="38:128">
      <c r="AL3067" s="1037"/>
      <c r="BP3067" s="1385"/>
      <c r="BV3067" s="236">
        <v>501.04</v>
      </c>
      <c r="BW3067" s="236" t="s">
        <v>335</v>
      </c>
      <c r="CL3067" s="338">
        <v>204.19</v>
      </c>
      <c r="CM3067" s="338" t="s">
        <v>289</v>
      </c>
      <c r="CT3067" s="1384"/>
      <c r="DX3067" s="1671"/>
    </row>
    <row r="3068" spans="38:128">
      <c r="AL3068" s="1037"/>
      <c r="BP3068" s="1385"/>
      <c r="BV3068" s="236">
        <v>502.01</v>
      </c>
      <c r="BW3068" s="236" t="s">
        <v>335</v>
      </c>
      <c r="CL3068" s="338">
        <v>204.2</v>
      </c>
      <c r="CM3068" s="338" t="s">
        <v>289</v>
      </c>
      <c r="CT3068" s="1384"/>
      <c r="DX3068" s="1671"/>
    </row>
    <row r="3069" spans="38:128">
      <c r="AL3069" s="1037"/>
      <c r="BP3069" s="1385"/>
      <c r="BV3069" s="236">
        <v>502.03</v>
      </c>
      <c r="BW3069" s="236" t="s">
        <v>335</v>
      </c>
      <c r="CL3069" s="338">
        <v>204.21</v>
      </c>
      <c r="CM3069" s="338" t="s">
        <v>289</v>
      </c>
      <c r="CT3069" s="1384"/>
      <c r="DX3069" s="1671"/>
    </row>
    <row r="3070" spans="38:128">
      <c r="AL3070" s="1037"/>
      <c r="BP3070" s="1385"/>
      <c r="BV3070" s="236">
        <v>502.04</v>
      </c>
      <c r="BW3070" s="236" t="s">
        <v>335</v>
      </c>
      <c r="CL3070" s="236">
        <v>205</v>
      </c>
      <c r="CM3070" s="236" t="s">
        <v>307</v>
      </c>
      <c r="CT3070" s="1384"/>
      <c r="DX3070" s="1671"/>
    </row>
    <row r="3071" spans="38:128">
      <c r="AL3071" s="1037"/>
      <c r="BP3071" s="1385"/>
      <c r="BV3071" s="236">
        <v>502.05</v>
      </c>
      <c r="BW3071" s="236" t="s">
        <v>335</v>
      </c>
      <c r="CL3071" s="236">
        <v>205</v>
      </c>
      <c r="CM3071" s="236" t="s">
        <v>336</v>
      </c>
      <c r="CT3071" s="1384"/>
      <c r="DX3071" s="1671"/>
    </row>
    <row r="3072" spans="38:128">
      <c r="AL3072" s="1037"/>
      <c r="BP3072" s="1385"/>
      <c r="BV3072" s="236">
        <v>503.04</v>
      </c>
      <c r="BW3072" s="236" t="s">
        <v>335</v>
      </c>
      <c r="CL3072" s="236">
        <v>205</v>
      </c>
      <c r="CM3072" s="236" t="s">
        <v>342</v>
      </c>
      <c r="CT3072" s="1384"/>
      <c r="DX3072" s="1671"/>
    </row>
    <row r="3073" spans="38:128">
      <c r="AL3073" s="1037"/>
      <c r="BP3073" s="1385"/>
      <c r="BV3073" s="236">
        <v>503.05</v>
      </c>
      <c r="BW3073" s="236" t="s">
        <v>335</v>
      </c>
      <c r="CL3073" s="236">
        <v>205</v>
      </c>
      <c r="CM3073" s="236" t="s">
        <v>348</v>
      </c>
      <c r="CT3073" s="1384"/>
      <c r="DX3073" s="1671"/>
    </row>
    <row r="3074" spans="38:128">
      <c r="AL3074" s="1037"/>
      <c r="BP3074" s="1385"/>
      <c r="BV3074" s="236">
        <v>503.06</v>
      </c>
      <c r="BW3074" s="236" t="s">
        <v>335</v>
      </c>
      <c r="CL3074" s="236">
        <v>205</v>
      </c>
      <c r="CM3074" s="236" t="s">
        <v>349</v>
      </c>
      <c r="CT3074" s="1384"/>
      <c r="DX3074" s="1671"/>
    </row>
    <row r="3075" spans="38:128">
      <c r="AL3075" s="1037"/>
      <c r="BP3075" s="1385"/>
      <c r="BV3075" s="236">
        <v>503.07</v>
      </c>
      <c r="BW3075" s="236" t="s">
        <v>335</v>
      </c>
      <c r="CL3075" s="338">
        <v>205.01</v>
      </c>
      <c r="CM3075" s="338" t="s">
        <v>289</v>
      </c>
      <c r="CT3075" s="1384"/>
      <c r="DX3075" s="1671"/>
    </row>
    <row r="3076" spans="38:128">
      <c r="AL3076" s="1037"/>
      <c r="BP3076" s="1385"/>
      <c r="BV3076" s="236">
        <v>503.08</v>
      </c>
      <c r="BW3076" s="236" t="s">
        <v>335</v>
      </c>
      <c r="CL3076" s="338">
        <v>205.01</v>
      </c>
      <c r="CM3076" s="338" t="s">
        <v>294</v>
      </c>
      <c r="CT3076" s="1384"/>
      <c r="DX3076" s="1671"/>
    </row>
    <row r="3077" spans="38:128">
      <c r="AL3077" s="1037"/>
      <c r="BP3077" s="1385"/>
      <c r="BV3077" s="236">
        <v>503.09</v>
      </c>
      <c r="BW3077" s="236" t="s">
        <v>335</v>
      </c>
      <c r="CL3077" s="236">
        <v>205.01</v>
      </c>
      <c r="CM3077" s="236" t="s">
        <v>323</v>
      </c>
      <c r="CT3077" s="1384"/>
      <c r="DX3077" s="1671"/>
    </row>
    <row r="3078" spans="38:128">
      <c r="AL3078" s="1037"/>
      <c r="BP3078" s="1385"/>
      <c r="BV3078" s="236">
        <v>503.1</v>
      </c>
      <c r="BW3078" s="236" t="s">
        <v>335</v>
      </c>
      <c r="CL3078" s="338">
        <v>205.02</v>
      </c>
      <c r="CM3078" s="338" t="s">
        <v>289</v>
      </c>
      <c r="CT3078" s="1384"/>
      <c r="DX3078" s="1671"/>
    </row>
    <row r="3079" spans="38:128">
      <c r="AL3079" s="1037"/>
      <c r="BP3079" s="1385"/>
      <c r="BV3079" s="236">
        <v>504.01</v>
      </c>
      <c r="BW3079" s="236" t="s">
        <v>335</v>
      </c>
      <c r="CL3079" s="338">
        <v>205.02</v>
      </c>
      <c r="CM3079" s="338" t="s">
        <v>294</v>
      </c>
      <c r="CT3079" s="1384"/>
      <c r="DX3079" s="1671"/>
    </row>
    <row r="3080" spans="38:128">
      <c r="AL3080" s="1037"/>
      <c r="BP3080" s="1385"/>
      <c r="BV3080" s="236">
        <v>504.02</v>
      </c>
      <c r="BW3080" s="236" t="s">
        <v>335</v>
      </c>
      <c r="CL3080" s="236">
        <v>205.02</v>
      </c>
      <c r="CM3080" s="236" t="s">
        <v>323</v>
      </c>
      <c r="CT3080" s="1384"/>
      <c r="DX3080" s="1671"/>
    </row>
    <row r="3081" spans="38:128">
      <c r="AL3081" s="1037"/>
      <c r="BP3081" s="1385"/>
      <c r="BV3081" s="236">
        <v>504.03</v>
      </c>
      <c r="BW3081" s="236" t="s">
        <v>335</v>
      </c>
      <c r="CL3081" s="236">
        <v>206</v>
      </c>
      <c r="CM3081" s="236" t="s">
        <v>307</v>
      </c>
      <c r="CT3081" s="1384"/>
      <c r="DX3081" s="1671"/>
    </row>
    <row r="3082" spans="38:128">
      <c r="AL3082" s="1037"/>
      <c r="BP3082" s="1385"/>
      <c r="BV3082" s="236">
        <v>505.04</v>
      </c>
      <c r="BW3082" s="236" t="s">
        <v>335</v>
      </c>
      <c r="CL3082" s="236">
        <v>206</v>
      </c>
      <c r="CM3082" s="236" t="s">
        <v>323</v>
      </c>
      <c r="CT3082" s="1384"/>
      <c r="DX3082" s="1671"/>
    </row>
    <row r="3083" spans="38:128">
      <c r="AL3083" s="1037"/>
      <c r="BP3083" s="1385"/>
      <c r="BV3083" s="236">
        <v>505.05</v>
      </c>
      <c r="BW3083" s="236" t="s">
        <v>335</v>
      </c>
      <c r="CL3083" s="236">
        <v>206</v>
      </c>
      <c r="CM3083" s="236" t="s">
        <v>342</v>
      </c>
      <c r="CT3083" s="1384"/>
      <c r="DX3083" s="1671"/>
    </row>
    <row r="3084" spans="38:128">
      <c r="AL3084" s="1037"/>
      <c r="BP3084" s="1385"/>
      <c r="BV3084" s="236">
        <v>505.06</v>
      </c>
      <c r="BW3084" s="236" t="s">
        <v>335</v>
      </c>
      <c r="CL3084" s="338">
        <v>206.01</v>
      </c>
      <c r="CM3084" s="338" t="s">
        <v>294</v>
      </c>
      <c r="CT3084" s="1384"/>
      <c r="DX3084" s="1671"/>
    </row>
    <row r="3085" spans="38:128">
      <c r="AL3085" s="1037"/>
      <c r="BP3085" s="1385"/>
      <c r="BV3085" s="236">
        <v>505.07</v>
      </c>
      <c r="BW3085" s="236" t="s">
        <v>335</v>
      </c>
      <c r="CL3085" s="236">
        <v>206.01</v>
      </c>
      <c r="CM3085" s="236" t="s">
        <v>336</v>
      </c>
      <c r="CT3085" s="1384"/>
      <c r="CZ3085" s="338"/>
      <c r="DA3085" s="338"/>
      <c r="DP3085" s="236"/>
      <c r="DQ3085" s="236"/>
      <c r="DX3085" s="1671"/>
    </row>
    <row r="3086" spans="38:128">
      <c r="AL3086" s="1037"/>
      <c r="BP3086" s="1385"/>
      <c r="BV3086" s="236">
        <v>505.08</v>
      </c>
      <c r="BW3086" s="236" t="s">
        <v>335</v>
      </c>
      <c r="CL3086" s="236">
        <v>206.01</v>
      </c>
      <c r="CM3086" s="236" t="s">
        <v>348</v>
      </c>
      <c r="CT3086" s="1384"/>
      <c r="CZ3086" s="338"/>
      <c r="DA3086" s="338"/>
      <c r="DP3086" s="236"/>
      <c r="DQ3086" s="236"/>
      <c r="DX3086" s="1671"/>
    </row>
    <row r="3087" spans="38:128">
      <c r="AL3087" s="1037"/>
      <c r="BP3087" s="1385"/>
      <c r="BV3087" s="236">
        <v>505.09</v>
      </c>
      <c r="BW3087" s="236" t="s">
        <v>335</v>
      </c>
      <c r="CL3087" s="338">
        <v>206.02</v>
      </c>
      <c r="CM3087" s="338" t="s">
        <v>294</v>
      </c>
      <c r="CT3087" s="1384"/>
      <c r="CZ3087" s="338"/>
      <c r="DA3087" s="338"/>
      <c r="DP3087" s="236"/>
      <c r="DQ3087" s="236"/>
      <c r="DX3087" s="1671"/>
    </row>
    <row r="3088" spans="38:128">
      <c r="AL3088" s="1037"/>
      <c r="BP3088" s="1385"/>
      <c r="BV3088" s="236">
        <v>9900</v>
      </c>
      <c r="BW3088" s="236" t="s">
        <v>335</v>
      </c>
      <c r="CL3088" s="236">
        <v>206.02</v>
      </c>
      <c r="CM3088" s="236" t="s">
        <v>336</v>
      </c>
      <c r="CT3088" s="1384"/>
      <c r="CZ3088" s="338"/>
      <c r="DA3088" s="338"/>
      <c r="DP3088" s="236"/>
      <c r="DQ3088" s="236"/>
      <c r="DX3088" s="1671"/>
    </row>
    <row r="3089" spans="38:128">
      <c r="AL3089" s="1037"/>
      <c r="BP3089" s="1385"/>
      <c r="BV3089" s="236">
        <v>201.01</v>
      </c>
      <c r="BW3089" s="236" t="s">
        <v>336</v>
      </c>
      <c r="CL3089" s="236">
        <v>206.02</v>
      </c>
      <c r="CM3089" s="236" t="s">
        <v>348</v>
      </c>
      <c r="CT3089" s="1384"/>
      <c r="CZ3089" s="338"/>
      <c r="DA3089" s="338"/>
      <c r="DP3089" s="236"/>
      <c r="DQ3089" s="236"/>
      <c r="DX3089" s="1671"/>
    </row>
    <row r="3090" spans="38:128">
      <c r="AL3090" s="1037"/>
      <c r="BP3090" s="1385"/>
      <c r="BV3090" s="236">
        <v>201.02</v>
      </c>
      <c r="BW3090" s="236" t="s">
        <v>336</v>
      </c>
      <c r="CL3090" s="236">
        <v>206.03</v>
      </c>
      <c r="CM3090" s="236" t="s">
        <v>349</v>
      </c>
      <c r="CT3090" s="1384"/>
      <c r="CZ3090" s="338"/>
      <c r="DA3090" s="338"/>
      <c r="DP3090" s="236"/>
      <c r="DQ3090" s="236"/>
      <c r="DX3090" s="1671"/>
    </row>
    <row r="3091" spans="38:128">
      <c r="AL3091" s="1037"/>
      <c r="BP3091" s="1385"/>
      <c r="BV3091" s="236">
        <v>202</v>
      </c>
      <c r="BW3091" s="236" t="s">
        <v>336</v>
      </c>
      <c r="CL3091" s="236">
        <v>206.04</v>
      </c>
      <c r="CM3091" s="236" t="s">
        <v>349</v>
      </c>
      <c r="CT3091" s="1384"/>
      <c r="CZ3091" s="338"/>
      <c r="DA3091" s="338"/>
      <c r="DP3091" s="236"/>
      <c r="DQ3091" s="236"/>
      <c r="DX3091" s="1671"/>
    </row>
    <row r="3092" spans="38:128">
      <c r="AL3092" s="1037"/>
      <c r="BP3092" s="1385"/>
      <c r="BV3092" s="236">
        <v>203.03</v>
      </c>
      <c r="BW3092" s="236" t="s">
        <v>336</v>
      </c>
      <c r="CL3092" s="236">
        <v>206.05</v>
      </c>
      <c r="CM3092" s="236" t="s">
        <v>349</v>
      </c>
      <c r="CT3092" s="1384"/>
      <c r="CZ3092" s="338"/>
      <c r="DA3092" s="338"/>
      <c r="DP3092" s="236"/>
      <c r="DQ3092" s="236"/>
      <c r="DX3092" s="1671"/>
    </row>
    <row r="3093" spans="38:128">
      <c r="AL3093" s="1037"/>
      <c r="BP3093" s="1385"/>
      <c r="BV3093" s="236">
        <v>203.04</v>
      </c>
      <c r="BW3093" s="236" t="s">
        <v>336</v>
      </c>
      <c r="CL3093" s="236">
        <v>206.06</v>
      </c>
      <c r="CM3093" s="236" t="s">
        <v>349</v>
      </c>
      <c r="CT3093" s="1384"/>
      <c r="CZ3093" s="338"/>
      <c r="DA3093" s="338"/>
      <c r="DP3093" s="236"/>
      <c r="DQ3093" s="236"/>
      <c r="DX3093" s="1671"/>
    </row>
    <row r="3094" spans="38:128">
      <c r="AL3094" s="1037"/>
      <c r="BP3094" s="1385"/>
      <c r="BV3094" s="236">
        <v>203.05</v>
      </c>
      <c r="BW3094" s="236" t="s">
        <v>336</v>
      </c>
      <c r="CL3094" s="338">
        <v>207</v>
      </c>
      <c r="CM3094" s="338" t="s">
        <v>294</v>
      </c>
      <c r="CT3094" s="1384"/>
      <c r="CZ3094" s="338"/>
      <c r="DA3094" s="338"/>
      <c r="DP3094" s="236"/>
      <c r="DQ3094" s="236"/>
      <c r="DX3094" s="1671"/>
    </row>
    <row r="3095" spans="38:128">
      <c r="AL3095" s="1037"/>
      <c r="BP3095" s="1385"/>
      <c r="BV3095" s="236">
        <v>203.06</v>
      </c>
      <c r="BW3095" s="236" t="s">
        <v>336</v>
      </c>
      <c r="CL3095" s="236">
        <v>207</v>
      </c>
      <c r="CM3095" s="236" t="s">
        <v>323</v>
      </c>
      <c r="CT3095" s="1384"/>
      <c r="CZ3095" s="338"/>
      <c r="DA3095" s="338"/>
      <c r="DP3095" s="236"/>
      <c r="DQ3095" s="236"/>
      <c r="DX3095" s="1671"/>
    </row>
    <row r="3096" spans="38:128">
      <c r="AL3096" s="1037"/>
      <c r="BP3096" s="1385"/>
      <c r="BV3096" s="236">
        <v>204</v>
      </c>
      <c r="BW3096" s="236" t="s">
        <v>336</v>
      </c>
      <c r="CL3096" s="236">
        <v>207</v>
      </c>
      <c r="CM3096" s="236" t="s">
        <v>342</v>
      </c>
      <c r="CT3096" s="1384"/>
      <c r="CZ3096" s="338"/>
      <c r="DA3096" s="338"/>
      <c r="DP3096" s="236"/>
      <c r="DQ3096" s="236"/>
      <c r="DX3096" s="1671"/>
    </row>
    <row r="3097" spans="38:128">
      <c r="AL3097" s="1037"/>
      <c r="BP3097" s="1385"/>
      <c r="BV3097" s="236">
        <v>205</v>
      </c>
      <c r="BW3097" s="236" t="s">
        <v>336</v>
      </c>
      <c r="CL3097" s="236">
        <v>207.01</v>
      </c>
      <c r="CM3097" s="236" t="s">
        <v>307</v>
      </c>
      <c r="CT3097" s="1384"/>
      <c r="CZ3097" s="338"/>
      <c r="DA3097" s="338"/>
      <c r="DP3097" s="236"/>
      <c r="DQ3097" s="236"/>
      <c r="DX3097" s="1671"/>
    </row>
    <row r="3098" spans="38:128">
      <c r="AL3098" s="1037"/>
      <c r="BP3098" s="1385"/>
      <c r="BV3098" s="236">
        <v>206.01</v>
      </c>
      <c r="BW3098" s="236" t="s">
        <v>336</v>
      </c>
      <c r="CL3098" s="236">
        <v>207.01</v>
      </c>
      <c r="CM3098" s="236" t="s">
        <v>336</v>
      </c>
      <c r="CT3098" s="1384"/>
      <c r="CZ3098" s="338"/>
      <c r="DA3098" s="338"/>
      <c r="DP3098" s="236"/>
      <c r="DQ3098" s="236"/>
      <c r="DX3098" s="1671"/>
    </row>
    <row r="3099" spans="38:128">
      <c r="AL3099" s="1037"/>
      <c r="BP3099" s="1385"/>
      <c r="BV3099" s="236">
        <v>206.02</v>
      </c>
      <c r="BW3099" s="236" t="s">
        <v>336</v>
      </c>
      <c r="CL3099" s="236">
        <v>207.02</v>
      </c>
      <c r="CM3099" s="236" t="s">
        <v>307</v>
      </c>
      <c r="CT3099" s="1384"/>
      <c r="CZ3099" s="338"/>
      <c r="DA3099" s="338"/>
      <c r="DP3099" s="236"/>
      <c r="DQ3099" s="236"/>
      <c r="DX3099" s="1671"/>
    </row>
    <row r="3100" spans="38:128">
      <c r="AL3100" s="1037"/>
      <c r="BP3100" s="1385"/>
      <c r="BV3100" s="236">
        <v>207.01</v>
      </c>
      <c r="BW3100" s="236" t="s">
        <v>336</v>
      </c>
      <c r="CL3100" s="236">
        <v>207.02</v>
      </c>
      <c r="CM3100" s="236" t="s">
        <v>336</v>
      </c>
      <c r="CT3100" s="1384"/>
      <c r="CZ3100" s="338"/>
      <c r="DA3100" s="338"/>
      <c r="DP3100" s="236"/>
      <c r="DQ3100" s="236"/>
      <c r="DX3100" s="1671"/>
    </row>
    <row r="3101" spans="38:128">
      <c r="AL3101" s="1037"/>
      <c r="BP3101" s="1385"/>
      <c r="BV3101" s="236">
        <v>207.02</v>
      </c>
      <c r="BW3101" s="236" t="s">
        <v>336</v>
      </c>
      <c r="CL3101" s="236">
        <v>207.03</v>
      </c>
      <c r="CM3101" s="236" t="s">
        <v>348</v>
      </c>
      <c r="CT3101" s="1384"/>
      <c r="CZ3101" s="338"/>
      <c r="DA3101" s="338"/>
      <c r="DP3101" s="236"/>
      <c r="DQ3101" s="236"/>
      <c r="DX3101" s="1671"/>
    </row>
    <row r="3102" spans="38:128">
      <c r="AL3102" s="1037"/>
      <c r="BP3102" s="1385"/>
      <c r="BV3102" s="236">
        <v>208</v>
      </c>
      <c r="BW3102" s="236" t="s">
        <v>336</v>
      </c>
      <c r="CL3102" s="236">
        <v>207.04</v>
      </c>
      <c r="CM3102" s="236" t="s">
        <v>348</v>
      </c>
      <c r="CT3102" s="1384"/>
      <c r="CZ3102" s="338"/>
      <c r="DA3102" s="338"/>
      <c r="DP3102" s="236"/>
      <c r="DQ3102" s="236"/>
      <c r="DX3102" s="1671"/>
    </row>
    <row r="3103" spans="38:128">
      <c r="AL3103" s="1037"/>
      <c r="BP3103" s="1385"/>
      <c r="BV3103" s="236">
        <v>209</v>
      </c>
      <c r="BW3103" s="236" t="s">
        <v>336</v>
      </c>
      <c r="CL3103" s="236">
        <v>207.04</v>
      </c>
      <c r="CM3103" s="236" t="s">
        <v>349</v>
      </c>
      <c r="CT3103" s="1384"/>
      <c r="CZ3103" s="338"/>
      <c r="DA3103" s="338"/>
      <c r="DP3103" s="236"/>
      <c r="DQ3103" s="236"/>
      <c r="DX3103" s="1671"/>
    </row>
    <row r="3104" spans="38:128">
      <c r="AL3104" s="1037"/>
      <c r="BP3104" s="1385"/>
      <c r="BV3104" s="236">
        <v>210.01</v>
      </c>
      <c r="BW3104" s="236" t="s">
        <v>336</v>
      </c>
      <c r="CL3104" s="236">
        <v>207.05</v>
      </c>
      <c r="CM3104" s="236" t="s">
        <v>348</v>
      </c>
      <c r="CT3104" s="1384"/>
      <c r="CZ3104" s="338"/>
      <c r="DA3104" s="338"/>
      <c r="DP3104" s="236"/>
      <c r="DQ3104" s="236"/>
      <c r="DX3104" s="1671"/>
    </row>
    <row r="3105" spans="38:128">
      <c r="AL3105" s="1037"/>
      <c r="BP3105" s="1385"/>
      <c r="BV3105" s="236">
        <v>210.02</v>
      </c>
      <c r="BW3105" s="236" t="s">
        <v>336</v>
      </c>
      <c r="CL3105" s="236">
        <v>207.05</v>
      </c>
      <c r="CM3105" s="236" t="s">
        <v>349</v>
      </c>
      <c r="CT3105" s="1384"/>
      <c r="CZ3105" s="338"/>
      <c r="DA3105" s="338"/>
      <c r="DP3105" s="236"/>
      <c r="DQ3105" s="236"/>
      <c r="DX3105" s="1671"/>
    </row>
    <row r="3106" spans="38:128">
      <c r="AL3106" s="1037"/>
      <c r="BP3106" s="1385"/>
      <c r="BV3106" s="236">
        <v>211.01</v>
      </c>
      <c r="BW3106" s="236" t="s">
        <v>336</v>
      </c>
      <c r="CL3106" s="236">
        <v>207.06</v>
      </c>
      <c r="CM3106" s="236" t="s">
        <v>348</v>
      </c>
      <c r="CT3106" s="1384"/>
      <c r="CZ3106" s="338"/>
      <c r="DA3106" s="338"/>
      <c r="DP3106" s="236"/>
      <c r="DQ3106" s="236"/>
      <c r="DX3106" s="1671"/>
    </row>
    <row r="3107" spans="38:128">
      <c r="AL3107" s="1037"/>
      <c r="BP3107" s="1385"/>
      <c r="BV3107" s="236">
        <v>211.02</v>
      </c>
      <c r="BW3107" s="236" t="s">
        <v>336</v>
      </c>
      <c r="CL3107" s="236">
        <v>207.06</v>
      </c>
      <c r="CM3107" s="236" t="s">
        <v>349</v>
      </c>
      <c r="CT3107" s="1384"/>
      <c r="CZ3107" s="338"/>
      <c r="DA3107" s="338"/>
      <c r="DP3107" s="236"/>
      <c r="DQ3107" s="236"/>
      <c r="DX3107" s="1671"/>
    </row>
    <row r="3108" spans="38:128">
      <c r="AL3108" s="1037"/>
      <c r="BP3108" s="1385"/>
      <c r="BV3108" s="236">
        <v>212</v>
      </c>
      <c r="BW3108" s="236" t="s">
        <v>336</v>
      </c>
      <c r="CL3108" s="236">
        <v>207.07</v>
      </c>
      <c r="CM3108" s="236" t="s">
        <v>348</v>
      </c>
      <c r="CT3108" s="1384"/>
      <c r="CZ3108" s="338"/>
      <c r="DA3108" s="338"/>
      <c r="DP3108" s="236"/>
      <c r="DQ3108" s="236"/>
      <c r="DX3108" s="1671"/>
    </row>
    <row r="3109" spans="38:128">
      <c r="AL3109" s="1037"/>
      <c r="BP3109" s="1385"/>
      <c r="BV3109" s="236">
        <v>214</v>
      </c>
      <c r="BW3109" s="236" t="s">
        <v>336</v>
      </c>
      <c r="CL3109" s="236">
        <v>207.07</v>
      </c>
      <c r="CM3109" s="236" t="s">
        <v>349</v>
      </c>
      <c r="CT3109" s="1384"/>
      <c r="CZ3109" s="338"/>
      <c r="DA3109" s="338"/>
      <c r="DP3109" s="236"/>
      <c r="DQ3109" s="236"/>
      <c r="DX3109" s="1671"/>
    </row>
    <row r="3110" spans="38:128">
      <c r="AL3110" s="1037"/>
      <c r="BP3110" s="1385"/>
      <c r="BV3110" s="236">
        <v>215.01</v>
      </c>
      <c r="BW3110" s="236" t="s">
        <v>336</v>
      </c>
      <c r="CL3110" s="236">
        <v>207.08</v>
      </c>
      <c r="CM3110" s="236" t="s">
        <v>349</v>
      </c>
      <c r="CT3110" s="1384"/>
      <c r="CZ3110" s="338"/>
      <c r="DA3110" s="338"/>
      <c r="DP3110" s="236"/>
      <c r="DQ3110" s="236"/>
      <c r="DX3110" s="1671"/>
    </row>
    <row r="3111" spans="38:128">
      <c r="AL3111" s="1037"/>
      <c r="BP3111" s="1385"/>
      <c r="BV3111" s="236">
        <v>215.02</v>
      </c>
      <c r="BW3111" s="236" t="s">
        <v>336</v>
      </c>
      <c r="CL3111" s="236">
        <v>207.1</v>
      </c>
      <c r="CM3111" s="236" t="s">
        <v>349</v>
      </c>
      <c r="CT3111" s="1384"/>
      <c r="CZ3111" s="338"/>
      <c r="DA3111" s="338"/>
      <c r="DP3111" s="236"/>
      <c r="DQ3111" s="236"/>
      <c r="DX3111" s="1671"/>
    </row>
    <row r="3112" spans="38:128">
      <c r="AL3112" s="1037"/>
      <c r="BP3112" s="1385"/>
      <c r="BV3112" s="236">
        <v>216</v>
      </c>
      <c r="BW3112" s="236" t="s">
        <v>336</v>
      </c>
      <c r="CL3112" s="236">
        <v>207.12</v>
      </c>
      <c r="CM3112" s="236" t="s">
        <v>349</v>
      </c>
      <c r="CT3112" s="1384"/>
      <c r="CZ3112" s="338"/>
      <c r="DA3112" s="338"/>
      <c r="DP3112" s="236"/>
      <c r="DQ3112" s="236"/>
      <c r="DX3112" s="1671"/>
    </row>
    <row r="3113" spans="38:128">
      <c r="AL3113" s="1037"/>
      <c r="BP3113" s="1385"/>
      <c r="BV3113" s="236">
        <v>217</v>
      </c>
      <c r="BW3113" s="236" t="s">
        <v>336</v>
      </c>
      <c r="CL3113" s="236">
        <v>207.13</v>
      </c>
      <c r="CM3113" s="236" t="s">
        <v>349</v>
      </c>
      <c r="CT3113" s="1384"/>
      <c r="CZ3113" s="338"/>
      <c r="DA3113" s="338"/>
      <c r="DP3113" s="236"/>
      <c r="DQ3113" s="236"/>
      <c r="DX3113" s="1671"/>
    </row>
    <row r="3114" spans="38:128">
      <c r="AL3114" s="1037"/>
      <c r="BP3114" s="1385"/>
      <c r="BV3114" s="236">
        <v>218.01</v>
      </c>
      <c r="BW3114" s="236" t="s">
        <v>336</v>
      </c>
      <c r="CL3114" s="338">
        <v>208</v>
      </c>
      <c r="CM3114" s="338" t="s">
        <v>294</v>
      </c>
      <c r="CT3114" s="1384"/>
      <c r="CZ3114" s="338"/>
      <c r="DA3114" s="338"/>
      <c r="DP3114" s="236"/>
      <c r="DQ3114" s="236"/>
      <c r="DX3114" s="1671"/>
    </row>
    <row r="3115" spans="38:128">
      <c r="AL3115" s="1037"/>
      <c r="BP3115" s="1385"/>
      <c r="BV3115" s="236">
        <v>218.02</v>
      </c>
      <c r="BW3115" s="236" t="s">
        <v>336</v>
      </c>
      <c r="CL3115" s="236">
        <v>208</v>
      </c>
      <c r="CM3115" s="236" t="s">
        <v>307</v>
      </c>
      <c r="CT3115" s="1384"/>
      <c r="CZ3115" s="338"/>
      <c r="DA3115" s="338"/>
      <c r="DP3115" s="236"/>
      <c r="DQ3115" s="236"/>
      <c r="DX3115" s="1671"/>
    </row>
    <row r="3116" spans="38:128">
      <c r="AL3116" s="1037"/>
      <c r="BP3116" s="1385"/>
      <c r="BV3116" s="236">
        <v>219.01</v>
      </c>
      <c r="BW3116" s="236" t="s">
        <v>336</v>
      </c>
      <c r="CL3116" s="236">
        <v>208</v>
      </c>
      <c r="CM3116" s="236" t="s">
        <v>336</v>
      </c>
      <c r="CT3116" s="1384"/>
      <c r="CZ3116" s="338"/>
      <c r="DA3116" s="338"/>
      <c r="DP3116" s="236"/>
      <c r="DQ3116" s="236"/>
      <c r="DX3116" s="1671"/>
    </row>
    <row r="3117" spans="38:128">
      <c r="AL3117" s="1037"/>
      <c r="BP3117" s="1385"/>
      <c r="BV3117" s="236">
        <v>219.02</v>
      </c>
      <c r="BW3117" s="236" t="s">
        <v>336</v>
      </c>
      <c r="CL3117" s="236">
        <v>208</v>
      </c>
      <c r="CM3117" s="236" t="s">
        <v>342</v>
      </c>
      <c r="CT3117" s="1384"/>
      <c r="CZ3117" s="338"/>
      <c r="DA3117" s="338"/>
      <c r="DP3117" s="236"/>
      <c r="DQ3117" s="236"/>
      <c r="DX3117" s="1671"/>
    </row>
    <row r="3118" spans="38:128">
      <c r="AL3118" s="1037"/>
      <c r="BP3118" s="1385"/>
      <c r="BV3118" s="236">
        <v>220.01</v>
      </c>
      <c r="BW3118" s="236" t="s">
        <v>336</v>
      </c>
      <c r="CL3118" s="236">
        <v>208.01</v>
      </c>
      <c r="CM3118" s="236" t="s">
        <v>323</v>
      </c>
      <c r="CT3118" s="1384"/>
      <c r="CZ3118" s="338"/>
      <c r="DA3118" s="338"/>
      <c r="DP3118" s="236"/>
      <c r="DQ3118" s="236"/>
      <c r="DX3118" s="1671"/>
    </row>
    <row r="3119" spans="38:128">
      <c r="AL3119" s="1037"/>
      <c r="BP3119" s="1385"/>
      <c r="BV3119" s="236">
        <v>220.02</v>
      </c>
      <c r="BW3119" s="236" t="s">
        <v>336</v>
      </c>
      <c r="CL3119" s="236">
        <v>208.01</v>
      </c>
      <c r="CM3119" s="236" t="s">
        <v>349</v>
      </c>
      <c r="CT3119" s="1384"/>
      <c r="CZ3119" s="338"/>
      <c r="DA3119" s="338"/>
      <c r="DP3119" s="236"/>
      <c r="DQ3119" s="236"/>
      <c r="DX3119" s="1671"/>
    </row>
    <row r="3120" spans="38:128">
      <c r="AL3120" s="1037"/>
      <c r="BP3120" s="1385"/>
      <c r="BV3120" s="236">
        <v>221</v>
      </c>
      <c r="BW3120" s="236" t="s">
        <v>336</v>
      </c>
      <c r="CL3120" s="236">
        <v>208.02</v>
      </c>
      <c r="CM3120" s="236" t="s">
        <v>323</v>
      </c>
      <c r="CT3120" s="1384"/>
      <c r="CZ3120" s="338"/>
      <c r="DA3120" s="338"/>
      <c r="DP3120" s="236"/>
      <c r="DQ3120" s="236"/>
      <c r="DX3120" s="1671"/>
    </row>
    <row r="3121" spans="38:128">
      <c r="AL3121" s="1037"/>
      <c r="BP3121" s="1385"/>
      <c r="BV3121" s="236">
        <v>223</v>
      </c>
      <c r="BW3121" s="236" t="s">
        <v>336</v>
      </c>
      <c r="CL3121" s="236">
        <v>208.02</v>
      </c>
      <c r="CM3121" s="236" t="s">
        <v>349</v>
      </c>
      <c r="CT3121" s="1384"/>
      <c r="CZ3121" s="338"/>
      <c r="DA3121" s="338"/>
      <c r="DP3121" s="236"/>
      <c r="DQ3121" s="236"/>
      <c r="DX3121" s="1671"/>
    </row>
    <row r="3122" spans="38:128">
      <c r="AL3122" s="1037"/>
      <c r="BP3122" s="1385"/>
      <c r="BV3122" s="236">
        <v>224</v>
      </c>
      <c r="BW3122" s="236" t="s">
        <v>336</v>
      </c>
      <c r="CL3122" s="236">
        <v>208.03</v>
      </c>
      <c r="CM3122" s="236" t="s">
        <v>348</v>
      </c>
      <c r="CT3122" s="1384"/>
      <c r="CZ3122" s="338"/>
      <c r="DA3122" s="338"/>
      <c r="DP3122" s="236"/>
      <c r="DQ3122" s="236"/>
      <c r="DX3122" s="1671"/>
    </row>
    <row r="3123" spans="38:128">
      <c r="AL3123" s="1037"/>
      <c r="BP3123" s="1385"/>
      <c r="BV3123" s="236">
        <v>225</v>
      </c>
      <c r="BW3123" s="236" t="s">
        <v>336</v>
      </c>
      <c r="CL3123" s="236">
        <v>208.03</v>
      </c>
      <c r="CM3123" s="236" t="s">
        <v>349</v>
      </c>
      <c r="CT3123" s="1384"/>
      <c r="CZ3123" s="338"/>
      <c r="DA3123" s="338"/>
      <c r="DP3123" s="236"/>
      <c r="DQ3123" s="236"/>
      <c r="DX3123" s="1671"/>
    </row>
    <row r="3124" spans="38:128">
      <c r="AL3124" s="1037"/>
      <c r="BP3124" s="1385"/>
      <c r="BV3124" s="236">
        <v>226</v>
      </c>
      <c r="BW3124" s="236" t="s">
        <v>336</v>
      </c>
      <c r="CL3124" s="236">
        <v>208.04</v>
      </c>
      <c r="CM3124" s="236" t="s">
        <v>349</v>
      </c>
      <c r="CT3124" s="1384"/>
      <c r="CZ3124" s="338"/>
      <c r="DA3124" s="338"/>
      <c r="DP3124" s="236"/>
      <c r="DQ3124" s="236"/>
      <c r="DX3124" s="1671"/>
    </row>
    <row r="3125" spans="38:128">
      <c r="AL3125" s="1037"/>
      <c r="BP3125" s="1385"/>
      <c r="BV3125" s="236">
        <v>227</v>
      </c>
      <c r="BW3125" s="236" t="s">
        <v>336</v>
      </c>
      <c r="CL3125" s="236">
        <v>208.05</v>
      </c>
      <c r="CM3125" s="236" t="s">
        <v>348</v>
      </c>
      <c r="CT3125" s="1384"/>
      <c r="CZ3125" s="338"/>
      <c r="DA3125" s="338"/>
      <c r="DP3125" s="236"/>
      <c r="DQ3125" s="236"/>
      <c r="DX3125" s="1671"/>
    </row>
    <row r="3126" spans="38:128">
      <c r="AL3126" s="1037"/>
      <c r="BP3126" s="1385"/>
      <c r="BV3126" s="236">
        <v>228</v>
      </c>
      <c r="BW3126" s="236" t="s">
        <v>336</v>
      </c>
      <c r="CL3126" s="236">
        <v>208.06</v>
      </c>
      <c r="CM3126" s="236" t="s">
        <v>348</v>
      </c>
      <c r="CT3126" s="1384"/>
      <c r="CZ3126" s="338"/>
      <c r="DA3126" s="338"/>
      <c r="DP3126" s="236"/>
      <c r="DQ3126" s="236"/>
      <c r="DX3126" s="1671"/>
    </row>
    <row r="3127" spans="38:128">
      <c r="AL3127" s="1037"/>
      <c r="BP3127" s="1385"/>
      <c r="BV3127" s="236">
        <v>229</v>
      </c>
      <c r="BW3127" s="236" t="s">
        <v>336</v>
      </c>
      <c r="CL3127" s="236">
        <v>208.07</v>
      </c>
      <c r="CM3127" s="236" t="s">
        <v>348</v>
      </c>
      <c r="CT3127" s="1384"/>
      <c r="CZ3127" s="338"/>
      <c r="DA3127" s="338"/>
      <c r="DP3127" s="236"/>
      <c r="DQ3127" s="236"/>
      <c r="DX3127" s="1671"/>
    </row>
    <row r="3128" spans="38:128">
      <c r="AL3128" s="1037"/>
      <c r="BP3128" s="1385"/>
      <c r="BV3128" s="236">
        <v>231</v>
      </c>
      <c r="BW3128" s="236" t="s">
        <v>336</v>
      </c>
      <c r="CL3128" s="236">
        <v>208.07</v>
      </c>
      <c r="CM3128" s="236" t="s">
        <v>349</v>
      </c>
      <c r="CT3128" s="1384"/>
      <c r="CZ3128" s="338"/>
      <c r="DA3128" s="338"/>
      <c r="DP3128" s="236"/>
      <c r="DQ3128" s="236"/>
      <c r="DX3128" s="1671"/>
    </row>
    <row r="3129" spans="38:128">
      <c r="AL3129" s="1037"/>
      <c r="BP3129" s="1385"/>
      <c r="BV3129" s="236">
        <v>232</v>
      </c>
      <c r="BW3129" s="236" t="s">
        <v>336</v>
      </c>
      <c r="CL3129" s="236">
        <v>208.08</v>
      </c>
      <c r="CM3129" s="236" t="s">
        <v>348</v>
      </c>
      <c r="CT3129" s="1384"/>
      <c r="CZ3129" s="338"/>
      <c r="DA3129" s="338"/>
      <c r="DP3129" s="236"/>
      <c r="DQ3129" s="236"/>
      <c r="DX3129" s="1671"/>
    </row>
    <row r="3130" spans="38:128">
      <c r="AL3130" s="1037"/>
      <c r="BP3130" s="1385"/>
      <c r="BV3130" s="236">
        <v>233.03</v>
      </c>
      <c r="BW3130" s="236" t="s">
        <v>336</v>
      </c>
      <c r="CL3130" s="236">
        <v>208.08</v>
      </c>
      <c r="CM3130" s="236" t="s">
        <v>349</v>
      </c>
      <c r="CT3130" s="1384"/>
      <c r="CZ3130" s="338"/>
      <c r="DA3130" s="338"/>
      <c r="DP3130" s="236"/>
      <c r="DQ3130" s="236"/>
      <c r="DX3130" s="1671"/>
    </row>
    <row r="3131" spans="38:128">
      <c r="AL3131" s="1037"/>
      <c r="BP3131" s="1385"/>
      <c r="BV3131" s="236">
        <v>233.04</v>
      </c>
      <c r="BW3131" s="236" t="s">
        <v>336</v>
      </c>
      <c r="CL3131" s="236">
        <v>208.09</v>
      </c>
      <c r="CM3131" s="236" t="s">
        <v>349</v>
      </c>
      <c r="CT3131" s="1384"/>
      <c r="CZ3131" s="338"/>
      <c r="DA3131" s="338"/>
      <c r="DP3131" s="236"/>
      <c r="DQ3131" s="236"/>
      <c r="DX3131" s="1671"/>
    </row>
    <row r="3132" spans="38:128">
      <c r="AL3132" s="1037"/>
      <c r="BP3132" s="1385"/>
      <c r="BV3132" s="236">
        <v>233.05</v>
      </c>
      <c r="BW3132" s="236" t="s">
        <v>336</v>
      </c>
      <c r="CL3132" s="236">
        <v>208.1</v>
      </c>
      <c r="CM3132" s="236" t="s">
        <v>348</v>
      </c>
      <c r="CT3132" s="1384"/>
      <c r="CZ3132" s="338"/>
      <c r="DA3132" s="338"/>
      <c r="DP3132" s="236"/>
      <c r="DQ3132" s="236"/>
      <c r="DX3132" s="1671"/>
    </row>
    <row r="3133" spans="38:128">
      <c r="AL3133" s="1037"/>
      <c r="BP3133" s="1385"/>
      <c r="BV3133" s="236">
        <v>233.06</v>
      </c>
      <c r="BW3133" s="236" t="s">
        <v>336</v>
      </c>
      <c r="CL3133" s="236">
        <v>208.1</v>
      </c>
      <c r="CM3133" s="236" t="s">
        <v>349</v>
      </c>
      <c r="CT3133" s="1384"/>
      <c r="CZ3133" s="338"/>
      <c r="DA3133" s="338"/>
      <c r="DP3133" s="236"/>
      <c r="DQ3133" s="236"/>
      <c r="DX3133" s="1671"/>
    </row>
    <row r="3134" spans="38:128">
      <c r="AL3134" s="1037"/>
      <c r="BP3134" s="1385"/>
      <c r="BV3134" s="236">
        <v>233.07</v>
      </c>
      <c r="BW3134" s="236" t="s">
        <v>336</v>
      </c>
      <c r="CL3134" s="236">
        <v>208.11</v>
      </c>
      <c r="CM3134" s="236" t="s">
        <v>348</v>
      </c>
      <c r="CT3134" s="1384"/>
      <c r="CZ3134" s="338"/>
      <c r="DA3134" s="338"/>
      <c r="DP3134" s="236"/>
      <c r="DQ3134" s="236"/>
      <c r="DX3134" s="1671"/>
    </row>
    <row r="3135" spans="38:128">
      <c r="AL3135" s="1037"/>
      <c r="BP3135" s="1385"/>
      <c r="BV3135" s="236">
        <v>233.08</v>
      </c>
      <c r="BW3135" s="236" t="s">
        <v>336</v>
      </c>
      <c r="CL3135" s="236">
        <v>208.11</v>
      </c>
      <c r="CM3135" s="236" t="s">
        <v>349</v>
      </c>
      <c r="CT3135" s="1384"/>
      <c r="CZ3135" s="338"/>
      <c r="DA3135" s="338"/>
      <c r="DP3135" s="236"/>
      <c r="DQ3135" s="236"/>
      <c r="DX3135" s="1671"/>
    </row>
    <row r="3136" spans="38:128">
      <c r="AL3136" s="1037"/>
      <c r="BP3136" s="1385"/>
      <c r="BV3136" s="236">
        <v>9901</v>
      </c>
      <c r="BW3136" s="236" t="s">
        <v>336</v>
      </c>
      <c r="CL3136" s="236">
        <v>208.12</v>
      </c>
      <c r="CM3136" s="236" t="s">
        <v>348</v>
      </c>
      <c r="CT3136" s="1384"/>
      <c r="CZ3136" s="338"/>
      <c r="DA3136" s="338"/>
      <c r="DP3136" s="236"/>
      <c r="DQ3136" s="236"/>
      <c r="DX3136" s="1671"/>
    </row>
    <row r="3137" spans="38:128">
      <c r="AL3137" s="1037"/>
      <c r="BP3137" s="1385"/>
      <c r="BV3137" s="236">
        <v>9902</v>
      </c>
      <c r="BW3137" s="236" t="s">
        <v>336</v>
      </c>
      <c r="CL3137" s="338">
        <v>209</v>
      </c>
      <c r="CM3137" s="338" t="s">
        <v>294</v>
      </c>
      <c r="CT3137" s="1384"/>
      <c r="CZ3137" s="338"/>
      <c r="DA3137" s="338"/>
      <c r="DP3137" s="236"/>
      <c r="DQ3137" s="236"/>
      <c r="DX3137" s="1671"/>
    </row>
    <row r="3138" spans="38:128">
      <c r="AL3138" s="1037"/>
      <c r="BP3138" s="1385"/>
      <c r="BV3138" s="236">
        <v>102.01</v>
      </c>
      <c r="BW3138" s="236" t="s">
        <v>338</v>
      </c>
      <c r="CL3138" s="236">
        <v>209</v>
      </c>
      <c r="CM3138" s="236" t="s">
        <v>336</v>
      </c>
      <c r="CT3138" s="1384"/>
      <c r="CZ3138" s="338"/>
      <c r="DA3138" s="338"/>
      <c r="DP3138" s="236"/>
      <c r="DQ3138" s="236"/>
      <c r="DX3138" s="1671"/>
    </row>
    <row r="3139" spans="38:128">
      <c r="AL3139" s="1037"/>
      <c r="BP3139" s="1385"/>
      <c r="BV3139" s="236">
        <v>102.02</v>
      </c>
      <c r="BW3139" s="236" t="s">
        <v>338</v>
      </c>
      <c r="CL3139" s="236">
        <v>209.01</v>
      </c>
      <c r="CM3139" s="236" t="s">
        <v>348</v>
      </c>
      <c r="CT3139" s="1384"/>
      <c r="CZ3139" s="338"/>
      <c r="DA3139" s="338"/>
      <c r="DP3139" s="236"/>
      <c r="DQ3139" s="236"/>
      <c r="DX3139" s="1671"/>
    </row>
    <row r="3140" spans="38:128">
      <c r="AL3140" s="1037"/>
      <c r="BP3140" s="1385"/>
      <c r="BV3140" s="236">
        <v>103</v>
      </c>
      <c r="BW3140" s="236" t="s">
        <v>338</v>
      </c>
      <c r="CL3140" s="236">
        <v>209.02</v>
      </c>
      <c r="CM3140" s="236" t="s">
        <v>348</v>
      </c>
      <c r="CT3140" s="1384"/>
      <c r="CZ3140" s="338"/>
      <c r="DA3140" s="338"/>
      <c r="DP3140" s="236"/>
      <c r="DQ3140" s="236"/>
      <c r="DX3140" s="1671"/>
    </row>
    <row r="3141" spans="38:128">
      <c r="AL3141" s="1037"/>
      <c r="BP3141" s="1385"/>
      <c r="BV3141" s="236">
        <v>104</v>
      </c>
      <c r="BW3141" s="236" t="s">
        <v>338</v>
      </c>
      <c r="CL3141" s="236">
        <v>209.03</v>
      </c>
      <c r="CM3141" s="236" t="s">
        <v>349</v>
      </c>
      <c r="CT3141" s="1384"/>
      <c r="CZ3141" s="338"/>
      <c r="DA3141" s="338"/>
      <c r="DP3141" s="236"/>
      <c r="DQ3141" s="236"/>
      <c r="DX3141" s="1671"/>
    </row>
    <row r="3142" spans="38:128">
      <c r="AL3142" s="1037"/>
      <c r="BP3142" s="1385"/>
      <c r="BV3142" s="236">
        <v>105</v>
      </c>
      <c r="BW3142" s="236" t="s">
        <v>338</v>
      </c>
      <c r="CL3142" s="236">
        <v>209.04</v>
      </c>
      <c r="CM3142" s="236" t="s">
        <v>348</v>
      </c>
      <c r="CT3142" s="1384"/>
      <c r="CZ3142" s="338"/>
      <c r="DA3142" s="338"/>
      <c r="DP3142" s="236"/>
      <c r="DQ3142" s="236"/>
      <c r="DX3142" s="1671"/>
    </row>
    <row r="3143" spans="38:128">
      <c r="AL3143" s="1037"/>
      <c r="BP3143" s="1385"/>
      <c r="BV3143" s="236">
        <v>108.02</v>
      </c>
      <c r="BW3143" s="236" t="s">
        <v>338</v>
      </c>
      <c r="CL3143" s="236">
        <v>209.04</v>
      </c>
      <c r="CM3143" s="236" t="s">
        <v>349</v>
      </c>
      <c r="CT3143" s="1384"/>
      <c r="CZ3143" s="338"/>
      <c r="DA3143" s="338"/>
      <c r="DP3143" s="236"/>
      <c r="DQ3143" s="236"/>
      <c r="DX3143" s="1671"/>
    </row>
    <row r="3144" spans="38:128">
      <c r="AL3144" s="1037"/>
      <c r="BP3144" s="1385"/>
      <c r="BV3144" s="236">
        <v>110</v>
      </c>
      <c r="BW3144" s="236" t="s">
        <v>338</v>
      </c>
      <c r="CL3144" s="236">
        <v>209.05</v>
      </c>
      <c r="CM3144" s="236" t="s">
        <v>348</v>
      </c>
      <c r="CT3144" s="1384"/>
      <c r="CZ3144" s="338"/>
      <c r="DA3144" s="338"/>
      <c r="DP3144" s="236"/>
      <c r="DQ3144" s="236"/>
      <c r="DX3144" s="1671"/>
    </row>
    <row r="3145" spans="38:128">
      <c r="AL3145" s="1037"/>
      <c r="BP3145" s="1385"/>
      <c r="BV3145" s="236">
        <v>111</v>
      </c>
      <c r="BW3145" s="236" t="s">
        <v>338</v>
      </c>
      <c r="CL3145" s="236">
        <v>209.05</v>
      </c>
      <c r="CM3145" s="236" t="s">
        <v>349</v>
      </c>
      <c r="CT3145" s="1384"/>
      <c r="CZ3145" s="338"/>
      <c r="DA3145" s="338"/>
      <c r="DP3145" s="236"/>
      <c r="DQ3145" s="236"/>
      <c r="DX3145" s="1671"/>
    </row>
    <row r="3146" spans="38:128">
      <c r="AL3146" s="1037"/>
      <c r="BP3146" s="1385"/>
      <c r="BV3146" s="236">
        <v>112</v>
      </c>
      <c r="BW3146" s="236" t="s">
        <v>338</v>
      </c>
      <c r="CL3146" s="236">
        <v>209.06</v>
      </c>
      <c r="CM3146" s="236" t="s">
        <v>349</v>
      </c>
      <c r="CT3146" s="1384"/>
      <c r="CZ3146" s="338"/>
      <c r="DA3146" s="338"/>
      <c r="DP3146" s="236"/>
      <c r="DQ3146" s="236"/>
      <c r="DX3146" s="1671"/>
    </row>
    <row r="3147" spans="38:128">
      <c r="AL3147" s="1037"/>
      <c r="BP3147" s="1385"/>
      <c r="BV3147" s="236">
        <v>113</v>
      </c>
      <c r="BW3147" s="236" t="s">
        <v>338</v>
      </c>
      <c r="CL3147" s="236">
        <v>209.07</v>
      </c>
      <c r="CM3147" s="236" t="s">
        <v>349</v>
      </c>
      <c r="CT3147" s="1384"/>
      <c r="CZ3147" s="338"/>
      <c r="DA3147" s="338"/>
      <c r="DP3147" s="236"/>
      <c r="DQ3147" s="236"/>
      <c r="DX3147" s="1671"/>
    </row>
    <row r="3148" spans="38:128">
      <c r="AL3148" s="1037"/>
      <c r="BP3148" s="1385"/>
      <c r="BV3148" s="236">
        <v>116</v>
      </c>
      <c r="BW3148" s="236" t="s">
        <v>338</v>
      </c>
      <c r="CL3148" s="236">
        <v>209.08</v>
      </c>
      <c r="CM3148" s="236" t="s">
        <v>349</v>
      </c>
      <c r="CT3148" s="1384"/>
      <c r="CZ3148" s="338"/>
      <c r="DA3148" s="338"/>
      <c r="DP3148" s="236"/>
      <c r="DQ3148" s="236"/>
      <c r="DX3148" s="1671"/>
    </row>
    <row r="3149" spans="38:128">
      <c r="AL3149" s="1037"/>
      <c r="BP3149" s="1385"/>
      <c r="BV3149" s="236">
        <v>117.01</v>
      </c>
      <c r="BW3149" s="236" t="s">
        <v>338</v>
      </c>
      <c r="CL3149" s="236">
        <v>210</v>
      </c>
      <c r="CM3149" s="236" t="s">
        <v>348</v>
      </c>
      <c r="CT3149" s="1384"/>
      <c r="CZ3149" s="338"/>
      <c r="DA3149" s="338"/>
      <c r="DP3149" s="236"/>
      <c r="DQ3149" s="236"/>
      <c r="DX3149" s="1671"/>
    </row>
    <row r="3150" spans="38:128">
      <c r="AL3150" s="1037"/>
      <c r="BP3150" s="1385"/>
      <c r="BV3150" s="236">
        <v>117.02</v>
      </c>
      <c r="BW3150" s="236" t="s">
        <v>338</v>
      </c>
      <c r="CL3150" s="338">
        <v>210.01</v>
      </c>
      <c r="CM3150" s="338" t="s">
        <v>294</v>
      </c>
      <c r="CT3150" s="1384"/>
      <c r="CZ3150" s="338"/>
      <c r="DA3150" s="338"/>
      <c r="DP3150" s="236"/>
      <c r="DQ3150" s="236"/>
      <c r="DX3150" s="1671"/>
    </row>
    <row r="3151" spans="38:128">
      <c r="AL3151" s="1037"/>
      <c r="BP3151" s="1385"/>
      <c r="BV3151" s="236">
        <v>120</v>
      </c>
      <c r="BW3151" s="236" t="s">
        <v>338</v>
      </c>
      <c r="CL3151" s="236">
        <v>210.01</v>
      </c>
      <c r="CM3151" s="236" t="s">
        <v>336</v>
      </c>
      <c r="CT3151" s="1384"/>
      <c r="CZ3151" s="338"/>
      <c r="DA3151" s="338"/>
      <c r="DP3151" s="236"/>
      <c r="DQ3151" s="236"/>
      <c r="DX3151" s="1671"/>
    </row>
    <row r="3152" spans="38:128">
      <c r="AL3152" s="1037"/>
      <c r="BP3152" s="1385"/>
      <c r="BV3152" s="236">
        <v>121</v>
      </c>
      <c r="BW3152" s="236" t="s">
        <v>338</v>
      </c>
      <c r="CL3152" s="338">
        <v>210.02</v>
      </c>
      <c r="CM3152" s="338" t="s">
        <v>294</v>
      </c>
      <c r="CT3152" s="1384"/>
      <c r="CZ3152" s="338"/>
      <c r="DA3152" s="338"/>
      <c r="DP3152" s="236"/>
      <c r="DQ3152" s="236"/>
      <c r="DX3152" s="1671"/>
    </row>
    <row r="3153" spans="38:128">
      <c r="AL3153" s="1037"/>
      <c r="BP3153" s="1385"/>
      <c r="BV3153" s="236">
        <v>122.01</v>
      </c>
      <c r="BW3153" s="236" t="s">
        <v>338</v>
      </c>
      <c r="CL3153" s="236">
        <v>210.02</v>
      </c>
      <c r="CM3153" s="236" t="s">
        <v>336</v>
      </c>
      <c r="CT3153" s="1384"/>
      <c r="CZ3153" s="338"/>
      <c r="DA3153" s="338"/>
      <c r="DP3153" s="236"/>
      <c r="DQ3153" s="236"/>
      <c r="DX3153" s="1671"/>
    </row>
    <row r="3154" spans="38:128">
      <c r="AL3154" s="1037"/>
      <c r="BP3154" s="1385"/>
      <c r="BV3154" s="236">
        <v>122.02</v>
      </c>
      <c r="BW3154" s="236" t="s">
        <v>338</v>
      </c>
      <c r="CL3154" s="236">
        <v>210.02</v>
      </c>
      <c r="CM3154" s="236" t="s">
        <v>349</v>
      </c>
      <c r="CT3154" s="1384"/>
      <c r="CZ3154" s="338"/>
      <c r="DA3154" s="338"/>
      <c r="DP3154" s="236"/>
      <c r="DQ3154" s="236"/>
      <c r="DX3154" s="1671"/>
    </row>
    <row r="3155" spans="38:128">
      <c r="AL3155" s="1037"/>
      <c r="BP3155" s="1385"/>
      <c r="BV3155" s="236">
        <v>123.03</v>
      </c>
      <c r="BW3155" s="236" t="s">
        <v>338</v>
      </c>
      <c r="CL3155" s="338">
        <v>210.03</v>
      </c>
      <c r="CM3155" s="338" t="s">
        <v>294</v>
      </c>
      <c r="CT3155" s="1384"/>
      <c r="CZ3155" s="338"/>
      <c r="DA3155" s="338"/>
      <c r="DP3155" s="236"/>
      <c r="DQ3155" s="236"/>
      <c r="DX3155" s="1671"/>
    </row>
    <row r="3156" spans="38:128">
      <c r="AL3156" s="1037"/>
      <c r="BP3156" s="1385"/>
      <c r="BV3156" s="236">
        <v>123.04</v>
      </c>
      <c r="BW3156" s="236" t="s">
        <v>338</v>
      </c>
      <c r="CL3156" s="236">
        <v>210.03</v>
      </c>
      <c r="CM3156" s="236" t="s">
        <v>349</v>
      </c>
      <c r="CT3156" s="1384"/>
      <c r="CZ3156" s="338"/>
      <c r="DA3156" s="338"/>
      <c r="DP3156" s="236"/>
      <c r="DQ3156" s="236"/>
      <c r="DX3156" s="1671"/>
    </row>
    <row r="3157" spans="38:128">
      <c r="AL3157" s="1037"/>
      <c r="BP3157" s="1385"/>
      <c r="BV3157" s="236">
        <v>123.05</v>
      </c>
      <c r="BW3157" s="236" t="s">
        <v>338</v>
      </c>
      <c r="CL3157" s="236">
        <v>210.04</v>
      </c>
      <c r="CM3157" s="236" t="s">
        <v>349</v>
      </c>
      <c r="CT3157" s="1384"/>
      <c r="CZ3157" s="338"/>
      <c r="DA3157" s="338"/>
      <c r="DP3157" s="236"/>
      <c r="DQ3157" s="236"/>
      <c r="DX3157" s="1671"/>
    </row>
    <row r="3158" spans="38:128">
      <c r="AL3158" s="1037"/>
      <c r="BP3158" s="1385"/>
      <c r="BV3158" s="236">
        <v>123.06</v>
      </c>
      <c r="BW3158" s="236" t="s">
        <v>338</v>
      </c>
      <c r="CL3158" s="236">
        <v>211</v>
      </c>
      <c r="CM3158" s="236" t="s">
        <v>348</v>
      </c>
      <c r="CT3158" s="1384"/>
      <c r="CZ3158" s="338"/>
      <c r="DA3158" s="338"/>
      <c r="DP3158" s="236"/>
      <c r="DQ3158" s="236"/>
      <c r="DX3158" s="1671"/>
    </row>
    <row r="3159" spans="38:128">
      <c r="AL3159" s="1037"/>
      <c r="BP3159" s="1385"/>
      <c r="BV3159" s="236">
        <v>123.07</v>
      </c>
      <c r="BW3159" s="236" t="s">
        <v>338</v>
      </c>
      <c r="CL3159" s="236">
        <v>211.01</v>
      </c>
      <c r="CM3159" s="236" t="s">
        <v>336</v>
      </c>
      <c r="CT3159" s="1384"/>
      <c r="CZ3159" s="338"/>
      <c r="DA3159" s="338"/>
      <c r="DP3159" s="236"/>
      <c r="DQ3159" s="236"/>
      <c r="DX3159" s="1671"/>
    </row>
    <row r="3160" spans="38:128">
      <c r="AL3160" s="1037"/>
      <c r="BP3160" s="1385"/>
      <c r="BV3160" s="236">
        <v>124.02</v>
      </c>
      <c r="BW3160" s="236" t="s">
        <v>338</v>
      </c>
      <c r="CL3160" s="236">
        <v>211.01</v>
      </c>
      <c r="CM3160" s="236" t="s">
        <v>349</v>
      </c>
      <c r="CT3160" s="1384"/>
      <c r="CZ3160" s="338"/>
      <c r="DA3160" s="338"/>
      <c r="DP3160" s="236"/>
      <c r="DQ3160" s="236"/>
      <c r="DX3160" s="1671"/>
    </row>
    <row r="3161" spans="38:128">
      <c r="AL3161" s="1037"/>
      <c r="BP3161" s="1385"/>
      <c r="BV3161" s="236">
        <v>124.03</v>
      </c>
      <c r="BW3161" s="236" t="s">
        <v>338</v>
      </c>
      <c r="CL3161" s="236">
        <v>211.02</v>
      </c>
      <c r="CM3161" s="236" t="s">
        <v>336</v>
      </c>
      <c r="CT3161" s="1384"/>
      <c r="CZ3161" s="338"/>
      <c r="DA3161" s="338"/>
      <c r="DP3161" s="236"/>
      <c r="DQ3161" s="236"/>
      <c r="DX3161" s="1671"/>
    </row>
    <row r="3162" spans="38:128">
      <c r="AL3162" s="1037"/>
      <c r="BP3162" s="1385"/>
      <c r="BV3162" s="236">
        <v>124.04</v>
      </c>
      <c r="BW3162" s="236" t="s">
        <v>338</v>
      </c>
      <c r="CL3162" s="236">
        <v>211.02</v>
      </c>
      <c r="CM3162" s="236" t="s">
        <v>349</v>
      </c>
      <c r="CT3162" s="1384"/>
      <c r="CZ3162" s="338"/>
      <c r="DA3162" s="338"/>
      <c r="DP3162" s="236"/>
      <c r="DQ3162" s="236"/>
      <c r="DX3162" s="1671"/>
    </row>
    <row r="3163" spans="38:128">
      <c r="AL3163" s="1037"/>
      <c r="BP3163" s="1385"/>
      <c r="BV3163" s="236">
        <v>124.05</v>
      </c>
      <c r="BW3163" s="236" t="s">
        <v>338</v>
      </c>
      <c r="CL3163" s="236">
        <v>211.03</v>
      </c>
      <c r="CM3163" s="236" t="s">
        <v>349</v>
      </c>
      <c r="CT3163" s="1384"/>
      <c r="CZ3163" s="338"/>
      <c r="DA3163" s="338"/>
      <c r="DP3163" s="236"/>
      <c r="DQ3163" s="236"/>
      <c r="DX3163" s="1671"/>
    </row>
    <row r="3164" spans="38:128">
      <c r="AL3164" s="1037"/>
      <c r="BP3164" s="1385"/>
      <c r="BV3164" s="236">
        <v>125</v>
      </c>
      <c r="BW3164" s="236" t="s">
        <v>338</v>
      </c>
      <c r="CL3164" s="236">
        <v>212</v>
      </c>
      <c r="CM3164" s="236" t="s">
        <v>336</v>
      </c>
      <c r="CT3164" s="1384"/>
      <c r="CZ3164" s="338"/>
      <c r="DA3164" s="338"/>
      <c r="DP3164" s="236"/>
      <c r="DQ3164" s="236"/>
      <c r="DX3164" s="1671"/>
    </row>
    <row r="3165" spans="38:128">
      <c r="AL3165" s="1037"/>
      <c r="BP3165" s="1385"/>
      <c r="BV3165" s="236">
        <v>126</v>
      </c>
      <c r="BW3165" s="236" t="s">
        <v>338</v>
      </c>
      <c r="CL3165" s="236">
        <v>212</v>
      </c>
      <c r="CM3165" s="236" t="s">
        <v>342</v>
      </c>
      <c r="CT3165" s="1384"/>
      <c r="CZ3165" s="338"/>
      <c r="DA3165" s="338"/>
      <c r="DP3165" s="236"/>
      <c r="DQ3165" s="236"/>
      <c r="DX3165" s="1671"/>
    </row>
    <row r="3166" spans="38:128">
      <c r="AL3166" s="1037"/>
      <c r="BP3166" s="1385"/>
      <c r="BV3166" s="236">
        <v>127.01</v>
      </c>
      <c r="BW3166" s="236" t="s">
        <v>338</v>
      </c>
      <c r="CL3166" s="236">
        <v>212.01</v>
      </c>
      <c r="CM3166" s="236" t="s">
        <v>348</v>
      </c>
      <c r="CT3166" s="1384"/>
      <c r="CZ3166" s="338"/>
      <c r="DA3166" s="338"/>
      <c r="DP3166" s="236"/>
      <c r="DQ3166" s="236"/>
      <c r="DX3166" s="1671"/>
    </row>
    <row r="3167" spans="38:128">
      <c r="AL3167" s="1037"/>
      <c r="BP3167" s="1385"/>
      <c r="BV3167" s="236">
        <v>128</v>
      </c>
      <c r="BW3167" s="236" t="s">
        <v>338</v>
      </c>
      <c r="CL3167" s="236">
        <v>212.03</v>
      </c>
      <c r="CM3167" s="236" t="s">
        <v>348</v>
      </c>
      <c r="CT3167" s="1384"/>
      <c r="CZ3167" s="338"/>
      <c r="DA3167" s="338"/>
      <c r="DP3167" s="236"/>
      <c r="DQ3167" s="236"/>
      <c r="DX3167" s="1671"/>
    </row>
    <row r="3168" spans="38:128">
      <c r="AL3168" s="1037"/>
      <c r="BP3168" s="1385"/>
      <c r="BV3168" s="236">
        <v>129</v>
      </c>
      <c r="BW3168" s="236" t="s">
        <v>338</v>
      </c>
      <c r="CL3168" s="236">
        <v>212.05</v>
      </c>
      <c r="CM3168" s="236" t="s">
        <v>348</v>
      </c>
      <c r="CT3168" s="1384"/>
      <c r="CZ3168" s="338"/>
      <c r="DA3168" s="338"/>
      <c r="DP3168" s="236"/>
      <c r="DQ3168" s="236"/>
      <c r="DX3168" s="1671"/>
    </row>
    <row r="3169" spans="38:128">
      <c r="AL3169" s="1037"/>
      <c r="BP3169" s="1385"/>
      <c r="BV3169" s="236">
        <v>132.01</v>
      </c>
      <c r="BW3169" s="236" t="s">
        <v>338</v>
      </c>
      <c r="CL3169" s="236">
        <v>212.06</v>
      </c>
      <c r="CM3169" s="236" t="s">
        <v>348</v>
      </c>
      <c r="CT3169" s="1384"/>
      <c r="CZ3169" s="338"/>
      <c r="DA3169" s="338"/>
      <c r="DP3169" s="236"/>
      <c r="DQ3169" s="236"/>
      <c r="DX3169" s="1671"/>
    </row>
    <row r="3170" spans="38:128">
      <c r="AL3170" s="1037"/>
      <c r="BP3170" s="1385"/>
      <c r="BV3170" s="236">
        <v>132.02000000000001</v>
      </c>
      <c r="BW3170" s="236" t="s">
        <v>338</v>
      </c>
      <c r="CL3170" s="236">
        <v>212.07</v>
      </c>
      <c r="CM3170" s="236" t="s">
        <v>349</v>
      </c>
      <c r="CT3170" s="1384"/>
      <c r="CZ3170" s="338"/>
      <c r="DA3170" s="338"/>
      <c r="DP3170" s="236"/>
      <c r="DQ3170" s="236"/>
      <c r="DX3170" s="1671"/>
    </row>
    <row r="3171" spans="38:128">
      <c r="AL3171" s="1037"/>
      <c r="BP3171" s="1385"/>
      <c r="BV3171" s="236">
        <v>133</v>
      </c>
      <c r="BW3171" s="236" t="s">
        <v>338</v>
      </c>
      <c r="CL3171" s="236">
        <v>212.08</v>
      </c>
      <c r="CM3171" s="236" t="s">
        <v>349</v>
      </c>
      <c r="CT3171" s="1384"/>
      <c r="CZ3171" s="338"/>
      <c r="DA3171" s="338"/>
      <c r="DP3171" s="236"/>
      <c r="DQ3171" s="236"/>
      <c r="DX3171" s="1671"/>
    </row>
    <row r="3172" spans="38:128">
      <c r="AL3172" s="1037"/>
      <c r="BP3172" s="1385"/>
      <c r="BV3172" s="236">
        <v>134.02000000000001</v>
      </c>
      <c r="BW3172" s="236" t="s">
        <v>338</v>
      </c>
      <c r="CL3172" s="236">
        <v>212.09</v>
      </c>
      <c r="CM3172" s="236" t="s">
        <v>349</v>
      </c>
      <c r="CT3172" s="1384"/>
      <c r="CZ3172" s="338"/>
      <c r="DA3172" s="338"/>
      <c r="DP3172" s="236"/>
      <c r="DQ3172" s="236"/>
      <c r="DX3172" s="1671"/>
    </row>
    <row r="3173" spans="38:128">
      <c r="AL3173" s="1037"/>
      <c r="BP3173" s="1385"/>
      <c r="BV3173" s="236">
        <v>134.03</v>
      </c>
      <c r="BW3173" s="236" t="s">
        <v>338</v>
      </c>
      <c r="CL3173" s="236">
        <v>212.1</v>
      </c>
      <c r="CM3173" s="236" t="s">
        <v>349</v>
      </c>
      <c r="CT3173" s="1384"/>
      <c r="CZ3173" s="338"/>
      <c r="DA3173" s="338"/>
      <c r="DP3173" s="236"/>
      <c r="DQ3173" s="236"/>
      <c r="DX3173" s="1671"/>
    </row>
    <row r="3174" spans="38:128">
      <c r="AL3174" s="1037"/>
      <c r="BP3174" s="1385"/>
      <c r="BV3174" s="236">
        <v>134.05000000000001</v>
      </c>
      <c r="BW3174" s="236" t="s">
        <v>338</v>
      </c>
      <c r="CL3174" s="236">
        <v>212.11</v>
      </c>
      <c r="CM3174" s="236" t="s">
        <v>349</v>
      </c>
      <c r="CT3174" s="1384"/>
      <c r="CZ3174" s="338"/>
      <c r="DA3174" s="338"/>
      <c r="DP3174" s="236"/>
      <c r="DQ3174" s="236"/>
      <c r="DX3174" s="1671"/>
    </row>
    <row r="3175" spans="38:128">
      <c r="AL3175" s="1037"/>
      <c r="BP3175" s="1385"/>
      <c r="BV3175" s="236">
        <v>134.06</v>
      </c>
      <c r="BW3175" s="236" t="s">
        <v>338</v>
      </c>
      <c r="CL3175" s="236">
        <v>213.01</v>
      </c>
      <c r="CM3175" s="236" t="s">
        <v>349</v>
      </c>
      <c r="CT3175" s="1384"/>
      <c r="CZ3175" s="338"/>
      <c r="DA3175" s="338"/>
      <c r="DP3175" s="236"/>
      <c r="DQ3175" s="236"/>
      <c r="DX3175" s="1671"/>
    </row>
    <row r="3176" spans="38:128">
      <c r="AL3176" s="1037"/>
      <c r="BP3176" s="1385"/>
      <c r="BV3176" s="236">
        <v>135.03</v>
      </c>
      <c r="BW3176" s="236" t="s">
        <v>338</v>
      </c>
      <c r="CL3176" s="236">
        <v>213.02</v>
      </c>
      <c r="CM3176" s="236" t="s">
        <v>349</v>
      </c>
      <c r="CT3176" s="1384"/>
      <c r="CZ3176" s="338"/>
      <c r="DA3176" s="338"/>
      <c r="DP3176" s="236"/>
      <c r="DQ3176" s="236"/>
      <c r="DX3176" s="1671"/>
    </row>
    <row r="3177" spans="38:128">
      <c r="AL3177" s="1037"/>
      <c r="BP3177" s="1385"/>
      <c r="BV3177" s="236">
        <v>135.05000000000001</v>
      </c>
      <c r="BW3177" s="236" t="s">
        <v>338</v>
      </c>
      <c r="CL3177" s="236">
        <v>213.06</v>
      </c>
      <c r="CM3177" s="236" t="s">
        <v>348</v>
      </c>
      <c r="CT3177" s="1384"/>
      <c r="CZ3177" s="338"/>
      <c r="DA3177" s="338"/>
      <c r="DP3177" s="236"/>
      <c r="DQ3177" s="236"/>
      <c r="DX3177" s="1671"/>
    </row>
    <row r="3178" spans="38:128">
      <c r="AL3178" s="1037"/>
      <c r="BP3178" s="1385"/>
      <c r="BV3178" s="236">
        <v>135.07</v>
      </c>
      <c r="BW3178" s="236" t="s">
        <v>338</v>
      </c>
      <c r="CL3178" s="236">
        <v>213.07</v>
      </c>
      <c r="CM3178" s="236" t="s">
        <v>348</v>
      </c>
      <c r="CT3178" s="1384"/>
      <c r="CZ3178" s="338"/>
      <c r="DA3178" s="338"/>
      <c r="DP3178" s="236"/>
      <c r="DQ3178" s="236"/>
      <c r="DX3178" s="1671"/>
    </row>
    <row r="3179" spans="38:128">
      <c r="AL3179" s="1037"/>
      <c r="BP3179" s="1385"/>
      <c r="BV3179" s="236">
        <v>135.1</v>
      </c>
      <c r="BW3179" s="236" t="s">
        <v>338</v>
      </c>
      <c r="CL3179" s="236">
        <v>213.11</v>
      </c>
      <c r="CM3179" s="236" t="s">
        <v>348</v>
      </c>
      <c r="CT3179" s="1384"/>
      <c r="CZ3179" s="338"/>
      <c r="DA3179" s="338"/>
      <c r="DP3179" s="236"/>
      <c r="DQ3179" s="236"/>
      <c r="DX3179" s="1671"/>
    </row>
    <row r="3180" spans="38:128">
      <c r="AL3180" s="1037"/>
      <c r="BP3180" s="1385"/>
      <c r="BV3180" s="236">
        <v>135.11000000000001</v>
      </c>
      <c r="BW3180" s="236" t="s">
        <v>338</v>
      </c>
      <c r="CL3180" s="236">
        <v>213.12</v>
      </c>
      <c r="CM3180" s="236" t="s">
        <v>348</v>
      </c>
      <c r="CT3180" s="1384"/>
      <c r="CZ3180" s="338"/>
      <c r="DA3180" s="338"/>
      <c r="DP3180" s="236"/>
      <c r="DQ3180" s="236"/>
      <c r="DX3180" s="1671"/>
    </row>
    <row r="3181" spans="38:128">
      <c r="AL3181" s="1037"/>
      <c r="BP3181" s="1385"/>
      <c r="BV3181" s="236">
        <v>135.12</v>
      </c>
      <c r="BW3181" s="236" t="s">
        <v>338</v>
      </c>
      <c r="CL3181" s="236">
        <v>213.13</v>
      </c>
      <c r="CM3181" s="236" t="s">
        <v>348</v>
      </c>
      <c r="CT3181" s="1384"/>
      <c r="CZ3181" s="338"/>
      <c r="DA3181" s="338"/>
      <c r="DP3181" s="236"/>
      <c r="DQ3181" s="236"/>
      <c r="DX3181" s="1671"/>
    </row>
    <row r="3182" spans="38:128">
      <c r="AL3182" s="1037"/>
      <c r="BP3182" s="1385"/>
      <c r="BV3182" s="236">
        <v>135.13</v>
      </c>
      <c r="BW3182" s="236" t="s">
        <v>338</v>
      </c>
      <c r="CL3182" s="236">
        <v>213.14</v>
      </c>
      <c r="CM3182" s="236" t="s">
        <v>348</v>
      </c>
      <c r="CT3182" s="1384"/>
      <c r="CZ3182" s="338"/>
      <c r="DA3182" s="338"/>
      <c r="DP3182" s="236"/>
      <c r="DQ3182" s="236"/>
      <c r="DX3182" s="1671"/>
    </row>
    <row r="3183" spans="38:128">
      <c r="AL3183" s="1037"/>
      <c r="BP3183" s="1385"/>
      <c r="BV3183" s="236">
        <v>136.03</v>
      </c>
      <c r="BW3183" s="236" t="s">
        <v>338</v>
      </c>
      <c r="CL3183" s="236">
        <v>213.15</v>
      </c>
      <c r="CM3183" s="236" t="s">
        <v>348</v>
      </c>
      <c r="CT3183" s="1384"/>
      <c r="CZ3183" s="338"/>
      <c r="DA3183" s="338"/>
      <c r="DP3183" s="236"/>
      <c r="DQ3183" s="236"/>
      <c r="DX3183" s="1671"/>
    </row>
    <row r="3184" spans="38:128">
      <c r="AL3184" s="1037"/>
      <c r="BP3184" s="1385"/>
      <c r="BV3184" s="236">
        <v>136.04</v>
      </c>
      <c r="BW3184" s="236" t="s">
        <v>338</v>
      </c>
      <c r="CL3184" s="236">
        <v>213.16</v>
      </c>
      <c r="CM3184" s="236" t="s">
        <v>348</v>
      </c>
      <c r="CT3184" s="1384"/>
      <c r="CZ3184" s="338"/>
      <c r="DA3184" s="338"/>
      <c r="DP3184" s="236"/>
      <c r="DQ3184" s="236"/>
      <c r="DX3184" s="1671"/>
    </row>
    <row r="3185" spans="38:128">
      <c r="AL3185" s="1037"/>
      <c r="BP3185" s="1385"/>
      <c r="BV3185" s="236">
        <v>136.05000000000001</v>
      </c>
      <c r="BW3185" s="236" t="s">
        <v>338</v>
      </c>
      <c r="CL3185" s="236">
        <v>213.17</v>
      </c>
      <c r="CM3185" s="236" t="s">
        <v>348</v>
      </c>
      <c r="CT3185" s="1384"/>
      <c r="CZ3185" s="338"/>
      <c r="DA3185" s="338"/>
      <c r="DP3185" s="236"/>
      <c r="DQ3185" s="236"/>
      <c r="DX3185" s="1671"/>
    </row>
    <row r="3186" spans="38:128">
      <c r="AL3186" s="1037"/>
      <c r="BP3186" s="1385"/>
      <c r="BV3186" s="236">
        <v>136.06</v>
      </c>
      <c r="BW3186" s="236" t="s">
        <v>338</v>
      </c>
      <c r="CL3186" s="236">
        <v>213.18</v>
      </c>
      <c r="CM3186" s="236" t="s">
        <v>348</v>
      </c>
      <c r="CT3186" s="1384"/>
      <c r="CZ3186" s="338"/>
      <c r="DA3186" s="338"/>
      <c r="DP3186" s="236"/>
      <c r="DQ3186" s="236"/>
      <c r="DX3186" s="1671"/>
    </row>
    <row r="3187" spans="38:128">
      <c r="AL3187" s="1037"/>
      <c r="BP3187" s="1385"/>
      <c r="BV3187" s="236">
        <v>136.07</v>
      </c>
      <c r="BW3187" s="236" t="s">
        <v>338</v>
      </c>
      <c r="CL3187" s="236">
        <v>213.19</v>
      </c>
      <c r="CM3187" s="236" t="s">
        <v>348</v>
      </c>
      <c r="CT3187" s="1384"/>
      <c r="CZ3187" s="338"/>
      <c r="DA3187" s="338"/>
      <c r="DP3187" s="236"/>
      <c r="DQ3187" s="236"/>
      <c r="DX3187" s="1671"/>
    </row>
    <row r="3188" spans="38:128">
      <c r="AL3188" s="1037"/>
      <c r="BP3188" s="1385"/>
      <c r="BV3188" s="236">
        <v>137.01</v>
      </c>
      <c r="BW3188" s="236" t="s">
        <v>338</v>
      </c>
      <c r="CL3188" s="236">
        <v>213.2</v>
      </c>
      <c r="CM3188" s="236" t="s">
        <v>348</v>
      </c>
      <c r="CT3188" s="1384"/>
      <c r="CZ3188" s="338"/>
      <c r="DA3188" s="338"/>
      <c r="DP3188" s="236"/>
      <c r="DQ3188" s="236"/>
      <c r="DX3188" s="1671"/>
    </row>
    <row r="3189" spans="38:128">
      <c r="AL3189" s="1037"/>
      <c r="BP3189" s="1385"/>
      <c r="BV3189" s="236">
        <v>137.02000000000001</v>
      </c>
      <c r="BW3189" s="236" t="s">
        <v>338</v>
      </c>
      <c r="CL3189" s="236">
        <v>213.21</v>
      </c>
      <c r="CM3189" s="236" t="s">
        <v>348</v>
      </c>
      <c r="CT3189" s="1384"/>
      <c r="CZ3189" s="338"/>
      <c r="DA3189" s="338"/>
      <c r="DP3189" s="236"/>
      <c r="DQ3189" s="236"/>
      <c r="DX3189" s="1671"/>
    </row>
    <row r="3190" spans="38:128">
      <c r="AL3190" s="1037"/>
      <c r="BP3190" s="1385"/>
      <c r="BV3190" s="236">
        <v>138.01</v>
      </c>
      <c r="BW3190" s="236" t="s">
        <v>338</v>
      </c>
      <c r="CL3190" s="236">
        <v>214</v>
      </c>
      <c r="CM3190" s="236" t="s">
        <v>336</v>
      </c>
      <c r="CT3190" s="1384"/>
      <c r="CZ3190" s="338"/>
      <c r="DA3190" s="338"/>
      <c r="DP3190" s="236"/>
      <c r="DQ3190" s="236"/>
      <c r="DX3190" s="1671"/>
    </row>
    <row r="3191" spans="38:128">
      <c r="AL3191" s="1037"/>
      <c r="BP3191" s="1385"/>
      <c r="BV3191" s="236">
        <v>138.02000000000001</v>
      </c>
      <c r="BW3191" s="236" t="s">
        <v>338</v>
      </c>
      <c r="CL3191" s="236">
        <v>214.01</v>
      </c>
      <c r="CM3191" s="236" t="s">
        <v>348</v>
      </c>
      <c r="CT3191" s="1384"/>
      <c r="CZ3191" s="338"/>
      <c r="DA3191" s="338"/>
      <c r="DP3191" s="236"/>
      <c r="DQ3191" s="236"/>
      <c r="DX3191" s="1671"/>
    </row>
    <row r="3192" spans="38:128">
      <c r="AL3192" s="1037"/>
      <c r="BP3192" s="1385"/>
      <c r="BV3192" s="236">
        <v>138.03</v>
      </c>
      <c r="BW3192" s="236" t="s">
        <v>338</v>
      </c>
      <c r="CL3192" s="236">
        <v>214.03</v>
      </c>
      <c r="CM3192" s="236" t="s">
        <v>348</v>
      </c>
      <c r="CT3192" s="1384"/>
      <c r="CZ3192" s="338"/>
      <c r="DA3192" s="338"/>
      <c r="DP3192" s="236"/>
      <c r="DQ3192" s="236"/>
      <c r="DX3192" s="1671"/>
    </row>
    <row r="3193" spans="38:128">
      <c r="AL3193" s="1037"/>
      <c r="BP3193" s="1385"/>
      <c r="BV3193" s="236">
        <v>139</v>
      </c>
      <c r="BW3193" s="236" t="s">
        <v>338</v>
      </c>
      <c r="CL3193" s="236">
        <v>214.03</v>
      </c>
      <c r="CM3193" s="236" t="s">
        <v>349</v>
      </c>
      <c r="CT3193" s="1384"/>
      <c r="CZ3193" s="338"/>
      <c r="DA3193" s="338"/>
      <c r="DP3193" s="236"/>
      <c r="DQ3193" s="236"/>
      <c r="DX3193" s="1671"/>
    </row>
    <row r="3194" spans="38:128">
      <c r="AL3194" s="1037"/>
      <c r="BP3194" s="1385"/>
      <c r="BV3194" s="236">
        <v>140</v>
      </c>
      <c r="BW3194" s="236" t="s">
        <v>338</v>
      </c>
      <c r="CL3194" s="236">
        <v>214.04</v>
      </c>
      <c r="CM3194" s="236" t="s">
        <v>348</v>
      </c>
      <c r="CT3194" s="1384"/>
      <c r="CZ3194" s="338"/>
      <c r="DA3194" s="338"/>
      <c r="DP3194" s="236"/>
      <c r="DQ3194" s="236"/>
      <c r="DX3194" s="1671"/>
    </row>
    <row r="3195" spans="38:128">
      <c r="AL3195" s="1037"/>
      <c r="BP3195" s="1385"/>
      <c r="BV3195" s="236">
        <v>141</v>
      </c>
      <c r="BW3195" s="236" t="s">
        <v>338</v>
      </c>
      <c r="CL3195" s="236">
        <v>214.04</v>
      </c>
      <c r="CM3195" s="236" t="s">
        <v>349</v>
      </c>
      <c r="CT3195" s="1384"/>
      <c r="CZ3195" s="338"/>
      <c r="DA3195" s="338"/>
      <c r="DP3195" s="236"/>
      <c r="DQ3195" s="236"/>
      <c r="DX3195" s="1671"/>
    </row>
    <row r="3196" spans="38:128">
      <c r="AL3196" s="1037"/>
      <c r="BP3196" s="1385"/>
      <c r="BV3196" s="236">
        <v>142.01</v>
      </c>
      <c r="BW3196" s="236" t="s">
        <v>338</v>
      </c>
      <c r="CL3196" s="236">
        <v>214.08</v>
      </c>
      <c r="CM3196" s="236" t="s">
        <v>349</v>
      </c>
      <c r="CT3196" s="1384"/>
      <c r="CZ3196" s="338"/>
      <c r="DA3196" s="338"/>
      <c r="DP3196" s="236"/>
      <c r="DQ3196" s="236"/>
      <c r="DX3196" s="1671"/>
    </row>
    <row r="3197" spans="38:128">
      <c r="AL3197" s="1037"/>
      <c r="BP3197" s="1385"/>
      <c r="BV3197" s="236">
        <v>142.02000000000001</v>
      </c>
      <c r="BW3197" s="236" t="s">
        <v>338</v>
      </c>
      <c r="CL3197" s="236">
        <v>214.09</v>
      </c>
      <c r="CM3197" s="236" t="s">
        <v>349</v>
      </c>
      <c r="CT3197" s="1384"/>
      <c r="CZ3197" s="338"/>
      <c r="DA3197" s="338"/>
      <c r="DP3197" s="236"/>
      <c r="DQ3197" s="236"/>
      <c r="DX3197" s="1671"/>
    </row>
    <row r="3198" spans="38:128">
      <c r="AL3198" s="1037"/>
      <c r="BP3198" s="1385"/>
      <c r="BV3198" s="236">
        <v>143.01</v>
      </c>
      <c r="BW3198" s="236" t="s">
        <v>338</v>
      </c>
      <c r="CL3198" s="236">
        <v>214.1</v>
      </c>
      <c r="CM3198" s="236" t="s">
        <v>349</v>
      </c>
      <c r="CT3198" s="1384"/>
      <c r="CZ3198" s="338"/>
      <c r="DA3198" s="338"/>
      <c r="DP3198" s="236"/>
      <c r="DQ3198" s="236"/>
      <c r="DX3198" s="1671"/>
    </row>
    <row r="3199" spans="38:128">
      <c r="AL3199" s="1037"/>
      <c r="BP3199" s="1385"/>
      <c r="BV3199" s="236">
        <v>143.02000000000001</v>
      </c>
      <c r="BW3199" s="236" t="s">
        <v>338</v>
      </c>
      <c r="CL3199" s="236">
        <v>215.01</v>
      </c>
      <c r="CM3199" s="236" t="s">
        <v>336</v>
      </c>
      <c r="CT3199" s="1384"/>
      <c r="CZ3199" s="338"/>
      <c r="DA3199" s="338"/>
      <c r="DP3199" s="236"/>
      <c r="DQ3199" s="236"/>
      <c r="DX3199" s="1671"/>
    </row>
    <row r="3200" spans="38:128">
      <c r="AL3200" s="1037"/>
      <c r="BP3200" s="1385"/>
      <c r="BV3200" s="236">
        <v>144</v>
      </c>
      <c r="BW3200" s="236" t="s">
        <v>338</v>
      </c>
      <c r="CL3200" s="236">
        <v>215.01</v>
      </c>
      <c r="CM3200" s="236" t="s">
        <v>342</v>
      </c>
      <c r="CT3200" s="1384"/>
      <c r="CZ3200" s="338"/>
      <c r="DA3200" s="338"/>
      <c r="DP3200" s="236"/>
      <c r="DQ3200" s="236"/>
      <c r="DX3200" s="1671"/>
    </row>
    <row r="3201" spans="38:128">
      <c r="AL3201" s="1037"/>
      <c r="BP3201" s="1385"/>
      <c r="BV3201" s="236">
        <v>145.02000000000001</v>
      </c>
      <c r="BW3201" s="236" t="s">
        <v>338</v>
      </c>
      <c r="CL3201" s="236">
        <v>215.02</v>
      </c>
      <c r="CM3201" s="236" t="s">
        <v>336</v>
      </c>
      <c r="CT3201" s="1384"/>
      <c r="CZ3201" s="338"/>
      <c r="DA3201" s="338"/>
      <c r="DP3201" s="236"/>
      <c r="DQ3201" s="236"/>
      <c r="DX3201" s="1671"/>
    </row>
    <row r="3202" spans="38:128">
      <c r="AL3202" s="1037"/>
      <c r="BP3202" s="1385"/>
      <c r="BV3202" s="236">
        <v>145.03</v>
      </c>
      <c r="BW3202" s="236" t="s">
        <v>338</v>
      </c>
      <c r="CL3202" s="236">
        <v>215.02</v>
      </c>
      <c r="CM3202" s="236" t="s">
        <v>342</v>
      </c>
      <c r="CT3202" s="1384"/>
      <c r="CZ3202" s="338"/>
      <c r="DA3202" s="338"/>
      <c r="DP3202" s="236"/>
      <c r="DQ3202" s="236"/>
      <c r="DX3202" s="1671"/>
    </row>
    <row r="3203" spans="38:128">
      <c r="AL3203" s="1037"/>
      <c r="BP3203" s="1385"/>
      <c r="BV3203" s="236">
        <v>145.04</v>
      </c>
      <c r="BW3203" s="236" t="s">
        <v>338</v>
      </c>
      <c r="CL3203" s="236">
        <v>215.04</v>
      </c>
      <c r="CM3203" s="236" t="s">
        <v>348</v>
      </c>
      <c r="CT3203" s="1384"/>
      <c r="CZ3203" s="338"/>
      <c r="DA3203" s="338"/>
      <c r="DP3203" s="236"/>
      <c r="DQ3203" s="236"/>
      <c r="DX3203" s="1671"/>
    </row>
    <row r="3204" spans="38:128">
      <c r="AL3204" s="1037"/>
      <c r="BP3204" s="1385"/>
      <c r="BV3204" s="236">
        <v>146.01</v>
      </c>
      <c r="BW3204" s="236" t="s">
        <v>338</v>
      </c>
      <c r="CL3204" s="236">
        <v>215.05</v>
      </c>
      <c r="CM3204" s="236" t="s">
        <v>348</v>
      </c>
      <c r="CT3204" s="1384"/>
      <c r="CZ3204" s="338"/>
      <c r="DA3204" s="338"/>
      <c r="DP3204" s="236"/>
      <c r="DQ3204" s="236"/>
      <c r="DX3204" s="1671"/>
    </row>
    <row r="3205" spans="38:128">
      <c r="AL3205" s="1037"/>
      <c r="BP3205" s="1385"/>
      <c r="BV3205" s="236">
        <v>146.05000000000001</v>
      </c>
      <c r="BW3205" s="236" t="s">
        <v>338</v>
      </c>
      <c r="CL3205" s="236">
        <v>215.06</v>
      </c>
      <c r="CM3205" s="236" t="s">
        <v>348</v>
      </c>
      <c r="CT3205" s="1384"/>
      <c r="CZ3205" s="338"/>
      <c r="DA3205" s="338"/>
      <c r="DP3205" s="236"/>
      <c r="DQ3205" s="236"/>
      <c r="DX3205" s="1671"/>
    </row>
    <row r="3206" spans="38:128">
      <c r="AL3206" s="1037"/>
      <c r="BP3206" s="1385"/>
      <c r="BV3206" s="236">
        <v>146.06</v>
      </c>
      <c r="BW3206" s="236" t="s">
        <v>338</v>
      </c>
      <c r="CL3206" s="236">
        <v>215.07</v>
      </c>
      <c r="CM3206" s="236" t="s">
        <v>348</v>
      </c>
      <c r="CT3206" s="1384"/>
      <c r="CZ3206" s="338"/>
      <c r="DA3206" s="338"/>
      <c r="DP3206" s="236"/>
      <c r="DQ3206" s="236"/>
      <c r="DX3206" s="1671"/>
    </row>
    <row r="3207" spans="38:128">
      <c r="AL3207" s="1037"/>
      <c r="BP3207" s="1385"/>
      <c r="BV3207" s="236">
        <v>146.07</v>
      </c>
      <c r="BW3207" s="236" t="s">
        <v>338</v>
      </c>
      <c r="CL3207" s="236">
        <v>216</v>
      </c>
      <c r="CM3207" s="236" t="s">
        <v>336</v>
      </c>
      <c r="CT3207" s="1384"/>
      <c r="CZ3207" s="338"/>
      <c r="DA3207" s="338"/>
      <c r="DP3207" s="236"/>
      <c r="DQ3207" s="236"/>
      <c r="DX3207" s="1671"/>
    </row>
    <row r="3208" spans="38:128">
      <c r="AL3208" s="1037"/>
      <c r="BP3208" s="1385"/>
      <c r="BV3208" s="236">
        <v>146.08000000000001</v>
      </c>
      <c r="BW3208" s="236" t="s">
        <v>338</v>
      </c>
      <c r="CL3208" s="236">
        <v>216</v>
      </c>
      <c r="CM3208" s="236" t="s">
        <v>342</v>
      </c>
      <c r="CT3208" s="1384"/>
      <c r="CZ3208" s="338"/>
      <c r="DA3208" s="338"/>
      <c r="DP3208" s="236"/>
      <c r="DQ3208" s="236"/>
      <c r="DX3208" s="1671"/>
    </row>
    <row r="3209" spans="38:128">
      <c r="AL3209" s="1037"/>
      <c r="BP3209" s="1385"/>
      <c r="BV3209" s="236">
        <v>146.09</v>
      </c>
      <c r="BW3209" s="236" t="s">
        <v>338</v>
      </c>
      <c r="CL3209" s="236">
        <v>216.04</v>
      </c>
      <c r="CM3209" s="236" t="s">
        <v>348</v>
      </c>
      <c r="CT3209" s="1384"/>
      <c r="CZ3209" s="338"/>
      <c r="DA3209" s="338"/>
      <c r="DP3209" s="236"/>
      <c r="DQ3209" s="236"/>
      <c r="DX3209" s="1671"/>
    </row>
    <row r="3210" spans="38:128">
      <c r="AL3210" s="1037"/>
      <c r="BP3210" s="1385"/>
      <c r="BV3210" s="236">
        <v>147.01</v>
      </c>
      <c r="BW3210" s="236" t="s">
        <v>338</v>
      </c>
      <c r="CL3210" s="236">
        <v>216.06</v>
      </c>
      <c r="CM3210" s="236" t="s">
        <v>348</v>
      </c>
      <c r="CT3210" s="1384"/>
      <c r="CZ3210" s="338"/>
      <c r="DA3210" s="338"/>
      <c r="DP3210" s="236"/>
      <c r="DQ3210" s="236"/>
      <c r="DX3210" s="1671"/>
    </row>
    <row r="3211" spans="38:128">
      <c r="AL3211" s="1037"/>
      <c r="BP3211" s="1385"/>
      <c r="BV3211" s="236">
        <v>147.02000000000001</v>
      </c>
      <c r="BW3211" s="236" t="s">
        <v>338</v>
      </c>
      <c r="CL3211" s="236">
        <v>216.08</v>
      </c>
      <c r="CM3211" s="236" t="s">
        <v>348</v>
      </c>
      <c r="CT3211" s="1384"/>
      <c r="CZ3211" s="338"/>
      <c r="DA3211" s="338"/>
      <c r="DP3211" s="236"/>
      <c r="DQ3211" s="236"/>
      <c r="DX3211" s="1671"/>
    </row>
    <row r="3212" spans="38:128">
      <c r="AL3212" s="1037"/>
      <c r="BP3212" s="1385"/>
      <c r="BV3212" s="236">
        <v>147.03</v>
      </c>
      <c r="BW3212" s="236" t="s">
        <v>338</v>
      </c>
      <c r="CL3212" s="236">
        <v>216.09</v>
      </c>
      <c r="CM3212" s="236" t="s">
        <v>348</v>
      </c>
      <c r="CT3212" s="1384"/>
      <c r="CZ3212" s="338"/>
      <c r="DA3212" s="338"/>
      <c r="DP3212" s="236"/>
      <c r="DQ3212" s="236"/>
      <c r="DX3212" s="1671"/>
    </row>
    <row r="3213" spans="38:128">
      <c r="AL3213" s="1037"/>
      <c r="BP3213" s="1385"/>
      <c r="BV3213" s="236">
        <v>147.05000000000001</v>
      </c>
      <c r="BW3213" s="236" t="s">
        <v>338</v>
      </c>
      <c r="CL3213" s="236">
        <v>216.11</v>
      </c>
      <c r="CM3213" s="236" t="s">
        <v>348</v>
      </c>
      <c r="CT3213" s="1384"/>
      <c r="CZ3213" s="338"/>
      <c r="DA3213" s="338"/>
      <c r="DP3213" s="236"/>
      <c r="DQ3213" s="236"/>
      <c r="DX3213" s="1671"/>
    </row>
    <row r="3214" spans="38:128">
      <c r="AL3214" s="1037"/>
      <c r="BP3214" s="1385"/>
      <c r="BV3214" s="236">
        <v>147.06</v>
      </c>
      <c r="BW3214" s="236" t="s">
        <v>338</v>
      </c>
      <c r="CL3214" s="236">
        <v>216.12</v>
      </c>
      <c r="CM3214" s="236" t="s">
        <v>348</v>
      </c>
      <c r="CT3214" s="1384"/>
      <c r="CZ3214" s="338"/>
      <c r="DA3214" s="338"/>
      <c r="DP3214" s="236"/>
      <c r="DQ3214" s="236"/>
      <c r="DX3214" s="1671"/>
    </row>
    <row r="3215" spans="38:128">
      <c r="AL3215" s="1037"/>
      <c r="BP3215" s="1385"/>
      <c r="BV3215" s="236">
        <v>148.04</v>
      </c>
      <c r="BW3215" s="236" t="s">
        <v>338</v>
      </c>
      <c r="CL3215" s="236">
        <v>216.13</v>
      </c>
      <c r="CM3215" s="236" t="s">
        <v>348</v>
      </c>
      <c r="CT3215" s="1384"/>
      <c r="CZ3215" s="338"/>
      <c r="DA3215" s="338"/>
      <c r="DP3215" s="236"/>
      <c r="DQ3215" s="236"/>
      <c r="DX3215" s="1671"/>
    </row>
    <row r="3216" spans="38:128">
      <c r="AL3216" s="1037"/>
      <c r="BP3216" s="1385"/>
      <c r="BV3216" s="236">
        <v>148.05000000000001</v>
      </c>
      <c r="BW3216" s="236" t="s">
        <v>338</v>
      </c>
      <c r="CL3216" s="236">
        <v>216.14</v>
      </c>
      <c r="CM3216" s="236" t="s">
        <v>348</v>
      </c>
      <c r="CT3216" s="1384"/>
      <c r="CZ3216" s="338"/>
      <c r="DA3216" s="338"/>
      <c r="DP3216" s="236"/>
      <c r="DQ3216" s="236"/>
      <c r="DX3216" s="1671"/>
    </row>
    <row r="3217" spans="38:128">
      <c r="AL3217" s="1037"/>
      <c r="BP3217" s="1385"/>
      <c r="BV3217" s="236">
        <v>148.06</v>
      </c>
      <c r="BW3217" s="236" t="s">
        <v>338</v>
      </c>
      <c r="CL3217" s="236">
        <v>216.17</v>
      </c>
      <c r="CM3217" s="236" t="s">
        <v>348</v>
      </c>
      <c r="CT3217" s="1384"/>
      <c r="CZ3217" s="338"/>
      <c r="DA3217" s="338"/>
      <c r="DP3217" s="236"/>
      <c r="DQ3217" s="236"/>
      <c r="DX3217" s="1671"/>
    </row>
    <row r="3218" spans="38:128">
      <c r="AL3218" s="1037"/>
      <c r="BP3218" s="1385"/>
      <c r="BV3218" s="236">
        <v>148.07</v>
      </c>
      <c r="BW3218" s="236" t="s">
        <v>338</v>
      </c>
      <c r="CL3218" s="236">
        <v>217</v>
      </c>
      <c r="CM3218" s="236" t="s">
        <v>336</v>
      </c>
      <c r="CT3218" s="1384"/>
      <c r="CZ3218" s="338"/>
      <c r="DA3218" s="338"/>
      <c r="DP3218" s="236"/>
      <c r="DQ3218" s="236"/>
      <c r="DX3218" s="1671"/>
    </row>
    <row r="3219" spans="38:128">
      <c r="AL3219" s="1037"/>
      <c r="BP3219" s="1385"/>
      <c r="BV3219" s="236">
        <v>148.09</v>
      </c>
      <c r="BW3219" s="236" t="s">
        <v>338</v>
      </c>
      <c r="CL3219" s="236">
        <v>217.04</v>
      </c>
      <c r="CM3219" s="236" t="s">
        <v>348</v>
      </c>
      <c r="CT3219" s="1384"/>
      <c r="CZ3219" s="338"/>
      <c r="DA3219" s="338"/>
      <c r="DP3219" s="236"/>
      <c r="DQ3219" s="236"/>
      <c r="DX3219" s="1671"/>
    </row>
    <row r="3220" spans="38:128">
      <c r="AL3220" s="1037"/>
      <c r="BP3220" s="1385"/>
      <c r="BV3220" s="236">
        <v>148.1</v>
      </c>
      <c r="BW3220" s="236" t="s">
        <v>338</v>
      </c>
      <c r="CL3220" s="236">
        <v>217.05</v>
      </c>
      <c r="CM3220" s="236" t="s">
        <v>348</v>
      </c>
      <c r="CT3220" s="1384"/>
      <c r="CZ3220" s="338"/>
      <c r="DA3220" s="338"/>
      <c r="DP3220" s="236"/>
      <c r="DQ3220" s="236"/>
      <c r="DX3220" s="1671"/>
    </row>
    <row r="3221" spans="38:128">
      <c r="AL3221" s="1037"/>
      <c r="BP3221" s="1385"/>
      <c r="BV3221" s="236">
        <v>148.11000000000001</v>
      </c>
      <c r="BW3221" s="236" t="s">
        <v>338</v>
      </c>
      <c r="CL3221" s="236">
        <v>217.06</v>
      </c>
      <c r="CM3221" s="236" t="s">
        <v>348</v>
      </c>
      <c r="CT3221" s="1384"/>
      <c r="CZ3221" s="338"/>
      <c r="DA3221" s="338"/>
      <c r="DP3221" s="236"/>
      <c r="DQ3221" s="236"/>
      <c r="DX3221" s="1671"/>
    </row>
    <row r="3222" spans="38:128">
      <c r="AL3222" s="1037"/>
      <c r="BP3222" s="1385"/>
      <c r="BV3222" s="236">
        <v>148.12</v>
      </c>
      <c r="BW3222" s="236" t="s">
        <v>338</v>
      </c>
      <c r="CL3222" s="236">
        <v>217.07</v>
      </c>
      <c r="CM3222" s="236" t="s">
        <v>348</v>
      </c>
      <c r="CT3222" s="1384"/>
      <c r="CZ3222" s="338"/>
      <c r="DA3222" s="338"/>
      <c r="DP3222" s="236"/>
      <c r="DQ3222" s="236"/>
      <c r="DX3222" s="1671"/>
    </row>
    <row r="3223" spans="38:128">
      <c r="AL3223" s="1037"/>
      <c r="BP3223" s="1385"/>
      <c r="BV3223" s="236">
        <v>148.13</v>
      </c>
      <c r="BW3223" s="236" t="s">
        <v>338</v>
      </c>
      <c r="CL3223" s="236">
        <v>217.08</v>
      </c>
      <c r="CM3223" s="236" t="s">
        <v>348</v>
      </c>
      <c r="CT3223" s="1384"/>
      <c r="CZ3223" s="338"/>
      <c r="DA3223" s="338"/>
      <c r="DP3223" s="236"/>
      <c r="DQ3223" s="236"/>
      <c r="DX3223" s="1671"/>
    </row>
    <row r="3224" spans="38:128">
      <c r="AL3224" s="1037"/>
      <c r="BP3224" s="1385"/>
      <c r="BV3224" s="236">
        <v>148.13999999999999</v>
      </c>
      <c r="BW3224" s="236" t="s">
        <v>338</v>
      </c>
      <c r="CL3224" s="236">
        <v>218</v>
      </c>
      <c r="CM3224" s="236" t="s">
        <v>342</v>
      </c>
      <c r="CT3224" s="1384"/>
      <c r="CZ3224" s="338"/>
      <c r="DA3224" s="338"/>
      <c r="DP3224" s="236"/>
      <c r="DQ3224" s="236"/>
      <c r="DX3224" s="1671"/>
    </row>
    <row r="3225" spans="38:128">
      <c r="AL3225" s="1037"/>
      <c r="BP3225" s="1385"/>
      <c r="BV3225" s="236">
        <v>148.15</v>
      </c>
      <c r="BW3225" s="236" t="s">
        <v>338</v>
      </c>
      <c r="CL3225" s="236">
        <v>218.01</v>
      </c>
      <c r="CM3225" s="236" t="s">
        <v>336</v>
      </c>
      <c r="CT3225" s="1384"/>
      <c r="CZ3225" s="338"/>
      <c r="DA3225" s="338"/>
      <c r="DP3225" s="236"/>
      <c r="DQ3225" s="236"/>
      <c r="DX3225" s="1671"/>
    </row>
    <row r="3226" spans="38:128">
      <c r="AL3226" s="1037"/>
      <c r="BP3226" s="1385"/>
      <c r="BV3226" s="236">
        <v>149.04</v>
      </c>
      <c r="BW3226" s="236" t="s">
        <v>338</v>
      </c>
      <c r="CL3226" s="236">
        <v>218.02</v>
      </c>
      <c r="CM3226" s="236" t="s">
        <v>336</v>
      </c>
      <c r="CT3226" s="1384"/>
      <c r="CZ3226" s="338"/>
      <c r="DA3226" s="338"/>
      <c r="DP3226" s="236"/>
      <c r="DQ3226" s="236"/>
      <c r="DX3226" s="1671"/>
    </row>
    <row r="3227" spans="38:128">
      <c r="AL3227" s="1037"/>
      <c r="BP3227" s="1385"/>
      <c r="BV3227" s="236">
        <v>149.06</v>
      </c>
      <c r="BW3227" s="236" t="s">
        <v>338</v>
      </c>
      <c r="CL3227" s="236">
        <v>218.02</v>
      </c>
      <c r="CM3227" s="236" t="s">
        <v>348</v>
      </c>
      <c r="CT3227" s="1384"/>
      <c r="CZ3227" s="338"/>
      <c r="DA3227" s="338"/>
      <c r="DP3227" s="236"/>
      <c r="DQ3227" s="236"/>
      <c r="DX3227" s="1671"/>
    </row>
    <row r="3228" spans="38:128">
      <c r="AL3228" s="1037"/>
      <c r="BP3228" s="1385"/>
      <c r="BV3228" s="236">
        <v>149.08000000000001</v>
      </c>
      <c r="BW3228" s="236" t="s">
        <v>338</v>
      </c>
      <c r="CL3228" s="236">
        <v>218.03</v>
      </c>
      <c r="CM3228" s="236" t="s">
        <v>348</v>
      </c>
      <c r="CT3228" s="1384"/>
      <c r="CZ3228" s="338"/>
      <c r="DA3228" s="338"/>
      <c r="DP3228" s="236"/>
      <c r="DQ3228" s="236"/>
      <c r="DX3228" s="1671"/>
    </row>
    <row r="3229" spans="38:128">
      <c r="AL3229" s="1037"/>
      <c r="BP3229" s="1385"/>
      <c r="BV3229" s="236">
        <v>149.09</v>
      </c>
      <c r="BW3229" s="236" t="s">
        <v>338</v>
      </c>
      <c r="CL3229" s="236">
        <v>218.05</v>
      </c>
      <c r="CM3229" s="236" t="s">
        <v>348</v>
      </c>
      <c r="CT3229" s="1384"/>
      <c r="CZ3229" s="338"/>
      <c r="DA3229" s="338"/>
      <c r="DP3229" s="236"/>
      <c r="DQ3229" s="236"/>
      <c r="DX3229" s="1671"/>
    </row>
    <row r="3230" spans="38:128">
      <c r="AL3230" s="1037"/>
      <c r="BP3230" s="1385"/>
      <c r="BV3230" s="236">
        <v>150.01</v>
      </c>
      <c r="BW3230" s="236" t="s">
        <v>338</v>
      </c>
      <c r="CL3230" s="236">
        <v>218.06</v>
      </c>
      <c r="CM3230" s="236" t="s">
        <v>348</v>
      </c>
      <c r="CT3230" s="1384"/>
      <c r="CZ3230" s="338"/>
      <c r="DA3230" s="338"/>
      <c r="DP3230" s="236"/>
      <c r="DQ3230" s="236"/>
      <c r="DX3230" s="1671"/>
    </row>
    <row r="3231" spans="38:128">
      <c r="AL3231" s="1037"/>
      <c r="BP3231" s="1385"/>
      <c r="BV3231" s="236">
        <v>150.02000000000001</v>
      </c>
      <c r="BW3231" s="236" t="s">
        <v>338</v>
      </c>
      <c r="CL3231" s="236">
        <v>219</v>
      </c>
      <c r="CM3231" s="236" t="s">
        <v>342</v>
      </c>
      <c r="CT3231" s="1384"/>
      <c r="CZ3231" s="338"/>
      <c r="DA3231" s="338"/>
      <c r="DP3231" s="236"/>
      <c r="DQ3231" s="236"/>
      <c r="DX3231" s="1671"/>
    </row>
    <row r="3232" spans="38:128">
      <c r="AL3232" s="1037"/>
      <c r="BP3232" s="1385"/>
      <c r="BV3232" s="236">
        <v>150.03</v>
      </c>
      <c r="BW3232" s="236" t="s">
        <v>338</v>
      </c>
      <c r="CL3232" s="236">
        <v>219.01</v>
      </c>
      <c r="CM3232" s="236" t="s">
        <v>336</v>
      </c>
      <c r="CT3232" s="1384"/>
      <c r="CZ3232" s="338"/>
      <c r="DA3232" s="338"/>
      <c r="DP3232" s="236"/>
      <c r="DQ3232" s="236"/>
      <c r="DX3232" s="1671"/>
    </row>
    <row r="3233" spans="38:128">
      <c r="AL3233" s="1037"/>
      <c r="BP3233" s="1385"/>
      <c r="BV3233" s="236">
        <v>150.05000000000001</v>
      </c>
      <c r="BW3233" s="236" t="s">
        <v>338</v>
      </c>
      <c r="CL3233" s="236">
        <v>219.01</v>
      </c>
      <c r="CM3233" s="236" t="s">
        <v>348</v>
      </c>
      <c r="CT3233" s="1384"/>
      <c r="CZ3233" s="338"/>
      <c r="DA3233" s="338"/>
      <c r="DP3233" s="236"/>
      <c r="DQ3233" s="236"/>
      <c r="DX3233" s="1671"/>
    </row>
    <row r="3234" spans="38:128">
      <c r="AL3234" s="1037"/>
      <c r="BP3234" s="1385"/>
      <c r="BV3234" s="236">
        <v>150.06</v>
      </c>
      <c r="BW3234" s="236" t="s">
        <v>338</v>
      </c>
      <c r="CL3234" s="236">
        <v>219.02</v>
      </c>
      <c r="CM3234" s="236" t="s">
        <v>336</v>
      </c>
      <c r="CT3234" s="1384"/>
      <c r="CZ3234" s="338"/>
      <c r="DA3234" s="338"/>
      <c r="DP3234" s="236"/>
      <c r="DQ3234" s="236"/>
      <c r="DX3234" s="1671"/>
    </row>
    <row r="3235" spans="38:128">
      <c r="AL3235" s="1037"/>
      <c r="BP3235" s="1385"/>
      <c r="BV3235" s="236">
        <v>151.03</v>
      </c>
      <c r="BW3235" s="236" t="s">
        <v>338</v>
      </c>
      <c r="CL3235" s="236">
        <v>219.02</v>
      </c>
      <c r="CM3235" s="236" t="s">
        <v>348</v>
      </c>
      <c r="CT3235" s="1384"/>
      <c r="CZ3235" s="338"/>
      <c r="DA3235" s="338"/>
      <c r="DP3235" s="236"/>
      <c r="DQ3235" s="236"/>
      <c r="DX3235" s="1671"/>
    </row>
    <row r="3236" spans="38:128">
      <c r="AL3236" s="1037"/>
      <c r="BP3236" s="1385"/>
      <c r="BV3236" s="236">
        <v>151.04</v>
      </c>
      <c r="BW3236" s="236" t="s">
        <v>338</v>
      </c>
      <c r="CL3236" s="236">
        <v>220</v>
      </c>
      <c r="CM3236" s="236" t="s">
        <v>342</v>
      </c>
      <c r="CT3236" s="1384"/>
      <c r="CZ3236" s="338"/>
      <c r="DA3236" s="338"/>
      <c r="DP3236" s="236"/>
      <c r="DQ3236" s="236"/>
      <c r="DX3236" s="1671"/>
    </row>
    <row r="3237" spans="38:128">
      <c r="AL3237" s="1037"/>
      <c r="BP3237" s="1385"/>
      <c r="BV3237" s="236">
        <v>151.05000000000001</v>
      </c>
      <c r="BW3237" s="236" t="s">
        <v>338</v>
      </c>
      <c r="CL3237" s="236">
        <v>220.01</v>
      </c>
      <c r="CM3237" s="236" t="s">
        <v>336</v>
      </c>
      <c r="CT3237" s="1384"/>
      <c r="CZ3237" s="338"/>
      <c r="DA3237" s="338"/>
      <c r="DP3237" s="236"/>
      <c r="DQ3237" s="236"/>
      <c r="DX3237" s="1671"/>
    </row>
    <row r="3238" spans="38:128">
      <c r="AL3238" s="1037"/>
      <c r="BP3238" s="1385"/>
      <c r="BV3238" s="236">
        <v>151.06</v>
      </c>
      <c r="BW3238" s="236" t="s">
        <v>338</v>
      </c>
      <c r="CL3238" s="236">
        <v>220.01</v>
      </c>
      <c r="CM3238" s="236" t="s">
        <v>348</v>
      </c>
      <c r="CT3238" s="1384"/>
      <c r="CZ3238" s="338"/>
      <c r="DA3238" s="338"/>
      <c r="DP3238" s="236"/>
      <c r="DQ3238" s="236"/>
      <c r="DX3238" s="1671"/>
    </row>
    <row r="3239" spans="38:128">
      <c r="AL3239" s="1037"/>
      <c r="BP3239" s="1385"/>
      <c r="BV3239" s="236">
        <v>152.02000000000001</v>
      </c>
      <c r="BW3239" s="236" t="s">
        <v>338</v>
      </c>
      <c r="CL3239" s="236">
        <v>220.02</v>
      </c>
      <c r="CM3239" s="236" t="s">
        <v>336</v>
      </c>
      <c r="CT3239" s="1384"/>
      <c r="CZ3239" s="338"/>
      <c r="DA3239" s="338"/>
      <c r="DP3239" s="236"/>
      <c r="DQ3239" s="236"/>
      <c r="DX3239" s="1671"/>
    </row>
    <row r="3240" spans="38:128">
      <c r="AL3240" s="1037"/>
      <c r="BP3240" s="1385"/>
      <c r="BV3240" s="236">
        <v>152.03</v>
      </c>
      <c r="BW3240" s="236" t="s">
        <v>338</v>
      </c>
      <c r="CL3240" s="236">
        <v>220.02</v>
      </c>
      <c r="CM3240" s="236" t="s">
        <v>348</v>
      </c>
      <c r="CT3240" s="1384"/>
      <c r="CZ3240" s="338"/>
      <c r="DA3240" s="338"/>
      <c r="DP3240" s="236"/>
      <c r="DQ3240" s="236"/>
      <c r="DX3240" s="1671"/>
    </row>
    <row r="3241" spans="38:128">
      <c r="AL3241" s="1037"/>
      <c r="BP3241" s="1385"/>
      <c r="BV3241" s="236">
        <v>152.04</v>
      </c>
      <c r="BW3241" s="236" t="s">
        <v>338</v>
      </c>
      <c r="CL3241" s="236">
        <v>220.04</v>
      </c>
      <c r="CM3241" s="236" t="s">
        <v>348</v>
      </c>
      <c r="CT3241" s="1384"/>
      <c r="CZ3241" s="338"/>
      <c r="DA3241" s="338"/>
      <c r="DP3241" s="236"/>
      <c r="DQ3241" s="236"/>
      <c r="DX3241" s="1671"/>
    </row>
    <row r="3242" spans="38:128">
      <c r="AL3242" s="1037"/>
      <c r="BP3242" s="1385"/>
      <c r="BV3242" s="236">
        <v>153</v>
      </c>
      <c r="BW3242" s="236" t="s">
        <v>338</v>
      </c>
      <c r="CL3242" s="236">
        <v>220.06</v>
      </c>
      <c r="CM3242" s="236" t="s">
        <v>348</v>
      </c>
      <c r="CT3242" s="1384"/>
      <c r="CZ3242" s="338"/>
      <c r="DA3242" s="338"/>
      <c r="DP3242" s="236"/>
      <c r="DQ3242" s="236"/>
      <c r="DX3242" s="1671"/>
    </row>
    <row r="3243" spans="38:128">
      <c r="AL3243" s="1037"/>
      <c r="BP3243" s="1385"/>
      <c r="BV3243" s="236">
        <v>155.01</v>
      </c>
      <c r="BW3243" s="236" t="s">
        <v>338</v>
      </c>
      <c r="CL3243" s="236">
        <v>220.07</v>
      </c>
      <c r="CM3243" s="236" t="s">
        <v>348</v>
      </c>
      <c r="CT3243" s="1384"/>
      <c r="CZ3243" s="338"/>
      <c r="DA3243" s="338"/>
      <c r="DP3243" s="236"/>
      <c r="DQ3243" s="236"/>
      <c r="DX3243" s="1671"/>
    </row>
    <row r="3244" spans="38:128">
      <c r="AL3244" s="1037"/>
      <c r="BP3244" s="1385"/>
      <c r="BV3244" s="236">
        <v>156.01</v>
      </c>
      <c r="BW3244" s="236" t="s">
        <v>338</v>
      </c>
      <c r="CL3244" s="236">
        <v>221</v>
      </c>
      <c r="CM3244" s="236" t="s">
        <v>336</v>
      </c>
      <c r="CT3244" s="1384"/>
      <c r="CZ3244" s="338"/>
      <c r="DA3244" s="338"/>
      <c r="DP3244" s="236"/>
      <c r="DQ3244" s="236"/>
      <c r="DX3244" s="1671"/>
    </row>
    <row r="3245" spans="38:128">
      <c r="AL3245" s="1037"/>
      <c r="BP3245" s="1385"/>
      <c r="BV3245" s="236">
        <v>156.02000000000001</v>
      </c>
      <c r="BW3245" s="236" t="s">
        <v>338</v>
      </c>
      <c r="CL3245" s="236">
        <v>221.01</v>
      </c>
      <c r="CM3245" s="236" t="s">
        <v>342</v>
      </c>
      <c r="CT3245" s="1384"/>
      <c r="CZ3245" s="338"/>
      <c r="DA3245" s="338"/>
      <c r="DP3245" s="236"/>
      <c r="DQ3245" s="236"/>
      <c r="DX3245" s="1671"/>
    </row>
    <row r="3246" spans="38:128">
      <c r="AL3246" s="1037"/>
      <c r="BP3246" s="1385"/>
      <c r="BV3246" s="236">
        <v>157.01</v>
      </c>
      <c r="BW3246" s="236" t="s">
        <v>338</v>
      </c>
      <c r="CL3246" s="236">
        <v>221.01</v>
      </c>
      <c r="CM3246" s="236" t="s">
        <v>348</v>
      </c>
      <c r="CT3246" s="1384"/>
      <c r="CZ3246" s="338"/>
      <c r="DA3246" s="338"/>
      <c r="DP3246" s="236"/>
      <c r="DQ3246" s="236"/>
      <c r="DX3246" s="1671"/>
    </row>
    <row r="3247" spans="38:128">
      <c r="AL3247" s="1037"/>
      <c r="BP3247" s="1385"/>
      <c r="BV3247" s="236">
        <v>157.02000000000001</v>
      </c>
      <c r="BW3247" s="236" t="s">
        <v>338</v>
      </c>
      <c r="CL3247" s="236">
        <v>221.02</v>
      </c>
      <c r="CM3247" s="236" t="s">
        <v>342</v>
      </c>
      <c r="CT3247" s="1384"/>
      <c r="CZ3247" s="338"/>
      <c r="DA3247" s="338"/>
      <c r="DP3247" s="236"/>
      <c r="DQ3247" s="236"/>
      <c r="DX3247" s="1671"/>
    </row>
    <row r="3248" spans="38:128">
      <c r="AL3248" s="1037"/>
      <c r="BP3248" s="1385"/>
      <c r="BV3248" s="236">
        <v>158.01</v>
      </c>
      <c r="BW3248" s="236" t="s">
        <v>338</v>
      </c>
      <c r="CL3248" s="236">
        <v>221.04</v>
      </c>
      <c r="CM3248" s="236" t="s">
        <v>348</v>
      </c>
      <c r="CT3248" s="1384"/>
      <c r="CZ3248" s="338"/>
      <c r="DA3248" s="338"/>
      <c r="DP3248" s="236"/>
      <c r="DQ3248" s="236"/>
      <c r="DX3248" s="1671"/>
    </row>
    <row r="3249" spans="38:128">
      <c r="AL3249" s="1037"/>
      <c r="BP3249" s="1385"/>
      <c r="BV3249" s="236">
        <v>158.02000000000001</v>
      </c>
      <c r="BW3249" s="236" t="s">
        <v>338</v>
      </c>
      <c r="CL3249" s="236">
        <v>221.05</v>
      </c>
      <c r="CM3249" s="236" t="s">
        <v>348</v>
      </c>
      <c r="CT3249" s="1384"/>
      <c r="CZ3249" s="338"/>
      <c r="DA3249" s="338"/>
      <c r="DP3249" s="236"/>
      <c r="DQ3249" s="236"/>
      <c r="DX3249" s="1671"/>
    </row>
    <row r="3250" spans="38:128">
      <c r="AL3250" s="1037"/>
      <c r="BP3250" s="1385"/>
      <c r="BV3250" s="236">
        <v>159.01</v>
      </c>
      <c r="BW3250" s="236" t="s">
        <v>338</v>
      </c>
      <c r="CL3250" s="236">
        <v>221.06</v>
      </c>
      <c r="CM3250" s="236" t="s">
        <v>348</v>
      </c>
      <c r="CT3250" s="1384"/>
      <c r="CZ3250" s="338"/>
      <c r="DA3250" s="338"/>
      <c r="DP3250" s="236"/>
      <c r="DQ3250" s="236"/>
      <c r="DX3250" s="1671"/>
    </row>
    <row r="3251" spans="38:128">
      <c r="AL3251" s="1037"/>
      <c r="BP3251" s="1385"/>
      <c r="BV3251" s="236">
        <v>160.01</v>
      </c>
      <c r="BW3251" s="236" t="s">
        <v>338</v>
      </c>
      <c r="CL3251" s="236">
        <v>222</v>
      </c>
      <c r="CM3251" s="236" t="s">
        <v>342</v>
      </c>
      <c r="CT3251" s="1384"/>
      <c r="CZ3251" s="338"/>
      <c r="DA3251" s="338"/>
      <c r="DP3251" s="236"/>
      <c r="DQ3251" s="236"/>
      <c r="DX3251" s="1671"/>
    </row>
    <row r="3252" spans="38:128">
      <c r="AL3252" s="1037"/>
      <c r="BP3252" s="1385"/>
      <c r="BV3252" s="236">
        <v>160.02000000000001</v>
      </c>
      <c r="BW3252" s="236" t="s">
        <v>338</v>
      </c>
      <c r="CL3252" s="236">
        <v>222.01</v>
      </c>
      <c r="CM3252" s="236" t="s">
        <v>348</v>
      </c>
      <c r="CT3252" s="1384"/>
      <c r="CZ3252" s="338"/>
      <c r="DA3252" s="338"/>
      <c r="DP3252" s="236"/>
      <c r="DQ3252" s="236"/>
      <c r="DX3252" s="1671"/>
    </row>
    <row r="3253" spans="38:128">
      <c r="AL3253" s="1037"/>
      <c r="BP3253" s="1385"/>
      <c r="BV3253" s="236">
        <v>161</v>
      </c>
      <c r="BW3253" s="236" t="s">
        <v>338</v>
      </c>
      <c r="CL3253" s="236">
        <v>222.05</v>
      </c>
      <c r="CM3253" s="236" t="s">
        <v>348</v>
      </c>
      <c r="CT3253" s="1384"/>
      <c r="CZ3253" s="338"/>
      <c r="DA3253" s="338"/>
      <c r="DP3253" s="236"/>
      <c r="DQ3253" s="236"/>
      <c r="DX3253" s="1671"/>
    </row>
    <row r="3254" spans="38:128">
      <c r="AL3254" s="1037"/>
      <c r="BP3254" s="1385"/>
      <c r="BV3254" s="236">
        <v>162</v>
      </c>
      <c r="BW3254" s="236" t="s">
        <v>338</v>
      </c>
      <c r="CL3254" s="236">
        <v>222.06</v>
      </c>
      <c r="CM3254" s="236" t="s">
        <v>348</v>
      </c>
      <c r="CT3254" s="1384"/>
      <c r="CZ3254" s="338"/>
      <c r="DA3254" s="338"/>
      <c r="DP3254" s="236"/>
      <c r="DQ3254" s="236"/>
      <c r="DX3254" s="1671"/>
    </row>
    <row r="3255" spans="38:128">
      <c r="AL3255" s="1037"/>
      <c r="BP3255" s="1385"/>
      <c r="BV3255" s="236">
        <v>163.01</v>
      </c>
      <c r="BW3255" s="236" t="s">
        <v>338</v>
      </c>
      <c r="CL3255" s="236">
        <v>222.07</v>
      </c>
      <c r="CM3255" s="236" t="s">
        <v>348</v>
      </c>
      <c r="CT3255" s="1384"/>
      <c r="CZ3255" s="338"/>
      <c r="DA3255" s="338"/>
      <c r="DP3255" s="236"/>
      <c r="DQ3255" s="236"/>
      <c r="DX3255" s="1671"/>
    </row>
    <row r="3256" spans="38:128">
      <c r="AL3256" s="1037"/>
      <c r="BP3256" s="1385"/>
      <c r="BV3256" s="236">
        <v>163.02000000000001</v>
      </c>
      <c r="BW3256" s="236" t="s">
        <v>338</v>
      </c>
      <c r="CL3256" s="236">
        <v>222.08</v>
      </c>
      <c r="CM3256" s="236" t="s">
        <v>348</v>
      </c>
      <c r="CT3256" s="1384"/>
      <c r="CZ3256" s="338"/>
      <c r="DA3256" s="338"/>
      <c r="DP3256" s="236"/>
      <c r="DQ3256" s="236"/>
      <c r="DX3256" s="1671"/>
    </row>
    <row r="3257" spans="38:128">
      <c r="AL3257" s="1037"/>
      <c r="BP3257" s="1385"/>
      <c r="BV3257" s="236">
        <v>164.02</v>
      </c>
      <c r="BW3257" s="236" t="s">
        <v>338</v>
      </c>
      <c r="CL3257" s="236">
        <v>222.09</v>
      </c>
      <c r="CM3257" s="236" t="s">
        <v>348</v>
      </c>
      <c r="CT3257" s="1384"/>
      <c r="CZ3257" s="338"/>
      <c r="DA3257" s="338"/>
      <c r="DP3257" s="236"/>
      <c r="DQ3257" s="236"/>
      <c r="DX3257" s="1671"/>
    </row>
    <row r="3258" spans="38:128">
      <c r="AL3258" s="1037"/>
      <c r="BP3258" s="1385"/>
      <c r="BV3258" s="236">
        <v>164.06</v>
      </c>
      <c r="BW3258" s="236" t="s">
        <v>338</v>
      </c>
      <c r="CL3258" s="236">
        <v>223</v>
      </c>
      <c r="CM3258" s="236" t="s">
        <v>336</v>
      </c>
      <c r="CT3258" s="1384"/>
      <c r="CZ3258" s="338"/>
      <c r="DA3258" s="338"/>
      <c r="DP3258" s="236"/>
      <c r="DQ3258" s="236"/>
      <c r="DX3258" s="1671"/>
    </row>
    <row r="3259" spans="38:128">
      <c r="AL3259" s="1037"/>
      <c r="BP3259" s="1385"/>
      <c r="BV3259" s="236">
        <v>164.07</v>
      </c>
      <c r="BW3259" s="236" t="s">
        <v>338</v>
      </c>
      <c r="CL3259" s="236">
        <v>223.01</v>
      </c>
      <c r="CM3259" s="236" t="s">
        <v>342</v>
      </c>
      <c r="CT3259" s="1384"/>
      <c r="CZ3259" s="338"/>
      <c r="DA3259" s="338"/>
      <c r="DP3259" s="236"/>
      <c r="DQ3259" s="236"/>
      <c r="DX3259" s="1671"/>
    </row>
    <row r="3260" spans="38:128">
      <c r="AL3260" s="1037"/>
      <c r="BP3260" s="1385"/>
      <c r="BV3260" s="236">
        <v>164.08</v>
      </c>
      <c r="BW3260" s="236" t="s">
        <v>338</v>
      </c>
      <c r="CL3260" s="236">
        <v>223.02</v>
      </c>
      <c r="CM3260" s="236" t="s">
        <v>342</v>
      </c>
      <c r="CT3260" s="1384"/>
      <c r="CZ3260" s="338"/>
      <c r="DA3260" s="338"/>
      <c r="DP3260" s="236"/>
      <c r="DQ3260" s="236"/>
      <c r="DX3260" s="1671"/>
    </row>
    <row r="3261" spans="38:128">
      <c r="AL3261" s="1037"/>
      <c r="BP3261" s="1385"/>
      <c r="BV3261" s="236">
        <v>164.09</v>
      </c>
      <c r="BW3261" s="236" t="s">
        <v>338</v>
      </c>
      <c r="CL3261" s="236">
        <v>224</v>
      </c>
      <c r="CM3261" s="236" t="s">
        <v>336</v>
      </c>
      <c r="CT3261" s="1384"/>
      <c r="CZ3261" s="338"/>
      <c r="DA3261" s="338"/>
      <c r="DP3261" s="236"/>
      <c r="DQ3261" s="236"/>
      <c r="DX3261" s="1671"/>
    </row>
    <row r="3262" spans="38:128">
      <c r="AL3262" s="1037"/>
      <c r="BP3262" s="1385"/>
      <c r="BV3262" s="236">
        <v>164.11</v>
      </c>
      <c r="BW3262" s="236" t="s">
        <v>338</v>
      </c>
      <c r="CL3262" s="236">
        <v>224.01</v>
      </c>
      <c r="CM3262" s="236" t="s">
        <v>342</v>
      </c>
      <c r="CT3262" s="1384"/>
      <c r="CZ3262" s="338"/>
      <c r="DA3262" s="338"/>
      <c r="DP3262" s="236"/>
      <c r="DQ3262" s="236"/>
      <c r="DX3262" s="1671"/>
    </row>
    <row r="3263" spans="38:128">
      <c r="AL3263" s="1037"/>
      <c r="BP3263" s="1385"/>
      <c r="BV3263" s="236">
        <v>164.12</v>
      </c>
      <c r="BW3263" s="236" t="s">
        <v>338</v>
      </c>
      <c r="CL3263" s="236">
        <v>224.02</v>
      </c>
      <c r="CM3263" s="236" t="s">
        <v>342</v>
      </c>
      <c r="CT3263" s="1384"/>
      <c r="CZ3263" s="338"/>
      <c r="DA3263" s="338"/>
      <c r="DP3263" s="236"/>
      <c r="DQ3263" s="236"/>
      <c r="DX3263" s="1671"/>
    </row>
    <row r="3264" spans="38:128">
      <c r="AL3264" s="1037"/>
      <c r="BP3264" s="1385"/>
      <c r="BV3264" s="236">
        <v>164.13</v>
      </c>
      <c r="BW3264" s="236" t="s">
        <v>338</v>
      </c>
      <c r="CL3264" s="236">
        <v>225</v>
      </c>
      <c r="CM3264" s="236" t="s">
        <v>336</v>
      </c>
      <c r="CT3264" s="1384"/>
      <c r="CZ3264" s="338"/>
      <c r="DA3264" s="338"/>
      <c r="DP3264" s="236"/>
      <c r="DQ3264" s="236"/>
      <c r="DX3264" s="1671"/>
    </row>
    <row r="3265" spans="38:128">
      <c r="AL3265" s="1037"/>
      <c r="BP3265" s="1385"/>
      <c r="BV3265" s="236">
        <v>164.14</v>
      </c>
      <c r="BW3265" s="236" t="s">
        <v>338</v>
      </c>
      <c r="CL3265" s="236">
        <v>225.01</v>
      </c>
      <c r="CM3265" s="236" t="s">
        <v>342</v>
      </c>
      <c r="CT3265" s="1384"/>
      <c r="CZ3265" s="338"/>
      <c r="DA3265" s="338"/>
      <c r="DP3265" s="236"/>
      <c r="DQ3265" s="236"/>
      <c r="DX3265" s="1671"/>
    </row>
    <row r="3266" spans="38:128">
      <c r="AL3266" s="1037"/>
      <c r="BP3266" s="1385"/>
      <c r="BV3266" s="236">
        <v>165.03</v>
      </c>
      <c r="BW3266" s="236" t="s">
        <v>338</v>
      </c>
      <c r="CL3266" s="236">
        <v>225.02</v>
      </c>
      <c r="CM3266" s="236" t="s">
        <v>342</v>
      </c>
      <c r="CT3266" s="1384"/>
      <c r="CZ3266" s="338"/>
      <c r="DA3266" s="338"/>
      <c r="DP3266" s="236"/>
      <c r="DQ3266" s="236"/>
      <c r="DX3266" s="1671"/>
    </row>
    <row r="3267" spans="38:128">
      <c r="AL3267" s="1037"/>
      <c r="BP3267" s="1385"/>
      <c r="BV3267" s="236">
        <v>165.04</v>
      </c>
      <c r="BW3267" s="236" t="s">
        <v>338</v>
      </c>
      <c r="CL3267" s="236">
        <v>225.03</v>
      </c>
      <c r="CM3267" s="236" t="s">
        <v>342</v>
      </c>
      <c r="CT3267" s="1384"/>
      <c r="CZ3267" s="338"/>
      <c r="DA3267" s="338"/>
      <c r="DP3267" s="236"/>
      <c r="DQ3267" s="236"/>
      <c r="DX3267" s="1671"/>
    </row>
    <row r="3268" spans="38:128">
      <c r="AL3268" s="1037"/>
      <c r="BP3268" s="1385"/>
      <c r="BV3268" s="236">
        <v>165.05</v>
      </c>
      <c r="BW3268" s="236" t="s">
        <v>338</v>
      </c>
      <c r="CL3268" s="236">
        <v>226</v>
      </c>
      <c r="CM3268" s="236" t="s">
        <v>336</v>
      </c>
      <c r="CT3268" s="1384"/>
      <c r="CZ3268" s="338"/>
      <c r="DA3268" s="338"/>
      <c r="DP3268" s="236"/>
      <c r="DQ3268" s="236"/>
      <c r="DX3268" s="1671"/>
    </row>
    <row r="3269" spans="38:128">
      <c r="AL3269" s="1037"/>
      <c r="BP3269" s="1385"/>
      <c r="BV3269" s="236">
        <v>165.09</v>
      </c>
      <c r="BW3269" s="236" t="s">
        <v>338</v>
      </c>
      <c r="CL3269" s="236">
        <v>226.01</v>
      </c>
      <c r="CM3269" s="236" t="s">
        <v>342</v>
      </c>
      <c r="CT3269" s="1384"/>
      <c r="CZ3269" s="338"/>
      <c r="DA3269" s="338"/>
      <c r="DP3269" s="236"/>
      <c r="DQ3269" s="236"/>
      <c r="DX3269" s="1671"/>
    </row>
    <row r="3270" spans="38:128">
      <c r="AL3270" s="1037"/>
      <c r="BP3270" s="1385"/>
      <c r="BV3270" s="236">
        <v>165.1</v>
      </c>
      <c r="BW3270" s="236" t="s">
        <v>338</v>
      </c>
      <c r="CL3270" s="236">
        <v>226.02</v>
      </c>
      <c r="CM3270" s="236" t="s">
        <v>342</v>
      </c>
      <c r="CT3270" s="1384"/>
      <c r="CZ3270" s="338"/>
      <c r="DA3270" s="338"/>
      <c r="DP3270" s="236"/>
      <c r="DQ3270" s="236"/>
      <c r="DX3270" s="1671"/>
    </row>
    <row r="3271" spans="38:128">
      <c r="AL3271" s="1037"/>
      <c r="BP3271" s="1385"/>
      <c r="BV3271" s="236">
        <v>165.11</v>
      </c>
      <c r="BW3271" s="236" t="s">
        <v>338</v>
      </c>
      <c r="CL3271" s="236">
        <v>227</v>
      </c>
      <c r="CM3271" s="236" t="s">
        <v>336</v>
      </c>
      <c r="CT3271" s="1384"/>
      <c r="CZ3271" s="338"/>
      <c r="DA3271" s="338"/>
      <c r="DP3271" s="236"/>
      <c r="DQ3271" s="236"/>
      <c r="DX3271" s="1671"/>
    </row>
    <row r="3272" spans="38:128">
      <c r="AL3272" s="1037"/>
      <c r="BP3272" s="1385"/>
      <c r="BV3272" s="236">
        <v>165.12</v>
      </c>
      <c r="BW3272" s="236" t="s">
        <v>338</v>
      </c>
      <c r="CL3272" s="236">
        <v>227</v>
      </c>
      <c r="CM3272" s="236" t="s">
        <v>342</v>
      </c>
      <c r="CT3272" s="1384"/>
      <c r="CZ3272" s="338"/>
      <c r="DA3272" s="338"/>
      <c r="DP3272" s="236"/>
      <c r="DQ3272" s="236"/>
      <c r="DX3272" s="1671"/>
    </row>
    <row r="3273" spans="38:128">
      <c r="AL3273" s="1037"/>
      <c r="BP3273" s="1385"/>
      <c r="BV3273" s="236">
        <v>165.13</v>
      </c>
      <c r="BW3273" s="236" t="s">
        <v>338</v>
      </c>
      <c r="CL3273" s="236">
        <v>228</v>
      </c>
      <c r="CM3273" s="236" t="s">
        <v>336</v>
      </c>
      <c r="CT3273" s="1384"/>
      <c r="CZ3273" s="338"/>
      <c r="DA3273" s="338"/>
      <c r="DP3273" s="236"/>
      <c r="DQ3273" s="236"/>
      <c r="DX3273" s="1671"/>
    </row>
    <row r="3274" spans="38:128">
      <c r="AL3274" s="1037"/>
      <c r="BP3274" s="1385"/>
      <c r="BV3274" s="236">
        <v>165.14</v>
      </c>
      <c r="BW3274" s="236" t="s">
        <v>338</v>
      </c>
      <c r="CL3274" s="236">
        <v>228.01</v>
      </c>
      <c r="CM3274" s="236" t="s">
        <v>342</v>
      </c>
      <c r="CT3274" s="1384"/>
      <c r="CZ3274" s="338"/>
      <c r="DA3274" s="338"/>
      <c r="DP3274" s="236"/>
      <c r="DQ3274" s="236"/>
      <c r="DX3274" s="1671"/>
    </row>
    <row r="3275" spans="38:128">
      <c r="AL3275" s="1037"/>
      <c r="BP3275" s="1385"/>
      <c r="BV3275" s="236">
        <v>165.15</v>
      </c>
      <c r="BW3275" s="236" t="s">
        <v>338</v>
      </c>
      <c r="CL3275" s="236">
        <v>228.02</v>
      </c>
      <c r="CM3275" s="236" t="s">
        <v>342</v>
      </c>
      <c r="CT3275" s="1384"/>
      <c r="CZ3275" s="338"/>
      <c r="DA3275" s="338"/>
      <c r="DP3275" s="236"/>
      <c r="DQ3275" s="236"/>
      <c r="DX3275" s="1671"/>
    </row>
    <row r="3276" spans="38:128">
      <c r="AL3276" s="1037"/>
      <c r="BP3276" s="1385"/>
      <c r="BV3276" s="236">
        <v>166.03</v>
      </c>
      <c r="BW3276" s="236" t="s">
        <v>338</v>
      </c>
      <c r="CL3276" s="236">
        <v>229</v>
      </c>
      <c r="CM3276" s="236" t="s">
        <v>336</v>
      </c>
      <c r="CT3276" s="1384"/>
      <c r="CZ3276" s="338"/>
      <c r="DA3276" s="338"/>
      <c r="DP3276" s="236"/>
      <c r="DQ3276" s="236"/>
      <c r="DX3276" s="1671"/>
    </row>
    <row r="3277" spans="38:128">
      <c r="AL3277" s="1037"/>
      <c r="BP3277" s="1385"/>
      <c r="BV3277" s="236">
        <v>166.04</v>
      </c>
      <c r="BW3277" s="236" t="s">
        <v>338</v>
      </c>
      <c r="CL3277" s="236">
        <v>229.01</v>
      </c>
      <c r="CM3277" s="236" t="s">
        <v>342</v>
      </c>
      <c r="CT3277" s="1384"/>
      <c r="CZ3277" s="338"/>
      <c r="DA3277" s="338"/>
      <c r="DP3277" s="236"/>
      <c r="DQ3277" s="236"/>
      <c r="DX3277" s="1671"/>
    </row>
    <row r="3278" spans="38:128">
      <c r="AL3278" s="1037"/>
      <c r="BP3278" s="1385"/>
      <c r="BV3278" s="236">
        <v>166.05</v>
      </c>
      <c r="BW3278" s="236" t="s">
        <v>338</v>
      </c>
      <c r="CL3278" s="236">
        <v>229.02</v>
      </c>
      <c r="CM3278" s="236" t="s">
        <v>342</v>
      </c>
      <c r="CT3278" s="1384"/>
      <c r="CZ3278" s="338"/>
      <c r="DA3278" s="338"/>
      <c r="DP3278" s="236"/>
      <c r="DQ3278" s="236"/>
      <c r="DX3278" s="1671"/>
    </row>
    <row r="3279" spans="38:128">
      <c r="AL3279" s="1037"/>
      <c r="BP3279" s="1385"/>
      <c r="BV3279" s="236">
        <v>166.06</v>
      </c>
      <c r="BW3279" s="236" t="s">
        <v>338</v>
      </c>
      <c r="CL3279" s="236">
        <v>230</v>
      </c>
      <c r="CM3279" s="236" t="s">
        <v>342</v>
      </c>
      <c r="CT3279" s="1384"/>
      <c r="CZ3279" s="338"/>
      <c r="DA3279" s="338"/>
      <c r="DP3279" s="236"/>
      <c r="DQ3279" s="236"/>
      <c r="DX3279" s="1671"/>
    </row>
    <row r="3280" spans="38:128">
      <c r="AL3280" s="1037"/>
      <c r="BP3280" s="1385"/>
      <c r="BV3280" s="236">
        <v>166.07</v>
      </c>
      <c r="BW3280" s="236" t="s">
        <v>338</v>
      </c>
      <c r="CL3280" s="236">
        <v>231</v>
      </c>
      <c r="CM3280" s="236" t="s">
        <v>336</v>
      </c>
      <c r="CT3280" s="1384"/>
      <c r="CZ3280" s="338"/>
      <c r="DA3280" s="338"/>
      <c r="DP3280" s="236"/>
      <c r="DQ3280" s="236"/>
      <c r="DX3280" s="1671"/>
    </row>
    <row r="3281" spans="38:128">
      <c r="AL3281" s="1037"/>
      <c r="BP3281" s="1385"/>
      <c r="BV3281" s="236">
        <v>167.09</v>
      </c>
      <c r="BW3281" s="236" t="s">
        <v>338</v>
      </c>
      <c r="CL3281" s="236">
        <v>231</v>
      </c>
      <c r="CM3281" s="236" t="s">
        <v>342</v>
      </c>
      <c r="CT3281" s="1384"/>
      <c r="CZ3281" s="338"/>
      <c r="DA3281" s="338"/>
      <c r="DP3281" s="236"/>
      <c r="DQ3281" s="236"/>
      <c r="DX3281" s="1671"/>
    </row>
    <row r="3282" spans="38:128">
      <c r="AL3282" s="1037"/>
      <c r="BP3282" s="1385"/>
      <c r="BV3282" s="236">
        <v>167.1</v>
      </c>
      <c r="BW3282" s="236" t="s">
        <v>338</v>
      </c>
      <c r="CL3282" s="236">
        <v>232</v>
      </c>
      <c r="CM3282" s="236" t="s">
        <v>336</v>
      </c>
      <c r="CT3282" s="1384"/>
      <c r="CZ3282" s="338"/>
      <c r="DA3282" s="338"/>
      <c r="DP3282" s="236"/>
      <c r="DQ3282" s="236"/>
      <c r="DX3282" s="1671"/>
    </row>
    <row r="3283" spans="38:128">
      <c r="AL3283" s="1037"/>
      <c r="BP3283" s="1385"/>
      <c r="BV3283" s="236">
        <v>167.13</v>
      </c>
      <c r="BW3283" s="236" t="s">
        <v>338</v>
      </c>
      <c r="CL3283" s="236">
        <v>232</v>
      </c>
      <c r="CM3283" s="236" t="s">
        <v>342</v>
      </c>
      <c r="CT3283" s="1384"/>
      <c r="CZ3283" s="338"/>
      <c r="DA3283" s="338"/>
      <c r="DP3283" s="236"/>
      <c r="DQ3283" s="236"/>
      <c r="DX3283" s="1671"/>
    </row>
    <row r="3284" spans="38:128">
      <c r="AL3284" s="1037"/>
      <c r="BP3284" s="1385"/>
      <c r="BV3284" s="236">
        <v>167.14</v>
      </c>
      <c r="BW3284" s="236" t="s">
        <v>338</v>
      </c>
      <c r="CL3284" s="236">
        <v>233</v>
      </c>
      <c r="CM3284" s="236" t="s">
        <v>342</v>
      </c>
      <c r="CT3284" s="1384"/>
      <c r="CZ3284" s="338"/>
      <c r="DA3284" s="338"/>
      <c r="DP3284" s="236"/>
      <c r="DQ3284" s="236"/>
      <c r="DX3284" s="1671"/>
    </row>
    <row r="3285" spans="38:128">
      <c r="AL3285" s="1037"/>
      <c r="BP3285" s="1385"/>
      <c r="BV3285" s="236">
        <v>167.15</v>
      </c>
      <c r="BW3285" s="236" t="s">
        <v>338</v>
      </c>
      <c r="CL3285" s="236">
        <v>233.03</v>
      </c>
      <c r="CM3285" s="236" t="s">
        <v>336</v>
      </c>
      <c r="CT3285" s="1384"/>
      <c r="CZ3285" s="338"/>
      <c r="DA3285" s="338"/>
      <c r="DP3285" s="236"/>
      <c r="DQ3285" s="236"/>
      <c r="DX3285" s="1671"/>
    </row>
    <row r="3286" spans="38:128">
      <c r="AL3286" s="1037"/>
      <c r="BP3286" s="1385"/>
      <c r="BV3286" s="236">
        <v>167.16</v>
      </c>
      <c r="BW3286" s="236" t="s">
        <v>338</v>
      </c>
      <c r="CL3286" s="236">
        <v>233.04</v>
      </c>
      <c r="CM3286" s="236" t="s">
        <v>336</v>
      </c>
      <c r="CT3286" s="1384"/>
      <c r="CZ3286" s="338"/>
      <c r="DA3286" s="338"/>
      <c r="DP3286" s="236"/>
      <c r="DQ3286" s="236"/>
      <c r="DX3286" s="1671"/>
    </row>
    <row r="3287" spans="38:128">
      <c r="AL3287" s="1037"/>
      <c r="BP3287" s="1385"/>
      <c r="BV3287" s="236">
        <v>167.17</v>
      </c>
      <c r="BW3287" s="236" t="s">
        <v>338</v>
      </c>
      <c r="CL3287" s="236">
        <v>233.05</v>
      </c>
      <c r="CM3287" s="236" t="s">
        <v>336</v>
      </c>
      <c r="CT3287" s="1384"/>
      <c r="CZ3287" s="338"/>
      <c r="DA3287" s="338"/>
      <c r="DP3287" s="236"/>
      <c r="DQ3287" s="236"/>
      <c r="DX3287" s="1671"/>
    </row>
    <row r="3288" spans="38:128">
      <c r="AL3288" s="1037"/>
      <c r="BP3288" s="1385"/>
      <c r="BV3288" s="236">
        <v>167.23</v>
      </c>
      <c r="BW3288" s="236" t="s">
        <v>338</v>
      </c>
      <c r="CL3288" s="236">
        <v>233.06</v>
      </c>
      <c r="CM3288" s="236" t="s">
        <v>336</v>
      </c>
      <c r="CT3288" s="1384"/>
      <c r="CZ3288" s="338"/>
      <c r="DA3288" s="338"/>
      <c r="DP3288" s="236"/>
      <c r="DQ3288" s="236"/>
      <c r="DX3288" s="1671"/>
    </row>
    <row r="3289" spans="38:128">
      <c r="AL3289" s="1037"/>
      <c r="BP3289" s="1385"/>
      <c r="BV3289" s="236">
        <v>167.24</v>
      </c>
      <c r="BW3289" s="236" t="s">
        <v>338</v>
      </c>
      <c r="CL3289" s="236">
        <v>233.07</v>
      </c>
      <c r="CM3289" s="236" t="s">
        <v>336</v>
      </c>
      <c r="CT3289" s="1384"/>
      <c r="CZ3289" s="338"/>
      <c r="DA3289" s="338"/>
      <c r="DP3289" s="236"/>
      <c r="DQ3289" s="236"/>
      <c r="DX3289" s="1671"/>
    </row>
    <row r="3290" spans="38:128">
      <c r="AL3290" s="1037"/>
      <c r="BP3290" s="1385"/>
      <c r="BV3290" s="236">
        <v>167.28</v>
      </c>
      <c r="BW3290" s="236" t="s">
        <v>338</v>
      </c>
      <c r="CL3290" s="236">
        <v>233.08</v>
      </c>
      <c r="CM3290" s="236" t="s">
        <v>336</v>
      </c>
      <c r="CT3290" s="1384"/>
      <c r="CZ3290" s="338"/>
      <c r="DA3290" s="338"/>
      <c r="DP3290" s="236"/>
      <c r="DQ3290" s="236"/>
      <c r="DX3290" s="1671"/>
    </row>
    <row r="3291" spans="38:128">
      <c r="AL3291" s="1037"/>
      <c r="BP3291" s="1385"/>
      <c r="BV3291" s="236">
        <v>167.31</v>
      </c>
      <c r="BW3291" s="236" t="s">
        <v>338</v>
      </c>
      <c r="CL3291" s="236">
        <v>234</v>
      </c>
      <c r="CM3291" s="236" t="s">
        <v>342</v>
      </c>
      <c r="CT3291" s="1384"/>
      <c r="CZ3291" s="338"/>
      <c r="DA3291" s="338"/>
      <c r="DP3291" s="236"/>
      <c r="DQ3291" s="236"/>
      <c r="DX3291" s="1671"/>
    </row>
    <row r="3292" spans="38:128">
      <c r="AL3292" s="1037"/>
      <c r="BP3292" s="1385"/>
      <c r="BV3292" s="236">
        <v>167.33</v>
      </c>
      <c r="BW3292" s="236" t="s">
        <v>338</v>
      </c>
      <c r="CL3292" s="236">
        <v>235.01</v>
      </c>
      <c r="CM3292" s="236" t="s">
        <v>342</v>
      </c>
      <c r="CT3292" s="1384"/>
      <c r="CZ3292" s="338"/>
      <c r="DA3292" s="338"/>
      <c r="DP3292" s="236"/>
      <c r="DQ3292" s="236"/>
      <c r="DX3292" s="1671"/>
    </row>
    <row r="3293" spans="38:128">
      <c r="AL3293" s="1037"/>
      <c r="BP3293" s="1385"/>
      <c r="BV3293" s="236">
        <v>167.35</v>
      </c>
      <c r="BW3293" s="236" t="s">
        <v>338</v>
      </c>
      <c r="CL3293" s="236">
        <v>235.02</v>
      </c>
      <c r="CM3293" s="236" t="s">
        <v>342</v>
      </c>
      <c r="CT3293" s="1384"/>
      <c r="CZ3293" s="338"/>
      <c r="DA3293" s="338"/>
      <c r="DP3293" s="236"/>
      <c r="DQ3293" s="236"/>
      <c r="DX3293" s="1671"/>
    </row>
    <row r="3294" spans="38:128">
      <c r="AL3294" s="1037"/>
      <c r="BP3294" s="1385"/>
      <c r="BV3294" s="236">
        <v>167.36</v>
      </c>
      <c r="BW3294" s="236" t="s">
        <v>338</v>
      </c>
      <c r="CL3294" s="236">
        <v>236.01</v>
      </c>
      <c r="CM3294" s="236" t="s">
        <v>342</v>
      </c>
      <c r="CT3294" s="1384"/>
      <c r="CZ3294" s="338"/>
      <c r="DA3294" s="338"/>
      <c r="DP3294" s="236"/>
      <c r="DQ3294" s="236"/>
      <c r="DX3294" s="1671"/>
    </row>
    <row r="3295" spans="38:128">
      <c r="AL3295" s="1037"/>
      <c r="BP3295" s="1385"/>
      <c r="BV3295" s="236">
        <v>167.37</v>
      </c>
      <c r="BW3295" s="236" t="s">
        <v>338</v>
      </c>
      <c r="CL3295" s="236">
        <v>236.02</v>
      </c>
      <c r="CM3295" s="236" t="s">
        <v>342</v>
      </c>
      <c r="CT3295" s="1384"/>
      <c r="CZ3295" s="338"/>
      <c r="DA3295" s="338"/>
      <c r="DP3295" s="236"/>
      <c r="DQ3295" s="236"/>
      <c r="DX3295" s="1671"/>
    </row>
    <row r="3296" spans="38:128">
      <c r="AL3296" s="1037"/>
      <c r="BP3296" s="1385"/>
      <c r="BV3296" s="236">
        <v>167.38</v>
      </c>
      <c r="BW3296" s="236" t="s">
        <v>338</v>
      </c>
      <c r="CL3296" s="236">
        <v>237</v>
      </c>
      <c r="CM3296" s="236" t="s">
        <v>342</v>
      </c>
      <c r="CT3296" s="1384"/>
      <c r="CZ3296" s="338"/>
      <c r="DA3296" s="338"/>
      <c r="DP3296" s="236"/>
      <c r="DQ3296" s="236"/>
      <c r="DX3296" s="1671"/>
    </row>
    <row r="3297" spans="38:128">
      <c r="AL3297" s="1037"/>
      <c r="BP3297" s="1385"/>
      <c r="BV3297" s="236">
        <v>167.39</v>
      </c>
      <c r="BW3297" s="236" t="s">
        <v>338</v>
      </c>
      <c r="CL3297" s="236">
        <v>238</v>
      </c>
      <c r="CM3297" s="236" t="s">
        <v>342</v>
      </c>
      <c r="CT3297" s="1384"/>
      <c r="CZ3297" s="338"/>
      <c r="DA3297" s="338"/>
      <c r="DP3297" s="236"/>
      <c r="DQ3297" s="236"/>
      <c r="DX3297" s="1671"/>
    </row>
    <row r="3298" spans="38:128">
      <c r="AL3298" s="1037"/>
      <c r="BP3298" s="1385"/>
      <c r="BV3298" s="236">
        <v>167.4</v>
      </c>
      <c r="BW3298" s="236" t="s">
        <v>338</v>
      </c>
      <c r="CL3298" s="236">
        <v>239</v>
      </c>
      <c r="CM3298" s="236" t="s">
        <v>342</v>
      </c>
      <c r="CT3298" s="1384"/>
      <c r="CZ3298" s="338"/>
      <c r="DA3298" s="338"/>
      <c r="DP3298" s="236"/>
      <c r="DQ3298" s="236"/>
      <c r="DX3298" s="1671"/>
    </row>
    <row r="3299" spans="38:128">
      <c r="AL3299" s="1037"/>
      <c r="BP3299" s="1385"/>
      <c r="BV3299" s="236">
        <v>167.41</v>
      </c>
      <c r="BW3299" s="236" t="s">
        <v>338</v>
      </c>
      <c r="CL3299" s="236">
        <v>240.01</v>
      </c>
      <c r="CM3299" s="236" t="s">
        <v>342</v>
      </c>
      <c r="CT3299" s="1384"/>
      <c r="CZ3299" s="338"/>
      <c r="DA3299" s="338"/>
      <c r="DP3299" s="236"/>
      <c r="DQ3299" s="236"/>
      <c r="DX3299" s="1671"/>
    </row>
    <row r="3300" spans="38:128">
      <c r="AL3300" s="1037"/>
      <c r="BP3300" s="1385"/>
      <c r="BV3300" s="236">
        <v>167.42</v>
      </c>
      <c r="BW3300" s="236" t="s">
        <v>338</v>
      </c>
      <c r="CL3300" s="236">
        <v>240.02</v>
      </c>
      <c r="CM3300" s="236" t="s">
        <v>342</v>
      </c>
      <c r="CT3300" s="1384"/>
      <c r="CZ3300" s="338"/>
      <c r="DA3300" s="338"/>
      <c r="DP3300" s="236"/>
      <c r="DQ3300" s="236"/>
      <c r="DX3300" s="1671"/>
    </row>
    <row r="3301" spans="38:128">
      <c r="AL3301" s="1037"/>
      <c r="BP3301" s="1385"/>
      <c r="BV3301" s="236">
        <v>167.43</v>
      </c>
      <c r="BW3301" s="236" t="s">
        <v>338</v>
      </c>
      <c r="CL3301" s="236">
        <v>240.04</v>
      </c>
      <c r="CM3301" s="236" t="s">
        <v>342</v>
      </c>
      <c r="CT3301" s="1384"/>
      <c r="CZ3301" s="338"/>
      <c r="DA3301" s="338"/>
      <c r="DP3301" s="236"/>
      <c r="DQ3301" s="236"/>
      <c r="DX3301" s="1671"/>
    </row>
    <row r="3302" spans="38:128">
      <c r="AL3302" s="1037"/>
      <c r="BP3302" s="1385"/>
      <c r="BV3302" s="236">
        <v>167.44</v>
      </c>
      <c r="BW3302" s="236" t="s">
        <v>338</v>
      </c>
      <c r="CL3302" s="236">
        <v>240.05</v>
      </c>
      <c r="CM3302" s="236" t="s">
        <v>342</v>
      </c>
      <c r="CT3302" s="1384"/>
      <c r="CZ3302" s="338"/>
      <c r="DA3302" s="338"/>
      <c r="DP3302" s="236"/>
      <c r="DQ3302" s="236"/>
      <c r="DX3302" s="1671"/>
    </row>
    <row r="3303" spans="38:128">
      <c r="AL3303" s="1037"/>
      <c r="BP3303" s="1385"/>
      <c r="BV3303" s="236">
        <v>167.45</v>
      </c>
      <c r="BW3303" s="236" t="s">
        <v>338</v>
      </c>
      <c r="CL3303" s="236">
        <v>241</v>
      </c>
      <c r="CM3303" s="236" t="s">
        <v>342</v>
      </c>
      <c r="CT3303" s="1384"/>
      <c r="CZ3303" s="338"/>
      <c r="DA3303" s="338"/>
      <c r="DP3303" s="236"/>
      <c r="DQ3303" s="236"/>
      <c r="DX3303" s="1671"/>
    </row>
    <row r="3304" spans="38:128">
      <c r="AL3304" s="1037"/>
      <c r="BP3304" s="1385"/>
      <c r="BV3304" s="236">
        <v>167.46</v>
      </c>
      <c r="BW3304" s="236" t="s">
        <v>338</v>
      </c>
      <c r="CL3304" s="236">
        <v>242.01</v>
      </c>
      <c r="CM3304" s="236" t="s">
        <v>342</v>
      </c>
      <c r="CT3304" s="1384"/>
      <c r="CZ3304" s="338"/>
      <c r="DA3304" s="338"/>
      <c r="DP3304" s="236"/>
      <c r="DQ3304" s="236"/>
      <c r="DX3304" s="1671"/>
    </row>
    <row r="3305" spans="38:128">
      <c r="AL3305" s="1037"/>
      <c r="BP3305" s="1385"/>
      <c r="BV3305" s="236">
        <v>167.47</v>
      </c>
      <c r="BW3305" s="236" t="s">
        <v>338</v>
      </c>
      <c r="CL3305" s="236">
        <v>242.02</v>
      </c>
      <c r="CM3305" s="236" t="s">
        <v>342</v>
      </c>
      <c r="CT3305" s="1384"/>
      <c r="CZ3305" s="338"/>
      <c r="DA3305" s="338"/>
      <c r="DP3305" s="236"/>
      <c r="DQ3305" s="236"/>
      <c r="DX3305" s="1671"/>
    </row>
    <row r="3306" spans="38:128">
      <c r="AL3306" s="1037"/>
      <c r="BP3306" s="1385"/>
      <c r="BV3306" s="236">
        <v>167.48</v>
      </c>
      <c r="BW3306" s="236" t="s">
        <v>338</v>
      </c>
      <c r="CL3306" s="236">
        <v>243.01</v>
      </c>
      <c r="CM3306" s="236" t="s">
        <v>342</v>
      </c>
      <c r="CT3306" s="1384"/>
      <c r="CZ3306" s="338"/>
      <c r="DA3306" s="338"/>
      <c r="DP3306" s="236"/>
      <c r="DQ3306" s="236"/>
      <c r="DX3306" s="1671"/>
    </row>
    <row r="3307" spans="38:128">
      <c r="AL3307" s="1037"/>
      <c r="BP3307" s="1385"/>
      <c r="BV3307" s="236">
        <v>167.49</v>
      </c>
      <c r="BW3307" s="236" t="s">
        <v>338</v>
      </c>
      <c r="CL3307" s="236">
        <v>243.02</v>
      </c>
      <c r="CM3307" s="236" t="s">
        <v>342</v>
      </c>
      <c r="CT3307" s="1384"/>
      <c r="CZ3307" s="338"/>
      <c r="DA3307" s="338"/>
      <c r="DP3307" s="236"/>
      <c r="DQ3307" s="236"/>
      <c r="DX3307" s="1671"/>
    </row>
    <row r="3308" spans="38:128">
      <c r="AL3308" s="1037"/>
      <c r="BP3308" s="1385"/>
      <c r="BV3308" s="236">
        <v>167.5</v>
      </c>
      <c r="BW3308" s="236" t="s">
        <v>338</v>
      </c>
      <c r="CL3308" s="236">
        <v>244.03</v>
      </c>
      <c r="CM3308" s="236" t="s">
        <v>342</v>
      </c>
      <c r="CT3308" s="1384"/>
      <c r="CZ3308" s="338"/>
      <c r="DA3308" s="338"/>
      <c r="DP3308" s="236"/>
      <c r="DQ3308" s="236"/>
      <c r="DX3308" s="1671"/>
    </row>
    <row r="3309" spans="38:128">
      <c r="AL3309" s="1037"/>
      <c r="BP3309" s="1385"/>
      <c r="BV3309" s="236">
        <v>167.51</v>
      </c>
      <c r="BW3309" s="236" t="s">
        <v>338</v>
      </c>
      <c r="CL3309" s="236">
        <v>244.06</v>
      </c>
      <c r="CM3309" s="236" t="s">
        <v>342</v>
      </c>
      <c r="CT3309" s="1384"/>
      <c r="CZ3309" s="338"/>
      <c r="DA3309" s="338"/>
      <c r="DP3309" s="236"/>
      <c r="DQ3309" s="236"/>
      <c r="DX3309" s="1671"/>
    </row>
    <row r="3310" spans="38:128">
      <c r="AL3310" s="1037"/>
      <c r="BP3310" s="1385"/>
      <c r="BV3310" s="236">
        <v>167.52</v>
      </c>
      <c r="BW3310" s="236" t="s">
        <v>338</v>
      </c>
      <c r="CL3310" s="236">
        <v>244.08</v>
      </c>
      <c r="CM3310" s="236" t="s">
        <v>342</v>
      </c>
      <c r="CT3310" s="1384"/>
      <c r="CZ3310" s="338"/>
      <c r="DA3310" s="338"/>
      <c r="DP3310" s="236"/>
      <c r="DQ3310" s="236"/>
      <c r="DX3310" s="1671"/>
    </row>
    <row r="3311" spans="38:128">
      <c r="AL3311" s="1037"/>
      <c r="BP3311" s="1385"/>
      <c r="BV3311" s="236">
        <v>167.53</v>
      </c>
      <c r="BW3311" s="236" t="s">
        <v>338</v>
      </c>
      <c r="CL3311" s="236">
        <v>244.09</v>
      </c>
      <c r="CM3311" s="236" t="s">
        <v>342</v>
      </c>
      <c r="CT3311" s="1384"/>
      <c r="CZ3311" s="338"/>
      <c r="DA3311" s="338"/>
      <c r="DP3311" s="236"/>
      <c r="DQ3311" s="236"/>
      <c r="DX3311" s="1671"/>
    </row>
    <row r="3312" spans="38:128">
      <c r="AL3312" s="1037"/>
      <c r="BP3312" s="1385"/>
      <c r="BV3312" s="236">
        <v>167.54</v>
      </c>
      <c r="BW3312" s="236" t="s">
        <v>338</v>
      </c>
      <c r="CL3312" s="236">
        <v>244.1</v>
      </c>
      <c r="CM3312" s="236" t="s">
        <v>342</v>
      </c>
      <c r="CT3312" s="1384"/>
      <c r="CZ3312" s="338"/>
      <c r="DA3312" s="338"/>
      <c r="DP3312" s="236"/>
      <c r="DQ3312" s="236"/>
      <c r="DX3312" s="1671"/>
    </row>
    <row r="3313" spans="38:128">
      <c r="AL3313" s="1037"/>
      <c r="BP3313" s="1385"/>
      <c r="BV3313" s="236">
        <v>167.55</v>
      </c>
      <c r="BW3313" s="236" t="s">
        <v>338</v>
      </c>
      <c r="CL3313" s="236">
        <v>244.11</v>
      </c>
      <c r="CM3313" s="236" t="s">
        <v>342</v>
      </c>
      <c r="CT3313" s="1384"/>
      <c r="CZ3313" s="338"/>
      <c r="DA3313" s="338"/>
      <c r="DP3313" s="236"/>
      <c r="DQ3313" s="236"/>
      <c r="DX3313" s="1671"/>
    </row>
    <row r="3314" spans="38:128">
      <c r="AL3314" s="1037"/>
      <c r="BP3314" s="1385"/>
      <c r="BV3314" s="236">
        <v>167.56</v>
      </c>
      <c r="BW3314" s="236" t="s">
        <v>338</v>
      </c>
      <c r="CL3314" s="236">
        <v>244.12</v>
      </c>
      <c r="CM3314" s="236" t="s">
        <v>342</v>
      </c>
      <c r="CT3314" s="1384"/>
      <c r="CZ3314" s="338"/>
      <c r="DA3314" s="338"/>
      <c r="DP3314" s="236"/>
      <c r="DQ3314" s="236"/>
      <c r="DX3314" s="1671"/>
    </row>
    <row r="3315" spans="38:128">
      <c r="AL3315" s="1037"/>
      <c r="BP3315" s="1385"/>
      <c r="BV3315" s="236">
        <v>168.02</v>
      </c>
      <c r="BW3315" s="236" t="s">
        <v>338</v>
      </c>
      <c r="CL3315" s="236">
        <v>244.13</v>
      </c>
      <c r="CM3315" s="236" t="s">
        <v>342</v>
      </c>
      <c r="CT3315" s="1384"/>
      <c r="CZ3315" s="338"/>
      <c r="DA3315" s="338"/>
      <c r="DP3315" s="236"/>
      <c r="DQ3315" s="236"/>
      <c r="DX3315" s="1671"/>
    </row>
    <row r="3316" spans="38:128">
      <c r="AL3316" s="1037"/>
      <c r="BP3316" s="1385"/>
      <c r="BV3316" s="236">
        <v>168.03</v>
      </c>
      <c r="BW3316" s="236" t="s">
        <v>338</v>
      </c>
      <c r="CL3316" s="236">
        <v>245.05</v>
      </c>
      <c r="CM3316" s="236" t="s">
        <v>342</v>
      </c>
      <c r="CT3316" s="1384"/>
      <c r="CZ3316" s="338"/>
      <c r="DA3316" s="338"/>
      <c r="DP3316" s="236"/>
      <c r="DQ3316" s="236"/>
      <c r="DX3316" s="1671"/>
    </row>
    <row r="3317" spans="38:128">
      <c r="AL3317" s="1037"/>
      <c r="BP3317" s="1385"/>
      <c r="BV3317" s="236">
        <v>168.04</v>
      </c>
      <c r="BW3317" s="236" t="s">
        <v>338</v>
      </c>
      <c r="CL3317" s="236">
        <v>245.07</v>
      </c>
      <c r="CM3317" s="236" t="s">
        <v>342</v>
      </c>
      <c r="CT3317" s="1384"/>
      <c r="CZ3317" s="338"/>
      <c r="DA3317" s="338"/>
      <c r="DP3317" s="236"/>
      <c r="DQ3317" s="236"/>
      <c r="DX3317" s="1671"/>
    </row>
    <row r="3318" spans="38:128">
      <c r="AL3318" s="1037"/>
      <c r="BP3318" s="1385"/>
      <c r="BV3318" s="236">
        <v>168.08</v>
      </c>
      <c r="BW3318" s="236" t="s">
        <v>338</v>
      </c>
      <c r="CL3318" s="236">
        <v>245.08</v>
      </c>
      <c r="CM3318" s="236" t="s">
        <v>342</v>
      </c>
      <c r="CT3318" s="1384"/>
      <c r="CZ3318" s="338"/>
      <c r="DA3318" s="338"/>
      <c r="DP3318" s="236"/>
      <c r="DQ3318" s="236"/>
      <c r="DX3318" s="1671"/>
    </row>
    <row r="3319" spans="38:128">
      <c r="AL3319" s="1037"/>
      <c r="BP3319" s="1385"/>
      <c r="BV3319" s="236">
        <v>168.09</v>
      </c>
      <c r="BW3319" s="236" t="s">
        <v>338</v>
      </c>
      <c r="CL3319" s="236">
        <v>245.09</v>
      </c>
      <c r="CM3319" s="236" t="s">
        <v>342</v>
      </c>
      <c r="CT3319" s="1384"/>
      <c r="CZ3319" s="338"/>
      <c r="DA3319" s="338"/>
      <c r="DP3319" s="236"/>
      <c r="DQ3319" s="236"/>
      <c r="DX3319" s="1671"/>
    </row>
    <row r="3320" spans="38:128">
      <c r="AL3320" s="1037"/>
      <c r="BP3320" s="1385"/>
      <c r="BV3320" s="236">
        <v>168.1</v>
      </c>
      <c r="BW3320" s="236" t="s">
        <v>338</v>
      </c>
      <c r="CL3320" s="236">
        <v>245.1</v>
      </c>
      <c r="CM3320" s="236" t="s">
        <v>342</v>
      </c>
      <c r="CT3320" s="1384"/>
      <c r="CZ3320" s="338"/>
      <c r="DA3320" s="338"/>
      <c r="DP3320" s="236"/>
      <c r="DQ3320" s="236"/>
      <c r="DX3320" s="1671"/>
    </row>
    <row r="3321" spans="38:128">
      <c r="AL3321" s="1037"/>
      <c r="BP3321" s="1385"/>
      <c r="BV3321" s="236">
        <v>168.11</v>
      </c>
      <c r="BW3321" s="236" t="s">
        <v>338</v>
      </c>
      <c r="CL3321" s="236">
        <v>245.12</v>
      </c>
      <c r="CM3321" s="236" t="s">
        <v>342</v>
      </c>
      <c r="CT3321" s="1384"/>
      <c r="CZ3321" s="338"/>
      <c r="DA3321" s="338"/>
      <c r="DP3321" s="236"/>
      <c r="DQ3321" s="236"/>
      <c r="DX3321" s="1671"/>
    </row>
    <row r="3322" spans="38:128">
      <c r="AL3322" s="1037"/>
      <c r="BP3322" s="1385"/>
      <c r="BV3322" s="236">
        <v>168.12</v>
      </c>
      <c r="BW3322" s="236" t="s">
        <v>338</v>
      </c>
      <c r="CL3322" s="236">
        <v>245.14</v>
      </c>
      <c r="CM3322" s="236" t="s">
        <v>342</v>
      </c>
      <c r="CT3322" s="1384"/>
      <c r="CZ3322" s="338"/>
      <c r="DA3322" s="338"/>
      <c r="DP3322" s="236"/>
      <c r="DQ3322" s="236"/>
      <c r="DX3322" s="1671"/>
    </row>
    <row r="3323" spans="38:128">
      <c r="AL3323" s="1037"/>
      <c r="BP3323" s="1385"/>
      <c r="BV3323" s="236">
        <v>168.13</v>
      </c>
      <c r="BW3323" s="236" t="s">
        <v>338</v>
      </c>
      <c r="CL3323" s="236">
        <v>245.15</v>
      </c>
      <c r="CM3323" s="236" t="s">
        <v>342</v>
      </c>
      <c r="CT3323" s="1384"/>
      <c r="CZ3323" s="338"/>
      <c r="DA3323" s="338"/>
      <c r="DP3323" s="236"/>
      <c r="DQ3323" s="236"/>
      <c r="DX3323" s="1671"/>
    </row>
    <row r="3324" spans="38:128">
      <c r="AL3324" s="1037"/>
      <c r="BP3324" s="1385"/>
      <c r="BV3324" s="236">
        <v>168.14</v>
      </c>
      <c r="BW3324" s="236" t="s">
        <v>338</v>
      </c>
      <c r="CL3324" s="236">
        <v>245.16</v>
      </c>
      <c r="CM3324" s="236" t="s">
        <v>342</v>
      </c>
      <c r="CT3324" s="1384"/>
      <c r="CZ3324" s="338"/>
      <c r="DA3324" s="338"/>
      <c r="DP3324" s="236"/>
      <c r="DQ3324" s="236"/>
      <c r="DX3324" s="1671"/>
    </row>
    <row r="3325" spans="38:128">
      <c r="AL3325" s="1037"/>
      <c r="BP3325" s="1385"/>
      <c r="BV3325" s="236">
        <v>169.02</v>
      </c>
      <c r="BW3325" s="236" t="s">
        <v>338</v>
      </c>
      <c r="CL3325" s="236">
        <v>245.17</v>
      </c>
      <c r="CM3325" s="236" t="s">
        <v>342</v>
      </c>
      <c r="CT3325" s="1384"/>
      <c r="CZ3325" s="338"/>
      <c r="DA3325" s="338"/>
      <c r="DP3325" s="236"/>
      <c r="DQ3325" s="236"/>
      <c r="DX3325" s="1671"/>
    </row>
    <row r="3326" spans="38:128">
      <c r="AL3326" s="1037"/>
      <c r="BP3326" s="1385"/>
      <c r="BV3326" s="236">
        <v>169.04</v>
      </c>
      <c r="BW3326" s="236" t="s">
        <v>338</v>
      </c>
      <c r="CL3326" s="236">
        <v>245.18</v>
      </c>
      <c r="CM3326" s="236" t="s">
        <v>342</v>
      </c>
      <c r="CT3326" s="1384"/>
      <c r="CZ3326" s="338"/>
      <c r="DA3326" s="338"/>
      <c r="DP3326" s="236"/>
      <c r="DQ3326" s="236"/>
      <c r="DX3326" s="1671"/>
    </row>
    <row r="3327" spans="38:128">
      <c r="AL3327" s="1037"/>
      <c r="BP3327" s="1385"/>
      <c r="BV3327" s="236">
        <v>169.06</v>
      </c>
      <c r="BW3327" s="236" t="s">
        <v>338</v>
      </c>
      <c r="CL3327" s="236">
        <v>245.19</v>
      </c>
      <c r="CM3327" s="236" t="s">
        <v>342</v>
      </c>
      <c r="CT3327" s="1384"/>
      <c r="CZ3327" s="338"/>
      <c r="DA3327" s="338"/>
      <c r="DP3327" s="236"/>
      <c r="DQ3327" s="236"/>
      <c r="DX3327" s="1671"/>
    </row>
    <row r="3328" spans="38:128">
      <c r="AL3328" s="1037"/>
      <c r="BP3328" s="1385"/>
      <c r="BV3328" s="236">
        <v>169.07</v>
      </c>
      <c r="BW3328" s="236" t="s">
        <v>338</v>
      </c>
      <c r="CL3328" s="236">
        <v>246.01</v>
      </c>
      <c r="CM3328" s="236" t="s">
        <v>342</v>
      </c>
      <c r="CT3328" s="1384"/>
      <c r="CZ3328" s="338"/>
      <c r="DA3328" s="338"/>
      <c r="DP3328" s="236"/>
      <c r="DQ3328" s="236"/>
      <c r="DX3328" s="1671"/>
    </row>
    <row r="3329" spans="38:128">
      <c r="AL3329" s="1037"/>
      <c r="BP3329" s="1385"/>
      <c r="BV3329" s="236">
        <v>169.08</v>
      </c>
      <c r="BW3329" s="236" t="s">
        <v>338</v>
      </c>
      <c r="CL3329" s="236">
        <v>246.03</v>
      </c>
      <c r="CM3329" s="236" t="s">
        <v>342</v>
      </c>
      <c r="CT3329" s="1384"/>
      <c r="CZ3329" s="338"/>
      <c r="DA3329" s="338"/>
      <c r="DP3329" s="236"/>
      <c r="DQ3329" s="236"/>
      <c r="DX3329" s="1671"/>
    </row>
    <row r="3330" spans="38:128">
      <c r="AL3330" s="1037"/>
      <c r="BP3330" s="1385"/>
      <c r="BV3330" s="236">
        <v>169.09</v>
      </c>
      <c r="BW3330" s="236" t="s">
        <v>338</v>
      </c>
      <c r="CL3330" s="236">
        <v>246.04</v>
      </c>
      <c r="CM3330" s="236" t="s">
        <v>342</v>
      </c>
      <c r="CT3330" s="1384"/>
      <c r="CZ3330" s="338"/>
      <c r="DA3330" s="338"/>
      <c r="DP3330" s="236"/>
      <c r="DQ3330" s="236"/>
      <c r="DX3330" s="1671"/>
    </row>
    <row r="3331" spans="38:128">
      <c r="AL3331" s="1037"/>
      <c r="BP3331" s="1385"/>
      <c r="BV3331" s="236">
        <v>169.1</v>
      </c>
      <c r="BW3331" s="236" t="s">
        <v>338</v>
      </c>
      <c r="CL3331" s="236">
        <v>247.01</v>
      </c>
      <c r="CM3331" s="236" t="s">
        <v>342</v>
      </c>
      <c r="CT3331" s="1384"/>
      <c r="CZ3331" s="338"/>
      <c r="DA3331" s="338"/>
      <c r="DP3331" s="236"/>
      <c r="DQ3331" s="236"/>
      <c r="DX3331" s="1671"/>
    </row>
    <row r="3332" spans="38:128">
      <c r="AL3332" s="1037"/>
      <c r="BP3332" s="1385"/>
      <c r="BV3332" s="236">
        <v>169.11</v>
      </c>
      <c r="BW3332" s="236" t="s">
        <v>338</v>
      </c>
      <c r="CL3332" s="236">
        <v>247.02</v>
      </c>
      <c r="CM3332" s="236" t="s">
        <v>342</v>
      </c>
      <c r="CT3332" s="1384"/>
      <c r="CZ3332" s="338"/>
      <c r="DA3332" s="338"/>
      <c r="DP3332" s="236"/>
      <c r="DQ3332" s="236"/>
      <c r="DX3332" s="1671"/>
    </row>
    <row r="3333" spans="38:128">
      <c r="AL3333" s="1037"/>
      <c r="BP3333" s="1385"/>
      <c r="BV3333" s="236">
        <v>170.01</v>
      </c>
      <c r="BW3333" s="236" t="s">
        <v>338</v>
      </c>
      <c r="CL3333" s="236">
        <v>247.03</v>
      </c>
      <c r="CM3333" s="236" t="s">
        <v>342</v>
      </c>
      <c r="CT3333" s="1384"/>
      <c r="CZ3333" s="338"/>
      <c r="DA3333" s="338"/>
      <c r="DP3333" s="236"/>
      <c r="DQ3333" s="236"/>
      <c r="DX3333" s="1671"/>
    </row>
    <row r="3334" spans="38:128">
      <c r="AL3334" s="1037"/>
      <c r="BP3334" s="1385"/>
      <c r="BV3334" s="236">
        <v>170.04</v>
      </c>
      <c r="BW3334" s="236" t="s">
        <v>338</v>
      </c>
      <c r="CL3334" s="236">
        <v>248.01</v>
      </c>
      <c r="CM3334" s="236" t="s">
        <v>342</v>
      </c>
      <c r="CT3334" s="1384"/>
      <c r="CZ3334" s="338"/>
      <c r="DA3334" s="338"/>
      <c r="DP3334" s="236"/>
      <c r="DQ3334" s="236"/>
      <c r="DX3334" s="1671"/>
    </row>
    <row r="3335" spans="38:128">
      <c r="AL3335" s="1037"/>
      <c r="BP3335" s="1385"/>
      <c r="BV3335" s="236">
        <v>170.06</v>
      </c>
      <c r="BW3335" s="236" t="s">
        <v>338</v>
      </c>
      <c r="CL3335" s="236">
        <v>248.03</v>
      </c>
      <c r="CM3335" s="236" t="s">
        <v>342</v>
      </c>
      <c r="CT3335" s="1384"/>
      <c r="CZ3335" s="338"/>
      <c r="DA3335" s="338"/>
      <c r="DP3335" s="236"/>
      <c r="DQ3335" s="236"/>
      <c r="DX3335" s="1671"/>
    </row>
    <row r="3336" spans="38:128">
      <c r="AL3336" s="1037"/>
      <c r="BP3336" s="1385"/>
      <c r="BV3336" s="236">
        <v>170.11</v>
      </c>
      <c r="BW3336" s="236" t="s">
        <v>338</v>
      </c>
      <c r="CL3336" s="236">
        <v>248.04</v>
      </c>
      <c r="CM3336" s="236" t="s">
        <v>342</v>
      </c>
      <c r="CT3336" s="1384"/>
      <c r="CZ3336" s="338"/>
      <c r="DA3336" s="338"/>
      <c r="DP3336" s="236"/>
      <c r="DQ3336" s="236"/>
      <c r="DX3336" s="1671"/>
    </row>
    <row r="3337" spans="38:128">
      <c r="AL3337" s="1037"/>
      <c r="BP3337" s="1385"/>
      <c r="BV3337" s="236">
        <v>170.12</v>
      </c>
      <c r="BW3337" s="236" t="s">
        <v>338</v>
      </c>
      <c r="CL3337" s="236">
        <v>248.05</v>
      </c>
      <c r="CM3337" s="236" t="s">
        <v>342</v>
      </c>
      <c r="CT3337" s="1384"/>
      <c r="CZ3337" s="338"/>
      <c r="DA3337" s="338"/>
      <c r="DP3337" s="236"/>
      <c r="DQ3337" s="236"/>
      <c r="DX3337" s="1671"/>
    </row>
    <row r="3338" spans="38:128">
      <c r="AL3338" s="1037"/>
      <c r="BP3338" s="1385"/>
      <c r="BV3338" s="236">
        <v>170.13</v>
      </c>
      <c r="BW3338" s="236" t="s">
        <v>338</v>
      </c>
      <c r="CL3338" s="236">
        <v>249.01</v>
      </c>
      <c r="CM3338" s="236" t="s">
        <v>342</v>
      </c>
      <c r="CT3338" s="1384"/>
      <c r="CZ3338" s="338"/>
      <c r="DA3338" s="338"/>
      <c r="DP3338" s="236"/>
      <c r="DQ3338" s="236"/>
      <c r="DX3338" s="1671"/>
    </row>
    <row r="3339" spans="38:128">
      <c r="AL3339" s="1037"/>
      <c r="BP3339" s="1385"/>
      <c r="BV3339" s="236">
        <v>170.15</v>
      </c>
      <c r="BW3339" s="236" t="s">
        <v>338</v>
      </c>
      <c r="CL3339" s="236">
        <v>249.04</v>
      </c>
      <c r="CM3339" s="236" t="s">
        <v>342</v>
      </c>
      <c r="CT3339" s="1384"/>
      <c r="CZ3339" s="338"/>
      <c r="DA3339" s="338"/>
      <c r="DP3339" s="236"/>
      <c r="DQ3339" s="236"/>
      <c r="DX3339" s="1671"/>
    </row>
    <row r="3340" spans="38:128">
      <c r="AL3340" s="1037"/>
      <c r="BP3340" s="1385"/>
      <c r="BV3340" s="236">
        <v>170.18</v>
      </c>
      <c r="BW3340" s="236" t="s">
        <v>338</v>
      </c>
      <c r="CL3340" s="236">
        <v>249.05</v>
      </c>
      <c r="CM3340" s="236" t="s">
        <v>342</v>
      </c>
      <c r="CT3340" s="1384"/>
      <c r="CZ3340" s="338"/>
      <c r="DA3340" s="338"/>
      <c r="DP3340" s="236"/>
      <c r="DQ3340" s="236"/>
      <c r="DX3340" s="1671"/>
    </row>
    <row r="3341" spans="38:128">
      <c r="AL3341" s="1037"/>
      <c r="BP3341" s="1385"/>
      <c r="BV3341" s="236">
        <v>170.19</v>
      </c>
      <c r="BW3341" s="236" t="s">
        <v>338</v>
      </c>
      <c r="CL3341" s="236">
        <v>249.06</v>
      </c>
      <c r="CM3341" s="236" t="s">
        <v>342</v>
      </c>
      <c r="CT3341" s="1384"/>
      <c r="CZ3341" s="338"/>
      <c r="DA3341" s="338"/>
      <c r="DP3341" s="236"/>
      <c r="DQ3341" s="236"/>
      <c r="DX3341" s="1671"/>
    </row>
    <row r="3342" spans="38:128">
      <c r="AL3342" s="1037"/>
      <c r="BP3342" s="1385"/>
      <c r="BV3342" s="236">
        <v>170.2</v>
      </c>
      <c r="BW3342" s="236" t="s">
        <v>338</v>
      </c>
      <c r="CL3342" s="236">
        <v>249.07</v>
      </c>
      <c r="CM3342" s="236" t="s">
        <v>342</v>
      </c>
      <c r="CT3342" s="1384"/>
      <c r="CZ3342" s="338"/>
      <c r="DA3342" s="338"/>
      <c r="DP3342" s="236"/>
      <c r="DQ3342" s="236"/>
      <c r="DX3342" s="1671"/>
    </row>
    <row r="3343" spans="38:128">
      <c r="AL3343" s="1037"/>
      <c r="BP3343" s="1385"/>
      <c r="BV3343" s="236">
        <v>170.21</v>
      </c>
      <c r="BW3343" s="236" t="s">
        <v>338</v>
      </c>
      <c r="CL3343" s="236">
        <v>249.08</v>
      </c>
      <c r="CM3343" s="236" t="s">
        <v>342</v>
      </c>
      <c r="CT3343" s="1384"/>
      <c r="CZ3343" s="338"/>
      <c r="DA3343" s="338"/>
      <c r="DP3343" s="236"/>
      <c r="DQ3343" s="236"/>
      <c r="DX3343" s="1671"/>
    </row>
    <row r="3344" spans="38:128">
      <c r="AL3344" s="1037"/>
      <c r="BP3344" s="1385"/>
      <c r="BV3344" s="236">
        <v>170.22</v>
      </c>
      <c r="BW3344" s="236" t="s">
        <v>338</v>
      </c>
      <c r="CL3344" s="236">
        <v>250.04</v>
      </c>
      <c r="CM3344" s="236" t="s">
        <v>342</v>
      </c>
      <c r="CT3344" s="1384"/>
      <c r="CZ3344" s="338"/>
      <c r="DA3344" s="338"/>
      <c r="DP3344" s="236"/>
      <c r="DQ3344" s="236"/>
      <c r="DX3344" s="1671"/>
    </row>
    <row r="3345" spans="38:128">
      <c r="AL3345" s="1037"/>
      <c r="BP3345" s="1385"/>
      <c r="BV3345" s="236">
        <v>170.23</v>
      </c>
      <c r="BW3345" s="236" t="s">
        <v>338</v>
      </c>
      <c r="CL3345" s="236">
        <v>250.07</v>
      </c>
      <c r="CM3345" s="236" t="s">
        <v>342</v>
      </c>
      <c r="CT3345" s="1384"/>
      <c r="CZ3345" s="338"/>
      <c r="DA3345" s="338"/>
      <c r="DP3345" s="236"/>
      <c r="DQ3345" s="236"/>
      <c r="DX3345" s="1671"/>
    </row>
    <row r="3346" spans="38:128">
      <c r="AL3346" s="1037"/>
      <c r="BP3346" s="1385"/>
      <c r="BV3346" s="236">
        <v>170.24</v>
      </c>
      <c r="BW3346" s="236" t="s">
        <v>338</v>
      </c>
      <c r="CL3346" s="236">
        <v>250.09</v>
      </c>
      <c r="CM3346" s="236" t="s">
        <v>342</v>
      </c>
      <c r="CT3346" s="1384"/>
      <c r="CZ3346" s="338"/>
      <c r="DA3346" s="338"/>
      <c r="DP3346" s="236"/>
      <c r="DQ3346" s="236"/>
      <c r="DX3346" s="1671"/>
    </row>
    <row r="3347" spans="38:128">
      <c r="AL3347" s="1037"/>
      <c r="BP3347" s="1385"/>
      <c r="BV3347" s="236">
        <v>170.25</v>
      </c>
      <c r="BW3347" s="236" t="s">
        <v>338</v>
      </c>
      <c r="CL3347" s="236">
        <v>250.11</v>
      </c>
      <c r="CM3347" s="236" t="s">
        <v>342</v>
      </c>
      <c r="CT3347" s="1384"/>
      <c r="CZ3347" s="338"/>
      <c r="DA3347" s="338"/>
      <c r="DP3347" s="236"/>
      <c r="DQ3347" s="236"/>
      <c r="DX3347" s="1671"/>
    </row>
    <row r="3348" spans="38:128">
      <c r="AL3348" s="1037"/>
      <c r="BP3348" s="1385"/>
      <c r="BV3348" s="236">
        <v>170.26</v>
      </c>
      <c r="BW3348" s="236" t="s">
        <v>338</v>
      </c>
      <c r="CL3348" s="236">
        <v>250.12</v>
      </c>
      <c r="CM3348" s="236" t="s">
        <v>342</v>
      </c>
      <c r="CT3348" s="1384"/>
      <c r="CZ3348" s="338"/>
      <c r="DA3348" s="338"/>
      <c r="DP3348" s="236"/>
      <c r="DQ3348" s="236"/>
      <c r="DX3348" s="1671"/>
    </row>
    <row r="3349" spans="38:128">
      <c r="AL3349" s="1037"/>
      <c r="BP3349" s="1385"/>
      <c r="BV3349" s="236">
        <v>171.08</v>
      </c>
      <c r="BW3349" s="236" t="s">
        <v>338</v>
      </c>
      <c r="CL3349" s="236">
        <v>250.13</v>
      </c>
      <c r="CM3349" s="236" t="s">
        <v>342</v>
      </c>
      <c r="CT3349" s="1384"/>
      <c r="CZ3349" s="338"/>
      <c r="DA3349" s="338"/>
      <c r="DP3349" s="236"/>
      <c r="DQ3349" s="236"/>
      <c r="DX3349" s="1671"/>
    </row>
    <row r="3350" spans="38:128">
      <c r="AL3350" s="1037"/>
      <c r="BP3350" s="1385"/>
      <c r="BV3350" s="236">
        <v>171.09</v>
      </c>
      <c r="BW3350" s="236" t="s">
        <v>338</v>
      </c>
      <c r="CL3350" s="236">
        <v>250.14</v>
      </c>
      <c r="CM3350" s="236" t="s">
        <v>342</v>
      </c>
      <c r="CT3350" s="1384"/>
      <c r="CZ3350" s="338"/>
      <c r="DA3350" s="338"/>
      <c r="DP3350" s="236"/>
      <c r="DQ3350" s="236"/>
      <c r="DX3350" s="1671"/>
    </row>
    <row r="3351" spans="38:128">
      <c r="AL3351" s="1037"/>
      <c r="BP3351" s="1385"/>
      <c r="BV3351" s="236">
        <v>171.1</v>
      </c>
      <c r="BW3351" s="236" t="s">
        <v>338</v>
      </c>
      <c r="CL3351" s="236">
        <v>250.15</v>
      </c>
      <c r="CM3351" s="236" t="s">
        <v>342</v>
      </c>
      <c r="CT3351" s="1384"/>
      <c r="CZ3351" s="338"/>
      <c r="DA3351" s="338"/>
      <c r="DP3351" s="236"/>
      <c r="DQ3351" s="236"/>
      <c r="DX3351" s="1671"/>
    </row>
    <row r="3352" spans="38:128">
      <c r="AL3352" s="1037"/>
      <c r="BP3352" s="1385"/>
      <c r="BV3352" s="236">
        <v>171.11</v>
      </c>
      <c r="BW3352" s="236" t="s">
        <v>338</v>
      </c>
      <c r="CL3352" s="236">
        <v>250.16</v>
      </c>
      <c r="CM3352" s="236" t="s">
        <v>342</v>
      </c>
      <c r="CT3352" s="1384"/>
      <c r="CZ3352" s="338"/>
      <c r="DA3352" s="338"/>
      <c r="DP3352" s="236"/>
      <c r="DQ3352" s="236"/>
      <c r="DX3352" s="1671"/>
    </row>
    <row r="3353" spans="38:128">
      <c r="AL3353" s="1037"/>
      <c r="BP3353" s="1385"/>
      <c r="BV3353" s="236">
        <v>171.12</v>
      </c>
      <c r="BW3353" s="236" t="s">
        <v>338</v>
      </c>
      <c r="CL3353" s="236">
        <v>250.17</v>
      </c>
      <c r="CM3353" s="236" t="s">
        <v>342</v>
      </c>
      <c r="CT3353" s="1384"/>
      <c r="CZ3353" s="338"/>
      <c r="DA3353" s="338"/>
      <c r="DP3353" s="236"/>
      <c r="DQ3353" s="236"/>
      <c r="DX3353" s="1671"/>
    </row>
    <row r="3354" spans="38:128">
      <c r="AL3354" s="1037"/>
      <c r="BP3354" s="1385"/>
      <c r="BV3354" s="236">
        <v>171.13</v>
      </c>
      <c r="BW3354" s="236" t="s">
        <v>338</v>
      </c>
      <c r="CL3354" s="236">
        <v>250.18</v>
      </c>
      <c r="CM3354" s="236" t="s">
        <v>342</v>
      </c>
      <c r="CT3354" s="1384"/>
      <c r="CZ3354" s="338"/>
      <c r="DA3354" s="338"/>
      <c r="DP3354" s="236"/>
      <c r="DQ3354" s="236"/>
      <c r="DX3354" s="1671"/>
    </row>
    <row r="3355" spans="38:128">
      <c r="AL3355" s="1037"/>
      <c r="BP3355" s="1385"/>
      <c r="BV3355" s="236">
        <v>171.14</v>
      </c>
      <c r="BW3355" s="236" t="s">
        <v>338</v>
      </c>
      <c r="CL3355" s="236">
        <v>250.19</v>
      </c>
      <c r="CM3355" s="236" t="s">
        <v>342</v>
      </c>
      <c r="CT3355" s="1384"/>
      <c r="CZ3355" s="338"/>
      <c r="DA3355" s="338"/>
      <c r="DP3355" s="236"/>
      <c r="DQ3355" s="236"/>
      <c r="DX3355" s="1671"/>
    </row>
    <row r="3356" spans="38:128">
      <c r="AL3356" s="1037"/>
      <c r="BP3356" s="1385"/>
      <c r="BV3356" s="236">
        <v>171.15</v>
      </c>
      <c r="BW3356" s="236" t="s">
        <v>338</v>
      </c>
      <c r="CL3356" s="236">
        <v>250.2</v>
      </c>
      <c r="CM3356" s="236" t="s">
        <v>342</v>
      </c>
      <c r="CT3356" s="1384"/>
      <c r="CZ3356" s="338"/>
      <c r="DA3356" s="338"/>
      <c r="DP3356" s="236"/>
      <c r="DQ3356" s="236"/>
      <c r="DX3356" s="1671"/>
    </row>
    <row r="3357" spans="38:128">
      <c r="AL3357" s="1037"/>
      <c r="BP3357" s="1385"/>
      <c r="BV3357" s="236">
        <v>171.16</v>
      </c>
      <c r="BW3357" s="236" t="s">
        <v>338</v>
      </c>
      <c r="CL3357" s="236">
        <v>250.21</v>
      </c>
      <c r="CM3357" s="236" t="s">
        <v>342</v>
      </c>
      <c r="CT3357" s="1384"/>
      <c r="CZ3357" s="338"/>
      <c r="DA3357" s="338"/>
      <c r="DP3357" s="236"/>
      <c r="DQ3357" s="236"/>
      <c r="DX3357" s="1671"/>
    </row>
    <row r="3358" spans="38:128">
      <c r="AL3358" s="1037"/>
      <c r="BP3358" s="1385"/>
      <c r="BV3358" s="236">
        <v>171.17</v>
      </c>
      <c r="BW3358" s="236" t="s">
        <v>338</v>
      </c>
      <c r="CL3358" s="236">
        <v>251.06</v>
      </c>
      <c r="CM3358" s="236" t="s">
        <v>342</v>
      </c>
      <c r="CT3358" s="1384"/>
      <c r="CZ3358" s="338"/>
      <c r="DA3358" s="338"/>
      <c r="DP3358" s="236"/>
      <c r="DQ3358" s="236"/>
      <c r="DX3358" s="1671"/>
    </row>
    <row r="3359" spans="38:128">
      <c r="AL3359" s="1037"/>
      <c r="BP3359" s="1385"/>
      <c r="BV3359" s="236">
        <v>171.18</v>
      </c>
      <c r="BW3359" s="236" t="s">
        <v>338</v>
      </c>
      <c r="CL3359" s="236">
        <v>251.07</v>
      </c>
      <c r="CM3359" s="236" t="s">
        <v>342</v>
      </c>
      <c r="CT3359" s="1384"/>
      <c r="CZ3359" s="338"/>
      <c r="DA3359" s="338"/>
      <c r="DP3359" s="236"/>
      <c r="DQ3359" s="236"/>
      <c r="DX3359" s="1671"/>
    </row>
    <row r="3360" spans="38:128">
      <c r="AL3360" s="1037"/>
      <c r="BP3360" s="1385"/>
      <c r="BV3360" s="236">
        <v>171.19</v>
      </c>
      <c r="BW3360" s="236" t="s">
        <v>338</v>
      </c>
      <c r="CL3360" s="236">
        <v>251.08</v>
      </c>
      <c r="CM3360" s="236" t="s">
        <v>342</v>
      </c>
      <c r="CT3360" s="1384"/>
      <c r="CZ3360" s="338"/>
      <c r="DA3360" s="338"/>
      <c r="DP3360" s="236"/>
      <c r="DQ3360" s="236"/>
      <c r="DX3360" s="1671"/>
    </row>
    <row r="3361" spans="38:128">
      <c r="AL3361" s="1037"/>
      <c r="BP3361" s="1385"/>
      <c r="BV3361" s="236">
        <v>171.2</v>
      </c>
      <c r="BW3361" s="236" t="s">
        <v>338</v>
      </c>
      <c r="CL3361" s="236">
        <v>251.09</v>
      </c>
      <c r="CM3361" s="236" t="s">
        <v>342</v>
      </c>
      <c r="CT3361" s="1384"/>
      <c r="CZ3361" s="338"/>
      <c r="DA3361" s="338"/>
      <c r="DP3361" s="236"/>
      <c r="DQ3361" s="236"/>
      <c r="DX3361" s="1671"/>
    </row>
    <row r="3362" spans="38:128">
      <c r="AL3362" s="1037"/>
      <c r="BP3362" s="1385"/>
      <c r="BV3362" s="236">
        <v>171.21</v>
      </c>
      <c r="BW3362" s="236" t="s">
        <v>338</v>
      </c>
      <c r="CL3362" s="236">
        <v>251.1</v>
      </c>
      <c r="CM3362" s="236" t="s">
        <v>342</v>
      </c>
      <c r="CT3362" s="1384"/>
      <c r="CZ3362" s="338"/>
      <c r="DA3362" s="338"/>
      <c r="DP3362" s="236"/>
      <c r="DQ3362" s="236"/>
      <c r="DX3362" s="1671"/>
    </row>
    <row r="3363" spans="38:128">
      <c r="AL3363" s="1037"/>
      <c r="BP3363" s="1385"/>
      <c r="BV3363" s="236">
        <v>171.22</v>
      </c>
      <c r="BW3363" s="236" t="s">
        <v>338</v>
      </c>
      <c r="CL3363" s="236">
        <v>251.11</v>
      </c>
      <c r="CM3363" s="236" t="s">
        <v>342</v>
      </c>
      <c r="CT3363" s="1384"/>
      <c r="CZ3363" s="338"/>
      <c r="DA3363" s="338"/>
      <c r="DP3363" s="236"/>
      <c r="DQ3363" s="236"/>
      <c r="DX3363" s="1671"/>
    </row>
    <row r="3364" spans="38:128">
      <c r="AL3364" s="1037"/>
      <c r="BP3364" s="1385"/>
      <c r="BV3364" s="236">
        <v>171.23</v>
      </c>
      <c r="BW3364" s="236" t="s">
        <v>338</v>
      </c>
      <c r="CL3364" s="236">
        <v>251.12</v>
      </c>
      <c r="CM3364" s="236" t="s">
        <v>342</v>
      </c>
      <c r="CT3364" s="1384"/>
      <c r="CZ3364" s="338"/>
      <c r="DA3364" s="338"/>
      <c r="DP3364" s="236"/>
      <c r="DQ3364" s="236"/>
      <c r="DX3364" s="1671"/>
    </row>
    <row r="3365" spans="38:128">
      <c r="AL3365" s="1037"/>
      <c r="BP3365" s="1385"/>
      <c r="BV3365" s="236">
        <v>172</v>
      </c>
      <c r="BW3365" s="236" t="s">
        <v>338</v>
      </c>
      <c r="CL3365" s="236">
        <v>251.13</v>
      </c>
      <c r="CM3365" s="236" t="s">
        <v>342</v>
      </c>
      <c r="CT3365" s="1384"/>
      <c r="CZ3365" s="338"/>
      <c r="DA3365" s="338"/>
      <c r="DP3365" s="236"/>
      <c r="DQ3365" s="236"/>
      <c r="DX3365" s="1671"/>
    </row>
    <row r="3366" spans="38:128">
      <c r="AL3366" s="1037"/>
      <c r="BP3366" s="1385"/>
      <c r="BV3366" s="236">
        <v>173.01</v>
      </c>
      <c r="BW3366" s="236" t="s">
        <v>338</v>
      </c>
      <c r="CL3366" s="236">
        <v>251.14</v>
      </c>
      <c r="CM3366" s="236" t="s">
        <v>342</v>
      </c>
      <c r="CT3366" s="1384"/>
      <c r="CZ3366" s="338"/>
      <c r="DA3366" s="338"/>
      <c r="DP3366" s="236"/>
      <c r="DQ3366" s="236"/>
      <c r="DX3366" s="1671"/>
    </row>
    <row r="3367" spans="38:128">
      <c r="AL3367" s="1037"/>
      <c r="BP3367" s="1385"/>
      <c r="BV3367" s="236">
        <v>173.02</v>
      </c>
      <c r="BW3367" s="236" t="s">
        <v>338</v>
      </c>
      <c r="CL3367" s="236">
        <v>251.15</v>
      </c>
      <c r="CM3367" s="236" t="s">
        <v>342</v>
      </c>
      <c r="CT3367" s="1384"/>
      <c r="CZ3367" s="338"/>
      <c r="DA3367" s="338"/>
      <c r="DP3367" s="236"/>
      <c r="DQ3367" s="236"/>
      <c r="DX3367" s="1671"/>
    </row>
    <row r="3368" spans="38:128">
      <c r="AL3368" s="1037"/>
      <c r="BP3368" s="1385"/>
      <c r="BV3368" s="236">
        <v>174.01</v>
      </c>
      <c r="BW3368" s="236" t="s">
        <v>338</v>
      </c>
      <c r="CL3368" s="236">
        <v>251.16</v>
      </c>
      <c r="CM3368" s="236" t="s">
        <v>342</v>
      </c>
      <c r="CT3368" s="1384"/>
      <c r="CZ3368" s="338"/>
      <c r="DA3368" s="338"/>
      <c r="DP3368" s="236"/>
      <c r="DQ3368" s="236"/>
      <c r="DX3368" s="1671"/>
    </row>
    <row r="3369" spans="38:128">
      <c r="AL3369" s="1037"/>
      <c r="BP3369" s="1385"/>
      <c r="BV3369" s="236">
        <v>174.02</v>
      </c>
      <c r="BW3369" s="236" t="s">
        <v>338</v>
      </c>
      <c r="CL3369" s="236">
        <v>251.19</v>
      </c>
      <c r="CM3369" s="236" t="s">
        <v>342</v>
      </c>
      <c r="CT3369" s="1384"/>
      <c r="CZ3369" s="338"/>
      <c r="DA3369" s="338"/>
      <c r="DP3369" s="236"/>
      <c r="DQ3369" s="236"/>
      <c r="DX3369" s="1671"/>
    </row>
    <row r="3370" spans="38:128">
      <c r="AL3370" s="1037"/>
      <c r="BP3370" s="1385"/>
      <c r="BV3370" s="236">
        <v>175.03</v>
      </c>
      <c r="BW3370" s="236" t="s">
        <v>338</v>
      </c>
      <c r="CL3370" s="236">
        <v>251.2</v>
      </c>
      <c r="CM3370" s="236" t="s">
        <v>342</v>
      </c>
      <c r="CT3370" s="1384"/>
      <c r="CZ3370" s="338"/>
      <c r="DA3370" s="338"/>
      <c r="DP3370" s="236"/>
      <c r="DQ3370" s="236"/>
      <c r="DX3370" s="1671"/>
    </row>
    <row r="3371" spans="38:128">
      <c r="AL3371" s="1037"/>
      <c r="BP3371" s="1385"/>
      <c r="BV3371" s="236">
        <v>175.04</v>
      </c>
      <c r="BW3371" s="236" t="s">
        <v>338</v>
      </c>
      <c r="CL3371" s="236">
        <v>251.21</v>
      </c>
      <c r="CM3371" s="236" t="s">
        <v>342</v>
      </c>
      <c r="CT3371" s="1384"/>
      <c r="CZ3371" s="338"/>
      <c r="DA3371" s="338"/>
      <c r="DP3371" s="236"/>
      <c r="DQ3371" s="236"/>
      <c r="DX3371" s="1671"/>
    </row>
    <row r="3372" spans="38:128">
      <c r="AL3372" s="1037"/>
      <c r="BP3372" s="1385"/>
      <c r="BV3372" s="236">
        <v>175.05</v>
      </c>
      <c r="BW3372" s="236" t="s">
        <v>338</v>
      </c>
      <c r="CL3372" s="236">
        <v>251.22</v>
      </c>
      <c r="CM3372" s="236" t="s">
        <v>342</v>
      </c>
      <c r="CT3372" s="1384"/>
      <c r="CZ3372" s="338"/>
      <c r="DA3372" s="338"/>
      <c r="DP3372" s="236"/>
      <c r="DQ3372" s="236"/>
      <c r="DX3372" s="1671"/>
    </row>
    <row r="3373" spans="38:128">
      <c r="AL3373" s="1037"/>
      <c r="BP3373" s="1385"/>
      <c r="BV3373" s="236">
        <v>175.06</v>
      </c>
      <c r="BW3373" s="236" t="s">
        <v>338</v>
      </c>
      <c r="CL3373" s="236">
        <v>251.23</v>
      </c>
      <c r="CM3373" s="236" t="s">
        <v>342</v>
      </c>
      <c r="CT3373" s="1384"/>
      <c r="CZ3373" s="338"/>
      <c r="DA3373" s="338"/>
      <c r="DP3373" s="236"/>
      <c r="DQ3373" s="236"/>
      <c r="DX3373" s="1671"/>
    </row>
    <row r="3374" spans="38:128">
      <c r="AL3374" s="1037"/>
      <c r="BP3374" s="1385"/>
      <c r="BV3374" s="236">
        <v>176</v>
      </c>
      <c r="BW3374" s="236" t="s">
        <v>338</v>
      </c>
      <c r="CL3374" s="236">
        <v>252.04</v>
      </c>
      <c r="CM3374" s="236" t="s">
        <v>342</v>
      </c>
      <c r="CT3374" s="1384"/>
      <c r="CZ3374" s="338"/>
      <c r="DA3374" s="338"/>
      <c r="DP3374" s="236"/>
      <c r="DQ3374" s="236"/>
      <c r="DX3374" s="1671"/>
    </row>
    <row r="3375" spans="38:128">
      <c r="AL3375" s="1037"/>
      <c r="BP3375" s="1385"/>
      <c r="BV3375" s="236">
        <v>177.01</v>
      </c>
      <c r="BW3375" s="236" t="s">
        <v>338</v>
      </c>
      <c r="CL3375" s="236">
        <v>252.05</v>
      </c>
      <c r="CM3375" s="236" t="s">
        <v>342</v>
      </c>
      <c r="CT3375" s="1384"/>
      <c r="CZ3375" s="338"/>
      <c r="DA3375" s="338"/>
      <c r="DP3375" s="236"/>
      <c r="DQ3375" s="236"/>
      <c r="DX3375" s="1671"/>
    </row>
    <row r="3376" spans="38:128">
      <c r="AL3376" s="1037"/>
      <c r="BP3376" s="1385"/>
      <c r="BV3376" s="236">
        <v>177.02</v>
      </c>
      <c r="BW3376" s="236" t="s">
        <v>338</v>
      </c>
      <c r="CL3376" s="236">
        <v>252.07</v>
      </c>
      <c r="CM3376" s="236" t="s">
        <v>342</v>
      </c>
      <c r="CT3376" s="1384"/>
      <c r="CZ3376" s="338"/>
      <c r="DA3376" s="338"/>
      <c r="DP3376" s="236"/>
      <c r="DQ3376" s="236"/>
      <c r="DX3376" s="1671"/>
    </row>
    <row r="3377" spans="38:128">
      <c r="AL3377" s="1037"/>
      <c r="BP3377" s="1385"/>
      <c r="BV3377" s="236">
        <v>177.03</v>
      </c>
      <c r="BW3377" s="236" t="s">
        <v>338</v>
      </c>
      <c r="CL3377" s="236">
        <v>252.08</v>
      </c>
      <c r="CM3377" s="236" t="s">
        <v>342</v>
      </c>
      <c r="CT3377" s="1384"/>
      <c r="CZ3377" s="338"/>
      <c r="DA3377" s="338"/>
      <c r="DP3377" s="236"/>
      <c r="DQ3377" s="236"/>
      <c r="DX3377" s="1671"/>
    </row>
    <row r="3378" spans="38:128">
      <c r="AL3378" s="1037"/>
      <c r="BP3378" s="1385"/>
      <c r="BV3378" s="236">
        <v>178.05</v>
      </c>
      <c r="BW3378" s="236" t="s">
        <v>338</v>
      </c>
      <c r="CL3378" s="236">
        <v>252.09</v>
      </c>
      <c r="CM3378" s="236" t="s">
        <v>342</v>
      </c>
      <c r="CT3378" s="1384"/>
      <c r="CZ3378" s="338"/>
      <c r="DA3378" s="338"/>
      <c r="DP3378" s="236"/>
      <c r="DQ3378" s="236"/>
      <c r="DX3378" s="1671"/>
    </row>
    <row r="3379" spans="38:128">
      <c r="AL3379" s="1037"/>
      <c r="BP3379" s="1385"/>
      <c r="BV3379" s="236">
        <v>178.06</v>
      </c>
      <c r="BW3379" s="236" t="s">
        <v>338</v>
      </c>
      <c r="CL3379" s="236">
        <v>252.1</v>
      </c>
      <c r="CM3379" s="236" t="s">
        <v>342</v>
      </c>
      <c r="CT3379" s="1384"/>
      <c r="CZ3379" s="338"/>
      <c r="DA3379" s="338"/>
      <c r="DP3379" s="236"/>
      <c r="DQ3379" s="236"/>
      <c r="DX3379" s="1671"/>
    </row>
    <row r="3380" spans="38:128">
      <c r="AL3380" s="1037"/>
      <c r="BP3380" s="1385"/>
      <c r="BV3380" s="236">
        <v>178.07</v>
      </c>
      <c r="BW3380" s="236" t="s">
        <v>338</v>
      </c>
      <c r="CL3380" s="236">
        <v>252.11</v>
      </c>
      <c r="CM3380" s="236" t="s">
        <v>342</v>
      </c>
      <c r="CT3380" s="1384"/>
      <c r="CZ3380" s="338"/>
      <c r="DA3380" s="338"/>
      <c r="DP3380" s="236"/>
      <c r="DQ3380" s="236"/>
      <c r="DX3380" s="1671"/>
    </row>
    <row r="3381" spans="38:128">
      <c r="AL3381" s="1037"/>
      <c r="BP3381" s="1385"/>
      <c r="BV3381" s="236">
        <v>178.08</v>
      </c>
      <c r="BW3381" s="236" t="s">
        <v>338</v>
      </c>
      <c r="CL3381" s="236">
        <v>253.03</v>
      </c>
      <c r="CM3381" s="236" t="s">
        <v>342</v>
      </c>
      <c r="CT3381" s="1384"/>
      <c r="CZ3381" s="338"/>
      <c r="DA3381" s="338"/>
      <c r="DP3381" s="236"/>
      <c r="DQ3381" s="236"/>
      <c r="DX3381" s="1671"/>
    </row>
    <row r="3382" spans="38:128">
      <c r="AL3382" s="1037"/>
      <c r="BP3382" s="1385"/>
      <c r="BV3382" s="236">
        <v>178.09</v>
      </c>
      <c r="BW3382" s="236" t="s">
        <v>338</v>
      </c>
      <c r="CL3382" s="236">
        <v>253.05</v>
      </c>
      <c r="CM3382" s="236" t="s">
        <v>342</v>
      </c>
      <c r="CT3382" s="1384"/>
      <c r="CZ3382" s="338"/>
      <c r="DA3382" s="338"/>
      <c r="DP3382" s="236"/>
      <c r="DQ3382" s="236"/>
      <c r="DX3382" s="1671"/>
    </row>
    <row r="3383" spans="38:128">
      <c r="AL3383" s="1037"/>
      <c r="BP3383" s="1385"/>
      <c r="BV3383" s="236">
        <v>178.1</v>
      </c>
      <c r="BW3383" s="236" t="s">
        <v>338</v>
      </c>
      <c r="CL3383" s="236">
        <v>253.07</v>
      </c>
      <c r="CM3383" s="236" t="s">
        <v>342</v>
      </c>
      <c r="CT3383" s="1384"/>
      <c r="CZ3383" s="338"/>
      <c r="DA3383" s="338"/>
      <c r="DP3383" s="236"/>
      <c r="DQ3383" s="236"/>
      <c r="DX3383" s="1671"/>
    </row>
    <row r="3384" spans="38:128">
      <c r="AL3384" s="1037"/>
      <c r="BP3384" s="1385"/>
      <c r="BV3384" s="236">
        <v>178.11</v>
      </c>
      <c r="BW3384" s="236" t="s">
        <v>338</v>
      </c>
      <c r="CL3384" s="236">
        <v>253.09</v>
      </c>
      <c r="CM3384" s="236" t="s">
        <v>342</v>
      </c>
      <c r="CT3384" s="1384"/>
      <c r="CZ3384" s="338"/>
      <c r="DA3384" s="338"/>
      <c r="DP3384" s="236"/>
      <c r="DQ3384" s="236"/>
      <c r="DX3384" s="1671"/>
    </row>
    <row r="3385" spans="38:128">
      <c r="AL3385" s="1037"/>
      <c r="BP3385" s="1385"/>
      <c r="BV3385" s="236">
        <v>178.12</v>
      </c>
      <c r="BW3385" s="236" t="s">
        <v>338</v>
      </c>
      <c r="CL3385" s="236">
        <v>253.1</v>
      </c>
      <c r="CM3385" s="236" t="s">
        <v>342</v>
      </c>
      <c r="CT3385" s="1384"/>
      <c r="CZ3385" s="338"/>
      <c r="DA3385" s="338"/>
      <c r="DP3385" s="236"/>
      <c r="DQ3385" s="236"/>
      <c r="DX3385" s="1671"/>
    </row>
    <row r="3386" spans="38:128">
      <c r="AL3386" s="1037"/>
      <c r="BP3386" s="1385"/>
      <c r="BV3386" s="236">
        <v>178.13</v>
      </c>
      <c r="BW3386" s="236" t="s">
        <v>338</v>
      </c>
      <c r="CL3386" s="236">
        <v>253.11</v>
      </c>
      <c r="CM3386" s="236" t="s">
        <v>342</v>
      </c>
      <c r="CT3386" s="1384"/>
      <c r="CZ3386" s="338"/>
      <c r="DA3386" s="338"/>
      <c r="DP3386" s="236"/>
      <c r="DQ3386" s="236"/>
      <c r="DX3386" s="1671"/>
    </row>
    <row r="3387" spans="38:128">
      <c r="AL3387" s="1037"/>
      <c r="BP3387" s="1385"/>
      <c r="BV3387" s="236">
        <v>178.14</v>
      </c>
      <c r="BW3387" s="236" t="s">
        <v>338</v>
      </c>
      <c r="CL3387" s="236">
        <v>254.01</v>
      </c>
      <c r="CM3387" s="236" t="s">
        <v>342</v>
      </c>
      <c r="CT3387" s="1384"/>
      <c r="CZ3387" s="338"/>
      <c r="DA3387" s="338"/>
      <c r="DP3387" s="236"/>
      <c r="DQ3387" s="236"/>
      <c r="DX3387" s="1671"/>
    </row>
    <row r="3388" spans="38:128">
      <c r="AL3388" s="1037"/>
      <c r="BP3388" s="1385"/>
      <c r="BV3388" s="236">
        <v>179.01</v>
      </c>
      <c r="BW3388" s="236" t="s">
        <v>338</v>
      </c>
      <c r="CL3388" s="236">
        <v>254.07</v>
      </c>
      <c r="CM3388" s="236" t="s">
        <v>342</v>
      </c>
      <c r="CT3388" s="1384"/>
      <c r="CZ3388" s="338"/>
      <c r="DA3388" s="338"/>
      <c r="DP3388" s="236"/>
      <c r="DQ3388" s="236"/>
      <c r="DX3388" s="1671"/>
    </row>
    <row r="3389" spans="38:128">
      <c r="AL3389" s="1037"/>
      <c r="BP3389" s="1385"/>
      <c r="BV3389" s="236">
        <v>179.02</v>
      </c>
      <c r="BW3389" s="236" t="s">
        <v>338</v>
      </c>
      <c r="CL3389" s="236">
        <v>254.11</v>
      </c>
      <c r="CM3389" s="236" t="s">
        <v>342</v>
      </c>
      <c r="CT3389" s="1384"/>
      <c r="CZ3389" s="338"/>
      <c r="DA3389" s="338"/>
      <c r="DP3389" s="236"/>
      <c r="DQ3389" s="236"/>
      <c r="DX3389" s="1671"/>
    </row>
    <row r="3390" spans="38:128">
      <c r="AL3390" s="1037"/>
      <c r="BP3390" s="1385"/>
      <c r="BV3390" s="236">
        <v>180</v>
      </c>
      <c r="BW3390" s="236" t="s">
        <v>338</v>
      </c>
      <c r="CL3390" s="236">
        <v>254.12</v>
      </c>
      <c r="CM3390" s="236" t="s">
        <v>342</v>
      </c>
      <c r="CT3390" s="1384"/>
      <c r="CZ3390" s="338"/>
      <c r="DA3390" s="338"/>
      <c r="DP3390" s="236"/>
      <c r="DQ3390" s="236"/>
      <c r="DX3390" s="1671"/>
    </row>
    <row r="3391" spans="38:128">
      <c r="AL3391" s="1037"/>
      <c r="BP3391" s="1385"/>
      <c r="BV3391" s="236">
        <v>181</v>
      </c>
      <c r="BW3391" s="236" t="s">
        <v>338</v>
      </c>
      <c r="CL3391" s="236">
        <v>254.13</v>
      </c>
      <c r="CM3391" s="236" t="s">
        <v>342</v>
      </c>
      <c r="CT3391" s="1384"/>
      <c r="CZ3391" s="338"/>
      <c r="DA3391" s="338"/>
      <c r="DP3391" s="236"/>
      <c r="DQ3391" s="236"/>
      <c r="DX3391" s="1671"/>
    </row>
    <row r="3392" spans="38:128">
      <c r="AL3392" s="1037"/>
      <c r="BP3392" s="1385"/>
      <c r="BV3392" s="236">
        <v>182.01</v>
      </c>
      <c r="BW3392" s="236" t="s">
        <v>338</v>
      </c>
      <c r="CL3392" s="236">
        <v>254.14</v>
      </c>
      <c r="CM3392" s="236" t="s">
        <v>342</v>
      </c>
      <c r="CT3392" s="1384"/>
      <c r="CZ3392" s="338"/>
      <c r="DA3392" s="338"/>
      <c r="DP3392" s="236"/>
      <c r="DQ3392" s="236"/>
      <c r="DX3392" s="1671"/>
    </row>
    <row r="3393" spans="38:128">
      <c r="AL3393" s="1037"/>
      <c r="BP3393" s="1385"/>
      <c r="BV3393" s="236">
        <v>182.02</v>
      </c>
      <c r="BW3393" s="236" t="s">
        <v>338</v>
      </c>
      <c r="CL3393" s="236">
        <v>254.15</v>
      </c>
      <c r="CM3393" s="236" t="s">
        <v>342</v>
      </c>
      <c r="CT3393" s="1384"/>
      <c r="CZ3393" s="338"/>
      <c r="DA3393" s="338"/>
      <c r="DP3393" s="236"/>
      <c r="DQ3393" s="236"/>
      <c r="DX3393" s="1671"/>
    </row>
    <row r="3394" spans="38:128">
      <c r="AL3394" s="1037"/>
      <c r="BP3394" s="1385"/>
      <c r="BV3394" s="236">
        <v>182.03</v>
      </c>
      <c r="BW3394" s="236" t="s">
        <v>338</v>
      </c>
      <c r="CL3394" s="236">
        <v>254.16</v>
      </c>
      <c r="CM3394" s="236" t="s">
        <v>342</v>
      </c>
      <c r="CT3394" s="1384"/>
      <c r="CZ3394" s="338"/>
      <c r="DA3394" s="338"/>
      <c r="DP3394" s="236"/>
      <c r="DQ3394" s="236"/>
      <c r="DX3394" s="1671"/>
    </row>
    <row r="3395" spans="38:128">
      <c r="AL3395" s="1037"/>
      <c r="BP3395" s="1385"/>
      <c r="BV3395" s="236">
        <v>182.04</v>
      </c>
      <c r="BW3395" s="236" t="s">
        <v>338</v>
      </c>
      <c r="CL3395" s="236">
        <v>254.17</v>
      </c>
      <c r="CM3395" s="236" t="s">
        <v>342</v>
      </c>
      <c r="CT3395" s="1384"/>
      <c r="CZ3395" s="338"/>
      <c r="DA3395" s="338"/>
      <c r="DP3395" s="236"/>
      <c r="DQ3395" s="236"/>
      <c r="DX3395" s="1671"/>
    </row>
    <row r="3396" spans="38:128">
      <c r="AL3396" s="1037"/>
      <c r="BP3396" s="1385"/>
      <c r="BV3396" s="236">
        <v>183</v>
      </c>
      <c r="BW3396" s="236" t="s">
        <v>338</v>
      </c>
      <c r="CL3396" s="236">
        <v>254.18</v>
      </c>
      <c r="CM3396" s="236" t="s">
        <v>342</v>
      </c>
      <c r="CT3396" s="1384"/>
      <c r="CZ3396" s="338"/>
      <c r="DA3396" s="338"/>
      <c r="DP3396" s="236"/>
      <c r="DQ3396" s="236"/>
      <c r="DX3396" s="1671"/>
    </row>
    <row r="3397" spans="38:128">
      <c r="AL3397" s="1037"/>
      <c r="BP3397" s="1385"/>
      <c r="BV3397" s="236">
        <v>184</v>
      </c>
      <c r="BW3397" s="236" t="s">
        <v>338</v>
      </c>
      <c r="CL3397" s="236">
        <v>254.19</v>
      </c>
      <c r="CM3397" s="236" t="s">
        <v>342</v>
      </c>
      <c r="CT3397" s="1384"/>
      <c r="CZ3397" s="338"/>
      <c r="DA3397" s="338"/>
      <c r="DP3397" s="236"/>
      <c r="DQ3397" s="236"/>
      <c r="DX3397" s="1671"/>
    </row>
    <row r="3398" spans="38:128">
      <c r="AL3398" s="1037"/>
      <c r="BP3398" s="1385"/>
      <c r="BV3398" s="236">
        <v>185</v>
      </c>
      <c r="BW3398" s="236" t="s">
        <v>338</v>
      </c>
      <c r="CL3398" s="236">
        <v>254.2</v>
      </c>
      <c r="CM3398" s="236" t="s">
        <v>342</v>
      </c>
      <c r="CT3398" s="1384"/>
      <c r="CZ3398" s="338"/>
      <c r="DA3398" s="338"/>
      <c r="DP3398" s="236"/>
      <c r="DQ3398" s="236"/>
      <c r="DX3398" s="1671"/>
    </row>
    <row r="3399" spans="38:128">
      <c r="AL3399" s="1037"/>
      <c r="BP3399" s="1385"/>
      <c r="BV3399" s="236">
        <v>187</v>
      </c>
      <c r="BW3399" s="236" t="s">
        <v>338</v>
      </c>
      <c r="CL3399" s="236">
        <v>254.21</v>
      </c>
      <c r="CM3399" s="236" t="s">
        <v>342</v>
      </c>
      <c r="CT3399" s="1384"/>
      <c r="CZ3399" s="338"/>
      <c r="DA3399" s="338"/>
      <c r="DP3399" s="236"/>
      <c r="DQ3399" s="236"/>
      <c r="DX3399" s="1671"/>
    </row>
    <row r="3400" spans="38:128">
      <c r="AL3400" s="1037"/>
      <c r="BP3400" s="1385"/>
      <c r="BV3400" s="236">
        <v>188</v>
      </c>
      <c r="BW3400" s="236" t="s">
        <v>338</v>
      </c>
      <c r="CL3400" s="236">
        <v>255.01</v>
      </c>
      <c r="CM3400" s="236" t="s">
        <v>342</v>
      </c>
      <c r="CT3400" s="1384"/>
      <c r="CZ3400" s="338"/>
      <c r="DA3400" s="338"/>
      <c r="DP3400" s="236"/>
      <c r="DQ3400" s="236"/>
      <c r="DX3400" s="1671"/>
    </row>
    <row r="3401" spans="38:128">
      <c r="AL3401" s="1037"/>
      <c r="BP3401" s="1385"/>
      <c r="BV3401" s="236">
        <v>189.01</v>
      </c>
      <c r="BW3401" s="236" t="s">
        <v>338</v>
      </c>
      <c r="CL3401" s="236">
        <v>255.05</v>
      </c>
      <c r="CM3401" s="236" t="s">
        <v>342</v>
      </c>
      <c r="CT3401" s="1384"/>
      <c r="CZ3401" s="338"/>
      <c r="DA3401" s="338"/>
      <c r="DP3401" s="236"/>
      <c r="DQ3401" s="236"/>
      <c r="DX3401" s="1671"/>
    </row>
    <row r="3402" spans="38:128">
      <c r="AL3402" s="1037"/>
      <c r="BP3402" s="1385"/>
      <c r="BV3402" s="236">
        <v>189.02</v>
      </c>
      <c r="BW3402" s="236" t="s">
        <v>338</v>
      </c>
      <c r="CL3402" s="236">
        <v>255.07</v>
      </c>
      <c r="CM3402" s="236" t="s">
        <v>342</v>
      </c>
      <c r="CT3402" s="1384"/>
      <c r="CZ3402" s="338"/>
      <c r="DA3402" s="338"/>
      <c r="DP3402" s="236"/>
      <c r="DQ3402" s="236"/>
      <c r="DX3402" s="1671"/>
    </row>
    <row r="3403" spans="38:128">
      <c r="AL3403" s="1037"/>
      <c r="BP3403" s="1385"/>
      <c r="BV3403" s="236">
        <v>190</v>
      </c>
      <c r="BW3403" s="236" t="s">
        <v>338</v>
      </c>
      <c r="CL3403" s="236">
        <v>255.08</v>
      </c>
      <c r="CM3403" s="236" t="s">
        <v>342</v>
      </c>
      <c r="CT3403" s="1384"/>
      <c r="CZ3403" s="338"/>
      <c r="DA3403" s="338"/>
      <c r="DP3403" s="236"/>
      <c r="DQ3403" s="236"/>
      <c r="DX3403" s="1671"/>
    </row>
    <row r="3404" spans="38:128">
      <c r="AL3404" s="1037"/>
      <c r="BP3404" s="1385"/>
      <c r="BV3404" s="236">
        <v>9900</v>
      </c>
      <c r="BW3404" s="236" t="s">
        <v>338</v>
      </c>
      <c r="CL3404" s="236">
        <v>255.09</v>
      </c>
      <c r="CM3404" s="236" t="s">
        <v>342</v>
      </c>
      <c r="CT3404" s="1384"/>
      <c r="CZ3404" s="338"/>
      <c r="DA3404" s="338"/>
      <c r="DP3404" s="236"/>
      <c r="DQ3404" s="236"/>
      <c r="DX3404" s="1671"/>
    </row>
    <row r="3405" spans="38:128">
      <c r="AL3405" s="1037"/>
      <c r="BP3405" s="1385"/>
      <c r="BV3405" s="236">
        <v>408.01</v>
      </c>
      <c r="BW3405" s="236" t="s">
        <v>339</v>
      </c>
      <c r="CL3405" s="236">
        <v>255.1</v>
      </c>
      <c r="CM3405" s="236" t="s">
        <v>342</v>
      </c>
      <c r="CT3405" s="1384"/>
      <c r="CZ3405" s="338"/>
      <c r="DA3405" s="338"/>
      <c r="DP3405" s="236"/>
      <c r="DQ3405" s="236"/>
      <c r="DX3405" s="1671"/>
    </row>
    <row r="3406" spans="38:128">
      <c r="AL3406" s="1037"/>
      <c r="BP3406" s="1385"/>
      <c r="BV3406" s="236">
        <v>408.05</v>
      </c>
      <c r="BW3406" s="236" t="s">
        <v>339</v>
      </c>
      <c r="CL3406" s="236">
        <v>256.02</v>
      </c>
      <c r="CM3406" s="236" t="s">
        <v>342</v>
      </c>
      <c r="CT3406" s="1384"/>
      <c r="CZ3406" s="338"/>
      <c r="DA3406" s="338"/>
      <c r="DP3406" s="236"/>
      <c r="DQ3406" s="236"/>
      <c r="DX3406" s="1671"/>
    </row>
    <row r="3407" spans="38:128">
      <c r="AL3407" s="1037"/>
      <c r="BP3407" s="1385"/>
      <c r="BV3407" s="236">
        <v>408.06</v>
      </c>
      <c r="BW3407" s="236" t="s">
        <v>339</v>
      </c>
      <c r="CL3407" s="236">
        <v>256.02999999999997</v>
      </c>
      <c r="CM3407" s="236" t="s">
        <v>342</v>
      </c>
      <c r="CT3407" s="1384"/>
      <c r="CZ3407" s="338"/>
      <c r="DA3407" s="338"/>
      <c r="DP3407" s="236"/>
      <c r="DQ3407" s="236"/>
      <c r="DX3407" s="1671"/>
    </row>
    <row r="3408" spans="38:128">
      <c r="AL3408" s="1037"/>
      <c r="BP3408" s="1385"/>
      <c r="BV3408" s="236">
        <v>408.07</v>
      </c>
      <c r="BW3408" s="236" t="s">
        <v>339</v>
      </c>
      <c r="CL3408" s="236">
        <v>256.04000000000002</v>
      </c>
      <c r="CM3408" s="236" t="s">
        <v>342</v>
      </c>
      <c r="CT3408" s="1384"/>
      <c r="CZ3408" s="338"/>
      <c r="DA3408" s="338"/>
      <c r="DP3408" s="236"/>
      <c r="DQ3408" s="236"/>
      <c r="DX3408" s="1671"/>
    </row>
    <row r="3409" spans="38:128">
      <c r="AL3409" s="1037"/>
      <c r="BP3409" s="1385"/>
      <c r="BV3409" s="236">
        <v>408.08</v>
      </c>
      <c r="BW3409" s="236" t="s">
        <v>339</v>
      </c>
      <c r="CL3409" s="236">
        <v>257</v>
      </c>
      <c r="CM3409" s="236" t="s">
        <v>342</v>
      </c>
      <c r="CT3409" s="1384"/>
      <c r="CZ3409" s="338"/>
      <c r="DA3409" s="338"/>
      <c r="DP3409" s="236"/>
      <c r="DQ3409" s="236"/>
      <c r="DX3409" s="1671"/>
    </row>
    <row r="3410" spans="38:128">
      <c r="AL3410" s="1037"/>
      <c r="BP3410" s="1385"/>
      <c r="BV3410" s="236">
        <v>408.09</v>
      </c>
      <c r="BW3410" s="236" t="s">
        <v>339</v>
      </c>
      <c r="CL3410" s="236">
        <v>258</v>
      </c>
      <c r="CM3410" s="236" t="s">
        <v>342</v>
      </c>
      <c r="CT3410" s="1384"/>
      <c r="CZ3410" s="338"/>
      <c r="DA3410" s="338"/>
      <c r="DP3410" s="236"/>
      <c r="DQ3410" s="236"/>
      <c r="DX3410" s="1671"/>
    </row>
    <row r="3411" spans="38:128">
      <c r="AL3411" s="1037"/>
      <c r="BP3411" s="1385"/>
      <c r="BV3411" s="236">
        <v>408.1</v>
      </c>
      <c r="BW3411" s="236" t="s">
        <v>339</v>
      </c>
      <c r="CL3411" s="236">
        <v>259.01</v>
      </c>
      <c r="CM3411" s="236" t="s">
        <v>342</v>
      </c>
      <c r="CT3411" s="1384"/>
      <c r="CZ3411" s="338"/>
      <c r="DA3411" s="338"/>
      <c r="DP3411" s="236"/>
      <c r="DQ3411" s="236"/>
      <c r="DX3411" s="1671"/>
    </row>
    <row r="3412" spans="38:128">
      <c r="AL3412" s="1037"/>
      <c r="BP3412" s="1385"/>
      <c r="BV3412" s="236">
        <v>408.11</v>
      </c>
      <c r="BW3412" s="236" t="s">
        <v>339</v>
      </c>
      <c r="CL3412" s="236">
        <v>259.02</v>
      </c>
      <c r="CM3412" s="236" t="s">
        <v>342</v>
      </c>
      <c r="CT3412" s="1384"/>
      <c r="CZ3412" s="338"/>
      <c r="DA3412" s="338"/>
      <c r="DP3412" s="236"/>
      <c r="DQ3412" s="236"/>
      <c r="DX3412" s="1671"/>
    </row>
    <row r="3413" spans="38:128">
      <c r="AL3413" s="1037"/>
      <c r="BP3413" s="1385"/>
      <c r="BV3413" s="236">
        <v>408.12</v>
      </c>
      <c r="BW3413" s="236" t="s">
        <v>339</v>
      </c>
      <c r="CL3413" s="236">
        <v>260.01</v>
      </c>
      <c r="CM3413" s="236" t="s">
        <v>342</v>
      </c>
      <c r="CT3413" s="1384"/>
      <c r="CZ3413" s="338"/>
      <c r="DA3413" s="338"/>
      <c r="DP3413" s="236"/>
      <c r="DQ3413" s="236"/>
      <c r="DX3413" s="1671"/>
    </row>
    <row r="3414" spans="38:128">
      <c r="AL3414" s="1037"/>
      <c r="BP3414" s="1385"/>
      <c r="BV3414" s="236">
        <v>409.01</v>
      </c>
      <c r="BW3414" s="236" t="s">
        <v>339</v>
      </c>
      <c r="CL3414" s="236">
        <v>260.02999999999997</v>
      </c>
      <c r="CM3414" s="236" t="s">
        <v>342</v>
      </c>
      <c r="CT3414" s="1384"/>
      <c r="CZ3414" s="338"/>
      <c r="DA3414" s="338"/>
      <c r="DP3414" s="236"/>
      <c r="DQ3414" s="236"/>
      <c r="DX3414" s="1671"/>
    </row>
    <row r="3415" spans="38:128">
      <c r="AL3415" s="1037"/>
      <c r="BP3415" s="1385"/>
      <c r="BV3415" s="236">
        <v>409.03</v>
      </c>
      <c r="BW3415" s="236" t="s">
        <v>339</v>
      </c>
      <c r="CL3415" s="236">
        <v>260.04000000000002</v>
      </c>
      <c r="CM3415" s="236" t="s">
        <v>342</v>
      </c>
      <c r="CT3415" s="1384"/>
      <c r="CZ3415" s="338"/>
      <c r="DA3415" s="338"/>
      <c r="DP3415" s="236"/>
      <c r="DQ3415" s="236"/>
      <c r="DX3415" s="1671"/>
    </row>
    <row r="3416" spans="38:128">
      <c r="AL3416" s="1037"/>
      <c r="BP3416" s="1385"/>
      <c r="BV3416" s="236">
        <v>409.04</v>
      </c>
      <c r="BW3416" s="236" t="s">
        <v>339</v>
      </c>
      <c r="CL3416" s="236">
        <v>261.01</v>
      </c>
      <c r="CM3416" s="236" t="s">
        <v>342</v>
      </c>
      <c r="CT3416" s="1384"/>
      <c r="CZ3416" s="338"/>
      <c r="DA3416" s="338"/>
      <c r="DP3416" s="236"/>
      <c r="DQ3416" s="236"/>
      <c r="DX3416" s="1671"/>
    </row>
    <row r="3417" spans="38:128">
      <c r="AL3417" s="1037"/>
      <c r="BP3417" s="1385"/>
      <c r="BV3417" s="236">
        <v>410.03</v>
      </c>
      <c r="BW3417" s="236" t="s">
        <v>339</v>
      </c>
      <c r="CL3417" s="236">
        <v>261.02</v>
      </c>
      <c r="CM3417" s="236" t="s">
        <v>342</v>
      </c>
      <c r="CT3417" s="1384"/>
      <c r="CZ3417" s="338"/>
      <c r="DA3417" s="338"/>
      <c r="DP3417" s="236"/>
      <c r="DQ3417" s="236"/>
      <c r="DX3417" s="1671"/>
    </row>
    <row r="3418" spans="38:128">
      <c r="AL3418" s="1037"/>
      <c r="BP3418" s="1385"/>
      <c r="BV3418" s="236">
        <v>410.04</v>
      </c>
      <c r="BW3418" s="236" t="s">
        <v>339</v>
      </c>
      <c r="CL3418" s="236">
        <v>262</v>
      </c>
      <c r="CM3418" s="236" t="s">
        <v>342</v>
      </c>
      <c r="CT3418" s="1384"/>
      <c r="CZ3418" s="338"/>
      <c r="DA3418" s="338"/>
      <c r="DP3418" s="236"/>
      <c r="DQ3418" s="236"/>
      <c r="DX3418" s="1671"/>
    </row>
    <row r="3419" spans="38:128">
      <c r="AL3419" s="1037"/>
      <c r="BP3419" s="1385"/>
      <c r="BV3419" s="236">
        <v>410.05</v>
      </c>
      <c r="BW3419" s="236" t="s">
        <v>339</v>
      </c>
      <c r="CL3419" s="236">
        <v>263</v>
      </c>
      <c r="CM3419" s="236" t="s">
        <v>342</v>
      </c>
      <c r="CT3419" s="1384"/>
      <c r="CZ3419" s="338"/>
      <c r="DA3419" s="338"/>
      <c r="DP3419" s="236"/>
      <c r="DQ3419" s="236"/>
      <c r="DX3419" s="1671"/>
    </row>
    <row r="3420" spans="38:128">
      <c r="AL3420" s="1037"/>
      <c r="BP3420" s="1385"/>
      <c r="BV3420" s="236">
        <v>410.06</v>
      </c>
      <c r="BW3420" s="236" t="s">
        <v>339</v>
      </c>
      <c r="CL3420" s="236">
        <v>264.01</v>
      </c>
      <c r="CM3420" s="236" t="s">
        <v>342</v>
      </c>
      <c r="CT3420" s="1384"/>
      <c r="CZ3420" s="338"/>
      <c r="DA3420" s="338"/>
      <c r="DP3420" s="236"/>
      <c r="DQ3420" s="236"/>
      <c r="DX3420" s="1671"/>
    </row>
    <row r="3421" spans="38:128">
      <c r="AL3421" s="1037"/>
      <c r="BP3421" s="1385"/>
      <c r="BV3421" s="236">
        <v>411.01</v>
      </c>
      <c r="BW3421" s="236" t="s">
        <v>339</v>
      </c>
      <c r="CL3421" s="236">
        <v>264.02</v>
      </c>
      <c r="CM3421" s="236" t="s">
        <v>342</v>
      </c>
      <c r="CT3421" s="1384"/>
      <c r="CZ3421" s="338"/>
      <c r="DA3421" s="338"/>
      <c r="DP3421" s="236"/>
      <c r="DQ3421" s="236"/>
      <c r="DX3421" s="1671"/>
    </row>
    <row r="3422" spans="38:128">
      <c r="AL3422" s="1037"/>
      <c r="BP3422" s="1385"/>
      <c r="BV3422" s="236">
        <v>411.02</v>
      </c>
      <c r="BW3422" s="236" t="s">
        <v>339</v>
      </c>
      <c r="CL3422" s="236">
        <v>265.01</v>
      </c>
      <c r="CM3422" s="236" t="s">
        <v>342</v>
      </c>
      <c r="CT3422" s="1384"/>
      <c r="CZ3422" s="338"/>
      <c r="DA3422" s="338"/>
      <c r="DP3422" s="236"/>
      <c r="DQ3422" s="236"/>
      <c r="DX3422" s="1671"/>
    </row>
    <row r="3423" spans="38:128">
      <c r="AL3423" s="1037"/>
      <c r="BP3423" s="1385"/>
      <c r="BV3423" s="236">
        <v>413.01</v>
      </c>
      <c r="BW3423" s="236" t="s">
        <v>339</v>
      </c>
      <c r="CL3423" s="236">
        <v>265.02</v>
      </c>
      <c r="CM3423" s="236" t="s">
        <v>342</v>
      </c>
      <c r="CT3423" s="1384"/>
      <c r="CZ3423" s="338"/>
      <c r="DA3423" s="338"/>
      <c r="DP3423" s="236"/>
      <c r="DQ3423" s="236"/>
      <c r="DX3423" s="1671"/>
    </row>
    <row r="3424" spans="38:128">
      <c r="AL3424" s="1037"/>
      <c r="BP3424" s="1385"/>
      <c r="BV3424" s="236">
        <v>413.02</v>
      </c>
      <c r="BW3424" s="236" t="s">
        <v>339</v>
      </c>
      <c r="CL3424" s="236">
        <v>266.01</v>
      </c>
      <c r="CM3424" s="236" t="s">
        <v>342</v>
      </c>
      <c r="CT3424" s="1384"/>
      <c r="CZ3424" s="338"/>
      <c r="DA3424" s="338"/>
      <c r="DP3424" s="236"/>
      <c r="DQ3424" s="236"/>
      <c r="DX3424" s="1671"/>
    </row>
    <row r="3425" spans="38:128">
      <c r="AL3425" s="1037"/>
      <c r="BP3425" s="1385"/>
      <c r="BV3425" s="236">
        <v>415.01</v>
      </c>
      <c r="BW3425" s="236" t="s">
        <v>339</v>
      </c>
      <c r="CL3425" s="236">
        <v>266.02</v>
      </c>
      <c r="CM3425" s="236" t="s">
        <v>342</v>
      </c>
      <c r="CT3425" s="1384"/>
      <c r="CZ3425" s="338"/>
      <c r="DA3425" s="338"/>
      <c r="DP3425" s="236"/>
      <c r="DQ3425" s="236"/>
      <c r="DX3425" s="1671"/>
    </row>
    <row r="3426" spans="38:128">
      <c r="AL3426" s="1037"/>
      <c r="BP3426" s="1385"/>
      <c r="BV3426" s="236">
        <v>415.02</v>
      </c>
      <c r="BW3426" s="236" t="s">
        <v>339</v>
      </c>
      <c r="CL3426" s="236">
        <v>267.01</v>
      </c>
      <c r="CM3426" s="236" t="s">
        <v>342</v>
      </c>
      <c r="CT3426" s="1384"/>
      <c r="CZ3426" s="338"/>
      <c r="DA3426" s="338"/>
      <c r="DP3426" s="236"/>
      <c r="DQ3426" s="236"/>
      <c r="DX3426" s="1671"/>
    </row>
    <row r="3427" spans="38:128">
      <c r="AL3427" s="1037"/>
      <c r="BP3427" s="1385"/>
      <c r="BV3427" s="236">
        <v>416</v>
      </c>
      <c r="BW3427" s="236" t="s">
        <v>339</v>
      </c>
      <c r="CL3427" s="236">
        <v>267.02999999999997</v>
      </c>
      <c r="CM3427" s="236" t="s">
        <v>342</v>
      </c>
      <c r="CT3427" s="1384"/>
      <c r="CZ3427" s="338"/>
      <c r="DA3427" s="338"/>
      <c r="DP3427" s="236"/>
      <c r="DQ3427" s="236"/>
      <c r="DX3427" s="1671"/>
    </row>
    <row r="3428" spans="38:128">
      <c r="AL3428" s="1037"/>
      <c r="BP3428" s="1385"/>
      <c r="BV3428" s="236">
        <v>417</v>
      </c>
      <c r="BW3428" s="236" t="s">
        <v>339</v>
      </c>
      <c r="CL3428" s="236">
        <v>267.04000000000002</v>
      </c>
      <c r="CM3428" s="236" t="s">
        <v>342</v>
      </c>
      <c r="CT3428" s="1384"/>
      <c r="CZ3428" s="338"/>
      <c r="DA3428" s="338"/>
      <c r="DP3428" s="236"/>
      <c r="DQ3428" s="236"/>
      <c r="DX3428" s="1671"/>
    </row>
    <row r="3429" spans="38:128">
      <c r="AL3429" s="1037"/>
      <c r="BP3429" s="1385"/>
      <c r="BV3429" s="236">
        <v>418</v>
      </c>
      <c r="BW3429" s="236" t="s">
        <v>339</v>
      </c>
      <c r="CL3429" s="236">
        <v>267.05</v>
      </c>
      <c r="CM3429" s="236" t="s">
        <v>342</v>
      </c>
      <c r="CT3429" s="1384"/>
      <c r="CZ3429" s="338"/>
      <c r="DA3429" s="338"/>
      <c r="DP3429" s="236"/>
      <c r="DQ3429" s="236"/>
      <c r="DX3429" s="1671"/>
    </row>
    <row r="3430" spans="38:128">
      <c r="AL3430" s="1037"/>
      <c r="BP3430" s="1385"/>
      <c r="BV3430" s="236">
        <v>419</v>
      </c>
      <c r="BW3430" s="236" t="s">
        <v>339</v>
      </c>
      <c r="CL3430" s="236">
        <v>268.04000000000002</v>
      </c>
      <c r="CM3430" s="236" t="s">
        <v>342</v>
      </c>
      <c r="CT3430" s="1384"/>
      <c r="CZ3430" s="338"/>
      <c r="DA3430" s="338"/>
      <c r="DP3430" s="236"/>
      <c r="DQ3430" s="236"/>
      <c r="DX3430" s="1671"/>
    </row>
    <row r="3431" spans="38:128">
      <c r="AL3431" s="1037"/>
      <c r="BP3431" s="1385"/>
      <c r="BV3431" s="236">
        <v>420</v>
      </c>
      <c r="BW3431" s="236" t="s">
        <v>339</v>
      </c>
      <c r="CL3431" s="236">
        <v>268.08999999999997</v>
      </c>
      <c r="CM3431" s="236" t="s">
        <v>342</v>
      </c>
      <c r="CT3431" s="1384"/>
      <c r="CZ3431" s="338"/>
      <c r="DA3431" s="338"/>
      <c r="DP3431" s="236"/>
      <c r="DQ3431" s="236"/>
      <c r="DX3431" s="1671"/>
    </row>
    <row r="3432" spans="38:128">
      <c r="AL3432" s="1037"/>
      <c r="BP3432" s="1385"/>
      <c r="BV3432" s="236">
        <v>421</v>
      </c>
      <c r="BW3432" s="236" t="s">
        <v>339</v>
      </c>
      <c r="CL3432" s="236">
        <v>268.11</v>
      </c>
      <c r="CM3432" s="236" t="s">
        <v>342</v>
      </c>
      <c r="CT3432" s="1384"/>
      <c r="CZ3432" s="338"/>
      <c r="DA3432" s="338"/>
      <c r="DP3432" s="236"/>
      <c r="DQ3432" s="236"/>
      <c r="DX3432" s="1671"/>
    </row>
    <row r="3433" spans="38:128">
      <c r="AL3433" s="1037"/>
      <c r="BP3433" s="1385"/>
      <c r="BV3433" s="236">
        <v>422.01</v>
      </c>
      <c r="BW3433" s="236" t="s">
        <v>339</v>
      </c>
      <c r="CL3433" s="236">
        <v>268.12</v>
      </c>
      <c r="CM3433" s="236" t="s">
        <v>342</v>
      </c>
      <c r="CT3433" s="1384"/>
      <c r="CZ3433" s="338"/>
      <c r="DA3433" s="338"/>
      <c r="DP3433" s="236"/>
      <c r="DQ3433" s="236"/>
      <c r="DX3433" s="1671"/>
    </row>
    <row r="3434" spans="38:128">
      <c r="AL3434" s="1037"/>
      <c r="BP3434" s="1385"/>
      <c r="BV3434" s="236">
        <v>422.02</v>
      </c>
      <c r="BW3434" s="236" t="s">
        <v>339</v>
      </c>
      <c r="CL3434" s="236">
        <v>268.13</v>
      </c>
      <c r="CM3434" s="236" t="s">
        <v>342</v>
      </c>
      <c r="CT3434" s="1384"/>
      <c r="CZ3434" s="338"/>
      <c r="DA3434" s="338"/>
      <c r="DP3434" s="236"/>
      <c r="DQ3434" s="236"/>
      <c r="DX3434" s="1671"/>
    </row>
    <row r="3435" spans="38:128">
      <c r="AL3435" s="1037"/>
      <c r="BP3435" s="1385"/>
      <c r="BV3435" s="236">
        <v>423</v>
      </c>
      <c r="BW3435" s="236" t="s">
        <v>339</v>
      </c>
      <c r="CL3435" s="236">
        <v>268.14</v>
      </c>
      <c r="CM3435" s="236" t="s">
        <v>342</v>
      </c>
      <c r="CT3435" s="1384"/>
      <c r="CZ3435" s="338"/>
      <c r="DA3435" s="338"/>
      <c r="DP3435" s="236"/>
      <c r="DQ3435" s="236"/>
      <c r="DX3435" s="1671"/>
    </row>
    <row r="3436" spans="38:128">
      <c r="AL3436" s="1037"/>
      <c r="BP3436" s="1385"/>
      <c r="BV3436" s="236">
        <v>424</v>
      </c>
      <c r="BW3436" s="236" t="s">
        <v>339</v>
      </c>
      <c r="CL3436" s="236">
        <v>268.14999999999998</v>
      </c>
      <c r="CM3436" s="236" t="s">
        <v>342</v>
      </c>
      <c r="CT3436" s="1384"/>
      <c r="CZ3436" s="338"/>
      <c r="DA3436" s="338"/>
      <c r="DP3436" s="236"/>
      <c r="DQ3436" s="236"/>
      <c r="DX3436" s="1671"/>
    </row>
    <row r="3437" spans="38:128">
      <c r="AL3437" s="1037"/>
      <c r="BP3437" s="1385"/>
      <c r="BV3437" s="236">
        <v>425</v>
      </c>
      <c r="BW3437" s="236" t="s">
        <v>339</v>
      </c>
      <c r="CL3437" s="236">
        <v>268.16000000000003</v>
      </c>
      <c r="CM3437" s="236" t="s">
        <v>342</v>
      </c>
      <c r="CT3437" s="1384"/>
      <c r="CZ3437" s="338"/>
      <c r="DA3437" s="338"/>
      <c r="DP3437" s="236"/>
      <c r="DQ3437" s="236"/>
      <c r="DX3437" s="1671"/>
    </row>
    <row r="3438" spans="38:128">
      <c r="AL3438" s="1037"/>
      <c r="BP3438" s="1385"/>
      <c r="BV3438" s="236">
        <v>426.01</v>
      </c>
      <c r="BW3438" s="236" t="s">
        <v>339</v>
      </c>
      <c r="CL3438" s="236">
        <v>268.17</v>
      </c>
      <c r="CM3438" s="236" t="s">
        <v>342</v>
      </c>
      <c r="CT3438" s="1384"/>
      <c r="CZ3438" s="338"/>
      <c r="DA3438" s="338"/>
      <c r="DP3438" s="236"/>
      <c r="DQ3438" s="236"/>
      <c r="DX3438" s="1671"/>
    </row>
    <row r="3439" spans="38:128">
      <c r="AL3439" s="1037"/>
      <c r="BP3439" s="1385"/>
      <c r="BV3439" s="236">
        <v>426.03</v>
      </c>
      <c r="BW3439" s="236" t="s">
        <v>339</v>
      </c>
      <c r="CL3439" s="236">
        <v>268.18</v>
      </c>
      <c r="CM3439" s="236" t="s">
        <v>342</v>
      </c>
      <c r="CT3439" s="1384"/>
      <c r="CZ3439" s="338"/>
      <c r="DA3439" s="338"/>
      <c r="DP3439" s="236"/>
      <c r="DQ3439" s="236"/>
      <c r="DX3439" s="1671"/>
    </row>
    <row r="3440" spans="38:128">
      <c r="AL3440" s="1037"/>
      <c r="BP3440" s="1385"/>
      <c r="BV3440" s="236">
        <v>426.04</v>
      </c>
      <c r="BW3440" s="236" t="s">
        <v>339</v>
      </c>
      <c r="CL3440" s="236">
        <v>268.19</v>
      </c>
      <c r="CM3440" s="236" t="s">
        <v>342</v>
      </c>
      <c r="CT3440" s="1384"/>
      <c r="CZ3440" s="338"/>
      <c r="DA3440" s="338"/>
      <c r="DP3440" s="236"/>
      <c r="DQ3440" s="236"/>
      <c r="DX3440" s="1671"/>
    </row>
    <row r="3441" spans="38:128">
      <c r="AL3441" s="1037"/>
      <c r="BP3441" s="1385"/>
      <c r="BV3441" s="236">
        <v>427.01</v>
      </c>
      <c r="BW3441" s="236" t="s">
        <v>339</v>
      </c>
      <c r="CL3441" s="236">
        <v>268.2</v>
      </c>
      <c r="CM3441" s="236" t="s">
        <v>342</v>
      </c>
      <c r="CT3441" s="1384"/>
      <c r="CZ3441" s="338"/>
      <c r="DA3441" s="338"/>
      <c r="DP3441" s="236"/>
      <c r="DQ3441" s="236"/>
      <c r="DX3441" s="1671"/>
    </row>
    <row r="3442" spans="38:128">
      <c r="AL3442" s="1037"/>
      <c r="BP3442" s="1385"/>
      <c r="BV3442" s="236">
        <v>427.02</v>
      </c>
      <c r="BW3442" s="236" t="s">
        <v>339</v>
      </c>
      <c r="CL3442" s="236">
        <v>268.20999999999998</v>
      </c>
      <c r="CM3442" s="236" t="s">
        <v>342</v>
      </c>
      <c r="CT3442" s="1384"/>
      <c r="CZ3442" s="338"/>
      <c r="DA3442" s="338"/>
      <c r="DP3442" s="236"/>
      <c r="DQ3442" s="236"/>
      <c r="DX3442" s="1671"/>
    </row>
    <row r="3443" spans="38:128">
      <c r="AL3443" s="1037"/>
      <c r="BP3443" s="1385"/>
      <c r="BV3443" s="236">
        <v>428</v>
      </c>
      <c r="BW3443" s="236" t="s">
        <v>339</v>
      </c>
      <c r="CL3443" s="236">
        <v>269.04000000000002</v>
      </c>
      <c r="CM3443" s="236" t="s">
        <v>342</v>
      </c>
      <c r="CT3443" s="1384"/>
      <c r="CZ3443" s="338"/>
      <c r="DA3443" s="338"/>
      <c r="DP3443" s="236"/>
      <c r="DQ3443" s="236"/>
      <c r="DX3443" s="1671"/>
    </row>
    <row r="3444" spans="38:128">
      <c r="AL3444" s="1037"/>
      <c r="BP3444" s="1385"/>
      <c r="BV3444" s="236">
        <v>429.01</v>
      </c>
      <c r="BW3444" s="236" t="s">
        <v>339</v>
      </c>
      <c r="CL3444" s="236">
        <v>269.08</v>
      </c>
      <c r="CM3444" s="236" t="s">
        <v>342</v>
      </c>
      <c r="CT3444" s="1384"/>
      <c r="CZ3444" s="338"/>
      <c r="DA3444" s="338"/>
      <c r="DP3444" s="236"/>
      <c r="DQ3444" s="236"/>
      <c r="DX3444" s="1671"/>
    </row>
    <row r="3445" spans="38:128">
      <c r="AL3445" s="1037"/>
      <c r="BP3445" s="1385"/>
      <c r="BV3445" s="236">
        <v>429.02</v>
      </c>
      <c r="BW3445" s="236" t="s">
        <v>339</v>
      </c>
      <c r="CL3445" s="236">
        <v>269.08999999999997</v>
      </c>
      <c r="CM3445" s="236" t="s">
        <v>342</v>
      </c>
      <c r="CT3445" s="1384"/>
      <c r="CZ3445" s="338"/>
      <c r="DA3445" s="338"/>
      <c r="DP3445" s="236"/>
      <c r="DQ3445" s="236"/>
      <c r="DX3445" s="1671"/>
    </row>
    <row r="3446" spans="38:128">
      <c r="AL3446" s="1037"/>
      <c r="BP3446" s="1385"/>
      <c r="BV3446" s="236">
        <v>429.03</v>
      </c>
      <c r="BW3446" s="236" t="s">
        <v>339</v>
      </c>
      <c r="CL3446" s="236">
        <v>269.11</v>
      </c>
      <c r="CM3446" s="236" t="s">
        <v>342</v>
      </c>
      <c r="CT3446" s="1384"/>
      <c r="CZ3446" s="338"/>
      <c r="DA3446" s="338"/>
      <c r="DP3446" s="236"/>
      <c r="DQ3446" s="236"/>
      <c r="DX3446" s="1671"/>
    </row>
    <row r="3447" spans="38:128">
      <c r="AL3447" s="1037"/>
      <c r="BP3447" s="1385"/>
      <c r="BV3447" s="236">
        <v>429.04</v>
      </c>
      <c r="BW3447" s="236" t="s">
        <v>339</v>
      </c>
      <c r="CL3447" s="236">
        <v>269.12</v>
      </c>
      <c r="CM3447" s="236" t="s">
        <v>342</v>
      </c>
      <c r="CT3447" s="1384"/>
      <c r="CZ3447" s="338"/>
      <c r="DA3447" s="338"/>
      <c r="DP3447" s="236"/>
      <c r="DQ3447" s="236"/>
      <c r="DX3447" s="1671"/>
    </row>
    <row r="3448" spans="38:128">
      <c r="AL3448" s="1037"/>
      <c r="BP3448" s="1385"/>
      <c r="BV3448" s="236">
        <v>429.05</v>
      </c>
      <c r="BW3448" s="236" t="s">
        <v>339</v>
      </c>
      <c r="CL3448" s="236">
        <v>269.13</v>
      </c>
      <c r="CM3448" s="236" t="s">
        <v>342</v>
      </c>
      <c r="CT3448" s="1384"/>
      <c r="CZ3448" s="338"/>
      <c r="DA3448" s="338"/>
      <c r="DP3448" s="236"/>
      <c r="DQ3448" s="236"/>
      <c r="DX3448" s="1671"/>
    </row>
    <row r="3449" spans="38:128">
      <c r="AL3449" s="1037"/>
      <c r="BP3449" s="1385"/>
      <c r="BV3449" s="236">
        <v>431</v>
      </c>
      <c r="BW3449" s="236" t="s">
        <v>339</v>
      </c>
      <c r="CL3449" s="236">
        <v>269.14</v>
      </c>
      <c r="CM3449" s="236" t="s">
        <v>342</v>
      </c>
      <c r="CT3449" s="1384"/>
      <c r="CZ3449" s="338"/>
      <c r="DA3449" s="338"/>
      <c r="DP3449" s="236"/>
      <c r="DQ3449" s="236"/>
      <c r="DX3449" s="1671"/>
    </row>
    <row r="3450" spans="38:128">
      <c r="AL3450" s="1037"/>
      <c r="BP3450" s="1385"/>
      <c r="BV3450" s="236">
        <v>432.03</v>
      </c>
      <c r="BW3450" s="236" t="s">
        <v>339</v>
      </c>
      <c r="CL3450" s="236">
        <v>269.14999999999998</v>
      </c>
      <c r="CM3450" s="236" t="s">
        <v>342</v>
      </c>
      <c r="CT3450" s="1384"/>
      <c r="CZ3450" s="338"/>
      <c r="DA3450" s="338"/>
      <c r="DP3450" s="236"/>
      <c r="DQ3450" s="236"/>
      <c r="DX3450" s="1671"/>
    </row>
    <row r="3451" spans="38:128">
      <c r="AL3451" s="1037"/>
      <c r="BP3451" s="1385"/>
      <c r="BV3451" s="236">
        <v>432.05</v>
      </c>
      <c r="BW3451" s="236" t="s">
        <v>339</v>
      </c>
      <c r="CL3451" s="236">
        <v>269.16000000000003</v>
      </c>
      <c r="CM3451" s="236" t="s">
        <v>342</v>
      </c>
      <c r="CT3451" s="1384"/>
      <c r="CZ3451" s="338"/>
      <c r="DA3451" s="338"/>
      <c r="DP3451" s="236"/>
      <c r="DQ3451" s="236"/>
      <c r="DX3451" s="1671"/>
    </row>
    <row r="3452" spans="38:128">
      <c r="AL3452" s="1037"/>
      <c r="BP3452" s="1385"/>
      <c r="BV3452" s="236">
        <v>432.07</v>
      </c>
      <c r="BW3452" s="236" t="s">
        <v>339</v>
      </c>
      <c r="CL3452" s="236">
        <v>269.17</v>
      </c>
      <c r="CM3452" s="236" t="s">
        <v>342</v>
      </c>
      <c r="CT3452" s="1384"/>
      <c r="CZ3452" s="338"/>
      <c r="DA3452" s="338"/>
      <c r="DP3452" s="236"/>
      <c r="DQ3452" s="236"/>
      <c r="DX3452" s="1671"/>
    </row>
    <row r="3453" spans="38:128">
      <c r="AL3453" s="1037"/>
      <c r="BP3453" s="1385"/>
      <c r="BV3453" s="236">
        <v>432.08</v>
      </c>
      <c r="BW3453" s="236" t="s">
        <v>339</v>
      </c>
      <c r="CL3453" s="236">
        <v>270</v>
      </c>
      <c r="CM3453" s="236" t="s">
        <v>342</v>
      </c>
      <c r="CT3453" s="1384"/>
      <c r="CZ3453" s="338"/>
      <c r="DA3453" s="338"/>
      <c r="DP3453" s="236"/>
      <c r="DQ3453" s="236"/>
      <c r="DX3453" s="1671"/>
    </row>
    <row r="3454" spans="38:128">
      <c r="AL3454" s="1037"/>
      <c r="BP3454" s="1385"/>
      <c r="BV3454" s="236">
        <v>432.09</v>
      </c>
      <c r="BW3454" s="236" t="s">
        <v>339</v>
      </c>
      <c r="CL3454" s="236">
        <v>271.05</v>
      </c>
      <c r="CM3454" s="236" t="s">
        <v>342</v>
      </c>
      <c r="CT3454" s="1384"/>
      <c r="CZ3454" s="338"/>
      <c r="DA3454" s="338"/>
      <c r="DP3454" s="236"/>
      <c r="DQ3454" s="236"/>
      <c r="DX3454" s="1671"/>
    </row>
    <row r="3455" spans="38:128">
      <c r="AL3455" s="1037"/>
      <c r="BP3455" s="1385"/>
      <c r="BV3455" s="236">
        <v>433.01</v>
      </c>
      <c r="BW3455" s="236" t="s">
        <v>339</v>
      </c>
      <c r="CL3455" s="236">
        <v>271.06</v>
      </c>
      <c r="CM3455" s="236" t="s">
        <v>342</v>
      </c>
      <c r="CT3455" s="1384"/>
      <c r="CZ3455" s="338"/>
      <c r="DA3455" s="338"/>
      <c r="DP3455" s="236"/>
      <c r="DQ3455" s="236"/>
      <c r="DX3455" s="1671"/>
    </row>
    <row r="3456" spans="38:128">
      <c r="AL3456" s="1037"/>
      <c r="BP3456" s="1385"/>
      <c r="BV3456" s="236">
        <v>433.03</v>
      </c>
      <c r="BW3456" s="236" t="s">
        <v>339</v>
      </c>
      <c r="CL3456" s="236">
        <v>271.07</v>
      </c>
      <c r="CM3456" s="236" t="s">
        <v>342</v>
      </c>
      <c r="CT3456" s="1384"/>
      <c r="CZ3456" s="338"/>
      <c r="DA3456" s="338"/>
      <c r="DP3456" s="236"/>
      <c r="DQ3456" s="236"/>
      <c r="DX3456" s="1671"/>
    </row>
    <row r="3457" spans="38:128">
      <c r="AL3457" s="1037"/>
      <c r="BP3457" s="1385"/>
      <c r="BV3457" s="236">
        <v>433.04</v>
      </c>
      <c r="BW3457" s="236" t="s">
        <v>339</v>
      </c>
      <c r="CL3457" s="236">
        <v>271.08</v>
      </c>
      <c r="CM3457" s="236" t="s">
        <v>342</v>
      </c>
      <c r="CT3457" s="1384"/>
      <c r="CZ3457" s="338"/>
      <c r="DA3457" s="338"/>
      <c r="DP3457" s="236"/>
      <c r="DQ3457" s="236"/>
      <c r="DX3457" s="1671"/>
    </row>
    <row r="3458" spans="38:128">
      <c r="AL3458" s="1037"/>
      <c r="BP3458" s="1385"/>
      <c r="BV3458" s="236">
        <v>434</v>
      </c>
      <c r="BW3458" s="236" t="s">
        <v>339</v>
      </c>
      <c r="CL3458" s="236">
        <v>272.02</v>
      </c>
      <c r="CM3458" s="236" t="s">
        <v>342</v>
      </c>
      <c r="CT3458" s="1384"/>
      <c r="CZ3458" s="338"/>
      <c r="DA3458" s="338"/>
      <c r="DP3458" s="236"/>
      <c r="DQ3458" s="236"/>
      <c r="DX3458" s="1671"/>
    </row>
    <row r="3459" spans="38:128">
      <c r="AL3459" s="1037"/>
      <c r="BP3459" s="1385"/>
      <c r="BV3459" s="236">
        <v>435</v>
      </c>
      <c r="BW3459" s="236" t="s">
        <v>339</v>
      </c>
      <c r="CL3459" s="236">
        <v>272.04000000000002</v>
      </c>
      <c r="CM3459" s="236" t="s">
        <v>342</v>
      </c>
      <c r="CT3459" s="1384"/>
      <c r="CZ3459" s="338"/>
      <c r="DA3459" s="338"/>
      <c r="DP3459" s="236"/>
      <c r="DQ3459" s="236"/>
      <c r="DX3459" s="1671"/>
    </row>
    <row r="3460" spans="38:128">
      <c r="AL3460" s="1037"/>
      <c r="BP3460" s="1385"/>
      <c r="BV3460" s="236">
        <v>436</v>
      </c>
      <c r="BW3460" s="236" t="s">
        <v>339</v>
      </c>
      <c r="CL3460" s="236">
        <v>272.06</v>
      </c>
      <c r="CM3460" s="236" t="s">
        <v>342</v>
      </c>
      <c r="CT3460" s="1384"/>
      <c r="CZ3460" s="338"/>
      <c r="DA3460" s="338"/>
      <c r="DP3460" s="236"/>
      <c r="DQ3460" s="236"/>
      <c r="DX3460" s="1671"/>
    </row>
    <row r="3461" spans="38:128">
      <c r="AL3461" s="1037"/>
      <c r="BP3461" s="1385"/>
      <c r="BV3461" s="236">
        <v>437</v>
      </c>
      <c r="BW3461" s="236" t="s">
        <v>339</v>
      </c>
      <c r="CL3461" s="236">
        <v>272.07</v>
      </c>
      <c r="CM3461" s="236" t="s">
        <v>342</v>
      </c>
      <c r="CT3461" s="1384"/>
      <c r="CZ3461" s="338"/>
      <c r="DA3461" s="338"/>
      <c r="DP3461" s="236"/>
      <c r="DQ3461" s="236"/>
      <c r="DX3461" s="1671"/>
    </row>
    <row r="3462" spans="38:128">
      <c r="AL3462" s="1037"/>
      <c r="BP3462" s="1385"/>
      <c r="BV3462" s="236">
        <v>438.01</v>
      </c>
      <c r="BW3462" s="236" t="s">
        <v>339</v>
      </c>
      <c r="CL3462" s="236">
        <v>272.08</v>
      </c>
      <c r="CM3462" s="236" t="s">
        <v>342</v>
      </c>
      <c r="CT3462" s="1384"/>
      <c r="CZ3462" s="338"/>
      <c r="DA3462" s="338"/>
      <c r="DP3462" s="236"/>
      <c r="DQ3462" s="236"/>
      <c r="DX3462" s="1671"/>
    </row>
    <row r="3463" spans="38:128">
      <c r="AL3463" s="1037"/>
      <c r="BP3463" s="1385"/>
      <c r="BV3463" s="236">
        <v>438.02</v>
      </c>
      <c r="BW3463" s="236" t="s">
        <v>339</v>
      </c>
      <c r="CL3463" s="236">
        <v>272.08999999999997</v>
      </c>
      <c r="CM3463" s="236" t="s">
        <v>342</v>
      </c>
      <c r="CT3463" s="1384"/>
      <c r="CZ3463" s="338"/>
      <c r="DA3463" s="338"/>
      <c r="DP3463" s="236"/>
      <c r="DQ3463" s="236"/>
      <c r="DX3463" s="1671"/>
    </row>
    <row r="3464" spans="38:128">
      <c r="AL3464" s="1037"/>
      <c r="BP3464" s="1385"/>
      <c r="BV3464" s="236">
        <v>1.02</v>
      </c>
      <c r="BW3464" s="236" t="s">
        <v>340</v>
      </c>
      <c r="CL3464" s="236">
        <v>272.10000000000002</v>
      </c>
      <c r="CM3464" s="236" t="s">
        <v>342</v>
      </c>
      <c r="CT3464" s="1384"/>
      <c r="CZ3464" s="338"/>
      <c r="DA3464" s="338"/>
      <c r="DP3464" s="236"/>
      <c r="DQ3464" s="236"/>
      <c r="DX3464" s="1671"/>
    </row>
    <row r="3465" spans="38:128">
      <c r="AL3465" s="1037"/>
      <c r="BP3465" s="1385"/>
      <c r="BV3465" s="236">
        <v>1.03</v>
      </c>
      <c r="BW3465" s="236" t="s">
        <v>340</v>
      </c>
      <c r="CL3465" s="236">
        <v>272.11</v>
      </c>
      <c r="CM3465" s="236" t="s">
        <v>342</v>
      </c>
      <c r="CT3465" s="1384"/>
      <c r="CZ3465" s="338"/>
      <c r="DA3465" s="338"/>
      <c r="DP3465" s="236"/>
      <c r="DQ3465" s="236"/>
      <c r="DX3465" s="1671"/>
    </row>
    <row r="3466" spans="38:128">
      <c r="AL3466" s="1037"/>
      <c r="BP3466" s="1385"/>
      <c r="BV3466" s="236">
        <v>1.04</v>
      </c>
      <c r="BW3466" s="236" t="s">
        <v>340</v>
      </c>
      <c r="CL3466" s="236">
        <v>272.12</v>
      </c>
      <c r="CM3466" s="236" t="s">
        <v>342</v>
      </c>
      <c r="CT3466" s="1384"/>
      <c r="CZ3466" s="338"/>
      <c r="DA3466" s="338"/>
      <c r="DP3466" s="236"/>
      <c r="DQ3466" s="236"/>
      <c r="DX3466" s="1671"/>
    </row>
    <row r="3467" spans="38:128">
      <c r="AL3467" s="1037"/>
      <c r="BP3467" s="1385"/>
      <c r="BV3467" s="236">
        <v>2.02</v>
      </c>
      <c r="BW3467" s="236" t="s">
        <v>340</v>
      </c>
      <c r="CL3467" s="236">
        <v>273.08</v>
      </c>
      <c r="CM3467" s="236" t="s">
        <v>342</v>
      </c>
      <c r="CT3467" s="1384"/>
      <c r="CZ3467" s="338"/>
      <c r="DA3467" s="338"/>
      <c r="DP3467" s="236"/>
      <c r="DQ3467" s="236"/>
      <c r="DX3467" s="1671"/>
    </row>
    <row r="3468" spans="38:128">
      <c r="AL3468" s="1037"/>
      <c r="BP3468" s="1385"/>
      <c r="BV3468" s="236">
        <v>2.04</v>
      </c>
      <c r="BW3468" s="236" t="s">
        <v>340</v>
      </c>
      <c r="CL3468" s="236">
        <v>273.08999999999997</v>
      </c>
      <c r="CM3468" s="236" t="s">
        <v>342</v>
      </c>
      <c r="CT3468" s="1384"/>
      <c r="CZ3468" s="338"/>
      <c r="DA3468" s="338"/>
      <c r="DP3468" s="236"/>
      <c r="DQ3468" s="236"/>
      <c r="DX3468" s="1671"/>
    </row>
    <row r="3469" spans="38:128">
      <c r="AL3469" s="1037"/>
      <c r="BP3469" s="1385"/>
      <c r="BV3469" s="236">
        <v>2.08</v>
      </c>
      <c r="BW3469" s="236" t="s">
        <v>340</v>
      </c>
      <c r="CL3469" s="236">
        <v>273.14</v>
      </c>
      <c r="CM3469" s="236" t="s">
        <v>342</v>
      </c>
      <c r="CT3469" s="1384"/>
      <c r="CZ3469" s="338"/>
      <c r="DA3469" s="338"/>
      <c r="DP3469" s="236"/>
      <c r="DQ3469" s="236"/>
      <c r="DX3469" s="1671"/>
    </row>
    <row r="3470" spans="38:128">
      <c r="AL3470" s="1037"/>
      <c r="BP3470" s="1385"/>
      <c r="BV3470" s="236">
        <v>2.1</v>
      </c>
      <c r="BW3470" s="236" t="s">
        <v>340</v>
      </c>
      <c r="CL3470" s="236">
        <v>273.16000000000003</v>
      </c>
      <c r="CM3470" s="236" t="s">
        <v>342</v>
      </c>
      <c r="CT3470" s="1384"/>
      <c r="CZ3470" s="338"/>
      <c r="DA3470" s="338"/>
      <c r="DP3470" s="236"/>
      <c r="DQ3470" s="236"/>
      <c r="DX3470" s="1671"/>
    </row>
    <row r="3471" spans="38:128">
      <c r="AL3471" s="1037"/>
      <c r="BP3471" s="1385"/>
      <c r="BV3471" s="236">
        <v>2.11</v>
      </c>
      <c r="BW3471" s="236" t="s">
        <v>340</v>
      </c>
      <c r="CL3471" s="236">
        <v>273.17</v>
      </c>
      <c r="CM3471" s="236" t="s">
        <v>342</v>
      </c>
      <c r="CT3471" s="1384"/>
      <c r="CZ3471" s="338"/>
      <c r="DA3471" s="338"/>
      <c r="DP3471" s="236"/>
      <c r="DQ3471" s="236"/>
      <c r="DX3471" s="1671"/>
    </row>
    <row r="3472" spans="38:128">
      <c r="AL3472" s="1037"/>
      <c r="BP3472" s="1385"/>
      <c r="BV3472" s="236">
        <v>2.13</v>
      </c>
      <c r="BW3472" s="236" t="s">
        <v>340</v>
      </c>
      <c r="CL3472" s="236">
        <v>273.18</v>
      </c>
      <c r="CM3472" s="236" t="s">
        <v>342</v>
      </c>
      <c r="CT3472" s="1384"/>
      <c r="CZ3472" s="338"/>
      <c r="DA3472" s="338"/>
      <c r="DP3472" s="236"/>
      <c r="DQ3472" s="236"/>
      <c r="DX3472" s="1671"/>
    </row>
    <row r="3473" spans="38:128">
      <c r="AL3473" s="1037"/>
      <c r="BP3473" s="1385"/>
      <c r="BV3473" s="236">
        <v>2.14</v>
      </c>
      <c r="BW3473" s="236" t="s">
        <v>340</v>
      </c>
      <c r="CL3473" s="236">
        <v>273.19</v>
      </c>
      <c r="CM3473" s="236" t="s">
        <v>342</v>
      </c>
      <c r="CT3473" s="1384"/>
      <c r="CZ3473" s="338"/>
      <c r="DA3473" s="338"/>
      <c r="DP3473" s="236"/>
      <c r="DQ3473" s="236"/>
      <c r="DX3473" s="1671"/>
    </row>
    <row r="3474" spans="38:128">
      <c r="AL3474" s="1037"/>
      <c r="BP3474" s="1385"/>
      <c r="BV3474" s="236">
        <v>2.16</v>
      </c>
      <c r="BW3474" s="236" t="s">
        <v>340</v>
      </c>
      <c r="CL3474" s="236">
        <v>273.2</v>
      </c>
      <c r="CM3474" s="236" t="s">
        <v>342</v>
      </c>
      <c r="CT3474" s="1384"/>
      <c r="CZ3474" s="338"/>
      <c r="DA3474" s="338"/>
      <c r="DP3474" s="236"/>
      <c r="DQ3474" s="236"/>
      <c r="DX3474" s="1671"/>
    </row>
    <row r="3475" spans="38:128">
      <c r="AL3475" s="1037"/>
      <c r="BP3475" s="1385"/>
      <c r="BV3475" s="236">
        <v>2.17</v>
      </c>
      <c r="BW3475" s="236" t="s">
        <v>340</v>
      </c>
      <c r="CL3475" s="236">
        <v>273.20999999999998</v>
      </c>
      <c r="CM3475" s="236" t="s">
        <v>342</v>
      </c>
      <c r="CT3475" s="1384"/>
      <c r="CZ3475" s="338"/>
      <c r="DA3475" s="338"/>
      <c r="DP3475" s="236"/>
      <c r="DQ3475" s="236"/>
      <c r="DX3475" s="1671"/>
    </row>
    <row r="3476" spans="38:128">
      <c r="AL3476" s="1037"/>
      <c r="BP3476" s="1385"/>
      <c r="BV3476" s="236">
        <v>2.1800000000000002</v>
      </c>
      <c r="BW3476" s="236" t="s">
        <v>340</v>
      </c>
      <c r="CL3476" s="236">
        <v>273.23</v>
      </c>
      <c r="CM3476" s="236" t="s">
        <v>342</v>
      </c>
      <c r="CT3476" s="1384"/>
      <c r="CZ3476" s="338"/>
      <c r="DA3476" s="338"/>
      <c r="DP3476" s="236"/>
      <c r="DQ3476" s="236"/>
      <c r="DX3476" s="1671"/>
    </row>
    <row r="3477" spans="38:128">
      <c r="AL3477" s="1037"/>
      <c r="BP3477" s="1385"/>
      <c r="BV3477" s="236">
        <v>2.19</v>
      </c>
      <c r="BW3477" s="236" t="s">
        <v>340</v>
      </c>
      <c r="CL3477" s="236">
        <v>273.24</v>
      </c>
      <c r="CM3477" s="236" t="s">
        <v>342</v>
      </c>
      <c r="CT3477" s="1384"/>
      <c r="CZ3477" s="338"/>
      <c r="DA3477" s="338"/>
      <c r="DP3477" s="236"/>
      <c r="DQ3477" s="236"/>
      <c r="DX3477" s="1671"/>
    </row>
    <row r="3478" spans="38:128">
      <c r="AL3478" s="1037"/>
      <c r="BP3478" s="1385"/>
      <c r="BV3478" s="236">
        <v>2.2000000000000002</v>
      </c>
      <c r="BW3478" s="236" t="s">
        <v>340</v>
      </c>
      <c r="CL3478" s="236">
        <v>273.25</v>
      </c>
      <c r="CM3478" s="236" t="s">
        <v>342</v>
      </c>
      <c r="CT3478" s="1384"/>
      <c r="CZ3478" s="338"/>
      <c r="DA3478" s="338"/>
      <c r="DP3478" s="236"/>
      <c r="DQ3478" s="236"/>
      <c r="DX3478" s="1671"/>
    </row>
    <row r="3479" spans="38:128">
      <c r="AL3479" s="1037"/>
      <c r="BP3479" s="1385"/>
      <c r="BV3479" s="236">
        <v>2.21</v>
      </c>
      <c r="BW3479" s="236" t="s">
        <v>340</v>
      </c>
      <c r="CL3479" s="236">
        <v>273.26</v>
      </c>
      <c r="CM3479" s="236" t="s">
        <v>342</v>
      </c>
      <c r="CT3479" s="1384"/>
      <c r="CZ3479" s="338"/>
      <c r="DA3479" s="338"/>
      <c r="DP3479" s="236"/>
      <c r="DQ3479" s="236"/>
      <c r="DX3479" s="1671"/>
    </row>
    <row r="3480" spans="38:128">
      <c r="AL3480" s="1037"/>
      <c r="BP3480" s="1385"/>
      <c r="BV3480" s="236">
        <v>2.2200000000000002</v>
      </c>
      <c r="BW3480" s="236" t="s">
        <v>340</v>
      </c>
      <c r="CL3480" s="236">
        <v>273.27</v>
      </c>
      <c r="CM3480" s="236" t="s">
        <v>342</v>
      </c>
      <c r="CT3480" s="1384"/>
      <c r="CZ3480" s="338"/>
      <c r="DA3480" s="338"/>
      <c r="DP3480" s="236"/>
      <c r="DQ3480" s="236"/>
      <c r="DX3480" s="1671"/>
    </row>
    <row r="3481" spans="38:128">
      <c r="AL3481" s="1037"/>
      <c r="BP3481" s="1385"/>
      <c r="BV3481" s="236">
        <v>2.23</v>
      </c>
      <c r="BW3481" s="236" t="s">
        <v>340</v>
      </c>
      <c r="CL3481" s="236">
        <v>273.27999999999997</v>
      </c>
      <c r="CM3481" s="236" t="s">
        <v>342</v>
      </c>
      <c r="CT3481" s="1384"/>
      <c r="CZ3481" s="338"/>
      <c r="DA3481" s="338"/>
      <c r="DP3481" s="236"/>
      <c r="DQ3481" s="236"/>
      <c r="DX3481" s="1671"/>
    </row>
    <row r="3482" spans="38:128">
      <c r="AL3482" s="1037"/>
      <c r="BP3482" s="1385"/>
      <c r="BV3482" s="236">
        <v>3.01</v>
      </c>
      <c r="BW3482" s="236" t="s">
        <v>340</v>
      </c>
      <c r="CL3482" s="236">
        <v>273.29000000000002</v>
      </c>
      <c r="CM3482" s="236" t="s">
        <v>342</v>
      </c>
      <c r="CT3482" s="1384"/>
      <c r="CZ3482" s="338"/>
      <c r="DA3482" s="338"/>
      <c r="DP3482" s="236"/>
      <c r="DQ3482" s="236"/>
      <c r="DX3482" s="1671"/>
    </row>
    <row r="3483" spans="38:128">
      <c r="AL3483" s="1037"/>
      <c r="BP3483" s="1385"/>
      <c r="BV3483" s="236">
        <v>3.03</v>
      </c>
      <c r="BW3483" s="236" t="s">
        <v>340</v>
      </c>
      <c r="CL3483" s="236">
        <v>273.3</v>
      </c>
      <c r="CM3483" s="236" t="s">
        <v>342</v>
      </c>
      <c r="CT3483" s="1384"/>
      <c r="CZ3483" s="338"/>
      <c r="DA3483" s="338"/>
      <c r="DP3483" s="236"/>
      <c r="DQ3483" s="236"/>
      <c r="DX3483" s="1671"/>
    </row>
    <row r="3484" spans="38:128">
      <c r="AL3484" s="1037"/>
      <c r="BP3484" s="1385"/>
      <c r="BV3484" s="236">
        <v>3.04</v>
      </c>
      <c r="BW3484" s="236" t="s">
        <v>340</v>
      </c>
      <c r="CL3484" s="236">
        <v>273.31</v>
      </c>
      <c r="CM3484" s="236" t="s">
        <v>342</v>
      </c>
      <c r="CT3484" s="1384"/>
      <c r="CZ3484" s="338"/>
      <c r="DA3484" s="338"/>
      <c r="DP3484" s="236"/>
      <c r="DQ3484" s="236"/>
      <c r="DX3484" s="1671"/>
    </row>
    <row r="3485" spans="38:128">
      <c r="AL3485" s="1037"/>
      <c r="BP3485" s="1385"/>
      <c r="BV3485" s="236">
        <v>4.05</v>
      </c>
      <c r="BW3485" s="236" t="s">
        <v>340</v>
      </c>
      <c r="CL3485" s="236">
        <v>273.32</v>
      </c>
      <c r="CM3485" s="236" t="s">
        <v>342</v>
      </c>
      <c r="CT3485" s="1384"/>
      <c r="CZ3485" s="338"/>
      <c r="DA3485" s="338"/>
      <c r="DP3485" s="236"/>
      <c r="DQ3485" s="236"/>
      <c r="DX3485" s="1671"/>
    </row>
    <row r="3486" spans="38:128">
      <c r="AL3486" s="1037"/>
      <c r="BP3486" s="1385"/>
      <c r="BV3486" s="236">
        <v>4.0599999999999996</v>
      </c>
      <c r="BW3486" s="236" t="s">
        <v>340</v>
      </c>
      <c r="CL3486" s="236">
        <v>273.33</v>
      </c>
      <c r="CM3486" s="236" t="s">
        <v>342</v>
      </c>
      <c r="CT3486" s="1384"/>
      <c r="CZ3486" s="338"/>
      <c r="DA3486" s="338"/>
      <c r="DP3486" s="236"/>
      <c r="DQ3486" s="236"/>
      <c r="DX3486" s="1671"/>
    </row>
    <row r="3487" spans="38:128">
      <c r="AL3487" s="1037"/>
      <c r="BP3487" s="1385"/>
      <c r="BV3487" s="236">
        <v>4.07</v>
      </c>
      <c r="BW3487" s="236" t="s">
        <v>340</v>
      </c>
      <c r="CL3487" s="236">
        <v>274.01</v>
      </c>
      <c r="CM3487" s="236" t="s">
        <v>342</v>
      </c>
      <c r="CT3487" s="1384"/>
      <c r="CZ3487" s="338"/>
      <c r="DA3487" s="338"/>
      <c r="DP3487" s="236"/>
      <c r="DQ3487" s="236"/>
      <c r="DX3487" s="1671"/>
    </row>
    <row r="3488" spans="38:128">
      <c r="AL3488" s="1037"/>
      <c r="BP3488" s="1385"/>
      <c r="BV3488" s="236">
        <v>4.08</v>
      </c>
      <c r="BW3488" s="236" t="s">
        <v>340</v>
      </c>
      <c r="CL3488" s="236">
        <v>274.04000000000002</v>
      </c>
      <c r="CM3488" s="236" t="s">
        <v>342</v>
      </c>
      <c r="CT3488" s="1384"/>
      <c r="CZ3488" s="338"/>
      <c r="DA3488" s="338"/>
      <c r="DP3488" s="236"/>
      <c r="DQ3488" s="236"/>
      <c r="DX3488" s="1671"/>
    </row>
    <row r="3489" spans="38:128">
      <c r="AL3489" s="1037"/>
      <c r="BP3489" s="1385"/>
      <c r="BV3489" s="236">
        <v>4.0999999999999996</v>
      </c>
      <c r="BW3489" s="236" t="s">
        <v>340</v>
      </c>
      <c r="CL3489" s="236">
        <v>275.01</v>
      </c>
      <c r="CM3489" s="236" t="s">
        <v>342</v>
      </c>
      <c r="CT3489" s="1384"/>
      <c r="CZ3489" s="338"/>
      <c r="DA3489" s="338"/>
      <c r="DP3489" s="236"/>
      <c r="DQ3489" s="236"/>
      <c r="DX3489" s="1671"/>
    </row>
    <row r="3490" spans="38:128">
      <c r="AL3490" s="1037"/>
      <c r="BP3490" s="1385"/>
      <c r="BV3490" s="236">
        <v>5.05</v>
      </c>
      <c r="BW3490" s="236" t="s">
        <v>340</v>
      </c>
      <c r="CL3490" s="236">
        <v>275.02999999999997</v>
      </c>
      <c r="CM3490" s="236" t="s">
        <v>342</v>
      </c>
      <c r="CT3490" s="1384"/>
      <c r="CZ3490" s="338"/>
      <c r="DA3490" s="338"/>
      <c r="DP3490" s="236"/>
      <c r="DQ3490" s="236"/>
      <c r="DX3490" s="1671"/>
    </row>
    <row r="3491" spans="38:128">
      <c r="AL3491" s="1037"/>
      <c r="BP3491" s="1385"/>
      <c r="BV3491" s="236">
        <v>5.07</v>
      </c>
      <c r="BW3491" s="236" t="s">
        <v>340</v>
      </c>
      <c r="CL3491" s="236">
        <v>275.04000000000002</v>
      </c>
      <c r="CM3491" s="236" t="s">
        <v>342</v>
      </c>
      <c r="CT3491" s="1384"/>
      <c r="CZ3491" s="338"/>
      <c r="DA3491" s="338"/>
      <c r="DP3491" s="236"/>
      <c r="DQ3491" s="236"/>
      <c r="DX3491" s="1671"/>
    </row>
    <row r="3492" spans="38:128">
      <c r="AL3492" s="1037"/>
      <c r="BP3492" s="1385"/>
      <c r="BV3492" s="236">
        <v>5.09</v>
      </c>
      <c r="BW3492" s="236" t="s">
        <v>340</v>
      </c>
      <c r="CL3492" s="236">
        <v>276.02999999999997</v>
      </c>
      <c r="CM3492" s="236" t="s">
        <v>342</v>
      </c>
      <c r="CT3492" s="1384"/>
      <c r="CZ3492" s="338"/>
      <c r="DA3492" s="338"/>
      <c r="DP3492" s="236"/>
      <c r="DQ3492" s="236"/>
      <c r="DX3492" s="1671"/>
    </row>
    <row r="3493" spans="38:128">
      <c r="AL3493" s="1037"/>
      <c r="BP3493" s="1385"/>
      <c r="BV3493" s="236">
        <v>5.12</v>
      </c>
      <c r="BW3493" s="236" t="s">
        <v>340</v>
      </c>
      <c r="CL3493" s="236">
        <v>276.04000000000002</v>
      </c>
      <c r="CM3493" s="236" t="s">
        <v>342</v>
      </c>
      <c r="CT3493" s="1384"/>
      <c r="CZ3493" s="338"/>
      <c r="DA3493" s="338"/>
      <c r="DP3493" s="236"/>
      <c r="DQ3493" s="236"/>
      <c r="DX3493" s="1671"/>
    </row>
    <row r="3494" spans="38:128">
      <c r="AL3494" s="1037"/>
      <c r="BP3494" s="1385"/>
      <c r="BV3494" s="236">
        <v>5.13</v>
      </c>
      <c r="BW3494" s="236" t="s">
        <v>340</v>
      </c>
      <c r="CL3494" s="236">
        <v>276.05</v>
      </c>
      <c r="CM3494" s="236" t="s">
        <v>342</v>
      </c>
      <c r="CT3494" s="1384"/>
      <c r="CZ3494" s="338"/>
      <c r="DA3494" s="338"/>
      <c r="DP3494" s="236"/>
      <c r="DQ3494" s="236"/>
      <c r="DX3494" s="1671"/>
    </row>
    <row r="3495" spans="38:128">
      <c r="AL3495" s="1037"/>
      <c r="BP3495" s="1385"/>
      <c r="BV3495" s="236">
        <v>6</v>
      </c>
      <c r="BW3495" s="236" t="s">
        <v>340</v>
      </c>
      <c r="CL3495" s="236">
        <v>276.06</v>
      </c>
      <c r="CM3495" s="236" t="s">
        <v>342</v>
      </c>
      <c r="CT3495" s="1384"/>
      <c r="CZ3495" s="338"/>
      <c r="DA3495" s="338"/>
      <c r="DP3495" s="236"/>
      <c r="DQ3495" s="236"/>
      <c r="DX3495" s="1671"/>
    </row>
    <row r="3496" spans="38:128">
      <c r="AL3496" s="1037"/>
      <c r="BP3496" s="1385"/>
      <c r="BV3496" s="236">
        <v>7.02</v>
      </c>
      <c r="BW3496" s="236" t="s">
        <v>340</v>
      </c>
      <c r="CL3496" s="236">
        <v>277.01</v>
      </c>
      <c r="CM3496" s="236" t="s">
        <v>342</v>
      </c>
      <c r="CT3496" s="1384"/>
      <c r="CZ3496" s="338"/>
      <c r="DA3496" s="338"/>
      <c r="DP3496" s="236"/>
      <c r="DQ3496" s="236"/>
      <c r="DX3496" s="1671"/>
    </row>
    <row r="3497" spans="38:128">
      <c r="AL3497" s="1037"/>
      <c r="BP3497" s="1385"/>
      <c r="BV3497" s="236">
        <v>7.03</v>
      </c>
      <c r="BW3497" s="236" t="s">
        <v>340</v>
      </c>
      <c r="CL3497" s="236">
        <v>277.02999999999997</v>
      </c>
      <c r="CM3497" s="236" t="s">
        <v>342</v>
      </c>
      <c r="CT3497" s="1384"/>
      <c r="CZ3497" s="338"/>
      <c r="DA3497" s="338"/>
      <c r="DP3497" s="236"/>
      <c r="DQ3497" s="236"/>
      <c r="DX3497" s="1671"/>
    </row>
    <row r="3498" spans="38:128">
      <c r="AL3498" s="1037"/>
      <c r="BP3498" s="1385"/>
      <c r="BV3498" s="236">
        <v>8.0299999999999994</v>
      </c>
      <c r="BW3498" s="236" t="s">
        <v>340</v>
      </c>
      <c r="CL3498" s="236">
        <v>277.04000000000002</v>
      </c>
      <c r="CM3498" s="236" t="s">
        <v>342</v>
      </c>
      <c r="CT3498" s="1384"/>
      <c r="CZ3498" s="338"/>
      <c r="DA3498" s="338"/>
      <c r="DP3498" s="236"/>
      <c r="DQ3498" s="236"/>
      <c r="DX3498" s="1671"/>
    </row>
    <row r="3499" spans="38:128">
      <c r="AL3499" s="1037"/>
      <c r="BP3499" s="1385"/>
      <c r="BV3499" s="236">
        <v>8.0500000000000007</v>
      </c>
      <c r="BW3499" s="236" t="s">
        <v>340</v>
      </c>
      <c r="CL3499" s="236">
        <v>278.01</v>
      </c>
      <c r="CM3499" s="236" t="s">
        <v>342</v>
      </c>
      <c r="CT3499" s="1384"/>
      <c r="CZ3499" s="338"/>
      <c r="DA3499" s="338"/>
      <c r="DP3499" s="236"/>
      <c r="DQ3499" s="236"/>
      <c r="DX3499" s="1671"/>
    </row>
    <row r="3500" spans="38:128">
      <c r="AL3500" s="1037"/>
      <c r="BP3500" s="1385"/>
      <c r="BV3500" s="236">
        <v>9.02</v>
      </c>
      <c r="BW3500" s="236" t="s">
        <v>340</v>
      </c>
      <c r="CL3500" s="236">
        <v>278.02</v>
      </c>
      <c r="CM3500" s="236" t="s">
        <v>342</v>
      </c>
      <c r="CT3500" s="1384"/>
      <c r="CZ3500" s="338"/>
      <c r="DA3500" s="338"/>
      <c r="DP3500" s="236"/>
      <c r="DQ3500" s="236"/>
      <c r="DX3500" s="1671"/>
    </row>
    <row r="3501" spans="38:128">
      <c r="AL3501" s="1037"/>
      <c r="BP3501" s="1385"/>
      <c r="BV3501" s="236">
        <v>9.0299999999999994</v>
      </c>
      <c r="BW3501" s="236" t="s">
        <v>340</v>
      </c>
      <c r="CL3501" s="236">
        <v>279.01</v>
      </c>
      <c r="CM3501" s="236" t="s">
        <v>342</v>
      </c>
      <c r="CT3501" s="1384"/>
      <c r="CZ3501" s="338"/>
      <c r="DA3501" s="338"/>
      <c r="DP3501" s="236"/>
      <c r="DQ3501" s="236"/>
      <c r="DX3501" s="1671"/>
    </row>
    <row r="3502" spans="38:128">
      <c r="AL3502" s="1037"/>
      <c r="BP3502" s="1385"/>
      <c r="BV3502" s="236">
        <v>9.0399999999999991</v>
      </c>
      <c r="BW3502" s="236" t="s">
        <v>340</v>
      </c>
      <c r="CL3502" s="236">
        <v>279.05</v>
      </c>
      <c r="CM3502" s="236" t="s">
        <v>342</v>
      </c>
      <c r="CT3502" s="1384"/>
      <c r="CZ3502" s="338"/>
      <c r="DA3502" s="338"/>
      <c r="DP3502" s="236"/>
      <c r="DQ3502" s="236"/>
      <c r="DX3502" s="1671"/>
    </row>
    <row r="3503" spans="38:128">
      <c r="AL3503" s="1037"/>
      <c r="BP3503" s="1385"/>
      <c r="BV3503" s="236">
        <v>9.0500000000000007</v>
      </c>
      <c r="BW3503" s="236" t="s">
        <v>340</v>
      </c>
      <c r="CL3503" s="236">
        <v>280.02</v>
      </c>
      <c r="CM3503" s="236" t="s">
        <v>342</v>
      </c>
      <c r="CT3503" s="1384"/>
      <c r="CZ3503" s="338"/>
      <c r="DA3503" s="338"/>
      <c r="DP3503" s="236"/>
      <c r="DQ3503" s="236"/>
      <c r="DX3503" s="1671"/>
    </row>
    <row r="3504" spans="38:128">
      <c r="AL3504" s="1037"/>
      <c r="BP3504" s="1385"/>
      <c r="BV3504" s="236">
        <v>10.02</v>
      </c>
      <c r="BW3504" s="236" t="s">
        <v>340</v>
      </c>
      <c r="CL3504" s="236">
        <v>280.04000000000002</v>
      </c>
      <c r="CM3504" s="236" t="s">
        <v>342</v>
      </c>
      <c r="CT3504" s="1384"/>
      <c r="CZ3504" s="338"/>
      <c r="DA3504" s="338"/>
      <c r="DP3504" s="236"/>
      <c r="DQ3504" s="236"/>
      <c r="DX3504" s="1671"/>
    </row>
    <row r="3505" spans="38:128">
      <c r="AL3505" s="1037"/>
      <c r="BP3505" s="1385"/>
      <c r="BV3505" s="236">
        <v>10.029999999999999</v>
      </c>
      <c r="BW3505" s="236" t="s">
        <v>340</v>
      </c>
      <c r="CL3505" s="236">
        <v>280.05</v>
      </c>
      <c r="CM3505" s="236" t="s">
        <v>342</v>
      </c>
      <c r="CT3505" s="1384"/>
      <c r="CZ3505" s="338"/>
      <c r="DA3505" s="338"/>
      <c r="DP3505" s="236"/>
      <c r="DQ3505" s="236"/>
      <c r="DX3505" s="1671"/>
    </row>
    <row r="3506" spans="38:128">
      <c r="AL3506" s="1037"/>
      <c r="BP3506" s="1385"/>
      <c r="BV3506" s="236">
        <v>10.039999999999999</v>
      </c>
      <c r="BW3506" s="236" t="s">
        <v>340</v>
      </c>
      <c r="CL3506" s="236">
        <v>280.06</v>
      </c>
      <c r="CM3506" s="236" t="s">
        <v>342</v>
      </c>
      <c r="CT3506" s="1384"/>
      <c r="CZ3506" s="338"/>
      <c r="DA3506" s="338"/>
      <c r="DP3506" s="236"/>
      <c r="DQ3506" s="236"/>
      <c r="DX3506" s="1671"/>
    </row>
    <row r="3507" spans="38:128">
      <c r="AL3507" s="1037"/>
      <c r="BP3507" s="1385"/>
      <c r="BV3507" s="236">
        <v>11.01</v>
      </c>
      <c r="BW3507" s="236" t="s">
        <v>340</v>
      </c>
      <c r="CL3507" s="236">
        <v>281.02</v>
      </c>
      <c r="CM3507" s="236" t="s">
        <v>342</v>
      </c>
      <c r="CT3507" s="1384"/>
      <c r="CZ3507" s="338"/>
      <c r="DA3507" s="338"/>
      <c r="DP3507" s="236"/>
      <c r="DQ3507" s="236"/>
      <c r="DX3507" s="1671"/>
    </row>
    <row r="3508" spans="38:128">
      <c r="AL3508" s="1037"/>
      <c r="BP3508" s="1385"/>
      <c r="BV3508" s="236">
        <v>11.02</v>
      </c>
      <c r="BW3508" s="236" t="s">
        <v>340</v>
      </c>
      <c r="CL3508" s="236">
        <v>281.02999999999997</v>
      </c>
      <c r="CM3508" s="236" t="s">
        <v>342</v>
      </c>
      <c r="CT3508" s="1384"/>
      <c r="CZ3508" s="338"/>
      <c r="DA3508" s="338"/>
      <c r="DP3508" s="236"/>
      <c r="DQ3508" s="236"/>
      <c r="DX3508" s="1671"/>
    </row>
    <row r="3509" spans="38:128">
      <c r="AL3509" s="1037"/>
      <c r="BP3509" s="1385"/>
      <c r="BV3509" s="236">
        <v>12</v>
      </c>
      <c r="BW3509" s="236" t="s">
        <v>340</v>
      </c>
      <c r="CL3509" s="236">
        <v>281.04000000000002</v>
      </c>
      <c r="CM3509" s="236" t="s">
        <v>342</v>
      </c>
      <c r="CT3509" s="1384"/>
      <c r="CZ3509" s="338"/>
      <c r="DA3509" s="338"/>
      <c r="DP3509" s="236"/>
      <c r="DQ3509" s="236"/>
      <c r="DX3509" s="1671"/>
    </row>
    <row r="3510" spans="38:128">
      <c r="AL3510" s="1037"/>
      <c r="BP3510" s="1385"/>
      <c r="BV3510" s="236">
        <v>13.01</v>
      </c>
      <c r="BW3510" s="236" t="s">
        <v>340</v>
      </c>
      <c r="CL3510" s="236">
        <v>282</v>
      </c>
      <c r="CM3510" s="236" t="s">
        <v>342</v>
      </c>
      <c r="CT3510" s="1384"/>
      <c r="CZ3510" s="338"/>
      <c r="DA3510" s="338"/>
      <c r="DP3510" s="236"/>
      <c r="DQ3510" s="236"/>
      <c r="DX3510" s="1671"/>
    </row>
    <row r="3511" spans="38:128">
      <c r="AL3511" s="1037"/>
      <c r="BP3511" s="1385"/>
      <c r="BV3511" s="236">
        <v>13.02</v>
      </c>
      <c r="BW3511" s="236" t="s">
        <v>340</v>
      </c>
      <c r="CL3511" s="236">
        <v>283</v>
      </c>
      <c r="CM3511" s="236" t="s">
        <v>342</v>
      </c>
      <c r="CT3511" s="1384"/>
      <c r="CZ3511" s="338"/>
      <c r="DA3511" s="338"/>
      <c r="DP3511" s="236"/>
      <c r="DQ3511" s="236"/>
      <c r="DX3511" s="1671"/>
    </row>
    <row r="3512" spans="38:128">
      <c r="AL3512" s="1037"/>
      <c r="BP3512" s="1385"/>
      <c r="BV3512" s="236">
        <v>14.02</v>
      </c>
      <c r="BW3512" s="236" t="s">
        <v>340</v>
      </c>
      <c r="CL3512" s="236">
        <v>284.02999999999997</v>
      </c>
      <c r="CM3512" s="236" t="s">
        <v>342</v>
      </c>
      <c r="CT3512" s="1384"/>
      <c r="CZ3512" s="338"/>
      <c r="DA3512" s="338"/>
      <c r="DP3512" s="236"/>
      <c r="DQ3512" s="236"/>
      <c r="DX3512" s="1671"/>
    </row>
    <row r="3513" spans="38:128">
      <c r="AL3513" s="1037"/>
      <c r="BP3513" s="1385"/>
      <c r="BV3513" s="236">
        <v>14.03</v>
      </c>
      <c r="BW3513" s="236" t="s">
        <v>340</v>
      </c>
      <c r="CL3513" s="236">
        <v>285</v>
      </c>
      <c r="CM3513" s="236" t="s">
        <v>342</v>
      </c>
      <c r="CT3513" s="1384"/>
      <c r="CZ3513" s="338"/>
      <c r="DA3513" s="338"/>
      <c r="DP3513" s="236"/>
      <c r="DQ3513" s="236"/>
      <c r="DX3513" s="1671"/>
    </row>
    <row r="3514" spans="38:128">
      <c r="AL3514" s="1037"/>
      <c r="BP3514" s="1385"/>
      <c r="BV3514" s="236">
        <v>14.04</v>
      </c>
      <c r="BW3514" s="236" t="s">
        <v>340</v>
      </c>
      <c r="CL3514" s="236">
        <v>286.01</v>
      </c>
      <c r="CM3514" s="236" t="s">
        <v>342</v>
      </c>
      <c r="CT3514" s="1384"/>
      <c r="CZ3514" s="338"/>
      <c r="DA3514" s="338"/>
      <c r="DP3514" s="236"/>
      <c r="DQ3514" s="236"/>
      <c r="DX3514" s="1671"/>
    </row>
    <row r="3515" spans="38:128">
      <c r="AL3515" s="1037"/>
      <c r="BP3515" s="1385"/>
      <c r="BV3515" s="236">
        <v>15</v>
      </c>
      <c r="BW3515" s="236" t="s">
        <v>340</v>
      </c>
      <c r="CL3515" s="236">
        <v>286.02</v>
      </c>
      <c r="CM3515" s="236" t="s">
        <v>342</v>
      </c>
      <c r="CT3515" s="1384"/>
      <c r="CZ3515" s="338"/>
      <c r="DA3515" s="338"/>
      <c r="DP3515" s="236"/>
      <c r="DQ3515" s="236"/>
      <c r="DX3515" s="1671"/>
    </row>
    <row r="3516" spans="38:128">
      <c r="AL3516" s="1037"/>
      <c r="BP3516" s="1385"/>
      <c r="BV3516" s="236">
        <v>16</v>
      </c>
      <c r="BW3516" s="236" t="s">
        <v>340</v>
      </c>
      <c r="CL3516" s="236">
        <v>287</v>
      </c>
      <c r="CM3516" s="236" t="s">
        <v>342</v>
      </c>
      <c r="CT3516" s="1384"/>
      <c r="CZ3516" s="338"/>
      <c r="DA3516" s="338"/>
      <c r="DP3516" s="236"/>
      <c r="DQ3516" s="236"/>
      <c r="DX3516" s="1671"/>
    </row>
    <row r="3517" spans="38:128">
      <c r="AL3517" s="1037"/>
      <c r="BP3517" s="1385"/>
      <c r="BV3517" s="236">
        <v>17</v>
      </c>
      <c r="BW3517" s="236" t="s">
        <v>340</v>
      </c>
      <c r="CL3517" s="338">
        <v>301</v>
      </c>
      <c r="CM3517" s="338" t="s">
        <v>289</v>
      </c>
      <c r="CT3517" s="1384"/>
      <c r="CZ3517" s="338"/>
      <c r="DA3517" s="338"/>
      <c r="DP3517" s="236"/>
      <c r="DQ3517" s="236"/>
      <c r="DX3517" s="1671"/>
    </row>
    <row r="3518" spans="38:128">
      <c r="AL3518" s="1037"/>
      <c r="BP3518" s="1385"/>
      <c r="BV3518" s="236">
        <v>18.010000000000002</v>
      </c>
      <c r="BW3518" s="236" t="s">
        <v>340</v>
      </c>
      <c r="CL3518" s="236">
        <v>301</v>
      </c>
      <c r="CM3518" s="236" t="s">
        <v>323</v>
      </c>
      <c r="CT3518" s="1384"/>
      <c r="CZ3518" s="338"/>
      <c r="DA3518" s="338"/>
      <c r="DP3518" s="236"/>
      <c r="DQ3518" s="236"/>
      <c r="DX3518" s="1671"/>
    </row>
    <row r="3519" spans="38:128">
      <c r="AL3519" s="1037"/>
      <c r="BP3519" s="1385"/>
      <c r="BV3519" s="236">
        <v>18.02</v>
      </c>
      <c r="BW3519" s="236" t="s">
        <v>340</v>
      </c>
      <c r="CL3519" s="338">
        <v>301.01</v>
      </c>
      <c r="CM3519" s="338" t="s">
        <v>294</v>
      </c>
      <c r="CT3519" s="1384"/>
      <c r="CZ3519" s="338"/>
      <c r="DA3519" s="338"/>
      <c r="DP3519" s="236"/>
      <c r="DQ3519" s="236"/>
      <c r="DX3519" s="1671"/>
    </row>
    <row r="3520" spans="38:128">
      <c r="AL3520" s="1037"/>
      <c r="BP3520" s="1385"/>
      <c r="BV3520" s="236">
        <v>19.04</v>
      </c>
      <c r="BW3520" s="236" t="s">
        <v>340</v>
      </c>
      <c r="CL3520" s="236">
        <v>301.01</v>
      </c>
      <c r="CM3520" s="236" t="s">
        <v>341</v>
      </c>
      <c r="CT3520" s="1384"/>
      <c r="CZ3520" s="338"/>
      <c r="DA3520" s="338"/>
      <c r="DP3520" s="236"/>
      <c r="DQ3520" s="236"/>
      <c r="DX3520" s="1671"/>
    </row>
    <row r="3521" spans="38:128">
      <c r="AL3521" s="1037"/>
      <c r="BP3521" s="1385"/>
      <c r="BV3521" s="236">
        <v>19.07</v>
      </c>
      <c r="BW3521" s="236" t="s">
        <v>340</v>
      </c>
      <c r="CL3521" s="338">
        <v>301.02</v>
      </c>
      <c r="CM3521" s="338" t="s">
        <v>294</v>
      </c>
      <c r="CT3521" s="1384"/>
      <c r="CZ3521" s="338"/>
      <c r="DA3521" s="338"/>
      <c r="DP3521" s="236"/>
      <c r="DQ3521" s="236"/>
      <c r="DX3521" s="1671"/>
    </row>
    <row r="3522" spans="38:128">
      <c r="AL3522" s="1037"/>
      <c r="BP3522" s="1385"/>
      <c r="BV3522" s="236">
        <v>19.09</v>
      </c>
      <c r="BW3522" s="236" t="s">
        <v>340</v>
      </c>
      <c r="CL3522" s="236">
        <v>301.02</v>
      </c>
      <c r="CM3522" s="236" t="s">
        <v>322</v>
      </c>
      <c r="CT3522" s="1384"/>
      <c r="CZ3522" s="338"/>
      <c r="DA3522" s="338"/>
      <c r="DP3522" s="236"/>
      <c r="DQ3522" s="236"/>
      <c r="DX3522" s="1671"/>
    </row>
    <row r="3523" spans="38:128">
      <c r="AL3523" s="1037"/>
      <c r="BP3523" s="1385"/>
      <c r="BV3523" s="236">
        <v>19.100000000000001</v>
      </c>
      <c r="BW3523" s="236" t="s">
        <v>340</v>
      </c>
      <c r="CL3523" s="236">
        <v>301.02</v>
      </c>
      <c r="CM3523" s="236" t="s">
        <v>341</v>
      </c>
      <c r="CT3523" s="1384"/>
      <c r="CZ3523" s="338"/>
      <c r="DA3523" s="338"/>
      <c r="DP3523" s="236"/>
      <c r="DQ3523" s="236"/>
      <c r="DX3523" s="1671"/>
    </row>
    <row r="3524" spans="38:128">
      <c r="AL3524" s="1037"/>
      <c r="BP3524" s="1385"/>
      <c r="BV3524" s="236">
        <v>19.11</v>
      </c>
      <c r="BW3524" s="236" t="s">
        <v>340</v>
      </c>
      <c r="CL3524" s="338">
        <v>301.02999999999997</v>
      </c>
      <c r="CM3524" s="338" t="s">
        <v>296</v>
      </c>
      <c r="CT3524" s="1384"/>
      <c r="CZ3524" s="338"/>
      <c r="DA3524" s="338"/>
      <c r="DP3524" s="236"/>
      <c r="DQ3524" s="236"/>
      <c r="DX3524" s="1671"/>
    </row>
    <row r="3525" spans="38:128">
      <c r="AL3525" s="1037"/>
      <c r="BP3525" s="1385"/>
      <c r="BV3525" s="236">
        <v>19.12</v>
      </c>
      <c r="BW3525" s="236" t="s">
        <v>340</v>
      </c>
      <c r="CL3525" s="338">
        <v>301.04000000000002</v>
      </c>
      <c r="CM3525" s="338" t="s">
        <v>296</v>
      </c>
      <c r="CT3525" s="1384"/>
      <c r="CZ3525" s="338"/>
      <c r="DA3525" s="338"/>
      <c r="DP3525" s="236"/>
      <c r="DQ3525" s="236"/>
      <c r="DX3525" s="1671"/>
    </row>
    <row r="3526" spans="38:128">
      <c r="AL3526" s="1037"/>
      <c r="BP3526" s="1385"/>
      <c r="BV3526" s="236">
        <v>19.13</v>
      </c>
      <c r="BW3526" s="236" t="s">
        <v>340</v>
      </c>
      <c r="CL3526" s="236">
        <v>301.04000000000002</v>
      </c>
      <c r="CM3526" s="236" t="s">
        <v>322</v>
      </c>
      <c r="CT3526" s="1384"/>
      <c r="CZ3526" s="338"/>
      <c r="DA3526" s="338"/>
      <c r="DP3526" s="236"/>
      <c r="DQ3526" s="236"/>
      <c r="DX3526" s="1671"/>
    </row>
    <row r="3527" spans="38:128">
      <c r="AL3527" s="1037"/>
      <c r="BP3527" s="1385"/>
      <c r="BV3527" s="236">
        <v>19.16</v>
      </c>
      <c r="BW3527" s="236" t="s">
        <v>340</v>
      </c>
      <c r="CL3527" s="338">
        <v>301.05</v>
      </c>
      <c r="CM3527" s="338" t="s">
        <v>296</v>
      </c>
      <c r="CT3527" s="1384"/>
      <c r="CZ3527" s="338"/>
      <c r="DA3527" s="338"/>
      <c r="DP3527" s="236"/>
      <c r="DQ3527" s="236"/>
      <c r="DX3527" s="1671"/>
    </row>
    <row r="3528" spans="38:128">
      <c r="AL3528" s="1037"/>
      <c r="BP3528" s="1385"/>
      <c r="BV3528" s="236">
        <v>19.170000000000002</v>
      </c>
      <c r="BW3528" s="236" t="s">
        <v>340</v>
      </c>
      <c r="CL3528" s="338">
        <v>301.06</v>
      </c>
      <c r="CM3528" s="338" t="s">
        <v>296</v>
      </c>
      <c r="CT3528" s="1384"/>
      <c r="CZ3528" s="338"/>
      <c r="DA3528" s="338"/>
      <c r="DP3528" s="236"/>
      <c r="DQ3528" s="236"/>
      <c r="DX3528" s="1671"/>
    </row>
    <row r="3529" spans="38:128">
      <c r="AL3529" s="1037"/>
      <c r="BP3529" s="1385"/>
      <c r="BV3529" s="236">
        <v>19.18</v>
      </c>
      <c r="BW3529" s="236" t="s">
        <v>340</v>
      </c>
      <c r="CL3529" s="236">
        <v>301.06</v>
      </c>
      <c r="CM3529" s="236" t="s">
        <v>322</v>
      </c>
      <c r="CT3529" s="1384"/>
      <c r="CZ3529" s="338"/>
      <c r="DA3529" s="338"/>
      <c r="DP3529" s="236"/>
      <c r="DQ3529" s="236"/>
      <c r="DX3529" s="1671"/>
    </row>
    <row r="3530" spans="38:128">
      <c r="AL3530" s="1037"/>
      <c r="BP3530" s="1385"/>
      <c r="BV3530" s="236">
        <v>19.190000000000001</v>
      </c>
      <c r="BW3530" s="236" t="s">
        <v>340</v>
      </c>
      <c r="CL3530" s="236">
        <v>301.08</v>
      </c>
      <c r="CM3530" s="236" t="s">
        <v>322</v>
      </c>
      <c r="CT3530" s="1384"/>
      <c r="CZ3530" s="338"/>
      <c r="DA3530" s="338"/>
      <c r="DP3530" s="236"/>
      <c r="DQ3530" s="236"/>
      <c r="DX3530" s="1671"/>
    </row>
    <row r="3531" spans="38:128">
      <c r="AL3531" s="1037"/>
      <c r="BP3531" s="1385"/>
      <c r="BV3531" s="236">
        <v>19.2</v>
      </c>
      <c r="BW3531" s="236" t="s">
        <v>340</v>
      </c>
      <c r="CL3531" s="236">
        <v>301.08999999999997</v>
      </c>
      <c r="CM3531" s="236" t="s">
        <v>322</v>
      </c>
      <c r="CT3531" s="1384"/>
      <c r="CZ3531" s="338"/>
      <c r="DA3531" s="338"/>
      <c r="DP3531" s="236"/>
      <c r="DQ3531" s="236"/>
      <c r="DX3531" s="1671"/>
    </row>
    <row r="3532" spans="38:128">
      <c r="AL3532" s="1037"/>
      <c r="BP3532" s="1385"/>
      <c r="BV3532" s="236">
        <v>19.21</v>
      </c>
      <c r="BW3532" s="236" t="s">
        <v>340</v>
      </c>
      <c r="CL3532" s="236">
        <v>301.10000000000002</v>
      </c>
      <c r="CM3532" s="236" t="s">
        <v>322</v>
      </c>
      <c r="CT3532" s="1384"/>
      <c r="CZ3532" s="338"/>
      <c r="DA3532" s="338"/>
      <c r="DP3532" s="236"/>
      <c r="DQ3532" s="236"/>
      <c r="DX3532" s="1671"/>
    </row>
    <row r="3533" spans="38:128">
      <c r="AL3533" s="1037"/>
      <c r="BP3533" s="1385"/>
      <c r="BV3533" s="236">
        <v>20.05</v>
      </c>
      <c r="BW3533" s="236" t="s">
        <v>340</v>
      </c>
      <c r="CL3533" s="236">
        <v>301.11</v>
      </c>
      <c r="CM3533" s="236" t="s">
        <v>322</v>
      </c>
      <c r="CT3533" s="1384"/>
      <c r="CZ3533" s="338"/>
      <c r="DA3533" s="338"/>
      <c r="DP3533" s="236"/>
      <c r="DQ3533" s="236"/>
      <c r="DX3533" s="1671"/>
    </row>
    <row r="3534" spans="38:128">
      <c r="AL3534" s="1037"/>
      <c r="BP3534" s="1385"/>
      <c r="BV3534" s="236">
        <v>20.059999999999999</v>
      </c>
      <c r="BW3534" s="236" t="s">
        <v>340</v>
      </c>
      <c r="CL3534" s="236">
        <v>301.12</v>
      </c>
      <c r="CM3534" s="236" t="s">
        <v>322</v>
      </c>
      <c r="CT3534" s="1384"/>
      <c r="CZ3534" s="338"/>
      <c r="DA3534" s="338"/>
      <c r="DP3534" s="236"/>
      <c r="DQ3534" s="236"/>
      <c r="DX3534" s="1671"/>
    </row>
    <row r="3535" spans="38:128">
      <c r="AL3535" s="1037"/>
      <c r="BP3535" s="1385"/>
      <c r="BV3535" s="236">
        <v>21</v>
      </c>
      <c r="BW3535" s="236" t="s">
        <v>340</v>
      </c>
      <c r="CL3535" s="338">
        <v>302.01</v>
      </c>
      <c r="CM3535" s="338" t="s">
        <v>289</v>
      </c>
      <c r="CT3535" s="1384"/>
      <c r="CZ3535" s="338"/>
      <c r="DA3535" s="338"/>
      <c r="DP3535" s="236"/>
      <c r="DQ3535" s="236"/>
      <c r="DX3535" s="1671"/>
    </row>
    <row r="3536" spans="38:128">
      <c r="AL3536" s="1037"/>
      <c r="BP3536" s="1385"/>
      <c r="BV3536" s="236">
        <v>22</v>
      </c>
      <c r="BW3536" s="236" t="s">
        <v>340</v>
      </c>
      <c r="CL3536" s="338">
        <v>302.01</v>
      </c>
      <c r="CM3536" s="338" t="s">
        <v>294</v>
      </c>
      <c r="CT3536" s="1384"/>
      <c r="CZ3536" s="338"/>
      <c r="DA3536" s="338"/>
      <c r="DP3536" s="236"/>
      <c r="DQ3536" s="236"/>
      <c r="DX3536" s="1671"/>
    </row>
    <row r="3537" spans="38:128">
      <c r="AL3537" s="1037"/>
      <c r="BP3537" s="1385"/>
      <c r="BV3537" s="236">
        <v>23</v>
      </c>
      <c r="BW3537" s="236" t="s">
        <v>340</v>
      </c>
      <c r="CL3537" s="236">
        <v>302.01</v>
      </c>
      <c r="CM3537" s="236" t="s">
        <v>323</v>
      </c>
      <c r="CT3537" s="1384"/>
      <c r="CZ3537" s="338"/>
      <c r="DA3537" s="338"/>
      <c r="DP3537" s="236"/>
      <c r="DQ3537" s="236"/>
      <c r="DX3537" s="1671"/>
    </row>
    <row r="3538" spans="38:128">
      <c r="AL3538" s="1037"/>
      <c r="BP3538" s="1385"/>
      <c r="BV3538" s="236">
        <v>24</v>
      </c>
      <c r="BW3538" s="236" t="s">
        <v>340</v>
      </c>
      <c r="CL3538" s="338">
        <v>302.02</v>
      </c>
      <c r="CM3538" s="338" t="s">
        <v>289</v>
      </c>
      <c r="CT3538" s="1384"/>
      <c r="CZ3538" s="338"/>
      <c r="DA3538" s="338"/>
      <c r="DP3538" s="236"/>
      <c r="DQ3538" s="236"/>
      <c r="DX3538" s="1671"/>
    </row>
    <row r="3539" spans="38:128">
      <c r="AL3539" s="1037"/>
      <c r="BP3539" s="1385"/>
      <c r="BV3539" s="236">
        <v>26</v>
      </c>
      <c r="BW3539" s="236" t="s">
        <v>340</v>
      </c>
      <c r="CL3539" s="338">
        <v>302.02</v>
      </c>
      <c r="CM3539" s="338" t="s">
        <v>294</v>
      </c>
      <c r="CT3539" s="1384"/>
      <c r="CZ3539" s="338"/>
      <c r="DA3539" s="338"/>
      <c r="DP3539" s="236"/>
      <c r="DQ3539" s="236"/>
      <c r="DX3539" s="1671"/>
    </row>
    <row r="3540" spans="38:128">
      <c r="AL3540" s="1037"/>
      <c r="BP3540" s="1385"/>
      <c r="BV3540" s="236">
        <v>27.01</v>
      </c>
      <c r="BW3540" s="236" t="s">
        <v>340</v>
      </c>
      <c r="CL3540" s="236">
        <v>302.02</v>
      </c>
      <c r="CM3540" s="236" t="s">
        <v>323</v>
      </c>
      <c r="CT3540" s="1384"/>
      <c r="CZ3540" s="338"/>
      <c r="DA3540" s="338"/>
      <c r="DP3540" s="236"/>
      <c r="DQ3540" s="236"/>
      <c r="DX3540" s="1671"/>
    </row>
    <row r="3541" spans="38:128">
      <c r="AL3541" s="1037"/>
      <c r="BP3541" s="1385"/>
      <c r="BV3541" s="236">
        <v>27.02</v>
      </c>
      <c r="BW3541" s="236" t="s">
        <v>340</v>
      </c>
      <c r="CL3541" s="236">
        <v>302.02</v>
      </c>
      <c r="CM3541" s="236" t="s">
        <v>341</v>
      </c>
      <c r="CT3541" s="1384"/>
      <c r="CZ3541" s="338"/>
      <c r="DA3541" s="338"/>
      <c r="DP3541" s="236"/>
      <c r="DQ3541" s="236"/>
      <c r="DX3541" s="1671"/>
    </row>
    <row r="3542" spans="38:128">
      <c r="AL3542" s="1037"/>
      <c r="BP3542" s="1385"/>
      <c r="BV3542" s="236">
        <v>27.03</v>
      </c>
      <c r="BW3542" s="236" t="s">
        <v>340</v>
      </c>
      <c r="CL3542" s="338">
        <v>302.02999999999997</v>
      </c>
      <c r="CM3542" s="338" t="s">
        <v>289</v>
      </c>
      <c r="CT3542" s="1384"/>
      <c r="CZ3542" s="338"/>
      <c r="DA3542" s="338"/>
      <c r="DP3542" s="236"/>
      <c r="DQ3542" s="236"/>
      <c r="DX3542" s="1671"/>
    </row>
    <row r="3543" spans="38:128">
      <c r="AL3543" s="1037"/>
      <c r="BP3543" s="1385"/>
      <c r="BV3543" s="236">
        <v>28</v>
      </c>
      <c r="BW3543" s="236" t="s">
        <v>340</v>
      </c>
      <c r="CL3543" s="236">
        <v>302.02999999999997</v>
      </c>
      <c r="CM3543" s="236" t="s">
        <v>322</v>
      </c>
      <c r="CT3543" s="1384"/>
      <c r="CZ3543" s="338"/>
      <c r="DA3543" s="338"/>
      <c r="DP3543" s="236"/>
      <c r="DQ3543" s="236"/>
      <c r="DX3543" s="1671"/>
    </row>
    <row r="3544" spans="38:128">
      <c r="AL3544" s="1037"/>
      <c r="BP3544" s="1385"/>
      <c r="BV3544" s="236">
        <v>29</v>
      </c>
      <c r="BW3544" s="236" t="s">
        <v>340</v>
      </c>
      <c r="CL3544" s="236">
        <v>302.02999999999997</v>
      </c>
      <c r="CM3544" s="236" t="s">
        <v>341</v>
      </c>
      <c r="CT3544" s="1384"/>
      <c r="CZ3544" s="338"/>
      <c r="DA3544" s="338"/>
      <c r="DP3544" s="236"/>
      <c r="DQ3544" s="236"/>
      <c r="DX3544" s="1671"/>
    </row>
    <row r="3545" spans="38:128">
      <c r="AL3545" s="1037"/>
      <c r="BP3545" s="1385"/>
      <c r="BV3545" s="236">
        <v>30</v>
      </c>
      <c r="BW3545" s="236" t="s">
        <v>340</v>
      </c>
      <c r="CL3545" s="338">
        <v>302.04000000000002</v>
      </c>
      <c r="CM3545" s="338" t="s">
        <v>296</v>
      </c>
      <c r="CT3545" s="1384"/>
      <c r="CZ3545" s="338"/>
      <c r="DA3545" s="338"/>
      <c r="DP3545" s="236"/>
      <c r="DQ3545" s="236"/>
      <c r="DX3545" s="1671"/>
    </row>
    <row r="3546" spans="38:128">
      <c r="AL3546" s="1037"/>
      <c r="BP3546" s="1385"/>
      <c r="BV3546" s="236">
        <v>31.01</v>
      </c>
      <c r="BW3546" s="236" t="s">
        <v>340</v>
      </c>
      <c r="CL3546" s="236">
        <v>302.04000000000002</v>
      </c>
      <c r="CM3546" s="236" t="s">
        <v>322</v>
      </c>
      <c r="CT3546" s="1384"/>
      <c r="CZ3546" s="338"/>
      <c r="DA3546" s="338"/>
      <c r="DP3546" s="236"/>
      <c r="DQ3546" s="236"/>
      <c r="DX3546" s="1671"/>
    </row>
    <row r="3547" spans="38:128">
      <c r="AL3547" s="1037"/>
      <c r="BP3547" s="1385"/>
      <c r="BV3547" s="236">
        <v>31.02</v>
      </c>
      <c r="BW3547" s="236" t="s">
        <v>340</v>
      </c>
      <c r="CL3547" s="236">
        <v>302.04000000000002</v>
      </c>
      <c r="CM3547" s="236" t="s">
        <v>341</v>
      </c>
      <c r="CT3547" s="1384"/>
      <c r="CZ3547" s="338"/>
      <c r="DA3547" s="338"/>
      <c r="DP3547" s="236"/>
      <c r="DQ3547" s="236"/>
      <c r="DX3547" s="1671"/>
    </row>
    <row r="3548" spans="38:128">
      <c r="AL3548" s="1037"/>
      <c r="BP3548" s="1385"/>
      <c r="BV3548" s="236">
        <v>32.01</v>
      </c>
      <c r="BW3548" s="236" t="s">
        <v>340</v>
      </c>
      <c r="CL3548" s="338">
        <v>302.05</v>
      </c>
      <c r="CM3548" s="338" t="s">
        <v>296</v>
      </c>
      <c r="CT3548" s="1384"/>
      <c r="CZ3548" s="338"/>
      <c r="DA3548" s="338"/>
      <c r="DP3548" s="236"/>
      <c r="DQ3548" s="236"/>
      <c r="DX3548" s="1671"/>
    </row>
    <row r="3549" spans="38:128">
      <c r="AL3549" s="1037"/>
      <c r="BP3549" s="1385"/>
      <c r="BV3549" s="236">
        <v>32.020000000000003</v>
      </c>
      <c r="BW3549" s="236" t="s">
        <v>340</v>
      </c>
      <c r="CL3549" s="236">
        <v>302.05</v>
      </c>
      <c r="CM3549" s="236" t="s">
        <v>323</v>
      </c>
      <c r="CT3549" s="1384"/>
      <c r="CZ3549" s="338"/>
      <c r="DA3549" s="338"/>
      <c r="DP3549" s="236"/>
      <c r="DQ3549" s="236"/>
      <c r="DX3549" s="1671"/>
    </row>
    <row r="3550" spans="38:128">
      <c r="AL3550" s="1037"/>
      <c r="BP3550" s="1385"/>
      <c r="BV3550" s="236">
        <v>33</v>
      </c>
      <c r="BW3550" s="236" t="s">
        <v>340</v>
      </c>
      <c r="CL3550" s="236">
        <v>302.05</v>
      </c>
      <c r="CM3550" s="236" t="s">
        <v>341</v>
      </c>
      <c r="CT3550" s="1384"/>
      <c r="CZ3550" s="338"/>
      <c r="DA3550" s="338"/>
      <c r="DP3550" s="236"/>
      <c r="DQ3550" s="236"/>
      <c r="DX3550" s="1671"/>
    </row>
    <row r="3551" spans="38:128">
      <c r="AL3551" s="1037"/>
      <c r="BP3551" s="1385"/>
      <c r="BV3551" s="236">
        <v>34</v>
      </c>
      <c r="BW3551" s="236" t="s">
        <v>340</v>
      </c>
      <c r="CL3551" s="338">
        <v>302.06</v>
      </c>
      <c r="CM3551" s="338" t="s">
        <v>296</v>
      </c>
      <c r="CT3551" s="1384"/>
      <c r="CZ3551" s="338"/>
      <c r="DA3551" s="338"/>
      <c r="DP3551" s="236"/>
      <c r="DQ3551" s="236"/>
      <c r="DX3551" s="1671"/>
    </row>
    <row r="3552" spans="38:128">
      <c r="AL3552" s="1037"/>
      <c r="BP3552" s="1385"/>
      <c r="BV3552" s="236">
        <v>35.07</v>
      </c>
      <c r="BW3552" s="236" t="s">
        <v>340</v>
      </c>
      <c r="CL3552" s="236">
        <v>302.06</v>
      </c>
      <c r="CM3552" s="236" t="s">
        <v>322</v>
      </c>
      <c r="CT3552" s="1384"/>
      <c r="CZ3552" s="338"/>
      <c r="DA3552" s="338"/>
      <c r="DP3552" s="236"/>
      <c r="DQ3552" s="236"/>
      <c r="DX3552" s="1671"/>
    </row>
    <row r="3553" spans="38:128">
      <c r="AL3553" s="1037"/>
      <c r="BP3553" s="1385"/>
      <c r="BV3553" s="236">
        <v>35.119999999999997</v>
      </c>
      <c r="BW3553" s="236" t="s">
        <v>340</v>
      </c>
      <c r="CL3553" s="338">
        <v>302.07</v>
      </c>
      <c r="CM3553" s="338" t="s">
        <v>296</v>
      </c>
      <c r="CT3553" s="1384"/>
      <c r="CZ3553" s="338"/>
      <c r="DA3553" s="338"/>
      <c r="DP3553" s="236"/>
      <c r="DQ3553" s="236"/>
      <c r="DX3553" s="1671"/>
    </row>
    <row r="3554" spans="38:128">
      <c r="AL3554" s="1037"/>
      <c r="BP3554" s="1385"/>
      <c r="BV3554" s="236">
        <v>35.130000000000003</v>
      </c>
      <c r="BW3554" s="236" t="s">
        <v>340</v>
      </c>
      <c r="CL3554" s="338">
        <v>302.08</v>
      </c>
      <c r="CM3554" s="338" t="s">
        <v>296</v>
      </c>
      <c r="CT3554" s="1384"/>
      <c r="CZ3554" s="338"/>
      <c r="DA3554" s="338"/>
      <c r="DP3554" s="236"/>
      <c r="DQ3554" s="236"/>
      <c r="DX3554" s="1671"/>
    </row>
    <row r="3555" spans="38:128">
      <c r="AL3555" s="1037"/>
      <c r="BP3555" s="1385"/>
      <c r="BV3555" s="236">
        <v>35.14</v>
      </c>
      <c r="BW3555" s="236" t="s">
        <v>340</v>
      </c>
      <c r="CL3555" s="236">
        <v>302.08</v>
      </c>
      <c r="CM3555" s="236" t="s">
        <v>322</v>
      </c>
      <c r="CT3555" s="1384"/>
      <c r="CZ3555" s="338"/>
      <c r="DA3555" s="338"/>
      <c r="DP3555" s="236"/>
      <c r="DQ3555" s="236"/>
      <c r="DX3555" s="1671"/>
    </row>
    <row r="3556" spans="38:128">
      <c r="AL3556" s="1037"/>
      <c r="BP3556" s="1385"/>
      <c r="BV3556" s="236">
        <v>36</v>
      </c>
      <c r="BW3556" s="236" t="s">
        <v>340</v>
      </c>
      <c r="CL3556" s="338">
        <v>302.08999999999997</v>
      </c>
      <c r="CM3556" s="338" t="s">
        <v>296</v>
      </c>
      <c r="CT3556" s="1384"/>
      <c r="CZ3556" s="338"/>
      <c r="DA3556" s="338"/>
      <c r="DP3556" s="236"/>
      <c r="DQ3556" s="236"/>
      <c r="DX3556" s="1671"/>
    </row>
    <row r="3557" spans="38:128">
      <c r="AL3557" s="1037"/>
      <c r="BP3557" s="1385"/>
      <c r="BV3557" s="236">
        <v>37</v>
      </c>
      <c r="BW3557" s="236" t="s">
        <v>340</v>
      </c>
      <c r="CL3557" s="236">
        <v>302.08999999999997</v>
      </c>
      <c r="CM3557" s="236" t="s">
        <v>322</v>
      </c>
      <c r="CT3557" s="1384"/>
      <c r="CZ3557" s="338"/>
      <c r="DA3557" s="338"/>
      <c r="DP3557" s="236"/>
      <c r="DQ3557" s="236"/>
      <c r="DX3557" s="1671"/>
    </row>
    <row r="3558" spans="38:128">
      <c r="AL3558" s="1037"/>
      <c r="BP3558" s="1385"/>
      <c r="BV3558" s="236">
        <v>38.01</v>
      </c>
      <c r="BW3558" s="236" t="s">
        <v>340</v>
      </c>
      <c r="CL3558" s="338">
        <v>302.10000000000002</v>
      </c>
      <c r="CM3558" s="338" t="s">
        <v>296</v>
      </c>
      <c r="CT3558" s="1384"/>
      <c r="CZ3558" s="338"/>
      <c r="DA3558" s="338"/>
      <c r="DP3558" s="236"/>
      <c r="DQ3558" s="236"/>
      <c r="DX3558" s="1671"/>
    </row>
    <row r="3559" spans="38:128">
      <c r="AL3559" s="1037"/>
      <c r="BP3559" s="1385"/>
      <c r="BV3559" s="236">
        <v>38.020000000000003</v>
      </c>
      <c r="BW3559" s="236" t="s">
        <v>340</v>
      </c>
      <c r="CL3559" s="236">
        <v>302.10000000000002</v>
      </c>
      <c r="CM3559" s="236" t="s">
        <v>322</v>
      </c>
      <c r="CT3559" s="1384"/>
      <c r="CZ3559" s="338"/>
      <c r="DA3559" s="338"/>
      <c r="DP3559" s="236"/>
      <c r="DQ3559" s="236"/>
      <c r="DX3559" s="1671"/>
    </row>
    <row r="3560" spans="38:128">
      <c r="AL3560" s="1037"/>
      <c r="BP3560" s="1385"/>
      <c r="BV3560" s="236">
        <v>39.01</v>
      </c>
      <c r="BW3560" s="236" t="s">
        <v>340</v>
      </c>
      <c r="CL3560" s="236">
        <v>302.11</v>
      </c>
      <c r="CM3560" s="236" t="s">
        <v>322</v>
      </c>
      <c r="CT3560" s="1384"/>
      <c r="CZ3560" s="338"/>
      <c r="DA3560" s="338"/>
      <c r="DP3560" s="236"/>
      <c r="DQ3560" s="236"/>
      <c r="DX3560" s="1671"/>
    </row>
    <row r="3561" spans="38:128">
      <c r="AL3561" s="1037"/>
      <c r="BP3561" s="1385"/>
      <c r="BV3561" s="236">
        <v>39.020000000000003</v>
      </c>
      <c r="BW3561" s="236" t="s">
        <v>340</v>
      </c>
      <c r="CL3561" s="236">
        <v>303</v>
      </c>
      <c r="CM3561" s="236" t="s">
        <v>323</v>
      </c>
      <c r="CT3561" s="1384"/>
      <c r="CZ3561" s="338"/>
      <c r="DA3561" s="338"/>
      <c r="DP3561" s="236"/>
      <c r="DQ3561" s="236"/>
      <c r="DX3561" s="1671"/>
    </row>
    <row r="3562" spans="38:128">
      <c r="AL3562" s="1037"/>
      <c r="BP3562" s="1385"/>
      <c r="BV3562" s="236">
        <v>40.049999999999997</v>
      </c>
      <c r="BW3562" s="236" t="s">
        <v>340</v>
      </c>
      <c r="CL3562" s="338">
        <v>303.01</v>
      </c>
      <c r="CM3562" s="338" t="s">
        <v>289</v>
      </c>
      <c r="CT3562" s="1384"/>
      <c r="CZ3562" s="338"/>
      <c r="DA3562" s="338"/>
      <c r="DP3562" s="236"/>
      <c r="DQ3562" s="236"/>
      <c r="DX3562" s="1671"/>
    </row>
    <row r="3563" spans="38:128">
      <c r="AL3563" s="1037"/>
      <c r="BP3563" s="1385"/>
      <c r="BV3563" s="236">
        <v>40.07</v>
      </c>
      <c r="BW3563" s="236" t="s">
        <v>340</v>
      </c>
      <c r="CL3563" s="338">
        <v>303.01</v>
      </c>
      <c r="CM3563" s="338" t="s">
        <v>294</v>
      </c>
      <c r="CT3563" s="1384"/>
      <c r="CZ3563" s="338"/>
      <c r="DA3563" s="338"/>
      <c r="DP3563" s="236"/>
      <c r="DQ3563" s="236"/>
      <c r="DX3563" s="1671"/>
    </row>
    <row r="3564" spans="38:128">
      <c r="AL3564" s="1037"/>
      <c r="BP3564" s="1385"/>
      <c r="BV3564" s="236">
        <v>40.08</v>
      </c>
      <c r="BW3564" s="236" t="s">
        <v>340</v>
      </c>
      <c r="CL3564" s="338">
        <v>303.02</v>
      </c>
      <c r="CM3564" s="338" t="s">
        <v>289</v>
      </c>
      <c r="CT3564" s="1384"/>
      <c r="CZ3564" s="338"/>
      <c r="DA3564" s="338"/>
      <c r="DP3564" s="236"/>
      <c r="DQ3564" s="236"/>
      <c r="DX3564" s="1671"/>
    </row>
    <row r="3565" spans="38:128">
      <c r="AL3565" s="1037"/>
      <c r="BP3565" s="1385"/>
      <c r="BV3565" s="236">
        <v>40.090000000000003</v>
      </c>
      <c r="BW3565" s="236" t="s">
        <v>340</v>
      </c>
      <c r="CL3565" s="338">
        <v>303.02</v>
      </c>
      <c r="CM3565" s="338" t="s">
        <v>294</v>
      </c>
      <c r="CT3565" s="1384"/>
      <c r="CZ3565" s="338"/>
      <c r="DA3565" s="338"/>
      <c r="DP3565" s="236"/>
      <c r="DQ3565" s="236"/>
      <c r="DX3565" s="1671"/>
    </row>
    <row r="3566" spans="38:128">
      <c r="AL3566" s="1037"/>
      <c r="BP3566" s="1385"/>
      <c r="BV3566" s="236">
        <v>40.1</v>
      </c>
      <c r="BW3566" s="236" t="s">
        <v>340</v>
      </c>
      <c r="CL3566" s="236">
        <v>303.02</v>
      </c>
      <c r="CM3566" s="236" t="s">
        <v>322</v>
      </c>
      <c r="CT3566" s="1384"/>
      <c r="CZ3566" s="338"/>
      <c r="DA3566" s="338"/>
      <c r="DP3566" s="236"/>
      <c r="DQ3566" s="236"/>
      <c r="DX3566" s="1671"/>
    </row>
    <row r="3567" spans="38:128">
      <c r="AL3567" s="1037"/>
      <c r="BP3567" s="1385"/>
      <c r="BV3567" s="236">
        <v>40.11</v>
      </c>
      <c r="BW3567" s="236" t="s">
        <v>340</v>
      </c>
      <c r="CL3567" s="338">
        <v>303.02999999999997</v>
      </c>
      <c r="CM3567" s="338" t="s">
        <v>296</v>
      </c>
      <c r="CT3567" s="1384"/>
      <c r="CZ3567" s="338"/>
      <c r="DA3567" s="338"/>
      <c r="DP3567" s="236"/>
      <c r="DQ3567" s="236"/>
      <c r="DX3567" s="1671"/>
    </row>
    <row r="3568" spans="38:128">
      <c r="AL3568" s="1037"/>
      <c r="BP3568" s="1385"/>
      <c r="BV3568" s="236">
        <v>40.119999999999997</v>
      </c>
      <c r="BW3568" s="236" t="s">
        <v>340</v>
      </c>
      <c r="CL3568" s="236">
        <v>303.02999999999997</v>
      </c>
      <c r="CM3568" s="236" t="s">
        <v>341</v>
      </c>
      <c r="CT3568" s="1384"/>
      <c r="CZ3568" s="338"/>
      <c r="DA3568" s="338"/>
      <c r="DP3568" s="236"/>
      <c r="DQ3568" s="236"/>
      <c r="DX3568" s="1671"/>
    </row>
    <row r="3569" spans="38:128">
      <c r="AL3569" s="1037"/>
      <c r="BP3569" s="1385"/>
      <c r="BV3569" s="236">
        <v>40.130000000000003</v>
      </c>
      <c r="BW3569" s="236" t="s">
        <v>340</v>
      </c>
      <c r="CL3569" s="338">
        <v>303.04000000000002</v>
      </c>
      <c r="CM3569" s="338" t="s">
        <v>296</v>
      </c>
      <c r="CT3569" s="1384"/>
      <c r="CZ3569" s="338"/>
      <c r="DA3569" s="338"/>
      <c r="DP3569" s="236"/>
      <c r="DQ3569" s="236"/>
      <c r="DX3569" s="1671"/>
    </row>
    <row r="3570" spans="38:128">
      <c r="AL3570" s="1037"/>
      <c r="BP3570" s="1385"/>
      <c r="BV3570" s="236">
        <v>41.01</v>
      </c>
      <c r="BW3570" s="236" t="s">
        <v>340</v>
      </c>
      <c r="CL3570" s="236">
        <v>303.04000000000002</v>
      </c>
      <c r="CM3570" s="236" t="s">
        <v>341</v>
      </c>
      <c r="CT3570" s="1384"/>
      <c r="CZ3570" s="338"/>
      <c r="DA3570" s="338"/>
      <c r="DP3570" s="236"/>
      <c r="DQ3570" s="236"/>
      <c r="DX3570" s="1671"/>
    </row>
    <row r="3571" spans="38:128">
      <c r="AL3571" s="1037"/>
      <c r="BP3571" s="1385"/>
      <c r="BV3571" s="236">
        <v>41.02</v>
      </c>
      <c r="BW3571" s="236" t="s">
        <v>340</v>
      </c>
      <c r="CL3571" s="338">
        <v>303.05</v>
      </c>
      <c r="CM3571" s="338" t="s">
        <v>296</v>
      </c>
      <c r="CT3571" s="1384"/>
      <c r="CZ3571" s="338"/>
      <c r="DA3571" s="338"/>
      <c r="DP3571" s="236"/>
      <c r="DQ3571" s="236"/>
      <c r="DX3571" s="1671"/>
    </row>
    <row r="3572" spans="38:128">
      <c r="AL3572" s="1037"/>
      <c r="BP3572" s="1385"/>
      <c r="BV3572" s="236">
        <v>42.03</v>
      </c>
      <c r="BW3572" s="236" t="s">
        <v>340</v>
      </c>
      <c r="CL3572" s="236">
        <v>303.05</v>
      </c>
      <c r="CM3572" s="236" t="s">
        <v>322</v>
      </c>
      <c r="CT3572" s="1384"/>
      <c r="CZ3572" s="338"/>
      <c r="DA3572" s="338"/>
      <c r="DP3572" s="236"/>
      <c r="DQ3572" s="236"/>
      <c r="DX3572" s="1671"/>
    </row>
    <row r="3573" spans="38:128">
      <c r="AL3573" s="1037"/>
      <c r="BP3573" s="1385"/>
      <c r="BV3573" s="236">
        <v>42.04</v>
      </c>
      <c r="BW3573" s="236" t="s">
        <v>340</v>
      </c>
      <c r="CL3573" s="338">
        <v>303.06</v>
      </c>
      <c r="CM3573" s="338" t="s">
        <v>296</v>
      </c>
      <c r="CT3573" s="1384"/>
      <c r="CZ3573" s="338"/>
      <c r="DA3573" s="338"/>
      <c r="DP3573" s="236"/>
      <c r="DQ3573" s="236"/>
      <c r="DX3573" s="1671"/>
    </row>
    <row r="3574" spans="38:128">
      <c r="AL3574" s="1037"/>
      <c r="BP3574" s="1385"/>
      <c r="BV3574" s="236">
        <v>42.05</v>
      </c>
      <c r="BW3574" s="236" t="s">
        <v>340</v>
      </c>
      <c r="CL3574" s="236">
        <v>303.06</v>
      </c>
      <c r="CM3574" s="236" t="s">
        <v>322</v>
      </c>
      <c r="CT3574" s="1384"/>
      <c r="CZ3574" s="338"/>
      <c r="DA3574" s="338"/>
      <c r="DP3574" s="236"/>
      <c r="DQ3574" s="236"/>
      <c r="DX3574" s="1671"/>
    </row>
    <row r="3575" spans="38:128">
      <c r="AL3575" s="1037"/>
      <c r="BP3575" s="1385"/>
      <c r="BV3575" s="236">
        <v>42.06</v>
      </c>
      <c r="BW3575" s="236" t="s">
        <v>340</v>
      </c>
      <c r="CL3575" s="236">
        <v>303.07</v>
      </c>
      <c r="CM3575" s="236" t="s">
        <v>322</v>
      </c>
      <c r="CT3575" s="1384"/>
      <c r="CZ3575" s="338"/>
      <c r="DA3575" s="338"/>
      <c r="DP3575" s="236"/>
      <c r="DQ3575" s="236"/>
      <c r="DX3575" s="1671"/>
    </row>
    <row r="3576" spans="38:128">
      <c r="AL3576" s="1037"/>
      <c r="BP3576" s="1385"/>
      <c r="BV3576" s="236">
        <v>42.07</v>
      </c>
      <c r="BW3576" s="236" t="s">
        <v>340</v>
      </c>
      <c r="CL3576" s="236">
        <v>303.08</v>
      </c>
      <c r="CM3576" s="236" t="s">
        <v>322</v>
      </c>
      <c r="CT3576" s="1384"/>
      <c r="CZ3576" s="338"/>
      <c r="DA3576" s="338"/>
      <c r="DP3576" s="236"/>
      <c r="DQ3576" s="236"/>
      <c r="DX3576" s="1671"/>
    </row>
    <row r="3577" spans="38:128">
      <c r="AL3577" s="1037"/>
      <c r="BP3577" s="1385"/>
      <c r="BV3577" s="236">
        <v>43</v>
      </c>
      <c r="BW3577" s="236" t="s">
        <v>340</v>
      </c>
      <c r="CL3577" s="338">
        <v>304</v>
      </c>
      <c r="CM3577" s="338" t="s">
        <v>296</v>
      </c>
      <c r="CT3577" s="1384"/>
      <c r="CZ3577" s="338"/>
      <c r="DA3577" s="338"/>
      <c r="DP3577" s="236"/>
      <c r="DQ3577" s="236"/>
      <c r="DX3577" s="1671"/>
    </row>
    <row r="3578" spans="38:128">
      <c r="AL3578" s="1037"/>
      <c r="BP3578" s="1385"/>
      <c r="BV3578" s="236">
        <v>44.01</v>
      </c>
      <c r="BW3578" s="236" t="s">
        <v>340</v>
      </c>
      <c r="CL3578" s="338">
        <v>304.01</v>
      </c>
      <c r="CM3578" s="338" t="s">
        <v>289</v>
      </c>
      <c r="CT3578" s="1384"/>
      <c r="CZ3578" s="338"/>
      <c r="DA3578" s="338"/>
      <c r="DP3578" s="236"/>
      <c r="DQ3578" s="236"/>
      <c r="DX3578" s="1671"/>
    </row>
    <row r="3579" spans="38:128">
      <c r="AL3579" s="1037"/>
      <c r="BP3579" s="1385"/>
      <c r="BV3579" s="236">
        <v>44.02</v>
      </c>
      <c r="BW3579" s="236" t="s">
        <v>340</v>
      </c>
      <c r="CL3579" s="338">
        <v>304.01</v>
      </c>
      <c r="CM3579" s="338" t="s">
        <v>294</v>
      </c>
      <c r="CT3579" s="1384"/>
      <c r="CZ3579" s="338"/>
      <c r="DA3579" s="338"/>
      <c r="DP3579" s="236"/>
      <c r="DQ3579" s="236"/>
      <c r="DX3579" s="1671"/>
    </row>
    <row r="3580" spans="38:128">
      <c r="AL3580" s="1037"/>
      <c r="BP3580" s="1385"/>
      <c r="BV3580" s="236">
        <v>45</v>
      </c>
      <c r="BW3580" s="236" t="s">
        <v>340</v>
      </c>
      <c r="CL3580" s="338">
        <v>304.02</v>
      </c>
      <c r="CM3580" s="338" t="s">
        <v>289</v>
      </c>
      <c r="CT3580" s="1384"/>
      <c r="CZ3580" s="338"/>
      <c r="DA3580" s="338"/>
      <c r="DP3580" s="236"/>
      <c r="DQ3580" s="236"/>
      <c r="DX3580" s="1671"/>
    </row>
    <row r="3581" spans="38:128">
      <c r="AL3581" s="1037"/>
      <c r="BP3581" s="1385"/>
      <c r="BV3581" s="236">
        <v>46.01</v>
      </c>
      <c r="BW3581" s="236" t="s">
        <v>340</v>
      </c>
      <c r="CL3581" s="338">
        <v>304.02</v>
      </c>
      <c r="CM3581" s="338" t="s">
        <v>294</v>
      </c>
      <c r="CT3581" s="1384"/>
      <c r="CZ3581" s="338"/>
      <c r="DA3581" s="338"/>
      <c r="DP3581" s="236"/>
      <c r="DQ3581" s="236"/>
      <c r="DX3581" s="1671"/>
    </row>
    <row r="3582" spans="38:128">
      <c r="AL3582" s="1037"/>
      <c r="BP3582" s="1385"/>
      <c r="BV3582" s="236">
        <v>46.02</v>
      </c>
      <c r="BW3582" s="236" t="s">
        <v>340</v>
      </c>
      <c r="CL3582" s="236">
        <v>304.04000000000002</v>
      </c>
      <c r="CM3582" s="236" t="s">
        <v>341</v>
      </c>
      <c r="CT3582" s="1384"/>
      <c r="CZ3582" s="338"/>
      <c r="DA3582" s="338"/>
      <c r="DP3582" s="236"/>
      <c r="DQ3582" s="236"/>
      <c r="DX3582" s="1671"/>
    </row>
    <row r="3583" spans="38:128">
      <c r="AL3583" s="1037"/>
      <c r="BP3583" s="1385"/>
      <c r="BV3583" s="236">
        <v>47.02</v>
      </c>
      <c r="BW3583" s="236" t="s">
        <v>340</v>
      </c>
      <c r="CL3583" s="236">
        <v>304.05</v>
      </c>
      <c r="CM3583" s="236" t="s">
        <v>322</v>
      </c>
      <c r="CT3583" s="1384"/>
      <c r="CZ3583" s="338"/>
      <c r="DA3583" s="338"/>
      <c r="DP3583" s="236"/>
      <c r="DQ3583" s="236"/>
      <c r="DX3583" s="1671"/>
    </row>
    <row r="3584" spans="38:128">
      <c r="AL3584" s="1037"/>
      <c r="BP3584" s="1385"/>
      <c r="BV3584" s="236">
        <v>47.04</v>
      </c>
      <c r="BW3584" s="236" t="s">
        <v>340</v>
      </c>
      <c r="CL3584" s="236">
        <v>304.05</v>
      </c>
      <c r="CM3584" s="236" t="s">
        <v>341</v>
      </c>
      <c r="CT3584" s="1384"/>
      <c r="CZ3584" s="338"/>
      <c r="DA3584" s="338"/>
      <c r="DP3584" s="236"/>
      <c r="DQ3584" s="236"/>
      <c r="DX3584" s="1671"/>
    </row>
    <row r="3585" spans="38:128">
      <c r="AL3585" s="1037"/>
      <c r="BP3585" s="1385"/>
      <c r="BV3585" s="236">
        <v>47.05</v>
      </c>
      <c r="BW3585" s="236" t="s">
        <v>340</v>
      </c>
      <c r="CL3585" s="236">
        <v>304.06</v>
      </c>
      <c r="CM3585" s="236" t="s">
        <v>322</v>
      </c>
      <c r="CT3585" s="1384"/>
      <c r="CZ3585" s="338"/>
      <c r="DA3585" s="338"/>
      <c r="DP3585" s="236"/>
      <c r="DQ3585" s="236"/>
      <c r="DX3585" s="1671"/>
    </row>
    <row r="3586" spans="38:128">
      <c r="AL3586" s="1037"/>
      <c r="BP3586" s="1385"/>
      <c r="BV3586" s="236">
        <v>47.06</v>
      </c>
      <c r="BW3586" s="236" t="s">
        <v>340</v>
      </c>
      <c r="CL3586" s="236">
        <v>304.06</v>
      </c>
      <c r="CM3586" s="236" t="s">
        <v>341</v>
      </c>
      <c r="CT3586" s="1384"/>
      <c r="CZ3586" s="338"/>
      <c r="DA3586" s="338"/>
      <c r="DP3586" s="236"/>
      <c r="DQ3586" s="236"/>
      <c r="DX3586" s="1671"/>
    </row>
    <row r="3587" spans="38:128">
      <c r="AL3587" s="1037"/>
      <c r="BP3587" s="1385"/>
      <c r="BV3587" s="236">
        <v>48.1</v>
      </c>
      <c r="BW3587" s="236" t="s">
        <v>340</v>
      </c>
      <c r="CL3587" s="236">
        <v>304.07</v>
      </c>
      <c r="CM3587" s="236" t="s">
        <v>322</v>
      </c>
      <c r="CT3587" s="1384"/>
      <c r="CZ3587" s="338"/>
      <c r="DA3587" s="338"/>
      <c r="DP3587" s="236"/>
      <c r="DQ3587" s="236"/>
      <c r="DX3587" s="1671"/>
    </row>
    <row r="3588" spans="38:128">
      <c r="AL3588" s="1037"/>
      <c r="BP3588" s="1385"/>
      <c r="BV3588" s="236">
        <v>48.13</v>
      </c>
      <c r="BW3588" s="236" t="s">
        <v>340</v>
      </c>
      <c r="CL3588" s="236">
        <v>304.07</v>
      </c>
      <c r="CM3588" s="236" t="s">
        <v>341</v>
      </c>
      <c r="CT3588" s="1384"/>
      <c r="CZ3588" s="338"/>
      <c r="DA3588" s="338"/>
      <c r="DP3588" s="236"/>
      <c r="DQ3588" s="236"/>
      <c r="DX3588" s="1671"/>
    </row>
    <row r="3589" spans="38:128">
      <c r="AL3589" s="1037"/>
      <c r="BP3589" s="1385"/>
      <c r="BV3589" s="236">
        <v>48.15</v>
      </c>
      <c r="BW3589" s="236" t="s">
        <v>340</v>
      </c>
      <c r="CL3589" s="236">
        <v>304.08</v>
      </c>
      <c r="CM3589" s="236" t="s">
        <v>322</v>
      </c>
      <c r="CT3589" s="1384"/>
      <c r="CZ3589" s="338"/>
      <c r="DA3589" s="338"/>
      <c r="DP3589" s="236"/>
      <c r="DQ3589" s="236"/>
      <c r="DX3589" s="1671"/>
    </row>
    <row r="3590" spans="38:128">
      <c r="AL3590" s="1037"/>
      <c r="BP3590" s="1385"/>
      <c r="BV3590" s="236">
        <v>48.16</v>
      </c>
      <c r="BW3590" s="236" t="s">
        <v>340</v>
      </c>
      <c r="CL3590" s="236">
        <v>304.08</v>
      </c>
      <c r="CM3590" s="236" t="s">
        <v>341</v>
      </c>
      <c r="CT3590" s="1384"/>
      <c r="CZ3590" s="338"/>
      <c r="DA3590" s="338"/>
      <c r="DP3590" s="236"/>
      <c r="DQ3590" s="236"/>
      <c r="DX3590" s="1671"/>
    </row>
    <row r="3591" spans="38:128">
      <c r="AL3591" s="1037"/>
      <c r="BP3591" s="1385"/>
      <c r="BV3591" s="236">
        <v>48.17</v>
      </c>
      <c r="BW3591" s="236" t="s">
        <v>340</v>
      </c>
      <c r="CL3591" s="236">
        <v>304.08999999999997</v>
      </c>
      <c r="CM3591" s="236" t="s">
        <v>322</v>
      </c>
      <c r="CT3591" s="1384"/>
      <c r="CZ3591" s="338"/>
      <c r="DA3591" s="338"/>
      <c r="DP3591" s="236"/>
      <c r="DQ3591" s="236"/>
      <c r="DX3591" s="1671"/>
    </row>
    <row r="3592" spans="38:128">
      <c r="AL3592" s="1037"/>
      <c r="BP3592" s="1385"/>
      <c r="BV3592" s="236">
        <v>48.18</v>
      </c>
      <c r="BW3592" s="236" t="s">
        <v>340</v>
      </c>
      <c r="CL3592" s="236">
        <v>304.08999999999997</v>
      </c>
      <c r="CM3592" s="236" t="s">
        <v>341</v>
      </c>
      <c r="CT3592" s="1384"/>
      <c r="CZ3592" s="338"/>
      <c r="DA3592" s="338"/>
      <c r="DP3592" s="236"/>
      <c r="DQ3592" s="236"/>
      <c r="DX3592" s="1671"/>
    </row>
    <row r="3593" spans="38:128">
      <c r="AL3593" s="1037"/>
      <c r="BP3593" s="1385"/>
      <c r="BV3593" s="236">
        <v>48.19</v>
      </c>
      <c r="BW3593" s="236" t="s">
        <v>340</v>
      </c>
      <c r="CL3593" s="236">
        <v>304.10000000000002</v>
      </c>
      <c r="CM3593" s="236" t="s">
        <v>322</v>
      </c>
      <c r="CT3593" s="1384"/>
      <c r="CZ3593" s="338"/>
      <c r="DA3593" s="338"/>
      <c r="DP3593" s="236"/>
      <c r="DQ3593" s="236"/>
      <c r="DX3593" s="1671"/>
    </row>
    <row r="3594" spans="38:128">
      <c r="AL3594" s="1037"/>
      <c r="BP3594" s="1385"/>
      <c r="BV3594" s="236">
        <v>48.2</v>
      </c>
      <c r="BW3594" s="236" t="s">
        <v>340</v>
      </c>
      <c r="CL3594" s="236">
        <v>304.10000000000002</v>
      </c>
      <c r="CM3594" s="236" t="s">
        <v>341</v>
      </c>
      <c r="CT3594" s="1384"/>
      <c r="CZ3594" s="338"/>
      <c r="DA3594" s="338"/>
      <c r="DP3594" s="236"/>
      <c r="DQ3594" s="236"/>
      <c r="DX3594" s="1671"/>
    </row>
    <row r="3595" spans="38:128">
      <c r="AL3595" s="1037"/>
      <c r="BP3595" s="1385"/>
      <c r="BV3595" s="236">
        <v>48.21</v>
      </c>
      <c r="BW3595" s="236" t="s">
        <v>340</v>
      </c>
      <c r="CL3595" s="236">
        <v>304.11</v>
      </c>
      <c r="CM3595" s="236" t="s">
        <v>322</v>
      </c>
      <c r="CT3595" s="1384"/>
      <c r="CZ3595" s="338"/>
      <c r="DA3595" s="338"/>
      <c r="DP3595" s="236"/>
      <c r="DQ3595" s="236"/>
      <c r="DX3595" s="1671"/>
    </row>
    <row r="3596" spans="38:128">
      <c r="AL3596" s="1037"/>
      <c r="BP3596" s="1385"/>
      <c r="BV3596" s="236">
        <v>48.22</v>
      </c>
      <c r="BW3596" s="236" t="s">
        <v>340</v>
      </c>
      <c r="CL3596" s="236">
        <v>304.11</v>
      </c>
      <c r="CM3596" s="236" t="s">
        <v>341</v>
      </c>
      <c r="CT3596" s="1384"/>
      <c r="CZ3596" s="338"/>
      <c r="DA3596" s="338"/>
      <c r="DP3596" s="236"/>
      <c r="DQ3596" s="236"/>
      <c r="DX3596" s="1671"/>
    </row>
    <row r="3597" spans="38:128">
      <c r="AL3597" s="1037"/>
      <c r="BP3597" s="1385"/>
      <c r="BV3597" s="236">
        <v>48.23</v>
      </c>
      <c r="BW3597" s="236" t="s">
        <v>340</v>
      </c>
      <c r="CL3597" s="236">
        <v>304.12</v>
      </c>
      <c r="CM3597" s="236" t="s">
        <v>341</v>
      </c>
      <c r="CT3597" s="1384"/>
      <c r="CZ3597" s="338"/>
      <c r="DA3597" s="338"/>
      <c r="DP3597" s="236"/>
      <c r="DQ3597" s="236"/>
      <c r="DX3597" s="1671"/>
    </row>
    <row r="3598" spans="38:128">
      <c r="AL3598" s="1037"/>
      <c r="BP3598" s="1385"/>
      <c r="BV3598" s="236">
        <v>49.02</v>
      </c>
      <c r="BW3598" s="236" t="s">
        <v>340</v>
      </c>
      <c r="CL3598" s="338">
        <v>305</v>
      </c>
      <c r="CM3598" s="338" t="s">
        <v>289</v>
      </c>
      <c r="CT3598" s="1384"/>
      <c r="CZ3598" s="338"/>
      <c r="DA3598" s="338"/>
      <c r="DP3598" s="236"/>
      <c r="DQ3598" s="236"/>
      <c r="DX3598" s="1671"/>
    </row>
    <row r="3599" spans="38:128">
      <c r="AL3599" s="1037"/>
      <c r="BP3599" s="1385"/>
      <c r="BV3599" s="236">
        <v>49.03</v>
      </c>
      <c r="BW3599" s="236" t="s">
        <v>340</v>
      </c>
      <c r="CL3599" s="338">
        <v>305</v>
      </c>
      <c r="CM3599" s="338" t="s">
        <v>296</v>
      </c>
      <c r="CT3599" s="1384"/>
      <c r="CZ3599" s="338"/>
      <c r="DA3599" s="338"/>
      <c r="DP3599" s="236"/>
      <c r="DQ3599" s="236"/>
      <c r="DX3599" s="1671"/>
    </row>
    <row r="3600" spans="38:128">
      <c r="AL3600" s="1037"/>
      <c r="BP3600" s="1385"/>
      <c r="BV3600" s="236">
        <v>49.04</v>
      </c>
      <c r="BW3600" s="236" t="s">
        <v>340</v>
      </c>
      <c r="CL3600" s="338">
        <v>305.01</v>
      </c>
      <c r="CM3600" s="338" t="s">
        <v>294</v>
      </c>
      <c r="CT3600" s="1384"/>
      <c r="CZ3600" s="338"/>
      <c r="DA3600" s="338"/>
      <c r="DP3600" s="236"/>
      <c r="DQ3600" s="236"/>
      <c r="DX3600" s="1671"/>
    </row>
    <row r="3601" spans="38:128">
      <c r="AL3601" s="1037"/>
      <c r="BP3601" s="1385"/>
      <c r="BV3601" s="236">
        <v>50</v>
      </c>
      <c r="BW3601" s="236" t="s">
        <v>340</v>
      </c>
      <c r="CL3601" s="236">
        <v>305.01</v>
      </c>
      <c r="CM3601" s="236" t="s">
        <v>341</v>
      </c>
      <c r="CT3601" s="1384"/>
      <c r="CZ3601" s="338"/>
      <c r="DA3601" s="338"/>
      <c r="DP3601" s="236"/>
      <c r="DQ3601" s="236"/>
      <c r="DX3601" s="1671"/>
    </row>
    <row r="3602" spans="38:128">
      <c r="AL3602" s="1037"/>
      <c r="BP3602" s="1385"/>
      <c r="BV3602" s="236">
        <v>51.01</v>
      </c>
      <c r="BW3602" s="236" t="s">
        <v>340</v>
      </c>
      <c r="CL3602" s="236">
        <v>305.02</v>
      </c>
      <c r="CM3602" s="236" t="s">
        <v>341</v>
      </c>
      <c r="CT3602" s="1384"/>
      <c r="CZ3602" s="338"/>
      <c r="DA3602" s="338"/>
      <c r="DP3602" s="236"/>
      <c r="DQ3602" s="236"/>
      <c r="DX3602" s="1671"/>
    </row>
    <row r="3603" spans="38:128">
      <c r="AL3603" s="1037"/>
      <c r="BP3603" s="1385"/>
      <c r="BV3603" s="236">
        <v>51.02</v>
      </c>
      <c r="BW3603" s="236" t="s">
        <v>340</v>
      </c>
      <c r="CL3603" s="338">
        <v>305.04000000000002</v>
      </c>
      <c r="CM3603" s="338" t="s">
        <v>294</v>
      </c>
      <c r="CT3603" s="1384"/>
      <c r="CZ3603" s="338"/>
      <c r="DA3603" s="338"/>
      <c r="DP3603" s="236"/>
      <c r="DQ3603" s="236"/>
      <c r="DX3603" s="1671"/>
    </row>
    <row r="3604" spans="38:128">
      <c r="AL3604" s="1037"/>
      <c r="BP3604" s="1385"/>
      <c r="BV3604" s="236">
        <v>52.02</v>
      </c>
      <c r="BW3604" s="236" t="s">
        <v>340</v>
      </c>
      <c r="CL3604" s="338">
        <v>305.05</v>
      </c>
      <c r="CM3604" s="338" t="s">
        <v>294</v>
      </c>
      <c r="CT3604" s="1384"/>
      <c r="CZ3604" s="338"/>
      <c r="DA3604" s="338"/>
      <c r="DP3604" s="236"/>
      <c r="DQ3604" s="236"/>
      <c r="DX3604" s="1671"/>
    </row>
    <row r="3605" spans="38:128">
      <c r="AL3605" s="1037"/>
      <c r="BP3605" s="1385"/>
      <c r="BV3605" s="236">
        <v>52.03</v>
      </c>
      <c r="BW3605" s="236" t="s">
        <v>340</v>
      </c>
      <c r="CL3605" s="236">
        <v>305.05</v>
      </c>
      <c r="CM3605" s="236" t="s">
        <v>322</v>
      </c>
      <c r="CT3605" s="1384"/>
      <c r="CZ3605" s="338"/>
      <c r="DA3605" s="338"/>
      <c r="DP3605" s="236"/>
      <c r="DQ3605" s="236"/>
      <c r="DX3605" s="1671"/>
    </row>
    <row r="3606" spans="38:128">
      <c r="AL3606" s="1037"/>
      <c r="BP3606" s="1385"/>
      <c r="BV3606" s="236">
        <v>52.04</v>
      </c>
      <c r="BW3606" s="236" t="s">
        <v>340</v>
      </c>
      <c r="CL3606" s="338">
        <v>305.06</v>
      </c>
      <c r="CM3606" s="338" t="s">
        <v>294</v>
      </c>
      <c r="CT3606" s="1384"/>
      <c r="CZ3606" s="338"/>
      <c r="DA3606" s="338"/>
      <c r="DP3606" s="236"/>
      <c r="DQ3606" s="236"/>
      <c r="DX3606" s="1671"/>
    </row>
    <row r="3607" spans="38:128">
      <c r="AL3607" s="1037"/>
      <c r="BP3607" s="1385"/>
      <c r="BV3607" s="236">
        <v>53</v>
      </c>
      <c r="BW3607" s="236" t="s">
        <v>340</v>
      </c>
      <c r="CL3607" s="236">
        <v>305.06</v>
      </c>
      <c r="CM3607" s="236" t="s">
        <v>322</v>
      </c>
      <c r="CT3607" s="1384"/>
      <c r="CZ3607" s="338"/>
      <c r="DA3607" s="338"/>
      <c r="DP3607" s="236"/>
      <c r="DQ3607" s="236"/>
      <c r="DX3607" s="1671"/>
    </row>
    <row r="3608" spans="38:128">
      <c r="AL3608" s="1037"/>
      <c r="BP3608" s="1385"/>
      <c r="BV3608" s="236">
        <v>54.11</v>
      </c>
      <c r="BW3608" s="236" t="s">
        <v>340</v>
      </c>
      <c r="CL3608" s="338">
        <v>305.07</v>
      </c>
      <c r="CM3608" s="338" t="s">
        <v>294</v>
      </c>
      <c r="CT3608" s="1384"/>
      <c r="CZ3608" s="338"/>
      <c r="DA3608" s="338"/>
      <c r="DP3608" s="236"/>
      <c r="DQ3608" s="236"/>
      <c r="DX3608" s="1671"/>
    </row>
    <row r="3609" spans="38:128">
      <c r="AL3609" s="1037"/>
      <c r="BP3609" s="1385"/>
      <c r="BV3609" s="236">
        <v>54.12</v>
      </c>
      <c r="BW3609" s="236" t="s">
        <v>340</v>
      </c>
      <c r="CL3609" s="236">
        <v>305.07</v>
      </c>
      <c r="CM3609" s="236" t="s">
        <v>322</v>
      </c>
      <c r="CT3609" s="1384"/>
      <c r="CZ3609" s="338"/>
      <c r="DA3609" s="338"/>
      <c r="DP3609" s="236"/>
      <c r="DQ3609" s="236"/>
      <c r="DX3609" s="1671"/>
    </row>
    <row r="3610" spans="38:128">
      <c r="AL3610" s="1037"/>
      <c r="BP3610" s="1385"/>
      <c r="BV3610" s="236">
        <v>54.13</v>
      </c>
      <c r="BW3610" s="236" t="s">
        <v>340</v>
      </c>
      <c r="CL3610" s="338">
        <v>306</v>
      </c>
      <c r="CM3610" s="338" t="s">
        <v>296</v>
      </c>
      <c r="CT3610" s="1384"/>
      <c r="CZ3610" s="338"/>
      <c r="DA3610" s="338"/>
      <c r="DP3610" s="236"/>
      <c r="DQ3610" s="236"/>
      <c r="DX3610" s="1671"/>
    </row>
    <row r="3611" spans="38:128">
      <c r="AL3611" s="1037"/>
      <c r="BP3611" s="1385"/>
      <c r="BV3611" s="236">
        <v>55.01</v>
      </c>
      <c r="BW3611" s="236" t="s">
        <v>340</v>
      </c>
      <c r="CL3611" s="338">
        <v>306.01</v>
      </c>
      <c r="CM3611" s="338" t="s">
        <v>289</v>
      </c>
      <c r="CT3611" s="1384"/>
      <c r="CZ3611" s="338"/>
      <c r="DA3611" s="338"/>
      <c r="DP3611" s="236"/>
      <c r="DQ3611" s="236"/>
      <c r="DX3611" s="1671"/>
    </row>
    <row r="3612" spans="38:128">
      <c r="AL3612" s="1037"/>
      <c r="BP3612" s="1385"/>
      <c r="BV3612" s="236">
        <v>55.02</v>
      </c>
      <c r="BW3612" s="236" t="s">
        <v>340</v>
      </c>
      <c r="CL3612" s="236">
        <v>306.01</v>
      </c>
      <c r="CM3612" s="236" t="s">
        <v>322</v>
      </c>
      <c r="CT3612" s="1384"/>
      <c r="CZ3612" s="338"/>
      <c r="DA3612" s="338"/>
      <c r="DP3612" s="236"/>
      <c r="DQ3612" s="236"/>
      <c r="DX3612" s="1671"/>
    </row>
    <row r="3613" spans="38:128">
      <c r="AL3613" s="1037"/>
      <c r="BP3613" s="1385"/>
      <c r="BV3613" s="236">
        <v>56.01</v>
      </c>
      <c r="BW3613" s="236" t="s">
        <v>340</v>
      </c>
      <c r="CL3613" s="236">
        <v>306.01</v>
      </c>
      <c r="CM3613" s="236" t="s">
        <v>341</v>
      </c>
      <c r="CT3613" s="1384"/>
      <c r="CZ3613" s="338"/>
      <c r="DA3613" s="338"/>
      <c r="DP3613" s="236"/>
      <c r="DQ3613" s="236"/>
      <c r="DX3613" s="1671"/>
    </row>
    <row r="3614" spans="38:128">
      <c r="AL3614" s="1037"/>
      <c r="BP3614" s="1385"/>
      <c r="BV3614" s="236">
        <v>56.02</v>
      </c>
      <c r="BW3614" s="236" t="s">
        <v>340</v>
      </c>
      <c r="CL3614" s="338">
        <v>306.02</v>
      </c>
      <c r="CM3614" s="338" t="s">
        <v>289</v>
      </c>
      <c r="CT3614" s="1384"/>
      <c r="CZ3614" s="338"/>
      <c r="DA3614" s="338"/>
      <c r="DP3614" s="236"/>
      <c r="DQ3614" s="236"/>
      <c r="DX3614" s="1671"/>
    </row>
    <row r="3615" spans="38:128">
      <c r="AL3615" s="1037"/>
      <c r="BP3615" s="1385"/>
      <c r="BV3615" s="236">
        <v>57.02</v>
      </c>
      <c r="BW3615" s="236" t="s">
        <v>340</v>
      </c>
      <c r="CL3615" s="236">
        <v>306.02</v>
      </c>
      <c r="CM3615" s="236" t="s">
        <v>322</v>
      </c>
      <c r="CT3615" s="1384"/>
      <c r="CZ3615" s="338"/>
      <c r="DA3615" s="338"/>
      <c r="DP3615" s="236"/>
      <c r="DQ3615" s="236"/>
      <c r="DX3615" s="1671"/>
    </row>
    <row r="3616" spans="38:128">
      <c r="AL3616" s="1037"/>
      <c r="BP3616" s="1385"/>
      <c r="BV3616" s="236">
        <v>57.03</v>
      </c>
      <c r="BW3616" s="236" t="s">
        <v>340</v>
      </c>
      <c r="CL3616" s="236">
        <v>306.02</v>
      </c>
      <c r="CM3616" s="236" t="s">
        <v>341</v>
      </c>
      <c r="CT3616" s="1384"/>
      <c r="CZ3616" s="338"/>
      <c r="DA3616" s="338"/>
      <c r="DP3616" s="236"/>
      <c r="DQ3616" s="236"/>
      <c r="DX3616" s="1671"/>
    </row>
    <row r="3617" spans="38:128">
      <c r="AL3617" s="1037"/>
      <c r="BP3617" s="1385"/>
      <c r="BV3617" s="236">
        <v>57.04</v>
      </c>
      <c r="BW3617" s="236" t="s">
        <v>340</v>
      </c>
      <c r="CL3617" s="236">
        <v>307</v>
      </c>
      <c r="CM3617" s="236" t="s">
        <v>341</v>
      </c>
      <c r="CT3617" s="1384"/>
      <c r="CZ3617" s="338"/>
      <c r="DA3617" s="338"/>
      <c r="DP3617" s="236"/>
      <c r="DQ3617" s="236"/>
      <c r="DX3617" s="1671"/>
    </row>
    <row r="3618" spans="38:128">
      <c r="AL3618" s="1037"/>
      <c r="BP3618" s="1385"/>
      <c r="BV3618" s="236">
        <v>58.07</v>
      </c>
      <c r="BW3618" s="236" t="s">
        <v>340</v>
      </c>
      <c r="CL3618" s="338">
        <v>307.01</v>
      </c>
      <c r="CM3618" s="338" t="s">
        <v>296</v>
      </c>
      <c r="CT3618" s="1384"/>
      <c r="CZ3618" s="338"/>
      <c r="DA3618" s="338"/>
      <c r="DP3618" s="236"/>
      <c r="DQ3618" s="236"/>
      <c r="DX3618" s="1671"/>
    </row>
    <row r="3619" spans="38:128">
      <c r="AL3619" s="1037"/>
      <c r="BP3619" s="1385"/>
      <c r="BV3619" s="236">
        <v>58.1</v>
      </c>
      <c r="BW3619" s="236" t="s">
        <v>340</v>
      </c>
      <c r="CL3619" s="236">
        <v>307.01</v>
      </c>
      <c r="CM3619" s="236" t="s">
        <v>322</v>
      </c>
      <c r="CT3619" s="1384"/>
      <c r="CZ3619" s="338"/>
      <c r="DA3619" s="338"/>
      <c r="DP3619" s="236"/>
      <c r="DQ3619" s="236"/>
      <c r="DX3619" s="1671"/>
    </row>
    <row r="3620" spans="38:128">
      <c r="AL3620" s="1037"/>
      <c r="BP3620" s="1385"/>
      <c r="BV3620" s="236">
        <v>58.11</v>
      </c>
      <c r="BW3620" s="236" t="s">
        <v>340</v>
      </c>
      <c r="CL3620" s="338">
        <v>307.02</v>
      </c>
      <c r="CM3620" s="338" t="s">
        <v>289</v>
      </c>
      <c r="CT3620" s="1384"/>
      <c r="CZ3620" s="338"/>
      <c r="DA3620" s="338"/>
      <c r="DP3620" s="236"/>
      <c r="DQ3620" s="236"/>
      <c r="DX3620" s="1671"/>
    </row>
    <row r="3621" spans="38:128">
      <c r="AL3621" s="1037"/>
      <c r="BP3621" s="1385"/>
      <c r="BV3621" s="236">
        <v>58.12</v>
      </c>
      <c r="BW3621" s="236" t="s">
        <v>340</v>
      </c>
      <c r="CL3621" s="236">
        <v>307.02</v>
      </c>
      <c r="CM3621" s="236" t="s">
        <v>322</v>
      </c>
      <c r="CT3621" s="1384"/>
      <c r="CZ3621" s="338"/>
      <c r="DA3621" s="338"/>
      <c r="DP3621" s="236"/>
      <c r="DQ3621" s="236"/>
      <c r="DX3621" s="1671"/>
    </row>
    <row r="3622" spans="38:128">
      <c r="AL3622" s="1037"/>
      <c r="BP3622" s="1385"/>
      <c r="BV3622" s="236">
        <v>58.13</v>
      </c>
      <c r="BW3622" s="236" t="s">
        <v>340</v>
      </c>
      <c r="CL3622" s="338">
        <v>307.02999999999997</v>
      </c>
      <c r="CM3622" s="338" t="s">
        <v>289</v>
      </c>
      <c r="CT3622" s="1384"/>
      <c r="CZ3622" s="338"/>
      <c r="DA3622" s="338"/>
      <c r="DP3622" s="236"/>
      <c r="DQ3622" s="236"/>
      <c r="DX3622" s="1671"/>
    </row>
    <row r="3623" spans="38:128">
      <c r="AL3623" s="1037"/>
      <c r="BP3623" s="1385"/>
      <c r="BV3623" s="236">
        <v>58.14</v>
      </c>
      <c r="BW3623" s="236" t="s">
        <v>340</v>
      </c>
      <c r="CL3623" s="338">
        <v>307.04000000000002</v>
      </c>
      <c r="CM3623" s="338" t="s">
        <v>289</v>
      </c>
      <c r="CT3623" s="1384"/>
      <c r="CZ3623" s="338"/>
      <c r="DA3623" s="338"/>
      <c r="DP3623" s="236"/>
      <c r="DQ3623" s="236"/>
      <c r="DX3623" s="1671"/>
    </row>
    <row r="3624" spans="38:128">
      <c r="AL3624" s="1037"/>
      <c r="BP3624" s="1385"/>
      <c r="BV3624" s="236">
        <v>58.15</v>
      </c>
      <c r="BW3624" s="236" t="s">
        <v>340</v>
      </c>
      <c r="CL3624" s="338">
        <v>307.04000000000002</v>
      </c>
      <c r="CM3624" s="338" t="s">
        <v>296</v>
      </c>
      <c r="CT3624" s="1384"/>
      <c r="CZ3624" s="338"/>
      <c r="DA3624" s="338"/>
      <c r="DP3624" s="236"/>
      <c r="DQ3624" s="236"/>
      <c r="DX3624" s="1671"/>
    </row>
    <row r="3625" spans="38:128">
      <c r="AL3625" s="1037"/>
      <c r="BP3625" s="1385"/>
      <c r="BV3625" s="236">
        <v>58.18</v>
      </c>
      <c r="BW3625" s="236" t="s">
        <v>340</v>
      </c>
      <c r="CL3625" s="338">
        <v>307.05</v>
      </c>
      <c r="CM3625" s="338" t="s">
        <v>289</v>
      </c>
      <c r="CT3625" s="1384"/>
      <c r="CZ3625" s="338"/>
      <c r="DA3625" s="338"/>
      <c r="DP3625" s="236"/>
      <c r="DQ3625" s="236"/>
      <c r="DX3625" s="1671"/>
    </row>
    <row r="3626" spans="38:128">
      <c r="AL3626" s="1037"/>
      <c r="BP3626" s="1385"/>
      <c r="BV3626" s="236">
        <v>58.19</v>
      </c>
      <c r="BW3626" s="236" t="s">
        <v>340</v>
      </c>
      <c r="CL3626" s="338">
        <v>307.05</v>
      </c>
      <c r="CM3626" s="338" t="s">
        <v>296</v>
      </c>
      <c r="CT3626" s="1384"/>
      <c r="CZ3626" s="338"/>
      <c r="DA3626" s="338"/>
      <c r="DP3626" s="236"/>
      <c r="DQ3626" s="236"/>
      <c r="DX3626" s="1671"/>
    </row>
    <row r="3627" spans="38:128">
      <c r="AL3627" s="1037"/>
      <c r="BP3627" s="1385"/>
      <c r="BV3627" s="236">
        <v>58.2</v>
      </c>
      <c r="BW3627" s="236" t="s">
        <v>340</v>
      </c>
      <c r="CL3627" s="338">
        <v>307.06</v>
      </c>
      <c r="CM3627" s="338" t="s">
        <v>296</v>
      </c>
      <c r="CT3627" s="1384"/>
      <c r="CZ3627" s="338"/>
      <c r="DA3627" s="338"/>
      <c r="DP3627" s="236"/>
      <c r="DQ3627" s="236"/>
      <c r="DX3627" s="1671"/>
    </row>
    <row r="3628" spans="38:128">
      <c r="AL3628" s="1037"/>
      <c r="BP3628" s="1385"/>
      <c r="BV3628" s="236">
        <v>58.21</v>
      </c>
      <c r="BW3628" s="236" t="s">
        <v>340</v>
      </c>
      <c r="CL3628" s="338">
        <v>307.07</v>
      </c>
      <c r="CM3628" s="338" t="s">
        <v>296</v>
      </c>
      <c r="CT3628" s="1384"/>
      <c r="CZ3628" s="338"/>
      <c r="DA3628" s="338"/>
      <c r="DP3628" s="236"/>
      <c r="DQ3628" s="236"/>
      <c r="DX3628" s="1671"/>
    </row>
    <row r="3629" spans="38:128">
      <c r="AL3629" s="1037"/>
      <c r="BP3629" s="1385"/>
      <c r="BV3629" s="236">
        <v>59.16</v>
      </c>
      <c r="BW3629" s="236" t="s">
        <v>340</v>
      </c>
      <c r="CL3629" s="338">
        <v>307.08</v>
      </c>
      <c r="CM3629" s="338" t="s">
        <v>296</v>
      </c>
      <c r="CT3629" s="1384"/>
      <c r="CZ3629" s="338"/>
      <c r="DA3629" s="338"/>
      <c r="DP3629" s="236"/>
      <c r="DQ3629" s="236"/>
      <c r="DX3629" s="1671"/>
    </row>
    <row r="3630" spans="38:128">
      <c r="AL3630" s="1037"/>
      <c r="BP3630" s="1385"/>
      <c r="BV3630" s="236">
        <v>59.17</v>
      </c>
      <c r="BW3630" s="236" t="s">
        <v>340</v>
      </c>
      <c r="CL3630" s="236">
        <v>308</v>
      </c>
      <c r="CM3630" s="236" t="s">
        <v>341</v>
      </c>
      <c r="CT3630" s="1384"/>
      <c r="CZ3630" s="338"/>
      <c r="DA3630" s="338"/>
      <c r="DP3630" s="236"/>
      <c r="DQ3630" s="236"/>
      <c r="DX3630" s="1671"/>
    </row>
    <row r="3631" spans="38:128">
      <c r="AL3631" s="1037"/>
      <c r="BP3631" s="1385"/>
      <c r="BV3631" s="236">
        <v>59.18</v>
      </c>
      <c r="BW3631" s="236" t="s">
        <v>340</v>
      </c>
      <c r="CL3631" s="338">
        <v>308.01</v>
      </c>
      <c r="CM3631" s="338" t="s">
        <v>296</v>
      </c>
      <c r="CT3631" s="1384"/>
      <c r="CZ3631" s="338"/>
      <c r="DA3631" s="338"/>
      <c r="DP3631" s="236"/>
      <c r="DQ3631" s="236"/>
      <c r="DX3631" s="1671"/>
    </row>
    <row r="3632" spans="38:128">
      <c r="AL3632" s="1037"/>
      <c r="BP3632" s="1385"/>
      <c r="BV3632" s="236">
        <v>59.21</v>
      </c>
      <c r="BW3632" s="236" t="s">
        <v>340</v>
      </c>
      <c r="CL3632" s="338">
        <v>308.02</v>
      </c>
      <c r="CM3632" s="338" t="s">
        <v>296</v>
      </c>
      <c r="CT3632" s="1384"/>
      <c r="CZ3632" s="338"/>
      <c r="DA3632" s="338"/>
      <c r="DP3632" s="236"/>
      <c r="DQ3632" s="236"/>
      <c r="DX3632" s="1671"/>
    </row>
    <row r="3633" spans="38:128">
      <c r="AL3633" s="1037"/>
      <c r="BP3633" s="1385"/>
      <c r="BV3633" s="236">
        <v>59.22</v>
      </c>
      <c r="BW3633" s="236" t="s">
        <v>340</v>
      </c>
      <c r="CL3633" s="338">
        <v>308.02999999999997</v>
      </c>
      <c r="CM3633" s="338" t="s">
        <v>289</v>
      </c>
      <c r="CT3633" s="1384"/>
      <c r="CZ3633" s="338"/>
      <c r="DA3633" s="338"/>
      <c r="DP3633" s="236"/>
      <c r="DQ3633" s="236"/>
      <c r="DX3633" s="1671"/>
    </row>
    <row r="3634" spans="38:128">
      <c r="AL3634" s="1037"/>
      <c r="BP3634" s="1385"/>
      <c r="BV3634" s="236">
        <v>59.23</v>
      </c>
      <c r="BW3634" s="236" t="s">
        <v>340</v>
      </c>
      <c r="CL3634" s="236">
        <v>308.02999999999997</v>
      </c>
      <c r="CM3634" s="236" t="s">
        <v>322</v>
      </c>
      <c r="CT3634" s="1384"/>
      <c r="CZ3634" s="338"/>
      <c r="DA3634" s="338"/>
      <c r="DP3634" s="236"/>
      <c r="DQ3634" s="236"/>
      <c r="DX3634" s="1671"/>
    </row>
    <row r="3635" spans="38:128">
      <c r="AL3635" s="1037"/>
      <c r="BP3635" s="1385"/>
      <c r="BV3635" s="236">
        <v>59.26</v>
      </c>
      <c r="BW3635" s="236" t="s">
        <v>340</v>
      </c>
      <c r="CL3635" s="338">
        <v>308.04000000000002</v>
      </c>
      <c r="CM3635" s="338" t="s">
        <v>289</v>
      </c>
      <c r="CT3635" s="1384"/>
      <c r="CZ3635" s="338"/>
      <c r="DA3635" s="338"/>
      <c r="DP3635" s="236"/>
      <c r="DQ3635" s="236"/>
      <c r="DX3635" s="1671"/>
    </row>
    <row r="3636" spans="38:128">
      <c r="AL3636" s="1037"/>
      <c r="BP3636" s="1385"/>
      <c r="BV3636" s="236">
        <v>59.3</v>
      </c>
      <c r="BW3636" s="236" t="s">
        <v>340</v>
      </c>
      <c r="CL3636" s="236">
        <v>308.04000000000002</v>
      </c>
      <c r="CM3636" s="236" t="s">
        <v>322</v>
      </c>
      <c r="CT3636" s="1384"/>
      <c r="CZ3636" s="338"/>
      <c r="DA3636" s="338"/>
      <c r="DP3636" s="236"/>
      <c r="DQ3636" s="236"/>
      <c r="DX3636" s="1671"/>
    </row>
    <row r="3637" spans="38:128">
      <c r="AL3637" s="1037"/>
      <c r="BP3637" s="1385"/>
      <c r="BV3637" s="236">
        <v>59.31</v>
      </c>
      <c r="BW3637" s="236" t="s">
        <v>340</v>
      </c>
      <c r="CL3637" s="338">
        <v>308.05</v>
      </c>
      <c r="CM3637" s="338" t="s">
        <v>289</v>
      </c>
      <c r="CT3637" s="1384"/>
      <c r="CZ3637" s="338"/>
      <c r="DA3637" s="338"/>
      <c r="DP3637" s="236"/>
      <c r="DQ3637" s="236"/>
      <c r="DX3637" s="1671"/>
    </row>
    <row r="3638" spans="38:128">
      <c r="AL3638" s="1037"/>
      <c r="BP3638" s="1385"/>
      <c r="BV3638" s="236">
        <v>59.33</v>
      </c>
      <c r="BW3638" s="236" t="s">
        <v>340</v>
      </c>
      <c r="CL3638" s="236">
        <v>308.05</v>
      </c>
      <c r="CM3638" s="236" t="s">
        <v>322</v>
      </c>
      <c r="CT3638" s="1384"/>
      <c r="CZ3638" s="338"/>
      <c r="DA3638" s="338"/>
      <c r="DP3638" s="236"/>
      <c r="DQ3638" s="236"/>
      <c r="DX3638" s="1671"/>
    </row>
    <row r="3639" spans="38:128">
      <c r="AL3639" s="1037"/>
      <c r="BP3639" s="1385"/>
      <c r="BV3639" s="236">
        <v>59.34</v>
      </c>
      <c r="BW3639" s="236" t="s">
        <v>340</v>
      </c>
      <c r="CL3639" s="338">
        <v>308.06</v>
      </c>
      <c r="CM3639" s="338" t="s">
        <v>289</v>
      </c>
      <c r="CT3639" s="1384"/>
      <c r="CZ3639" s="338"/>
      <c r="DA3639" s="338"/>
      <c r="DP3639" s="236"/>
      <c r="DQ3639" s="236"/>
      <c r="DX3639" s="1671"/>
    </row>
    <row r="3640" spans="38:128">
      <c r="AL3640" s="1037"/>
      <c r="BP3640" s="1385"/>
      <c r="BV3640" s="236">
        <v>59.36</v>
      </c>
      <c r="BW3640" s="236" t="s">
        <v>340</v>
      </c>
      <c r="CL3640" s="236">
        <v>308.06</v>
      </c>
      <c r="CM3640" s="236" t="s">
        <v>322</v>
      </c>
      <c r="CT3640" s="1384"/>
      <c r="CZ3640" s="338"/>
      <c r="DA3640" s="338"/>
      <c r="DP3640" s="236"/>
      <c r="DQ3640" s="236"/>
      <c r="DX3640" s="1671"/>
    </row>
    <row r="3641" spans="38:128">
      <c r="AL3641" s="1037"/>
      <c r="BP3641" s="1385"/>
      <c r="BV3641" s="236">
        <v>59.37</v>
      </c>
      <c r="BW3641" s="236" t="s">
        <v>340</v>
      </c>
      <c r="CL3641" s="236">
        <v>308.07</v>
      </c>
      <c r="CM3641" s="236" t="s">
        <v>322</v>
      </c>
      <c r="CT3641" s="1384"/>
      <c r="CZ3641" s="338"/>
      <c r="DA3641" s="338"/>
      <c r="DP3641" s="236"/>
      <c r="DQ3641" s="236"/>
      <c r="DX3641" s="1671"/>
    </row>
    <row r="3642" spans="38:128">
      <c r="AL3642" s="1037"/>
      <c r="BP3642" s="1385"/>
      <c r="BV3642" s="236">
        <v>59.38</v>
      </c>
      <c r="BW3642" s="236" t="s">
        <v>340</v>
      </c>
      <c r="CL3642" s="236">
        <v>309.01</v>
      </c>
      <c r="CM3642" s="236" t="s">
        <v>341</v>
      </c>
      <c r="CT3642" s="1384"/>
      <c r="CZ3642" s="338"/>
      <c r="DA3642" s="338"/>
      <c r="DP3642" s="236"/>
      <c r="DQ3642" s="236"/>
      <c r="DX3642" s="1671"/>
    </row>
    <row r="3643" spans="38:128">
      <c r="AL3643" s="1037"/>
      <c r="BP3643" s="1385"/>
      <c r="BV3643" s="236">
        <v>59.39</v>
      </c>
      <c r="BW3643" s="236" t="s">
        <v>340</v>
      </c>
      <c r="CL3643" s="338">
        <v>309.02</v>
      </c>
      <c r="CM3643" s="338" t="s">
        <v>289</v>
      </c>
      <c r="CT3643" s="1384"/>
      <c r="CZ3643" s="338"/>
      <c r="DA3643" s="338"/>
      <c r="DP3643" s="236"/>
      <c r="DQ3643" s="236"/>
      <c r="DX3643" s="1671"/>
    </row>
    <row r="3644" spans="38:128">
      <c r="AL3644" s="1037"/>
      <c r="BP3644" s="1385"/>
      <c r="BV3644" s="236">
        <v>59.4</v>
      </c>
      <c r="BW3644" s="236" t="s">
        <v>340</v>
      </c>
      <c r="CL3644" s="338">
        <v>309.02999999999997</v>
      </c>
      <c r="CM3644" s="338" t="s">
        <v>289</v>
      </c>
      <c r="CT3644" s="1384"/>
      <c r="CZ3644" s="338"/>
      <c r="DA3644" s="338"/>
      <c r="DP3644" s="236"/>
      <c r="DQ3644" s="236"/>
      <c r="DX3644" s="1671"/>
    </row>
    <row r="3645" spans="38:128">
      <c r="AL3645" s="1037"/>
      <c r="BP3645" s="1385"/>
      <c r="BV3645" s="236">
        <v>59.42</v>
      </c>
      <c r="BW3645" s="236" t="s">
        <v>340</v>
      </c>
      <c r="CL3645" s="338">
        <v>309.02999999999997</v>
      </c>
      <c r="CM3645" s="338" t="s">
        <v>296</v>
      </c>
      <c r="CT3645" s="1384"/>
      <c r="CZ3645" s="338"/>
      <c r="DA3645" s="338"/>
      <c r="DP3645" s="236"/>
      <c r="DQ3645" s="236"/>
      <c r="DX3645" s="1671"/>
    </row>
    <row r="3646" spans="38:128">
      <c r="AL3646" s="1037"/>
      <c r="BP3646" s="1385"/>
      <c r="BV3646" s="236">
        <v>59.43</v>
      </c>
      <c r="BW3646" s="236" t="s">
        <v>340</v>
      </c>
      <c r="CL3646" s="338">
        <v>309.04000000000002</v>
      </c>
      <c r="CM3646" s="338" t="s">
        <v>289</v>
      </c>
      <c r="CT3646" s="1384"/>
      <c r="CZ3646" s="338"/>
      <c r="DA3646" s="338"/>
      <c r="DP3646" s="236"/>
      <c r="DQ3646" s="236"/>
      <c r="DX3646" s="1671"/>
    </row>
    <row r="3647" spans="38:128">
      <c r="AL3647" s="1037"/>
      <c r="BP3647" s="1385"/>
      <c r="BV3647" s="236">
        <v>59.44</v>
      </c>
      <c r="BW3647" s="236" t="s">
        <v>340</v>
      </c>
      <c r="CL3647" s="338">
        <v>309.04000000000002</v>
      </c>
      <c r="CM3647" s="338" t="s">
        <v>296</v>
      </c>
      <c r="CT3647" s="1384"/>
      <c r="CZ3647" s="338"/>
      <c r="DA3647" s="338"/>
      <c r="DP3647" s="236"/>
      <c r="DQ3647" s="236"/>
      <c r="DX3647" s="1671"/>
    </row>
    <row r="3648" spans="38:128">
      <c r="AL3648" s="1037"/>
      <c r="BP3648" s="1385"/>
      <c r="BV3648" s="236">
        <v>59.45</v>
      </c>
      <c r="BW3648" s="236" t="s">
        <v>340</v>
      </c>
      <c r="CL3648" s="338">
        <v>309.05</v>
      </c>
      <c r="CM3648" s="338" t="s">
        <v>296</v>
      </c>
      <c r="CT3648" s="1384"/>
      <c r="CZ3648" s="338"/>
      <c r="DA3648" s="338"/>
      <c r="DP3648" s="236"/>
      <c r="DQ3648" s="236"/>
      <c r="DX3648" s="1671"/>
    </row>
    <row r="3649" spans="38:128">
      <c r="AL3649" s="1037"/>
      <c r="BP3649" s="1385"/>
      <c r="BV3649" s="236">
        <v>59.46</v>
      </c>
      <c r="BW3649" s="236" t="s">
        <v>340</v>
      </c>
      <c r="CL3649" s="236">
        <v>309.05</v>
      </c>
      <c r="CM3649" s="236" t="s">
        <v>341</v>
      </c>
      <c r="CT3649" s="1384"/>
      <c r="CZ3649" s="338"/>
      <c r="DA3649" s="338"/>
      <c r="DP3649" s="236"/>
      <c r="DQ3649" s="236"/>
      <c r="DX3649" s="1671"/>
    </row>
    <row r="3650" spans="38:128">
      <c r="AL3650" s="1037"/>
      <c r="BP3650" s="1385"/>
      <c r="BV3650" s="236">
        <v>59.47</v>
      </c>
      <c r="BW3650" s="236" t="s">
        <v>340</v>
      </c>
      <c r="CL3650" s="338">
        <v>309.06</v>
      </c>
      <c r="CM3650" s="338" t="s">
        <v>296</v>
      </c>
      <c r="CT3650" s="1384"/>
      <c r="CZ3650" s="338"/>
      <c r="DA3650" s="338"/>
      <c r="DP3650" s="236"/>
      <c r="DQ3650" s="236"/>
      <c r="DX3650" s="1671"/>
    </row>
    <row r="3651" spans="38:128">
      <c r="AL3651" s="1037"/>
      <c r="BP3651" s="1385"/>
      <c r="BV3651" s="236">
        <v>59.49</v>
      </c>
      <c r="BW3651" s="236" t="s">
        <v>340</v>
      </c>
      <c r="CL3651" s="236">
        <v>309.06</v>
      </c>
      <c r="CM3651" s="236" t="s">
        <v>341</v>
      </c>
      <c r="CT3651" s="1384"/>
      <c r="CZ3651" s="338"/>
      <c r="DA3651" s="338"/>
      <c r="DP3651" s="236"/>
      <c r="DQ3651" s="236"/>
      <c r="DX3651" s="1671"/>
    </row>
    <row r="3652" spans="38:128">
      <c r="AL3652" s="1037"/>
      <c r="BP3652" s="1385"/>
      <c r="BV3652" s="236">
        <v>59.5</v>
      </c>
      <c r="BW3652" s="236" t="s">
        <v>340</v>
      </c>
      <c r="CL3652" s="236">
        <v>309.14</v>
      </c>
      <c r="CM3652" s="236" t="s">
        <v>322</v>
      </c>
      <c r="CT3652" s="1384"/>
      <c r="CZ3652" s="338"/>
      <c r="DA3652" s="338"/>
      <c r="DP3652" s="236"/>
      <c r="DQ3652" s="236"/>
      <c r="DX3652" s="1671"/>
    </row>
    <row r="3653" spans="38:128">
      <c r="AL3653" s="1037"/>
      <c r="BP3653" s="1385"/>
      <c r="BV3653" s="236">
        <v>59.51</v>
      </c>
      <c r="BW3653" s="236" t="s">
        <v>340</v>
      </c>
      <c r="CL3653" s="236">
        <v>309.14999999999998</v>
      </c>
      <c r="CM3653" s="236" t="s">
        <v>322</v>
      </c>
      <c r="CT3653" s="1384"/>
      <c r="CZ3653" s="338"/>
      <c r="DA3653" s="338"/>
      <c r="DP3653" s="236"/>
      <c r="DQ3653" s="236"/>
      <c r="DX3653" s="1671"/>
    </row>
    <row r="3654" spans="38:128">
      <c r="AL3654" s="1037"/>
      <c r="BP3654" s="1385"/>
      <c r="BV3654" s="236">
        <v>59.52</v>
      </c>
      <c r="BW3654" s="236" t="s">
        <v>340</v>
      </c>
      <c r="CL3654" s="236">
        <v>309.16000000000003</v>
      </c>
      <c r="CM3654" s="236" t="s">
        <v>322</v>
      </c>
      <c r="CT3654" s="1384"/>
      <c r="CZ3654" s="338"/>
      <c r="DA3654" s="338"/>
      <c r="DP3654" s="236"/>
      <c r="DQ3654" s="236"/>
      <c r="DX3654" s="1671"/>
    </row>
    <row r="3655" spans="38:128">
      <c r="AL3655" s="1037"/>
      <c r="BP3655" s="1385"/>
      <c r="BV3655" s="236">
        <v>59.53</v>
      </c>
      <c r="BW3655" s="236" t="s">
        <v>340</v>
      </c>
      <c r="CL3655" s="236">
        <v>309.17</v>
      </c>
      <c r="CM3655" s="236" t="s">
        <v>322</v>
      </c>
      <c r="CT3655" s="1384"/>
      <c r="CZ3655" s="338"/>
      <c r="DA3655" s="338"/>
      <c r="DP3655" s="236"/>
      <c r="DQ3655" s="236"/>
      <c r="DX3655" s="1671"/>
    </row>
    <row r="3656" spans="38:128">
      <c r="AL3656" s="1037"/>
      <c r="BP3656" s="1385"/>
      <c r="BV3656" s="236">
        <v>59.54</v>
      </c>
      <c r="BW3656" s="236" t="s">
        <v>340</v>
      </c>
      <c r="CL3656" s="236">
        <v>309.18</v>
      </c>
      <c r="CM3656" s="236" t="s">
        <v>322</v>
      </c>
      <c r="CT3656" s="1384"/>
      <c r="CZ3656" s="338"/>
      <c r="DA3656" s="338"/>
      <c r="DP3656" s="236"/>
      <c r="DQ3656" s="236"/>
      <c r="DX3656" s="1671"/>
    </row>
    <row r="3657" spans="38:128">
      <c r="AL3657" s="1037"/>
      <c r="BP3657" s="1385"/>
      <c r="BV3657" s="236">
        <v>59.55</v>
      </c>
      <c r="BW3657" s="236" t="s">
        <v>340</v>
      </c>
      <c r="CL3657" s="338">
        <v>310.01</v>
      </c>
      <c r="CM3657" s="338" t="s">
        <v>289</v>
      </c>
      <c r="CT3657" s="1384"/>
      <c r="CZ3657" s="338"/>
      <c r="DA3657" s="338"/>
      <c r="DP3657" s="236"/>
      <c r="DQ3657" s="236"/>
      <c r="DX3657" s="1671"/>
    </row>
    <row r="3658" spans="38:128">
      <c r="AL3658" s="1037"/>
      <c r="BP3658" s="1385"/>
      <c r="BV3658" s="236">
        <v>59.57</v>
      </c>
      <c r="BW3658" s="236" t="s">
        <v>340</v>
      </c>
      <c r="CL3658" s="236">
        <v>310.01</v>
      </c>
      <c r="CM3658" s="236" t="s">
        <v>322</v>
      </c>
      <c r="CT3658" s="1384"/>
      <c r="CZ3658" s="338"/>
      <c r="DA3658" s="338"/>
      <c r="DP3658" s="236"/>
      <c r="DQ3658" s="236"/>
      <c r="DX3658" s="1671"/>
    </row>
    <row r="3659" spans="38:128">
      <c r="AL3659" s="1037"/>
      <c r="BP3659" s="1385"/>
      <c r="BV3659" s="236">
        <v>59.58</v>
      </c>
      <c r="BW3659" s="236" t="s">
        <v>340</v>
      </c>
      <c r="CL3659" s="338">
        <v>310.02</v>
      </c>
      <c r="CM3659" s="338" t="s">
        <v>289</v>
      </c>
      <c r="CT3659" s="1384"/>
      <c r="CZ3659" s="338"/>
      <c r="DA3659" s="338"/>
      <c r="DP3659" s="236"/>
      <c r="DQ3659" s="236"/>
      <c r="DX3659" s="1671"/>
    </row>
    <row r="3660" spans="38:128">
      <c r="AL3660" s="1037"/>
      <c r="BP3660" s="1385"/>
      <c r="BV3660" s="236">
        <v>59.59</v>
      </c>
      <c r="BW3660" s="236" t="s">
        <v>340</v>
      </c>
      <c r="CL3660" s="236">
        <v>310.02</v>
      </c>
      <c r="CM3660" s="236" t="s">
        <v>322</v>
      </c>
      <c r="CT3660" s="1384"/>
      <c r="CZ3660" s="338"/>
      <c r="DA3660" s="338"/>
      <c r="DP3660" s="236"/>
      <c r="DQ3660" s="236"/>
      <c r="DX3660" s="1671"/>
    </row>
    <row r="3661" spans="38:128">
      <c r="AL3661" s="1037"/>
      <c r="BP3661" s="1385"/>
      <c r="BV3661" s="236">
        <v>59.6</v>
      </c>
      <c r="BW3661" s="236" t="s">
        <v>340</v>
      </c>
      <c r="CL3661" s="236">
        <v>310.02999999999997</v>
      </c>
      <c r="CM3661" s="236" t="s">
        <v>341</v>
      </c>
      <c r="CT3661" s="1384"/>
      <c r="CZ3661" s="338"/>
      <c r="DA3661" s="338"/>
      <c r="DP3661" s="236"/>
      <c r="DQ3661" s="236"/>
      <c r="DX3661" s="1671"/>
    </row>
    <row r="3662" spans="38:128">
      <c r="AL3662" s="1037"/>
      <c r="BP3662" s="1385"/>
      <c r="BV3662" s="236">
        <v>59.61</v>
      </c>
      <c r="BW3662" s="236" t="s">
        <v>340</v>
      </c>
      <c r="CL3662" s="236">
        <v>310.05</v>
      </c>
      <c r="CM3662" s="236" t="s">
        <v>341</v>
      </c>
      <c r="CT3662" s="1384"/>
      <c r="CZ3662" s="338"/>
      <c r="DA3662" s="338"/>
      <c r="DP3662" s="236"/>
      <c r="DQ3662" s="236"/>
      <c r="DX3662" s="1671"/>
    </row>
    <row r="3663" spans="38:128">
      <c r="AL3663" s="1037"/>
      <c r="BP3663" s="1385"/>
      <c r="BV3663" s="236">
        <v>60.05</v>
      </c>
      <c r="BW3663" s="236" t="s">
        <v>340</v>
      </c>
      <c r="CL3663" s="236">
        <v>310.06</v>
      </c>
      <c r="CM3663" s="236" t="s">
        <v>341</v>
      </c>
      <c r="CT3663" s="1384"/>
      <c r="CZ3663" s="338"/>
      <c r="DA3663" s="338"/>
      <c r="DP3663" s="236"/>
      <c r="DQ3663" s="236"/>
      <c r="DX3663" s="1671"/>
    </row>
    <row r="3664" spans="38:128">
      <c r="AL3664" s="1037"/>
      <c r="BP3664" s="1385"/>
      <c r="BV3664" s="236">
        <v>60.06</v>
      </c>
      <c r="BW3664" s="236" t="s">
        <v>340</v>
      </c>
      <c r="CL3664" s="236">
        <v>310.07</v>
      </c>
      <c r="CM3664" s="236" t="s">
        <v>341</v>
      </c>
      <c r="CT3664" s="1384"/>
      <c r="CZ3664" s="338"/>
      <c r="DA3664" s="338"/>
      <c r="DP3664" s="236"/>
      <c r="DQ3664" s="236"/>
      <c r="DX3664" s="1671"/>
    </row>
    <row r="3665" spans="38:128">
      <c r="AL3665" s="1037"/>
      <c r="BP3665" s="1385"/>
      <c r="BV3665" s="236">
        <v>60.07</v>
      </c>
      <c r="BW3665" s="236" t="s">
        <v>340</v>
      </c>
      <c r="CL3665" s="236">
        <v>310.08</v>
      </c>
      <c r="CM3665" s="236" t="s">
        <v>341</v>
      </c>
      <c r="CT3665" s="1384"/>
      <c r="CZ3665" s="338"/>
      <c r="DA3665" s="338"/>
      <c r="DP3665" s="236"/>
      <c r="DQ3665" s="236"/>
      <c r="DX3665" s="1671"/>
    </row>
    <row r="3666" spans="38:128">
      <c r="AL3666" s="1037"/>
      <c r="BP3666" s="1385"/>
      <c r="BV3666" s="236">
        <v>60.08</v>
      </c>
      <c r="BW3666" s="236" t="s">
        <v>340</v>
      </c>
      <c r="CL3666" s="236">
        <v>310.08999999999997</v>
      </c>
      <c r="CM3666" s="236" t="s">
        <v>341</v>
      </c>
      <c r="CT3666" s="1384"/>
      <c r="CZ3666" s="338"/>
      <c r="DA3666" s="338"/>
      <c r="DP3666" s="236"/>
      <c r="DQ3666" s="236"/>
      <c r="DX3666" s="1671"/>
    </row>
    <row r="3667" spans="38:128">
      <c r="AL3667" s="1037"/>
      <c r="BP3667" s="1385"/>
      <c r="BV3667" s="236">
        <v>60.09</v>
      </c>
      <c r="BW3667" s="236" t="s">
        <v>340</v>
      </c>
      <c r="CL3667" s="236">
        <v>310.10000000000002</v>
      </c>
      <c r="CM3667" s="236" t="s">
        <v>341</v>
      </c>
      <c r="CT3667" s="1384"/>
      <c r="CZ3667" s="338"/>
      <c r="DA3667" s="338"/>
      <c r="DP3667" s="236"/>
      <c r="DQ3667" s="236"/>
      <c r="DX3667" s="1671"/>
    </row>
    <row r="3668" spans="38:128">
      <c r="AL3668" s="1037"/>
      <c r="BP3668" s="1385"/>
      <c r="BV3668" s="236">
        <v>60.1</v>
      </c>
      <c r="BW3668" s="236" t="s">
        <v>340</v>
      </c>
      <c r="CL3668" s="236">
        <v>310.11</v>
      </c>
      <c r="CM3668" s="236" t="s">
        <v>341</v>
      </c>
      <c r="CT3668" s="1384"/>
      <c r="CZ3668" s="338"/>
      <c r="DA3668" s="338"/>
      <c r="DP3668" s="236"/>
      <c r="DQ3668" s="236"/>
      <c r="DX3668" s="1671"/>
    </row>
    <row r="3669" spans="38:128">
      <c r="AL3669" s="1037"/>
      <c r="BP3669" s="1385"/>
      <c r="BV3669" s="236">
        <v>60.11</v>
      </c>
      <c r="BW3669" s="236" t="s">
        <v>340</v>
      </c>
      <c r="CL3669" s="236">
        <v>310.12</v>
      </c>
      <c r="CM3669" s="236" t="s">
        <v>341</v>
      </c>
      <c r="CT3669" s="1384"/>
      <c r="CZ3669" s="338"/>
      <c r="DA3669" s="338"/>
      <c r="DP3669" s="236"/>
      <c r="DQ3669" s="236"/>
      <c r="DX3669" s="1671"/>
    </row>
    <row r="3670" spans="38:128">
      <c r="AL3670" s="1037"/>
      <c r="BP3670" s="1385"/>
      <c r="BV3670" s="236">
        <v>60.12</v>
      </c>
      <c r="BW3670" s="236" t="s">
        <v>340</v>
      </c>
      <c r="CL3670" s="236">
        <v>310.13</v>
      </c>
      <c r="CM3670" s="236" t="s">
        <v>341</v>
      </c>
      <c r="CT3670" s="1384"/>
      <c r="CZ3670" s="338"/>
      <c r="DA3670" s="338"/>
      <c r="DP3670" s="236"/>
      <c r="DQ3670" s="236"/>
      <c r="DX3670" s="1671"/>
    </row>
    <row r="3671" spans="38:128">
      <c r="AL3671" s="1037"/>
      <c r="BP3671" s="1385"/>
      <c r="BV3671" s="236">
        <v>61</v>
      </c>
      <c r="BW3671" s="236" t="s">
        <v>340</v>
      </c>
      <c r="CL3671" s="236">
        <v>310.14</v>
      </c>
      <c r="CM3671" s="236" t="s">
        <v>341</v>
      </c>
      <c r="CT3671" s="1384"/>
      <c r="CZ3671" s="338"/>
      <c r="DA3671" s="338"/>
      <c r="DP3671" s="236"/>
      <c r="DQ3671" s="236"/>
      <c r="DX3671" s="1671"/>
    </row>
    <row r="3672" spans="38:128">
      <c r="AL3672" s="1037"/>
      <c r="BP3672" s="1385"/>
      <c r="BV3672" s="236">
        <v>62.01</v>
      </c>
      <c r="BW3672" s="236" t="s">
        <v>340</v>
      </c>
      <c r="CL3672" s="338">
        <v>311.01</v>
      </c>
      <c r="CM3672" s="338" t="s">
        <v>289</v>
      </c>
      <c r="CT3672" s="1384"/>
      <c r="CZ3672" s="338"/>
      <c r="DA3672" s="338"/>
      <c r="DP3672" s="236"/>
      <c r="DQ3672" s="236"/>
      <c r="DX3672" s="1671"/>
    </row>
    <row r="3673" spans="38:128">
      <c r="AL3673" s="1037"/>
      <c r="BP3673" s="1385"/>
      <c r="BV3673" s="236">
        <v>62.02</v>
      </c>
      <c r="BW3673" s="236" t="s">
        <v>340</v>
      </c>
      <c r="CL3673" s="338">
        <v>311.01</v>
      </c>
      <c r="CM3673" s="338" t="s">
        <v>296</v>
      </c>
      <c r="CT3673" s="1384"/>
      <c r="CZ3673" s="338"/>
      <c r="DA3673" s="338"/>
      <c r="DP3673" s="236"/>
      <c r="DQ3673" s="236"/>
      <c r="DX3673" s="1671"/>
    </row>
    <row r="3674" spans="38:128">
      <c r="AL3674" s="1037"/>
      <c r="BP3674" s="1385"/>
      <c r="BV3674" s="236">
        <v>62.03</v>
      </c>
      <c r="BW3674" s="236" t="s">
        <v>340</v>
      </c>
      <c r="CL3674" s="236">
        <v>311.01</v>
      </c>
      <c r="CM3674" s="236" t="s">
        <v>341</v>
      </c>
      <c r="CT3674" s="1384"/>
      <c r="CZ3674" s="338"/>
      <c r="DA3674" s="338"/>
      <c r="DP3674" s="236"/>
      <c r="DQ3674" s="236"/>
      <c r="DX3674" s="1671"/>
    </row>
    <row r="3675" spans="38:128">
      <c r="AL3675" s="1037"/>
      <c r="BP3675" s="1385"/>
      <c r="BV3675" s="236">
        <v>63.01</v>
      </c>
      <c r="BW3675" s="236" t="s">
        <v>340</v>
      </c>
      <c r="CL3675" s="338">
        <v>311.02</v>
      </c>
      <c r="CM3675" s="338" t="s">
        <v>289</v>
      </c>
      <c r="CT3675" s="1384"/>
      <c r="CZ3675" s="338"/>
      <c r="DA3675" s="338"/>
      <c r="DP3675" s="236"/>
      <c r="DQ3675" s="236"/>
      <c r="DX3675" s="1671"/>
    </row>
    <row r="3676" spans="38:128">
      <c r="AL3676" s="1037"/>
      <c r="BP3676" s="1385"/>
      <c r="BV3676" s="236">
        <v>63.02</v>
      </c>
      <c r="BW3676" s="236" t="s">
        <v>340</v>
      </c>
      <c r="CL3676" s="236">
        <v>311.02999999999997</v>
      </c>
      <c r="CM3676" s="236" t="s">
        <v>322</v>
      </c>
      <c r="CT3676" s="1384"/>
      <c r="CZ3676" s="338"/>
      <c r="DA3676" s="338"/>
      <c r="DP3676" s="236"/>
      <c r="DQ3676" s="236"/>
      <c r="DX3676" s="1671"/>
    </row>
    <row r="3677" spans="38:128">
      <c r="AL3677" s="1037"/>
      <c r="BP3677" s="1385"/>
      <c r="BV3677" s="236">
        <v>64.010000000000005</v>
      </c>
      <c r="BW3677" s="236" t="s">
        <v>340</v>
      </c>
      <c r="CL3677" s="236">
        <v>311.02999999999997</v>
      </c>
      <c r="CM3677" s="236" t="s">
        <v>341</v>
      </c>
      <c r="CT3677" s="1384"/>
      <c r="CZ3677" s="338"/>
      <c r="DA3677" s="338"/>
      <c r="DP3677" s="236"/>
      <c r="DQ3677" s="236"/>
      <c r="DX3677" s="1671"/>
    </row>
    <row r="3678" spans="38:128">
      <c r="AL3678" s="1037"/>
      <c r="BP3678" s="1385"/>
      <c r="BV3678" s="236">
        <v>64.02</v>
      </c>
      <c r="BW3678" s="236" t="s">
        <v>340</v>
      </c>
      <c r="CL3678" s="338">
        <v>311.04000000000002</v>
      </c>
      <c r="CM3678" s="338" t="s">
        <v>296</v>
      </c>
      <c r="CT3678" s="1384"/>
      <c r="CZ3678" s="338"/>
      <c r="DA3678" s="338"/>
      <c r="DP3678" s="236"/>
      <c r="DQ3678" s="236"/>
      <c r="DX3678" s="1671"/>
    </row>
    <row r="3679" spans="38:128">
      <c r="AL3679" s="1037"/>
      <c r="BP3679" s="1385"/>
      <c r="BV3679" s="236">
        <v>65.010000000000005</v>
      </c>
      <c r="BW3679" s="236" t="s">
        <v>340</v>
      </c>
      <c r="CL3679" s="236">
        <v>311.04000000000002</v>
      </c>
      <c r="CM3679" s="236" t="s">
        <v>322</v>
      </c>
      <c r="CT3679" s="1384"/>
      <c r="CZ3679" s="338"/>
      <c r="DA3679" s="338"/>
      <c r="DP3679" s="236"/>
      <c r="DQ3679" s="236"/>
      <c r="DX3679" s="1671"/>
    </row>
    <row r="3680" spans="38:128">
      <c r="AL3680" s="1037"/>
      <c r="BP3680" s="1385"/>
      <c r="BV3680" s="236">
        <v>65.02</v>
      </c>
      <c r="BW3680" s="236" t="s">
        <v>340</v>
      </c>
      <c r="CL3680" s="236">
        <v>311.04000000000002</v>
      </c>
      <c r="CM3680" s="236" t="s">
        <v>341</v>
      </c>
      <c r="CT3680" s="1384"/>
      <c r="CZ3680" s="338"/>
      <c r="DA3680" s="338"/>
      <c r="DP3680" s="236"/>
      <c r="DQ3680" s="236"/>
      <c r="DX3680" s="1671"/>
    </row>
    <row r="3681" spans="38:128">
      <c r="AL3681" s="1037"/>
      <c r="BP3681" s="1385"/>
      <c r="BV3681" s="236">
        <v>66.02</v>
      </c>
      <c r="BW3681" s="236" t="s">
        <v>340</v>
      </c>
      <c r="CL3681" s="338">
        <v>311.05</v>
      </c>
      <c r="CM3681" s="338" t="s">
        <v>296</v>
      </c>
      <c r="CT3681" s="1384"/>
      <c r="CZ3681" s="338"/>
      <c r="DA3681" s="338"/>
      <c r="DP3681" s="236"/>
      <c r="DQ3681" s="236"/>
      <c r="DX3681" s="1671"/>
    </row>
    <row r="3682" spans="38:128">
      <c r="AL3682" s="1037"/>
      <c r="BP3682" s="1385"/>
      <c r="BV3682" s="236">
        <v>66.040000000000006</v>
      </c>
      <c r="BW3682" s="236" t="s">
        <v>340</v>
      </c>
      <c r="CL3682" s="236">
        <v>311.05</v>
      </c>
      <c r="CM3682" s="236" t="s">
        <v>322</v>
      </c>
      <c r="CT3682" s="1384"/>
      <c r="CZ3682" s="338"/>
      <c r="DA3682" s="338"/>
      <c r="DP3682" s="236"/>
      <c r="DQ3682" s="236"/>
      <c r="DX3682" s="1671"/>
    </row>
    <row r="3683" spans="38:128">
      <c r="AL3683" s="1037"/>
      <c r="BP3683" s="1385"/>
      <c r="BV3683" s="236">
        <v>66.06</v>
      </c>
      <c r="BW3683" s="236" t="s">
        <v>340</v>
      </c>
      <c r="CL3683" s="236">
        <v>311.06</v>
      </c>
      <c r="CM3683" s="236" t="s">
        <v>322</v>
      </c>
      <c r="CT3683" s="1384"/>
      <c r="CZ3683" s="338"/>
      <c r="DA3683" s="338"/>
      <c r="DP3683" s="236"/>
      <c r="DQ3683" s="236"/>
      <c r="DX3683" s="1671"/>
    </row>
    <row r="3684" spans="38:128">
      <c r="AL3684" s="1037"/>
      <c r="BP3684" s="1385"/>
      <c r="BV3684" s="236">
        <v>66.069999999999993</v>
      </c>
      <c r="BW3684" s="236" t="s">
        <v>340</v>
      </c>
      <c r="CL3684" s="236">
        <v>311.07</v>
      </c>
      <c r="CM3684" s="236" t="s">
        <v>322</v>
      </c>
      <c r="CT3684" s="1384"/>
      <c r="CZ3684" s="338"/>
      <c r="DA3684" s="338"/>
      <c r="DP3684" s="236"/>
      <c r="DQ3684" s="236"/>
      <c r="DX3684" s="1671"/>
    </row>
    <row r="3685" spans="38:128">
      <c r="AL3685" s="1037"/>
      <c r="BP3685" s="1385"/>
      <c r="BV3685" s="236">
        <v>67</v>
      </c>
      <c r="BW3685" s="236" t="s">
        <v>340</v>
      </c>
      <c r="CL3685" s="338">
        <v>311.08</v>
      </c>
      <c r="CM3685" s="338" t="s">
        <v>296</v>
      </c>
      <c r="CT3685" s="1384"/>
      <c r="CZ3685" s="338"/>
      <c r="DA3685" s="338"/>
      <c r="DP3685" s="236"/>
      <c r="DQ3685" s="236"/>
      <c r="DX3685" s="1671"/>
    </row>
    <row r="3686" spans="38:128">
      <c r="AL3686" s="1037"/>
      <c r="BP3686" s="1385"/>
      <c r="BV3686" s="236">
        <v>68.010000000000005</v>
      </c>
      <c r="BW3686" s="236" t="s">
        <v>340</v>
      </c>
      <c r="CL3686" s="236">
        <v>311.08</v>
      </c>
      <c r="CM3686" s="236" t="s">
        <v>322</v>
      </c>
      <c r="CT3686" s="1384"/>
      <c r="CZ3686" s="338"/>
      <c r="DA3686" s="338"/>
      <c r="DP3686" s="236"/>
      <c r="DQ3686" s="236"/>
      <c r="DX3686" s="1671"/>
    </row>
    <row r="3687" spans="38:128">
      <c r="AL3687" s="1037"/>
      <c r="BP3687" s="1385"/>
      <c r="BV3687" s="236">
        <v>68.02</v>
      </c>
      <c r="BW3687" s="236" t="s">
        <v>340</v>
      </c>
      <c r="CL3687" s="338">
        <v>311.08999999999997</v>
      </c>
      <c r="CM3687" s="338" t="s">
        <v>296</v>
      </c>
      <c r="CT3687" s="1384"/>
      <c r="CZ3687" s="338"/>
      <c r="DA3687" s="338"/>
      <c r="DP3687" s="236"/>
      <c r="DQ3687" s="236"/>
      <c r="DX3687" s="1671"/>
    </row>
    <row r="3688" spans="38:128">
      <c r="AL3688" s="1037"/>
      <c r="BP3688" s="1385"/>
      <c r="BV3688" s="236">
        <v>69.06</v>
      </c>
      <c r="BW3688" s="236" t="s">
        <v>340</v>
      </c>
      <c r="CL3688" s="338">
        <v>311.10000000000002</v>
      </c>
      <c r="CM3688" s="338" t="s">
        <v>296</v>
      </c>
      <c r="CT3688" s="1384"/>
      <c r="CZ3688" s="338"/>
      <c r="DA3688" s="338"/>
      <c r="DP3688" s="236"/>
      <c r="DQ3688" s="236"/>
      <c r="DX3688" s="1671"/>
    </row>
    <row r="3689" spans="38:128">
      <c r="AL3689" s="1037"/>
      <c r="BP3689" s="1385"/>
      <c r="BV3689" s="236">
        <v>69.069999999999993</v>
      </c>
      <c r="BW3689" s="236" t="s">
        <v>340</v>
      </c>
      <c r="CL3689" s="236">
        <v>312.01</v>
      </c>
      <c r="CM3689" s="236" t="s">
        <v>296</v>
      </c>
      <c r="CT3689" s="1384"/>
      <c r="CZ3689" s="338"/>
      <c r="DA3689" s="338"/>
      <c r="DP3689" s="236"/>
      <c r="DQ3689" s="236"/>
      <c r="DX3689" s="1671"/>
    </row>
    <row r="3690" spans="38:128">
      <c r="AL3690" s="1037"/>
      <c r="BP3690" s="1385"/>
      <c r="BV3690" s="236">
        <v>69.08</v>
      </c>
      <c r="BW3690" s="236" t="s">
        <v>340</v>
      </c>
      <c r="CL3690" s="236">
        <v>312.02</v>
      </c>
      <c r="CM3690" s="236" t="s">
        <v>296</v>
      </c>
      <c r="CT3690" s="1384"/>
      <c r="CZ3690" s="338"/>
      <c r="DA3690" s="338"/>
      <c r="DP3690" s="236"/>
      <c r="DQ3690" s="236"/>
      <c r="DX3690" s="1671"/>
    </row>
    <row r="3691" spans="38:128">
      <c r="AL3691" s="1037"/>
      <c r="BP3691" s="1385"/>
      <c r="BV3691" s="236">
        <v>69.09</v>
      </c>
      <c r="BW3691" s="236" t="s">
        <v>340</v>
      </c>
      <c r="CL3691" s="236">
        <v>312.02</v>
      </c>
      <c r="CM3691" s="236" t="s">
        <v>322</v>
      </c>
      <c r="CT3691" s="1384"/>
      <c r="CZ3691" s="338"/>
      <c r="DA3691" s="338"/>
      <c r="DP3691" s="236"/>
      <c r="DQ3691" s="236"/>
      <c r="DX3691" s="1671"/>
    </row>
    <row r="3692" spans="38:128">
      <c r="AL3692" s="1037"/>
      <c r="BP3692" s="1385"/>
      <c r="BV3692" s="236">
        <v>69.099999999999994</v>
      </c>
      <c r="BW3692" s="236" t="s">
        <v>340</v>
      </c>
      <c r="CL3692" s="338">
        <v>312.02999999999997</v>
      </c>
      <c r="CM3692" s="338" t="s">
        <v>289</v>
      </c>
      <c r="CT3692" s="1384"/>
      <c r="CZ3692" s="338"/>
      <c r="DA3692" s="338"/>
      <c r="DP3692" s="236"/>
      <c r="DQ3692" s="236"/>
      <c r="DX3692" s="1671"/>
    </row>
    <row r="3693" spans="38:128">
      <c r="AL3693" s="1037"/>
      <c r="BP3693" s="1385"/>
      <c r="BV3693" s="236">
        <v>69.11</v>
      </c>
      <c r="BW3693" s="236" t="s">
        <v>340</v>
      </c>
      <c r="CL3693" s="236">
        <v>312.02999999999997</v>
      </c>
      <c r="CM3693" s="236" t="s">
        <v>296</v>
      </c>
      <c r="CT3693" s="1384"/>
      <c r="CZ3693" s="338"/>
      <c r="DA3693" s="338"/>
      <c r="DP3693" s="236"/>
      <c r="DQ3693" s="236"/>
      <c r="DX3693" s="1671"/>
    </row>
    <row r="3694" spans="38:128">
      <c r="AL3694" s="1037"/>
      <c r="BP3694" s="1385"/>
      <c r="BV3694" s="236">
        <v>69.12</v>
      </c>
      <c r="BW3694" s="236" t="s">
        <v>340</v>
      </c>
      <c r="CL3694" s="236">
        <v>312.02999999999997</v>
      </c>
      <c r="CM3694" s="236" t="s">
        <v>322</v>
      </c>
      <c r="CT3694" s="1384"/>
      <c r="CZ3694" s="338"/>
      <c r="DA3694" s="338"/>
      <c r="DP3694" s="236"/>
      <c r="DQ3694" s="236"/>
      <c r="DX3694" s="1671"/>
    </row>
    <row r="3695" spans="38:128">
      <c r="AL3695" s="1037"/>
      <c r="BP3695" s="1385"/>
      <c r="BV3695" s="236">
        <v>70.05</v>
      </c>
      <c r="BW3695" s="236" t="s">
        <v>340</v>
      </c>
      <c r="CL3695" s="236">
        <v>312.02999999999997</v>
      </c>
      <c r="CM3695" s="236" t="s">
        <v>341</v>
      </c>
      <c r="CT3695" s="1384"/>
      <c r="CZ3695" s="338"/>
      <c r="DA3695" s="338"/>
      <c r="DP3695" s="236"/>
      <c r="DQ3695" s="236"/>
      <c r="DX3695" s="1671"/>
    </row>
    <row r="3696" spans="38:128">
      <c r="AL3696" s="1037"/>
      <c r="BP3696" s="1385"/>
      <c r="BV3696" s="236">
        <v>70.06</v>
      </c>
      <c r="BW3696" s="236" t="s">
        <v>340</v>
      </c>
      <c r="CL3696" s="338">
        <v>312.04000000000002</v>
      </c>
      <c r="CM3696" s="338" t="s">
        <v>289</v>
      </c>
      <c r="CT3696" s="1384"/>
      <c r="CZ3696" s="338"/>
      <c r="DA3696" s="338"/>
      <c r="DP3696" s="236"/>
      <c r="DQ3696" s="236"/>
      <c r="DX3696" s="1671"/>
    </row>
    <row r="3697" spans="38:128">
      <c r="AL3697" s="1037"/>
      <c r="BP3697" s="1385"/>
      <c r="BV3697" s="236">
        <v>70.069999999999993</v>
      </c>
      <c r="BW3697" s="236" t="s">
        <v>340</v>
      </c>
      <c r="CL3697" s="236">
        <v>312.04000000000002</v>
      </c>
      <c r="CM3697" s="236" t="s">
        <v>341</v>
      </c>
      <c r="CT3697" s="1384"/>
      <c r="CZ3697" s="338"/>
      <c r="DA3697" s="338"/>
      <c r="DP3697" s="236"/>
      <c r="DQ3697" s="236"/>
      <c r="DX3697" s="1671"/>
    </row>
    <row r="3698" spans="38:128">
      <c r="AL3698" s="1037"/>
      <c r="BP3698" s="1385"/>
      <c r="BV3698" s="236">
        <v>70.08</v>
      </c>
      <c r="BW3698" s="236" t="s">
        <v>340</v>
      </c>
      <c r="CL3698" s="338">
        <v>312.05</v>
      </c>
      <c r="CM3698" s="338" t="s">
        <v>289</v>
      </c>
      <c r="CT3698" s="1384"/>
      <c r="CZ3698" s="338"/>
      <c r="DA3698" s="338"/>
      <c r="DP3698" s="236"/>
      <c r="DQ3698" s="236"/>
      <c r="DX3698" s="1671"/>
    </row>
    <row r="3699" spans="38:128">
      <c r="AL3699" s="1037"/>
      <c r="BP3699" s="1385"/>
      <c r="BV3699" s="236">
        <v>70.09</v>
      </c>
      <c r="BW3699" s="236" t="s">
        <v>340</v>
      </c>
      <c r="CL3699" s="236">
        <v>312.05</v>
      </c>
      <c r="CM3699" s="236" t="s">
        <v>322</v>
      </c>
      <c r="CT3699" s="1384"/>
      <c r="CZ3699" s="338"/>
      <c r="DA3699" s="338"/>
      <c r="DP3699" s="236"/>
      <c r="DQ3699" s="236"/>
      <c r="DX3699" s="1671"/>
    </row>
    <row r="3700" spans="38:128">
      <c r="AL3700" s="1037"/>
      <c r="BP3700" s="1385"/>
      <c r="BV3700" s="236">
        <v>70.099999999999994</v>
      </c>
      <c r="BW3700" s="236" t="s">
        <v>340</v>
      </c>
      <c r="CL3700" s="236">
        <v>312.05</v>
      </c>
      <c r="CM3700" s="236" t="s">
        <v>341</v>
      </c>
      <c r="CT3700" s="1384"/>
      <c r="CZ3700" s="338"/>
      <c r="DA3700" s="338"/>
      <c r="DP3700" s="236"/>
      <c r="DQ3700" s="236"/>
      <c r="DX3700" s="1671"/>
    </row>
    <row r="3701" spans="38:128">
      <c r="AL3701" s="1037"/>
      <c r="BP3701" s="1385"/>
      <c r="BV3701" s="236">
        <v>70.11</v>
      </c>
      <c r="BW3701" s="236" t="s">
        <v>340</v>
      </c>
      <c r="CL3701" s="338">
        <v>312.06</v>
      </c>
      <c r="CM3701" s="338" t="s">
        <v>289</v>
      </c>
      <c r="CT3701" s="1384"/>
      <c r="CZ3701" s="338"/>
      <c r="DA3701" s="338"/>
      <c r="DP3701" s="236"/>
      <c r="DQ3701" s="236"/>
      <c r="DX3701" s="1671"/>
    </row>
    <row r="3702" spans="38:128">
      <c r="AL3702" s="1037"/>
      <c r="BP3702" s="1385"/>
      <c r="BV3702" s="236">
        <v>70.12</v>
      </c>
      <c r="BW3702" s="236" t="s">
        <v>340</v>
      </c>
      <c r="CL3702" s="236">
        <v>312.06</v>
      </c>
      <c r="CM3702" s="236" t="s">
        <v>322</v>
      </c>
      <c r="CT3702" s="1384"/>
      <c r="CZ3702" s="338"/>
      <c r="DA3702" s="338"/>
      <c r="DP3702" s="236"/>
      <c r="DQ3702" s="236"/>
      <c r="DX3702" s="1671"/>
    </row>
    <row r="3703" spans="38:128">
      <c r="AL3703" s="1037"/>
      <c r="BP3703" s="1385"/>
      <c r="BV3703" s="236">
        <v>70.13</v>
      </c>
      <c r="BW3703" s="236" t="s">
        <v>340</v>
      </c>
      <c r="CL3703" s="236">
        <v>312.06</v>
      </c>
      <c r="CM3703" s="236" t="s">
        <v>341</v>
      </c>
      <c r="CT3703" s="1384"/>
      <c r="CZ3703" s="338"/>
      <c r="DA3703" s="338"/>
      <c r="DP3703" s="236"/>
      <c r="DQ3703" s="236"/>
      <c r="DX3703" s="1671"/>
    </row>
    <row r="3704" spans="38:128">
      <c r="AL3704" s="1037"/>
      <c r="BP3704" s="1385"/>
      <c r="BV3704" s="236">
        <v>71</v>
      </c>
      <c r="BW3704" s="236" t="s">
        <v>340</v>
      </c>
      <c r="CL3704" s="338">
        <v>312.07</v>
      </c>
      <c r="CM3704" s="338" t="s">
        <v>289</v>
      </c>
      <c r="CT3704" s="1384"/>
      <c r="CZ3704" s="338"/>
      <c r="DA3704" s="338"/>
      <c r="DP3704" s="236"/>
      <c r="DQ3704" s="236"/>
      <c r="DX3704" s="1671"/>
    </row>
    <row r="3705" spans="38:128">
      <c r="AL3705" s="1037"/>
      <c r="BP3705" s="1385"/>
      <c r="BV3705" s="236">
        <v>72.02</v>
      </c>
      <c r="BW3705" s="236" t="s">
        <v>340</v>
      </c>
      <c r="CL3705" s="236">
        <v>312.07</v>
      </c>
      <c r="CM3705" s="236" t="s">
        <v>322</v>
      </c>
      <c r="CT3705" s="1384"/>
      <c r="CZ3705" s="338"/>
      <c r="DA3705" s="338"/>
      <c r="DP3705" s="236"/>
      <c r="DQ3705" s="236"/>
      <c r="DX3705" s="1671"/>
    </row>
    <row r="3706" spans="38:128">
      <c r="AL3706" s="1037"/>
      <c r="BP3706" s="1385"/>
      <c r="BV3706" s="236">
        <v>72.040000000000006</v>
      </c>
      <c r="BW3706" s="236" t="s">
        <v>340</v>
      </c>
      <c r="CL3706" s="236">
        <v>312.07</v>
      </c>
      <c r="CM3706" s="236" t="s">
        <v>341</v>
      </c>
      <c r="CT3706" s="1384"/>
      <c r="CZ3706" s="338"/>
      <c r="DA3706" s="338"/>
      <c r="DP3706" s="236"/>
      <c r="DQ3706" s="236"/>
      <c r="DX3706" s="1671"/>
    </row>
    <row r="3707" spans="38:128">
      <c r="AL3707" s="1037"/>
      <c r="BP3707" s="1385"/>
      <c r="BV3707" s="236">
        <v>72.05</v>
      </c>
      <c r="BW3707" s="236" t="s">
        <v>340</v>
      </c>
      <c r="CL3707" s="236">
        <v>312.08</v>
      </c>
      <c r="CM3707" s="236" t="s">
        <v>322</v>
      </c>
      <c r="CT3707" s="1384"/>
      <c r="CZ3707" s="338"/>
      <c r="DA3707" s="338"/>
      <c r="DP3707" s="236"/>
      <c r="DQ3707" s="236"/>
      <c r="DX3707" s="1671"/>
    </row>
    <row r="3708" spans="38:128">
      <c r="AL3708" s="1037"/>
      <c r="BP3708" s="1385"/>
      <c r="BV3708" s="236">
        <v>72.06</v>
      </c>
      <c r="BW3708" s="236" t="s">
        <v>340</v>
      </c>
      <c r="CL3708" s="236">
        <v>312.08</v>
      </c>
      <c r="CM3708" s="236" t="s">
        <v>341</v>
      </c>
      <c r="CT3708" s="1384"/>
      <c r="CZ3708" s="338"/>
      <c r="DA3708" s="338"/>
      <c r="DP3708" s="236"/>
      <c r="DQ3708" s="236"/>
      <c r="DX3708" s="1671"/>
    </row>
    <row r="3709" spans="38:128">
      <c r="AL3709" s="1037"/>
      <c r="BP3709" s="1385"/>
      <c r="BV3709" s="236">
        <v>72.069999999999993</v>
      </c>
      <c r="BW3709" s="236" t="s">
        <v>340</v>
      </c>
      <c r="CL3709" s="236">
        <v>313.01</v>
      </c>
      <c r="CM3709" s="236" t="s">
        <v>296</v>
      </c>
      <c r="CT3709" s="1384"/>
      <c r="CZ3709" s="338"/>
      <c r="DA3709" s="338"/>
      <c r="DP3709" s="236"/>
      <c r="DQ3709" s="236"/>
      <c r="DX3709" s="1671"/>
    </row>
    <row r="3710" spans="38:128">
      <c r="AL3710" s="1037"/>
      <c r="BP3710" s="1385"/>
      <c r="BV3710" s="236">
        <v>72.08</v>
      </c>
      <c r="BW3710" s="236" t="s">
        <v>340</v>
      </c>
      <c r="CL3710" s="236">
        <v>313.01</v>
      </c>
      <c r="CM3710" s="236" t="s">
        <v>322</v>
      </c>
      <c r="CT3710" s="1384"/>
      <c r="CZ3710" s="338"/>
      <c r="DA3710" s="338"/>
      <c r="DP3710" s="236"/>
      <c r="DQ3710" s="236"/>
      <c r="DX3710" s="1671"/>
    </row>
    <row r="3711" spans="38:128">
      <c r="AL3711" s="1037"/>
      <c r="BP3711" s="1385"/>
      <c r="BV3711" s="236">
        <v>73.010000000000005</v>
      </c>
      <c r="BW3711" s="236" t="s">
        <v>340</v>
      </c>
      <c r="CL3711" s="236">
        <v>313.01</v>
      </c>
      <c r="CM3711" s="236" t="s">
        <v>341</v>
      </c>
      <c r="CT3711" s="1384"/>
      <c r="CZ3711" s="338"/>
      <c r="DA3711" s="338"/>
      <c r="DP3711" s="236"/>
      <c r="DQ3711" s="236"/>
      <c r="DX3711" s="1671"/>
    </row>
    <row r="3712" spans="38:128">
      <c r="AL3712" s="1037"/>
      <c r="BP3712" s="1385"/>
      <c r="BV3712" s="236">
        <v>73.02</v>
      </c>
      <c r="BW3712" s="236" t="s">
        <v>340</v>
      </c>
      <c r="CL3712" s="236">
        <v>313.02</v>
      </c>
      <c r="CM3712" s="236" t="s">
        <v>296</v>
      </c>
      <c r="CT3712" s="1384"/>
      <c r="CZ3712" s="338"/>
      <c r="DA3712" s="338"/>
      <c r="DP3712" s="236"/>
      <c r="DQ3712" s="236"/>
      <c r="DX3712" s="1671"/>
    </row>
    <row r="3713" spans="38:128">
      <c r="AL3713" s="1037"/>
      <c r="BP3713" s="1385"/>
      <c r="BV3713" s="236">
        <v>74.069999999999993</v>
      </c>
      <c r="BW3713" s="236" t="s">
        <v>340</v>
      </c>
      <c r="CL3713" s="236">
        <v>313.02</v>
      </c>
      <c r="CM3713" s="236" t="s">
        <v>341</v>
      </c>
      <c r="CT3713" s="1384"/>
      <c r="CZ3713" s="338"/>
      <c r="DA3713" s="338"/>
      <c r="DP3713" s="236"/>
      <c r="DQ3713" s="236"/>
      <c r="DX3713" s="1671"/>
    </row>
    <row r="3714" spans="38:128">
      <c r="AL3714" s="1037"/>
      <c r="BP3714" s="1385"/>
      <c r="BV3714" s="236">
        <v>74.099999999999994</v>
      </c>
      <c r="BW3714" s="236" t="s">
        <v>340</v>
      </c>
      <c r="CL3714" s="236">
        <v>313.02999999999997</v>
      </c>
      <c r="CM3714" s="236" t="s">
        <v>296</v>
      </c>
      <c r="CT3714" s="1384"/>
      <c r="CZ3714" s="338"/>
      <c r="DA3714" s="338"/>
      <c r="DP3714" s="236"/>
      <c r="DQ3714" s="236"/>
      <c r="DX3714" s="1671"/>
    </row>
    <row r="3715" spans="38:128">
      <c r="AL3715" s="1037"/>
      <c r="BP3715" s="1385"/>
      <c r="BV3715" s="236">
        <v>74.12</v>
      </c>
      <c r="BW3715" s="236" t="s">
        <v>340</v>
      </c>
      <c r="CL3715" s="236">
        <v>313.06</v>
      </c>
      <c r="CM3715" s="236" t="s">
        <v>322</v>
      </c>
      <c r="CT3715" s="1384"/>
      <c r="CZ3715" s="338"/>
      <c r="DA3715" s="338"/>
      <c r="DP3715" s="236"/>
      <c r="DQ3715" s="236"/>
      <c r="DX3715" s="1671"/>
    </row>
    <row r="3716" spans="38:128">
      <c r="AL3716" s="1037"/>
      <c r="BP3716" s="1385"/>
      <c r="BV3716" s="236">
        <v>74.14</v>
      </c>
      <c r="BW3716" s="236" t="s">
        <v>340</v>
      </c>
      <c r="CL3716" s="236">
        <v>313.08</v>
      </c>
      <c r="CM3716" s="236" t="s">
        <v>322</v>
      </c>
      <c r="CT3716" s="1384"/>
      <c r="CZ3716" s="338"/>
      <c r="DA3716" s="338"/>
      <c r="DP3716" s="236"/>
      <c r="DQ3716" s="236"/>
      <c r="DX3716" s="1671"/>
    </row>
    <row r="3717" spans="38:128">
      <c r="AL3717" s="1037"/>
      <c r="BP3717" s="1385"/>
      <c r="BV3717" s="236">
        <v>74.2</v>
      </c>
      <c r="BW3717" s="236" t="s">
        <v>340</v>
      </c>
      <c r="CL3717" s="236">
        <v>313.08999999999997</v>
      </c>
      <c r="CM3717" s="236" t="s">
        <v>322</v>
      </c>
      <c r="CT3717" s="1384"/>
      <c r="CZ3717" s="338"/>
      <c r="DA3717" s="338"/>
      <c r="DP3717" s="236"/>
      <c r="DQ3717" s="236"/>
      <c r="DX3717" s="1671"/>
    </row>
    <row r="3718" spans="38:128">
      <c r="AL3718" s="1037"/>
      <c r="BP3718" s="1385"/>
      <c r="BV3718" s="236">
        <v>74.209999999999994</v>
      </c>
      <c r="BW3718" s="236" t="s">
        <v>340</v>
      </c>
      <c r="CL3718" s="236">
        <v>313.12</v>
      </c>
      <c r="CM3718" s="236" t="s">
        <v>322</v>
      </c>
      <c r="CT3718" s="1384"/>
      <c r="CZ3718" s="338"/>
      <c r="DA3718" s="338"/>
      <c r="DP3718" s="236"/>
      <c r="DQ3718" s="236"/>
      <c r="DX3718" s="1671"/>
    </row>
    <row r="3719" spans="38:128">
      <c r="AL3719" s="1037"/>
      <c r="BP3719" s="1385"/>
      <c r="BV3719" s="236">
        <v>75.010000000000005</v>
      </c>
      <c r="BW3719" s="236" t="s">
        <v>340</v>
      </c>
      <c r="CL3719" s="236">
        <v>313.13</v>
      </c>
      <c r="CM3719" s="236" t="s">
        <v>322</v>
      </c>
      <c r="CT3719" s="1384"/>
      <c r="CZ3719" s="338"/>
      <c r="DA3719" s="338"/>
      <c r="DP3719" s="236"/>
      <c r="DQ3719" s="236"/>
      <c r="DX3719" s="1671"/>
    </row>
    <row r="3720" spans="38:128">
      <c r="AL3720" s="1037"/>
      <c r="BP3720" s="1385"/>
      <c r="BV3720" s="236">
        <v>75.040000000000006</v>
      </c>
      <c r="BW3720" s="236" t="s">
        <v>340</v>
      </c>
      <c r="CL3720" s="236">
        <v>313.14</v>
      </c>
      <c r="CM3720" s="236" t="s">
        <v>322</v>
      </c>
      <c r="CT3720" s="1384"/>
      <c r="CZ3720" s="338"/>
      <c r="DA3720" s="338"/>
      <c r="DP3720" s="236"/>
      <c r="DQ3720" s="236"/>
      <c r="DX3720" s="1671"/>
    </row>
    <row r="3721" spans="38:128">
      <c r="AL3721" s="1037"/>
      <c r="BP3721" s="1385"/>
      <c r="BV3721" s="236">
        <v>75.05</v>
      </c>
      <c r="BW3721" s="236" t="s">
        <v>340</v>
      </c>
      <c r="CL3721" s="236">
        <v>313.14999999999998</v>
      </c>
      <c r="CM3721" s="236" t="s">
        <v>322</v>
      </c>
      <c r="CT3721" s="1384"/>
      <c r="CZ3721" s="338"/>
      <c r="DA3721" s="338"/>
      <c r="DP3721" s="236"/>
      <c r="DQ3721" s="236"/>
      <c r="DX3721" s="1671"/>
    </row>
    <row r="3722" spans="38:128">
      <c r="AL3722" s="1037"/>
      <c r="BP3722" s="1385"/>
      <c r="BV3722" s="236">
        <v>76.03</v>
      </c>
      <c r="BW3722" s="236" t="s">
        <v>340</v>
      </c>
      <c r="CL3722" s="236">
        <v>313.16000000000003</v>
      </c>
      <c r="CM3722" s="236" t="s">
        <v>322</v>
      </c>
      <c r="CT3722" s="1384"/>
      <c r="CZ3722" s="338"/>
      <c r="DA3722" s="338"/>
      <c r="DP3722" s="236"/>
      <c r="DQ3722" s="236"/>
      <c r="DX3722" s="1671"/>
    </row>
    <row r="3723" spans="38:128">
      <c r="AL3723" s="1037"/>
      <c r="BP3723" s="1385"/>
      <c r="BV3723" s="236">
        <v>76.040000000000006</v>
      </c>
      <c r="BW3723" s="236" t="s">
        <v>340</v>
      </c>
      <c r="CL3723" s="236">
        <v>313.17</v>
      </c>
      <c r="CM3723" s="236" t="s">
        <v>322</v>
      </c>
      <c r="CT3723" s="1384"/>
      <c r="CZ3723" s="338"/>
      <c r="DA3723" s="338"/>
      <c r="DP3723" s="236"/>
      <c r="DQ3723" s="236"/>
      <c r="DX3723" s="1671"/>
    </row>
    <row r="3724" spans="38:128">
      <c r="AL3724" s="1037"/>
      <c r="BP3724" s="1385"/>
      <c r="BV3724" s="236">
        <v>76.05</v>
      </c>
      <c r="BW3724" s="236" t="s">
        <v>340</v>
      </c>
      <c r="CL3724" s="236">
        <v>313.18</v>
      </c>
      <c r="CM3724" s="236" t="s">
        <v>322</v>
      </c>
      <c r="CT3724" s="1384"/>
      <c r="CZ3724" s="338"/>
      <c r="DA3724" s="338"/>
      <c r="DP3724" s="236"/>
      <c r="DQ3724" s="236"/>
      <c r="DX3724" s="1671"/>
    </row>
    <row r="3725" spans="38:128">
      <c r="AL3725" s="1037"/>
      <c r="BP3725" s="1385"/>
      <c r="BV3725" s="236">
        <v>76.099999999999994</v>
      </c>
      <c r="BW3725" s="236" t="s">
        <v>340</v>
      </c>
      <c r="CL3725" s="236">
        <v>313.19</v>
      </c>
      <c r="CM3725" s="236" t="s">
        <v>322</v>
      </c>
      <c r="CT3725" s="1384"/>
      <c r="CZ3725" s="338"/>
      <c r="DA3725" s="338"/>
      <c r="DP3725" s="236"/>
      <c r="DQ3725" s="236"/>
      <c r="DX3725" s="1671"/>
    </row>
    <row r="3726" spans="38:128">
      <c r="AL3726" s="1037"/>
      <c r="BP3726" s="1385"/>
      <c r="BV3726" s="236">
        <v>76.12</v>
      </c>
      <c r="BW3726" s="236" t="s">
        <v>340</v>
      </c>
      <c r="CL3726" s="236">
        <v>313.2</v>
      </c>
      <c r="CM3726" s="236" t="s">
        <v>322</v>
      </c>
      <c r="CT3726" s="1384"/>
      <c r="CZ3726" s="338"/>
      <c r="DA3726" s="338"/>
      <c r="DP3726" s="236"/>
      <c r="DQ3726" s="236"/>
      <c r="DX3726" s="1671"/>
    </row>
    <row r="3727" spans="38:128">
      <c r="AL3727" s="1037"/>
      <c r="BP3727" s="1385"/>
      <c r="BV3727" s="236">
        <v>76.13</v>
      </c>
      <c r="BW3727" s="236" t="s">
        <v>340</v>
      </c>
      <c r="CL3727" s="236">
        <v>313.20999999999998</v>
      </c>
      <c r="CM3727" s="236" t="s">
        <v>322</v>
      </c>
      <c r="CT3727" s="1384"/>
      <c r="CZ3727" s="338"/>
      <c r="DA3727" s="338"/>
      <c r="DP3727" s="236"/>
      <c r="DQ3727" s="236"/>
      <c r="DX3727" s="1671"/>
    </row>
    <row r="3728" spans="38:128">
      <c r="AL3728" s="1037"/>
      <c r="BP3728" s="1385"/>
      <c r="BV3728" s="236">
        <v>76.14</v>
      </c>
      <c r="BW3728" s="236" t="s">
        <v>340</v>
      </c>
      <c r="CL3728" s="236">
        <v>313.22000000000003</v>
      </c>
      <c r="CM3728" s="236" t="s">
        <v>322</v>
      </c>
      <c r="CT3728" s="1384"/>
      <c r="CZ3728" s="338"/>
      <c r="DA3728" s="338"/>
      <c r="DP3728" s="236"/>
      <c r="DQ3728" s="236"/>
      <c r="DX3728" s="1671"/>
    </row>
    <row r="3729" spans="38:128">
      <c r="AL3729" s="1037"/>
      <c r="BP3729" s="1385"/>
      <c r="BV3729" s="236">
        <v>76.150000000000006</v>
      </c>
      <c r="BW3729" s="236" t="s">
        <v>340</v>
      </c>
      <c r="CL3729" s="236">
        <v>313.23</v>
      </c>
      <c r="CM3729" s="236" t="s">
        <v>322</v>
      </c>
      <c r="CT3729" s="1384"/>
      <c r="CZ3729" s="338"/>
      <c r="DA3729" s="338"/>
      <c r="DP3729" s="236"/>
      <c r="DQ3729" s="236"/>
      <c r="DX3729" s="1671"/>
    </row>
    <row r="3730" spans="38:128">
      <c r="AL3730" s="1037"/>
      <c r="BP3730" s="1385"/>
      <c r="BV3730" s="236">
        <v>76.16</v>
      </c>
      <c r="BW3730" s="236" t="s">
        <v>340</v>
      </c>
      <c r="CL3730" s="236">
        <v>313.24</v>
      </c>
      <c r="CM3730" s="236" t="s">
        <v>322</v>
      </c>
      <c r="CT3730" s="1384"/>
      <c r="CZ3730" s="338"/>
      <c r="DA3730" s="338"/>
      <c r="DP3730" s="236"/>
      <c r="DQ3730" s="236"/>
      <c r="DX3730" s="1671"/>
    </row>
    <row r="3731" spans="38:128">
      <c r="AL3731" s="1037"/>
      <c r="BP3731" s="1385"/>
      <c r="BV3731" s="236">
        <v>76.19</v>
      </c>
      <c r="BW3731" s="236" t="s">
        <v>340</v>
      </c>
      <c r="CL3731" s="236">
        <v>314</v>
      </c>
      <c r="CM3731" s="236" t="s">
        <v>296</v>
      </c>
      <c r="CT3731" s="1384"/>
      <c r="CZ3731" s="338"/>
      <c r="DA3731" s="338"/>
      <c r="DP3731" s="236"/>
      <c r="DQ3731" s="236"/>
      <c r="DX3731" s="1671"/>
    </row>
    <row r="3732" spans="38:128">
      <c r="AL3732" s="1037"/>
      <c r="BP3732" s="1385"/>
      <c r="BV3732" s="236">
        <v>76.2</v>
      </c>
      <c r="BW3732" s="236" t="s">
        <v>340</v>
      </c>
      <c r="CL3732" s="236">
        <v>314.01</v>
      </c>
      <c r="CM3732" s="236" t="s">
        <v>341</v>
      </c>
      <c r="CT3732" s="1384"/>
      <c r="CZ3732" s="338"/>
      <c r="DA3732" s="338"/>
      <c r="DP3732" s="236"/>
      <c r="DQ3732" s="236"/>
      <c r="DX3732" s="1671"/>
    </row>
    <row r="3733" spans="38:128">
      <c r="AL3733" s="1037"/>
      <c r="BP3733" s="1385"/>
      <c r="BV3733" s="236">
        <v>76.209999999999994</v>
      </c>
      <c r="BW3733" s="236" t="s">
        <v>340</v>
      </c>
      <c r="CL3733" s="236">
        <v>314.04000000000002</v>
      </c>
      <c r="CM3733" s="236" t="s">
        <v>341</v>
      </c>
      <c r="CT3733" s="1384"/>
      <c r="CZ3733" s="338"/>
      <c r="DA3733" s="338"/>
      <c r="DP3733" s="236"/>
      <c r="DQ3733" s="236"/>
      <c r="DX3733" s="1671"/>
    </row>
    <row r="3734" spans="38:128">
      <c r="AL3734" s="1037"/>
      <c r="BP3734" s="1385"/>
      <c r="BV3734" s="236">
        <v>76.22</v>
      </c>
      <c r="BW3734" s="236" t="s">
        <v>340</v>
      </c>
      <c r="CL3734" s="236">
        <v>314.06</v>
      </c>
      <c r="CM3734" s="236" t="s">
        <v>341</v>
      </c>
      <c r="CT3734" s="1384"/>
      <c r="CZ3734" s="338"/>
      <c r="DA3734" s="338"/>
      <c r="DP3734" s="236"/>
      <c r="DQ3734" s="236"/>
      <c r="DX3734" s="1671"/>
    </row>
    <row r="3735" spans="38:128">
      <c r="AL3735" s="1037"/>
      <c r="BP3735" s="1385"/>
      <c r="BV3735" s="236">
        <v>76.23</v>
      </c>
      <c r="BW3735" s="236" t="s">
        <v>340</v>
      </c>
      <c r="CL3735" s="236">
        <v>314.07</v>
      </c>
      <c r="CM3735" s="236" t="s">
        <v>341</v>
      </c>
      <c r="CT3735" s="1384"/>
      <c r="CZ3735" s="338"/>
      <c r="DA3735" s="338"/>
      <c r="DP3735" s="236"/>
      <c r="DQ3735" s="236"/>
      <c r="DX3735" s="1671"/>
    </row>
    <row r="3736" spans="38:128">
      <c r="AL3736" s="1037"/>
      <c r="BP3736" s="1385"/>
      <c r="BV3736" s="236">
        <v>76.239999999999995</v>
      </c>
      <c r="BW3736" s="236" t="s">
        <v>340</v>
      </c>
      <c r="CL3736" s="236">
        <v>314.10000000000002</v>
      </c>
      <c r="CM3736" s="236" t="s">
        <v>341</v>
      </c>
      <c r="CT3736" s="1384"/>
      <c r="CZ3736" s="338"/>
      <c r="DA3736" s="338"/>
      <c r="DP3736" s="236"/>
      <c r="DQ3736" s="236"/>
      <c r="DX3736" s="1671"/>
    </row>
    <row r="3737" spans="38:128">
      <c r="AL3737" s="1037"/>
      <c r="BP3737" s="1385"/>
      <c r="BV3737" s="236">
        <v>77.05</v>
      </c>
      <c r="BW3737" s="236" t="s">
        <v>340</v>
      </c>
      <c r="CL3737" s="236">
        <v>314.11</v>
      </c>
      <c r="CM3737" s="236" t="s">
        <v>341</v>
      </c>
      <c r="CT3737" s="1384"/>
      <c r="CZ3737" s="338"/>
      <c r="DA3737" s="338"/>
      <c r="DP3737" s="236"/>
      <c r="DQ3737" s="236"/>
      <c r="DX3737" s="1671"/>
    </row>
    <row r="3738" spans="38:128">
      <c r="AL3738" s="1037"/>
      <c r="BP3738" s="1385"/>
      <c r="BV3738" s="236">
        <v>77.099999999999994</v>
      </c>
      <c r="BW3738" s="236" t="s">
        <v>340</v>
      </c>
      <c r="CL3738" s="236">
        <v>314.12</v>
      </c>
      <c r="CM3738" s="236" t="s">
        <v>341</v>
      </c>
      <c r="CT3738" s="1384"/>
      <c r="CZ3738" s="338"/>
      <c r="DA3738" s="338"/>
      <c r="DP3738" s="236"/>
      <c r="DQ3738" s="236"/>
      <c r="DX3738" s="1671"/>
    </row>
    <row r="3739" spans="38:128">
      <c r="AL3739" s="1037"/>
      <c r="BP3739" s="1385"/>
      <c r="BV3739" s="236">
        <v>77.16</v>
      </c>
      <c r="BW3739" s="236" t="s">
        <v>340</v>
      </c>
      <c r="CL3739" s="236">
        <v>315</v>
      </c>
      <c r="CM3739" s="236" t="s">
        <v>296</v>
      </c>
      <c r="CT3739" s="1384"/>
      <c r="CZ3739" s="338"/>
      <c r="DA3739" s="338"/>
      <c r="DP3739" s="236"/>
      <c r="DQ3739" s="236"/>
      <c r="DX3739" s="1671"/>
    </row>
    <row r="3740" spans="38:128">
      <c r="AL3740" s="1037"/>
      <c r="BP3740" s="1385"/>
      <c r="BV3740" s="236">
        <v>77.209999999999994</v>
      </c>
      <c r="BW3740" s="236" t="s">
        <v>340</v>
      </c>
      <c r="CL3740" s="236">
        <v>315.02999999999997</v>
      </c>
      <c r="CM3740" s="236" t="s">
        <v>341</v>
      </c>
      <c r="CT3740" s="1384"/>
      <c r="CZ3740" s="338"/>
      <c r="DA3740" s="338"/>
      <c r="DP3740" s="236"/>
      <c r="DQ3740" s="236"/>
      <c r="DX3740" s="1671"/>
    </row>
    <row r="3741" spans="38:128">
      <c r="AL3741" s="1037"/>
      <c r="BP3741" s="1385"/>
      <c r="BV3741" s="236">
        <v>77.23</v>
      </c>
      <c r="BW3741" s="236" t="s">
        <v>340</v>
      </c>
      <c r="CL3741" s="236">
        <v>315.04000000000002</v>
      </c>
      <c r="CM3741" s="236" t="s">
        <v>341</v>
      </c>
      <c r="CT3741" s="1384"/>
      <c r="CZ3741" s="338"/>
      <c r="DA3741" s="338"/>
      <c r="DP3741" s="236"/>
      <c r="DQ3741" s="236"/>
      <c r="DX3741" s="1671"/>
    </row>
    <row r="3742" spans="38:128">
      <c r="AL3742" s="1037"/>
      <c r="BP3742" s="1385"/>
      <c r="BV3742" s="236">
        <v>77.239999999999995</v>
      </c>
      <c r="BW3742" s="236" t="s">
        <v>340</v>
      </c>
      <c r="CL3742" s="236">
        <v>315.05</v>
      </c>
      <c r="CM3742" s="236" t="s">
        <v>341</v>
      </c>
      <c r="CT3742" s="1384"/>
      <c r="CZ3742" s="338"/>
      <c r="DA3742" s="338"/>
      <c r="DP3742" s="236"/>
      <c r="DQ3742" s="236"/>
      <c r="DX3742" s="1671"/>
    </row>
    <row r="3743" spans="38:128">
      <c r="AL3743" s="1037"/>
      <c r="BP3743" s="1385"/>
      <c r="BV3743" s="236">
        <v>77.25</v>
      </c>
      <c r="BW3743" s="236" t="s">
        <v>340</v>
      </c>
      <c r="CL3743" s="236">
        <v>315.06</v>
      </c>
      <c r="CM3743" s="236" t="s">
        <v>341</v>
      </c>
      <c r="CT3743" s="1384"/>
      <c r="CZ3743" s="338"/>
      <c r="DA3743" s="338"/>
      <c r="DP3743" s="236"/>
      <c r="DQ3743" s="236"/>
      <c r="DX3743" s="1671"/>
    </row>
    <row r="3744" spans="38:128">
      <c r="AL3744" s="1037"/>
      <c r="BP3744" s="1385"/>
      <c r="BV3744" s="236">
        <v>77.3</v>
      </c>
      <c r="BW3744" s="236" t="s">
        <v>340</v>
      </c>
      <c r="CL3744" s="236">
        <v>315.07</v>
      </c>
      <c r="CM3744" s="236" t="s">
        <v>341</v>
      </c>
      <c r="CT3744" s="1384"/>
      <c r="CZ3744" s="338"/>
      <c r="DA3744" s="338"/>
      <c r="DP3744" s="236"/>
      <c r="DQ3744" s="236"/>
      <c r="DX3744" s="1671"/>
    </row>
    <row r="3745" spans="38:128">
      <c r="AL3745" s="1037"/>
      <c r="BP3745" s="1385"/>
      <c r="BV3745" s="236">
        <v>77.31</v>
      </c>
      <c r="BW3745" s="236" t="s">
        <v>340</v>
      </c>
      <c r="CL3745" s="236">
        <v>315.08</v>
      </c>
      <c r="CM3745" s="236" t="s">
        <v>341</v>
      </c>
      <c r="CT3745" s="1384"/>
      <c r="CZ3745" s="338"/>
      <c r="DA3745" s="338"/>
      <c r="DP3745" s="236"/>
      <c r="DQ3745" s="236"/>
      <c r="DX3745" s="1671"/>
    </row>
    <row r="3746" spans="38:128">
      <c r="AL3746" s="1037"/>
      <c r="BP3746" s="1385"/>
      <c r="BV3746" s="236">
        <v>77.319999999999993</v>
      </c>
      <c r="BW3746" s="236" t="s">
        <v>340</v>
      </c>
      <c r="CL3746" s="236">
        <v>316.01</v>
      </c>
      <c r="CM3746" s="236" t="s">
        <v>341</v>
      </c>
      <c r="CT3746" s="1384"/>
      <c r="CZ3746" s="338"/>
      <c r="DA3746" s="338"/>
      <c r="DP3746" s="236"/>
      <c r="DQ3746" s="236"/>
      <c r="DX3746" s="1671"/>
    </row>
    <row r="3747" spans="38:128">
      <c r="AL3747" s="1037"/>
      <c r="BP3747" s="1385"/>
      <c r="BV3747" s="236">
        <v>77.349999999999994</v>
      </c>
      <c r="BW3747" s="236" t="s">
        <v>340</v>
      </c>
      <c r="CL3747" s="236">
        <v>316.02</v>
      </c>
      <c r="CM3747" s="236" t="s">
        <v>341</v>
      </c>
      <c r="CT3747" s="1384"/>
      <c r="CZ3747" s="338"/>
      <c r="DA3747" s="338"/>
      <c r="DP3747" s="236"/>
      <c r="DQ3747" s="236"/>
      <c r="DX3747" s="1671"/>
    </row>
    <row r="3748" spans="38:128">
      <c r="AL3748" s="1037"/>
      <c r="BP3748" s="1385"/>
      <c r="BV3748" s="236">
        <v>77.36</v>
      </c>
      <c r="BW3748" s="236" t="s">
        <v>340</v>
      </c>
      <c r="CL3748" s="236">
        <v>316.02999999999997</v>
      </c>
      <c r="CM3748" s="236" t="s">
        <v>341</v>
      </c>
      <c r="CT3748" s="1384"/>
      <c r="CZ3748" s="338"/>
      <c r="DA3748" s="338"/>
      <c r="DP3748" s="236"/>
      <c r="DQ3748" s="236"/>
      <c r="DX3748" s="1671"/>
    </row>
    <row r="3749" spans="38:128">
      <c r="AL3749" s="1037"/>
      <c r="BP3749" s="1385"/>
      <c r="BV3749" s="236">
        <v>77.38</v>
      </c>
      <c r="BW3749" s="236" t="s">
        <v>340</v>
      </c>
      <c r="CL3749" s="236">
        <v>316.04000000000002</v>
      </c>
      <c r="CM3749" s="236" t="s">
        <v>341</v>
      </c>
      <c r="CT3749" s="1384"/>
      <c r="CZ3749" s="338"/>
      <c r="DA3749" s="338"/>
      <c r="DP3749" s="236"/>
      <c r="DQ3749" s="236"/>
      <c r="DX3749" s="1671"/>
    </row>
    <row r="3750" spans="38:128">
      <c r="AL3750" s="1037"/>
      <c r="BP3750" s="1385"/>
      <c r="BV3750" s="236">
        <v>77.39</v>
      </c>
      <c r="BW3750" s="236" t="s">
        <v>340</v>
      </c>
      <c r="CL3750" s="236">
        <v>316.05</v>
      </c>
      <c r="CM3750" s="236" t="s">
        <v>341</v>
      </c>
      <c r="CT3750" s="1384"/>
      <c r="CZ3750" s="338"/>
      <c r="DA3750" s="338"/>
      <c r="DP3750" s="236"/>
      <c r="DQ3750" s="236"/>
      <c r="DX3750" s="1671"/>
    </row>
    <row r="3751" spans="38:128">
      <c r="AL3751" s="1037"/>
      <c r="BP3751" s="1385"/>
      <c r="BV3751" s="236">
        <v>77.400000000000006</v>
      </c>
      <c r="BW3751" s="236" t="s">
        <v>340</v>
      </c>
      <c r="CL3751" s="236">
        <v>317.01</v>
      </c>
      <c r="CM3751" s="236" t="s">
        <v>341</v>
      </c>
      <c r="CT3751" s="1384"/>
      <c r="CZ3751" s="338"/>
      <c r="DA3751" s="338"/>
      <c r="DP3751" s="236"/>
      <c r="DQ3751" s="236"/>
      <c r="DX3751" s="1671"/>
    </row>
    <row r="3752" spans="38:128">
      <c r="AL3752" s="1037"/>
      <c r="BP3752" s="1385"/>
      <c r="BV3752" s="236">
        <v>77.41</v>
      </c>
      <c r="BW3752" s="236" t="s">
        <v>340</v>
      </c>
      <c r="CL3752" s="236">
        <v>317.02999999999997</v>
      </c>
      <c r="CM3752" s="236" t="s">
        <v>341</v>
      </c>
      <c r="CT3752" s="1384"/>
      <c r="CZ3752" s="338"/>
      <c r="DA3752" s="338"/>
      <c r="DP3752" s="236"/>
      <c r="DQ3752" s="236"/>
      <c r="DX3752" s="1671"/>
    </row>
    <row r="3753" spans="38:128">
      <c r="AL3753" s="1037"/>
      <c r="BP3753" s="1385"/>
      <c r="BV3753" s="236">
        <v>77.42</v>
      </c>
      <c r="BW3753" s="236" t="s">
        <v>340</v>
      </c>
      <c r="CL3753" s="236">
        <v>317.04000000000002</v>
      </c>
      <c r="CM3753" s="236" t="s">
        <v>341</v>
      </c>
      <c r="CT3753" s="1384"/>
      <c r="CZ3753" s="338"/>
      <c r="DA3753" s="338"/>
      <c r="DP3753" s="236"/>
      <c r="DQ3753" s="236"/>
      <c r="DX3753" s="1671"/>
    </row>
    <row r="3754" spans="38:128">
      <c r="AL3754" s="1037"/>
      <c r="BP3754" s="1385"/>
      <c r="BV3754" s="236">
        <v>77.430000000000007</v>
      </c>
      <c r="BW3754" s="236" t="s">
        <v>340</v>
      </c>
      <c r="CL3754" s="236">
        <v>317.05</v>
      </c>
      <c r="CM3754" s="236" t="s">
        <v>341</v>
      </c>
      <c r="CT3754" s="1384"/>
      <c r="CZ3754" s="338"/>
      <c r="DA3754" s="338"/>
      <c r="DP3754" s="236"/>
      <c r="DQ3754" s="236"/>
      <c r="DX3754" s="1671"/>
    </row>
    <row r="3755" spans="38:128">
      <c r="AL3755" s="1037"/>
      <c r="BP3755" s="1385"/>
      <c r="BV3755" s="236">
        <v>77.459999999999994</v>
      </c>
      <c r="BW3755" s="236" t="s">
        <v>340</v>
      </c>
      <c r="CL3755" s="236">
        <v>317.06</v>
      </c>
      <c r="CM3755" s="236" t="s">
        <v>341</v>
      </c>
      <c r="CT3755" s="1384"/>
      <c r="CZ3755" s="338"/>
      <c r="DA3755" s="338"/>
      <c r="DP3755" s="236"/>
      <c r="DQ3755" s="236"/>
      <c r="DX3755" s="1671"/>
    </row>
    <row r="3756" spans="38:128">
      <c r="AL3756" s="1037"/>
      <c r="BP3756" s="1385"/>
      <c r="BV3756" s="236">
        <v>77.47</v>
      </c>
      <c r="BW3756" s="236" t="s">
        <v>340</v>
      </c>
      <c r="CL3756" s="236">
        <v>317.07</v>
      </c>
      <c r="CM3756" s="236" t="s">
        <v>341</v>
      </c>
      <c r="CT3756" s="1384"/>
      <c r="CZ3756" s="338"/>
      <c r="DA3756" s="338"/>
      <c r="DP3756" s="236"/>
      <c r="DQ3756" s="236"/>
      <c r="DX3756" s="1671"/>
    </row>
    <row r="3757" spans="38:128">
      <c r="AL3757" s="1037"/>
      <c r="BP3757" s="1385"/>
      <c r="BV3757" s="236">
        <v>77.48</v>
      </c>
      <c r="BW3757" s="236" t="s">
        <v>340</v>
      </c>
      <c r="CL3757" s="236">
        <v>317.08</v>
      </c>
      <c r="CM3757" s="236" t="s">
        <v>341</v>
      </c>
      <c r="CT3757" s="1384"/>
      <c r="CZ3757" s="338"/>
      <c r="DA3757" s="338"/>
      <c r="DP3757" s="236"/>
      <c r="DQ3757" s="236"/>
      <c r="DX3757" s="1671"/>
    </row>
    <row r="3758" spans="38:128">
      <c r="AL3758" s="1037"/>
      <c r="BP3758" s="1385"/>
      <c r="BV3758" s="236">
        <v>77.489999999999995</v>
      </c>
      <c r="BW3758" s="236" t="s">
        <v>340</v>
      </c>
      <c r="CL3758" s="236">
        <v>318.04000000000002</v>
      </c>
      <c r="CM3758" s="236" t="s">
        <v>341</v>
      </c>
      <c r="CT3758" s="1384"/>
      <c r="CZ3758" s="338"/>
      <c r="DA3758" s="338"/>
      <c r="DP3758" s="236"/>
      <c r="DQ3758" s="236"/>
      <c r="DX3758" s="1671"/>
    </row>
    <row r="3759" spans="38:128">
      <c r="AL3759" s="1037"/>
      <c r="BP3759" s="1385"/>
      <c r="BV3759" s="236">
        <v>77.5</v>
      </c>
      <c r="BW3759" s="236" t="s">
        <v>340</v>
      </c>
      <c r="CL3759" s="236">
        <v>318.05</v>
      </c>
      <c r="CM3759" s="236" t="s">
        <v>341</v>
      </c>
      <c r="CT3759" s="1384"/>
      <c r="CZ3759" s="338"/>
      <c r="DA3759" s="338"/>
      <c r="DP3759" s="236"/>
      <c r="DQ3759" s="236"/>
      <c r="DX3759" s="1671"/>
    </row>
    <row r="3760" spans="38:128">
      <c r="AL3760" s="1037"/>
      <c r="BP3760" s="1385"/>
      <c r="BV3760" s="236">
        <v>77.510000000000005</v>
      </c>
      <c r="BW3760" s="236" t="s">
        <v>340</v>
      </c>
      <c r="CL3760" s="236">
        <v>318.06</v>
      </c>
      <c r="CM3760" s="236" t="s">
        <v>341</v>
      </c>
      <c r="CT3760" s="1384"/>
      <c r="CZ3760" s="338"/>
      <c r="DA3760" s="338"/>
      <c r="DP3760" s="236"/>
      <c r="DQ3760" s="236"/>
      <c r="DX3760" s="1671"/>
    </row>
    <row r="3761" spans="38:128">
      <c r="AL3761" s="1037"/>
      <c r="BP3761" s="1385"/>
      <c r="BV3761" s="236">
        <v>77.52</v>
      </c>
      <c r="BW3761" s="236" t="s">
        <v>340</v>
      </c>
      <c r="CL3761" s="236">
        <v>318.07</v>
      </c>
      <c r="CM3761" s="236" t="s">
        <v>341</v>
      </c>
      <c r="CT3761" s="1384"/>
      <c r="CZ3761" s="338"/>
      <c r="DA3761" s="338"/>
      <c r="DP3761" s="236"/>
      <c r="DQ3761" s="236"/>
      <c r="DX3761" s="1671"/>
    </row>
    <row r="3762" spans="38:128">
      <c r="AL3762" s="1037"/>
      <c r="BP3762" s="1385"/>
      <c r="BV3762" s="236">
        <v>77.540000000000006</v>
      </c>
      <c r="BW3762" s="236" t="s">
        <v>340</v>
      </c>
      <c r="CL3762" s="236">
        <v>318.08</v>
      </c>
      <c r="CM3762" s="236" t="s">
        <v>341</v>
      </c>
      <c r="CT3762" s="1384"/>
      <c r="CZ3762" s="338"/>
      <c r="DA3762" s="338"/>
      <c r="DP3762" s="236"/>
      <c r="DQ3762" s="236"/>
      <c r="DX3762" s="1671"/>
    </row>
    <row r="3763" spans="38:128">
      <c r="AL3763" s="1037"/>
      <c r="BP3763" s="1385"/>
      <c r="BV3763" s="236">
        <v>77.569999999999993</v>
      </c>
      <c r="BW3763" s="236" t="s">
        <v>340</v>
      </c>
      <c r="CL3763" s="236">
        <v>318.08999999999997</v>
      </c>
      <c r="CM3763" s="236" t="s">
        <v>341</v>
      </c>
      <c r="CT3763" s="1384"/>
      <c r="CZ3763" s="338"/>
      <c r="DA3763" s="338"/>
      <c r="DP3763" s="236"/>
      <c r="DQ3763" s="236"/>
      <c r="DX3763" s="1671"/>
    </row>
    <row r="3764" spans="38:128">
      <c r="AL3764" s="1037"/>
      <c r="BP3764" s="1385"/>
      <c r="BV3764" s="236">
        <v>77.58</v>
      </c>
      <c r="BW3764" s="236" t="s">
        <v>340</v>
      </c>
      <c r="CL3764" s="236">
        <v>319.01</v>
      </c>
      <c r="CM3764" s="236" t="s">
        <v>341</v>
      </c>
      <c r="CT3764" s="1384"/>
      <c r="CZ3764" s="338"/>
      <c r="DA3764" s="338"/>
      <c r="DP3764" s="236"/>
      <c r="DQ3764" s="236"/>
      <c r="DX3764" s="1671"/>
    </row>
    <row r="3765" spans="38:128">
      <c r="AL3765" s="1037"/>
      <c r="BP3765" s="1385"/>
      <c r="BV3765" s="236">
        <v>77.59</v>
      </c>
      <c r="BW3765" s="236" t="s">
        <v>340</v>
      </c>
      <c r="CL3765" s="236">
        <v>319.02</v>
      </c>
      <c r="CM3765" s="236" t="s">
        <v>341</v>
      </c>
      <c r="CT3765" s="1384"/>
      <c r="CZ3765" s="338"/>
      <c r="DA3765" s="338"/>
      <c r="DP3765" s="236"/>
      <c r="DQ3765" s="236"/>
      <c r="DX3765" s="1671"/>
    </row>
    <row r="3766" spans="38:128">
      <c r="AL3766" s="1037"/>
      <c r="BP3766" s="1385"/>
      <c r="BV3766" s="236">
        <v>77.63</v>
      </c>
      <c r="BW3766" s="236" t="s">
        <v>340</v>
      </c>
      <c r="CL3766" s="236">
        <v>319.02999999999997</v>
      </c>
      <c r="CM3766" s="236" t="s">
        <v>341</v>
      </c>
      <c r="CT3766" s="1384"/>
      <c r="CZ3766" s="338"/>
      <c r="DA3766" s="338"/>
      <c r="DP3766" s="236"/>
      <c r="DQ3766" s="236"/>
      <c r="DX3766" s="1671"/>
    </row>
    <row r="3767" spans="38:128">
      <c r="AL3767" s="1037"/>
      <c r="BP3767" s="1385"/>
      <c r="BV3767" s="236">
        <v>77.64</v>
      </c>
      <c r="BW3767" s="236" t="s">
        <v>340</v>
      </c>
      <c r="CL3767" s="236">
        <v>320.01</v>
      </c>
      <c r="CM3767" s="236" t="s">
        <v>341</v>
      </c>
      <c r="CT3767" s="1384"/>
      <c r="CZ3767" s="338"/>
      <c r="DA3767" s="338"/>
      <c r="DP3767" s="236"/>
      <c r="DQ3767" s="236"/>
      <c r="DX3767" s="1671"/>
    </row>
    <row r="3768" spans="38:128">
      <c r="AL3768" s="1037"/>
      <c r="BP3768" s="1385"/>
      <c r="BV3768" s="236">
        <v>77.66</v>
      </c>
      <c r="BW3768" s="236" t="s">
        <v>340</v>
      </c>
      <c r="CL3768" s="236">
        <v>320.05</v>
      </c>
      <c r="CM3768" s="236" t="s">
        <v>341</v>
      </c>
      <c r="CT3768" s="1384"/>
      <c r="CZ3768" s="338"/>
      <c r="DA3768" s="338"/>
      <c r="DP3768" s="236"/>
      <c r="DQ3768" s="236"/>
      <c r="DX3768" s="1671"/>
    </row>
    <row r="3769" spans="38:128">
      <c r="AL3769" s="1037"/>
      <c r="BP3769" s="1385"/>
      <c r="BV3769" s="236">
        <v>77.67</v>
      </c>
      <c r="BW3769" s="236" t="s">
        <v>340</v>
      </c>
      <c r="CL3769" s="236">
        <v>320.06</v>
      </c>
      <c r="CM3769" s="236" t="s">
        <v>341</v>
      </c>
      <c r="CT3769" s="1384"/>
      <c r="CZ3769" s="338"/>
      <c r="DA3769" s="338"/>
      <c r="DP3769" s="236"/>
      <c r="DQ3769" s="236"/>
      <c r="DX3769" s="1671"/>
    </row>
    <row r="3770" spans="38:128">
      <c r="AL3770" s="1037"/>
      <c r="BP3770" s="1385"/>
      <c r="BV3770" s="236">
        <v>77.680000000000007</v>
      </c>
      <c r="BW3770" s="236" t="s">
        <v>340</v>
      </c>
      <c r="CL3770" s="236">
        <v>320.07</v>
      </c>
      <c r="CM3770" s="236" t="s">
        <v>341</v>
      </c>
      <c r="CT3770" s="1384"/>
      <c r="CZ3770" s="338"/>
      <c r="DA3770" s="338"/>
      <c r="DP3770" s="236"/>
      <c r="DQ3770" s="236"/>
      <c r="DX3770" s="1671"/>
    </row>
    <row r="3771" spans="38:128">
      <c r="AL3771" s="1037"/>
      <c r="BP3771" s="1385"/>
      <c r="BV3771" s="236">
        <v>77.69</v>
      </c>
      <c r="BW3771" s="236" t="s">
        <v>340</v>
      </c>
      <c r="CL3771" s="236">
        <v>320.08</v>
      </c>
      <c r="CM3771" s="236" t="s">
        <v>341</v>
      </c>
      <c r="CT3771" s="1384"/>
      <c r="CZ3771" s="338"/>
      <c r="DA3771" s="338"/>
      <c r="DP3771" s="236"/>
      <c r="DQ3771" s="236"/>
      <c r="DX3771" s="1671"/>
    </row>
    <row r="3772" spans="38:128">
      <c r="AL3772" s="1037"/>
      <c r="BP3772" s="1385"/>
      <c r="BV3772" s="236">
        <v>77.7</v>
      </c>
      <c r="BW3772" s="236" t="s">
        <v>340</v>
      </c>
      <c r="CL3772" s="236">
        <v>320.08999999999997</v>
      </c>
      <c r="CM3772" s="236" t="s">
        <v>341</v>
      </c>
      <c r="CT3772" s="1384"/>
      <c r="CZ3772" s="338"/>
      <c r="DA3772" s="338"/>
      <c r="DP3772" s="236"/>
      <c r="DQ3772" s="236"/>
      <c r="DX3772" s="1671"/>
    </row>
    <row r="3773" spans="38:128">
      <c r="AL3773" s="1037"/>
      <c r="BP3773" s="1385"/>
      <c r="BV3773" s="236">
        <v>77.709999999999994</v>
      </c>
      <c r="BW3773" s="236" t="s">
        <v>340</v>
      </c>
      <c r="CL3773" s="236">
        <v>320.10000000000002</v>
      </c>
      <c r="CM3773" s="236" t="s">
        <v>341</v>
      </c>
      <c r="CT3773" s="1384"/>
      <c r="CZ3773" s="338"/>
      <c r="DA3773" s="338"/>
      <c r="DP3773" s="236"/>
      <c r="DQ3773" s="236"/>
      <c r="DX3773" s="1671"/>
    </row>
    <row r="3774" spans="38:128">
      <c r="AL3774" s="1037"/>
      <c r="BP3774" s="1385"/>
      <c r="BV3774" s="236">
        <v>77.72</v>
      </c>
      <c r="BW3774" s="236" t="s">
        <v>340</v>
      </c>
      <c r="CL3774" s="236">
        <v>320.11</v>
      </c>
      <c r="CM3774" s="236" t="s">
        <v>341</v>
      </c>
      <c r="CT3774" s="1384"/>
      <c r="CZ3774" s="338"/>
      <c r="DA3774" s="338"/>
      <c r="DP3774" s="236"/>
      <c r="DQ3774" s="236"/>
      <c r="DX3774" s="1671"/>
    </row>
    <row r="3775" spans="38:128">
      <c r="AL3775" s="1037"/>
      <c r="BP3775" s="1385"/>
      <c r="BV3775" s="236">
        <v>77.73</v>
      </c>
      <c r="BW3775" s="236" t="s">
        <v>340</v>
      </c>
      <c r="CL3775" s="236">
        <v>320.12</v>
      </c>
      <c r="CM3775" s="236" t="s">
        <v>341</v>
      </c>
      <c r="CT3775" s="1384"/>
      <c r="CZ3775" s="338"/>
      <c r="DA3775" s="338"/>
      <c r="DP3775" s="236"/>
      <c r="DQ3775" s="236"/>
      <c r="DX3775" s="1671"/>
    </row>
    <row r="3776" spans="38:128">
      <c r="AL3776" s="1037"/>
      <c r="BP3776" s="1385"/>
      <c r="BV3776" s="236">
        <v>77.739999999999995</v>
      </c>
      <c r="BW3776" s="236" t="s">
        <v>340</v>
      </c>
      <c r="CL3776" s="236">
        <v>320.13</v>
      </c>
      <c r="CM3776" s="236" t="s">
        <v>341</v>
      </c>
      <c r="CT3776" s="1384"/>
      <c r="CZ3776" s="338"/>
      <c r="DA3776" s="338"/>
      <c r="DP3776" s="236"/>
      <c r="DQ3776" s="236"/>
      <c r="DX3776" s="1671"/>
    </row>
    <row r="3777" spans="38:128">
      <c r="AL3777" s="1037"/>
      <c r="BP3777" s="1385"/>
      <c r="BV3777" s="236">
        <v>77.75</v>
      </c>
      <c r="BW3777" s="236" t="s">
        <v>340</v>
      </c>
      <c r="CL3777" s="236">
        <v>320.14</v>
      </c>
      <c r="CM3777" s="236" t="s">
        <v>341</v>
      </c>
      <c r="CT3777" s="1384"/>
      <c r="CZ3777" s="338"/>
      <c r="DA3777" s="338"/>
      <c r="DP3777" s="236"/>
      <c r="DQ3777" s="236"/>
      <c r="DX3777" s="1671"/>
    </row>
    <row r="3778" spans="38:128">
      <c r="AL3778" s="1037"/>
      <c r="BP3778" s="1385"/>
      <c r="BV3778" s="236">
        <v>77.760000000000005</v>
      </c>
      <c r="BW3778" s="236" t="s">
        <v>340</v>
      </c>
      <c r="CL3778" s="236">
        <v>321.02999999999997</v>
      </c>
      <c r="CM3778" s="236" t="s">
        <v>341</v>
      </c>
      <c r="CT3778" s="1384"/>
      <c r="CZ3778" s="338"/>
      <c r="DA3778" s="338"/>
      <c r="DP3778" s="236"/>
      <c r="DQ3778" s="236"/>
      <c r="DX3778" s="1671"/>
    </row>
    <row r="3779" spans="38:128">
      <c r="AL3779" s="1037"/>
      <c r="BP3779" s="1385"/>
      <c r="BV3779" s="236">
        <v>77.77</v>
      </c>
      <c r="BW3779" s="236" t="s">
        <v>340</v>
      </c>
      <c r="CL3779" s="236">
        <v>321.04000000000002</v>
      </c>
      <c r="CM3779" s="236" t="s">
        <v>341</v>
      </c>
      <c r="CT3779" s="1384"/>
      <c r="CZ3779" s="338"/>
      <c r="DA3779" s="338"/>
      <c r="DP3779" s="236"/>
      <c r="DQ3779" s="236"/>
      <c r="DX3779" s="1671"/>
    </row>
    <row r="3780" spans="38:128">
      <c r="AL3780" s="1037"/>
      <c r="BP3780" s="1385"/>
      <c r="BV3780" s="236">
        <v>77.78</v>
      </c>
      <c r="BW3780" s="236" t="s">
        <v>340</v>
      </c>
      <c r="CL3780" s="236">
        <v>321.05</v>
      </c>
      <c r="CM3780" s="236" t="s">
        <v>341</v>
      </c>
      <c r="CT3780" s="1384"/>
      <c r="CZ3780" s="338"/>
      <c r="DA3780" s="338"/>
      <c r="DP3780" s="236"/>
      <c r="DQ3780" s="236"/>
      <c r="DX3780" s="1671"/>
    </row>
    <row r="3781" spans="38:128">
      <c r="AL3781" s="1037"/>
      <c r="BP3781" s="1385"/>
      <c r="BV3781" s="236">
        <v>77.790000000000006</v>
      </c>
      <c r="BW3781" s="236" t="s">
        <v>340</v>
      </c>
      <c r="CL3781" s="236">
        <v>321.06</v>
      </c>
      <c r="CM3781" s="236" t="s">
        <v>341</v>
      </c>
      <c r="CT3781" s="1384"/>
      <c r="CZ3781" s="338"/>
      <c r="DA3781" s="338"/>
      <c r="DP3781" s="236"/>
      <c r="DQ3781" s="236"/>
      <c r="DX3781" s="1671"/>
    </row>
    <row r="3782" spans="38:128">
      <c r="AL3782" s="1037"/>
      <c r="BP3782" s="1385"/>
      <c r="BV3782" s="236">
        <v>77.8</v>
      </c>
      <c r="BW3782" s="236" t="s">
        <v>340</v>
      </c>
      <c r="CL3782" s="236">
        <v>321.07</v>
      </c>
      <c r="CM3782" s="236" t="s">
        <v>341</v>
      </c>
      <c r="CT3782" s="1384"/>
      <c r="CZ3782" s="338"/>
      <c r="DA3782" s="338"/>
      <c r="DP3782" s="236"/>
      <c r="DQ3782" s="236"/>
      <c r="DX3782" s="1671"/>
    </row>
    <row r="3783" spans="38:128">
      <c r="AL3783" s="1037"/>
      <c r="BP3783" s="1385"/>
      <c r="BV3783" s="236">
        <v>78.05</v>
      </c>
      <c r="BW3783" s="236" t="s">
        <v>340</v>
      </c>
      <c r="CL3783" s="236">
        <v>321.08</v>
      </c>
      <c r="CM3783" s="236" t="s">
        <v>341</v>
      </c>
      <c r="CT3783" s="1384"/>
      <c r="CZ3783" s="338"/>
      <c r="DA3783" s="338"/>
      <c r="DP3783" s="236"/>
      <c r="DQ3783" s="236"/>
      <c r="DX3783" s="1671"/>
    </row>
    <row r="3784" spans="38:128">
      <c r="AL3784" s="1037"/>
      <c r="BP3784" s="1385"/>
      <c r="BV3784" s="236">
        <v>78.12</v>
      </c>
      <c r="BW3784" s="236" t="s">
        <v>340</v>
      </c>
      <c r="CL3784" s="236">
        <v>321.08999999999997</v>
      </c>
      <c r="CM3784" s="236" t="s">
        <v>341</v>
      </c>
      <c r="CT3784" s="1384"/>
      <c r="CZ3784" s="338"/>
      <c r="DA3784" s="338"/>
      <c r="DP3784" s="236"/>
      <c r="DQ3784" s="236"/>
      <c r="DX3784" s="1671"/>
    </row>
    <row r="3785" spans="38:128">
      <c r="AL3785" s="1037"/>
      <c r="BP3785" s="1385"/>
      <c r="BV3785" s="236">
        <v>78.13</v>
      </c>
      <c r="BW3785" s="236" t="s">
        <v>340</v>
      </c>
      <c r="CL3785" s="236">
        <v>321.10000000000002</v>
      </c>
      <c r="CM3785" s="236" t="s">
        <v>341</v>
      </c>
      <c r="CT3785" s="1384"/>
      <c r="CZ3785" s="338"/>
      <c r="DA3785" s="338"/>
      <c r="DP3785" s="236"/>
      <c r="DQ3785" s="236"/>
      <c r="DX3785" s="1671"/>
    </row>
    <row r="3786" spans="38:128">
      <c r="AL3786" s="1037"/>
      <c r="BP3786" s="1385"/>
      <c r="BV3786" s="236">
        <v>78.14</v>
      </c>
      <c r="BW3786" s="236" t="s">
        <v>340</v>
      </c>
      <c r="CL3786" s="236">
        <v>321.11</v>
      </c>
      <c r="CM3786" s="236" t="s">
        <v>341</v>
      </c>
      <c r="CT3786" s="1384"/>
      <c r="CZ3786" s="338"/>
      <c r="DA3786" s="338"/>
      <c r="DP3786" s="236"/>
      <c r="DQ3786" s="236"/>
      <c r="DX3786" s="1671"/>
    </row>
    <row r="3787" spans="38:128">
      <c r="AL3787" s="1037"/>
      <c r="BP3787" s="1385"/>
      <c r="BV3787" s="236">
        <v>78.180000000000007</v>
      </c>
      <c r="BW3787" s="236" t="s">
        <v>340</v>
      </c>
      <c r="CL3787" s="236">
        <v>321.12</v>
      </c>
      <c r="CM3787" s="236" t="s">
        <v>341</v>
      </c>
      <c r="CT3787" s="1384"/>
      <c r="CZ3787" s="338"/>
      <c r="DA3787" s="338"/>
      <c r="DP3787" s="236"/>
      <c r="DQ3787" s="236"/>
      <c r="DX3787" s="1671"/>
    </row>
    <row r="3788" spans="38:128">
      <c r="AL3788" s="1037"/>
      <c r="BP3788" s="1385"/>
      <c r="BV3788" s="236">
        <v>78.2</v>
      </c>
      <c r="BW3788" s="236" t="s">
        <v>340</v>
      </c>
      <c r="CL3788" s="236">
        <v>321.13</v>
      </c>
      <c r="CM3788" s="236" t="s">
        <v>341</v>
      </c>
      <c r="CT3788" s="1384"/>
      <c r="CZ3788" s="338"/>
      <c r="DA3788" s="338"/>
      <c r="DP3788" s="236"/>
      <c r="DQ3788" s="236"/>
      <c r="DX3788" s="1671"/>
    </row>
    <row r="3789" spans="38:128">
      <c r="AL3789" s="1037"/>
      <c r="BP3789" s="1385"/>
      <c r="BV3789" s="236">
        <v>78.209999999999994</v>
      </c>
      <c r="BW3789" s="236" t="s">
        <v>340</v>
      </c>
      <c r="CL3789" s="236">
        <v>322</v>
      </c>
      <c r="CM3789" s="236" t="s">
        <v>341</v>
      </c>
      <c r="CT3789" s="1384"/>
      <c r="CZ3789" s="338"/>
      <c r="DA3789" s="338"/>
      <c r="DP3789" s="236"/>
      <c r="DQ3789" s="236"/>
      <c r="DX3789" s="1671"/>
    </row>
    <row r="3790" spans="38:128">
      <c r="AL3790" s="1037"/>
      <c r="BP3790" s="1385"/>
      <c r="BV3790" s="236">
        <v>78.23</v>
      </c>
      <c r="BW3790" s="236" t="s">
        <v>340</v>
      </c>
      <c r="CL3790" s="236">
        <v>323</v>
      </c>
      <c r="CM3790" s="236" t="s">
        <v>341</v>
      </c>
      <c r="CT3790" s="1384"/>
      <c r="CZ3790" s="338"/>
      <c r="DA3790" s="338"/>
      <c r="DP3790" s="236"/>
      <c r="DQ3790" s="236"/>
      <c r="DX3790" s="1671"/>
    </row>
    <row r="3791" spans="38:128">
      <c r="AL3791" s="1037"/>
      <c r="BP3791" s="1385"/>
      <c r="BV3791" s="236">
        <v>78.3</v>
      </c>
      <c r="BW3791" s="236" t="s">
        <v>340</v>
      </c>
      <c r="CL3791" s="236">
        <v>324.01</v>
      </c>
      <c r="CM3791" s="236" t="s">
        <v>341</v>
      </c>
      <c r="CT3791" s="1384"/>
      <c r="CZ3791" s="338"/>
      <c r="DA3791" s="338"/>
      <c r="DP3791" s="236"/>
      <c r="DQ3791" s="236"/>
      <c r="DX3791" s="1671"/>
    </row>
    <row r="3792" spans="38:128">
      <c r="AL3792" s="1037"/>
      <c r="BP3792" s="1385"/>
      <c r="BV3792" s="236">
        <v>78.31</v>
      </c>
      <c r="BW3792" s="236" t="s">
        <v>340</v>
      </c>
      <c r="CL3792" s="236">
        <v>324.02</v>
      </c>
      <c r="CM3792" s="236" t="s">
        <v>341</v>
      </c>
      <c r="CT3792" s="1384"/>
      <c r="CZ3792" s="338"/>
      <c r="DA3792" s="338"/>
      <c r="DP3792" s="236"/>
      <c r="DQ3792" s="236"/>
      <c r="DX3792" s="1671"/>
    </row>
    <row r="3793" spans="38:128">
      <c r="AL3793" s="1037"/>
      <c r="BP3793" s="1385"/>
      <c r="BV3793" s="236">
        <v>78.319999999999993</v>
      </c>
      <c r="BW3793" s="236" t="s">
        <v>340</v>
      </c>
      <c r="CL3793" s="236">
        <v>325</v>
      </c>
      <c r="CM3793" s="236" t="s">
        <v>341</v>
      </c>
      <c r="CT3793" s="1384"/>
      <c r="CZ3793" s="338"/>
      <c r="DA3793" s="338"/>
      <c r="DP3793" s="236"/>
      <c r="DQ3793" s="236"/>
      <c r="DX3793" s="1671"/>
    </row>
    <row r="3794" spans="38:128">
      <c r="AL3794" s="1037"/>
      <c r="BP3794" s="1385"/>
      <c r="BV3794" s="236">
        <v>78.33</v>
      </c>
      <c r="BW3794" s="236" t="s">
        <v>340</v>
      </c>
      <c r="CL3794" s="236">
        <v>326.01</v>
      </c>
      <c r="CM3794" s="236" t="s">
        <v>341</v>
      </c>
      <c r="CT3794" s="1384"/>
      <c r="CZ3794" s="338"/>
      <c r="DA3794" s="338"/>
      <c r="DP3794" s="236"/>
      <c r="DQ3794" s="236"/>
      <c r="DX3794" s="1671"/>
    </row>
    <row r="3795" spans="38:128">
      <c r="AL3795" s="1037"/>
      <c r="BP3795" s="1385"/>
      <c r="BV3795" s="236">
        <v>78.34</v>
      </c>
      <c r="BW3795" s="236" t="s">
        <v>340</v>
      </c>
      <c r="CL3795" s="236">
        <v>326.02</v>
      </c>
      <c r="CM3795" s="236" t="s">
        <v>341</v>
      </c>
      <c r="CT3795" s="1384"/>
      <c r="CZ3795" s="338"/>
      <c r="DA3795" s="338"/>
      <c r="DP3795" s="236"/>
      <c r="DQ3795" s="236"/>
      <c r="DX3795" s="1671"/>
    </row>
    <row r="3796" spans="38:128">
      <c r="AL3796" s="1037"/>
      <c r="BP3796" s="1385"/>
      <c r="BV3796" s="236">
        <v>78.349999999999994</v>
      </c>
      <c r="BW3796" s="236" t="s">
        <v>340</v>
      </c>
      <c r="CL3796" s="236">
        <v>327</v>
      </c>
      <c r="CM3796" s="236" t="s">
        <v>341</v>
      </c>
      <c r="CT3796" s="1384"/>
      <c r="CZ3796" s="338"/>
      <c r="DA3796" s="338"/>
      <c r="DP3796" s="236"/>
      <c r="DQ3796" s="236"/>
      <c r="DX3796" s="1671"/>
    </row>
    <row r="3797" spans="38:128">
      <c r="AL3797" s="1037"/>
      <c r="BP3797" s="1385"/>
      <c r="BV3797" s="236">
        <v>78.37</v>
      </c>
      <c r="BW3797" s="236" t="s">
        <v>340</v>
      </c>
      <c r="CL3797" s="236">
        <v>328.02</v>
      </c>
      <c r="CM3797" s="236" t="s">
        <v>341</v>
      </c>
      <c r="CT3797" s="1384"/>
      <c r="CZ3797" s="338"/>
      <c r="DA3797" s="338"/>
      <c r="DP3797" s="236"/>
      <c r="DQ3797" s="236"/>
      <c r="DX3797" s="1671"/>
    </row>
    <row r="3798" spans="38:128">
      <c r="AL3798" s="1037"/>
      <c r="BP3798" s="1385"/>
      <c r="BV3798" s="236">
        <v>78.38</v>
      </c>
      <c r="BW3798" s="236" t="s">
        <v>340</v>
      </c>
      <c r="CL3798" s="236">
        <v>328.04</v>
      </c>
      <c r="CM3798" s="236" t="s">
        <v>341</v>
      </c>
      <c r="CT3798" s="1384"/>
      <c r="CZ3798" s="338"/>
      <c r="DA3798" s="338"/>
      <c r="DP3798" s="236"/>
      <c r="DQ3798" s="236"/>
      <c r="DX3798" s="1671"/>
    </row>
    <row r="3799" spans="38:128">
      <c r="AL3799" s="1037"/>
      <c r="BP3799" s="1385"/>
      <c r="BV3799" s="236">
        <v>78.400000000000006</v>
      </c>
      <c r="BW3799" s="236" t="s">
        <v>340</v>
      </c>
      <c r="CL3799" s="236">
        <v>328.05</v>
      </c>
      <c r="CM3799" s="236" t="s">
        <v>341</v>
      </c>
      <c r="CT3799" s="1384"/>
      <c r="CZ3799" s="338"/>
      <c r="DA3799" s="338"/>
      <c r="DP3799" s="236"/>
      <c r="DQ3799" s="236"/>
      <c r="DX3799" s="1671"/>
    </row>
    <row r="3800" spans="38:128">
      <c r="AL3800" s="1037"/>
      <c r="BP3800" s="1385"/>
      <c r="BV3800" s="236">
        <v>78.41</v>
      </c>
      <c r="BW3800" s="236" t="s">
        <v>340</v>
      </c>
      <c r="CL3800" s="236">
        <v>329.01</v>
      </c>
      <c r="CM3800" s="236" t="s">
        <v>341</v>
      </c>
      <c r="CT3800" s="1384"/>
      <c r="CZ3800" s="338"/>
      <c r="DA3800" s="338"/>
      <c r="DP3800" s="236"/>
      <c r="DQ3800" s="236"/>
      <c r="DX3800" s="1671"/>
    </row>
    <row r="3801" spans="38:128">
      <c r="AL3801" s="1037"/>
      <c r="BP3801" s="1385"/>
      <c r="BV3801" s="236">
        <v>78.42</v>
      </c>
      <c r="BW3801" s="236" t="s">
        <v>340</v>
      </c>
      <c r="CL3801" s="236">
        <v>329.02</v>
      </c>
      <c r="CM3801" s="236" t="s">
        <v>341</v>
      </c>
      <c r="CT3801" s="1384"/>
      <c r="CZ3801" s="338"/>
      <c r="DA3801" s="338"/>
      <c r="DP3801" s="236"/>
      <c r="DQ3801" s="236"/>
      <c r="DX3801" s="1671"/>
    </row>
    <row r="3802" spans="38:128">
      <c r="AL3802" s="1037"/>
      <c r="BP3802" s="1385"/>
      <c r="BV3802" s="236">
        <v>78.430000000000007</v>
      </c>
      <c r="BW3802" s="236" t="s">
        <v>340</v>
      </c>
      <c r="CL3802" s="236">
        <v>329.05</v>
      </c>
      <c r="CM3802" s="236" t="s">
        <v>341</v>
      </c>
      <c r="CT3802" s="1384"/>
      <c r="CZ3802" s="338"/>
      <c r="DA3802" s="338"/>
      <c r="DP3802" s="236"/>
      <c r="DQ3802" s="236"/>
      <c r="DX3802" s="1671"/>
    </row>
    <row r="3803" spans="38:128">
      <c r="AL3803" s="1037"/>
      <c r="BP3803" s="1385"/>
      <c r="BV3803" s="236">
        <v>78.44</v>
      </c>
      <c r="BW3803" s="236" t="s">
        <v>340</v>
      </c>
      <c r="CL3803" s="236">
        <v>330.05</v>
      </c>
      <c r="CM3803" s="236" t="s">
        <v>341</v>
      </c>
      <c r="CT3803" s="1384"/>
      <c r="CZ3803" s="338"/>
      <c r="DA3803" s="338"/>
      <c r="DP3803" s="236"/>
      <c r="DQ3803" s="236"/>
      <c r="DX3803" s="1671"/>
    </row>
    <row r="3804" spans="38:128">
      <c r="AL3804" s="1037"/>
      <c r="BP3804" s="1385"/>
      <c r="BV3804" s="236">
        <v>78.45</v>
      </c>
      <c r="BW3804" s="236" t="s">
        <v>340</v>
      </c>
      <c r="CL3804" s="236">
        <v>330.06</v>
      </c>
      <c r="CM3804" s="236" t="s">
        <v>341</v>
      </c>
      <c r="CT3804" s="1384"/>
      <c r="CZ3804" s="338"/>
      <c r="DA3804" s="338"/>
      <c r="DP3804" s="236"/>
      <c r="DQ3804" s="236"/>
      <c r="DX3804" s="1671"/>
    </row>
    <row r="3805" spans="38:128">
      <c r="AL3805" s="1037"/>
      <c r="BP3805" s="1385"/>
      <c r="BV3805" s="236">
        <v>78.459999999999994</v>
      </c>
      <c r="BW3805" s="236" t="s">
        <v>340</v>
      </c>
      <c r="CL3805" s="236">
        <v>330.07</v>
      </c>
      <c r="CM3805" s="236" t="s">
        <v>341</v>
      </c>
      <c r="CT3805" s="1384"/>
      <c r="CZ3805" s="338"/>
      <c r="DA3805" s="338"/>
      <c r="DP3805" s="236"/>
      <c r="DQ3805" s="236"/>
      <c r="DX3805" s="1671"/>
    </row>
    <row r="3806" spans="38:128">
      <c r="AL3806" s="1037"/>
      <c r="BP3806" s="1385"/>
      <c r="BV3806" s="236">
        <v>78.47</v>
      </c>
      <c r="BW3806" s="236" t="s">
        <v>340</v>
      </c>
      <c r="CL3806" s="236">
        <v>330.08</v>
      </c>
      <c r="CM3806" s="236" t="s">
        <v>341</v>
      </c>
      <c r="CT3806" s="1384"/>
      <c r="CZ3806" s="338"/>
      <c r="DA3806" s="338"/>
      <c r="DP3806" s="236"/>
      <c r="DQ3806" s="236"/>
      <c r="DX3806" s="1671"/>
    </row>
    <row r="3807" spans="38:128">
      <c r="AL3807" s="1037"/>
      <c r="BP3807" s="1385"/>
      <c r="BV3807" s="236">
        <v>78.48</v>
      </c>
      <c r="BW3807" s="236" t="s">
        <v>340</v>
      </c>
      <c r="CL3807" s="236">
        <v>330.09</v>
      </c>
      <c r="CM3807" s="236" t="s">
        <v>341</v>
      </c>
      <c r="CT3807" s="1384"/>
      <c r="CZ3807" s="338"/>
      <c r="DA3807" s="338"/>
      <c r="DP3807" s="236"/>
      <c r="DQ3807" s="236"/>
      <c r="DX3807" s="1671"/>
    </row>
    <row r="3808" spans="38:128">
      <c r="AL3808" s="1037"/>
      <c r="BP3808" s="1385"/>
      <c r="BV3808" s="236">
        <v>78.489999999999995</v>
      </c>
      <c r="BW3808" s="236" t="s">
        <v>340</v>
      </c>
      <c r="CL3808" s="236">
        <v>330.1</v>
      </c>
      <c r="CM3808" s="236" t="s">
        <v>341</v>
      </c>
      <c r="CT3808" s="1384"/>
      <c r="CZ3808" s="338"/>
      <c r="DA3808" s="338"/>
      <c r="DP3808" s="236"/>
      <c r="DQ3808" s="236"/>
      <c r="DX3808" s="1671"/>
    </row>
    <row r="3809" spans="38:128">
      <c r="AL3809" s="1037"/>
      <c r="BP3809" s="1385"/>
      <c r="BV3809" s="236">
        <v>78.5</v>
      </c>
      <c r="BW3809" s="236" t="s">
        <v>340</v>
      </c>
      <c r="CL3809" s="236">
        <v>330.11</v>
      </c>
      <c r="CM3809" s="236" t="s">
        <v>341</v>
      </c>
      <c r="CT3809" s="1384"/>
      <c r="CZ3809" s="338"/>
      <c r="DA3809" s="338"/>
      <c r="DP3809" s="236"/>
      <c r="DQ3809" s="236"/>
      <c r="DX3809" s="1671"/>
    </row>
    <row r="3810" spans="38:128">
      <c r="AL3810" s="1037"/>
      <c r="BP3810" s="1385"/>
      <c r="BV3810" s="236">
        <v>78.510000000000005</v>
      </c>
      <c r="BW3810" s="236" t="s">
        <v>340</v>
      </c>
      <c r="CL3810" s="236">
        <v>330.12</v>
      </c>
      <c r="CM3810" s="236" t="s">
        <v>341</v>
      </c>
      <c r="CT3810" s="1384"/>
      <c r="CZ3810" s="338"/>
      <c r="DA3810" s="338"/>
      <c r="DP3810" s="236"/>
      <c r="DQ3810" s="236"/>
      <c r="DX3810" s="1671"/>
    </row>
    <row r="3811" spans="38:128">
      <c r="AL3811" s="1037"/>
      <c r="BP3811" s="1385"/>
      <c r="BV3811" s="236">
        <v>78.52</v>
      </c>
      <c r="BW3811" s="236" t="s">
        <v>340</v>
      </c>
      <c r="CL3811" s="236">
        <v>330.13</v>
      </c>
      <c r="CM3811" s="236" t="s">
        <v>341</v>
      </c>
      <c r="CT3811" s="1384"/>
      <c r="CZ3811" s="338"/>
      <c r="DA3811" s="338"/>
      <c r="DP3811" s="236"/>
      <c r="DQ3811" s="236"/>
      <c r="DX3811" s="1671"/>
    </row>
    <row r="3812" spans="38:128">
      <c r="AL3812" s="1037"/>
      <c r="BP3812" s="1385"/>
      <c r="BV3812" s="236">
        <v>78.53</v>
      </c>
      <c r="BW3812" s="236" t="s">
        <v>340</v>
      </c>
      <c r="CL3812" s="236">
        <v>330.14</v>
      </c>
      <c r="CM3812" s="236" t="s">
        <v>341</v>
      </c>
      <c r="CT3812" s="1384"/>
      <c r="CZ3812" s="338"/>
      <c r="DA3812" s="338"/>
      <c r="DP3812" s="236"/>
      <c r="DQ3812" s="236"/>
      <c r="DX3812" s="1671"/>
    </row>
    <row r="3813" spans="38:128">
      <c r="AL3813" s="1037"/>
      <c r="BP3813" s="1385"/>
      <c r="BV3813" s="236">
        <v>79.09</v>
      </c>
      <c r="BW3813" s="236" t="s">
        <v>340</v>
      </c>
      <c r="CL3813" s="236">
        <v>331.01</v>
      </c>
      <c r="CM3813" s="236" t="s">
        <v>341</v>
      </c>
      <c r="CT3813" s="1384"/>
      <c r="CZ3813" s="338"/>
      <c r="DA3813" s="338"/>
      <c r="DP3813" s="236"/>
      <c r="DQ3813" s="236"/>
      <c r="DX3813" s="1671"/>
    </row>
    <row r="3814" spans="38:128">
      <c r="AL3814" s="1037"/>
      <c r="BP3814" s="1385"/>
      <c r="BV3814" s="236">
        <v>79.13</v>
      </c>
      <c r="BW3814" s="236" t="s">
        <v>340</v>
      </c>
      <c r="CL3814" s="236">
        <v>331.02</v>
      </c>
      <c r="CM3814" s="236" t="s">
        <v>341</v>
      </c>
      <c r="CT3814" s="1384"/>
      <c r="CZ3814" s="338"/>
      <c r="DA3814" s="338"/>
      <c r="DP3814" s="236"/>
      <c r="DQ3814" s="236"/>
      <c r="DX3814" s="1671"/>
    </row>
    <row r="3815" spans="38:128">
      <c r="AL3815" s="1037"/>
      <c r="BP3815" s="1385"/>
      <c r="BV3815" s="236">
        <v>79.14</v>
      </c>
      <c r="BW3815" s="236" t="s">
        <v>340</v>
      </c>
      <c r="CL3815" s="338">
        <v>401.01</v>
      </c>
      <c r="CM3815" s="338" t="s">
        <v>281</v>
      </c>
      <c r="CT3815" s="1384"/>
      <c r="CZ3815" s="338"/>
      <c r="DA3815" s="338"/>
      <c r="DP3815" s="236"/>
      <c r="DQ3815" s="236"/>
      <c r="DX3815" s="1671"/>
    </row>
    <row r="3816" spans="38:128">
      <c r="AL3816" s="1037"/>
      <c r="BP3816" s="1385"/>
      <c r="BV3816" s="236">
        <v>79.150000000000006</v>
      </c>
      <c r="BW3816" s="236" t="s">
        <v>340</v>
      </c>
      <c r="CL3816" s="338">
        <v>401.01</v>
      </c>
      <c r="CM3816" s="338" t="s">
        <v>289</v>
      </c>
      <c r="CT3816" s="1384"/>
      <c r="CZ3816" s="338"/>
      <c r="DA3816" s="338"/>
      <c r="DP3816" s="236"/>
      <c r="DQ3816" s="236"/>
      <c r="DX3816" s="1671"/>
    </row>
    <row r="3817" spans="38:128">
      <c r="AL3817" s="1037"/>
      <c r="BP3817" s="1385"/>
      <c r="BV3817" s="236">
        <v>79.16</v>
      </c>
      <c r="BW3817" s="236" t="s">
        <v>340</v>
      </c>
      <c r="CL3817" s="236">
        <v>401.01</v>
      </c>
      <c r="CM3817" s="236" t="s">
        <v>314</v>
      </c>
      <c r="CT3817" s="1384"/>
      <c r="CZ3817" s="338"/>
      <c r="DA3817" s="338"/>
      <c r="DP3817" s="236"/>
      <c r="DQ3817" s="236"/>
      <c r="DX3817" s="1671"/>
    </row>
    <row r="3818" spans="38:128">
      <c r="AL3818" s="1037"/>
      <c r="BP3818" s="1385"/>
      <c r="BV3818" s="236">
        <v>79.17</v>
      </c>
      <c r="BW3818" s="236" t="s">
        <v>340</v>
      </c>
      <c r="CL3818" s="338">
        <v>401.02</v>
      </c>
      <c r="CM3818" s="338" t="s">
        <v>281</v>
      </c>
      <c r="CT3818" s="1384"/>
      <c r="CZ3818" s="338"/>
      <c r="DA3818" s="338"/>
      <c r="DP3818" s="236"/>
      <c r="DQ3818" s="236"/>
      <c r="DX3818" s="1671"/>
    </row>
    <row r="3819" spans="38:128">
      <c r="AL3819" s="1037"/>
      <c r="BP3819" s="1385"/>
      <c r="BV3819" s="236">
        <v>79.180000000000007</v>
      </c>
      <c r="BW3819" s="236" t="s">
        <v>340</v>
      </c>
      <c r="CL3819" s="338">
        <v>401.02</v>
      </c>
      <c r="CM3819" s="338" t="s">
        <v>289</v>
      </c>
      <c r="CT3819" s="1384"/>
      <c r="CZ3819" s="338"/>
      <c r="DA3819" s="338"/>
      <c r="DP3819" s="236"/>
      <c r="DQ3819" s="236"/>
      <c r="DX3819" s="1671"/>
    </row>
    <row r="3820" spans="38:128">
      <c r="AL3820" s="1037"/>
      <c r="BP3820" s="1385"/>
      <c r="BV3820" s="236">
        <v>79.19</v>
      </c>
      <c r="BW3820" s="236" t="s">
        <v>340</v>
      </c>
      <c r="CL3820" s="236">
        <v>401.02</v>
      </c>
      <c r="CM3820" s="236" t="s">
        <v>314</v>
      </c>
      <c r="CT3820" s="1384"/>
      <c r="CZ3820" s="338"/>
      <c r="DA3820" s="338"/>
      <c r="DP3820" s="236"/>
      <c r="DQ3820" s="236"/>
      <c r="DX3820" s="1671"/>
    </row>
    <row r="3821" spans="38:128">
      <c r="AL3821" s="1037"/>
      <c r="BP3821" s="1385"/>
      <c r="BV3821" s="236">
        <v>80.010000000000005</v>
      </c>
      <c r="BW3821" s="236" t="s">
        <v>340</v>
      </c>
      <c r="CL3821" s="236">
        <v>401.08</v>
      </c>
      <c r="CM3821" s="236" t="s">
        <v>323</v>
      </c>
      <c r="CT3821" s="1384"/>
      <c r="CZ3821" s="338"/>
      <c r="DA3821" s="338"/>
      <c r="DP3821" s="236"/>
      <c r="DQ3821" s="236"/>
      <c r="DX3821" s="1671"/>
    </row>
    <row r="3822" spans="38:128">
      <c r="AL3822" s="1037"/>
      <c r="BP3822" s="1385"/>
      <c r="BV3822" s="236">
        <v>80.02</v>
      </c>
      <c r="BW3822" s="236" t="s">
        <v>340</v>
      </c>
      <c r="CL3822" s="236">
        <v>401.09</v>
      </c>
      <c r="CM3822" s="236" t="s">
        <v>323</v>
      </c>
      <c r="CT3822" s="1384"/>
      <c r="CZ3822" s="338"/>
      <c r="DA3822" s="338"/>
      <c r="DP3822" s="236"/>
      <c r="DQ3822" s="236"/>
      <c r="DX3822" s="1671"/>
    </row>
    <row r="3823" spans="38:128">
      <c r="AL3823" s="1037"/>
      <c r="BP3823" s="1385"/>
      <c r="BV3823" s="236">
        <v>81.010000000000005</v>
      </c>
      <c r="BW3823" s="236" t="s">
        <v>340</v>
      </c>
      <c r="CL3823" s="236">
        <v>401.1</v>
      </c>
      <c r="CM3823" s="236" t="s">
        <v>323</v>
      </c>
      <c r="CT3823" s="1384"/>
      <c r="CZ3823" s="338"/>
      <c r="DA3823" s="338"/>
      <c r="DP3823" s="236"/>
      <c r="DQ3823" s="236"/>
      <c r="DX3823" s="1671"/>
    </row>
    <row r="3824" spans="38:128">
      <c r="AL3824" s="1037"/>
      <c r="BP3824" s="1385"/>
      <c r="BV3824" s="236">
        <v>81.02</v>
      </c>
      <c r="BW3824" s="236" t="s">
        <v>340</v>
      </c>
      <c r="CL3824" s="236">
        <v>401.11</v>
      </c>
      <c r="CM3824" s="236" t="s">
        <v>323</v>
      </c>
      <c r="CT3824" s="1384"/>
      <c r="CZ3824" s="338"/>
      <c r="DA3824" s="338"/>
      <c r="DP3824" s="236"/>
      <c r="DQ3824" s="236"/>
      <c r="DX3824" s="1671"/>
    </row>
    <row r="3825" spans="38:128">
      <c r="AL3825" s="1037"/>
      <c r="BP3825" s="1385"/>
      <c r="BV3825" s="236">
        <v>82.01</v>
      </c>
      <c r="BW3825" s="236" t="s">
        <v>340</v>
      </c>
      <c r="CL3825" s="236">
        <v>401.13</v>
      </c>
      <c r="CM3825" s="236" t="s">
        <v>323</v>
      </c>
      <c r="CT3825" s="1384"/>
      <c r="CZ3825" s="338"/>
      <c r="DA3825" s="338"/>
      <c r="DP3825" s="236"/>
      <c r="DQ3825" s="236"/>
      <c r="DX3825" s="1671"/>
    </row>
    <row r="3826" spans="38:128">
      <c r="AL3826" s="1037"/>
      <c r="BP3826" s="1385"/>
      <c r="BV3826" s="236">
        <v>82.02</v>
      </c>
      <c r="BW3826" s="236" t="s">
        <v>340</v>
      </c>
      <c r="CL3826" s="236">
        <v>401.17</v>
      </c>
      <c r="CM3826" s="236" t="s">
        <v>323</v>
      </c>
      <c r="CT3826" s="1384"/>
      <c r="CZ3826" s="338"/>
      <c r="DA3826" s="338"/>
      <c r="DP3826" s="236"/>
      <c r="DQ3826" s="236"/>
      <c r="DX3826" s="1671"/>
    </row>
    <row r="3827" spans="38:128">
      <c r="AL3827" s="1037"/>
      <c r="BP3827" s="1385"/>
      <c r="BV3827" s="236">
        <v>82.03</v>
      </c>
      <c r="BW3827" s="236" t="s">
        <v>340</v>
      </c>
      <c r="CL3827" s="236">
        <v>401.18</v>
      </c>
      <c r="CM3827" s="236" t="s">
        <v>323</v>
      </c>
      <c r="CT3827" s="1384"/>
      <c r="CZ3827" s="338"/>
      <c r="DA3827" s="338"/>
      <c r="DP3827" s="236"/>
      <c r="DQ3827" s="236"/>
      <c r="DX3827" s="1671"/>
    </row>
    <row r="3828" spans="38:128">
      <c r="AL3828" s="1037"/>
      <c r="BP3828" s="1385"/>
      <c r="BV3828" s="236">
        <v>83.01</v>
      </c>
      <c r="BW3828" s="236" t="s">
        <v>340</v>
      </c>
      <c r="CL3828" s="236">
        <v>401.2</v>
      </c>
      <c r="CM3828" s="236" t="s">
        <v>323</v>
      </c>
      <c r="CT3828" s="1384"/>
      <c r="CZ3828" s="338"/>
      <c r="DA3828" s="338"/>
      <c r="DP3828" s="236"/>
      <c r="DQ3828" s="236"/>
      <c r="DX3828" s="1671"/>
    </row>
    <row r="3829" spans="38:128">
      <c r="AL3829" s="1037"/>
      <c r="BP3829" s="1385"/>
      <c r="BV3829" s="236">
        <v>83.02</v>
      </c>
      <c r="BW3829" s="236" t="s">
        <v>340</v>
      </c>
      <c r="CL3829" s="236">
        <v>401.21</v>
      </c>
      <c r="CM3829" s="236" t="s">
        <v>323</v>
      </c>
      <c r="CT3829" s="1384"/>
      <c r="CZ3829" s="338"/>
      <c r="DA3829" s="338"/>
      <c r="DP3829" s="236"/>
      <c r="DQ3829" s="236"/>
      <c r="DX3829" s="1671"/>
    </row>
    <row r="3830" spans="38:128">
      <c r="AL3830" s="1037"/>
      <c r="BP3830" s="1385"/>
      <c r="BV3830" s="236">
        <v>9800</v>
      </c>
      <c r="BW3830" s="236" t="s">
        <v>340</v>
      </c>
      <c r="CL3830" s="236">
        <v>401.22</v>
      </c>
      <c r="CM3830" s="236" t="s">
        <v>323</v>
      </c>
      <c r="CT3830" s="1384"/>
      <c r="CZ3830" s="338"/>
      <c r="DA3830" s="338"/>
      <c r="DP3830" s="236"/>
      <c r="DQ3830" s="236"/>
      <c r="DX3830" s="1671"/>
    </row>
    <row r="3831" spans="38:128">
      <c r="AL3831" s="1037"/>
      <c r="BP3831" s="1385"/>
      <c r="BV3831" s="236">
        <v>9801</v>
      </c>
      <c r="BW3831" s="236" t="s">
        <v>340</v>
      </c>
      <c r="CL3831" s="236">
        <v>401.23</v>
      </c>
      <c r="CM3831" s="236" t="s">
        <v>323</v>
      </c>
      <c r="CT3831" s="1384"/>
      <c r="CZ3831" s="338"/>
      <c r="DA3831" s="338"/>
      <c r="DP3831" s="236"/>
      <c r="DQ3831" s="236"/>
      <c r="DX3831" s="1671"/>
    </row>
    <row r="3832" spans="38:128">
      <c r="AL3832" s="1037"/>
      <c r="BP3832" s="1385"/>
      <c r="BV3832" s="236">
        <v>9802</v>
      </c>
      <c r="BW3832" s="236" t="s">
        <v>340</v>
      </c>
      <c r="CL3832" s="236">
        <v>401.24</v>
      </c>
      <c r="CM3832" s="236" t="s">
        <v>323</v>
      </c>
      <c r="CT3832" s="1384"/>
      <c r="CZ3832" s="338"/>
      <c r="DA3832" s="338"/>
      <c r="DP3832" s="236"/>
      <c r="DQ3832" s="236"/>
      <c r="DX3832" s="1671"/>
    </row>
    <row r="3833" spans="38:128">
      <c r="AL3833" s="1037"/>
      <c r="BP3833" s="1385"/>
      <c r="BV3833" s="236">
        <v>9804</v>
      </c>
      <c r="BW3833" s="236" t="s">
        <v>340</v>
      </c>
      <c r="CL3833" s="236">
        <v>401.25</v>
      </c>
      <c r="CM3833" s="236" t="s">
        <v>323</v>
      </c>
      <c r="CT3833" s="1384"/>
      <c r="CZ3833" s="338"/>
      <c r="DA3833" s="338"/>
      <c r="DP3833" s="236"/>
      <c r="DQ3833" s="236"/>
      <c r="DX3833" s="1671"/>
    </row>
    <row r="3834" spans="38:128">
      <c r="AL3834" s="1037"/>
      <c r="BP3834" s="1385"/>
      <c r="BV3834" s="236">
        <v>9805</v>
      </c>
      <c r="BW3834" s="236" t="s">
        <v>340</v>
      </c>
      <c r="CL3834" s="236">
        <v>401.26</v>
      </c>
      <c r="CM3834" s="236" t="s">
        <v>323</v>
      </c>
      <c r="CT3834" s="1384"/>
      <c r="CZ3834" s="338"/>
      <c r="DA3834" s="338"/>
      <c r="DP3834" s="236"/>
      <c r="DQ3834" s="236"/>
      <c r="DX3834" s="1671"/>
    </row>
    <row r="3835" spans="38:128">
      <c r="AL3835" s="1037"/>
      <c r="BP3835" s="1385"/>
      <c r="BV3835" s="236">
        <v>9900</v>
      </c>
      <c r="BW3835" s="236" t="s">
        <v>340</v>
      </c>
      <c r="CL3835" s="236">
        <v>401.27</v>
      </c>
      <c r="CM3835" s="236" t="s">
        <v>323</v>
      </c>
      <c r="CT3835" s="1384"/>
      <c r="CZ3835" s="338"/>
      <c r="DA3835" s="338"/>
      <c r="DP3835" s="236"/>
      <c r="DQ3835" s="236"/>
      <c r="DX3835" s="1671"/>
    </row>
    <row r="3836" spans="38:128">
      <c r="AL3836" s="1037"/>
      <c r="BP3836" s="1385"/>
      <c r="BV3836" s="236">
        <v>9901</v>
      </c>
      <c r="BW3836" s="236" t="s">
        <v>340</v>
      </c>
      <c r="CL3836" s="236">
        <v>401.28</v>
      </c>
      <c r="CM3836" s="236" t="s">
        <v>323</v>
      </c>
      <c r="CT3836" s="1384"/>
      <c r="CZ3836" s="338"/>
      <c r="DA3836" s="338"/>
      <c r="DP3836" s="236"/>
      <c r="DQ3836" s="236"/>
      <c r="DX3836" s="1671"/>
    </row>
    <row r="3837" spans="38:128">
      <c r="AL3837" s="1037"/>
      <c r="BP3837" s="1385"/>
      <c r="BV3837" s="236">
        <v>301.01</v>
      </c>
      <c r="BW3837" s="236" t="s">
        <v>341</v>
      </c>
      <c r="CL3837" s="236">
        <v>401.29</v>
      </c>
      <c r="CM3837" s="236" t="s">
        <v>323</v>
      </c>
      <c r="CT3837" s="1384"/>
      <c r="CZ3837" s="338"/>
      <c r="DA3837" s="338"/>
      <c r="DP3837" s="236"/>
      <c r="DQ3837" s="236"/>
      <c r="DX3837" s="1671"/>
    </row>
    <row r="3838" spans="38:128">
      <c r="AL3838" s="1037"/>
      <c r="BP3838" s="1385"/>
      <c r="BV3838" s="236">
        <v>301.02</v>
      </c>
      <c r="BW3838" s="236" t="s">
        <v>341</v>
      </c>
      <c r="CL3838" s="236">
        <v>401.3</v>
      </c>
      <c r="CM3838" s="236" t="s">
        <v>323</v>
      </c>
      <c r="CT3838" s="1384"/>
      <c r="CZ3838" s="338"/>
      <c r="DA3838" s="338"/>
      <c r="DP3838" s="236"/>
      <c r="DQ3838" s="236"/>
      <c r="DX3838" s="1671"/>
    </row>
    <row r="3839" spans="38:128">
      <c r="AL3839" s="1037"/>
      <c r="BP3839" s="1385"/>
      <c r="BV3839" s="236">
        <v>302.02</v>
      </c>
      <c r="BW3839" s="236" t="s">
        <v>341</v>
      </c>
      <c r="CL3839" s="236">
        <v>401.31</v>
      </c>
      <c r="CM3839" s="236" t="s">
        <v>323</v>
      </c>
      <c r="CT3839" s="1384"/>
      <c r="CZ3839" s="338"/>
      <c r="DA3839" s="338"/>
      <c r="DP3839" s="236"/>
      <c r="DQ3839" s="236"/>
      <c r="DX3839" s="1671"/>
    </row>
    <row r="3840" spans="38:128">
      <c r="AL3840" s="1037"/>
      <c r="BP3840" s="1385"/>
      <c r="BV3840" s="236">
        <v>302.02999999999997</v>
      </c>
      <c r="BW3840" s="236" t="s">
        <v>341</v>
      </c>
      <c r="CL3840" s="236">
        <v>401.32</v>
      </c>
      <c r="CM3840" s="236" t="s">
        <v>323</v>
      </c>
      <c r="CT3840" s="1384"/>
      <c r="CZ3840" s="338"/>
      <c r="DA3840" s="338"/>
      <c r="DP3840" s="236"/>
      <c r="DQ3840" s="236"/>
      <c r="DX3840" s="1671"/>
    </row>
    <row r="3841" spans="38:128">
      <c r="AL3841" s="1037"/>
      <c r="BP3841" s="1385"/>
      <c r="BV3841" s="236">
        <v>302.04000000000002</v>
      </c>
      <c r="BW3841" s="236" t="s">
        <v>341</v>
      </c>
      <c r="CL3841" s="236">
        <v>401.33</v>
      </c>
      <c r="CM3841" s="236" t="s">
        <v>323</v>
      </c>
      <c r="CT3841" s="1384"/>
      <c r="CZ3841" s="338"/>
      <c r="DA3841" s="338"/>
      <c r="DP3841" s="236"/>
      <c r="DQ3841" s="236"/>
      <c r="DX3841" s="1671"/>
    </row>
    <row r="3842" spans="38:128">
      <c r="AL3842" s="1037"/>
      <c r="BP3842" s="1385"/>
      <c r="BV3842" s="236">
        <v>302.05</v>
      </c>
      <c r="BW3842" s="236" t="s">
        <v>341</v>
      </c>
      <c r="CL3842" s="236">
        <v>401.34</v>
      </c>
      <c r="CM3842" s="236" t="s">
        <v>323</v>
      </c>
      <c r="CT3842" s="1384"/>
      <c r="CZ3842" s="338"/>
      <c r="DA3842" s="338"/>
      <c r="DP3842" s="236"/>
      <c r="DQ3842" s="236"/>
      <c r="DX3842" s="1671"/>
    </row>
    <row r="3843" spans="38:128">
      <c r="AL3843" s="1037"/>
      <c r="BP3843" s="1385"/>
      <c r="BV3843" s="236">
        <v>303.02999999999997</v>
      </c>
      <c r="BW3843" s="236" t="s">
        <v>341</v>
      </c>
      <c r="CL3843" s="236">
        <v>401.35</v>
      </c>
      <c r="CM3843" s="236" t="s">
        <v>323</v>
      </c>
      <c r="CT3843" s="1384"/>
      <c r="CZ3843" s="338"/>
      <c r="DA3843" s="338"/>
      <c r="DP3843" s="236"/>
      <c r="DQ3843" s="236"/>
      <c r="DX3843" s="1671"/>
    </row>
    <row r="3844" spans="38:128">
      <c r="AL3844" s="1037"/>
      <c r="BP3844" s="1385"/>
      <c r="BV3844" s="236">
        <v>303.04000000000002</v>
      </c>
      <c r="BW3844" s="236" t="s">
        <v>341</v>
      </c>
      <c r="CL3844" s="236">
        <v>401.36</v>
      </c>
      <c r="CM3844" s="236" t="s">
        <v>323</v>
      </c>
      <c r="CT3844" s="1384"/>
      <c r="CZ3844" s="338"/>
      <c r="DA3844" s="338"/>
      <c r="DP3844" s="236"/>
      <c r="DQ3844" s="236"/>
      <c r="DX3844" s="1671"/>
    </row>
    <row r="3845" spans="38:128">
      <c r="AL3845" s="1037"/>
      <c r="BP3845" s="1385"/>
      <c r="BV3845" s="236">
        <v>304.04000000000002</v>
      </c>
      <c r="BW3845" s="236" t="s">
        <v>341</v>
      </c>
      <c r="CL3845" s="236">
        <v>401.37</v>
      </c>
      <c r="CM3845" s="236" t="s">
        <v>323</v>
      </c>
      <c r="CT3845" s="1384"/>
      <c r="CZ3845" s="338"/>
      <c r="DA3845" s="338"/>
      <c r="DP3845" s="236"/>
      <c r="DQ3845" s="236"/>
      <c r="DX3845" s="1671"/>
    </row>
    <row r="3846" spans="38:128">
      <c r="AL3846" s="1037"/>
      <c r="BP3846" s="1385"/>
      <c r="BV3846" s="236">
        <v>304.05</v>
      </c>
      <c r="BW3846" s="236" t="s">
        <v>341</v>
      </c>
      <c r="CL3846" s="236">
        <v>401.38</v>
      </c>
      <c r="CM3846" s="236" t="s">
        <v>323</v>
      </c>
      <c r="CT3846" s="1384"/>
      <c r="CZ3846" s="338"/>
      <c r="DA3846" s="338"/>
      <c r="DP3846" s="236"/>
      <c r="DQ3846" s="236"/>
      <c r="DX3846" s="1671"/>
    </row>
    <row r="3847" spans="38:128">
      <c r="AL3847" s="1037"/>
      <c r="BP3847" s="1385"/>
      <c r="BV3847" s="236">
        <v>304.06</v>
      </c>
      <c r="BW3847" s="236" t="s">
        <v>341</v>
      </c>
      <c r="CL3847" s="236">
        <v>401.39</v>
      </c>
      <c r="CM3847" s="236" t="s">
        <v>323</v>
      </c>
      <c r="CT3847" s="1384"/>
      <c r="CZ3847" s="338"/>
      <c r="DA3847" s="338"/>
      <c r="DP3847" s="236"/>
      <c r="DQ3847" s="236"/>
      <c r="DX3847" s="1671"/>
    </row>
    <row r="3848" spans="38:128">
      <c r="AL3848" s="1037"/>
      <c r="BP3848" s="1385"/>
      <c r="BV3848" s="236">
        <v>304.07</v>
      </c>
      <c r="BW3848" s="236" t="s">
        <v>341</v>
      </c>
      <c r="CL3848" s="338">
        <v>402.01</v>
      </c>
      <c r="CM3848" s="338" t="s">
        <v>281</v>
      </c>
      <c r="CT3848" s="1384"/>
      <c r="CZ3848" s="338"/>
      <c r="DA3848" s="338"/>
      <c r="DP3848" s="236"/>
      <c r="DQ3848" s="236"/>
      <c r="DX3848" s="1671"/>
    </row>
    <row r="3849" spans="38:128">
      <c r="AL3849" s="1037"/>
      <c r="BP3849" s="1385"/>
      <c r="BV3849" s="236">
        <v>304.08</v>
      </c>
      <c r="BW3849" s="236" t="s">
        <v>341</v>
      </c>
      <c r="CL3849" s="236">
        <v>402.01</v>
      </c>
      <c r="CM3849" s="236" t="s">
        <v>314</v>
      </c>
      <c r="CT3849" s="1384"/>
      <c r="CZ3849" s="338"/>
      <c r="DA3849" s="338"/>
      <c r="DP3849" s="236"/>
      <c r="DQ3849" s="236"/>
      <c r="DX3849" s="1671"/>
    </row>
    <row r="3850" spans="38:128">
      <c r="AL3850" s="1037"/>
      <c r="BP3850" s="1385"/>
      <c r="BV3850" s="236">
        <v>304.08999999999997</v>
      </c>
      <c r="BW3850" s="236" t="s">
        <v>341</v>
      </c>
      <c r="CL3850" s="338">
        <v>402.02</v>
      </c>
      <c r="CM3850" s="338" t="s">
        <v>281</v>
      </c>
      <c r="CT3850" s="1384"/>
      <c r="CZ3850" s="338"/>
      <c r="DA3850" s="338"/>
      <c r="DP3850" s="236"/>
      <c r="DQ3850" s="236"/>
      <c r="DX3850" s="1671"/>
    </row>
    <row r="3851" spans="38:128">
      <c r="AL3851" s="1037"/>
      <c r="BP3851" s="1385"/>
      <c r="BV3851" s="236">
        <v>304.10000000000002</v>
      </c>
      <c r="BW3851" s="236" t="s">
        <v>341</v>
      </c>
      <c r="CL3851" s="236">
        <v>402.02</v>
      </c>
      <c r="CM3851" s="236" t="s">
        <v>314</v>
      </c>
      <c r="CT3851" s="1384"/>
      <c r="CZ3851" s="338"/>
      <c r="DA3851" s="338"/>
      <c r="DP3851" s="236"/>
      <c r="DQ3851" s="236"/>
      <c r="DX3851" s="1671"/>
    </row>
    <row r="3852" spans="38:128">
      <c r="AL3852" s="1037"/>
      <c r="BP3852" s="1385"/>
      <c r="BV3852" s="236">
        <v>304.11</v>
      </c>
      <c r="BW3852" s="236" t="s">
        <v>341</v>
      </c>
      <c r="CL3852" s="338">
        <v>402.03</v>
      </c>
      <c r="CM3852" s="338" t="s">
        <v>289</v>
      </c>
      <c r="CT3852" s="1384"/>
      <c r="CZ3852" s="338"/>
      <c r="DA3852" s="338"/>
      <c r="DP3852" s="236"/>
      <c r="DQ3852" s="236"/>
      <c r="DX3852" s="1671"/>
    </row>
    <row r="3853" spans="38:128">
      <c r="AL3853" s="1037"/>
      <c r="BP3853" s="1385"/>
      <c r="BV3853" s="236">
        <v>304.12</v>
      </c>
      <c r="BW3853" s="236" t="s">
        <v>341</v>
      </c>
      <c r="CL3853" s="338">
        <v>402.04</v>
      </c>
      <c r="CM3853" s="338" t="s">
        <v>289</v>
      </c>
      <c r="CT3853" s="1384"/>
      <c r="CZ3853" s="338"/>
      <c r="DA3853" s="338"/>
      <c r="DP3853" s="236"/>
      <c r="DQ3853" s="236"/>
      <c r="DX3853" s="1671"/>
    </row>
    <row r="3854" spans="38:128">
      <c r="AL3854" s="1037"/>
      <c r="BP3854" s="1385"/>
      <c r="BV3854" s="236">
        <v>305.01</v>
      </c>
      <c r="BW3854" s="236" t="s">
        <v>341</v>
      </c>
      <c r="CL3854" s="338">
        <v>402.05</v>
      </c>
      <c r="CM3854" s="338" t="s">
        <v>289</v>
      </c>
      <c r="CT3854" s="1384"/>
      <c r="CZ3854" s="338"/>
      <c r="DA3854" s="338"/>
      <c r="DP3854" s="236"/>
      <c r="DQ3854" s="236"/>
      <c r="DX3854" s="1671"/>
    </row>
    <row r="3855" spans="38:128">
      <c r="AL3855" s="1037"/>
      <c r="BP3855" s="1385"/>
      <c r="BV3855" s="236">
        <v>305.02</v>
      </c>
      <c r="BW3855" s="236" t="s">
        <v>341</v>
      </c>
      <c r="CL3855" s="236">
        <v>402.05</v>
      </c>
      <c r="CM3855" s="236" t="s">
        <v>323</v>
      </c>
      <c r="CT3855" s="1384"/>
      <c r="CZ3855" s="338"/>
      <c r="DA3855" s="338"/>
      <c r="DP3855" s="236"/>
      <c r="DQ3855" s="236"/>
      <c r="DX3855" s="1671"/>
    </row>
    <row r="3856" spans="38:128">
      <c r="AL3856" s="1037"/>
      <c r="BP3856" s="1385"/>
      <c r="BV3856" s="236">
        <v>306.01</v>
      </c>
      <c r="BW3856" s="236" t="s">
        <v>341</v>
      </c>
      <c r="CL3856" s="338">
        <v>402.06</v>
      </c>
      <c r="CM3856" s="338" t="s">
        <v>289</v>
      </c>
      <c r="CT3856" s="1384"/>
      <c r="CZ3856" s="338"/>
      <c r="DA3856" s="338"/>
      <c r="DP3856" s="236"/>
      <c r="DQ3856" s="236"/>
      <c r="DX3856" s="1671"/>
    </row>
    <row r="3857" spans="38:128">
      <c r="AL3857" s="1037"/>
      <c r="BP3857" s="1385"/>
      <c r="BV3857" s="236">
        <v>306.02</v>
      </c>
      <c r="BW3857" s="236" t="s">
        <v>341</v>
      </c>
      <c r="CL3857" s="236">
        <v>402.06</v>
      </c>
      <c r="CM3857" s="236" t="s">
        <v>323</v>
      </c>
      <c r="CT3857" s="1384"/>
      <c r="CZ3857" s="338"/>
      <c r="DA3857" s="338"/>
      <c r="DP3857" s="236"/>
      <c r="DQ3857" s="236"/>
      <c r="DX3857" s="1671"/>
    </row>
    <row r="3858" spans="38:128">
      <c r="AL3858" s="1037"/>
      <c r="BP3858" s="1385"/>
      <c r="BV3858" s="236">
        <v>307</v>
      </c>
      <c r="BW3858" s="236" t="s">
        <v>341</v>
      </c>
      <c r="CL3858" s="236">
        <v>402.07</v>
      </c>
      <c r="CM3858" s="236" t="s">
        <v>323</v>
      </c>
      <c r="CT3858" s="1384"/>
      <c r="CZ3858" s="338"/>
      <c r="DA3858" s="338"/>
      <c r="DP3858" s="236"/>
      <c r="DQ3858" s="236"/>
      <c r="DX3858" s="1671"/>
    </row>
    <row r="3859" spans="38:128">
      <c r="AL3859" s="1037"/>
      <c r="BP3859" s="1385"/>
      <c r="BV3859" s="236">
        <v>308</v>
      </c>
      <c r="BW3859" s="236" t="s">
        <v>341</v>
      </c>
      <c r="CL3859" s="236">
        <v>402.08</v>
      </c>
      <c r="CM3859" s="236" t="s">
        <v>323</v>
      </c>
      <c r="CT3859" s="1384"/>
      <c r="CZ3859" s="338"/>
      <c r="DA3859" s="338"/>
      <c r="DP3859" s="236"/>
      <c r="DQ3859" s="236"/>
      <c r="DX3859" s="1671"/>
    </row>
    <row r="3860" spans="38:128">
      <c r="AL3860" s="1037"/>
      <c r="BP3860" s="1385"/>
      <c r="BV3860" s="236">
        <v>309.01</v>
      </c>
      <c r="BW3860" s="236" t="s">
        <v>341</v>
      </c>
      <c r="CL3860" s="236">
        <v>402.09</v>
      </c>
      <c r="CM3860" s="236" t="s">
        <v>323</v>
      </c>
      <c r="CT3860" s="1384"/>
      <c r="CZ3860" s="338"/>
      <c r="DA3860" s="338"/>
      <c r="DP3860" s="236"/>
      <c r="DQ3860" s="236"/>
      <c r="DX3860" s="1671"/>
    </row>
    <row r="3861" spans="38:128">
      <c r="AL3861" s="1037"/>
      <c r="BP3861" s="1385"/>
      <c r="BV3861" s="236">
        <v>309.05</v>
      </c>
      <c r="BW3861" s="236" t="s">
        <v>341</v>
      </c>
      <c r="CL3861" s="236">
        <v>402.1</v>
      </c>
      <c r="CM3861" s="236" t="s">
        <v>323</v>
      </c>
      <c r="CT3861" s="1384"/>
      <c r="CZ3861" s="338"/>
      <c r="DA3861" s="338"/>
      <c r="DP3861" s="236"/>
      <c r="DQ3861" s="236"/>
      <c r="DX3861" s="1671"/>
    </row>
    <row r="3862" spans="38:128">
      <c r="AL3862" s="1037"/>
      <c r="BP3862" s="1385"/>
      <c r="BV3862" s="236">
        <v>309.06</v>
      </c>
      <c r="BW3862" s="236" t="s">
        <v>341</v>
      </c>
      <c r="CL3862" s="236">
        <v>402.11</v>
      </c>
      <c r="CM3862" s="236" t="s">
        <v>323</v>
      </c>
      <c r="CT3862" s="1384"/>
      <c r="CZ3862" s="338"/>
      <c r="DA3862" s="338"/>
      <c r="DP3862" s="236"/>
      <c r="DQ3862" s="236"/>
      <c r="DX3862" s="1671"/>
    </row>
    <row r="3863" spans="38:128">
      <c r="AL3863" s="1037"/>
      <c r="BP3863" s="1385"/>
      <c r="BV3863" s="236">
        <v>310.02999999999997</v>
      </c>
      <c r="BW3863" s="236" t="s">
        <v>341</v>
      </c>
      <c r="CL3863" s="236">
        <v>402.12</v>
      </c>
      <c r="CM3863" s="236" t="s">
        <v>323</v>
      </c>
      <c r="CT3863" s="1384"/>
      <c r="CZ3863" s="338"/>
      <c r="DA3863" s="338"/>
      <c r="DP3863" s="236"/>
      <c r="DQ3863" s="236"/>
      <c r="DX3863" s="1671"/>
    </row>
    <row r="3864" spans="38:128">
      <c r="AL3864" s="1037"/>
      <c r="BP3864" s="1385"/>
      <c r="BV3864" s="236">
        <v>310.05</v>
      </c>
      <c r="BW3864" s="236" t="s">
        <v>341</v>
      </c>
      <c r="CL3864" s="338">
        <v>403</v>
      </c>
      <c r="CM3864" s="338" t="s">
        <v>289</v>
      </c>
      <c r="CT3864" s="1384"/>
      <c r="CZ3864" s="338"/>
      <c r="DA3864" s="338"/>
      <c r="DP3864" s="236"/>
      <c r="DQ3864" s="236"/>
      <c r="DX3864" s="1671"/>
    </row>
    <row r="3865" spans="38:128">
      <c r="AL3865" s="1037"/>
      <c r="BP3865" s="1385"/>
      <c r="BV3865" s="236">
        <v>310.06</v>
      </c>
      <c r="BW3865" s="236" t="s">
        <v>341</v>
      </c>
      <c r="CL3865" s="236">
        <v>403.01</v>
      </c>
      <c r="CM3865" s="236" t="s">
        <v>314</v>
      </c>
      <c r="CT3865" s="1384"/>
      <c r="CZ3865" s="338"/>
      <c r="DA3865" s="338"/>
      <c r="DP3865" s="236"/>
      <c r="DQ3865" s="236"/>
      <c r="DX3865" s="1671"/>
    </row>
    <row r="3866" spans="38:128">
      <c r="AL3866" s="1037"/>
      <c r="BP3866" s="1385"/>
      <c r="BV3866" s="236">
        <v>310.07</v>
      </c>
      <c r="BW3866" s="236" t="s">
        <v>341</v>
      </c>
      <c r="CL3866" s="236">
        <v>403.01</v>
      </c>
      <c r="CM3866" s="236" t="s">
        <v>323</v>
      </c>
      <c r="CT3866" s="1384"/>
      <c r="CZ3866" s="338"/>
      <c r="DA3866" s="338"/>
      <c r="DP3866" s="236"/>
      <c r="DQ3866" s="236"/>
      <c r="DX3866" s="1671"/>
    </row>
    <row r="3867" spans="38:128">
      <c r="AL3867" s="1037"/>
      <c r="BP3867" s="1385"/>
      <c r="BV3867" s="236">
        <v>310.08</v>
      </c>
      <c r="BW3867" s="236" t="s">
        <v>341</v>
      </c>
      <c r="CL3867" s="236">
        <v>403.02</v>
      </c>
      <c r="CM3867" s="236" t="s">
        <v>314</v>
      </c>
      <c r="CT3867" s="1384"/>
      <c r="CZ3867" s="338"/>
      <c r="DA3867" s="338"/>
      <c r="DP3867" s="236"/>
      <c r="DQ3867" s="236"/>
      <c r="DX3867" s="1671"/>
    </row>
    <row r="3868" spans="38:128">
      <c r="AL3868" s="1037"/>
      <c r="BP3868" s="1385"/>
      <c r="BV3868" s="236">
        <v>310.08999999999997</v>
      </c>
      <c r="BW3868" s="236" t="s">
        <v>341</v>
      </c>
      <c r="CL3868" s="236">
        <v>403.02</v>
      </c>
      <c r="CM3868" s="236" t="s">
        <v>323</v>
      </c>
      <c r="CT3868" s="1384"/>
      <c r="CZ3868" s="338"/>
      <c r="DA3868" s="338"/>
      <c r="DP3868" s="236"/>
      <c r="DQ3868" s="236"/>
      <c r="DX3868" s="1671"/>
    </row>
    <row r="3869" spans="38:128">
      <c r="AL3869" s="1037"/>
      <c r="BP3869" s="1385"/>
      <c r="BV3869" s="236">
        <v>310.10000000000002</v>
      </c>
      <c r="BW3869" s="236" t="s">
        <v>341</v>
      </c>
      <c r="CL3869" s="236">
        <v>403.03</v>
      </c>
      <c r="CM3869" s="236" t="s">
        <v>314</v>
      </c>
      <c r="CT3869" s="1384"/>
      <c r="CZ3869" s="338"/>
      <c r="DA3869" s="338"/>
      <c r="DP3869" s="236"/>
      <c r="DQ3869" s="236"/>
      <c r="DX3869" s="1671"/>
    </row>
    <row r="3870" spans="38:128">
      <c r="AL3870" s="1037"/>
      <c r="BP3870" s="1385"/>
      <c r="BV3870" s="236">
        <v>310.11</v>
      </c>
      <c r="BW3870" s="236" t="s">
        <v>341</v>
      </c>
      <c r="CL3870" s="236">
        <v>403.03</v>
      </c>
      <c r="CM3870" s="236" t="s">
        <v>323</v>
      </c>
      <c r="CT3870" s="1384"/>
      <c r="CZ3870" s="338"/>
      <c r="DA3870" s="338"/>
      <c r="DP3870" s="236"/>
      <c r="DQ3870" s="236"/>
      <c r="DX3870" s="1671"/>
    </row>
    <row r="3871" spans="38:128">
      <c r="AL3871" s="1037"/>
      <c r="BP3871" s="1385"/>
      <c r="BV3871" s="236">
        <v>310.12</v>
      </c>
      <c r="BW3871" s="236" t="s">
        <v>341</v>
      </c>
      <c r="CL3871" s="236">
        <v>403.04</v>
      </c>
      <c r="CM3871" s="236" t="s">
        <v>323</v>
      </c>
      <c r="CT3871" s="1384"/>
      <c r="CZ3871" s="338"/>
      <c r="DA3871" s="338"/>
      <c r="DP3871" s="236"/>
      <c r="DQ3871" s="236"/>
      <c r="DX3871" s="1671"/>
    </row>
    <row r="3872" spans="38:128">
      <c r="AL3872" s="1037"/>
      <c r="BP3872" s="1385"/>
      <c r="BV3872" s="236">
        <v>310.13</v>
      </c>
      <c r="BW3872" s="236" t="s">
        <v>341</v>
      </c>
      <c r="CL3872" s="236">
        <v>403.05</v>
      </c>
      <c r="CM3872" s="236" t="s">
        <v>323</v>
      </c>
      <c r="CT3872" s="1384"/>
      <c r="CZ3872" s="338"/>
      <c r="DA3872" s="338"/>
      <c r="DP3872" s="236"/>
      <c r="DQ3872" s="236"/>
      <c r="DX3872" s="1671"/>
    </row>
    <row r="3873" spans="38:128">
      <c r="AL3873" s="1037"/>
      <c r="BP3873" s="1385"/>
      <c r="BV3873" s="236">
        <v>310.14</v>
      </c>
      <c r="BW3873" s="236" t="s">
        <v>341</v>
      </c>
      <c r="CL3873" s="236">
        <v>403.08</v>
      </c>
      <c r="CM3873" s="236" t="s">
        <v>323</v>
      </c>
      <c r="CT3873" s="1384"/>
      <c r="CZ3873" s="338"/>
      <c r="DA3873" s="338"/>
      <c r="DP3873" s="236"/>
      <c r="DQ3873" s="236"/>
      <c r="DX3873" s="1671"/>
    </row>
    <row r="3874" spans="38:128">
      <c r="AL3874" s="1037"/>
      <c r="BP3874" s="1385"/>
      <c r="BV3874" s="236">
        <v>311.01</v>
      </c>
      <c r="BW3874" s="236" t="s">
        <v>341</v>
      </c>
      <c r="CL3874" s="236">
        <v>403.1</v>
      </c>
      <c r="CM3874" s="236" t="s">
        <v>323</v>
      </c>
      <c r="CT3874" s="1384"/>
      <c r="CZ3874" s="338"/>
      <c r="DA3874" s="338"/>
      <c r="DP3874" s="236"/>
      <c r="DQ3874" s="236"/>
      <c r="DX3874" s="1671"/>
    </row>
    <row r="3875" spans="38:128">
      <c r="AL3875" s="1037"/>
      <c r="BP3875" s="1385"/>
      <c r="BV3875" s="236">
        <v>311.02999999999997</v>
      </c>
      <c r="BW3875" s="236" t="s">
        <v>341</v>
      </c>
      <c r="CL3875" s="236">
        <v>403.11</v>
      </c>
      <c r="CM3875" s="236" t="s">
        <v>323</v>
      </c>
      <c r="CT3875" s="1384"/>
      <c r="CZ3875" s="338"/>
      <c r="DA3875" s="338"/>
      <c r="DP3875" s="236"/>
      <c r="DQ3875" s="236"/>
      <c r="DX3875" s="1671"/>
    </row>
    <row r="3876" spans="38:128">
      <c r="AL3876" s="1037"/>
      <c r="BP3876" s="1385"/>
      <c r="BV3876" s="236">
        <v>311.04000000000002</v>
      </c>
      <c r="BW3876" s="236" t="s">
        <v>341</v>
      </c>
      <c r="CL3876" s="236">
        <v>403.12</v>
      </c>
      <c r="CM3876" s="236" t="s">
        <v>323</v>
      </c>
      <c r="CT3876" s="1384"/>
      <c r="CZ3876" s="338"/>
      <c r="DA3876" s="338"/>
      <c r="DP3876" s="236"/>
      <c r="DQ3876" s="236"/>
      <c r="DX3876" s="1671"/>
    </row>
    <row r="3877" spans="38:128">
      <c r="AL3877" s="1037"/>
      <c r="BP3877" s="1385"/>
      <c r="BV3877" s="236">
        <v>312.02999999999997</v>
      </c>
      <c r="BW3877" s="236" t="s">
        <v>341</v>
      </c>
      <c r="CL3877" s="236">
        <v>403.13</v>
      </c>
      <c r="CM3877" s="236" t="s">
        <v>323</v>
      </c>
      <c r="CT3877" s="1384"/>
      <c r="CZ3877" s="338"/>
      <c r="DA3877" s="338"/>
      <c r="DP3877" s="236"/>
      <c r="DQ3877" s="236"/>
      <c r="DX3877" s="1671"/>
    </row>
    <row r="3878" spans="38:128">
      <c r="AL3878" s="1037"/>
      <c r="BP3878" s="1385"/>
      <c r="BV3878" s="236">
        <v>312.04000000000002</v>
      </c>
      <c r="BW3878" s="236" t="s">
        <v>341</v>
      </c>
      <c r="CL3878" s="236">
        <v>403.14</v>
      </c>
      <c r="CM3878" s="236" t="s">
        <v>323</v>
      </c>
      <c r="CT3878" s="1384"/>
      <c r="CZ3878" s="338"/>
      <c r="DA3878" s="338"/>
      <c r="DP3878" s="236"/>
      <c r="DQ3878" s="236"/>
      <c r="DX3878" s="1671"/>
    </row>
    <row r="3879" spans="38:128">
      <c r="AL3879" s="1037"/>
      <c r="BP3879" s="1385"/>
      <c r="BV3879" s="236">
        <v>312.05</v>
      </c>
      <c r="BW3879" s="236" t="s">
        <v>341</v>
      </c>
      <c r="CL3879" s="236">
        <v>403.15</v>
      </c>
      <c r="CM3879" s="236" t="s">
        <v>323</v>
      </c>
      <c r="CT3879" s="1384"/>
      <c r="CZ3879" s="338"/>
      <c r="DA3879" s="338"/>
      <c r="DP3879" s="236"/>
      <c r="DQ3879" s="236"/>
      <c r="DX3879" s="1671"/>
    </row>
    <row r="3880" spans="38:128">
      <c r="AL3880" s="1037"/>
      <c r="BP3880" s="1385"/>
      <c r="BV3880" s="236">
        <v>312.06</v>
      </c>
      <c r="BW3880" s="236" t="s">
        <v>341</v>
      </c>
      <c r="CL3880" s="236">
        <v>403.16</v>
      </c>
      <c r="CM3880" s="236" t="s">
        <v>323</v>
      </c>
      <c r="CT3880" s="1384"/>
      <c r="CZ3880" s="338"/>
      <c r="DA3880" s="338"/>
      <c r="DP3880" s="236"/>
      <c r="DQ3880" s="236"/>
      <c r="DX3880" s="1671"/>
    </row>
    <row r="3881" spans="38:128">
      <c r="AL3881" s="1037"/>
      <c r="BP3881" s="1385"/>
      <c r="BV3881" s="236">
        <v>312.07</v>
      </c>
      <c r="BW3881" s="236" t="s">
        <v>341</v>
      </c>
      <c r="CL3881" s="236">
        <v>404</v>
      </c>
      <c r="CM3881" s="236" t="s">
        <v>314</v>
      </c>
      <c r="CT3881" s="1384"/>
      <c r="CZ3881" s="338"/>
      <c r="DA3881" s="338"/>
      <c r="DP3881" s="236"/>
      <c r="DQ3881" s="236"/>
      <c r="DX3881" s="1671"/>
    </row>
    <row r="3882" spans="38:128">
      <c r="AL3882" s="1037"/>
      <c r="BP3882" s="1385"/>
      <c r="BV3882" s="236">
        <v>312.08</v>
      </c>
      <c r="BW3882" s="236" t="s">
        <v>341</v>
      </c>
      <c r="CL3882" s="338">
        <v>404.01</v>
      </c>
      <c r="CM3882" s="338" t="s">
        <v>289</v>
      </c>
      <c r="CT3882" s="1384"/>
      <c r="CZ3882" s="338"/>
      <c r="DA3882" s="338"/>
      <c r="DP3882" s="236"/>
      <c r="DQ3882" s="236"/>
      <c r="DX3882" s="1671"/>
    </row>
    <row r="3883" spans="38:128">
      <c r="AL3883" s="1037"/>
      <c r="BP3883" s="1385"/>
      <c r="BV3883" s="236">
        <v>313.01</v>
      </c>
      <c r="BW3883" s="236" t="s">
        <v>341</v>
      </c>
      <c r="CL3883" s="338">
        <v>404.02</v>
      </c>
      <c r="CM3883" s="338" t="s">
        <v>289</v>
      </c>
      <c r="CT3883" s="1384"/>
      <c r="CZ3883" s="338"/>
      <c r="DA3883" s="338"/>
      <c r="DP3883" s="236"/>
      <c r="DQ3883" s="236"/>
      <c r="DX3883" s="1671"/>
    </row>
    <row r="3884" spans="38:128">
      <c r="AL3884" s="1037"/>
      <c r="BP3884" s="1385"/>
      <c r="BV3884" s="236">
        <v>313.02</v>
      </c>
      <c r="BW3884" s="236" t="s">
        <v>341</v>
      </c>
      <c r="CL3884" s="236">
        <v>405.01</v>
      </c>
      <c r="CM3884" s="236" t="s">
        <v>314</v>
      </c>
      <c r="CT3884" s="1384"/>
      <c r="CZ3884" s="338"/>
      <c r="DA3884" s="338"/>
      <c r="DP3884" s="236"/>
      <c r="DQ3884" s="236"/>
      <c r="DX3884" s="1671"/>
    </row>
    <row r="3885" spans="38:128">
      <c r="AL3885" s="1037"/>
      <c r="BP3885" s="1385"/>
      <c r="BV3885" s="236">
        <v>314.01</v>
      </c>
      <c r="BW3885" s="236" t="s">
        <v>341</v>
      </c>
      <c r="CL3885" s="338">
        <v>405.02</v>
      </c>
      <c r="CM3885" s="338" t="s">
        <v>289</v>
      </c>
      <c r="CT3885" s="1384"/>
      <c r="CZ3885" s="338"/>
      <c r="DA3885" s="338"/>
      <c r="DP3885" s="236"/>
      <c r="DQ3885" s="236"/>
      <c r="DX3885" s="1671"/>
    </row>
    <row r="3886" spans="38:128">
      <c r="AL3886" s="1037"/>
      <c r="BP3886" s="1385"/>
      <c r="BV3886" s="236">
        <v>314.04000000000002</v>
      </c>
      <c r="BW3886" s="236" t="s">
        <v>341</v>
      </c>
      <c r="CL3886" s="236">
        <v>405.02</v>
      </c>
      <c r="CM3886" s="236" t="s">
        <v>314</v>
      </c>
      <c r="CT3886" s="1384"/>
      <c r="CZ3886" s="338"/>
      <c r="DA3886" s="338"/>
      <c r="DP3886" s="236"/>
      <c r="DQ3886" s="236"/>
      <c r="DX3886" s="1671"/>
    </row>
    <row r="3887" spans="38:128">
      <c r="AL3887" s="1037"/>
      <c r="BP3887" s="1385"/>
      <c r="BV3887" s="236">
        <v>314.06</v>
      </c>
      <c r="BW3887" s="236" t="s">
        <v>341</v>
      </c>
      <c r="CL3887" s="338">
        <v>405.03</v>
      </c>
      <c r="CM3887" s="338" t="s">
        <v>289</v>
      </c>
      <c r="CT3887" s="1384"/>
      <c r="CZ3887" s="338"/>
      <c r="DA3887" s="338"/>
      <c r="DP3887" s="236"/>
      <c r="DQ3887" s="236"/>
      <c r="DX3887" s="1671"/>
    </row>
    <row r="3888" spans="38:128">
      <c r="AL3888" s="1037"/>
      <c r="BP3888" s="1385"/>
      <c r="BV3888" s="236">
        <v>314.07</v>
      </c>
      <c r="BW3888" s="236" t="s">
        <v>341</v>
      </c>
      <c r="CL3888" s="338">
        <v>405.05</v>
      </c>
      <c r="CM3888" s="338" t="s">
        <v>289</v>
      </c>
      <c r="CT3888" s="1384"/>
      <c r="CZ3888" s="338"/>
      <c r="DA3888" s="338"/>
      <c r="DP3888" s="236"/>
      <c r="DQ3888" s="236"/>
      <c r="DX3888" s="1671"/>
    </row>
    <row r="3889" spans="38:128">
      <c r="AL3889" s="1037"/>
      <c r="BP3889" s="1385"/>
      <c r="BV3889" s="236">
        <v>314.10000000000002</v>
      </c>
      <c r="BW3889" s="236" t="s">
        <v>341</v>
      </c>
      <c r="CL3889" s="338">
        <v>405.06</v>
      </c>
      <c r="CM3889" s="338" t="s">
        <v>289</v>
      </c>
      <c r="CT3889" s="1384"/>
      <c r="CZ3889" s="338"/>
      <c r="DA3889" s="338"/>
      <c r="DP3889" s="236"/>
      <c r="DQ3889" s="236"/>
      <c r="DX3889" s="1671"/>
    </row>
    <row r="3890" spans="38:128">
      <c r="AL3890" s="1037"/>
      <c r="BP3890" s="1385"/>
      <c r="BV3890" s="236">
        <v>314.11</v>
      </c>
      <c r="BW3890" s="236" t="s">
        <v>341</v>
      </c>
      <c r="CL3890" s="338">
        <v>406.01</v>
      </c>
      <c r="CM3890" s="338" t="s">
        <v>289</v>
      </c>
      <c r="CT3890" s="1384"/>
      <c r="CZ3890" s="338"/>
      <c r="DA3890" s="338"/>
      <c r="DP3890" s="236"/>
      <c r="DQ3890" s="236"/>
      <c r="DX3890" s="1671"/>
    </row>
    <row r="3891" spans="38:128">
      <c r="AL3891" s="1037"/>
      <c r="BP3891" s="1385"/>
      <c r="BV3891" s="236">
        <v>314.12</v>
      </c>
      <c r="BW3891" s="236" t="s">
        <v>341</v>
      </c>
      <c r="CL3891" s="236">
        <v>406.01</v>
      </c>
      <c r="CM3891" s="236" t="s">
        <v>314</v>
      </c>
      <c r="CT3891" s="1384"/>
      <c r="CZ3891" s="338"/>
      <c r="DA3891" s="338"/>
      <c r="DP3891" s="236"/>
      <c r="DQ3891" s="236"/>
      <c r="DX3891" s="1671"/>
    </row>
    <row r="3892" spans="38:128">
      <c r="AL3892" s="1037"/>
      <c r="BP3892" s="1385"/>
      <c r="BV3892" s="236">
        <v>315.02999999999997</v>
      </c>
      <c r="BW3892" s="236" t="s">
        <v>341</v>
      </c>
      <c r="CL3892" s="338">
        <v>406.02</v>
      </c>
      <c r="CM3892" s="338" t="s">
        <v>289</v>
      </c>
      <c r="CT3892" s="1384"/>
      <c r="CZ3892" s="338"/>
      <c r="DA3892" s="338"/>
      <c r="DP3892" s="236"/>
      <c r="DQ3892" s="236"/>
      <c r="DX3892" s="1671"/>
    </row>
    <row r="3893" spans="38:128">
      <c r="AL3893" s="1037"/>
      <c r="BP3893" s="1385"/>
      <c r="BV3893" s="236">
        <v>315.04000000000002</v>
      </c>
      <c r="BW3893" s="236" t="s">
        <v>341</v>
      </c>
      <c r="CL3893" s="236">
        <v>406.02</v>
      </c>
      <c r="CM3893" s="236" t="s">
        <v>314</v>
      </c>
      <c r="CT3893" s="1384"/>
      <c r="CZ3893" s="338"/>
      <c r="DA3893" s="338"/>
      <c r="DP3893" s="236"/>
      <c r="DQ3893" s="236"/>
      <c r="DX3893" s="1671"/>
    </row>
    <row r="3894" spans="38:128">
      <c r="AL3894" s="1037"/>
      <c r="BP3894" s="1385"/>
      <c r="BV3894" s="236">
        <v>315.05</v>
      </c>
      <c r="BW3894" s="236" t="s">
        <v>341</v>
      </c>
      <c r="CL3894" s="338">
        <v>407.01</v>
      </c>
      <c r="CM3894" s="338" t="s">
        <v>289</v>
      </c>
      <c r="CT3894" s="1384"/>
      <c r="CZ3894" s="338"/>
      <c r="DA3894" s="338"/>
      <c r="DP3894" s="236"/>
      <c r="DQ3894" s="236"/>
      <c r="DX3894" s="1671"/>
    </row>
    <row r="3895" spans="38:128">
      <c r="AL3895" s="1037"/>
      <c r="BP3895" s="1385"/>
      <c r="BV3895" s="236">
        <v>315.06</v>
      </c>
      <c r="BW3895" s="236" t="s">
        <v>341</v>
      </c>
      <c r="CL3895" s="236">
        <v>407.01</v>
      </c>
      <c r="CM3895" s="236" t="s">
        <v>314</v>
      </c>
      <c r="CT3895" s="1384"/>
      <c r="CZ3895" s="338"/>
      <c r="DA3895" s="338"/>
      <c r="DP3895" s="236"/>
      <c r="DQ3895" s="236"/>
      <c r="DX3895" s="1671"/>
    </row>
    <row r="3896" spans="38:128">
      <c r="AL3896" s="1037"/>
      <c r="BP3896" s="1385"/>
      <c r="BV3896" s="236">
        <v>315.07</v>
      </c>
      <c r="BW3896" s="236" t="s">
        <v>341</v>
      </c>
      <c r="CL3896" s="338">
        <v>407.02</v>
      </c>
      <c r="CM3896" s="338" t="s">
        <v>289</v>
      </c>
      <c r="CT3896" s="1384"/>
      <c r="CZ3896" s="338"/>
      <c r="DA3896" s="338"/>
      <c r="DP3896" s="236"/>
      <c r="DQ3896" s="236"/>
      <c r="DX3896" s="1671"/>
    </row>
    <row r="3897" spans="38:128">
      <c r="AL3897" s="1037"/>
      <c r="BP3897" s="1385"/>
      <c r="BV3897" s="236">
        <v>315.08</v>
      </c>
      <c r="BW3897" s="236" t="s">
        <v>341</v>
      </c>
      <c r="CL3897" s="236">
        <v>407.02</v>
      </c>
      <c r="CM3897" s="236" t="s">
        <v>314</v>
      </c>
      <c r="CT3897" s="1384"/>
      <c r="CZ3897" s="338"/>
      <c r="DA3897" s="338"/>
      <c r="DP3897" s="236"/>
      <c r="DQ3897" s="236"/>
      <c r="DX3897" s="1671"/>
    </row>
    <row r="3898" spans="38:128">
      <c r="AL3898" s="1037"/>
      <c r="BP3898" s="1385"/>
      <c r="BV3898" s="236">
        <v>316.01</v>
      </c>
      <c r="BW3898" s="236" t="s">
        <v>341</v>
      </c>
      <c r="CL3898" s="338">
        <v>408.01</v>
      </c>
      <c r="CM3898" s="338" t="s">
        <v>289</v>
      </c>
      <c r="CT3898" s="1384"/>
      <c r="CZ3898" s="338"/>
      <c r="DA3898" s="338"/>
      <c r="DP3898" s="236"/>
      <c r="DQ3898" s="236"/>
      <c r="DX3898" s="1671"/>
    </row>
    <row r="3899" spans="38:128">
      <c r="AL3899" s="1037"/>
      <c r="BP3899" s="1385"/>
      <c r="BV3899" s="236">
        <v>316.02</v>
      </c>
      <c r="BW3899" s="236" t="s">
        <v>341</v>
      </c>
      <c r="CL3899" s="236">
        <v>408.01</v>
      </c>
      <c r="CM3899" s="236" t="s">
        <v>314</v>
      </c>
      <c r="CT3899" s="1384"/>
      <c r="CZ3899" s="338"/>
      <c r="DA3899" s="338"/>
      <c r="DP3899" s="236"/>
      <c r="DQ3899" s="236"/>
      <c r="DX3899" s="1671"/>
    </row>
    <row r="3900" spans="38:128">
      <c r="AL3900" s="1037"/>
      <c r="BP3900" s="1385"/>
      <c r="BV3900" s="236">
        <v>316.02999999999997</v>
      </c>
      <c r="BW3900" s="236" t="s">
        <v>341</v>
      </c>
      <c r="CL3900" s="236">
        <v>408.01</v>
      </c>
      <c r="CM3900" s="236" t="s">
        <v>339</v>
      </c>
      <c r="CT3900" s="1384"/>
      <c r="CZ3900" s="338"/>
      <c r="DA3900" s="338"/>
      <c r="DP3900" s="236"/>
      <c r="DQ3900" s="236"/>
      <c r="DX3900" s="1671"/>
    </row>
    <row r="3901" spans="38:128">
      <c r="AL3901" s="1037"/>
      <c r="BP3901" s="1385"/>
      <c r="BV3901" s="236">
        <v>316.04000000000002</v>
      </c>
      <c r="BW3901" s="236" t="s">
        <v>341</v>
      </c>
      <c r="CL3901" s="338">
        <v>408.02</v>
      </c>
      <c r="CM3901" s="338" t="s">
        <v>289</v>
      </c>
      <c r="CT3901" s="1384"/>
      <c r="CZ3901" s="338"/>
      <c r="DA3901" s="338"/>
      <c r="DP3901" s="236"/>
      <c r="DQ3901" s="236"/>
      <c r="DX3901" s="1671"/>
    </row>
    <row r="3902" spans="38:128">
      <c r="AL3902" s="1037"/>
      <c r="BP3902" s="1385"/>
      <c r="BV3902" s="236">
        <v>316.05</v>
      </c>
      <c r="BW3902" s="236" t="s">
        <v>341</v>
      </c>
      <c r="CL3902" s="236">
        <v>408.02</v>
      </c>
      <c r="CM3902" s="236" t="s">
        <v>314</v>
      </c>
      <c r="CT3902" s="1384"/>
      <c r="CZ3902" s="338"/>
      <c r="DA3902" s="338"/>
      <c r="DP3902" s="236"/>
      <c r="DQ3902" s="236"/>
      <c r="DX3902" s="1671"/>
    </row>
    <row r="3903" spans="38:128">
      <c r="AL3903" s="1037"/>
      <c r="BP3903" s="1385"/>
      <c r="BV3903" s="236">
        <v>317.01</v>
      </c>
      <c r="BW3903" s="236" t="s">
        <v>341</v>
      </c>
      <c r="CL3903" s="236">
        <v>408.05</v>
      </c>
      <c r="CM3903" s="236" t="s">
        <v>339</v>
      </c>
      <c r="CT3903" s="1384"/>
      <c r="CZ3903" s="338"/>
      <c r="DA3903" s="338"/>
      <c r="DP3903" s="236"/>
      <c r="DQ3903" s="236"/>
      <c r="DX3903" s="1671"/>
    </row>
    <row r="3904" spans="38:128">
      <c r="AL3904" s="1037"/>
      <c r="BP3904" s="1385"/>
      <c r="BV3904" s="236">
        <v>317.02999999999997</v>
      </c>
      <c r="BW3904" s="236" t="s">
        <v>341</v>
      </c>
      <c r="CL3904" s="236">
        <v>408.06</v>
      </c>
      <c r="CM3904" s="236" t="s">
        <v>339</v>
      </c>
      <c r="CT3904" s="1384"/>
      <c r="CZ3904" s="338"/>
      <c r="DA3904" s="338"/>
      <c r="DP3904" s="236"/>
      <c r="DQ3904" s="236"/>
      <c r="DX3904" s="1671"/>
    </row>
    <row r="3905" spans="38:128">
      <c r="AL3905" s="1037"/>
      <c r="BP3905" s="1385"/>
      <c r="BV3905" s="236">
        <v>317.04000000000002</v>
      </c>
      <c r="BW3905" s="236" t="s">
        <v>341</v>
      </c>
      <c r="CL3905" s="236">
        <v>408.07</v>
      </c>
      <c r="CM3905" s="236" t="s">
        <v>339</v>
      </c>
      <c r="CT3905" s="1384"/>
      <c r="CZ3905" s="338"/>
      <c r="DA3905" s="338"/>
      <c r="DP3905" s="236"/>
      <c r="DQ3905" s="236"/>
      <c r="DX3905" s="1671"/>
    </row>
    <row r="3906" spans="38:128">
      <c r="AL3906" s="1037"/>
      <c r="BP3906" s="1385"/>
      <c r="BV3906" s="236">
        <v>317.05</v>
      </c>
      <c r="BW3906" s="236" t="s">
        <v>341</v>
      </c>
      <c r="CL3906" s="236">
        <v>408.08</v>
      </c>
      <c r="CM3906" s="236" t="s">
        <v>339</v>
      </c>
      <c r="CT3906" s="1384"/>
      <c r="CZ3906" s="338"/>
      <c r="DA3906" s="338"/>
      <c r="DP3906" s="236"/>
      <c r="DQ3906" s="236"/>
      <c r="DX3906" s="1671"/>
    </row>
    <row r="3907" spans="38:128">
      <c r="AL3907" s="1037"/>
      <c r="BP3907" s="1385"/>
      <c r="BV3907" s="236">
        <v>317.06</v>
      </c>
      <c r="BW3907" s="236" t="s">
        <v>341</v>
      </c>
      <c r="CL3907" s="236">
        <v>408.09</v>
      </c>
      <c r="CM3907" s="236" t="s">
        <v>339</v>
      </c>
      <c r="CT3907" s="1384"/>
      <c r="CZ3907" s="338"/>
      <c r="DA3907" s="338"/>
      <c r="DP3907" s="236"/>
      <c r="DQ3907" s="236"/>
      <c r="DX3907" s="1671"/>
    </row>
    <row r="3908" spans="38:128">
      <c r="AL3908" s="1037"/>
      <c r="BP3908" s="1385"/>
      <c r="BV3908" s="236">
        <v>317.07</v>
      </c>
      <c r="BW3908" s="236" t="s">
        <v>341</v>
      </c>
      <c r="CL3908" s="236">
        <v>408.1</v>
      </c>
      <c r="CM3908" s="236" t="s">
        <v>339</v>
      </c>
      <c r="CT3908" s="1384"/>
      <c r="CZ3908" s="338"/>
      <c r="DA3908" s="338"/>
      <c r="DP3908" s="236"/>
      <c r="DQ3908" s="236"/>
      <c r="DX3908" s="1671"/>
    </row>
    <row r="3909" spans="38:128">
      <c r="AL3909" s="1037"/>
      <c r="BP3909" s="1385"/>
      <c r="BV3909" s="236">
        <v>317.08</v>
      </c>
      <c r="BW3909" s="236" t="s">
        <v>341</v>
      </c>
      <c r="CL3909" s="236">
        <v>408.11</v>
      </c>
      <c r="CM3909" s="236" t="s">
        <v>339</v>
      </c>
      <c r="CT3909" s="1384"/>
      <c r="CZ3909" s="338"/>
      <c r="DA3909" s="338"/>
      <c r="DP3909" s="236"/>
      <c r="DQ3909" s="236"/>
      <c r="DX3909" s="1671"/>
    </row>
    <row r="3910" spans="38:128">
      <c r="AL3910" s="1037"/>
      <c r="BP3910" s="1385"/>
      <c r="BV3910" s="236">
        <v>318.04000000000002</v>
      </c>
      <c r="BW3910" s="236" t="s">
        <v>341</v>
      </c>
      <c r="CL3910" s="236">
        <v>408.12</v>
      </c>
      <c r="CM3910" s="236" t="s">
        <v>339</v>
      </c>
      <c r="CT3910" s="1384"/>
      <c r="CZ3910" s="338"/>
      <c r="DA3910" s="338"/>
      <c r="DP3910" s="236"/>
      <c r="DQ3910" s="236"/>
      <c r="DX3910" s="1671"/>
    </row>
    <row r="3911" spans="38:128">
      <c r="AL3911" s="1037"/>
      <c r="BP3911" s="1385"/>
      <c r="BV3911" s="236">
        <v>318.05</v>
      </c>
      <c r="BW3911" s="236" t="s">
        <v>341</v>
      </c>
      <c r="CL3911" s="338">
        <v>409.01</v>
      </c>
      <c r="CM3911" s="338" t="s">
        <v>289</v>
      </c>
      <c r="CT3911" s="1384"/>
      <c r="CZ3911" s="338"/>
      <c r="DA3911" s="338"/>
      <c r="DP3911" s="236"/>
      <c r="DQ3911" s="236"/>
      <c r="DX3911" s="1671"/>
    </row>
    <row r="3912" spans="38:128">
      <c r="AL3912" s="1037"/>
      <c r="BP3912" s="1385"/>
      <c r="BV3912" s="236">
        <v>318.06</v>
      </c>
      <c r="BW3912" s="236" t="s">
        <v>341</v>
      </c>
      <c r="CL3912" s="236">
        <v>409.01</v>
      </c>
      <c r="CM3912" s="236" t="s">
        <v>314</v>
      </c>
      <c r="CT3912" s="1384"/>
      <c r="CZ3912" s="338"/>
      <c r="DA3912" s="338"/>
      <c r="DP3912" s="236"/>
      <c r="DQ3912" s="236"/>
      <c r="DX3912" s="1671"/>
    </row>
    <row r="3913" spans="38:128">
      <c r="AL3913" s="1037"/>
      <c r="BP3913" s="1385"/>
      <c r="BV3913" s="236">
        <v>318.07</v>
      </c>
      <c r="BW3913" s="236" t="s">
        <v>341</v>
      </c>
      <c r="CL3913" s="236">
        <v>409.01</v>
      </c>
      <c r="CM3913" s="236" t="s">
        <v>339</v>
      </c>
      <c r="CT3913" s="1384"/>
      <c r="CZ3913" s="338"/>
      <c r="DA3913" s="338"/>
      <c r="DP3913" s="236"/>
      <c r="DQ3913" s="236"/>
      <c r="DX3913" s="1671"/>
    </row>
    <row r="3914" spans="38:128">
      <c r="AL3914" s="1037"/>
      <c r="BP3914" s="1385"/>
      <c r="BV3914" s="236">
        <v>318.08</v>
      </c>
      <c r="BW3914" s="236" t="s">
        <v>341</v>
      </c>
      <c r="CL3914" s="338">
        <v>409.02</v>
      </c>
      <c r="CM3914" s="338" t="s">
        <v>289</v>
      </c>
      <c r="CT3914" s="1384"/>
      <c r="CZ3914" s="338"/>
      <c r="DA3914" s="338"/>
      <c r="DP3914" s="236"/>
      <c r="DQ3914" s="236"/>
      <c r="DX3914" s="1671"/>
    </row>
    <row r="3915" spans="38:128">
      <c r="AL3915" s="1037"/>
      <c r="BP3915" s="1385"/>
      <c r="BV3915" s="236">
        <v>318.08999999999997</v>
      </c>
      <c r="BW3915" s="236" t="s">
        <v>341</v>
      </c>
      <c r="CL3915" s="236">
        <v>409.03</v>
      </c>
      <c r="CM3915" s="236" t="s">
        <v>339</v>
      </c>
      <c r="CT3915" s="1384"/>
      <c r="CZ3915" s="338"/>
      <c r="DA3915" s="338"/>
      <c r="DP3915" s="236"/>
      <c r="DQ3915" s="236"/>
      <c r="DX3915" s="1671"/>
    </row>
    <row r="3916" spans="38:128">
      <c r="AL3916" s="1037"/>
      <c r="BP3916" s="1385"/>
      <c r="BV3916" s="236">
        <v>319.01</v>
      </c>
      <c r="BW3916" s="236" t="s">
        <v>341</v>
      </c>
      <c r="CL3916" s="236">
        <v>409.04</v>
      </c>
      <c r="CM3916" s="236" t="s">
        <v>339</v>
      </c>
      <c r="CT3916" s="1384"/>
      <c r="CZ3916" s="338"/>
      <c r="DA3916" s="338"/>
      <c r="DP3916" s="236"/>
      <c r="DQ3916" s="236"/>
      <c r="DX3916" s="1671"/>
    </row>
    <row r="3917" spans="38:128">
      <c r="AL3917" s="1037"/>
      <c r="BP3917" s="1385"/>
      <c r="BV3917" s="236">
        <v>319.02</v>
      </c>
      <c r="BW3917" s="236" t="s">
        <v>341</v>
      </c>
      <c r="CL3917" s="236">
        <v>409.06</v>
      </c>
      <c r="CM3917" s="236" t="s">
        <v>314</v>
      </c>
      <c r="CT3917" s="1384"/>
      <c r="CZ3917" s="338"/>
      <c r="DA3917" s="338"/>
      <c r="DP3917" s="236"/>
      <c r="DQ3917" s="236"/>
      <c r="DX3917" s="1671"/>
    </row>
    <row r="3918" spans="38:128">
      <c r="AL3918" s="1037"/>
      <c r="BP3918" s="1385"/>
      <c r="BV3918" s="236">
        <v>319.02999999999997</v>
      </c>
      <c r="BW3918" s="236" t="s">
        <v>341</v>
      </c>
      <c r="CL3918" s="236">
        <v>409.07</v>
      </c>
      <c r="CM3918" s="236" t="s">
        <v>314</v>
      </c>
      <c r="CT3918" s="1384"/>
      <c r="CZ3918" s="338"/>
      <c r="DA3918" s="338"/>
      <c r="DP3918" s="236"/>
      <c r="DQ3918" s="236"/>
      <c r="DX3918" s="1671"/>
    </row>
    <row r="3919" spans="38:128">
      <c r="AL3919" s="1037"/>
      <c r="BP3919" s="1385"/>
      <c r="BV3919" s="236">
        <v>320.01</v>
      </c>
      <c r="BW3919" s="236" t="s">
        <v>341</v>
      </c>
      <c r="CL3919" s="236">
        <v>409.08</v>
      </c>
      <c r="CM3919" s="236" t="s">
        <v>314</v>
      </c>
      <c r="CT3919" s="1384"/>
      <c r="CZ3919" s="338"/>
      <c r="DA3919" s="338"/>
      <c r="DP3919" s="236"/>
      <c r="DQ3919" s="236"/>
      <c r="DX3919" s="1671"/>
    </row>
    <row r="3920" spans="38:128">
      <c r="AL3920" s="1037"/>
      <c r="BP3920" s="1385"/>
      <c r="BV3920" s="236">
        <v>320.05</v>
      </c>
      <c r="BW3920" s="236" t="s">
        <v>341</v>
      </c>
      <c r="CL3920" s="236">
        <v>409.09</v>
      </c>
      <c r="CM3920" s="236" t="s">
        <v>314</v>
      </c>
      <c r="CT3920" s="1384"/>
      <c r="CZ3920" s="338"/>
      <c r="DA3920" s="338"/>
      <c r="DP3920" s="236"/>
      <c r="DQ3920" s="236"/>
      <c r="DX3920" s="1671"/>
    </row>
    <row r="3921" spans="38:128">
      <c r="AL3921" s="1037"/>
      <c r="BP3921" s="1385"/>
      <c r="BV3921" s="236">
        <v>320.06</v>
      </c>
      <c r="BW3921" s="236" t="s">
        <v>341</v>
      </c>
      <c r="CL3921" s="236">
        <v>409.1</v>
      </c>
      <c r="CM3921" s="236" t="s">
        <v>314</v>
      </c>
      <c r="CT3921" s="1384"/>
      <c r="CZ3921" s="338"/>
      <c r="DA3921" s="338"/>
      <c r="DP3921" s="236"/>
      <c r="DQ3921" s="236"/>
      <c r="DX3921" s="1671"/>
    </row>
    <row r="3922" spans="38:128">
      <c r="AL3922" s="1037"/>
      <c r="BP3922" s="1385"/>
      <c r="BV3922" s="236">
        <v>320.07</v>
      </c>
      <c r="BW3922" s="236" t="s">
        <v>341</v>
      </c>
      <c r="CL3922" s="236">
        <v>409.11</v>
      </c>
      <c r="CM3922" s="236" t="s">
        <v>314</v>
      </c>
      <c r="CT3922" s="1384"/>
      <c r="CZ3922" s="338"/>
      <c r="DA3922" s="338"/>
      <c r="DP3922" s="236"/>
      <c r="DQ3922" s="236"/>
      <c r="DX3922" s="1671"/>
    </row>
    <row r="3923" spans="38:128">
      <c r="AL3923" s="1037"/>
      <c r="BP3923" s="1385"/>
      <c r="BV3923" s="236">
        <v>320.08</v>
      </c>
      <c r="BW3923" s="236" t="s">
        <v>341</v>
      </c>
      <c r="CL3923" s="236">
        <v>409.12</v>
      </c>
      <c r="CM3923" s="236" t="s">
        <v>314</v>
      </c>
      <c r="CT3923" s="1384"/>
      <c r="CZ3923" s="338"/>
      <c r="DA3923" s="338"/>
      <c r="DP3923" s="236"/>
      <c r="DQ3923" s="236"/>
      <c r="DX3923" s="1671"/>
    </row>
    <row r="3924" spans="38:128">
      <c r="AL3924" s="1037"/>
      <c r="BP3924" s="1385"/>
      <c r="BV3924" s="236">
        <v>320.08999999999997</v>
      </c>
      <c r="BW3924" s="236" t="s">
        <v>341</v>
      </c>
      <c r="CL3924" s="236">
        <v>409.13</v>
      </c>
      <c r="CM3924" s="236" t="s">
        <v>314</v>
      </c>
      <c r="CT3924" s="1384"/>
      <c r="CZ3924" s="338"/>
      <c r="DA3924" s="338"/>
      <c r="DP3924" s="236"/>
      <c r="DQ3924" s="236"/>
      <c r="DX3924" s="1671"/>
    </row>
    <row r="3925" spans="38:128">
      <c r="AL3925" s="1037"/>
      <c r="BP3925" s="1385"/>
      <c r="BV3925" s="236">
        <v>320.10000000000002</v>
      </c>
      <c r="BW3925" s="236" t="s">
        <v>341</v>
      </c>
      <c r="CL3925" s="338">
        <v>410</v>
      </c>
      <c r="CM3925" s="338" t="s">
        <v>289</v>
      </c>
      <c r="CT3925" s="1384"/>
      <c r="CZ3925" s="338"/>
      <c r="DA3925" s="338"/>
      <c r="DP3925" s="236"/>
      <c r="DQ3925" s="236"/>
      <c r="DX3925" s="1671"/>
    </row>
    <row r="3926" spans="38:128">
      <c r="AL3926" s="1037"/>
      <c r="BP3926" s="1385"/>
      <c r="BV3926" s="236">
        <v>320.11</v>
      </c>
      <c r="BW3926" s="236" t="s">
        <v>341</v>
      </c>
      <c r="CL3926" s="236">
        <v>410.03</v>
      </c>
      <c r="CM3926" s="236" t="s">
        <v>314</v>
      </c>
      <c r="CT3926" s="1384"/>
      <c r="CZ3926" s="338"/>
      <c r="DA3926" s="338"/>
      <c r="DP3926" s="236"/>
      <c r="DQ3926" s="236"/>
      <c r="DX3926" s="1671"/>
    </row>
    <row r="3927" spans="38:128">
      <c r="AL3927" s="1037"/>
      <c r="BP3927" s="1385"/>
      <c r="BV3927" s="236">
        <v>320.12</v>
      </c>
      <c r="BW3927" s="236" t="s">
        <v>341</v>
      </c>
      <c r="CL3927" s="236">
        <v>410.03</v>
      </c>
      <c r="CM3927" s="236" t="s">
        <v>339</v>
      </c>
      <c r="CT3927" s="1384"/>
      <c r="CZ3927" s="338"/>
      <c r="DA3927" s="338"/>
      <c r="DP3927" s="236"/>
      <c r="DQ3927" s="236"/>
      <c r="DX3927" s="1671"/>
    </row>
    <row r="3928" spans="38:128">
      <c r="AL3928" s="1037"/>
      <c r="BP3928" s="1385"/>
      <c r="BV3928" s="236">
        <v>320.13</v>
      </c>
      <c r="BW3928" s="236" t="s">
        <v>341</v>
      </c>
      <c r="CL3928" s="236">
        <v>410.04</v>
      </c>
      <c r="CM3928" s="236" t="s">
        <v>314</v>
      </c>
      <c r="CT3928" s="1384"/>
      <c r="CZ3928" s="338"/>
      <c r="DA3928" s="338"/>
      <c r="DP3928" s="236"/>
      <c r="DQ3928" s="236"/>
      <c r="DX3928" s="1671"/>
    </row>
    <row r="3929" spans="38:128">
      <c r="AL3929" s="1037"/>
      <c r="BP3929" s="1385"/>
      <c r="BV3929" s="236">
        <v>320.14</v>
      </c>
      <c r="BW3929" s="236" t="s">
        <v>341</v>
      </c>
      <c r="CL3929" s="236">
        <v>410.04</v>
      </c>
      <c r="CM3929" s="236" t="s">
        <v>339</v>
      </c>
      <c r="CT3929" s="1384"/>
      <c r="CZ3929" s="338"/>
      <c r="DA3929" s="338"/>
      <c r="DP3929" s="236"/>
      <c r="DQ3929" s="236"/>
      <c r="DX3929" s="1671"/>
    </row>
    <row r="3930" spans="38:128">
      <c r="AL3930" s="1037"/>
      <c r="BP3930" s="1385"/>
      <c r="BV3930" s="236">
        <v>321.02999999999997</v>
      </c>
      <c r="BW3930" s="236" t="s">
        <v>341</v>
      </c>
      <c r="CL3930" s="236">
        <v>410.05</v>
      </c>
      <c r="CM3930" s="236" t="s">
        <v>314</v>
      </c>
      <c r="CT3930" s="1384"/>
      <c r="CZ3930" s="338"/>
      <c r="DA3930" s="338"/>
      <c r="DP3930" s="236"/>
      <c r="DQ3930" s="236"/>
      <c r="DX3930" s="1671"/>
    </row>
    <row r="3931" spans="38:128">
      <c r="AL3931" s="1037"/>
      <c r="BP3931" s="1385"/>
      <c r="BV3931" s="236">
        <v>321.04000000000002</v>
      </c>
      <c r="BW3931" s="236" t="s">
        <v>341</v>
      </c>
      <c r="CL3931" s="236">
        <v>410.05</v>
      </c>
      <c r="CM3931" s="236" t="s">
        <v>339</v>
      </c>
      <c r="CT3931" s="1384"/>
      <c r="CZ3931" s="338"/>
      <c r="DA3931" s="338"/>
      <c r="DP3931" s="236"/>
      <c r="DQ3931" s="236"/>
      <c r="DX3931" s="1671"/>
    </row>
    <row r="3932" spans="38:128">
      <c r="AL3932" s="1037"/>
      <c r="BP3932" s="1385"/>
      <c r="BV3932" s="236">
        <v>321.05</v>
      </c>
      <c r="BW3932" s="236" t="s">
        <v>341</v>
      </c>
      <c r="CL3932" s="236">
        <v>410.06</v>
      </c>
      <c r="CM3932" s="236" t="s">
        <v>314</v>
      </c>
      <c r="CT3932" s="1384"/>
      <c r="CZ3932" s="338"/>
      <c r="DA3932" s="338"/>
      <c r="DP3932" s="236"/>
      <c r="DQ3932" s="236"/>
      <c r="DX3932" s="1671"/>
    </row>
    <row r="3933" spans="38:128">
      <c r="AL3933" s="1037"/>
      <c r="BP3933" s="1385"/>
      <c r="BV3933" s="236">
        <v>321.06</v>
      </c>
      <c r="BW3933" s="236" t="s">
        <v>341</v>
      </c>
      <c r="CL3933" s="236">
        <v>410.06</v>
      </c>
      <c r="CM3933" s="236" t="s">
        <v>339</v>
      </c>
      <c r="CT3933" s="1384"/>
      <c r="CZ3933" s="338"/>
      <c r="DA3933" s="338"/>
      <c r="DP3933" s="236"/>
      <c r="DQ3933" s="236"/>
      <c r="DX3933" s="1671"/>
    </row>
    <row r="3934" spans="38:128">
      <c r="AL3934" s="1037"/>
      <c r="BP3934" s="1385"/>
      <c r="BV3934" s="236">
        <v>321.07</v>
      </c>
      <c r="BW3934" s="236" t="s">
        <v>341</v>
      </c>
      <c r="CL3934" s="338">
        <v>411</v>
      </c>
      <c r="CM3934" s="338" t="s">
        <v>289</v>
      </c>
      <c r="CT3934" s="1384"/>
      <c r="CZ3934" s="338"/>
      <c r="DA3934" s="338"/>
      <c r="DP3934" s="236"/>
      <c r="DQ3934" s="236"/>
      <c r="DX3934" s="1671"/>
    </row>
    <row r="3935" spans="38:128">
      <c r="AL3935" s="1037"/>
      <c r="BP3935" s="1385"/>
      <c r="BV3935" s="236">
        <v>321.08</v>
      </c>
      <c r="BW3935" s="236" t="s">
        <v>341</v>
      </c>
      <c r="CL3935" s="236">
        <v>411.01</v>
      </c>
      <c r="CM3935" s="236" t="s">
        <v>339</v>
      </c>
      <c r="CT3935" s="1384"/>
      <c r="CZ3935" s="338"/>
      <c r="DA3935" s="338"/>
      <c r="DP3935" s="236"/>
      <c r="DQ3935" s="236"/>
      <c r="DX3935" s="1671"/>
    </row>
    <row r="3936" spans="38:128">
      <c r="AL3936" s="1037"/>
      <c r="BP3936" s="1385"/>
      <c r="BV3936" s="236">
        <v>321.08999999999997</v>
      </c>
      <c r="BW3936" s="236" t="s">
        <v>341</v>
      </c>
      <c r="CL3936" s="236">
        <v>411.02</v>
      </c>
      <c r="CM3936" s="236" t="s">
        <v>339</v>
      </c>
      <c r="CT3936" s="1384"/>
      <c r="CZ3936" s="338"/>
      <c r="DA3936" s="338"/>
      <c r="DP3936" s="236"/>
      <c r="DQ3936" s="236"/>
      <c r="DX3936" s="1671"/>
    </row>
    <row r="3937" spans="38:128">
      <c r="AL3937" s="1037"/>
      <c r="BP3937" s="1385"/>
      <c r="BV3937" s="236">
        <v>321.10000000000002</v>
      </c>
      <c r="BW3937" s="236" t="s">
        <v>341</v>
      </c>
      <c r="CL3937" s="236">
        <v>411.03</v>
      </c>
      <c r="CM3937" s="236" t="s">
        <v>314</v>
      </c>
      <c r="CT3937" s="1384"/>
      <c r="CZ3937" s="338"/>
      <c r="DA3937" s="338"/>
      <c r="DP3937" s="236"/>
      <c r="DQ3937" s="236"/>
      <c r="DX3937" s="1671"/>
    </row>
    <row r="3938" spans="38:128">
      <c r="AL3938" s="1037"/>
      <c r="BP3938" s="1385"/>
      <c r="BV3938" s="236">
        <v>321.11</v>
      </c>
      <c r="BW3938" s="236" t="s">
        <v>341</v>
      </c>
      <c r="CL3938" s="236">
        <v>411.04</v>
      </c>
      <c r="CM3938" s="236" t="s">
        <v>314</v>
      </c>
      <c r="CT3938" s="1384"/>
      <c r="CZ3938" s="338"/>
      <c r="DA3938" s="338"/>
      <c r="DP3938" s="236"/>
      <c r="DQ3938" s="236"/>
      <c r="DX3938" s="1671"/>
    </row>
    <row r="3939" spans="38:128">
      <c r="AL3939" s="1037"/>
      <c r="BP3939" s="1385"/>
      <c r="BV3939" s="236">
        <v>321.12</v>
      </c>
      <c r="BW3939" s="236" t="s">
        <v>341</v>
      </c>
      <c r="CL3939" s="236">
        <v>411.05</v>
      </c>
      <c r="CM3939" s="236" t="s">
        <v>314</v>
      </c>
      <c r="CT3939" s="1384"/>
      <c r="CZ3939" s="338"/>
      <c r="DA3939" s="338"/>
      <c r="DP3939" s="236"/>
      <c r="DQ3939" s="236"/>
      <c r="DX3939" s="1671"/>
    </row>
    <row r="3940" spans="38:128">
      <c r="AL3940" s="1037"/>
      <c r="BP3940" s="1385"/>
      <c r="BV3940" s="236">
        <v>321.13</v>
      </c>
      <c r="BW3940" s="236" t="s">
        <v>341</v>
      </c>
      <c r="CL3940" s="236">
        <v>411.06</v>
      </c>
      <c r="CM3940" s="236" t="s">
        <v>314</v>
      </c>
      <c r="CT3940" s="1384"/>
      <c r="CZ3940" s="338"/>
      <c r="DA3940" s="338"/>
      <c r="DP3940" s="236"/>
      <c r="DQ3940" s="236"/>
      <c r="DX3940" s="1671"/>
    </row>
    <row r="3941" spans="38:128">
      <c r="AL3941" s="1037"/>
      <c r="BP3941" s="1385"/>
      <c r="BV3941" s="236">
        <v>322</v>
      </c>
      <c r="BW3941" s="236" t="s">
        <v>341</v>
      </c>
      <c r="CL3941" s="338">
        <v>412</v>
      </c>
      <c r="CM3941" s="338" t="s">
        <v>289</v>
      </c>
      <c r="CT3941" s="1384"/>
      <c r="CZ3941" s="338"/>
      <c r="DA3941" s="338"/>
      <c r="DP3941" s="236"/>
      <c r="DQ3941" s="236"/>
      <c r="DX3941" s="1671"/>
    </row>
    <row r="3942" spans="38:128">
      <c r="AL3942" s="1037"/>
      <c r="BP3942" s="1385"/>
      <c r="BV3942" s="236">
        <v>323</v>
      </c>
      <c r="BW3942" s="236" t="s">
        <v>341</v>
      </c>
      <c r="CL3942" s="236">
        <v>412.01</v>
      </c>
      <c r="CM3942" s="236" t="s">
        <v>314</v>
      </c>
      <c r="CT3942" s="1384"/>
      <c r="CZ3942" s="338"/>
      <c r="DA3942" s="338"/>
      <c r="DP3942" s="236"/>
      <c r="DQ3942" s="236"/>
      <c r="DX3942" s="1671"/>
    </row>
    <row r="3943" spans="38:128">
      <c r="AL3943" s="1037"/>
      <c r="BP3943" s="1385"/>
      <c r="BV3943" s="236">
        <v>324.01</v>
      </c>
      <c r="BW3943" s="236" t="s">
        <v>341</v>
      </c>
      <c r="CL3943" s="236">
        <v>412.03</v>
      </c>
      <c r="CM3943" s="236" t="s">
        <v>314</v>
      </c>
      <c r="CT3943" s="1384"/>
      <c r="CZ3943" s="338"/>
      <c r="DA3943" s="338"/>
      <c r="DP3943" s="236"/>
      <c r="DQ3943" s="236"/>
      <c r="DX3943" s="1671"/>
    </row>
    <row r="3944" spans="38:128">
      <c r="AL3944" s="1037"/>
      <c r="BP3944" s="1385"/>
      <c r="BV3944" s="236">
        <v>324.02</v>
      </c>
      <c r="BW3944" s="236" t="s">
        <v>341</v>
      </c>
      <c r="CL3944" s="236">
        <v>412.04</v>
      </c>
      <c r="CM3944" s="236" t="s">
        <v>314</v>
      </c>
      <c r="CT3944" s="1384"/>
      <c r="CZ3944" s="338"/>
      <c r="DA3944" s="338"/>
      <c r="DP3944" s="236"/>
      <c r="DQ3944" s="236"/>
      <c r="DX3944" s="1671"/>
    </row>
    <row r="3945" spans="38:128">
      <c r="AL3945" s="1037"/>
      <c r="BP3945" s="1385"/>
      <c r="BV3945" s="236">
        <v>325</v>
      </c>
      <c r="BW3945" s="236" t="s">
        <v>341</v>
      </c>
      <c r="CL3945" s="338">
        <v>413</v>
      </c>
      <c r="CM3945" s="338" t="s">
        <v>289</v>
      </c>
      <c r="CT3945" s="1384"/>
      <c r="CZ3945" s="338"/>
      <c r="DA3945" s="338"/>
      <c r="DP3945" s="236"/>
      <c r="DQ3945" s="236"/>
      <c r="DX3945" s="1671"/>
    </row>
    <row r="3946" spans="38:128">
      <c r="AL3946" s="1037"/>
      <c r="BP3946" s="1385"/>
      <c r="BV3946" s="236">
        <v>326.01</v>
      </c>
      <c r="BW3946" s="236" t="s">
        <v>341</v>
      </c>
      <c r="CL3946" s="236">
        <v>413.01</v>
      </c>
      <c r="CM3946" s="236" t="s">
        <v>339</v>
      </c>
      <c r="CT3946" s="1384"/>
      <c r="CZ3946" s="338"/>
      <c r="DA3946" s="338"/>
      <c r="DP3946" s="236"/>
      <c r="DQ3946" s="236"/>
      <c r="DX3946" s="1671"/>
    </row>
    <row r="3947" spans="38:128">
      <c r="AL3947" s="1037"/>
      <c r="BP3947" s="1385"/>
      <c r="BV3947" s="236">
        <v>326.02</v>
      </c>
      <c r="BW3947" s="236" t="s">
        <v>341</v>
      </c>
      <c r="CL3947" s="236">
        <v>413.02</v>
      </c>
      <c r="CM3947" s="236" t="s">
        <v>314</v>
      </c>
      <c r="CT3947" s="1384"/>
      <c r="CZ3947" s="338"/>
      <c r="DA3947" s="338"/>
      <c r="DP3947" s="236"/>
      <c r="DQ3947" s="236"/>
      <c r="DX3947" s="1671"/>
    </row>
    <row r="3948" spans="38:128">
      <c r="AL3948" s="1037"/>
      <c r="BP3948" s="1385"/>
      <c r="BV3948" s="236">
        <v>327</v>
      </c>
      <c r="BW3948" s="236" t="s">
        <v>341</v>
      </c>
      <c r="CL3948" s="236">
        <v>413.02</v>
      </c>
      <c r="CM3948" s="236" t="s">
        <v>339</v>
      </c>
      <c r="CT3948" s="1384"/>
      <c r="CZ3948" s="338"/>
      <c r="DA3948" s="338"/>
      <c r="DP3948" s="236"/>
      <c r="DQ3948" s="236"/>
      <c r="DX3948" s="1671"/>
    </row>
    <row r="3949" spans="38:128">
      <c r="AL3949" s="1037"/>
      <c r="BP3949" s="1385"/>
      <c r="BV3949" s="236">
        <v>328.02</v>
      </c>
      <c r="BW3949" s="236" t="s">
        <v>341</v>
      </c>
      <c r="CL3949" s="236">
        <v>413.03</v>
      </c>
      <c r="CM3949" s="236" t="s">
        <v>314</v>
      </c>
      <c r="CT3949" s="1384"/>
      <c r="CZ3949" s="338"/>
      <c r="DA3949" s="338"/>
      <c r="DP3949" s="236"/>
      <c r="DQ3949" s="236"/>
      <c r="DX3949" s="1671"/>
    </row>
    <row r="3950" spans="38:128">
      <c r="AL3950" s="1037"/>
      <c r="BP3950" s="1385"/>
      <c r="BV3950" s="236">
        <v>328.04</v>
      </c>
      <c r="BW3950" s="236" t="s">
        <v>341</v>
      </c>
      <c r="CL3950" s="236">
        <v>413.04</v>
      </c>
      <c r="CM3950" s="236" t="s">
        <v>314</v>
      </c>
      <c r="CT3950" s="1384"/>
      <c r="CZ3950" s="338"/>
      <c r="DA3950" s="338"/>
      <c r="DP3950" s="236"/>
      <c r="DQ3950" s="236"/>
      <c r="DX3950" s="1671"/>
    </row>
    <row r="3951" spans="38:128">
      <c r="AL3951" s="1037"/>
      <c r="BP3951" s="1385"/>
      <c r="BV3951" s="236">
        <v>328.05</v>
      </c>
      <c r="BW3951" s="236" t="s">
        <v>341</v>
      </c>
      <c r="CL3951" s="236">
        <v>413.05</v>
      </c>
      <c r="CM3951" s="236" t="s">
        <v>314</v>
      </c>
      <c r="CT3951" s="1384"/>
      <c r="CZ3951" s="338"/>
      <c r="DA3951" s="338"/>
      <c r="DP3951" s="236"/>
      <c r="DQ3951" s="236"/>
      <c r="DX3951" s="1671"/>
    </row>
    <row r="3952" spans="38:128">
      <c r="AL3952" s="1037"/>
      <c r="BP3952" s="1385"/>
      <c r="BV3952" s="236">
        <v>329.01</v>
      </c>
      <c r="BW3952" s="236" t="s">
        <v>341</v>
      </c>
      <c r="CL3952" s="338">
        <v>414</v>
      </c>
      <c r="CM3952" s="338" t="s">
        <v>289</v>
      </c>
      <c r="CT3952" s="1384"/>
      <c r="CZ3952" s="338"/>
      <c r="DA3952" s="338"/>
      <c r="DP3952" s="236"/>
      <c r="DQ3952" s="236"/>
      <c r="DX3952" s="1671"/>
    </row>
    <row r="3953" spans="38:128">
      <c r="AL3953" s="1037"/>
      <c r="BP3953" s="1385"/>
      <c r="BV3953" s="236">
        <v>329.02</v>
      </c>
      <c r="BW3953" s="236" t="s">
        <v>341</v>
      </c>
      <c r="CL3953" s="236">
        <v>414.01</v>
      </c>
      <c r="CM3953" s="236" t="s">
        <v>314</v>
      </c>
      <c r="CT3953" s="1384"/>
      <c r="CZ3953" s="338"/>
      <c r="DA3953" s="338"/>
      <c r="DP3953" s="236"/>
      <c r="DQ3953" s="236"/>
      <c r="DX3953" s="1671"/>
    </row>
    <row r="3954" spans="38:128">
      <c r="AL3954" s="1037"/>
      <c r="BP3954" s="1385"/>
      <c r="BV3954" s="236">
        <v>329.05</v>
      </c>
      <c r="BW3954" s="236" t="s">
        <v>341</v>
      </c>
      <c r="CL3954" s="236">
        <v>414.02</v>
      </c>
      <c r="CM3954" s="236" t="s">
        <v>314</v>
      </c>
      <c r="CT3954" s="1384"/>
      <c r="CZ3954" s="338"/>
      <c r="DA3954" s="338"/>
      <c r="DP3954" s="236"/>
      <c r="DQ3954" s="236"/>
      <c r="DX3954" s="1671"/>
    </row>
    <row r="3955" spans="38:128">
      <c r="AL3955" s="1037"/>
      <c r="BP3955" s="1385"/>
      <c r="BV3955" s="236">
        <v>330.05</v>
      </c>
      <c r="BW3955" s="236" t="s">
        <v>341</v>
      </c>
      <c r="CL3955" s="338">
        <v>415</v>
      </c>
      <c r="CM3955" s="338" t="s">
        <v>289</v>
      </c>
      <c r="CT3955" s="1384"/>
      <c r="CZ3955" s="338"/>
      <c r="DA3955" s="338"/>
      <c r="DP3955" s="236"/>
      <c r="DQ3955" s="236"/>
      <c r="DX3955" s="1671"/>
    </row>
    <row r="3956" spans="38:128">
      <c r="AL3956" s="1037"/>
      <c r="BP3956" s="1385"/>
      <c r="BV3956" s="236">
        <v>330.06</v>
      </c>
      <c r="BW3956" s="236" t="s">
        <v>341</v>
      </c>
      <c r="CL3956" s="236">
        <v>415.01</v>
      </c>
      <c r="CM3956" s="236" t="s">
        <v>314</v>
      </c>
      <c r="CT3956" s="1384"/>
      <c r="CZ3956" s="338"/>
      <c r="DA3956" s="338"/>
      <c r="DP3956" s="236"/>
      <c r="DQ3956" s="236"/>
      <c r="DX3956" s="1671"/>
    </row>
    <row r="3957" spans="38:128">
      <c r="AL3957" s="1037"/>
      <c r="BP3957" s="1385"/>
      <c r="BV3957" s="236">
        <v>330.07</v>
      </c>
      <c r="BW3957" s="236" t="s">
        <v>341</v>
      </c>
      <c r="CL3957" s="236">
        <v>415.01</v>
      </c>
      <c r="CM3957" s="236" t="s">
        <v>339</v>
      </c>
      <c r="CT3957" s="1384"/>
      <c r="CZ3957" s="338"/>
      <c r="DA3957" s="338"/>
      <c r="DP3957" s="236"/>
      <c r="DQ3957" s="236"/>
      <c r="DX3957" s="1671"/>
    </row>
    <row r="3958" spans="38:128">
      <c r="AL3958" s="1037"/>
      <c r="BP3958" s="1385"/>
      <c r="BV3958" s="236">
        <v>330.08</v>
      </c>
      <c r="BW3958" s="236" t="s">
        <v>341</v>
      </c>
      <c r="CL3958" s="236">
        <v>415.02</v>
      </c>
      <c r="CM3958" s="236" t="s">
        <v>314</v>
      </c>
      <c r="CT3958" s="1384"/>
      <c r="CZ3958" s="338"/>
      <c r="DA3958" s="338"/>
      <c r="DP3958" s="236"/>
      <c r="DQ3958" s="236"/>
      <c r="DX3958" s="1671"/>
    </row>
    <row r="3959" spans="38:128">
      <c r="AL3959" s="1037"/>
      <c r="BP3959" s="1385"/>
      <c r="BV3959" s="236">
        <v>330.09</v>
      </c>
      <c r="BW3959" s="236" t="s">
        <v>341</v>
      </c>
      <c r="CL3959" s="236">
        <v>415.02</v>
      </c>
      <c r="CM3959" s="236" t="s">
        <v>339</v>
      </c>
      <c r="CT3959" s="1384"/>
      <c r="CZ3959" s="338"/>
      <c r="DA3959" s="338"/>
      <c r="DP3959" s="236"/>
      <c r="DQ3959" s="236"/>
      <c r="DX3959" s="1671"/>
    </row>
    <row r="3960" spans="38:128">
      <c r="AL3960" s="1037"/>
      <c r="BP3960" s="1385"/>
      <c r="BV3960" s="236">
        <v>330.1</v>
      </c>
      <c r="BW3960" s="236" t="s">
        <v>341</v>
      </c>
      <c r="CL3960" s="236">
        <v>416</v>
      </c>
      <c r="CM3960" s="236" t="s">
        <v>339</v>
      </c>
      <c r="CT3960" s="1384"/>
      <c r="CZ3960" s="338"/>
      <c r="DA3960" s="338"/>
      <c r="DP3960" s="236"/>
      <c r="DQ3960" s="236"/>
      <c r="DX3960" s="1671"/>
    </row>
    <row r="3961" spans="38:128">
      <c r="AL3961" s="1037"/>
      <c r="BP3961" s="1385"/>
      <c r="BV3961" s="236">
        <v>330.11</v>
      </c>
      <c r="BW3961" s="236" t="s">
        <v>341</v>
      </c>
      <c r="CL3961" s="338">
        <v>416.01</v>
      </c>
      <c r="CM3961" s="338" t="s">
        <v>289</v>
      </c>
      <c r="CT3961" s="1384"/>
      <c r="CZ3961" s="338"/>
      <c r="DA3961" s="338"/>
      <c r="DP3961" s="236"/>
      <c r="DQ3961" s="236"/>
      <c r="DX3961" s="1671"/>
    </row>
    <row r="3962" spans="38:128">
      <c r="AL3962" s="1037"/>
      <c r="BP3962" s="1385"/>
      <c r="BV3962" s="236">
        <v>330.12</v>
      </c>
      <c r="BW3962" s="236" t="s">
        <v>341</v>
      </c>
      <c r="CL3962" s="236">
        <v>416.01</v>
      </c>
      <c r="CM3962" s="236" t="s">
        <v>314</v>
      </c>
      <c r="CT3962" s="1384"/>
      <c r="CZ3962" s="338"/>
      <c r="DA3962" s="338"/>
      <c r="DP3962" s="236"/>
      <c r="DQ3962" s="236"/>
      <c r="DX3962" s="1671"/>
    </row>
    <row r="3963" spans="38:128">
      <c r="AL3963" s="1037"/>
      <c r="BP3963" s="1385"/>
      <c r="BV3963" s="236">
        <v>330.13</v>
      </c>
      <c r="BW3963" s="236" t="s">
        <v>341</v>
      </c>
      <c r="CL3963" s="338">
        <v>416.02</v>
      </c>
      <c r="CM3963" s="338" t="s">
        <v>289</v>
      </c>
      <c r="CT3963" s="1384"/>
      <c r="CZ3963" s="338"/>
      <c r="DA3963" s="338"/>
      <c r="DP3963" s="236"/>
      <c r="DQ3963" s="236"/>
      <c r="DX3963" s="1671"/>
    </row>
    <row r="3964" spans="38:128">
      <c r="AL3964" s="1037"/>
      <c r="BP3964" s="1385"/>
      <c r="BV3964" s="236">
        <v>330.14</v>
      </c>
      <c r="BW3964" s="236" t="s">
        <v>341</v>
      </c>
      <c r="CL3964" s="236">
        <v>416.02</v>
      </c>
      <c r="CM3964" s="236" t="s">
        <v>314</v>
      </c>
      <c r="CT3964" s="1384"/>
      <c r="CZ3964" s="338"/>
      <c r="DA3964" s="338"/>
      <c r="DP3964" s="236"/>
      <c r="DQ3964" s="236"/>
      <c r="DX3964" s="1671"/>
    </row>
    <row r="3965" spans="38:128">
      <c r="AL3965" s="1037"/>
      <c r="BP3965" s="1385"/>
      <c r="BV3965" s="236">
        <v>331.01</v>
      </c>
      <c r="BW3965" s="236" t="s">
        <v>341</v>
      </c>
      <c r="CL3965" s="338">
        <v>417</v>
      </c>
      <c r="CM3965" s="338" t="s">
        <v>289</v>
      </c>
      <c r="CT3965" s="1384"/>
      <c r="CZ3965" s="338"/>
      <c r="DA3965" s="338"/>
      <c r="DP3965" s="236"/>
      <c r="DQ3965" s="236"/>
      <c r="DX3965" s="1671"/>
    </row>
    <row r="3966" spans="38:128">
      <c r="AL3966" s="1037"/>
      <c r="BP3966" s="1385"/>
      <c r="BV3966" s="236">
        <v>331.02</v>
      </c>
      <c r="BW3966" s="236" t="s">
        <v>341</v>
      </c>
      <c r="CL3966" s="236">
        <v>417</v>
      </c>
      <c r="CM3966" s="236" t="s">
        <v>339</v>
      </c>
      <c r="CT3966" s="1384"/>
      <c r="CZ3966" s="338"/>
      <c r="DA3966" s="338"/>
      <c r="DP3966" s="236"/>
      <c r="DQ3966" s="236"/>
      <c r="DX3966" s="1671"/>
    </row>
    <row r="3967" spans="38:128">
      <c r="AL3967" s="1037"/>
      <c r="BP3967" s="1385"/>
      <c r="BV3967" s="236">
        <v>9900</v>
      </c>
      <c r="BW3967" s="236" t="s">
        <v>341</v>
      </c>
      <c r="CL3967" s="236">
        <v>418</v>
      </c>
      <c r="CM3967" s="236" t="s">
        <v>339</v>
      </c>
      <c r="CT3967" s="1384"/>
      <c r="CZ3967" s="338"/>
      <c r="DA3967" s="338"/>
      <c r="DP3967" s="236"/>
      <c r="DQ3967" s="236"/>
      <c r="DX3967" s="1671"/>
    </row>
    <row r="3968" spans="38:128">
      <c r="AL3968" s="1037"/>
      <c r="BP3968" s="1385"/>
      <c r="BV3968" s="236">
        <v>201.05</v>
      </c>
      <c r="BW3968" s="236" t="s">
        <v>342</v>
      </c>
      <c r="CL3968" s="338">
        <v>418.01</v>
      </c>
      <c r="CM3968" s="338" t="s">
        <v>289</v>
      </c>
      <c r="CT3968" s="1384"/>
      <c r="CZ3968" s="338"/>
      <c r="DA3968" s="338"/>
      <c r="DP3968" s="236"/>
      <c r="DQ3968" s="236"/>
      <c r="DX3968" s="1671"/>
    </row>
    <row r="3969" spans="38:128">
      <c r="AL3969" s="1037"/>
      <c r="BP3969" s="1385"/>
      <c r="BV3969" s="236">
        <v>201.06</v>
      </c>
      <c r="BW3969" s="236" t="s">
        <v>342</v>
      </c>
      <c r="CL3969" s="338">
        <v>418.02</v>
      </c>
      <c r="CM3969" s="338" t="s">
        <v>289</v>
      </c>
      <c r="CT3969" s="1384"/>
      <c r="CZ3969" s="338"/>
      <c r="DA3969" s="338"/>
      <c r="DP3969" s="236"/>
      <c r="DQ3969" s="236"/>
      <c r="DX3969" s="1671"/>
    </row>
    <row r="3970" spans="38:128">
      <c r="AL3970" s="1037"/>
      <c r="BP3970" s="1385"/>
      <c r="BV3970" s="236">
        <v>201.07</v>
      </c>
      <c r="BW3970" s="236" t="s">
        <v>342</v>
      </c>
      <c r="CL3970" s="338">
        <v>419</v>
      </c>
      <c r="CM3970" s="338" t="s">
        <v>289</v>
      </c>
      <c r="CT3970" s="1384"/>
      <c r="CZ3970" s="338"/>
      <c r="DA3970" s="338"/>
      <c r="DP3970" s="236"/>
      <c r="DQ3970" s="236"/>
      <c r="DX3970" s="1671"/>
    </row>
    <row r="3971" spans="38:128">
      <c r="AL3971" s="1037"/>
      <c r="BP3971" s="1385"/>
      <c r="BV3971" s="236">
        <v>201.08</v>
      </c>
      <c r="BW3971" s="236" t="s">
        <v>342</v>
      </c>
      <c r="CL3971" s="236">
        <v>419</v>
      </c>
      <c r="CM3971" s="236" t="s">
        <v>339</v>
      </c>
      <c r="CT3971" s="1384"/>
      <c r="CZ3971" s="338"/>
      <c r="DA3971" s="338"/>
      <c r="DP3971" s="236"/>
      <c r="DQ3971" s="236"/>
      <c r="DX3971" s="1671"/>
    </row>
    <row r="3972" spans="38:128">
      <c r="AL3972" s="1037"/>
      <c r="BP3972" s="1385"/>
      <c r="BV3972" s="236">
        <v>201.09</v>
      </c>
      <c r="BW3972" s="236" t="s">
        <v>342</v>
      </c>
      <c r="CL3972" s="338">
        <v>420</v>
      </c>
      <c r="CM3972" s="338" t="s">
        <v>289</v>
      </c>
      <c r="CT3972" s="1384"/>
      <c r="CZ3972" s="338"/>
      <c r="DA3972" s="338"/>
      <c r="DP3972" s="236"/>
      <c r="DQ3972" s="236"/>
      <c r="DX3972" s="1671"/>
    </row>
    <row r="3973" spans="38:128">
      <c r="AL3973" s="1037"/>
      <c r="BP3973" s="1385"/>
      <c r="BV3973" s="236">
        <v>201.1</v>
      </c>
      <c r="BW3973" s="236" t="s">
        <v>342</v>
      </c>
      <c r="CL3973" s="236">
        <v>420</v>
      </c>
      <c r="CM3973" s="236" t="s">
        <v>339</v>
      </c>
      <c r="CT3973" s="1384"/>
      <c r="CZ3973" s="338"/>
      <c r="DA3973" s="338"/>
      <c r="DP3973" s="236"/>
      <c r="DQ3973" s="236"/>
      <c r="DX3973" s="1671"/>
    </row>
    <row r="3974" spans="38:128">
      <c r="AL3974" s="1037"/>
      <c r="BP3974" s="1385"/>
      <c r="BV3974" s="236">
        <v>202.01</v>
      </c>
      <c r="BW3974" s="236" t="s">
        <v>342</v>
      </c>
      <c r="CL3974" s="338">
        <v>421</v>
      </c>
      <c r="CM3974" s="338" t="s">
        <v>289</v>
      </c>
      <c r="CT3974" s="1384"/>
      <c r="CZ3974" s="338"/>
      <c r="DA3974" s="338"/>
      <c r="DP3974" s="236"/>
      <c r="DQ3974" s="236"/>
      <c r="DX3974" s="1671"/>
    </row>
    <row r="3975" spans="38:128">
      <c r="AL3975" s="1037"/>
      <c r="BP3975" s="1385"/>
      <c r="BV3975" s="236">
        <v>202.02</v>
      </c>
      <c r="BW3975" s="236" t="s">
        <v>342</v>
      </c>
      <c r="CL3975" s="236">
        <v>421</v>
      </c>
      <c r="CM3975" s="236" t="s">
        <v>339</v>
      </c>
      <c r="CT3975" s="1384"/>
      <c r="CZ3975" s="338"/>
      <c r="DA3975" s="338"/>
      <c r="DP3975" s="236"/>
      <c r="DQ3975" s="236"/>
      <c r="DX3975" s="1671"/>
    </row>
    <row r="3976" spans="38:128">
      <c r="AL3976" s="1037"/>
      <c r="BP3976" s="1385"/>
      <c r="BV3976" s="236">
        <v>202.06</v>
      </c>
      <c r="BW3976" s="236" t="s">
        <v>342</v>
      </c>
      <c r="CL3976" s="338">
        <v>422</v>
      </c>
      <c r="CM3976" s="338" t="s">
        <v>289</v>
      </c>
      <c r="CT3976" s="1384"/>
      <c r="CZ3976" s="338"/>
      <c r="DA3976" s="338"/>
      <c r="DP3976" s="236"/>
      <c r="DQ3976" s="236"/>
      <c r="DX3976" s="1671"/>
    </row>
    <row r="3977" spans="38:128">
      <c r="AL3977" s="1037"/>
      <c r="BP3977" s="1385"/>
      <c r="BV3977" s="236">
        <v>202.07</v>
      </c>
      <c r="BW3977" s="236" t="s">
        <v>342</v>
      </c>
      <c r="CL3977" s="236">
        <v>422.01</v>
      </c>
      <c r="CM3977" s="236" t="s">
        <v>339</v>
      </c>
      <c r="CT3977" s="1384"/>
      <c r="CZ3977" s="338"/>
      <c r="DA3977" s="338"/>
      <c r="DP3977" s="236"/>
      <c r="DQ3977" s="236"/>
      <c r="DX3977" s="1671"/>
    </row>
    <row r="3978" spans="38:128">
      <c r="AL3978" s="1037"/>
      <c r="BP3978" s="1385"/>
      <c r="BV3978" s="236">
        <v>202.08</v>
      </c>
      <c r="BW3978" s="236" t="s">
        <v>342</v>
      </c>
      <c r="CL3978" s="236">
        <v>422.02</v>
      </c>
      <c r="CM3978" s="236" t="s">
        <v>339</v>
      </c>
      <c r="CT3978" s="1384"/>
      <c r="CZ3978" s="338"/>
      <c r="DA3978" s="338"/>
      <c r="DP3978" s="236"/>
      <c r="DQ3978" s="236"/>
      <c r="DX3978" s="1671"/>
    </row>
    <row r="3979" spans="38:128">
      <c r="AL3979" s="1037"/>
      <c r="BP3979" s="1385"/>
      <c r="BV3979" s="236">
        <v>202.09</v>
      </c>
      <c r="BW3979" s="236" t="s">
        <v>342</v>
      </c>
      <c r="CL3979" s="236">
        <v>423</v>
      </c>
      <c r="CM3979" s="236" t="s">
        <v>339</v>
      </c>
      <c r="CT3979" s="1384"/>
      <c r="CZ3979" s="338"/>
      <c r="DA3979" s="338"/>
      <c r="DP3979" s="236"/>
      <c r="DQ3979" s="236"/>
      <c r="DX3979" s="1671"/>
    </row>
    <row r="3980" spans="38:128">
      <c r="AL3980" s="1037"/>
      <c r="BP3980" s="1385"/>
      <c r="BV3980" s="236">
        <v>203.01</v>
      </c>
      <c r="BW3980" s="236" t="s">
        <v>342</v>
      </c>
      <c r="CL3980" s="338">
        <v>423.01</v>
      </c>
      <c r="CM3980" s="338" t="s">
        <v>289</v>
      </c>
      <c r="CT3980" s="1384"/>
      <c r="CZ3980" s="338"/>
      <c r="DA3980" s="338"/>
      <c r="DP3980" s="236"/>
      <c r="DQ3980" s="236"/>
      <c r="DX3980" s="1671"/>
    </row>
    <row r="3981" spans="38:128">
      <c r="AL3981" s="1037"/>
      <c r="BP3981" s="1385"/>
      <c r="BV3981" s="236">
        <v>203.02</v>
      </c>
      <c r="BW3981" s="236" t="s">
        <v>342</v>
      </c>
      <c r="CL3981" s="338">
        <v>423.02</v>
      </c>
      <c r="CM3981" s="338" t="s">
        <v>289</v>
      </c>
      <c r="CT3981" s="1384"/>
      <c r="CZ3981" s="338"/>
      <c r="DA3981" s="338"/>
      <c r="DP3981" s="236"/>
      <c r="DQ3981" s="236"/>
      <c r="DX3981" s="1671"/>
    </row>
    <row r="3982" spans="38:128">
      <c r="AL3982" s="1037"/>
      <c r="BP3982" s="1385"/>
      <c r="BV3982" s="236">
        <v>204</v>
      </c>
      <c r="BW3982" s="236" t="s">
        <v>342</v>
      </c>
      <c r="CL3982" s="338">
        <v>424</v>
      </c>
      <c r="CM3982" s="338" t="s">
        <v>289</v>
      </c>
      <c r="CT3982" s="1384"/>
      <c r="CZ3982" s="338"/>
      <c r="DA3982" s="338"/>
      <c r="DP3982" s="236"/>
      <c r="DQ3982" s="236"/>
      <c r="DX3982" s="1671"/>
    </row>
    <row r="3983" spans="38:128">
      <c r="AL3983" s="1037"/>
      <c r="BP3983" s="1385"/>
      <c r="BV3983" s="236">
        <v>205</v>
      </c>
      <c r="BW3983" s="236" t="s">
        <v>342</v>
      </c>
      <c r="CL3983" s="236">
        <v>424</v>
      </c>
      <c r="CM3983" s="236" t="s">
        <v>339</v>
      </c>
      <c r="CT3983" s="1384"/>
      <c r="CZ3983" s="338"/>
      <c r="DA3983" s="338"/>
      <c r="DP3983" s="236"/>
      <c r="DQ3983" s="236"/>
      <c r="DX3983" s="1671"/>
    </row>
    <row r="3984" spans="38:128">
      <c r="AL3984" s="1037"/>
      <c r="BP3984" s="1385"/>
      <c r="BV3984" s="236">
        <v>206</v>
      </c>
      <c r="BW3984" s="236" t="s">
        <v>342</v>
      </c>
      <c r="CL3984" s="236">
        <v>425</v>
      </c>
      <c r="CM3984" s="236" t="s">
        <v>339</v>
      </c>
      <c r="CT3984" s="1384"/>
      <c r="CZ3984" s="338"/>
      <c r="DA3984" s="338"/>
      <c r="DP3984" s="236"/>
      <c r="DQ3984" s="236"/>
      <c r="DX3984" s="1671"/>
    </row>
    <row r="3985" spans="38:128">
      <c r="AL3985" s="1037"/>
      <c r="BP3985" s="1385"/>
      <c r="BV3985" s="236">
        <v>207</v>
      </c>
      <c r="BW3985" s="236" t="s">
        <v>342</v>
      </c>
      <c r="CL3985" s="338">
        <v>425.01</v>
      </c>
      <c r="CM3985" s="338" t="s">
        <v>289</v>
      </c>
      <c r="CT3985" s="1384"/>
      <c r="CZ3985" s="338"/>
      <c r="DA3985" s="338"/>
      <c r="DP3985" s="236"/>
      <c r="DQ3985" s="236"/>
      <c r="DX3985" s="1671"/>
    </row>
    <row r="3986" spans="38:128">
      <c r="AL3986" s="1037"/>
      <c r="BP3986" s="1385"/>
      <c r="BV3986" s="236">
        <v>208</v>
      </c>
      <c r="BW3986" s="236" t="s">
        <v>342</v>
      </c>
      <c r="CL3986" s="338">
        <v>425.02</v>
      </c>
      <c r="CM3986" s="338" t="s">
        <v>289</v>
      </c>
      <c r="CT3986" s="1384"/>
      <c r="CZ3986" s="338"/>
      <c r="DA3986" s="338"/>
      <c r="DP3986" s="236"/>
      <c r="DQ3986" s="236"/>
      <c r="DX3986" s="1671"/>
    </row>
    <row r="3987" spans="38:128">
      <c r="AL3987" s="1037"/>
      <c r="BP3987" s="1385"/>
      <c r="BV3987" s="236">
        <v>212</v>
      </c>
      <c r="BW3987" s="236" t="s">
        <v>342</v>
      </c>
      <c r="CL3987" s="338">
        <v>426.01</v>
      </c>
      <c r="CM3987" s="338" t="s">
        <v>289</v>
      </c>
      <c r="CT3987" s="1384"/>
      <c r="CZ3987" s="338"/>
      <c r="DA3987" s="338"/>
      <c r="DP3987" s="236"/>
      <c r="DQ3987" s="236"/>
      <c r="DX3987" s="1671"/>
    </row>
    <row r="3988" spans="38:128">
      <c r="AL3988" s="1037"/>
      <c r="BP3988" s="1385"/>
      <c r="BV3988" s="236">
        <v>215.01</v>
      </c>
      <c r="BW3988" s="236" t="s">
        <v>342</v>
      </c>
      <c r="CL3988" s="236">
        <v>426.01</v>
      </c>
      <c r="CM3988" s="236" t="s">
        <v>339</v>
      </c>
      <c r="CT3988" s="1384"/>
      <c r="CZ3988" s="338"/>
      <c r="DA3988" s="338"/>
      <c r="DP3988" s="236"/>
      <c r="DQ3988" s="236"/>
      <c r="DX3988" s="1671"/>
    </row>
    <row r="3989" spans="38:128">
      <c r="AL3989" s="1037"/>
      <c r="BP3989" s="1385"/>
      <c r="BV3989" s="236">
        <v>215.02</v>
      </c>
      <c r="BW3989" s="236" t="s">
        <v>342</v>
      </c>
      <c r="CL3989" s="338">
        <v>426.02</v>
      </c>
      <c r="CM3989" s="338" t="s">
        <v>289</v>
      </c>
      <c r="CT3989" s="1384"/>
      <c r="CZ3989" s="338"/>
      <c r="DA3989" s="338"/>
      <c r="DP3989" s="236"/>
      <c r="DQ3989" s="236"/>
      <c r="DX3989" s="1671"/>
    </row>
    <row r="3990" spans="38:128">
      <c r="AL3990" s="1037"/>
      <c r="BP3990" s="1385"/>
      <c r="BV3990" s="236">
        <v>216</v>
      </c>
      <c r="BW3990" s="236" t="s">
        <v>342</v>
      </c>
      <c r="CL3990" s="236">
        <v>426.03</v>
      </c>
      <c r="CM3990" s="236" t="s">
        <v>339</v>
      </c>
      <c r="CT3990" s="1384"/>
      <c r="CZ3990" s="338"/>
      <c r="DA3990" s="338"/>
      <c r="DP3990" s="236"/>
      <c r="DQ3990" s="236"/>
      <c r="DX3990" s="1671"/>
    </row>
    <row r="3991" spans="38:128">
      <c r="AL3991" s="1037"/>
      <c r="BP3991" s="1385"/>
      <c r="BV3991" s="236">
        <v>218</v>
      </c>
      <c r="BW3991" s="236" t="s">
        <v>342</v>
      </c>
      <c r="CL3991" s="236">
        <v>426.04</v>
      </c>
      <c r="CM3991" s="236" t="s">
        <v>339</v>
      </c>
      <c r="CT3991" s="1384"/>
      <c r="CZ3991" s="338"/>
      <c r="DA3991" s="338"/>
      <c r="DP3991" s="236"/>
      <c r="DQ3991" s="236"/>
      <c r="DX3991" s="1671"/>
    </row>
    <row r="3992" spans="38:128">
      <c r="AL3992" s="1037"/>
      <c r="BP3992" s="1385"/>
      <c r="BV3992" s="236">
        <v>219</v>
      </c>
      <c r="BW3992" s="236" t="s">
        <v>342</v>
      </c>
      <c r="CL3992" s="338">
        <v>427</v>
      </c>
      <c r="CM3992" s="338" t="s">
        <v>289</v>
      </c>
      <c r="CT3992" s="1384"/>
      <c r="CZ3992" s="338"/>
      <c r="DA3992" s="338"/>
      <c r="DP3992" s="236"/>
      <c r="DQ3992" s="236"/>
      <c r="DX3992" s="1671"/>
    </row>
    <row r="3993" spans="38:128">
      <c r="AL3993" s="1037"/>
      <c r="BP3993" s="1385"/>
      <c r="BV3993" s="236">
        <v>220</v>
      </c>
      <c r="BW3993" s="236" t="s">
        <v>342</v>
      </c>
      <c r="CL3993" s="236">
        <v>427.01</v>
      </c>
      <c r="CM3993" s="236" t="s">
        <v>339</v>
      </c>
      <c r="CT3993" s="1384"/>
      <c r="CZ3993" s="338"/>
      <c r="DA3993" s="338"/>
      <c r="DP3993" s="236"/>
      <c r="DQ3993" s="236"/>
      <c r="DX3993" s="1671"/>
    </row>
    <row r="3994" spans="38:128">
      <c r="AL3994" s="1037"/>
      <c r="BP3994" s="1385"/>
      <c r="BV3994" s="236">
        <v>221.01</v>
      </c>
      <c r="BW3994" s="236" t="s">
        <v>342</v>
      </c>
      <c r="CL3994" s="236">
        <v>427.02</v>
      </c>
      <c r="CM3994" s="236" t="s">
        <v>339</v>
      </c>
      <c r="CT3994" s="1384"/>
      <c r="CZ3994" s="338"/>
      <c r="DA3994" s="338"/>
      <c r="DP3994" s="236"/>
      <c r="DQ3994" s="236"/>
      <c r="DX3994" s="1671"/>
    </row>
    <row r="3995" spans="38:128">
      <c r="AL3995" s="1037"/>
      <c r="BP3995" s="1385"/>
      <c r="BV3995" s="236">
        <v>221.02</v>
      </c>
      <c r="BW3995" s="236" t="s">
        <v>342</v>
      </c>
      <c r="CL3995" s="236">
        <v>428</v>
      </c>
      <c r="CM3995" s="236" t="s">
        <v>339</v>
      </c>
      <c r="CT3995" s="1384"/>
      <c r="CZ3995" s="338"/>
      <c r="DA3995" s="338"/>
      <c r="DP3995" s="236"/>
      <c r="DQ3995" s="236"/>
      <c r="DX3995" s="1671"/>
    </row>
    <row r="3996" spans="38:128">
      <c r="AL3996" s="1037"/>
      <c r="BP3996" s="1385"/>
      <c r="BV3996" s="236">
        <v>222</v>
      </c>
      <c r="BW3996" s="236" t="s">
        <v>342</v>
      </c>
      <c r="CL3996" s="338">
        <v>428.01</v>
      </c>
      <c r="CM3996" s="338" t="s">
        <v>289</v>
      </c>
      <c r="CT3996" s="1384"/>
      <c r="CZ3996" s="338"/>
      <c r="DA3996" s="338"/>
      <c r="DP3996" s="236"/>
      <c r="DQ3996" s="236"/>
      <c r="DX3996" s="1671"/>
    </row>
    <row r="3997" spans="38:128">
      <c r="AL3997" s="1037"/>
      <c r="BP3997" s="1385"/>
      <c r="BV3997" s="236">
        <v>223.01</v>
      </c>
      <c r="BW3997" s="236" t="s">
        <v>342</v>
      </c>
      <c r="CL3997" s="338">
        <v>428.02</v>
      </c>
      <c r="CM3997" s="338" t="s">
        <v>289</v>
      </c>
      <c r="CT3997" s="1384"/>
      <c r="CZ3997" s="338"/>
      <c r="DA3997" s="338"/>
      <c r="DP3997" s="236"/>
      <c r="DQ3997" s="236"/>
      <c r="DX3997" s="1671"/>
    </row>
    <row r="3998" spans="38:128">
      <c r="AL3998" s="1037"/>
      <c r="BP3998" s="1385"/>
      <c r="BV3998" s="236">
        <v>223.02</v>
      </c>
      <c r="BW3998" s="236" t="s">
        <v>342</v>
      </c>
      <c r="CL3998" s="338">
        <v>429</v>
      </c>
      <c r="CM3998" s="338" t="s">
        <v>289</v>
      </c>
      <c r="CT3998" s="1384"/>
      <c r="CZ3998" s="338"/>
      <c r="DA3998" s="338"/>
      <c r="DP3998" s="236"/>
      <c r="DQ3998" s="236"/>
      <c r="DX3998" s="1671"/>
    </row>
    <row r="3999" spans="38:128">
      <c r="AL3999" s="1037"/>
      <c r="BP3999" s="1385"/>
      <c r="BV3999" s="236">
        <v>224.01</v>
      </c>
      <c r="BW3999" s="236" t="s">
        <v>342</v>
      </c>
      <c r="CL3999" s="236">
        <v>429.01</v>
      </c>
      <c r="CM3999" s="236" t="s">
        <v>339</v>
      </c>
      <c r="CT3999" s="1384"/>
      <c r="CZ3999" s="338"/>
      <c r="DA3999" s="338"/>
      <c r="DP3999" s="236"/>
      <c r="DQ3999" s="236"/>
      <c r="DX3999" s="1671"/>
    </row>
    <row r="4000" spans="38:128">
      <c r="AL4000" s="1037"/>
      <c r="BP4000" s="1385"/>
      <c r="BV4000" s="236">
        <v>224.02</v>
      </c>
      <c r="BW4000" s="236" t="s">
        <v>342</v>
      </c>
      <c r="CL4000" s="236">
        <v>429.02</v>
      </c>
      <c r="CM4000" s="236" t="s">
        <v>339</v>
      </c>
      <c r="CT4000" s="1384"/>
      <c r="CZ4000" s="338"/>
      <c r="DA4000" s="338"/>
      <c r="DP4000" s="236"/>
      <c r="DQ4000" s="236"/>
      <c r="DX4000" s="1671"/>
    </row>
    <row r="4001" spans="38:128">
      <c r="AL4001" s="1037"/>
      <c r="BP4001" s="1385"/>
      <c r="BV4001" s="236">
        <v>225.01</v>
      </c>
      <c r="BW4001" s="236" t="s">
        <v>342</v>
      </c>
      <c r="CL4001" s="236">
        <v>429.03</v>
      </c>
      <c r="CM4001" s="236" t="s">
        <v>339</v>
      </c>
      <c r="CT4001" s="1384"/>
      <c r="CZ4001" s="338"/>
      <c r="DA4001" s="338"/>
      <c r="DP4001" s="236"/>
      <c r="DQ4001" s="236"/>
      <c r="DX4001" s="1671"/>
    </row>
    <row r="4002" spans="38:128">
      <c r="AL4002" s="1037"/>
      <c r="BP4002" s="1385"/>
      <c r="BV4002" s="236">
        <v>225.02</v>
      </c>
      <c r="BW4002" s="236" t="s">
        <v>342</v>
      </c>
      <c r="CL4002" s="236">
        <v>429.04</v>
      </c>
      <c r="CM4002" s="236" t="s">
        <v>339</v>
      </c>
      <c r="CT4002" s="1384"/>
      <c r="CZ4002" s="338"/>
      <c r="DA4002" s="338"/>
      <c r="DP4002" s="236"/>
      <c r="DQ4002" s="236"/>
      <c r="DX4002" s="1671"/>
    </row>
    <row r="4003" spans="38:128">
      <c r="AL4003" s="1037"/>
      <c r="BP4003" s="1385"/>
      <c r="BV4003" s="236">
        <v>225.03</v>
      </c>
      <c r="BW4003" s="236" t="s">
        <v>342</v>
      </c>
      <c r="CL4003" s="236">
        <v>429.05</v>
      </c>
      <c r="CM4003" s="236" t="s">
        <v>339</v>
      </c>
      <c r="CT4003" s="1384"/>
      <c r="CZ4003" s="338"/>
      <c r="DA4003" s="338"/>
      <c r="DP4003" s="236"/>
      <c r="DQ4003" s="236"/>
      <c r="DX4003" s="1671"/>
    </row>
    <row r="4004" spans="38:128">
      <c r="AL4004" s="1037"/>
      <c r="BP4004" s="1385"/>
      <c r="BV4004" s="236">
        <v>226.01</v>
      </c>
      <c r="BW4004" s="236" t="s">
        <v>342</v>
      </c>
      <c r="CL4004" s="338">
        <v>430.01</v>
      </c>
      <c r="CM4004" s="338" t="s">
        <v>289</v>
      </c>
      <c r="CT4004" s="1384"/>
      <c r="CZ4004" s="338"/>
      <c r="DA4004" s="338"/>
      <c r="DP4004" s="236"/>
      <c r="DQ4004" s="236"/>
      <c r="DX4004" s="1671"/>
    </row>
    <row r="4005" spans="38:128">
      <c r="AL4005" s="1037"/>
      <c r="BP4005" s="1385"/>
      <c r="BV4005" s="236">
        <v>226.02</v>
      </c>
      <c r="BW4005" s="236" t="s">
        <v>342</v>
      </c>
      <c r="CL4005" s="338">
        <v>430.02</v>
      </c>
      <c r="CM4005" s="338" t="s">
        <v>289</v>
      </c>
      <c r="CT4005" s="1384"/>
      <c r="CZ4005" s="338"/>
      <c r="DA4005" s="338"/>
      <c r="DP4005" s="236"/>
      <c r="DQ4005" s="236"/>
      <c r="DX4005" s="1671"/>
    </row>
    <row r="4006" spans="38:128">
      <c r="AL4006" s="1037"/>
      <c r="BP4006" s="1385"/>
      <c r="BV4006" s="236">
        <v>227</v>
      </c>
      <c r="BW4006" s="236" t="s">
        <v>342</v>
      </c>
      <c r="CL4006" s="338">
        <v>431</v>
      </c>
      <c r="CM4006" s="338" t="s">
        <v>289</v>
      </c>
      <c r="CT4006" s="1384"/>
      <c r="CZ4006" s="338"/>
      <c r="DA4006" s="338"/>
      <c r="DP4006" s="236"/>
      <c r="DQ4006" s="236"/>
      <c r="DX4006" s="1671"/>
    </row>
    <row r="4007" spans="38:128">
      <c r="AL4007" s="1037"/>
      <c r="BP4007" s="1385"/>
      <c r="BV4007" s="236">
        <v>228.01</v>
      </c>
      <c r="BW4007" s="236" t="s">
        <v>342</v>
      </c>
      <c r="CL4007" s="236">
        <v>431</v>
      </c>
      <c r="CM4007" s="236" t="s">
        <v>339</v>
      </c>
      <c r="CT4007" s="1384"/>
      <c r="CZ4007" s="338"/>
      <c r="DA4007" s="338"/>
      <c r="DP4007" s="236"/>
      <c r="DQ4007" s="236"/>
      <c r="DX4007" s="1671"/>
    </row>
    <row r="4008" spans="38:128">
      <c r="AL4008" s="1037"/>
      <c r="BP4008" s="1385"/>
      <c r="BV4008" s="236">
        <v>228.02</v>
      </c>
      <c r="BW4008" s="236" t="s">
        <v>342</v>
      </c>
      <c r="CL4008" s="236">
        <v>432.03</v>
      </c>
      <c r="CM4008" s="236" t="s">
        <v>339</v>
      </c>
      <c r="CT4008" s="1384"/>
      <c r="CZ4008" s="338"/>
      <c r="DA4008" s="338"/>
      <c r="DP4008" s="236"/>
      <c r="DQ4008" s="236"/>
      <c r="DX4008" s="1671"/>
    </row>
    <row r="4009" spans="38:128">
      <c r="AL4009" s="1037"/>
      <c r="BP4009" s="1385"/>
      <c r="BV4009" s="236">
        <v>229.01</v>
      </c>
      <c r="BW4009" s="236" t="s">
        <v>342</v>
      </c>
      <c r="CL4009" s="236">
        <v>432.05</v>
      </c>
      <c r="CM4009" s="236" t="s">
        <v>339</v>
      </c>
      <c r="CT4009" s="1384"/>
      <c r="CZ4009" s="338"/>
      <c r="DA4009" s="338"/>
      <c r="DP4009" s="236"/>
      <c r="DQ4009" s="236"/>
      <c r="DX4009" s="1671"/>
    </row>
    <row r="4010" spans="38:128">
      <c r="AL4010" s="1037"/>
      <c r="BP4010" s="1385"/>
      <c r="BV4010" s="236">
        <v>229.02</v>
      </c>
      <c r="BW4010" s="236" t="s">
        <v>342</v>
      </c>
      <c r="CL4010" s="236">
        <v>432.07</v>
      </c>
      <c r="CM4010" s="236" t="s">
        <v>339</v>
      </c>
      <c r="CT4010" s="1384"/>
      <c r="CZ4010" s="338"/>
      <c r="DA4010" s="338"/>
      <c r="DP4010" s="236"/>
      <c r="DQ4010" s="236"/>
      <c r="DX4010" s="1671"/>
    </row>
    <row r="4011" spans="38:128">
      <c r="AL4011" s="1037"/>
      <c r="BP4011" s="1385"/>
      <c r="BV4011" s="236">
        <v>230</v>
      </c>
      <c r="BW4011" s="236" t="s">
        <v>342</v>
      </c>
      <c r="CL4011" s="236">
        <v>432.08</v>
      </c>
      <c r="CM4011" s="236" t="s">
        <v>339</v>
      </c>
      <c r="CT4011" s="1384"/>
      <c r="CZ4011" s="338"/>
      <c r="DA4011" s="338"/>
      <c r="DP4011" s="236"/>
      <c r="DQ4011" s="236"/>
      <c r="DX4011" s="1671"/>
    </row>
    <row r="4012" spans="38:128">
      <c r="AL4012" s="1037"/>
      <c r="BP4012" s="1385"/>
      <c r="BV4012" s="236">
        <v>231</v>
      </c>
      <c r="BW4012" s="236" t="s">
        <v>342</v>
      </c>
      <c r="CL4012" s="236">
        <v>432.09</v>
      </c>
      <c r="CM4012" s="236" t="s">
        <v>339</v>
      </c>
      <c r="CT4012" s="1384"/>
      <c r="CZ4012" s="338"/>
      <c r="DA4012" s="338"/>
      <c r="DP4012" s="236"/>
      <c r="DQ4012" s="236"/>
      <c r="DX4012" s="1671"/>
    </row>
    <row r="4013" spans="38:128">
      <c r="AL4013" s="1037"/>
      <c r="BP4013" s="1385"/>
      <c r="BV4013" s="236">
        <v>232</v>
      </c>
      <c r="BW4013" s="236" t="s">
        <v>342</v>
      </c>
      <c r="CL4013" s="338">
        <v>433.01</v>
      </c>
      <c r="CM4013" s="338" t="s">
        <v>289</v>
      </c>
      <c r="CT4013" s="1384"/>
      <c r="CZ4013" s="338"/>
      <c r="DA4013" s="338"/>
      <c r="DP4013" s="236"/>
      <c r="DQ4013" s="236"/>
      <c r="DX4013" s="1671"/>
    </row>
    <row r="4014" spans="38:128">
      <c r="AL4014" s="1037"/>
      <c r="BP4014" s="1385"/>
      <c r="BV4014" s="236">
        <v>233</v>
      </c>
      <c r="BW4014" s="236" t="s">
        <v>342</v>
      </c>
      <c r="CL4014" s="236">
        <v>433.01</v>
      </c>
      <c r="CM4014" s="236" t="s">
        <v>339</v>
      </c>
      <c r="CT4014" s="1384"/>
      <c r="CZ4014" s="338"/>
      <c r="DA4014" s="338"/>
      <c r="DP4014" s="236"/>
      <c r="DQ4014" s="236"/>
      <c r="DX4014" s="1671"/>
    </row>
    <row r="4015" spans="38:128">
      <c r="AL4015" s="1037"/>
      <c r="BP4015" s="1385"/>
      <c r="BV4015" s="236">
        <v>234</v>
      </c>
      <c r="BW4015" s="236" t="s">
        <v>342</v>
      </c>
      <c r="CL4015" s="338">
        <v>433.02</v>
      </c>
      <c r="CM4015" s="338" t="s">
        <v>289</v>
      </c>
      <c r="CT4015" s="1384"/>
      <c r="CZ4015" s="338"/>
      <c r="DA4015" s="338"/>
      <c r="DP4015" s="236"/>
      <c r="DQ4015" s="236"/>
      <c r="DX4015" s="1671"/>
    </row>
    <row r="4016" spans="38:128">
      <c r="AL4016" s="1037"/>
      <c r="BP4016" s="1385"/>
      <c r="BV4016" s="236">
        <v>235.01</v>
      </c>
      <c r="BW4016" s="236" t="s">
        <v>342</v>
      </c>
      <c r="CL4016" s="236">
        <v>433.03</v>
      </c>
      <c r="CM4016" s="236" t="s">
        <v>339</v>
      </c>
      <c r="CT4016" s="1384"/>
      <c r="CZ4016" s="338"/>
      <c r="DA4016" s="338"/>
      <c r="DP4016" s="236"/>
      <c r="DQ4016" s="236"/>
      <c r="DX4016" s="1671"/>
    </row>
    <row r="4017" spans="38:128">
      <c r="AL4017" s="1037"/>
      <c r="BP4017" s="1385"/>
      <c r="BV4017" s="236">
        <v>235.02</v>
      </c>
      <c r="BW4017" s="236" t="s">
        <v>342</v>
      </c>
      <c r="CL4017" s="236">
        <v>433.04</v>
      </c>
      <c r="CM4017" s="236" t="s">
        <v>339</v>
      </c>
      <c r="CT4017" s="1384"/>
      <c r="CZ4017" s="338"/>
      <c r="DA4017" s="338"/>
      <c r="DP4017" s="236"/>
      <c r="DQ4017" s="236"/>
      <c r="DX4017" s="1671"/>
    </row>
    <row r="4018" spans="38:128">
      <c r="AL4018" s="1037"/>
      <c r="BP4018" s="1385"/>
      <c r="BV4018" s="236">
        <v>236.01</v>
      </c>
      <c r="BW4018" s="236" t="s">
        <v>342</v>
      </c>
      <c r="CL4018" s="236">
        <v>434</v>
      </c>
      <c r="CM4018" s="236" t="s">
        <v>339</v>
      </c>
      <c r="CT4018" s="1384"/>
      <c r="CZ4018" s="338"/>
      <c r="DA4018" s="338"/>
      <c r="DP4018" s="236"/>
      <c r="DQ4018" s="236"/>
      <c r="DX4018" s="1671"/>
    </row>
    <row r="4019" spans="38:128">
      <c r="AL4019" s="1037"/>
      <c r="BP4019" s="1385"/>
      <c r="BV4019" s="236">
        <v>236.02</v>
      </c>
      <c r="BW4019" s="236" t="s">
        <v>342</v>
      </c>
      <c r="CL4019" s="236">
        <v>435</v>
      </c>
      <c r="CM4019" s="236" t="s">
        <v>339</v>
      </c>
      <c r="CT4019" s="1384"/>
      <c r="CZ4019" s="338"/>
      <c r="DA4019" s="338"/>
      <c r="DP4019" s="236"/>
      <c r="DQ4019" s="236"/>
      <c r="DX4019" s="1671"/>
    </row>
    <row r="4020" spans="38:128">
      <c r="AL4020" s="1037"/>
      <c r="BP4020" s="1385"/>
      <c r="BV4020" s="236">
        <v>237</v>
      </c>
      <c r="BW4020" s="236" t="s">
        <v>342</v>
      </c>
      <c r="CL4020" s="236">
        <v>436</v>
      </c>
      <c r="CM4020" s="236" t="s">
        <v>339</v>
      </c>
      <c r="CT4020" s="1384"/>
      <c r="CZ4020" s="338"/>
      <c r="DA4020" s="338"/>
      <c r="DP4020" s="236"/>
      <c r="DQ4020" s="236"/>
      <c r="DX4020" s="1671"/>
    </row>
    <row r="4021" spans="38:128">
      <c r="AL4021" s="1037"/>
      <c r="BP4021" s="1385"/>
      <c r="BV4021" s="236">
        <v>238</v>
      </c>
      <c r="BW4021" s="236" t="s">
        <v>342</v>
      </c>
      <c r="CL4021" s="236">
        <v>437</v>
      </c>
      <c r="CM4021" s="236" t="s">
        <v>339</v>
      </c>
      <c r="CT4021" s="1384"/>
      <c r="CZ4021" s="338"/>
      <c r="DA4021" s="338"/>
      <c r="DP4021" s="236"/>
      <c r="DQ4021" s="236"/>
      <c r="DX4021" s="1671"/>
    </row>
    <row r="4022" spans="38:128">
      <c r="AL4022" s="1037"/>
      <c r="BP4022" s="1385"/>
      <c r="BV4022" s="236">
        <v>239</v>
      </c>
      <c r="BW4022" s="236" t="s">
        <v>342</v>
      </c>
      <c r="CL4022" s="236">
        <v>438.01</v>
      </c>
      <c r="CM4022" s="236" t="s">
        <v>339</v>
      </c>
      <c r="CT4022" s="1384"/>
      <c r="CZ4022" s="338"/>
      <c r="DA4022" s="338"/>
      <c r="DP4022" s="236"/>
      <c r="DQ4022" s="236"/>
      <c r="DX4022" s="1671"/>
    </row>
    <row r="4023" spans="38:128">
      <c r="AL4023" s="1037"/>
      <c r="BP4023" s="1385"/>
      <c r="BV4023" s="236">
        <v>240.01</v>
      </c>
      <c r="BW4023" s="236" t="s">
        <v>342</v>
      </c>
      <c r="CL4023" s="236">
        <v>438.02</v>
      </c>
      <c r="CM4023" s="236" t="s">
        <v>339</v>
      </c>
      <c r="CT4023" s="1384"/>
      <c r="CZ4023" s="338"/>
      <c r="DA4023" s="338"/>
      <c r="DP4023" s="236"/>
      <c r="DQ4023" s="236"/>
      <c r="DX4023" s="1671"/>
    </row>
    <row r="4024" spans="38:128">
      <c r="AL4024" s="1037"/>
      <c r="BP4024" s="1385"/>
      <c r="BV4024" s="236">
        <v>240.02</v>
      </c>
      <c r="BW4024" s="236" t="s">
        <v>342</v>
      </c>
      <c r="CL4024" s="338">
        <v>501</v>
      </c>
      <c r="CM4024" s="338" t="s">
        <v>289</v>
      </c>
      <c r="CT4024" s="1384"/>
      <c r="CZ4024" s="338"/>
      <c r="DA4024" s="338"/>
      <c r="DP4024" s="236"/>
      <c r="DQ4024" s="236"/>
      <c r="DX4024" s="1671"/>
    </row>
    <row r="4025" spans="38:128">
      <c r="AL4025" s="1037"/>
      <c r="BP4025" s="1385"/>
      <c r="BV4025" s="236">
        <v>240.04</v>
      </c>
      <c r="BW4025" s="236" t="s">
        <v>342</v>
      </c>
      <c r="CL4025" s="236">
        <v>501.01</v>
      </c>
      <c r="CM4025" s="236" t="s">
        <v>318</v>
      </c>
      <c r="CT4025" s="1384"/>
      <c r="CZ4025" s="338"/>
      <c r="DA4025" s="338"/>
      <c r="DP4025" s="236"/>
      <c r="DQ4025" s="236"/>
      <c r="DX4025" s="1671"/>
    </row>
    <row r="4026" spans="38:128">
      <c r="AL4026" s="1037"/>
      <c r="BP4026" s="1385"/>
      <c r="BV4026" s="236">
        <v>240.05</v>
      </c>
      <c r="BW4026" s="236" t="s">
        <v>342</v>
      </c>
      <c r="CL4026" s="236">
        <v>501.02</v>
      </c>
      <c r="CM4026" s="236" t="s">
        <v>318</v>
      </c>
      <c r="CT4026" s="1384"/>
      <c r="CZ4026" s="338"/>
      <c r="DA4026" s="338"/>
      <c r="DP4026" s="236"/>
      <c r="DQ4026" s="236"/>
      <c r="DX4026" s="1671"/>
    </row>
    <row r="4027" spans="38:128">
      <c r="AL4027" s="1037"/>
      <c r="BP4027" s="1385"/>
      <c r="BV4027" s="236">
        <v>241</v>
      </c>
      <c r="BW4027" s="236" t="s">
        <v>342</v>
      </c>
      <c r="CL4027" s="236">
        <v>501.02</v>
      </c>
      <c r="CM4027" s="236" t="s">
        <v>335</v>
      </c>
      <c r="CT4027" s="1384"/>
      <c r="CZ4027" s="338"/>
      <c r="DA4027" s="338"/>
      <c r="DP4027" s="236"/>
      <c r="DQ4027" s="236"/>
      <c r="DX4027" s="1671"/>
    </row>
    <row r="4028" spans="38:128">
      <c r="AL4028" s="1037"/>
      <c r="BP4028" s="1385"/>
      <c r="BV4028" s="236">
        <v>242.01</v>
      </c>
      <c r="BW4028" s="236" t="s">
        <v>342</v>
      </c>
      <c r="CL4028" s="236">
        <v>501.03</v>
      </c>
      <c r="CM4028" s="236" t="s">
        <v>323</v>
      </c>
      <c r="CT4028" s="1384"/>
      <c r="CZ4028" s="338"/>
      <c r="DA4028" s="338"/>
      <c r="DP4028" s="236"/>
      <c r="DQ4028" s="236"/>
      <c r="DX4028" s="1671"/>
    </row>
    <row r="4029" spans="38:128">
      <c r="AL4029" s="1037"/>
      <c r="BP4029" s="1385"/>
      <c r="BV4029" s="236">
        <v>242.02</v>
      </c>
      <c r="BW4029" s="236" t="s">
        <v>342</v>
      </c>
      <c r="CL4029" s="236">
        <v>501.03</v>
      </c>
      <c r="CM4029" s="236" t="s">
        <v>335</v>
      </c>
      <c r="CT4029" s="1384"/>
      <c r="CZ4029" s="338"/>
      <c r="DA4029" s="338"/>
      <c r="DP4029" s="236"/>
      <c r="DQ4029" s="236"/>
      <c r="DX4029" s="1671"/>
    </row>
    <row r="4030" spans="38:128">
      <c r="AL4030" s="1037"/>
      <c r="BP4030" s="1385"/>
      <c r="BV4030" s="236">
        <v>243.01</v>
      </c>
      <c r="BW4030" s="236" t="s">
        <v>342</v>
      </c>
      <c r="CL4030" s="236">
        <v>501.04</v>
      </c>
      <c r="CM4030" s="236" t="s">
        <v>323</v>
      </c>
      <c r="CT4030" s="1384"/>
      <c r="CZ4030" s="338"/>
      <c r="DA4030" s="338"/>
      <c r="DP4030" s="236"/>
      <c r="DQ4030" s="236"/>
      <c r="DX4030" s="1671"/>
    </row>
    <row r="4031" spans="38:128">
      <c r="AL4031" s="1037"/>
      <c r="BP4031" s="1385"/>
      <c r="BV4031" s="236">
        <v>243.02</v>
      </c>
      <c r="BW4031" s="236" t="s">
        <v>342</v>
      </c>
      <c r="CL4031" s="236">
        <v>501.04</v>
      </c>
      <c r="CM4031" s="236" t="s">
        <v>335</v>
      </c>
      <c r="CT4031" s="1384"/>
      <c r="CZ4031" s="338"/>
      <c r="DA4031" s="338"/>
      <c r="DP4031" s="236"/>
      <c r="DQ4031" s="236"/>
      <c r="DX4031" s="1671"/>
    </row>
    <row r="4032" spans="38:128">
      <c r="AL4032" s="1037"/>
      <c r="BP4032" s="1385"/>
      <c r="BV4032" s="236">
        <v>244.03</v>
      </c>
      <c r="BW4032" s="236" t="s">
        <v>342</v>
      </c>
      <c r="CL4032" s="236">
        <v>501.05</v>
      </c>
      <c r="CM4032" s="236" t="s">
        <v>323</v>
      </c>
      <c r="CT4032" s="1384"/>
      <c r="CZ4032" s="338"/>
      <c r="DA4032" s="338"/>
      <c r="DP4032" s="236"/>
      <c r="DQ4032" s="236"/>
      <c r="DX4032" s="1671"/>
    </row>
    <row r="4033" spans="38:128">
      <c r="AL4033" s="1037"/>
      <c r="BP4033" s="1385"/>
      <c r="BV4033" s="236">
        <v>244.06</v>
      </c>
      <c r="BW4033" s="236" t="s">
        <v>342</v>
      </c>
      <c r="CL4033" s="236">
        <v>501.06</v>
      </c>
      <c r="CM4033" s="236" t="s">
        <v>323</v>
      </c>
      <c r="CT4033" s="1384"/>
      <c r="CZ4033" s="338"/>
      <c r="DA4033" s="338"/>
      <c r="DP4033" s="236"/>
      <c r="DQ4033" s="236"/>
      <c r="DX4033" s="1671"/>
    </row>
    <row r="4034" spans="38:128">
      <c r="AL4034" s="1037"/>
      <c r="BP4034" s="1385"/>
      <c r="BV4034" s="236">
        <v>244.08</v>
      </c>
      <c r="BW4034" s="236" t="s">
        <v>342</v>
      </c>
      <c r="CL4034" s="236">
        <v>502.01</v>
      </c>
      <c r="CM4034" s="236" t="s">
        <v>318</v>
      </c>
      <c r="CT4034" s="1384"/>
      <c r="CZ4034" s="338"/>
      <c r="DA4034" s="338"/>
      <c r="DP4034" s="236"/>
      <c r="DQ4034" s="236"/>
      <c r="DX4034" s="1671"/>
    </row>
    <row r="4035" spans="38:128">
      <c r="AL4035" s="1037"/>
      <c r="BP4035" s="1385"/>
      <c r="BV4035" s="236">
        <v>244.09</v>
      </c>
      <c r="BW4035" s="236" t="s">
        <v>342</v>
      </c>
      <c r="CL4035" s="236">
        <v>502.01</v>
      </c>
      <c r="CM4035" s="236" t="s">
        <v>335</v>
      </c>
      <c r="CT4035" s="1384"/>
      <c r="CZ4035" s="338"/>
      <c r="DA4035" s="338"/>
      <c r="DP4035" s="236"/>
      <c r="DQ4035" s="236"/>
      <c r="DX4035" s="1671"/>
    </row>
    <row r="4036" spans="38:128">
      <c r="AL4036" s="1037"/>
      <c r="BP4036" s="1385"/>
      <c r="BV4036" s="236">
        <v>244.1</v>
      </c>
      <c r="BW4036" s="236" t="s">
        <v>342</v>
      </c>
      <c r="CL4036" s="236">
        <v>502.02</v>
      </c>
      <c r="CM4036" s="236" t="s">
        <v>318</v>
      </c>
      <c r="CT4036" s="1384"/>
      <c r="CZ4036" s="338"/>
      <c r="DA4036" s="338"/>
      <c r="DP4036" s="236"/>
      <c r="DQ4036" s="236"/>
      <c r="DX4036" s="1671"/>
    </row>
    <row r="4037" spans="38:128">
      <c r="AL4037" s="1037"/>
      <c r="BP4037" s="1385"/>
      <c r="BV4037" s="236">
        <v>244.11</v>
      </c>
      <c r="BW4037" s="236" t="s">
        <v>342</v>
      </c>
      <c r="CL4037" s="236">
        <v>502.03</v>
      </c>
      <c r="CM4037" s="236" t="s">
        <v>335</v>
      </c>
      <c r="CT4037" s="1384"/>
      <c r="CZ4037" s="338"/>
      <c r="DA4037" s="338"/>
      <c r="DP4037" s="236"/>
      <c r="DQ4037" s="236"/>
      <c r="DX4037" s="1671"/>
    </row>
    <row r="4038" spans="38:128">
      <c r="AL4038" s="1037"/>
      <c r="BP4038" s="1385"/>
      <c r="BV4038" s="236">
        <v>244.12</v>
      </c>
      <c r="BW4038" s="236" t="s">
        <v>342</v>
      </c>
      <c r="CL4038" s="338">
        <v>502.04</v>
      </c>
      <c r="CM4038" s="338" t="s">
        <v>289</v>
      </c>
      <c r="CT4038" s="1384"/>
      <c r="CZ4038" s="338"/>
      <c r="DA4038" s="338"/>
      <c r="DP4038" s="236"/>
      <c r="DQ4038" s="236"/>
      <c r="DX4038" s="1671"/>
    </row>
    <row r="4039" spans="38:128">
      <c r="AL4039" s="1037"/>
      <c r="BP4039" s="1385"/>
      <c r="BV4039" s="236">
        <v>244.13</v>
      </c>
      <c r="BW4039" s="236" t="s">
        <v>342</v>
      </c>
      <c r="CL4039" s="236">
        <v>502.04</v>
      </c>
      <c r="CM4039" s="236" t="s">
        <v>323</v>
      </c>
      <c r="CT4039" s="1384"/>
      <c r="CZ4039" s="338"/>
      <c r="DA4039" s="338"/>
      <c r="DP4039" s="236"/>
      <c r="DQ4039" s="236"/>
      <c r="DX4039" s="1671"/>
    </row>
    <row r="4040" spans="38:128">
      <c r="AL4040" s="1037"/>
      <c r="BP4040" s="1385"/>
      <c r="BV4040" s="236">
        <v>245.05</v>
      </c>
      <c r="BW4040" s="236" t="s">
        <v>342</v>
      </c>
      <c r="CL4040" s="236">
        <v>502.04</v>
      </c>
      <c r="CM4040" s="236" t="s">
        <v>335</v>
      </c>
      <c r="CT4040" s="1384"/>
      <c r="CZ4040" s="338"/>
      <c r="DA4040" s="338"/>
      <c r="DP4040" s="236"/>
      <c r="DQ4040" s="236"/>
      <c r="DX4040" s="1671"/>
    </row>
    <row r="4041" spans="38:128">
      <c r="AL4041" s="1037"/>
      <c r="BP4041" s="1385"/>
      <c r="BV4041" s="236">
        <v>245.07</v>
      </c>
      <c r="BW4041" s="236" t="s">
        <v>342</v>
      </c>
      <c r="CL4041" s="338">
        <v>502.05</v>
      </c>
      <c r="CM4041" s="338" t="s">
        <v>289</v>
      </c>
      <c r="CT4041" s="1384"/>
      <c r="CZ4041" s="338"/>
      <c r="DA4041" s="338"/>
      <c r="DP4041" s="236"/>
      <c r="DQ4041" s="236"/>
      <c r="DX4041" s="1671"/>
    </row>
    <row r="4042" spans="38:128">
      <c r="AL4042" s="1037"/>
      <c r="BP4042" s="1385"/>
      <c r="BV4042" s="236">
        <v>245.08</v>
      </c>
      <c r="BW4042" s="236" t="s">
        <v>342</v>
      </c>
      <c r="CL4042" s="236">
        <v>502.05</v>
      </c>
      <c r="CM4042" s="236" t="s">
        <v>323</v>
      </c>
      <c r="CT4042" s="1384"/>
      <c r="CZ4042" s="338"/>
      <c r="DA4042" s="338"/>
      <c r="DP4042" s="236"/>
      <c r="DQ4042" s="236"/>
      <c r="DX4042" s="1671"/>
    </row>
    <row r="4043" spans="38:128">
      <c r="AL4043" s="1037"/>
      <c r="BP4043" s="1385"/>
      <c r="BV4043" s="236">
        <v>245.09</v>
      </c>
      <c r="BW4043" s="236" t="s">
        <v>342</v>
      </c>
      <c r="CL4043" s="236">
        <v>502.05</v>
      </c>
      <c r="CM4043" s="236" t="s">
        <v>335</v>
      </c>
      <c r="CT4043" s="1384"/>
      <c r="CZ4043" s="338"/>
      <c r="DA4043" s="338"/>
      <c r="DP4043" s="236"/>
      <c r="DQ4043" s="236"/>
      <c r="DX4043" s="1671"/>
    </row>
    <row r="4044" spans="38:128">
      <c r="AL4044" s="1037"/>
      <c r="BP4044" s="1385"/>
      <c r="BV4044" s="236">
        <v>245.1</v>
      </c>
      <c r="BW4044" s="236" t="s">
        <v>342</v>
      </c>
      <c r="CL4044" s="338">
        <v>502.06</v>
      </c>
      <c r="CM4044" s="338" t="s">
        <v>289</v>
      </c>
      <c r="CT4044" s="1384"/>
      <c r="CZ4044" s="338"/>
      <c r="DA4044" s="338"/>
      <c r="DP4044" s="236"/>
      <c r="DQ4044" s="236"/>
      <c r="DX4044" s="1671"/>
    </row>
    <row r="4045" spans="38:128">
      <c r="AL4045" s="1037"/>
      <c r="BP4045" s="1385"/>
      <c r="BV4045" s="236">
        <v>245.12</v>
      </c>
      <c r="BW4045" s="236" t="s">
        <v>342</v>
      </c>
      <c r="CL4045" s="236">
        <v>502.06</v>
      </c>
      <c r="CM4045" s="236" t="s">
        <v>323</v>
      </c>
      <c r="CT4045" s="1384"/>
      <c r="CZ4045" s="338"/>
      <c r="DA4045" s="338"/>
      <c r="DP4045" s="236"/>
      <c r="DQ4045" s="236"/>
      <c r="DX4045" s="1671"/>
    </row>
    <row r="4046" spans="38:128">
      <c r="AL4046" s="1037"/>
      <c r="BP4046" s="1385"/>
      <c r="BV4046" s="236">
        <v>245.14</v>
      </c>
      <c r="BW4046" s="236" t="s">
        <v>342</v>
      </c>
      <c r="CL4046" s="338">
        <v>502.07</v>
      </c>
      <c r="CM4046" s="338" t="s">
        <v>289</v>
      </c>
      <c r="CT4046" s="1384"/>
      <c r="CZ4046" s="338"/>
      <c r="DA4046" s="338"/>
      <c r="DP4046" s="236"/>
      <c r="DQ4046" s="236"/>
      <c r="DX4046" s="1671"/>
    </row>
    <row r="4047" spans="38:128">
      <c r="AL4047" s="1037"/>
      <c r="BP4047" s="1385"/>
      <c r="BV4047" s="236">
        <v>245.15</v>
      </c>
      <c r="BW4047" s="236" t="s">
        <v>342</v>
      </c>
      <c r="CL4047" s="236">
        <v>502.07</v>
      </c>
      <c r="CM4047" s="236" t="s">
        <v>323</v>
      </c>
      <c r="CT4047" s="1384"/>
      <c r="CZ4047" s="338"/>
      <c r="DA4047" s="338"/>
      <c r="DP4047" s="236"/>
      <c r="DQ4047" s="236"/>
      <c r="DX4047" s="1671"/>
    </row>
    <row r="4048" spans="38:128">
      <c r="AL4048" s="1037"/>
      <c r="BP4048" s="1385"/>
      <c r="BV4048" s="236">
        <v>245.16</v>
      </c>
      <c r="BW4048" s="236" t="s">
        <v>342</v>
      </c>
      <c r="CL4048" s="338">
        <v>502.08</v>
      </c>
      <c r="CM4048" s="338" t="s">
        <v>289</v>
      </c>
      <c r="CT4048" s="1384"/>
      <c r="CZ4048" s="338"/>
      <c r="DA4048" s="338"/>
      <c r="DP4048" s="236"/>
      <c r="DQ4048" s="236"/>
      <c r="DX4048" s="1671"/>
    </row>
    <row r="4049" spans="38:128">
      <c r="AL4049" s="1037"/>
      <c r="BP4049" s="1385"/>
      <c r="BV4049" s="236">
        <v>245.17</v>
      </c>
      <c r="BW4049" s="236" t="s">
        <v>342</v>
      </c>
      <c r="CL4049" s="236">
        <v>502.08</v>
      </c>
      <c r="CM4049" s="236" t="s">
        <v>323</v>
      </c>
      <c r="CT4049" s="1384"/>
      <c r="CZ4049" s="338"/>
      <c r="DA4049" s="338"/>
      <c r="DP4049" s="236"/>
      <c r="DQ4049" s="236"/>
      <c r="DX4049" s="1671"/>
    </row>
    <row r="4050" spans="38:128">
      <c r="AL4050" s="1037"/>
      <c r="BP4050" s="1385"/>
      <c r="BV4050" s="236">
        <v>245.18</v>
      </c>
      <c r="BW4050" s="236" t="s">
        <v>342</v>
      </c>
      <c r="CL4050" s="236">
        <v>502.1</v>
      </c>
      <c r="CM4050" s="236" t="s">
        <v>323</v>
      </c>
      <c r="CT4050" s="1384"/>
      <c r="CZ4050" s="338"/>
      <c r="DA4050" s="338"/>
      <c r="DP4050" s="236"/>
      <c r="DQ4050" s="236"/>
      <c r="DX4050" s="1671"/>
    </row>
    <row r="4051" spans="38:128">
      <c r="AL4051" s="1037"/>
      <c r="BP4051" s="1385"/>
      <c r="BV4051" s="236">
        <v>245.19</v>
      </c>
      <c r="BW4051" s="236" t="s">
        <v>342</v>
      </c>
      <c r="CL4051" s="236">
        <v>502.11</v>
      </c>
      <c r="CM4051" s="236" t="s">
        <v>323</v>
      </c>
      <c r="CT4051" s="1384"/>
      <c r="CZ4051" s="338"/>
      <c r="DA4051" s="338"/>
      <c r="DP4051" s="236"/>
      <c r="DQ4051" s="236"/>
      <c r="DX4051" s="1671"/>
    </row>
    <row r="4052" spans="38:128">
      <c r="AL4052" s="1037"/>
      <c r="BP4052" s="1385"/>
      <c r="BV4052" s="236">
        <v>246.01</v>
      </c>
      <c r="BW4052" s="236" t="s">
        <v>342</v>
      </c>
      <c r="CL4052" s="236">
        <v>502.12</v>
      </c>
      <c r="CM4052" s="236" t="s">
        <v>323</v>
      </c>
      <c r="CT4052" s="1384"/>
      <c r="CZ4052" s="338"/>
      <c r="DA4052" s="338"/>
      <c r="DP4052" s="236"/>
      <c r="DQ4052" s="236"/>
      <c r="DX4052" s="1671"/>
    </row>
    <row r="4053" spans="38:128">
      <c r="AL4053" s="1037"/>
      <c r="BP4053" s="1385"/>
      <c r="BV4053" s="236">
        <v>246.03</v>
      </c>
      <c r="BW4053" s="236" t="s">
        <v>342</v>
      </c>
      <c r="CL4053" s="236">
        <v>502.13</v>
      </c>
      <c r="CM4053" s="236" t="s">
        <v>323</v>
      </c>
      <c r="CT4053" s="1384"/>
      <c r="CZ4053" s="338"/>
      <c r="DA4053" s="338"/>
      <c r="DP4053" s="236"/>
      <c r="DQ4053" s="236"/>
      <c r="DX4053" s="1671"/>
    </row>
    <row r="4054" spans="38:128">
      <c r="AL4054" s="1037"/>
      <c r="BP4054" s="1385"/>
      <c r="BV4054" s="236">
        <v>246.04</v>
      </c>
      <c r="BW4054" s="236" t="s">
        <v>342</v>
      </c>
      <c r="CL4054" s="338">
        <v>503.01</v>
      </c>
      <c r="CM4054" s="338" t="s">
        <v>289</v>
      </c>
      <c r="CT4054" s="1384"/>
      <c r="CZ4054" s="338"/>
      <c r="DA4054" s="338"/>
      <c r="DP4054" s="236"/>
      <c r="DQ4054" s="236"/>
      <c r="DX4054" s="1671"/>
    </row>
    <row r="4055" spans="38:128">
      <c r="AL4055" s="1037"/>
      <c r="BP4055" s="1385"/>
      <c r="BV4055" s="236">
        <v>247.01</v>
      </c>
      <c r="BW4055" s="236" t="s">
        <v>342</v>
      </c>
      <c r="CL4055" s="236">
        <v>503.03</v>
      </c>
      <c r="CM4055" s="236" t="s">
        <v>318</v>
      </c>
      <c r="CT4055" s="1384"/>
      <c r="CZ4055" s="338"/>
      <c r="DA4055" s="338"/>
      <c r="DP4055" s="236"/>
      <c r="DQ4055" s="236"/>
      <c r="DX4055" s="1671"/>
    </row>
    <row r="4056" spans="38:128">
      <c r="AL4056" s="1037"/>
      <c r="BP4056" s="1385"/>
      <c r="BV4056" s="236">
        <v>247.02</v>
      </c>
      <c r="BW4056" s="236" t="s">
        <v>342</v>
      </c>
      <c r="CL4056" s="236">
        <v>503.04</v>
      </c>
      <c r="CM4056" s="236" t="s">
        <v>318</v>
      </c>
      <c r="CT4056" s="1384"/>
      <c r="CZ4056" s="338"/>
      <c r="DA4056" s="338"/>
      <c r="DP4056" s="236"/>
      <c r="DQ4056" s="236"/>
      <c r="DX4056" s="1671"/>
    </row>
    <row r="4057" spans="38:128">
      <c r="AL4057" s="1037"/>
      <c r="BP4057" s="1385"/>
      <c r="BV4057" s="236">
        <v>247.03</v>
      </c>
      <c r="BW4057" s="236" t="s">
        <v>342</v>
      </c>
      <c r="CL4057" s="236">
        <v>503.04</v>
      </c>
      <c r="CM4057" s="236" t="s">
        <v>335</v>
      </c>
      <c r="CT4057" s="1384"/>
      <c r="CZ4057" s="338"/>
      <c r="DA4057" s="338"/>
      <c r="DP4057" s="236"/>
      <c r="DQ4057" s="236"/>
      <c r="DX4057" s="1671"/>
    </row>
    <row r="4058" spans="38:128">
      <c r="AL4058" s="1037"/>
      <c r="BP4058" s="1385"/>
      <c r="BV4058" s="236">
        <v>248.01</v>
      </c>
      <c r="BW4058" s="236" t="s">
        <v>342</v>
      </c>
      <c r="CL4058" s="236">
        <v>503.05</v>
      </c>
      <c r="CM4058" s="236" t="s">
        <v>318</v>
      </c>
      <c r="CT4058" s="1384"/>
      <c r="CZ4058" s="338"/>
      <c r="DA4058" s="338"/>
      <c r="DP4058" s="236"/>
      <c r="DQ4058" s="236"/>
      <c r="DX4058" s="1671"/>
    </row>
    <row r="4059" spans="38:128">
      <c r="AL4059" s="1037"/>
      <c r="BP4059" s="1385"/>
      <c r="BV4059" s="236">
        <v>248.03</v>
      </c>
      <c r="BW4059" s="236" t="s">
        <v>342</v>
      </c>
      <c r="CL4059" s="236">
        <v>503.05</v>
      </c>
      <c r="CM4059" s="236" t="s">
        <v>323</v>
      </c>
      <c r="CT4059" s="1384"/>
      <c r="CZ4059" s="338"/>
      <c r="DA4059" s="338"/>
      <c r="DP4059" s="236"/>
      <c r="DQ4059" s="236"/>
      <c r="DX4059" s="1671"/>
    </row>
    <row r="4060" spans="38:128">
      <c r="AL4060" s="1037"/>
      <c r="BP4060" s="1385"/>
      <c r="BV4060" s="236">
        <v>248.04</v>
      </c>
      <c r="BW4060" s="236" t="s">
        <v>342</v>
      </c>
      <c r="CL4060" s="236">
        <v>503.05</v>
      </c>
      <c r="CM4060" s="236" t="s">
        <v>335</v>
      </c>
      <c r="CT4060" s="1384"/>
      <c r="CZ4060" s="338"/>
      <c r="DA4060" s="338"/>
      <c r="DP4060" s="236"/>
      <c r="DQ4060" s="236"/>
      <c r="DX4060" s="1671"/>
    </row>
    <row r="4061" spans="38:128">
      <c r="AL4061" s="1037"/>
      <c r="BP4061" s="1385"/>
      <c r="BV4061" s="236">
        <v>248.05</v>
      </c>
      <c r="BW4061" s="236" t="s">
        <v>342</v>
      </c>
      <c r="CL4061" s="338">
        <v>503.06</v>
      </c>
      <c r="CM4061" s="338" t="s">
        <v>289</v>
      </c>
      <c r="CT4061" s="1384"/>
      <c r="CZ4061" s="338"/>
      <c r="DA4061" s="338"/>
      <c r="DP4061" s="236"/>
      <c r="DQ4061" s="236"/>
      <c r="DX4061" s="1671"/>
    </row>
    <row r="4062" spans="38:128">
      <c r="AL4062" s="1037"/>
      <c r="BP4062" s="1385"/>
      <c r="BV4062" s="236">
        <v>249.01</v>
      </c>
      <c r="BW4062" s="236" t="s">
        <v>342</v>
      </c>
      <c r="CL4062" s="236">
        <v>503.06</v>
      </c>
      <c r="CM4062" s="236" t="s">
        <v>318</v>
      </c>
      <c r="CT4062" s="1384"/>
      <c r="CZ4062" s="338"/>
      <c r="DA4062" s="338"/>
      <c r="DP4062" s="236"/>
      <c r="DQ4062" s="236"/>
      <c r="DX4062" s="1671"/>
    </row>
    <row r="4063" spans="38:128">
      <c r="AL4063" s="1037"/>
      <c r="BP4063" s="1385"/>
      <c r="BV4063" s="236">
        <v>249.04</v>
      </c>
      <c r="BW4063" s="236" t="s">
        <v>342</v>
      </c>
      <c r="CL4063" s="236">
        <v>503.06</v>
      </c>
      <c r="CM4063" s="236" t="s">
        <v>323</v>
      </c>
      <c r="CT4063" s="1384"/>
      <c r="CZ4063" s="338"/>
      <c r="DA4063" s="338"/>
      <c r="DP4063" s="236"/>
      <c r="DQ4063" s="236"/>
      <c r="DX4063" s="1671"/>
    </row>
    <row r="4064" spans="38:128">
      <c r="AL4064" s="1037"/>
      <c r="BP4064" s="1385"/>
      <c r="BV4064" s="236">
        <v>249.05</v>
      </c>
      <c r="BW4064" s="236" t="s">
        <v>342</v>
      </c>
      <c r="CL4064" s="236">
        <v>503.06</v>
      </c>
      <c r="CM4064" s="236" t="s">
        <v>335</v>
      </c>
      <c r="CT4064" s="1384"/>
      <c r="CZ4064" s="338"/>
      <c r="DA4064" s="338"/>
      <c r="DP4064" s="236"/>
      <c r="DQ4064" s="236"/>
      <c r="DX4064" s="1671"/>
    </row>
    <row r="4065" spans="38:128">
      <c r="AL4065" s="1037"/>
      <c r="BP4065" s="1385"/>
      <c r="BV4065" s="236">
        <v>249.06</v>
      </c>
      <c r="BW4065" s="236" t="s">
        <v>342</v>
      </c>
      <c r="CL4065" s="236">
        <v>503.07</v>
      </c>
      <c r="CM4065" s="236" t="s">
        <v>335</v>
      </c>
      <c r="CT4065" s="1384"/>
      <c r="CZ4065" s="338"/>
      <c r="DA4065" s="338"/>
      <c r="DP4065" s="236"/>
      <c r="DQ4065" s="236"/>
      <c r="DX4065" s="1671"/>
    </row>
    <row r="4066" spans="38:128">
      <c r="AL4066" s="1037"/>
      <c r="BP4066" s="1385"/>
      <c r="BV4066" s="236">
        <v>249.07</v>
      </c>
      <c r="BW4066" s="236" t="s">
        <v>342</v>
      </c>
      <c r="CL4066" s="338">
        <v>503.08</v>
      </c>
      <c r="CM4066" s="338" t="s">
        <v>289</v>
      </c>
      <c r="CT4066" s="1384"/>
      <c r="CZ4066" s="338"/>
      <c r="DA4066" s="338"/>
      <c r="DP4066" s="236"/>
      <c r="DQ4066" s="236"/>
      <c r="DX4066" s="1671"/>
    </row>
    <row r="4067" spans="38:128">
      <c r="AL4067" s="1037"/>
      <c r="BP4067" s="1385"/>
      <c r="BV4067" s="236">
        <v>249.08</v>
      </c>
      <c r="BW4067" s="236" t="s">
        <v>342</v>
      </c>
      <c r="CL4067" s="236">
        <v>503.08</v>
      </c>
      <c r="CM4067" s="236" t="s">
        <v>335</v>
      </c>
      <c r="CT4067" s="1384"/>
      <c r="CZ4067" s="338"/>
      <c r="DA4067" s="338"/>
      <c r="DP4067" s="236"/>
      <c r="DQ4067" s="236"/>
      <c r="DX4067" s="1671"/>
    </row>
    <row r="4068" spans="38:128">
      <c r="AL4068" s="1037"/>
      <c r="BP4068" s="1385"/>
      <c r="BV4068" s="236">
        <v>250.04</v>
      </c>
      <c r="BW4068" s="236" t="s">
        <v>342</v>
      </c>
      <c r="CL4068" s="338">
        <v>503.09</v>
      </c>
      <c r="CM4068" s="338" t="s">
        <v>289</v>
      </c>
      <c r="CT4068" s="1384"/>
      <c r="CZ4068" s="338"/>
      <c r="DA4068" s="338"/>
      <c r="DP4068" s="236"/>
      <c r="DQ4068" s="236"/>
      <c r="DX4068" s="1671"/>
    </row>
    <row r="4069" spans="38:128">
      <c r="AL4069" s="1037"/>
      <c r="BP4069" s="1385"/>
      <c r="BV4069" s="236">
        <v>250.07</v>
      </c>
      <c r="BW4069" s="236" t="s">
        <v>342</v>
      </c>
      <c r="CL4069" s="236">
        <v>503.09</v>
      </c>
      <c r="CM4069" s="236" t="s">
        <v>335</v>
      </c>
      <c r="CT4069" s="1384"/>
      <c r="CZ4069" s="338"/>
      <c r="DA4069" s="338"/>
      <c r="DP4069" s="236"/>
      <c r="DQ4069" s="236"/>
      <c r="DX4069" s="1671"/>
    </row>
    <row r="4070" spans="38:128">
      <c r="AL4070" s="1037"/>
      <c r="BP4070" s="1385"/>
      <c r="BV4070" s="236">
        <v>250.09</v>
      </c>
      <c r="BW4070" s="236" t="s">
        <v>342</v>
      </c>
      <c r="CL4070" s="236">
        <v>503.1</v>
      </c>
      <c r="CM4070" s="236" t="s">
        <v>335</v>
      </c>
      <c r="CT4070" s="1384"/>
      <c r="CZ4070" s="338"/>
      <c r="DA4070" s="338"/>
      <c r="DP4070" s="236"/>
      <c r="DQ4070" s="236"/>
      <c r="DX4070" s="1671"/>
    </row>
    <row r="4071" spans="38:128">
      <c r="AL4071" s="1037"/>
      <c r="BP4071" s="1385"/>
      <c r="BV4071" s="236">
        <v>250.11</v>
      </c>
      <c r="BW4071" s="236" t="s">
        <v>342</v>
      </c>
      <c r="CL4071" s="338">
        <v>503.11</v>
      </c>
      <c r="CM4071" s="338" t="s">
        <v>289</v>
      </c>
      <c r="CT4071" s="1384"/>
      <c r="CZ4071" s="338"/>
      <c r="DA4071" s="338"/>
      <c r="DP4071" s="236"/>
      <c r="DQ4071" s="236"/>
      <c r="DX4071" s="1671"/>
    </row>
    <row r="4072" spans="38:128">
      <c r="AL4072" s="1037"/>
      <c r="BP4072" s="1385"/>
      <c r="BV4072" s="236">
        <v>250.12</v>
      </c>
      <c r="BW4072" s="236" t="s">
        <v>342</v>
      </c>
      <c r="CL4072" s="236">
        <v>503.11</v>
      </c>
      <c r="CM4072" s="236" t="s">
        <v>323</v>
      </c>
      <c r="CT4072" s="1384"/>
      <c r="CZ4072" s="338"/>
      <c r="DA4072" s="338"/>
      <c r="DP4072" s="236"/>
      <c r="DQ4072" s="236"/>
      <c r="DX4072" s="1671"/>
    </row>
    <row r="4073" spans="38:128">
      <c r="AL4073" s="1037"/>
      <c r="BP4073" s="1385"/>
      <c r="BV4073" s="236">
        <v>250.13</v>
      </c>
      <c r="BW4073" s="236" t="s">
        <v>342</v>
      </c>
      <c r="CL4073" s="338">
        <v>503.12</v>
      </c>
      <c r="CM4073" s="338" t="s">
        <v>289</v>
      </c>
      <c r="CT4073" s="1384"/>
      <c r="CZ4073" s="338"/>
      <c r="DA4073" s="338"/>
      <c r="DP4073" s="236"/>
      <c r="DQ4073" s="236"/>
      <c r="DX4073" s="1671"/>
    </row>
    <row r="4074" spans="38:128">
      <c r="AL4074" s="1037"/>
      <c r="BP4074" s="1385"/>
      <c r="BV4074" s="236">
        <v>250.14</v>
      </c>
      <c r="BW4074" s="236" t="s">
        <v>342</v>
      </c>
      <c r="CL4074" s="236">
        <v>503.12</v>
      </c>
      <c r="CM4074" s="236" t="s">
        <v>323</v>
      </c>
      <c r="CT4074" s="1384"/>
      <c r="CZ4074" s="338"/>
      <c r="DA4074" s="338"/>
      <c r="DP4074" s="236"/>
      <c r="DQ4074" s="236"/>
      <c r="DX4074" s="1671"/>
    </row>
    <row r="4075" spans="38:128">
      <c r="AL4075" s="1037"/>
      <c r="BP4075" s="1385"/>
      <c r="BV4075" s="236">
        <v>250.15</v>
      </c>
      <c r="BW4075" s="236" t="s">
        <v>342</v>
      </c>
      <c r="CL4075" s="338">
        <v>503.13</v>
      </c>
      <c r="CM4075" s="338" t="s">
        <v>289</v>
      </c>
      <c r="CT4075" s="1384"/>
      <c r="CZ4075" s="338"/>
      <c r="DA4075" s="338"/>
      <c r="DP4075" s="236"/>
      <c r="DQ4075" s="236"/>
      <c r="DX4075" s="1671"/>
    </row>
    <row r="4076" spans="38:128">
      <c r="AL4076" s="1037"/>
      <c r="BP4076" s="1385"/>
      <c r="BV4076" s="236">
        <v>250.16</v>
      </c>
      <c r="BW4076" s="236" t="s">
        <v>342</v>
      </c>
      <c r="CL4076" s="338">
        <v>503.14</v>
      </c>
      <c r="CM4076" s="338" t="s">
        <v>289</v>
      </c>
      <c r="CT4076" s="1384"/>
      <c r="CZ4076" s="338"/>
      <c r="DA4076" s="338"/>
      <c r="DP4076" s="236"/>
      <c r="DQ4076" s="236"/>
      <c r="DX4076" s="1671"/>
    </row>
    <row r="4077" spans="38:128">
      <c r="AL4077" s="1037"/>
      <c r="BP4077" s="1385"/>
      <c r="BV4077" s="236">
        <v>250.17</v>
      </c>
      <c r="BW4077" s="236" t="s">
        <v>342</v>
      </c>
      <c r="CL4077" s="338">
        <v>503.15</v>
      </c>
      <c r="CM4077" s="338" t="s">
        <v>289</v>
      </c>
      <c r="CT4077" s="1384"/>
      <c r="CZ4077" s="338"/>
      <c r="DA4077" s="338"/>
      <c r="DP4077" s="236"/>
      <c r="DQ4077" s="236"/>
      <c r="DX4077" s="1671"/>
    </row>
    <row r="4078" spans="38:128">
      <c r="AL4078" s="1037"/>
      <c r="BP4078" s="1385"/>
      <c r="BV4078" s="236">
        <v>250.18</v>
      </c>
      <c r="BW4078" s="236" t="s">
        <v>342</v>
      </c>
      <c r="CL4078" s="236">
        <v>503.15</v>
      </c>
      <c r="CM4078" s="236" t="s">
        <v>323</v>
      </c>
      <c r="CT4078" s="1384"/>
      <c r="CZ4078" s="338"/>
      <c r="DA4078" s="338"/>
      <c r="DP4078" s="236"/>
      <c r="DQ4078" s="236"/>
      <c r="DX4078" s="1671"/>
    </row>
    <row r="4079" spans="38:128">
      <c r="AL4079" s="1037"/>
      <c r="BP4079" s="1385"/>
      <c r="BV4079" s="236">
        <v>250.19</v>
      </c>
      <c r="BW4079" s="236" t="s">
        <v>342</v>
      </c>
      <c r="CL4079" s="338">
        <v>503.16</v>
      </c>
      <c r="CM4079" s="338" t="s">
        <v>289</v>
      </c>
      <c r="CT4079" s="1384"/>
      <c r="CZ4079" s="338"/>
      <c r="DA4079" s="338"/>
      <c r="DP4079" s="236"/>
      <c r="DQ4079" s="236"/>
      <c r="DX4079" s="1671"/>
    </row>
    <row r="4080" spans="38:128">
      <c r="AL4080" s="1037"/>
      <c r="BP4080" s="1385"/>
      <c r="BV4080" s="236">
        <v>250.2</v>
      </c>
      <c r="BW4080" s="236" t="s">
        <v>342</v>
      </c>
      <c r="CL4080" s="236">
        <v>503.16</v>
      </c>
      <c r="CM4080" s="236" t="s">
        <v>323</v>
      </c>
      <c r="CT4080" s="1384"/>
      <c r="CZ4080" s="338"/>
      <c r="DA4080" s="338"/>
      <c r="DP4080" s="236"/>
      <c r="DQ4080" s="236"/>
      <c r="DX4080" s="1671"/>
    </row>
    <row r="4081" spans="38:128">
      <c r="AL4081" s="1037"/>
      <c r="BP4081" s="1385"/>
      <c r="BV4081" s="236">
        <v>250.21</v>
      </c>
      <c r="BW4081" s="236" t="s">
        <v>342</v>
      </c>
      <c r="CL4081" s="236">
        <v>503.17</v>
      </c>
      <c r="CM4081" s="236" t="s">
        <v>323</v>
      </c>
      <c r="CT4081" s="1384"/>
      <c r="CZ4081" s="338"/>
      <c r="DA4081" s="338"/>
      <c r="DP4081" s="236"/>
      <c r="DQ4081" s="236"/>
      <c r="DX4081" s="1671"/>
    </row>
    <row r="4082" spans="38:128">
      <c r="AL4082" s="1037"/>
      <c r="BP4082" s="1385"/>
      <c r="BV4082" s="236">
        <v>251.06</v>
      </c>
      <c r="BW4082" s="236" t="s">
        <v>342</v>
      </c>
      <c r="CL4082" s="236">
        <v>503.18</v>
      </c>
      <c r="CM4082" s="236" t="s">
        <v>323</v>
      </c>
      <c r="CT4082" s="1384"/>
      <c r="CZ4082" s="338"/>
      <c r="DA4082" s="338"/>
      <c r="DP4082" s="236"/>
      <c r="DQ4082" s="236"/>
      <c r="DX4082" s="1671"/>
    </row>
    <row r="4083" spans="38:128">
      <c r="AL4083" s="1037"/>
      <c r="BP4083" s="1385"/>
      <c r="BV4083" s="236">
        <v>251.07</v>
      </c>
      <c r="BW4083" s="236" t="s">
        <v>342</v>
      </c>
      <c r="CL4083" s="236">
        <v>503.19</v>
      </c>
      <c r="CM4083" s="236" t="s">
        <v>323</v>
      </c>
      <c r="CT4083" s="1384"/>
      <c r="CZ4083" s="338"/>
      <c r="DA4083" s="338"/>
      <c r="DP4083" s="236"/>
      <c r="DQ4083" s="236"/>
      <c r="DX4083" s="1671"/>
    </row>
    <row r="4084" spans="38:128">
      <c r="AL4084" s="1037"/>
      <c r="BP4084" s="1385"/>
      <c r="BV4084" s="236">
        <v>251.08</v>
      </c>
      <c r="BW4084" s="236" t="s">
        <v>342</v>
      </c>
      <c r="CL4084" s="236">
        <v>503.2</v>
      </c>
      <c r="CM4084" s="236" t="s">
        <v>323</v>
      </c>
      <c r="CT4084" s="1384"/>
      <c r="CZ4084" s="338"/>
      <c r="DA4084" s="338"/>
      <c r="DP4084" s="236"/>
      <c r="DQ4084" s="236"/>
      <c r="DX4084" s="1671"/>
    </row>
    <row r="4085" spans="38:128">
      <c r="AL4085" s="1037"/>
      <c r="BP4085" s="1385"/>
      <c r="BV4085" s="236">
        <v>251.09</v>
      </c>
      <c r="BW4085" s="236" t="s">
        <v>342</v>
      </c>
      <c r="CL4085" s="236">
        <v>503.21</v>
      </c>
      <c r="CM4085" s="236" t="s">
        <v>323</v>
      </c>
      <c r="CT4085" s="1384"/>
      <c r="CZ4085" s="338"/>
      <c r="DA4085" s="338"/>
      <c r="DP4085" s="236"/>
      <c r="DQ4085" s="236"/>
      <c r="DX4085" s="1671"/>
    </row>
    <row r="4086" spans="38:128">
      <c r="AL4086" s="1037"/>
      <c r="BP4086" s="1385"/>
      <c r="BV4086" s="236">
        <v>251.1</v>
      </c>
      <c r="BW4086" s="236" t="s">
        <v>342</v>
      </c>
      <c r="CL4086" s="236">
        <v>503.22</v>
      </c>
      <c r="CM4086" s="236" t="s">
        <v>323</v>
      </c>
      <c r="CT4086" s="1384"/>
      <c r="CZ4086" s="338"/>
      <c r="DA4086" s="338"/>
      <c r="DP4086" s="236"/>
      <c r="DQ4086" s="236"/>
      <c r="DX4086" s="1671"/>
    </row>
    <row r="4087" spans="38:128">
      <c r="AL4087" s="1037"/>
      <c r="BP4087" s="1385"/>
      <c r="BV4087" s="236">
        <v>251.11</v>
      </c>
      <c r="BW4087" s="236" t="s">
        <v>342</v>
      </c>
      <c r="CL4087" s="236">
        <v>503.23</v>
      </c>
      <c r="CM4087" s="236" t="s">
        <v>323</v>
      </c>
      <c r="CT4087" s="1384"/>
      <c r="CZ4087" s="338"/>
      <c r="DA4087" s="338"/>
      <c r="DP4087" s="236"/>
      <c r="DQ4087" s="236"/>
      <c r="DX4087" s="1671"/>
    </row>
    <row r="4088" spans="38:128">
      <c r="AL4088" s="1037"/>
      <c r="BP4088" s="1385"/>
      <c r="BV4088" s="236">
        <v>251.12</v>
      </c>
      <c r="BW4088" s="236" t="s">
        <v>342</v>
      </c>
      <c r="CL4088" s="236">
        <v>503.24</v>
      </c>
      <c r="CM4088" s="236" t="s">
        <v>323</v>
      </c>
      <c r="CT4088" s="1384"/>
      <c r="CZ4088" s="338"/>
      <c r="DA4088" s="338"/>
      <c r="DP4088" s="236"/>
      <c r="DQ4088" s="236"/>
      <c r="DX4088" s="1671"/>
    </row>
    <row r="4089" spans="38:128">
      <c r="AL4089" s="1037"/>
      <c r="BP4089" s="1385"/>
      <c r="BV4089" s="236">
        <v>251.13</v>
      </c>
      <c r="BW4089" s="236" t="s">
        <v>342</v>
      </c>
      <c r="CL4089" s="236">
        <v>503.25</v>
      </c>
      <c r="CM4089" s="236" t="s">
        <v>323</v>
      </c>
      <c r="CT4089" s="1384"/>
      <c r="CZ4089" s="338"/>
      <c r="DA4089" s="338"/>
      <c r="DP4089" s="236"/>
      <c r="DQ4089" s="236"/>
      <c r="DX4089" s="1671"/>
    </row>
    <row r="4090" spans="38:128">
      <c r="AL4090" s="1037"/>
      <c r="BP4090" s="1385"/>
      <c r="BV4090" s="236">
        <v>251.14</v>
      </c>
      <c r="BW4090" s="236" t="s">
        <v>342</v>
      </c>
      <c r="CL4090" s="338">
        <v>504.01</v>
      </c>
      <c r="CM4090" s="338" t="s">
        <v>289</v>
      </c>
      <c r="CT4090" s="1384"/>
      <c r="CZ4090" s="338"/>
      <c r="DA4090" s="338"/>
      <c r="DP4090" s="236"/>
      <c r="DQ4090" s="236"/>
      <c r="DX4090" s="1671"/>
    </row>
    <row r="4091" spans="38:128">
      <c r="AL4091" s="1037"/>
      <c r="BP4091" s="1385"/>
      <c r="BV4091" s="236">
        <v>251.15</v>
      </c>
      <c r="BW4091" s="236" t="s">
        <v>342</v>
      </c>
      <c r="CL4091" s="236">
        <v>504.01</v>
      </c>
      <c r="CM4091" s="236" t="s">
        <v>318</v>
      </c>
      <c r="CT4091" s="1384"/>
      <c r="CZ4091" s="338"/>
      <c r="DA4091" s="338"/>
      <c r="DP4091" s="236"/>
      <c r="DQ4091" s="236"/>
      <c r="DX4091" s="1671"/>
    </row>
    <row r="4092" spans="38:128">
      <c r="AL4092" s="1037"/>
      <c r="BP4092" s="1385"/>
      <c r="BV4092" s="236">
        <v>251.16</v>
      </c>
      <c r="BW4092" s="236" t="s">
        <v>342</v>
      </c>
      <c r="CL4092" s="236">
        <v>504.01</v>
      </c>
      <c r="CM4092" s="236" t="s">
        <v>323</v>
      </c>
      <c r="CT4092" s="1384"/>
      <c r="CZ4092" s="338"/>
      <c r="DA4092" s="338"/>
      <c r="DP4092" s="236"/>
      <c r="DQ4092" s="236"/>
      <c r="DX4092" s="1671"/>
    </row>
    <row r="4093" spans="38:128">
      <c r="AL4093" s="1037"/>
      <c r="BP4093" s="1385"/>
      <c r="BV4093" s="236">
        <v>251.19</v>
      </c>
      <c r="BW4093" s="236" t="s">
        <v>342</v>
      </c>
      <c r="CL4093" s="236">
        <v>504.01</v>
      </c>
      <c r="CM4093" s="236" t="s">
        <v>335</v>
      </c>
      <c r="CT4093" s="1384"/>
      <c r="CZ4093" s="338"/>
      <c r="DA4093" s="338"/>
      <c r="DP4093" s="236"/>
      <c r="DQ4093" s="236"/>
      <c r="DX4093" s="1671"/>
    </row>
    <row r="4094" spans="38:128">
      <c r="AL4094" s="1037"/>
      <c r="BP4094" s="1385"/>
      <c r="BV4094" s="236">
        <v>251.2</v>
      </c>
      <c r="BW4094" s="236" t="s">
        <v>342</v>
      </c>
      <c r="CL4094" s="338">
        <v>504.02</v>
      </c>
      <c r="CM4094" s="338" t="s">
        <v>289</v>
      </c>
      <c r="CT4094" s="1384"/>
      <c r="CZ4094" s="338"/>
      <c r="DA4094" s="338"/>
      <c r="DP4094" s="236"/>
      <c r="DQ4094" s="236"/>
      <c r="DX4094" s="1671"/>
    </row>
    <row r="4095" spans="38:128">
      <c r="AL4095" s="1037"/>
      <c r="BP4095" s="1385"/>
      <c r="BV4095" s="236">
        <v>251.21</v>
      </c>
      <c r="BW4095" s="236" t="s">
        <v>342</v>
      </c>
      <c r="CL4095" s="236">
        <v>504.02</v>
      </c>
      <c r="CM4095" s="236" t="s">
        <v>318</v>
      </c>
      <c r="CT4095" s="1384"/>
      <c r="CZ4095" s="338"/>
      <c r="DA4095" s="338"/>
      <c r="DP4095" s="236"/>
      <c r="DQ4095" s="236"/>
      <c r="DX4095" s="1671"/>
    </row>
    <row r="4096" spans="38:128">
      <c r="AL4096" s="1037"/>
      <c r="BP4096" s="1385"/>
      <c r="BV4096" s="236">
        <v>251.22</v>
      </c>
      <c r="BW4096" s="236" t="s">
        <v>342</v>
      </c>
      <c r="CL4096" s="236">
        <v>504.02</v>
      </c>
      <c r="CM4096" s="236" t="s">
        <v>323</v>
      </c>
      <c r="CT4096" s="1384"/>
      <c r="CZ4096" s="338"/>
      <c r="DA4096" s="338"/>
      <c r="DP4096" s="236"/>
      <c r="DQ4096" s="236"/>
      <c r="DX4096" s="1671"/>
    </row>
    <row r="4097" spans="38:128">
      <c r="AL4097" s="1037"/>
      <c r="BP4097" s="1385"/>
      <c r="BV4097" s="236">
        <v>251.23</v>
      </c>
      <c r="BW4097" s="236" t="s">
        <v>342</v>
      </c>
      <c r="CL4097" s="236">
        <v>504.02</v>
      </c>
      <c r="CM4097" s="236" t="s">
        <v>335</v>
      </c>
      <c r="CT4097" s="1384"/>
      <c r="CZ4097" s="338"/>
      <c r="DA4097" s="338"/>
      <c r="DP4097" s="236"/>
      <c r="DQ4097" s="236"/>
      <c r="DX4097" s="1671"/>
    </row>
    <row r="4098" spans="38:128">
      <c r="AL4098" s="1037"/>
      <c r="BP4098" s="1385"/>
      <c r="BV4098" s="236">
        <v>252.04</v>
      </c>
      <c r="BW4098" s="236" t="s">
        <v>342</v>
      </c>
      <c r="CL4098" s="236">
        <v>504.03</v>
      </c>
      <c r="CM4098" s="236" t="s">
        <v>335</v>
      </c>
      <c r="CT4098" s="1384"/>
      <c r="CZ4098" s="338"/>
      <c r="DA4098" s="338"/>
      <c r="DP4098" s="236"/>
      <c r="DQ4098" s="236"/>
      <c r="DX4098" s="1671"/>
    </row>
    <row r="4099" spans="38:128">
      <c r="AL4099" s="1037"/>
      <c r="BP4099" s="1385"/>
      <c r="BV4099" s="236">
        <v>252.05</v>
      </c>
      <c r="BW4099" s="236" t="s">
        <v>342</v>
      </c>
      <c r="CL4099" s="338">
        <v>505.01</v>
      </c>
      <c r="CM4099" s="338" t="s">
        <v>289</v>
      </c>
      <c r="CT4099" s="1384"/>
      <c r="CZ4099" s="338"/>
      <c r="DA4099" s="338"/>
      <c r="DP4099" s="236"/>
      <c r="DQ4099" s="236"/>
      <c r="DX4099" s="1671"/>
    </row>
    <row r="4100" spans="38:128">
      <c r="AL4100" s="1037"/>
      <c r="BP4100" s="1385"/>
      <c r="BV4100" s="236">
        <v>252.07</v>
      </c>
      <c r="BW4100" s="236" t="s">
        <v>342</v>
      </c>
      <c r="CL4100" s="236">
        <v>505.01</v>
      </c>
      <c r="CM4100" s="236" t="s">
        <v>323</v>
      </c>
      <c r="CT4100" s="1384"/>
      <c r="CZ4100" s="338"/>
      <c r="DA4100" s="338"/>
      <c r="DP4100" s="236"/>
      <c r="DQ4100" s="236"/>
      <c r="DX4100" s="1671"/>
    </row>
    <row r="4101" spans="38:128">
      <c r="AL4101" s="1037"/>
      <c r="BP4101" s="1385"/>
      <c r="BV4101" s="236">
        <v>252.08</v>
      </c>
      <c r="BW4101" s="236" t="s">
        <v>342</v>
      </c>
      <c r="CL4101" s="338">
        <v>505.02</v>
      </c>
      <c r="CM4101" s="338" t="s">
        <v>289</v>
      </c>
      <c r="CT4101" s="1384"/>
      <c r="CZ4101" s="338"/>
      <c r="DA4101" s="338"/>
      <c r="DP4101" s="236"/>
      <c r="DQ4101" s="236"/>
      <c r="DX4101" s="1671"/>
    </row>
    <row r="4102" spans="38:128">
      <c r="AL4102" s="1037"/>
      <c r="BP4102" s="1385"/>
      <c r="BV4102" s="236">
        <v>252.09</v>
      </c>
      <c r="BW4102" s="236" t="s">
        <v>342</v>
      </c>
      <c r="CL4102" s="236">
        <v>505.02</v>
      </c>
      <c r="CM4102" s="236" t="s">
        <v>323</v>
      </c>
      <c r="CT4102" s="1384"/>
      <c r="CZ4102" s="338"/>
      <c r="DA4102" s="338"/>
      <c r="DP4102" s="236"/>
      <c r="DQ4102" s="236"/>
      <c r="DX4102" s="1671"/>
    </row>
    <row r="4103" spans="38:128">
      <c r="AL4103" s="1037"/>
      <c r="BP4103" s="1385"/>
      <c r="BV4103" s="236">
        <v>252.1</v>
      </c>
      <c r="BW4103" s="236" t="s">
        <v>342</v>
      </c>
      <c r="CL4103" s="236">
        <v>505.04</v>
      </c>
      <c r="CM4103" s="236" t="s">
        <v>318</v>
      </c>
      <c r="CT4103" s="1384"/>
      <c r="CZ4103" s="338"/>
      <c r="DA4103" s="338"/>
      <c r="DP4103" s="236"/>
      <c r="DQ4103" s="236"/>
      <c r="DX4103" s="1671"/>
    </row>
    <row r="4104" spans="38:128">
      <c r="AL4104" s="1037"/>
      <c r="BP4104" s="1385"/>
      <c r="BV4104" s="236">
        <v>252.11</v>
      </c>
      <c r="BW4104" s="236" t="s">
        <v>342</v>
      </c>
      <c r="CL4104" s="236">
        <v>505.04</v>
      </c>
      <c r="CM4104" s="236" t="s">
        <v>335</v>
      </c>
      <c r="CT4104" s="1384"/>
      <c r="CZ4104" s="338"/>
      <c r="DA4104" s="338"/>
      <c r="DP4104" s="236"/>
      <c r="DQ4104" s="236"/>
      <c r="DX4104" s="1671"/>
    </row>
    <row r="4105" spans="38:128">
      <c r="AL4105" s="1037"/>
      <c r="BP4105" s="1385"/>
      <c r="BV4105" s="236">
        <v>253.03</v>
      </c>
      <c r="BW4105" s="236" t="s">
        <v>342</v>
      </c>
      <c r="CL4105" s="236">
        <v>505.05</v>
      </c>
      <c r="CM4105" s="236" t="s">
        <v>318</v>
      </c>
      <c r="CT4105" s="1384"/>
      <c r="CZ4105" s="338"/>
      <c r="DA4105" s="338"/>
      <c r="DP4105" s="236"/>
      <c r="DQ4105" s="236"/>
      <c r="DX4105" s="1671"/>
    </row>
    <row r="4106" spans="38:128">
      <c r="AL4106" s="1037"/>
      <c r="BP4106" s="1385"/>
      <c r="BV4106" s="236">
        <v>253.05</v>
      </c>
      <c r="BW4106" s="236" t="s">
        <v>342</v>
      </c>
      <c r="CL4106" s="236">
        <v>505.05</v>
      </c>
      <c r="CM4106" s="236" t="s">
        <v>335</v>
      </c>
      <c r="CT4106" s="1384"/>
      <c r="CZ4106" s="338"/>
      <c r="DA4106" s="338"/>
      <c r="DP4106" s="236"/>
      <c r="DQ4106" s="236"/>
      <c r="DX4106" s="1671"/>
    </row>
    <row r="4107" spans="38:128">
      <c r="AL4107" s="1037"/>
      <c r="BP4107" s="1385"/>
      <c r="BV4107" s="236">
        <v>253.07</v>
      </c>
      <c r="BW4107" s="236" t="s">
        <v>342</v>
      </c>
      <c r="CL4107" s="236">
        <v>505.06</v>
      </c>
      <c r="CM4107" s="236" t="s">
        <v>318</v>
      </c>
      <c r="CT4107" s="1384"/>
      <c r="CZ4107" s="338"/>
      <c r="DA4107" s="338"/>
      <c r="DP4107" s="236"/>
      <c r="DQ4107" s="236"/>
      <c r="DX4107" s="1671"/>
    </row>
    <row r="4108" spans="38:128">
      <c r="AL4108" s="1037"/>
      <c r="BP4108" s="1385"/>
      <c r="BV4108" s="236">
        <v>253.09</v>
      </c>
      <c r="BW4108" s="236" t="s">
        <v>342</v>
      </c>
      <c r="CL4108" s="236">
        <v>505.06</v>
      </c>
      <c r="CM4108" s="236" t="s">
        <v>335</v>
      </c>
      <c r="CT4108" s="1384"/>
      <c r="CZ4108" s="338"/>
      <c r="DA4108" s="338"/>
      <c r="DP4108" s="236"/>
      <c r="DQ4108" s="236"/>
      <c r="DX4108" s="1671"/>
    </row>
    <row r="4109" spans="38:128">
      <c r="AL4109" s="1037"/>
      <c r="BP4109" s="1385"/>
      <c r="BV4109" s="236">
        <v>253.1</v>
      </c>
      <c r="BW4109" s="236" t="s">
        <v>342</v>
      </c>
      <c r="CL4109" s="236">
        <v>505.07</v>
      </c>
      <c r="CM4109" s="236" t="s">
        <v>318</v>
      </c>
      <c r="CT4109" s="1384"/>
      <c r="CZ4109" s="338"/>
      <c r="DA4109" s="338"/>
      <c r="DP4109" s="236"/>
      <c r="DQ4109" s="236"/>
      <c r="DX4109" s="1671"/>
    </row>
    <row r="4110" spans="38:128">
      <c r="AL4110" s="1037"/>
      <c r="BP4110" s="1385"/>
      <c r="BV4110" s="236">
        <v>253.11</v>
      </c>
      <c r="BW4110" s="236" t="s">
        <v>342</v>
      </c>
      <c r="CL4110" s="236">
        <v>505.07</v>
      </c>
      <c r="CM4110" s="236" t="s">
        <v>335</v>
      </c>
      <c r="CT4110" s="1384"/>
      <c r="CZ4110" s="338"/>
      <c r="DA4110" s="338"/>
      <c r="DP4110" s="236"/>
      <c r="DQ4110" s="236"/>
      <c r="DX4110" s="1671"/>
    </row>
    <row r="4111" spans="38:128">
      <c r="AL4111" s="1037"/>
      <c r="BP4111" s="1385"/>
      <c r="BV4111" s="236">
        <v>254.01</v>
      </c>
      <c r="BW4111" s="236" t="s">
        <v>342</v>
      </c>
      <c r="CL4111" s="236">
        <v>505.08</v>
      </c>
      <c r="CM4111" s="236" t="s">
        <v>318</v>
      </c>
      <c r="CT4111" s="1384"/>
      <c r="CZ4111" s="338"/>
      <c r="DA4111" s="338"/>
      <c r="DP4111" s="236"/>
      <c r="DQ4111" s="236"/>
      <c r="DX4111" s="1671"/>
    </row>
    <row r="4112" spans="38:128">
      <c r="AL4112" s="1037"/>
      <c r="BP4112" s="1385"/>
      <c r="BV4112" s="236">
        <v>254.07</v>
      </c>
      <c r="BW4112" s="236" t="s">
        <v>342</v>
      </c>
      <c r="CL4112" s="236">
        <v>505.08</v>
      </c>
      <c r="CM4112" s="236" t="s">
        <v>335</v>
      </c>
      <c r="CT4112" s="1384"/>
      <c r="CZ4112" s="338"/>
      <c r="DA4112" s="338"/>
      <c r="DP4112" s="236"/>
      <c r="DQ4112" s="236"/>
      <c r="DX4112" s="1671"/>
    </row>
    <row r="4113" spans="38:128">
      <c r="AL4113" s="1037"/>
      <c r="BP4113" s="1385"/>
      <c r="BV4113" s="236">
        <v>254.11</v>
      </c>
      <c r="BW4113" s="236" t="s">
        <v>342</v>
      </c>
      <c r="CL4113" s="236">
        <v>505.09</v>
      </c>
      <c r="CM4113" s="236" t="s">
        <v>318</v>
      </c>
      <c r="CT4113" s="1384"/>
      <c r="CZ4113" s="338"/>
      <c r="DA4113" s="338"/>
      <c r="DP4113" s="236"/>
      <c r="DQ4113" s="236"/>
      <c r="DX4113" s="1671"/>
    </row>
    <row r="4114" spans="38:128">
      <c r="AL4114" s="1037"/>
      <c r="BP4114" s="1385"/>
      <c r="BV4114" s="236">
        <v>254.12</v>
      </c>
      <c r="BW4114" s="236" t="s">
        <v>342</v>
      </c>
      <c r="CL4114" s="236">
        <v>505.09</v>
      </c>
      <c r="CM4114" s="236" t="s">
        <v>335</v>
      </c>
      <c r="CT4114" s="1384"/>
      <c r="CZ4114" s="338"/>
      <c r="DA4114" s="338"/>
      <c r="DP4114" s="236"/>
      <c r="DQ4114" s="236"/>
      <c r="DX4114" s="1671"/>
    </row>
    <row r="4115" spans="38:128">
      <c r="AL4115" s="1037"/>
      <c r="BP4115" s="1385"/>
      <c r="BV4115" s="236">
        <v>254.13</v>
      </c>
      <c r="BW4115" s="236" t="s">
        <v>342</v>
      </c>
      <c r="CL4115" s="338">
        <v>506.01</v>
      </c>
      <c r="CM4115" s="338" t="s">
        <v>289</v>
      </c>
      <c r="CT4115" s="1384"/>
      <c r="CZ4115" s="338"/>
      <c r="DA4115" s="338"/>
      <c r="DP4115" s="236"/>
      <c r="DQ4115" s="236"/>
      <c r="DX4115" s="1671"/>
    </row>
    <row r="4116" spans="38:128">
      <c r="AL4116" s="1037"/>
      <c r="BP4116" s="1385"/>
      <c r="BV4116" s="236">
        <v>254.14</v>
      </c>
      <c r="BW4116" s="236" t="s">
        <v>342</v>
      </c>
      <c r="CL4116" s="236">
        <v>506.01</v>
      </c>
      <c r="CM4116" s="236" t="s">
        <v>318</v>
      </c>
      <c r="CT4116" s="1384"/>
      <c r="CZ4116" s="338"/>
      <c r="DA4116" s="338"/>
      <c r="DP4116" s="236"/>
      <c r="DQ4116" s="236"/>
      <c r="DX4116" s="1671"/>
    </row>
    <row r="4117" spans="38:128">
      <c r="AL4117" s="1037"/>
      <c r="BP4117" s="1385"/>
      <c r="BV4117" s="236">
        <v>254.15</v>
      </c>
      <c r="BW4117" s="236" t="s">
        <v>342</v>
      </c>
      <c r="CL4117" s="236">
        <v>506.01</v>
      </c>
      <c r="CM4117" s="236" t="s">
        <v>323</v>
      </c>
      <c r="CT4117" s="1384"/>
      <c r="CZ4117" s="338"/>
      <c r="DA4117" s="338"/>
      <c r="DP4117" s="236"/>
      <c r="DQ4117" s="236"/>
      <c r="DX4117" s="1671"/>
    </row>
    <row r="4118" spans="38:128">
      <c r="AL4118" s="1037"/>
      <c r="BP4118" s="1385"/>
      <c r="BV4118" s="236">
        <v>254.16</v>
      </c>
      <c r="BW4118" s="236" t="s">
        <v>342</v>
      </c>
      <c r="CL4118" s="338">
        <v>506.02</v>
      </c>
      <c r="CM4118" s="338" t="s">
        <v>289</v>
      </c>
      <c r="CT4118" s="1384"/>
      <c r="CZ4118" s="338"/>
      <c r="DA4118" s="338"/>
      <c r="DP4118" s="236"/>
      <c r="DQ4118" s="236"/>
      <c r="DX4118" s="1671"/>
    </row>
    <row r="4119" spans="38:128">
      <c r="AL4119" s="1037"/>
      <c r="BP4119" s="1385"/>
      <c r="BV4119" s="236">
        <v>254.17</v>
      </c>
      <c r="BW4119" s="236" t="s">
        <v>342</v>
      </c>
      <c r="CL4119" s="236">
        <v>506.02</v>
      </c>
      <c r="CM4119" s="236" t="s">
        <v>318</v>
      </c>
      <c r="CT4119" s="1384"/>
      <c r="CZ4119" s="338"/>
      <c r="DA4119" s="338"/>
      <c r="DP4119" s="236"/>
      <c r="DQ4119" s="236"/>
      <c r="DX4119" s="1671"/>
    </row>
    <row r="4120" spans="38:128">
      <c r="AL4120" s="1037"/>
      <c r="BP4120" s="1385"/>
      <c r="BV4120" s="236">
        <v>254.18</v>
      </c>
      <c r="BW4120" s="236" t="s">
        <v>342</v>
      </c>
      <c r="CL4120" s="236">
        <v>506.03</v>
      </c>
      <c r="CM4120" s="236" t="s">
        <v>318</v>
      </c>
      <c r="CT4120" s="1384"/>
      <c r="CZ4120" s="338"/>
      <c r="DA4120" s="338"/>
      <c r="DP4120" s="236"/>
      <c r="DQ4120" s="236"/>
      <c r="DX4120" s="1671"/>
    </row>
    <row r="4121" spans="38:128">
      <c r="AL4121" s="1037"/>
      <c r="BP4121" s="1385"/>
      <c r="BV4121" s="236">
        <v>254.19</v>
      </c>
      <c r="BW4121" s="236" t="s">
        <v>342</v>
      </c>
      <c r="CL4121" s="236">
        <v>506.03</v>
      </c>
      <c r="CM4121" s="236" t="s">
        <v>323</v>
      </c>
      <c r="CT4121" s="1384"/>
      <c r="CZ4121" s="338"/>
      <c r="DA4121" s="338"/>
      <c r="DP4121" s="236"/>
      <c r="DQ4121" s="236"/>
      <c r="DX4121" s="1671"/>
    </row>
    <row r="4122" spans="38:128">
      <c r="AL4122" s="1037"/>
      <c r="BP4122" s="1385"/>
      <c r="BV4122" s="236">
        <v>254.2</v>
      </c>
      <c r="BW4122" s="236" t="s">
        <v>342</v>
      </c>
      <c r="CL4122" s="236">
        <v>506.04</v>
      </c>
      <c r="CM4122" s="236" t="s">
        <v>318</v>
      </c>
      <c r="CT4122" s="1384"/>
      <c r="CZ4122" s="338"/>
      <c r="DA4122" s="338"/>
      <c r="DP4122" s="236"/>
      <c r="DQ4122" s="236"/>
      <c r="DX4122" s="1671"/>
    </row>
    <row r="4123" spans="38:128">
      <c r="AL4123" s="1037"/>
      <c r="BP4123" s="1385"/>
      <c r="BV4123" s="236">
        <v>254.21</v>
      </c>
      <c r="BW4123" s="236" t="s">
        <v>342</v>
      </c>
      <c r="CL4123" s="236">
        <v>506.04</v>
      </c>
      <c r="CM4123" s="236" t="s">
        <v>323</v>
      </c>
      <c r="CT4123" s="1384"/>
      <c r="CZ4123" s="338"/>
      <c r="DA4123" s="338"/>
      <c r="DP4123" s="236"/>
      <c r="DQ4123" s="236"/>
      <c r="DX4123" s="1671"/>
    </row>
    <row r="4124" spans="38:128">
      <c r="AL4124" s="1037"/>
      <c r="BP4124" s="1385"/>
      <c r="BV4124" s="236">
        <v>255.01</v>
      </c>
      <c r="BW4124" s="236" t="s">
        <v>342</v>
      </c>
      <c r="CL4124" s="236">
        <v>506.05</v>
      </c>
      <c r="CM4124" s="236" t="s">
        <v>318</v>
      </c>
      <c r="CT4124" s="1384"/>
      <c r="CZ4124" s="338"/>
      <c r="DA4124" s="338"/>
      <c r="DP4124" s="236"/>
      <c r="DQ4124" s="236"/>
      <c r="DX4124" s="1671"/>
    </row>
    <row r="4125" spans="38:128">
      <c r="AL4125" s="1037"/>
      <c r="BP4125" s="1385"/>
      <c r="BV4125" s="236">
        <v>255.05</v>
      </c>
      <c r="BW4125" s="236" t="s">
        <v>342</v>
      </c>
      <c r="CL4125" s="236">
        <v>506.07</v>
      </c>
      <c r="CM4125" s="236" t="s">
        <v>318</v>
      </c>
      <c r="CT4125" s="1384"/>
      <c r="CZ4125" s="338"/>
      <c r="DA4125" s="338"/>
      <c r="DP4125" s="236"/>
      <c r="DQ4125" s="236"/>
      <c r="DX4125" s="1671"/>
    </row>
    <row r="4126" spans="38:128">
      <c r="AL4126" s="1037"/>
      <c r="BP4126" s="1385"/>
      <c r="BV4126" s="236">
        <v>255.07</v>
      </c>
      <c r="BW4126" s="236" t="s">
        <v>342</v>
      </c>
      <c r="CL4126" s="236">
        <v>506.08</v>
      </c>
      <c r="CM4126" s="236" t="s">
        <v>318</v>
      </c>
      <c r="CT4126" s="1384"/>
      <c r="CZ4126" s="338"/>
      <c r="DA4126" s="338"/>
      <c r="DP4126" s="236"/>
      <c r="DQ4126" s="236"/>
      <c r="DX4126" s="1671"/>
    </row>
    <row r="4127" spans="38:128">
      <c r="AL4127" s="1037"/>
      <c r="BP4127" s="1385"/>
      <c r="BV4127" s="236">
        <v>255.08</v>
      </c>
      <c r="BW4127" s="236" t="s">
        <v>342</v>
      </c>
      <c r="CL4127" s="338">
        <v>507.01</v>
      </c>
      <c r="CM4127" s="338" t="s">
        <v>289</v>
      </c>
      <c r="CT4127" s="1384"/>
      <c r="CZ4127" s="338"/>
      <c r="DA4127" s="338"/>
      <c r="DP4127" s="236"/>
      <c r="DQ4127" s="236"/>
      <c r="DX4127" s="1671"/>
    </row>
    <row r="4128" spans="38:128">
      <c r="AL4128" s="1037"/>
      <c r="BP4128" s="1385"/>
      <c r="BV4128" s="236">
        <v>255.09</v>
      </c>
      <c r="BW4128" s="236" t="s">
        <v>342</v>
      </c>
      <c r="CL4128" s="338">
        <v>507.02</v>
      </c>
      <c r="CM4128" s="338" t="s">
        <v>289</v>
      </c>
      <c r="CT4128" s="1384"/>
      <c r="CZ4128" s="338"/>
      <c r="DA4128" s="338"/>
      <c r="DP4128" s="236"/>
      <c r="DQ4128" s="236"/>
      <c r="DX4128" s="1671"/>
    </row>
    <row r="4129" spans="38:128">
      <c r="AL4129" s="1037"/>
      <c r="BP4129" s="1385"/>
      <c r="BV4129" s="236">
        <v>255.1</v>
      </c>
      <c r="BW4129" s="236" t="s">
        <v>342</v>
      </c>
      <c r="CL4129" s="236">
        <v>507.02</v>
      </c>
      <c r="CM4129" s="236" t="s">
        <v>318</v>
      </c>
      <c r="CT4129" s="1384"/>
      <c r="CZ4129" s="338"/>
      <c r="DA4129" s="338"/>
      <c r="DP4129" s="236"/>
      <c r="DQ4129" s="236"/>
      <c r="DX4129" s="1671"/>
    </row>
    <row r="4130" spans="38:128">
      <c r="AL4130" s="1037"/>
      <c r="BP4130" s="1385"/>
      <c r="BV4130" s="236">
        <v>256.02</v>
      </c>
      <c r="BW4130" s="236" t="s">
        <v>342</v>
      </c>
      <c r="CL4130" s="236">
        <v>507.04</v>
      </c>
      <c r="CM4130" s="236" t="s">
        <v>318</v>
      </c>
      <c r="CT4130" s="1384"/>
      <c r="CZ4130" s="338"/>
      <c r="DA4130" s="338"/>
      <c r="DP4130" s="236"/>
      <c r="DQ4130" s="236"/>
      <c r="DX4130" s="1671"/>
    </row>
    <row r="4131" spans="38:128">
      <c r="AL4131" s="1037"/>
      <c r="BP4131" s="1385"/>
      <c r="BV4131" s="236">
        <v>256.02999999999997</v>
      </c>
      <c r="BW4131" s="236" t="s">
        <v>342</v>
      </c>
      <c r="CL4131" s="236">
        <v>507.06</v>
      </c>
      <c r="CM4131" s="236" t="s">
        <v>318</v>
      </c>
      <c r="CT4131" s="1384"/>
      <c r="CZ4131" s="338"/>
      <c r="DA4131" s="338"/>
      <c r="DP4131" s="236"/>
      <c r="DQ4131" s="236"/>
      <c r="DX4131" s="1671"/>
    </row>
    <row r="4132" spans="38:128">
      <c r="AL4132" s="1037"/>
      <c r="BP4132" s="1385"/>
      <c r="BV4132" s="236">
        <v>256.04000000000002</v>
      </c>
      <c r="BW4132" s="236" t="s">
        <v>342</v>
      </c>
      <c r="CL4132" s="236">
        <v>507.07</v>
      </c>
      <c r="CM4132" s="236" t="s">
        <v>318</v>
      </c>
      <c r="CT4132" s="1384"/>
      <c r="CZ4132" s="338"/>
      <c r="DA4132" s="338"/>
      <c r="DP4132" s="236"/>
      <c r="DQ4132" s="236"/>
      <c r="DX4132" s="1671"/>
    </row>
    <row r="4133" spans="38:128">
      <c r="AL4133" s="1037"/>
      <c r="BP4133" s="1385"/>
      <c r="BV4133" s="236">
        <v>257</v>
      </c>
      <c r="BW4133" s="236" t="s">
        <v>342</v>
      </c>
      <c r="CL4133" s="236">
        <v>507.08</v>
      </c>
      <c r="CM4133" s="236" t="s">
        <v>318</v>
      </c>
      <c r="CT4133" s="1384"/>
      <c r="CZ4133" s="338"/>
      <c r="DA4133" s="338"/>
      <c r="DP4133" s="236"/>
      <c r="DQ4133" s="236"/>
      <c r="DX4133" s="1671"/>
    </row>
    <row r="4134" spans="38:128">
      <c r="AL4134" s="1037"/>
      <c r="BP4134" s="1385"/>
      <c r="BV4134" s="236">
        <v>258</v>
      </c>
      <c r="BW4134" s="236" t="s">
        <v>342</v>
      </c>
      <c r="CL4134" s="236">
        <v>507.09</v>
      </c>
      <c r="CM4134" s="236" t="s">
        <v>318</v>
      </c>
      <c r="CT4134" s="1384"/>
      <c r="CZ4134" s="338"/>
      <c r="DA4134" s="338"/>
      <c r="DP4134" s="236"/>
      <c r="DQ4134" s="236"/>
      <c r="DX4134" s="1671"/>
    </row>
    <row r="4135" spans="38:128">
      <c r="AL4135" s="1037"/>
      <c r="BP4135" s="1385"/>
      <c r="BV4135" s="236">
        <v>259.01</v>
      </c>
      <c r="BW4135" s="236" t="s">
        <v>342</v>
      </c>
      <c r="CL4135" s="338">
        <v>508</v>
      </c>
      <c r="CM4135" s="338" t="s">
        <v>289</v>
      </c>
      <c r="CT4135" s="1384"/>
      <c r="CZ4135" s="338"/>
      <c r="DA4135" s="338"/>
      <c r="DP4135" s="236"/>
      <c r="DQ4135" s="236"/>
      <c r="DX4135" s="1671"/>
    </row>
    <row r="4136" spans="38:128">
      <c r="AL4136" s="1037"/>
      <c r="BP4136" s="1385"/>
      <c r="BV4136" s="236">
        <v>259.02</v>
      </c>
      <c r="BW4136" s="236" t="s">
        <v>342</v>
      </c>
      <c r="CL4136" s="236">
        <v>508.05</v>
      </c>
      <c r="CM4136" s="236" t="s">
        <v>318</v>
      </c>
      <c r="CT4136" s="1384"/>
      <c r="CZ4136" s="338"/>
      <c r="DA4136" s="338"/>
      <c r="DP4136" s="236"/>
      <c r="DQ4136" s="236"/>
      <c r="DX4136" s="1671"/>
    </row>
    <row r="4137" spans="38:128">
      <c r="AL4137" s="1037"/>
      <c r="BP4137" s="1385"/>
      <c r="BV4137" s="236">
        <v>260.01</v>
      </c>
      <c r="BW4137" s="236" t="s">
        <v>342</v>
      </c>
      <c r="CL4137" s="236">
        <v>508.06</v>
      </c>
      <c r="CM4137" s="236" t="s">
        <v>318</v>
      </c>
      <c r="CT4137" s="1384"/>
      <c r="CZ4137" s="338"/>
      <c r="DA4137" s="338"/>
      <c r="DP4137" s="236"/>
      <c r="DQ4137" s="236"/>
      <c r="DX4137" s="1671"/>
    </row>
    <row r="4138" spans="38:128">
      <c r="AL4138" s="1037"/>
      <c r="BP4138" s="1385"/>
      <c r="BV4138" s="236">
        <v>260.02999999999997</v>
      </c>
      <c r="BW4138" s="236" t="s">
        <v>342</v>
      </c>
      <c r="CL4138" s="236">
        <v>508.07</v>
      </c>
      <c r="CM4138" s="236" t="s">
        <v>318</v>
      </c>
      <c r="CT4138" s="1384"/>
      <c r="CZ4138" s="338"/>
      <c r="DA4138" s="338"/>
      <c r="DP4138" s="236"/>
      <c r="DQ4138" s="236"/>
      <c r="DX4138" s="1671"/>
    </row>
    <row r="4139" spans="38:128">
      <c r="AL4139" s="1037"/>
      <c r="BP4139" s="1385"/>
      <c r="BV4139" s="236">
        <v>260.04000000000002</v>
      </c>
      <c r="BW4139" s="236" t="s">
        <v>342</v>
      </c>
      <c r="CL4139" s="236">
        <v>508.08</v>
      </c>
      <c r="CM4139" s="236" t="s">
        <v>318</v>
      </c>
      <c r="CT4139" s="1384"/>
      <c r="CZ4139" s="338"/>
      <c r="DA4139" s="338"/>
      <c r="DP4139" s="236"/>
      <c r="DQ4139" s="236"/>
      <c r="DX4139" s="1671"/>
    </row>
    <row r="4140" spans="38:128">
      <c r="AL4140" s="1037"/>
      <c r="BP4140" s="1385"/>
      <c r="BV4140" s="236">
        <v>261.01</v>
      </c>
      <c r="BW4140" s="236" t="s">
        <v>342</v>
      </c>
      <c r="CL4140" s="236">
        <v>508.09</v>
      </c>
      <c r="CM4140" s="236" t="s">
        <v>318</v>
      </c>
      <c r="CT4140" s="1384"/>
      <c r="CZ4140" s="338"/>
      <c r="DA4140" s="338"/>
      <c r="DP4140" s="236"/>
      <c r="DQ4140" s="236"/>
      <c r="DX4140" s="1671"/>
    </row>
    <row r="4141" spans="38:128">
      <c r="AL4141" s="1037"/>
      <c r="BP4141" s="1385"/>
      <c r="BV4141" s="236">
        <v>261.02</v>
      </c>
      <c r="BW4141" s="236" t="s">
        <v>342</v>
      </c>
      <c r="CL4141" s="236">
        <v>508.1</v>
      </c>
      <c r="CM4141" s="236" t="s">
        <v>318</v>
      </c>
      <c r="CT4141" s="1384"/>
      <c r="CZ4141" s="338"/>
      <c r="DA4141" s="338"/>
      <c r="DP4141" s="236"/>
      <c r="DQ4141" s="236"/>
      <c r="DX4141" s="1671"/>
    </row>
    <row r="4142" spans="38:128">
      <c r="AL4142" s="1037"/>
      <c r="BP4142" s="1385"/>
      <c r="BV4142" s="236">
        <v>262</v>
      </c>
      <c r="BW4142" s="236" t="s">
        <v>342</v>
      </c>
      <c r="CL4142" s="236">
        <v>508.11</v>
      </c>
      <c r="CM4142" s="236" t="s">
        <v>318</v>
      </c>
      <c r="CT4142" s="1384"/>
      <c r="CZ4142" s="338"/>
      <c r="DA4142" s="338"/>
      <c r="DP4142" s="236"/>
      <c r="DQ4142" s="236"/>
      <c r="DX4142" s="1671"/>
    </row>
    <row r="4143" spans="38:128">
      <c r="AL4143" s="1037"/>
      <c r="BP4143" s="1385"/>
      <c r="BV4143" s="236">
        <v>263</v>
      </c>
      <c r="BW4143" s="236" t="s">
        <v>342</v>
      </c>
      <c r="CL4143" s="236">
        <v>508.12</v>
      </c>
      <c r="CM4143" s="236" t="s">
        <v>318</v>
      </c>
      <c r="CT4143" s="1384"/>
      <c r="CZ4143" s="338"/>
      <c r="DA4143" s="338"/>
      <c r="DP4143" s="236"/>
      <c r="DQ4143" s="236"/>
      <c r="DX4143" s="1671"/>
    </row>
    <row r="4144" spans="38:128">
      <c r="AL4144" s="1037"/>
      <c r="BP4144" s="1385"/>
      <c r="BV4144" s="236">
        <v>264.01</v>
      </c>
      <c r="BW4144" s="236" t="s">
        <v>342</v>
      </c>
      <c r="CL4144" s="338">
        <v>509</v>
      </c>
      <c r="CM4144" s="338" t="s">
        <v>289</v>
      </c>
      <c r="CT4144" s="1384"/>
      <c r="CZ4144" s="338"/>
      <c r="DA4144" s="338"/>
      <c r="DP4144" s="236"/>
      <c r="DQ4144" s="236"/>
      <c r="DX4144" s="1671"/>
    </row>
    <row r="4145" spans="38:128">
      <c r="AL4145" s="1037"/>
      <c r="BP4145" s="1385"/>
      <c r="BV4145" s="236">
        <v>264.02</v>
      </c>
      <c r="BW4145" s="236" t="s">
        <v>342</v>
      </c>
      <c r="CL4145" s="236">
        <v>509.03</v>
      </c>
      <c r="CM4145" s="236" t="s">
        <v>318</v>
      </c>
      <c r="CT4145" s="1384"/>
      <c r="CZ4145" s="338"/>
      <c r="DA4145" s="338"/>
      <c r="DP4145" s="236"/>
      <c r="DQ4145" s="236"/>
      <c r="DX4145" s="1671"/>
    </row>
    <row r="4146" spans="38:128">
      <c r="AL4146" s="1037"/>
      <c r="BP4146" s="1385"/>
      <c r="BV4146" s="236">
        <v>265.01</v>
      </c>
      <c r="BW4146" s="236" t="s">
        <v>342</v>
      </c>
      <c r="CL4146" s="236">
        <v>509.05</v>
      </c>
      <c r="CM4146" s="236" t="s">
        <v>318</v>
      </c>
      <c r="CT4146" s="1384"/>
      <c r="CZ4146" s="338"/>
      <c r="DA4146" s="338"/>
      <c r="DP4146" s="236"/>
      <c r="DQ4146" s="236"/>
      <c r="DX4146" s="1671"/>
    </row>
    <row r="4147" spans="38:128">
      <c r="AL4147" s="1037"/>
      <c r="BP4147" s="1385"/>
      <c r="BV4147" s="236">
        <v>265.02</v>
      </c>
      <c r="BW4147" s="236" t="s">
        <v>342</v>
      </c>
      <c r="CL4147" s="236">
        <v>509.06</v>
      </c>
      <c r="CM4147" s="236" t="s">
        <v>318</v>
      </c>
      <c r="CT4147" s="1384"/>
      <c r="CZ4147" s="338"/>
      <c r="DA4147" s="338"/>
      <c r="DP4147" s="236"/>
      <c r="DQ4147" s="236"/>
      <c r="DX4147" s="1671"/>
    </row>
    <row r="4148" spans="38:128">
      <c r="AL4148" s="1037"/>
      <c r="BP4148" s="1385"/>
      <c r="BV4148" s="236">
        <v>266.01</v>
      </c>
      <c r="BW4148" s="236" t="s">
        <v>342</v>
      </c>
      <c r="CL4148" s="236">
        <v>509.07</v>
      </c>
      <c r="CM4148" s="236" t="s">
        <v>318</v>
      </c>
      <c r="CT4148" s="1384"/>
      <c r="CZ4148" s="338"/>
      <c r="DA4148" s="338"/>
      <c r="DP4148" s="236"/>
      <c r="DQ4148" s="236"/>
      <c r="DX4148" s="1671"/>
    </row>
    <row r="4149" spans="38:128">
      <c r="AL4149" s="1037"/>
      <c r="BP4149" s="1385"/>
      <c r="BV4149" s="236">
        <v>266.02</v>
      </c>
      <c r="BW4149" s="236" t="s">
        <v>342</v>
      </c>
      <c r="CL4149" s="236">
        <v>509.08</v>
      </c>
      <c r="CM4149" s="236" t="s">
        <v>318</v>
      </c>
      <c r="CT4149" s="1384"/>
      <c r="CZ4149" s="338"/>
      <c r="DA4149" s="338"/>
      <c r="DP4149" s="236"/>
      <c r="DQ4149" s="236"/>
      <c r="DX4149" s="1671"/>
    </row>
    <row r="4150" spans="38:128">
      <c r="AL4150" s="1037"/>
      <c r="BP4150" s="1385"/>
      <c r="BV4150" s="236">
        <v>267.01</v>
      </c>
      <c r="BW4150" s="236" t="s">
        <v>342</v>
      </c>
      <c r="CL4150" s="236">
        <v>509.09</v>
      </c>
      <c r="CM4150" s="236" t="s">
        <v>318</v>
      </c>
      <c r="CT4150" s="1384"/>
      <c r="CZ4150" s="338"/>
      <c r="DA4150" s="338"/>
      <c r="DP4150" s="236"/>
      <c r="DQ4150" s="236"/>
      <c r="DX4150" s="1671"/>
    </row>
    <row r="4151" spans="38:128">
      <c r="AL4151" s="1037"/>
      <c r="BP4151" s="1385"/>
      <c r="BV4151" s="236">
        <v>267.02999999999997</v>
      </c>
      <c r="BW4151" s="236" t="s">
        <v>342</v>
      </c>
      <c r="CL4151" s="338">
        <v>510.01</v>
      </c>
      <c r="CM4151" s="338" t="s">
        <v>289</v>
      </c>
      <c r="CT4151" s="1384"/>
      <c r="CZ4151" s="338"/>
      <c r="DA4151" s="338"/>
      <c r="DP4151" s="236"/>
      <c r="DQ4151" s="236"/>
      <c r="DX4151" s="1671"/>
    </row>
    <row r="4152" spans="38:128">
      <c r="AL4152" s="1037"/>
      <c r="BP4152" s="1385"/>
      <c r="BV4152" s="236">
        <v>267.04000000000002</v>
      </c>
      <c r="BW4152" s="236" t="s">
        <v>342</v>
      </c>
      <c r="CL4152" s="338">
        <v>510.02</v>
      </c>
      <c r="CM4152" s="338" t="s">
        <v>289</v>
      </c>
      <c r="CT4152" s="1384"/>
      <c r="CZ4152" s="338"/>
      <c r="DA4152" s="338"/>
      <c r="DP4152" s="236"/>
      <c r="DQ4152" s="236"/>
      <c r="DX4152" s="1671"/>
    </row>
    <row r="4153" spans="38:128">
      <c r="AL4153" s="1037"/>
      <c r="BP4153" s="1385"/>
      <c r="BV4153" s="236">
        <v>267.05</v>
      </c>
      <c r="BW4153" s="236" t="s">
        <v>342</v>
      </c>
      <c r="CL4153" s="236">
        <v>601.01</v>
      </c>
      <c r="CM4153" s="236" t="s">
        <v>323</v>
      </c>
      <c r="CT4153" s="1384"/>
      <c r="CZ4153" s="338"/>
      <c r="DA4153" s="338"/>
      <c r="DP4153" s="236"/>
      <c r="DQ4153" s="236"/>
      <c r="DX4153" s="1671"/>
    </row>
    <row r="4154" spans="38:128">
      <c r="AL4154" s="1037"/>
      <c r="BP4154" s="1385"/>
      <c r="BV4154" s="236">
        <v>268.04000000000002</v>
      </c>
      <c r="BW4154" s="236" t="s">
        <v>342</v>
      </c>
      <c r="CL4154" s="236">
        <v>601.02</v>
      </c>
      <c r="CM4154" s="236" t="s">
        <v>323</v>
      </c>
      <c r="CT4154" s="1384"/>
      <c r="CZ4154" s="338"/>
      <c r="DA4154" s="338"/>
      <c r="DP4154" s="236"/>
      <c r="DQ4154" s="236"/>
      <c r="DX4154" s="1671"/>
    </row>
    <row r="4155" spans="38:128">
      <c r="AL4155" s="1037"/>
      <c r="BP4155" s="1385"/>
      <c r="BV4155" s="236">
        <v>268.08999999999997</v>
      </c>
      <c r="BW4155" s="236" t="s">
        <v>342</v>
      </c>
      <c r="CL4155" s="338">
        <v>601.03</v>
      </c>
      <c r="CM4155" s="338" t="s">
        <v>288</v>
      </c>
      <c r="CT4155" s="1384"/>
      <c r="CZ4155" s="338"/>
      <c r="DA4155" s="338"/>
      <c r="DP4155" s="236"/>
      <c r="DQ4155" s="236"/>
      <c r="DX4155" s="1671"/>
    </row>
    <row r="4156" spans="38:128">
      <c r="AL4156" s="1037"/>
      <c r="BP4156" s="1385"/>
      <c r="BV4156" s="236">
        <v>268.11</v>
      </c>
      <c r="BW4156" s="236" t="s">
        <v>342</v>
      </c>
      <c r="CL4156" s="236">
        <v>601.03</v>
      </c>
      <c r="CM4156" s="236" t="s">
        <v>305</v>
      </c>
      <c r="CT4156" s="1384"/>
      <c r="CZ4156" s="338"/>
      <c r="DA4156" s="338"/>
      <c r="DP4156" s="236"/>
      <c r="DQ4156" s="236"/>
      <c r="DX4156" s="1671"/>
    </row>
    <row r="4157" spans="38:128">
      <c r="AL4157" s="1037"/>
      <c r="BP4157" s="1385"/>
      <c r="BV4157" s="236">
        <v>268.12</v>
      </c>
      <c r="BW4157" s="236" t="s">
        <v>342</v>
      </c>
      <c r="CL4157" s="338">
        <v>601.04</v>
      </c>
      <c r="CM4157" s="338" t="s">
        <v>288</v>
      </c>
      <c r="CT4157" s="1384"/>
      <c r="CZ4157" s="338"/>
      <c r="DA4157" s="338"/>
      <c r="DP4157" s="236"/>
      <c r="DQ4157" s="236"/>
      <c r="DX4157" s="1671"/>
    </row>
    <row r="4158" spans="38:128">
      <c r="AL4158" s="1037"/>
      <c r="BP4158" s="1385"/>
      <c r="BV4158" s="236">
        <v>268.13</v>
      </c>
      <c r="BW4158" s="236" t="s">
        <v>342</v>
      </c>
      <c r="CL4158" s="236">
        <v>601.04</v>
      </c>
      <c r="CM4158" s="236" t="s">
        <v>305</v>
      </c>
      <c r="CT4158" s="1384"/>
      <c r="CZ4158" s="338"/>
      <c r="DA4158" s="338"/>
      <c r="DP4158" s="236"/>
      <c r="DQ4158" s="236"/>
      <c r="DX4158" s="1671"/>
    </row>
    <row r="4159" spans="38:128">
      <c r="AL4159" s="1037"/>
      <c r="BP4159" s="1385"/>
      <c r="BV4159" s="236">
        <v>268.14</v>
      </c>
      <c r="BW4159" s="236" t="s">
        <v>342</v>
      </c>
      <c r="CL4159" s="338">
        <v>601.04999999999995</v>
      </c>
      <c r="CM4159" s="338" t="s">
        <v>288</v>
      </c>
      <c r="CT4159" s="1384"/>
      <c r="CZ4159" s="338"/>
      <c r="DA4159" s="338"/>
      <c r="DP4159" s="236"/>
      <c r="DQ4159" s="236"/>
      <c r="DX4159" s="1671"/>
    </row>
    <row r="4160" spans="38:128">
      <c r="AL4160" s="1037"/>
      <c r="BP4160" s="1385"/>
      <c r="BV4160" s="236">
        <v>268.14999999999998</v>
      </c>
      <c r="BW4160" s="236" t="s">
        <v>342</v>
      </c>
      <c r="CL4160" s="338">
        <v>601.04999999999995</v>
      </c>
      <c r="CM4160" s="338" t="s">
        <v>289</v>
      </c>
      <c r="CT4160" s="1384"/>
      <c r="CZ4160" s="338"/>
      <c r="DA4160" s="338"/>
      <c r="DP4160" s="236"/>
      <c r="DQ4160" s="236"/>
      <c r="DX4160" s="1671"/>
    </row>
    <row r="4161" spans="38:128">
      <c r="AL4161" s="1037"/>
      <c r="BP4161" s="1385"/>
      <c r="BV4161" s="236">
        <v>268.16000000000003</v>
      </c>
      <c r="BW4161" s="236" t="s">
        <v>342</v>
      </c>
      <c r="CL4161" s="236">
        <v>601.04999999999995</v>
      </c>
      <c r="CM4161" s="236" t="s">
        <v>305</v>
      </c>
      <c r="CT4161" s="1384"/>
      <c r="CZ4161" s="338"/>
      <c r="DA4161" s="338"/>
      <c r="DP4161" s="236"/>
      <c r="DQ4161" s="236"/>
      <c r="DX4161" s="1671"/>
    </row>
    <row r="4162" spans="38:128">
      <c r="AL4162" s="1037"/>
      <c r="BP4162" s="1385"/>
      <c r="BV4162" s="236">
        <v>268.17</v>
      </c>
      <c r="BW4162" s="236" t="s">
        <v>342</v>
      </c>
      <c r="CL4162" s="338">
        <v>601.05999999999995</v>
      </c>
      <c r="CM4162" s="338" t="s">
        <v>288</v>
      </c>
      <c r="CT4162" s="1384"/>
      <c r="CZ4162" s="338"/>
      <c r="DA4162" s="338"/>
      <c r="DP4162" s="236"/>
      <c r="DQ4162" s="236"/>
      <c r="DX4162" s="1671"/>
    </row>
    <row r="4163" spans="38:128">
      <c r="AL4163" s="1037"/>
      <c r="BP4163" s="1385"/>
      <c r="BV4163" s="236">
        <v>268.18</v>
      </c>
      <c r="BW4163" s="236" t="s">
        <v>342</v>
      </c>
      <c r="CL4163" s="236">
        <v>601.05999999999995</v>
      </c>
      <c r="CM4163" s="236" t="s">
        <v>305</v>
      </c>
      <c r="CT4163" s="1384"/>
      <c r="CZ4163" s="338"/>
      <c r="DA4163" s="338"/>
      <c r="DP4163" s="236"/>
      <c r="DQ4163" s="236"/>
      <c r="DX4163" s="1671"/>
    </row>
    <row r="4164" spans="38:128">
      <c r="AL4164" s="1037"/>
      <c r="BP4164" s="1385"/>
      <c r="BV4164" s="236">
        <v>268.19</v>
      </c>
      <c r="BW4164" s="236" t="s">
        <v>342</v>
      </c>
      <c r="CL4164" s="338">
        <v>601.07000000000005</v>
      </c>
      <c r="CM4164" s="338" t="s">
        <v>289</v>
      </c>
      <c r="CT4164" s="1384"/>
      <c r="CZ4164" s="338"/>
      <c r="DA4164" s="338"/>
      <c r="DP4164" s="236"/>
      <c r="DQ4164" s="236"/>
      <c r="DX4164" s="1671"/>
    </row>
    <row r="4165" spans="38:128">
      <c r="AL4165" s="1037"/>
      <c r="BP4165" s="1385"/>
      <c r="BV4165" s="236">
        <v>268.2</v>
      </c>
      <c r="BW4165" s="236" t="s">
        <v>342</v>
      </c>
      <c r="CL4165" s="236">
        <v>601.07000000000005</v>
      </c>
      <c r="CM4165" s="236" t="s">
        <v>305</v>
      </c>
      <c r="CT4165" s="1384"/>
      <c r="CZ4165" s="338"/>
      <c r="DA4165" s="338"/>
      <c r="DP4165" s="236"/>
      <c r="DQ4165" s="236"/>
      <c r="DX4165" s="1671"/>
    </row>
    <row r="4166" spans="38:128">
      <c r="AL4166" s="1037"/>
      <c r="BP4166" s="1385"/>
      <c r="BV4166" s="236">
        <v>268.20999999999998</v>
      </c>
      <c r="BW4166" s="236" t="s">
        <v>342</v>
      </c>
      <c r="CL4166" s="338">
        <v>601.09</v>
      </c>
      <c r="CM4166" s="338" t="s">
        <v>289</v>
      </c>
      <c r="CT4166" s="1384"/>
      <c r="CZ4166" s="338"/>
      <c r="DA4166" s="338"/>
      <c r="DP4166" s="236"/>
      <c r="DQ4166" s="236"/>
      <c r="DX4166" s="1671"/>
    </row>
    <row r="4167" spans="38:128">
      <c r="AL4167" s="1037"/>
      <c r="BP4167" s="1385"/>
      <c r="BV4167" s="236">
        <v>269.04000000000002</v>
      </c>
      <c r="BW4167" s="236" t="s">
        <v>342</v>
      </c>
      <c r="CL4167" s="338">
        <v>601.11</v>
      </c>
      <c r="CM4167" s="338" t="s">
        <v>289</v>
      </c>
      <c r="CT4167" s="1384"/>
      <c r="CZ4167" s="338"/>
      <c r="DA4167" s="338"/>
      <c r="DP4167" s="236"/>
      <c r="DQ4167" s="236"/>
      <c r="DX4167" s="1671"/>
    </row>
    <row r="4168" spans="38:128">
      <c r="AL4168" s="1037"/>
      <c r="BP4168" s="1385"/>
      <c r="BV4168" s="236">
        <v>269.08</v>
      </c>
      <c r="BW4168" s="236" t="s">
        <v>342</v>
      </c>
      <c r="CL4168" s="338">
        <v>601.13</v>
      </c>
      <c r="CM4168" s="338" t="s">
        <v>289</v>
      </c>
      <c r="CT4168" s="1384"/>
      <c r="CZ4168" s="338"/>
      <c r="DA4168" s="338"/>
      <c r="DP4168" s="236"/>
      <c r="DQ4168" s="236"/>
      <c r="DX4168" s="1671"/>
    </row>
    <row r="4169" spans="38:128">
      <c r="AL4169" s="1037"/>
      <c r="BP4169" s="1385"/>
      <c r="BV4169" s="236">
        <v>269.08999999999997</v>
      </c>
      <c r="BW4169" s="236" t="s">
        <v>342</v>
      </c>
      <c r="CL4169" s="338">
        <v>601.14</v>
      </c>
      <c r="CM4169" s="338" t="s">
        <v>289</v>
      </c>
      <c r="CT4169" s="1384"/>
      <c r="CZ4169" s="338"/>
      <c r="DA4169" s="338"/>
      <c r="DP4169" s="236"/>
      <c r="DQ4169" s="236"/>
      <c r="DX4169" s="1671"/>
    </row>
    <row r="4170" spans="38:128">
      <c r="AL4170" s="1037"/>
      <c r="BP4170" s="1385"/>
      <c r="BV4170" s="236">
        <v>269.11</v>
      </c>
      <c r="BW4170" s="236" t="s">
        <v>342</v>
      </c>
      <c r="CL4170" s="338">
        <v>601.15</v>
      </c>
      <c r="CM4170" s="338" t="s">
        <v>289</v>
      </c>
      <c r="CT4170" s="1384"/>
      <c r="CZ4170" s="338"/>
      <c r="DA4170" s="338"/>
      <c r="DP4170" s="236"/>
      <c r="DQ4170" s="236"/>
      <c r="DX4170" s="1671"/>
    </row>
    <row r="4171" spans="38:128">
      <c r="AL4171" s="1037"/>
      <c r="BP4171" s="1385"/>
      <c r="BV4171" s="236">
        <v>269.12</v>
      </c>
      <c r="BW4171" s="236" t="s">
        <v>342</v>
      </c>
      <c r="CL4171" s="338">
        <v>601.16</v>
      </c>
      <c r="CM4171" s="338" t="s">
        <v>289</v>
      </c>
      <c r="CT4171" s="1384"/>
      <c r="CZ4171" s="338"/>
      <c r="DA4171" s="338"/>
      <c r="DP4171" s="236"/>
      <c r="DQ4171" s="236"/>
      <c r="DX4171" s="1671"/>
    </row>
    <row r="4172" spans="38:128">
      <c r="AL4172" s="1037"/>
      <c r="BP4172" s="1385"/>
      <c r="BV4172" s="236">
        <v>269.13</v>
      </c>
      <c r="BW4172" s="236" t="s">
        <v>342</v>
      </c>
      <c r="CL4172" s="338">
        <v>601.16999999999996</v>
      </c>
      <c r="CM4172" s="338" t="s">
        <v>289</v>
      </c>
      <c r="CT4172" s="1384"/>
      <c r="CZ4172" s="338"/>
      <c r="DA4172" s="338"/>
      <c r="DP4172" s="236"/>
      <c r="DQ4172" s="236"/>
      <c r="DX4172" s="1671"/>
    </row>
    <row r="4173" spans="38:128">
      <c r="AL4173" s="1037"/>
      <c r="BP4173" s="1385"/>
      <c r="BV4173" s="236">
        <v>269.14</v>
      </c>
      <c r="BW4173" s="236" t="s">
        <v>342</v>
      </c>
      <c r="CL4173" s="338">
        <v>601.17999999999995</v>
      </c>
      <c r="CM4173" s="338" t="s">
        <v>289</v>
      </c>
      <c r="CT4173" s="1384"/>
      <c r="CZ4173" s="338"/>
      <c r="DA4173" s="338"/>
      <c r="DP4173" s="236"/>
      <c r="DQ4173" s="236"/>
      <c r="DX4173" s="1671"/>
    </row>
    <row r="4174" spans="38:128">
      <c r="AL4174" s="1037"/>
      <c r="BP4174" s="1385"/>
      <c r="BV4174" s="236">
        <v>269.14999999999998</v>
      </c>
      <c r="BW4174" s="236" t="s">
        <v>342</v>
      </c>
      <c r="CL4174" s="338">
        <v>601.19000000000005</v>
      </c>
      <c r="CM4174" s="338" t="s">
        <v>289</v>
      </c>
      <c r="CT4174" s="1384"/>
      <c r="CZ4174" s="338"/>
      <c r="DA4174" s="338"/>
      <c r="DP4174" s="236"/>
      <c r="DQ4174" s="236"/>
      <c r="DX4174" s="1671"/>
    </row>
    <row r="4175" spans="38:128">
      <c r="AL4175" s="1037"/>
      <c r="BP4175" s="1385"/>
      <c r="BV4175" s="236">
        <v>269.16000000000003</v>
      </c>
      <c r="BW4175" s="236" t="s">
        <v>342</v>
      </c>
      <c r="CL4175" s="338">
        <v>601.20000000000005</v>
      </c>
      <c r="CM4175" s="338" t="s">
        <v>289</v>
      </c>
      <c r="CT4175" s="1384"/>
      <c r="CZ4175" s="338"/>
      <c r="DA4175" s="338"/>
      <c r="DP4175" s="236"/>
      <c r="DQ4175" s="236"/>
      <c r="DX4175" s="1671"/>
    </row>
    <row r="4176" spans="38:128">
      <c r="AL4176" s="1037"/>
      <c r="BP4176" s="1385"/>
      <c r="BV4176" s="236">
        <v>269.17</v>
      </c>
      <c r="BW4176" s="236" t="s">
        <v>342</v>
      </c>
      <c r="CL4176" s="338">
        <v>601.21</v>
      </c>
      <c r="CM4176" s="338" t="s">
        <v>289</v>
      </c>
      <c r="CT4176" s="1384"/>
      <c r="CZ4176" s="338"/>
      <c r="DA4176" s="338"/>
      <c r="DP4176" s="236"/>
      <c r="DQ4176" s="236"/>
      <c r="DX4176" s="1671"/>
    </row>
    <row r="4177" spans="38:128">
      <c r="AL4177" s="1037"/>
      <c r="BP4177" s="1385"/>
      <c r="BV4177" s="236">
        <v>270</v>
      </c>
      <c r="BW4177" s="236" t="s">
        <v>342</v>
      </c>
      <c r="CL4177" s="338">
        <v>601.22</v>
      </c>
      <c r="CM4177" s="338" t="s">
        <v>289</v>
      </c>
      <c r="CT4177" s="1384"/>
      <c r="CZ4177" s="338"/>
      <c r="DA4177" s="338"/>
      <c r="DP4177" s="236"/>
      <c r="DQ4177" s="236"/>
      <c r="DX4177" s="1671"/>
    </row>
    <row r="4178" spans="38:128">
      <c r="AL4178" s="1037"/>
      <c r="BP4178" s="1385"/>
      <c r="BV4178" s="236">
        <v>271.05</v>
      </c>
      <c r="BW4178" s="236" t="s">
        <v>342</v>
      </c>
      <c r="CL4178" s="338">
        <v>601.23</v>
      </c>
      <c r="CM4178" s="338" t="s">
        <v>289</v>
      </c>
      <c r="CT4178" s="1384"/>
      <c r="CZ4178" s="338"/>
      <c r="DA4178" s="338"/>
      <c r="DP4178" s="236"/>
      <c r="DQ4178" s="236"/>
      <c r="DX4178" s="1671"/>
    </row>
    <row r="4179" spans="38:128">
      <c r="AL4179" s="1037"/>
      <c r="BP4179" s="1385"/>
      <c r="BV4179" s="236">
        <v>271.06</v>
      </c>
      <c r="BW4179" s="236" t="s">
        <v>342</v>
      </c>
      <c r="CL4179" s="338">
        <v>601.24</v>
      </c>
      <c r="CM4179" s="338" t="s">
        <v>289</v>
      </c>
      <c r="CT4179" s="1384"/>
      <c r="CZ4179" s="338"/>
      <c r="DA4179" s="338"/>
      <c r="DP4179" s="236"/>
      <c r="DQ4179" s="236"/>
      <c r="DX4179" s="1671"/>
    </row>
    <row r="4180" spans="38:128">
      <c r="AL4180" s="1037"/>
      <c r="BP4180" s="1385"/>
      <c r="BV4180" s="236">
        <v>271.07</v>
      </c>
      <c r="BW4180" s="236" t="s">
        <v>342</v>
      </c>
      <c r="CL4180" s="338">
        <v>601.25</v>
      </c>
      <c r="CM4180" s="338" t="s">
        <v>289</v>
      </c>
      <c r="CT4180" s="1384"/>
      <c r="CZ4180" s="338"/>
      <c r="DA4180" s="338"/>
      <c r="DP4180" s="236"/>
      <c r="DQ4180" s="236"/>
      <c r="DX4180" s="1671"/>
    </row>
    <row r="4181" spans="38:128">
      <c r="AL4181" s="1037"/>
      <c r="BP4181" s="1385"/>
      <c r="BV4181" s="236">
        <v>271.08</v>
      </c>
      <c r="BW4181" s="236" t="s">
        <v>342</v>
      </c>
      <c r="CL4181" s="338">
        <v>601.26</v>
      </c>
      <c r="CM4181" s="338" t="s">
        <v>289</v>
      </c>
      <c r="CT4181" s="1384"/>
      <c r="CZ4181" s="338"/>
      <c r="DA4181" s="338"/>
      <c r="DP4181" s="236"/>
      <c r="DQ4181" s="236"/>
      <c r="DX4181" s="1671"/>
    </row>
    <row r="4182" spans="38:128">
      <c r="AL4182" s="1037"/>
      <c r="BP4182" s="1385"/>
      <c r="BV4182" s="236">
        <v>272.02</v>
      </c>
      <c r="BW4182" s="236" t="s">
        <v>342</v>
      </c>
      <c r="CL4182" s="338">
        <v>601.27</v>
      </c>
      <c r="CM4182" s="338" t="s">
        <v>289</v>
      </c>
      <c r="CT4182" s="1384"/>
      <c r="CZ4182" s="338"/>
      <c r="DA4182" s="338"/>
      <c r="DP4182" s="236"/>
      <c r="DQ4182" s="236"/>
      <c r="DX4182" s="1671"/>
    </row>
    <row r="4183" spans="38:128">
      <c r="AL4183" s="1037"/>
      <c r="BP4183" s="1385"/>
      <c r="BV4183" s="236">
        <v>272.04000000000002</v>
      </c>
      <c r="BW4183" s="236" t="s">
        <v>342</v>
      </c>
      <c r="CL4183" s="338">
        <v>601.28</v>
      </c>
      <c r="CM4183" s="338" t="s">
        <v>289</v>
      </c>
      <c r="CT4183" s="1384"/>
      <c r="CZ4183" s="338"/>
      <c r="DA4183" s="338"/>
      <c r="DP4183" s="236"/>
      <c r="DQ4183" s="236"/>
      <c r="DX4183" s="1671"/>
    </row>
    <row r="4184" spans="38:128">
      <c r="AL4184" s="1037"/>
      <c r="BP4184" s="1385"/>
      <c r="BV4184" s="236">
        <v>272.06</v>
      </c>
      <c r="BW4184" s="236" t="s">
        <v>342</v>
      </c>
      <c r="CL4184" s="338">
        <v>601.29</v>
      </c>
      <c r="CM4184" s="338" t="s">
        <v>289</v>
      </c>
      <c r="CT4184" s="1384"/>
      <c r="CZ4184" s="338"/>
      <c r="DA4184" s="338"/>
      <c r="DP4184" s="236"/>
      <c r="DQ4184" s="236"/>
      <c r="DX4184" s="1671"/>
    </row>
    <row r="4185" spans="38:128">
      <c r="AL4185" s="1037"/>
      <c r="BP4185" s="1385"/>
      <c r="BV4185" s="236">
        <v>272.07</v>
      </c>
      <c r="BW4185" s="236" t="s">
        <v>342</v>
      </c>
      <c r="CL4185" s="338">
        <v>601.29999999999995</v>
      </c>
      <c r="CM4185" s="338" t="s">
        <v>289</v>
      </c>
      <c r="CT4185" s="1384"/>
      <c r="CZ4185" s="338"/>
      <c r="DA4185" s="338"/>
      <c r="DP4185" s="236"/>
      <c r="DQ4185" s="236"/>
      <c r="DX4185" s="1671"/>
    </row>
    <row r="4186" spans="38:128">
      <c r="AL4186" s="1037"/>
      <c r="BP4186" s="1385"/>
      <c r="BV4186" s="236">
        <v>272.08</v>
      </c>
      <c r="BW4186" s="236" t="s">
        <v>342</v>
      </c>
      <c r="CL4186" s="338">
        <v>602.01</v>
      </c>
      <c r="CM4186" s="338" t="s">
        <v>288</v>
      </c>
      <c r="CT4186" s="1384"/>
      <c r="CZ4186" s="338"/>
      <c r="DA4186" s="338"/>
      <c r="DP4186" s="236"/>
      <c r="DQ4186" s="236"/>
      <c r="DX4186" s="1671"/>
    </row>
    <row r="4187" spans="38:128">
      <c r="AL4187" s="1037"/>
      <c r="BP4187" s="1385"/>
      <c r="BV4187" s="236">
        <v>272.08999999999997</v>
      </c>
      <c r="BW4187" s="236" t="s">
        <v>342</v>
      </c>
      <c r="CL4187" s="236">
        <v>602.01</v>
      </c>
      <c r="CM4187" s="236" t="s">
        <v>323</v>
      </c>
      <c r="CT4187" s="1384"/>
      <c r="CZ4187" s="338"/>
      <c r="DA4187" s="338"/>
      <c r="DP4187" s="236"/>
      <c r="DQ4187" s="236"/>
      <c r="DX4187" s="1671"/>
    </row>
    <row r="4188" spans="38:128">
      <c r="AL4188" s="1037"/>
      <c r="BP4188" s="1385"/>
      <c r="BV4188" s="236">
        <v>272.10000000000002</v>
      </c>
      <c r="BW4188" s="236" t="s">
        <v>342</v>
      </c>
      <c r="CL4188" s="338">
        <v>602.02</v>
      </c>
      <c r="CM4188" s="338" t="s">
        <v>288</v>
      </c>
      <c r="CT4188" s="1384"/>
      <c r="CZ4188" s="338"/>
      <c r="DA4188" s="338"/>
      <c r="DP4188" s="236"/>
      <c r="DQ4188" s="236"/>
      <c r="DX4188" s="1671"/>
    </row>
    <row r="4189" spans="38:128">
      <c r="AL4189" s="1037"/>
      <c r="BP4189" s="1385"/>
      <c r="BV4189" s="236">
        <v>272.11</v>
      </c>
      <c r="BW4189" s="236" t="s">
        <v>342</v>
      </c>
      <c r="CL4189" s="236">
        <v>602.02</v>
      </c>
      <c r="CM4189" s="236" t="s">
        <v>323</v>
      </c>
      <c r="CT4189" s="1384"/>
      <c r="CZ4189" s="338"/>
      <c r="DA4189" s="338"/>
      <c r="DP4189" s="236"/>
      <c r="DQ4189" s="236"/>
      <c r="DX4189" s="1671"/>
    </row>
    <row r="4190" spans="38:128">
      <c r="AL4190" s="1037"/>
      <c r="BP4190" s="1385"/>
      <c r="BV4190" s="236">
        <v>272.12</v>
      </c>
      <c r="BW4190" s="236" t="s">
        <v>342</v>
      </c>
      <c r="CL4190" s="338">
        <v>602.03</v>
      </c>
      <c r="CM4190" s="338" t="s">
        <v>289</v>
      </c>
      <c r="CT4190" s="1384"/>
      <c r="CZ4190" s="338"/>
      <c r="DA4190" s="338"/>
      <c r="DP4190" s="236"/>
      <c r="DQ4190" s="236"/>
      <c r="DX4190" s="1671"/>
    </row>
    <row r="4191" spans="38:128">
      <c r="AL4191" s="1037"/>
      <c r="BP4191" s="1385"/>
      <c r="BV4191" s="236">
        <v>273.08</v>
      </c>
      <c r="BW4191" s="236" t="s">
        <v>342</v>
      </c>
      <c r="CL4191" s="236">
        <v>602.03</v>
      </c>
      <c r="CM4191" s="236" t="s">
        <v>323</v>
      </c>
      <c r="CT4191" s="1384"/>
      <c r="CZ4191" s="338"/>
      <c r="DA4191" s="338"/>
      <c r="DP4191" s="236"/>
      <c r="DQ4191" s="236"/>
      <c r="DX4191" s="1671"/>
    </row>
    <row r="4192" spans="38:128">
      <c r="AL4192" s="1037"/>
      <c r="BP4192" s="1385"/>
      <c r="BV4192" s="236">
        <v>273.08999999999997</v>
      </c>
      <c r="BW4192" s="236" t="s">
        <v>342</v>
      </c>
      <c r="CL4192" s="338">
        <v>602.05999999999995</v>
      </c>
      <c r="CM4192" s="338" t="s">
        <v>289</v>
      </c>
      <c r="CT4192" s="1384"/>
      <c r="CZ4192" s="338"/>
      <c r="DA4192" s="338"/>
      <c r="DP4192" s="236"/>
      <c r="DQ4192" s="236"/>
      <c r="DX4192" s="1671"/>
    </row>
    <row r="4193" spans="38:128">
      <c r="AL4193" s="1037"/>
      <c r="BP4193" s="1385"/>
      <c r="BV4193" s="236">
        <v>273.14</v>
      </c>
      <c r="BW4193" s="236" t="s">
        <v>342</v>
      </c>
      <c r="CL4193" s="236">
        <v>602.05999999999995</v>
      </c>
      <c r="CM4193" s="236" t="s">
        <v>305</v>
      </c>
      <c r="CT4193" s="1384"/>
      <c r="CZ4193" s="338"/>
      <c r="DA4193" s="338"/>
      <c r="DP4193" s="236"/>
      <c r="DQ4193" s="236"/>
      <c r="DX4193" s="1671"/>
    </row>
    <row r="4194" spans="38:128">
      <c r="AL4194" s="1037"/>
      <c r="BP4194" s="1385"/>
      <c r="BV4194" s="236">
        <v>273.16000000000003</v>
      </c>
      <c r="BW4194" s="236" t="s">
        <v>342</v>
      </c>
      <c r="CL4194" s="338">
        <v>602.07000000000005</v>
      </c>
      <c r="CM4194" s="338" t="s">
        <v>289</v>
      </c>
      <c r="CT4194" s="1384"/>
      <c r="CZ4194" s="338"/>
      <c r="DA4194" s="338"/>
      <c r="DP4194" s="236"/>
      <c r="DQ4194" s="236"/>
      <c r="DX4194" s="1671"/>
    </row>
    <row r="4195" spans="38:128">
      <c r="AL4195" s="1037"/>
      <c r="BP4195" s="1385"/>
      <c r="BV4195" s="236">
        <v>273.17</v>
      </c>
      <c r="BW4195" s="236" t="s">
        <v>342</v>
      </c>
      <c r="CL4195" s="236">
        <v>602.07000000000005</v>
      </c>
      <c r="CM4195" s="236" t="s">
        <v>305</v>
      </c>
      <c r="CT4195" s="1384"/>
      <c r="CZ4195" s="338"/>
      <c r="DA4195" s="338"/>
      <c r="DP4195" s="236"/>
      <c r="DQ4195" s="236"/>
      <c r="DX4195" s="1671"/>
    </row>
    <row r="4196" spans="38:128">
      <c r="AL4196" s="1037"/>
      <c r="BP4196" s="1385"/>
      <c r="BV4196" s="236">
        <v>273.18</v>
      </c>
      <c r="BW4196" s="236" t="s">
        <v>342</v>
      </c>
      <c r="CL4196" s="338">
        <v>602.08000000000004</v>
      </c>
      <c r="CM4196" s="338" t="s">
        <v>289</v>
      </c>
      <c r="CT4196" s="1384"/>
      <c r="CZ4196" s="338"/>
      <c r="DA4196" s="338"/>
      <c r="DP4196" s="236"/>
      <c r="DQ4196" s="236"/>
      <c r="DX4196" s="1671"/>
    </row>
    <row r="4197" spans="38:128">
      <c r="AL4197" s="1037"/>
      <c r="BP4197" s="1385"/>
      <c r="BV4197" s="236">
        <v>273.19</v>
      </c>
      <c r="BW4197" s="236" t="s">
        <v>342</v>
      </c>
      <c r="CL4197" s="236">
        <v>602.08000000000004</v>
      </c>
      <c r="CM4197" s="236" t="s">
        <v>305</v>
      </c>
      <c r="CT4197" s="1384"/>
      <c r="CZ4197" s="338"/>
      <c r="DA4197" s="338"/>
      <c r="DP4197" s="236"/>
      <c r="DQ4197" s="236"/>
      <c r="DX4197" s="1671"/>
    </row>
    <row r="4198" spans="38:128">
      <c r="AL4198" s="1037"/>
      <c r="BP4198" s="1385"/>
      <c r="BV4198" s="236">
        <v>273.2</v>
      </c>
      <c r="BW4198" s="236" t="s">
        <v>342</v>
      </c>
      <c r="CL4198" s="338">
        <v>602.09</v>
      </c>
      <c r="CM4198" s="338" t="s">
        <v>289</v>
      </c>
      <c r="CT4198" s="1384"/>
      <c r="CZ4198" s="338"/>
      <c r="DA4198" s="338"/>
      <c r="DP4198" s="236"/>
      <c r="DQ4198" s="236"/>
      <c r="DX4198" s="1671"/>
    </row>
    <row r="4199" spans="38:128">
      <c r="AL4199" s="1037"/>
      <c r="BP4199" s="1385"/>
      <c r="BV4199" s="236">
        <v>273.20999999999998</v>
      </c>
      <c r="BW4199" s="236" t="s">
        <v>342</v>
      </c>
      <c r="CL4199" s="338">
        <v>602.1</v>
      </c>
      <c r="CM4199" s="338" t="s">
        <v>289</v>
      </c>
      <c r="CT4199" s="1384"/>
      <c r="CZ4199" s="338"/>
      <c r="DA4199" s="338"/>
      <c r="DP4199" s="236"/>
      <c r="DQ4199" s="236"/>
      <c r="DX4199" s="1671"/>
    </row>
    <row r="4200" spans="38:128">
      <c r="AL4200" s="1037"/>
      <c r="BP4200" s="1385"/>
      <c r="BV4200" s="236">
        <v>273.23</v>
      </c>
      <c r="BW4200" s="236" t="s">
        <v>342</v>
      </c>
      <c r="CL4200" s="236">
        <v>602.1</v>
      </c>
      <c r="CM4200" s="236" t="s">
        <v>305</v>
      </c>
      <c r="CT4200" s="1384"/>
      <c r="CZ4200" s="338"/>
      <c r="DA4200" s="338"/>
      <c r="DP4200" s="236"/>
      <c r="DQ4200" s="236"/>
      <c r="DX4200" s="1671"/>
    </row>
    <row r="4201" spans="38:128">
      <c r="AL4201" s="1037"/>
      <c r="BP4201" s="1385"/>
      <c r="BV4201" s="236">
        <v>273.24</v>
      </c>
      <c r="BW4201" s="236" t="s">
        <v>342</v>
      </c>
      <c r="CL4201" s="338">
        <v>602.11</v>
      </c>
      <c r="CM4201" s="338" t="s">
        <v>289</v>
      </c>
      <c r="CT4201" s="1384"/>
      <c r="CZ4201" s="338"/>
      <c r="DA4201" s="338"/>
      <c r="DP4201" s="236"/>
      <c r="DQ4201" s="236"/>
      <c r="DX4201" s="1671"/>
    </row>
    <row r="4202" spans="38:128">
      <c r="AL4202" s="1037"/>
      <c r="BP4202" s="1385"/>
      <c r="BV4202" s="236">
        <v>273.25</v>
      </c>
      <c r="BW4202" s="236" t="s">
        <v>342</v>
      </c>
      <c r="CL4202" s="236">
        <v>602.11</v>
      </c>
      <c r="CM4202" s="236" t="s">
        <v>305</v>
      </c>
      <c r="CT4202" s="1384"/>
      <c r="CZ4202" s="338"/>
      <c r="DA4202" s="338"/>
      <c r="DP4202" s="236"/>
      <c r="DQ4202" s="236"/>
      <c r="DX4202" s="1671"/>
    </row>
    <row r="4203" spans="38:128">
      <c r="AL4203" s="1037"/>
      <c r="BP4203" s="1385"/>
      <c r="BV4203" s="236">
        <v>273.26</v>
      </c>
      <c r="BW4203" s="236" t="s">
        <v>342</v>
      </c>
      <c r="CL4203" s="338">
        <v>602.12</v>
      </c>
      <c r="CM4203" s="338" t="s">
        <v>289</v>
      </c>
      <c r="CT4203" s="1384"/>
      <c r="CZ4203" s="338"/>
      <c r="DA4203" s="338"/>
      <c r="DP4203" s="236"/>
      <c r="DQ4203" s="236"/>
      <c r="DX4203" s="1671"/>
    </row>
    <row r="4204" spans="38:128">
      <c r="AL4204" s="1037"/>
      <c r="BP4204" s="1385"/>
      <c r="BV4204" s="236">
        <v>273.27</v>
      </c>
      <c r="BW4204" s="236" t="s">
        <v>342</v>
      </c>
      <c r="CL4204" s="236">
        <v>602.12</v>
      </c>
      <c r="CM4204" s="236" t="s">
        <v>305</v>
      </c>
      <c r="CT4204" s="1384"/>
      <c r="CZ4204" s="338"/>
      <c r="DA4204" s="338"/>
      <c r="DP4204" s="236"/>
      <c r="DQ4204" s="236"/>
      <c r="DX4204" s="1671"/>
    </row>
    <row r="4205" spans="38:128">
      <c r="AL4205" s="1037"/>
      <c r="BP4205" s="1385"/>
      <c r="BV4205" s="236">
        <v>273.27999999999997</v>
      </c>
      <c r="BW4205" s="236" t="s">
        <v>342</v>
      </c>
      <c r="CL4205" s="236">
        <v>602.13</v>
      </c>
      <c r="CM4205" s="236" t="s">
        <v>305</v>
      </c>
      <c r="CT4205" s="1384"/>
      <c r="CZ4205" s="338"/>
      <c r="DA4205" s="338"/>
      <c r="DP4205" s="236"/>
      <c r="DQ4205" s="236"/>
      <c r="DX4205" s="1671"/>
    </row>
    <row r="4206" spans="38:128">
      <c r="AL4206" s="1037"/>
      <c r="BP4206" s="1385"/>
      <c r="BV4206" s="236">
        <v>273.29000000000002</v>
      </c>
      <c r="BW4206" s="236" t="s">
        <v>342</v>
      </c>
      <c r="CL4206" s="338">
        <v>602.14</v>
      </c>
      <c r="CM4206" s="338" t="s">
        <v>289</v>
      </c>
      <c r="CT4206" s="1384"/>
      <c r="CZ4206" s="338"/>
      <c r="DA4206" s="338"/>
      <c r="DP4206" s="236"/>
      <c r="DQ4206" s="236"/>
      <c r="DX4206" s="1671"/>
    </row>
    <row r="4207" spans="38:128">
      <c r="AL4207" s="1037"/>
      <c r="BP4207" s="1385"/>
      <c r="BV4207" s="236">
        <v>273.3</v>
      </c>
      <c r="BW4207" s="236" t="s">
        <v>342</v>
      </c>
      <c r="CL4207" s="236">
        <v>602.14</v>
      </c>
      <c r="CM4207" s="236" t="s">
        <v>305</v>
      </c>
      <c r="CT4207" s="1384"/>
      <c r="CZ4207" s="338"/>
      <c r="DA4207" s="338"/>
      <c r="DP4207" s="236"/>
      <c r="DQ4207" s="236"/>
      <c r="DX4207" s="1671"/>
    </row>
    <row r="4208" spans="38:128">
      <c r="AL4208" s="1037"/>
      <c r="BP4208" s="1385"/>
      <c r="BV4208" s="236">
        <v>273.31</v>
      </c>
      <c r="BW4208" s="236" t="s">
        <v>342</v>
      </c>
      <c r="CL4208" s="338">
        <v>602.15</v>
      </c>
      <c r="CM4208" s="338" t="s">
        <v>289</v>
      </c>
      <c r="CT4208" s="1384"/>
      <c r="CZ4208" s="338"/>
      <c r="DA4208" s="338"/>
      <c r="DP4208" s="236"/>
      <c r="DQ4208" s="236"/>
      <c r="DX4208" s="1671"/>
    </row>
    <row r="4209" spans="38:128">
      <c r="AL4209" s="1037"/>
      <c r="BP4209" s="1385"/>
      <c r="BV4209" s="236">
        <v>273.32</v>
      </c>
      <c r="BW4209" s="236" t="s">
        <v>342</v>
      </c>
      <c r="CL4209" s="236">
        <v>602.15</v>
      </c>
      <c r="CM4209" s="236" t="s">
        <v>305</v>
      </c>
      <c r="CT4209" s="1384"/>
      <c r="CZ4209" s="338"/>
      <c r="DA4209" s="338"/>
      <c r="DP4209" s="236"/>
      <c r="DQ4209" s="236"/>
      <c r="DX4209" s="1671"/>
    </row>
    <row r="4210" spans="38:128">
      <c r="AL4210" s="1037"/>
      <c r="BP4210" s="1385"/>
      <c r="BV4210" s="236">
        <v>273.33</v>
      </c>
      <c r="BW4210" s="236" t="s">
        <v>342</v>
      </c>
      <c r="CL4210" s="236">
        <v>602.16</v>
      </c>
      <c r="CM4210" s="236" t="s">
        <v>305</v>
      </c>
      <c r="CT4210" s="1384"/>
      <c r="CZ4210" s="338"/>
      <c r="DA4210" s="338"/>
      <c r="DP4210" s="236"/>
      <c r="DQ4210" s="236"/>
      <c r="DX4210" s="1671"/>
    </row>
    <row r="4211" spans="38:128">
      <c r="AL4211" s="1037"/>
      <c r="BP4211" s="1385"/>
      <c r="BV4211" s="236">
        <v>274.01</v>
      </c>
      <c r="BW4211" s="236" t="s">
        <v>342</v>
      </c>
      <c r="CL4211" s="236">
        <v>602.16999999999996</v>
      </c>
      <c r="CM4211" s="236" t="s">
        <v>305</v>
      </c>
      <c r="CT4211" s="1384"/>
      <c r="CZ4211" s="338"/>
      <c r="DA4211" s="338"/>
      <c r="DP4211" s="236"/>
      <c r="DQ4211" s="236"/>
      <c r="DX4211" s="1671"/>
    </row>
    <row r="4212" spans="38:128">
      <c r="AL4212" s="1037"/>
      <c r="BP4212" s="1385"/>
      <c r="BV4212" s="236">
        <v>274.04000000000002</v>
      </c>
      <c r="BW4212" s="236" t="s">
        <v>342</v>
      </c>
      <c r="CL4212" s="236">
        <v>602.17999999999995</v>
      </c>
      <c r="CM4212" s="236" t="s">
        <v>305</v>
      </c>
      <c r="CT4212" s="1384"/>
      <c r="CZ4212" s="338"/>
      <c r="DA4212" s="338"/>
      <c r="DP4212" s="236"/>
      <c r="DQ4212" s="236"/>
      <c r="DX4212" s="1671"/>
    </row>
    <row r="4213" spans="38:128">
      <c r="AL4213" s="1037"/>
      <c r="BP4213" s="1385"/>
      <c r="BV4213" s="236">
        <v>275.01</v>
      </c>
      <c r="BW4213" s="236" t="s">
        <v>342</v>
      </c>
      <c r="CL4213" s="236">
        <v>602.19000000000005</v>
      </c>
      <c r="CM4213" s="236" t="s">
        <v>305</v>
      </c>
      <c r="CT4213" s="1384"/>
      <c r="CZ4213" s="338"/>
      <c r="DA4213" s="338"/>
      <c r="DP4213" s="236"/>
      <c r="DQ4213" s="236"/>
      <c r="DX4213" s="1671"/>
    </row>
    <row r="4214" spans="38:128">
      <c r="AL4214" s="1037"/>
      <c r="BP4214" s="1385"/>
      <c r="BV4214" s="236">
        <v>275.02999999999997</v>
      </c>
      <c r="BW4214" s="236" t="s">
        <v>342</v>
      </c>
      <c r="CL4214" s="236">
        <v>602.20000000000005</v>
      </c>
      <c r="CM4214" s="236" t="s">
        <v>305</v>
      </c>
      <c r="CT4214" s="1384"/>
      <c r="CZ4214" s="338"/>
      <c r="DA4214" s="338"/>
      <c r="DP4214" s="236"/>
      <c r="DQ4214" s="236"/>
      <c r="DX4214" s="1671"/>
    </row>
    <row r="4215" spans="38:128">
      <c r="AL4215" s="1037"/>
      <c r="BP4215" s="1385"/>
      <c r="BV4215" s="236">
        <v>275.04000000000002</v>
      </c>
      <c r="BW4215" s="236" t="s">
        <v>342</v>
      </c>
      <c r="CL4215" s="236">
        <v>603</v>
      </c>
      <c r="CM4215" s="236" t="s">
        <v>323</v>
      </c>
      <c r="CT4215" s="1384"/>
      <c r="CZ4215" s="338"/>
      <c r="DA4215" s="338"/>
      <c r="DP4215" s="236"/>
      <c r="DQ4215" s="236"/>
      <c r="DX4215" s="1671"/>
    </row>
    <row r="4216" spans="38:128">
      <c r="AL4216" s="1037"/>
      <c r="BP4216" s="1385"/>
      <c r="BV4216" s="236">
        <v>276.02999999999997</v>
      </c>
      <c r="BW4216" s="236" t="s">
        <v>342</v>
      </c>
      <c r="CL4216" s="338">
        <v>603.01</v>
      </c>
      <c r="CM4216" s="338" t="s">
        <v>288</v>
      </c>
      <c r="CT4216" s="1384"/>
      <c r="CZ4216" s="338"/>
      <c r="DA4216" s="338"/>
      <c r="DP4216" s="236"/>
      <c r="DQ4216" s="236"/>
      <c r="DX4216" s="1671"/>
    </row>
    <row r="4217" spans="38:128">
      <c r="AL4217" s="1037"/>
      <c r="BP4217" s="1385"/>
      <c r="BV4217" s="236">
        <v>276.04000000000002</v>
      </c>
      <c r="BW4217" s="236" t="s">
        <v>342</v>
      </c>
      <c r="CL4217" s="236">
        <v>603.01</v>
      </c>
      <c r="CM4217" s="236" t="s">
        <v>305</v>
      </c>
      <c r="CT4217" s="1384"/>
      <c r="CZ4217" s="338"/>
      <c r="DA4217" s="338"/>
      <c r="DP4217" s="236"/>
      <c r="DQ4217" s="236"/>
      <c r="DX4217" s="1671"/>
    </row>
    <row r="4218" spans="38:128">
      <c r="AL4218" s="1037"/>
      <c r="BP4218" s="1385"/>
      <c r="BV4218" s="236">
        <v>276.05</v>
      </c>
      <c r="BW4218" s="236" t="s">
        <v>342</v>
      </c>
      <c r="CL4218" s="338">
        <v>603.02</v>
      </c>
      <c r="CM4218" s="338" t="s">
        <v>288</v>
      </c>
      <c r="CT4218" s="1384"/>
      <c r="CZ4218" s="338"/>
      <c r="DA4218" s="338"/>
      <c r="DP4218" s="236"/>
      <c r="DQ4218" s="236"/>
      <c r="DX4218" s="1671"/>
    </row>
    <row r="4219" spans="38:128">
      <c r="AL4219" s="1037"/>
      <c r="BP4219" s="1385"/>
      <c r="BV4219" s="236">
        <v>276.06</v>
      </c>
      <c r="BW4219" s="236" t="s">
        <v>342</v>
      </c>
      <c r="CL4219" s="338">
        <v>603.02</v>
      </c>
      <c r="CM4219" s="338" t="s">
        <v>289</v>
      </c>
      <c r="CT4219" s="1384"/>
      <c r="CZ4219" s="338"/>
      <c r="DA4219" s="338"/>
      <c r="DP4219" s="236"/>
      <c r="DQ4219" s="236"/>
      <c r="DX4219" s="1671"/>
    </row>
    <row r="4220" spans="38:128">
      <c r="AL4220" s="1037"/>
      <c r="BP4220" s="1385"/>
      <c r="BV4220" s="236">
        <v>277.01</v>
      </c>
      <c r="BW4220" s="236" t="s">
        <v>342</v>
      </c>
      <c r="CL4220" s="236">
        <v>603.02</v>
      </c>
      <c r="CM4220" s="236" t="s">
        <v>305</v>
      </c>
      <c r="CT4220" s="1384"/>
      <c r="CZ4220" s="338"/>
      <c r="DA4220" s="338"/>
      <c r="DP4220" s="236"/>
      <c r="DQ4220" s="236"/>
      <c r="DX4220" s="1671"/>
    </row>
    <row r="4221" spans="38:128">
      <c r="AL4221" s="1037"/>
      <c r="BP4221" s="1385"/>
      <c r="BV4221" s="236">
        <v>277.02999999999997</v>
      </c>
      <c r="BW4221" s="236" t="s">
        <v>342</v>
      </c>
      <c r="CL4221" s="338">
        <v>603.03</v>
      </c>
      <c r="CM4221" s="338" t="s">
        <v>289</v>
      </c>
      <c r="CT4221" s="1384"/>
      <c r="CZ4221" s="338"/>
      <c r="DA4221" s="338"/>
      <c r="DP4221" s="236"/>
      <c r="DQ4221" s="236"/>
      <c r="DX4221" s="1671"/>
    </row>
    <row r="4222" spans="38:128">
      <c r="AL4222" s="1037"/>
      <c r="BP4222" s="1385"/>
      <c r="BV4222" s="236">
        <v>277.04000000000002</v>
      </c>
      <c r="BW4222" s="236" t="s">
        <v>342</v>
      </c>
      <c r="CL4222" s="236">
        <v>603.03</v>
      </c>
      <c r="CM4222" s="236" t="s">
        <v>305</v>
      </c>
      <c r="CT4222" s="1384"/>
      <c r="CZ4222" s="338"/>
      <c r="DA4222" s="338"/>
      <c r="DP4222" s="236"/>
      <c r="DQ4222" s="236"/>
      <c r="DX4222" s="1671"/>
    </row>
    <row r="4223" spans="38:128">
      <c r="AL4223" s="1037"/>
      <c r="BP4223" s="1385"/>
      <c r="BV4223" s="236">
        <v>278.01</v>
      </c>
      <c r="BW4223" s="236" t="s">
        <v>342</v>
      </c>
      <c r="CL4223" s="338">
        <v>603.04</v>
      </c>
      <c r="CM4223" s="338" t="s">
        <v>289</v>
      </c>
      <c r="CT4223" s="1384"/>
      <c r="CZ4223" s="338"/>
      <c r="DA4223" s="338"/>
      <c r="DP4223" s="236"/>
      <c r="DQ4223" s="236"/>
      <c r="DX4223" s="1671"/>
    </row>
    <row r="4224" spans="38:128">
      <c r="AL4224" s="1037"/>
      <c r="BP4224" s="1385"/>
      <c r="BV4224" s="236">
        <v>278.02</v>
      </c>
      <c r="BW4224" s="236" t="s">
        <v>342</v>
      </c>
      <c r="CL4224" s="236">
        <v>603.04</v>
      </c>
      <c r="CM4224" s="236" t="s">
        <v>305</v>
      </c>
      <c r="CT4224" s="1384"/>
      <c r="CZ4224" s="338"/>
      <c r="DA4224" s="338"/>
      <c r="DP4224" s="236"/>
      <c r="DQ4224" s="236"/>
      <c r="DX4224" s="1671"/>
    </row>
    <row r="4225" spans="38:128">
      <c r="AL4225" s="1037"/>
      <c r="BP4225" s="1385"/>
      <c r="BV4225" s="236">
        <v>279.01</v>
      </c>
      <c r="BW4225" s="236" t="s">
        <v>342</v>
      </c>
      <c r="CL4225" s="338">
        <v>603.04999999999995</v>
      </c>
      <c r="CM4225" s="338" t="s">
        <v>289</v>
      </c>
      <c r="CT4225" s="1384"/>
      <c r="CZ4225" s="338"/>
      <c r="DA4225" s="338"/>
      <c r="DP4225" s="236"/>
      <c r="DQ4225" s="236"/>
      <c r="DX4225" s="1671"/>
    </row>
    <row r="4226" spans="38:128">
      <c r="AL4226" s="1037"/>
      <c r="BP4226" s="1385"/>
      <c r="BV4226" s="236">
        <v>279.05</v>
      </c>
      <c r="BW4226" s="236" t="s">
        <v>342</v>
      </c>
      <c r="CL4226" s="338">
        <v>603.05999999999995</v>
      </c>
      <c r="CM4226" s="338" t="s">
        <v>289</v>
      </c>
      <c r="CT4226" s="1384"/>
      <c r="CZ4226" s="338"/>
      <c r="DA4226" s="338"/>
      <c r="DP4226" s="236"/>
      <c r="DQ4226" s="236"/>
      <c r="DX4226" s="1671"/>
    </row>
    <row r="4227" spans="38:128">
      <c r="AL4227" s="1037"/>
      <c r="BP4227" s="1385"/>
      <c r="BV4227" s="236">
        <v>280.02</v>
      </c>
      <c r="BW4227" s="236" t="s">
        <v>342</v>
      </c>
      <c r="CL4227" s="338">
        <v>604</v>
      </c>
      <c r="CM4227" s="338" t="s">
        <v>288</v>
      </c>
      <c r="CT4227" s="1384"/>
      <c r="CZ4227" s="338"/>
      <c r="DA4227" s="338"/>
      <c r="DP4227" s="236"/>
      <c r="DQ4227" s="236"/>
      <c r="DX4227" s="1671"/>
    </row>
    <row r="4228" spans="38:128">
      <c r="AL4228" s="1037"/>
      <c r="BP4228" s="1385"/>
      <c r="BV4228" s="236">
        <v>280.04000000000002</v>
      </c>
      <c r="BW4228" s="236" t="s">
        <v>342</v>
      </c>
      <c r="CL4228" s="338">
        <v>604.01</v>
      </c>
      <c r="CM4228" s="338" t="s">
        <v>289</v>
      </c>
      <c r="CT4228" s="1384"/>
      <c r="CZ4228" s="338"/>
      <c r="DA4228" s="338"/>
      <c r="DP4228" s="236"/>
      <c r="DQ4228" s="236"/>
      <c r="DX4228" s="1671"/>
    </row>
    <row r="4229" spans="38:128">
      <c r="AL4229" s="1037"/>
      <c r="BP4229" s="1385"/>
      <c r="BV4229" s="236">
        <v>280.05</v>
      </c>
      <c r="BW4229" s="236" t="s">
        <v>342</v>
      </c>
      <c r="CL4229" s="338">
        <v>604.02</v>
      </c>
      <c r="CM4229" s="338" t="s">
        <v>289</v>
      </c>
      <c r="CT4229" s="1384"/>
      <c r="CZ4229" s="338"/>
      <c r="DA4229" s="338"/>
      <c r="DP4229" s="236"/>
      <c r="DQ4229" s="236"/>
      <c r="DX4229" s="1671"/>
    </row>
    <row r="4230" spans="38:128">
      <c r="AL4230" s="1037"/>
      <c r="BP4230" s="1385"/>
      <c r="BV4230" s="236">
        <v>280.06</v>
      </c>
      <c r="BW4230" s="236" t="s">
        <v>342</v>
      </c>
      <c r="CL4230" s="338">
        <v>604.04</v>
      </c>
      <c r="CM4230" s="338" t="s">
        <v>289</v>
      </c>
      <c r="CT4230" s="1384"/>
      <c r="CZ4230" s="338"/>
      <c r="DA4230" s="338"/>
      <c r="DP4230" s="236"/>
      <c r="DQ4230" s="236"/>
      <c r="DX4230" s="1671"/>
    </row>
    <row r="4231" spans="38:128">
      <c r="AL4231" s="1037"/>
      <c r="BP4231" s="1385"/>
      <c r="BV4231" s="236">
        <v>281.02</v>
      </c>
      <c r="BW4231" s="236" t="s">
        <v>342</v>
      </c>
      <c r="CL4231" s="338">
        <v>604.04999999999995</v>
      </c>
      <c r="CM4231" s="338" t="s">
        <v>289</v>
      </c>
      <c r="CT4231" s="1384"/>
      <c r="CZ4231" s="338"/>
      <c r="DA4231" s="338"/>
      <c r="DP4231" s="236"/>
      <c r="DQ4231" s="236"/>
      <c r="DX4231" s="1671"/>
    </row>
    <row r="4232" spans="38:128">
      <c r="AL4232" s="1037"/>
      <c r="BP4232" s="1385"/>
      <c r="BV4232" s="236">
        <v>281.02999999999997</v>
      </c>
      <c r="BW4232" s="236" t="s">
        <v>342</v>
      </c>
      <c r="CL4232" s="338">
        <v>605</v>
      </c>
      <c r="CM4232" s="338" t="s">
        <v>288</v>
      </c>
      <c r="CT4232" s="1384"/>
      <c r="CZ4232" s="338"/>
      <c r="DA4232" s="338"/>
      <c r="DP4232" s="236"/>
      <c r="DQ4232" s="236"/>
      <c r="DX4232" s="1671"/>
    </row>
    <row r="4233" spans="38:128">
      <c r="AL4233" s="1037"/>
      <c r="BP4233" s="1385"/>
      <c r="BV4233" s="236">
        <v>281.04000000000002</v>
      </c>
      <c r="BW4233" s="236" t="s">
        <v>342</v>
      </c>
      <c r="CL4233" s="338">
        <v>605.01</v>
      </c>
      <c r="CM4233" s="338" t="s">
        <v>289</v>
      </c>
      <c r="CT4233" s="1384"/>
      <c r="CZ4233" s="338"/>
      <c r="DA4233" s="338"/>
      <c r="DP4233" s="236"/>
      <c r="DQ4233" s="236"/>
      <c r="DX4233" s="1671"/>
    </row>
    <row r="4234" spans="38:128">
      <c r="AL4234" s="1037"/>
      <c r="BP4234" s="1385"/>
      <c r="BV4234" s="236">
        <v>282</v>
      </c>
      <c r="BW4234" s="236" t="s">
        <v>342</v>
      </c>
      <c r="CL4234" s="338">
        <v>605.03</v>
      </c>
      <c r="CM4234" s="338" t="s">
        <v>289</v>
      </c>
      <c r="CT4234" s="1384"/>
      <c r="CZ4234" s="338"/>
      <c r="DA4234" s="338"/>
      <c r="DP4234" s="236"/>
      <c r="DQ4234" s="236"/>
      <c r="DX4234" s="1671"/>
    </row>
    <row r="4235" spans="38:128">
      <c r="AL4235" s="1037"/>
      <c r="BP4235" s="1385"/>
      <c r="BV4235" s="236">
        <v>283</v>
      </c>
      <c r="BW4235" s="236" t="s">
        <v>342</v>
      </c>
      <c r="CL4235" s="338">
        <v>605.04</v>
      </c>
      <c r="CM4235" s="338" t="s">
        <v>289</v>
      </c>
      <c r="CT4235" s="1384"/>
      <c r="CZ4235" s="338"/>
      <c r="DA4235" s="338"/>
      <c r="DP4235" s="236"/>
      <c r="DQ4235" s="236"/>
      <c r="DX4235" s="1671"/>
    </row>
    <row r="4236" spans="38:128">
      <c r="AL4236" s="1037"/>
      <c r="BP4236" s="1385"/>
      <c r="BV4236" s="236">
        <v>284.02999999999997</v>
      </c>
      <c r="BW4236" s="236" t="s">
        <v>342</v>
      </c>
      <c r="CL4236" s="338">
        <v>605.04999999999995</v>
      </c>
      <c r="CM4236" s="338" t="s">
        <v>289</v>
      </c>
      <c r="CT4236" s="1384"/>
      <c r="CZ4236" s="338"/>
      <c r="DA4236" s="338"/>
      <c r="DP4236" s="236"/>
      <c r="DQ4236" s="236"/>
      <c r="DX4236" s="1671"/>
    </row>
    <row r="4237" spans="38:128">
      <c r="AL4237" s="1037"/>
      <c r="BP4237" s="1385"/>
      <c r="BV4237" s="236">
        <v>285</v>
      </c>
      <c r="BW4237" s="236" t="s">
        <v>342</v>
      </c>
      <c r="CL4237" s="338">
        <v>606</v>
      </c>
      <c r="CM4237" s="338" t="s">
        <v>288</v>
      </c>
      <c r="CT4237" s="1384"/>
      <c r="CZ4237" s="338"/>
      <c r="DA4237" s="338"/>
      <c r="DP4237" s="236"/>
      <c r="DQ4237" s="236"/>
      <c r="DX4237" s="1671"/>
    </row>
    <row r="4238" spans="38:128">
      <c r="AL4238" s="1037"/>
      <c r="BP4238" s="1385"/>
      <c r="BV4238" s="236">
        <v>286.01</v>
      </c>
      <c r="BW4238" s="236" t="s">
        <v>342</v>
      </c>
      <c r="CL4238" s="338">
        <v>606.03</v>
      </c>
      <c r="CM4238" s="338" t="s">
        <v>289</v>
      </c>
      <c r="CT4238" s="1384"/>
      <c r="CZ4238" s="338"/>
      <c r="DA4238" s="338"/>
      <c r="DP4238" s="236"/>
      <c r="DQ4238" s="236"/>
      <c r="DX4238" s="1671"/>
    </row>
    <row r="4239" spans="38:128">
      <c r="AL4239" s="1037"/>
      <c r="BP4239" s="1385"/>
      <c r="BV4239" s="236">
        <v>286.02</v>
      </c>
      <c r="BW4239" s="236" t="s">
        <v>342</v>
      </c>
      <c r="CL4239" s="338">
        <v>606.04999999999995</v>
      </c>
      <c r="CM4239" s="338" t="s">
        <v>289</v>
      </c>
      <c r="CT4239" s="1384"/>
      <c r="CZ4239" s="338"/>
      <c r="DA4239" s="338"/>
      <c r="DP4239" s="236"/>
      <c r="DQ4239" s="236"/>
      <c r="DX4239" s="1671"/>
    </row>
    <row r="4240" spans="38:128">
      <c r="AL4240" s="1037"/>
      <c r="BP4240" s="1385"/>
      <c r="BV4240" s="236">
        <v>287</v>
      </c>
      <c r="BW4240" s="236" t="s">
        <v>342</v>
      </c>
      <c r="CL4240" s="338">
        <v>606.05999999999995</v>
      </c>
      <c r="CM4240" s="338" t="s">
        <v>289</v>
      </c>
      <c r="CT4240" s="1384"/>
      <c r="CZ4240" s="338"/>
      <c r="DA4240" s="338"/>
      <c r="DP4240" s="236"/>
      <c r="DQ4240" s="236"/>
      <c r="DX4240" s="1671"/>
    </row>
    <row r="4241" spans="38:128">
      <c r="AL4241" s="1037"/>
      <c r="BP4241" s="1385"/>
      <c r="BV4241" s="236">
        <v>9900</v>
      </c>
      <c r="BW4241" s="236" t="s">
        <v>342</v>
      </c>
      <c r="CL4241" s="338">
        <v>606.07000000000005</v>
      </c>
      <c r="CM4241" s="338" t="s">
        <v>289</v>
      </c>
      <c r="CT4241" s="1384"/>
      <c r="CZ4241" s="338"/>
      <c r="DA4241" s="338"/>
      <c r="DP4241" s="236"/>
      <c r="DQ4241" s="236"/>
      <c r="DX4241" s="1671"/>
    </row>
    <row r="4242" spans="38:128">
      <c r="AL4242" s="1037"/>
      <c r="BP4242" s="1385"/>
      <c r="BV4242" s="236">
        <v>9901</v>
      </c>
      <c r="BW4242" s="236" t="s">
        <v>342</v>
      </c>
      <c r="CL4242" s="338">
        <v>606.08000000000004</v>
      </c>
      <c r="CM4242" s="338" t="s">
        <v>289</v>
      </c>
      <c r="CT4242" s="1384"/>
      <c r="CZ4242" s="338"/>
      <c r="DA4242" s="338"/>
      <c r="DP4242" s="236"/>
      <c r="DQ4242" s="236"/>
      <c r="DX4242" s="1671"/>
    </row>
    <row r="4243" spans="38:128">
      <c r="AL4243" s="1037"/>
      <c r="BP4243" s="1385"/>
      <c r="BV4243" s="236">
        <v>103</v>
      </c>
      <c r="BW4243" s="236" t="s">
        <v>344</v>
      </c>
      <c r="CL4243" s="338">
        <v>606.09</v>
      </c>
      <c r="CM4243" s="338" t="s">
        <v>289</v>
      </c>
      <c r="CT4243" s="1384"/>
      <c r="CZ4243" s="338"/>
      <c r="DA4243" s="338"/>
      <c r="DP4243" s="236"/>
      <c r="DQ4243" s="236"/>
      <c r="DX4243" s="1671"/>
    </row>
    <row r="4244" spans="38:128">
      <c r="AL4244" s="1037"/>
      <c r="BP4244" s="1385"/>
      <c r="BV4244" s="236">
        <v>104.01</v>
      </c>
      <c r="BW4244" s="236" t="s">
        <v>344</v>
      </c>
      <c r="CL4244" s="338">
        <v>607</v>
      </c>
      <c r="CM4244" s="338" t="s">
        <v>288</v>
      </c>
      <c r="CT4244" s="1384"/>
      <c r="CZ4244" s="338"/>
      <c r="DA4244" s="338"/>
      <c r="DP4244" s="236"/>
      <c r="DQ4244" s="236"/>
      <c r="DX4244" s="1671"/>
    </row>
    <row r="4245" spans="38:128">
      <c r="AL4245" s="1037"/>
      <c r="BP4245" s="1385"/>
      <c r="BV4245" s="236">
        <v>104.02</v>
      </c>
      <c r="BW4245" s="236" t="s">
        <v>344</v>
      </c>
      <c r="CL4245" s="338">
        <v>607</v>
      </c>
      <c r="CM4245" s="338" t="s">
        <v>289</v>
      </c>
      <c r="CT4245" s="1384"/>
      <c r="CZ4245" s="338"/>
      <c r="DA4245" s="338"/>
      <c r="DP4245" s="236"/>
      <c r="DQ4245" s="236"/>
      <c r="DX4245" s="1671"/>
    </row>
    <row r="4246" spans="38:128">
      <c r="AL4246" s="1037"/>
      <c r="BP4246" s="1385"/>
      <c r="BV4246" s="236">
        <v>105.01</v>
      </c>
      <c r="BW4246" s="236" t="s">
        <v>344</v>
      </c>
      <c r="CL4246" s="338">
        <v>608.01</v>
      </c>
      <c r="CM4246" s="338" t="s">
        <v>289</v>
      </c>
      <c r="CT4246" s="1384"/>
      <c r="CZ4246" s="338"/>
      <c r="DA4246" s="338"/>
      <c r="DP4246" s="236"/>
      <c r="DQ4246" s="236"/>
      <c r="DX4246" s="1671"/>
    </row>
    <row r="4247" spans="38:128">
      <c r="AL4247" s="1037"/>
      <c r="BP4247" s="1385"/>
      <c r="BV4247" s="236">
        <v>105.02</v>
      </c>
      <c r="BW4247" s="236" t="s">
        <v>344</v>
      </c>
      <c r="CL4247" s="338">
        <v>608.02</v>
      </c>
      <c r="CM4247" s="338" t="s">
        <v>289</v>
      </c>
      <c r="CT4247" s="1384"/>
      <c r="CZ4247" s="338"/>
      <c r="DA4247" s="338"/>
      <c r="DP4247" s="236"/>
      <c r="DQ4247" s="236"/>
      <c r="DX4247" s="1671"/>
    </row>
    <row r="4248" spans="38:128">
      <c r="AL4248" s="1037"/>
      <c r="BP4248" s="1385"/>
      <c r="BV4248" s="236">
        <v>106.01</v>
      </c>
      <c r="BW4248" s="236" t="s">
        <v>344</v>
      </c>
      <c r="CL4248" s="338">
        <v>609</v>
      </c>
      <c r="CM4248" s="338" t="s">
        <v>289</v>
      </c>
      <c r="CT4248" s="1384"/>
      <c r="CZ4248" s="338"/>
      <c r="DA4248" s="338"/>
      <c r="DP4248" s="236"/>
      <c r="DQ4248" s="236"/>
      <c r="DX4248" s="1671"/>
    </row>
    <row r="4249" spans="38:128">
      <c r="AL4249" s="1037"/>
      <c r="BP4249" s="1385"/>
      <c r="BV4249" s="236">
        <v>106.03</v>
      </c>
      <c r="BW4249" s="236" t="s">
        <v>344</v>
      </c>
      <c r="CL4249" s="338">
        <v>610.01</v>
      </c>
      <c r="CM4249" s="338" t="s">
        <v>288</v>
      </c>
      <c r="CT4249" s="1384"/>
      <c r="CZ4249" s="338"/>
      <c r="DA4249" s="338"/>
      <c r="DP4249" s="236"/>
      <c r="DQ4249" s="236"/>
      <c r="DX4249" s="1671"/>
    </row>
    <row r="4250" spans="38:128">
      <c r="AL4250" s="1037"/>
      <c r="BP4250" s="1385"/>
      <c r="BV4250" s="236">
        <v>106.04</v>
      </c>
      <c r="BW4250" s="236" t="s">
        <v>344</v>
      </c>
      <c r="CL4250" s="338">
        <v>610.01</v>
      </c>
      <c r="CM4250" s="338" t="s">
        <v>289</v>
      </c>
      <c r="CT4250" s="1384"/>
      <c r="CZ4250" s="338"/>
      <c r="DA4250" s="338"/>
      <c r="DP4250" s="236"/>
      <c r="DQ4250" s="236"/>
      <c r="DX4250" s="1671"/>
    </row>
    <row r="4251" spans="38:128">
      <c r="AL4251" s="1037"/>
      <c r="BP4251" s="1385"/>
      <c r="BV4251" s="236">
        <v>107.01</v>
      </c>
      <c r="BW4251" s="236" t="s">
        <v>344</v>
      </c>
      <c r="CL4251" s="338">
        <v>610.02</v>
      </c>
      <c r="CM4251" s="338" t="s">
        <v>288</v>
      </c>
      <c r="CT4251" s="1384"/>
      <c r="CZ4251" s="338"/>
      <c r="DA4251" s="338"/>
      <c r="DP4251" s="236"/>
      <c r="DQ4251" s="236"/>
      <c r="DX4251" s="1671"/>
    </row>
    <row r="4252" spans="38:128">
      <c r="AL4252" s="1037"/>
      <c r="BP4252" s="1385"/>
      <c r="BV4252" s="236">
        <v>107.02</v>
      </c>
      <c r="BW4252" s="236" t="s">
        <v>344</v>
      </c>
      <c r="CL4252" s="338">
        <v>610.03</v>
      </c>
      <c r="CM4252" s="338" t="s">
        <v>289</v>
      </c>
      <c r="CT4252" s="1384"/>
      <c r="CZ4252" s="338"/>
      <c r="DA4252" s="338"/>
      <c r="DP4252" s="236"/>
      <c r="DQ4252" s="236"/>
      <c r="DX4252" s="1671"/>
    </row>
    <row r="4253" spans="38:128">
      <c r="AL4253" s="1037"/>
      <c r="BP4253" s="1385"/>
      <c r="BV4253" s="236">
        <v>108</v>
      </c>
      <c r="BW4253" s="236" t="s">
        <v>344</v>
      </c>
      <c r="CL4253" s="338">
        <v>610.04</v>
      </c>
      <c r="CM4253" s="338" t="s">
        <v>289</v>
      </c>
      <c r="CT4253" s="1384"/>
      <c r="CZ4253" s="338"/>
      <c r="DA4253" s="338"/>
      <c r="DP4253" s="236"/>
      <c r="DQ4253" s="236"/>
      <c r="DX4253" s="1671"/>
    </row>
    <row r="4254" spans="38:128">
      <c r="AL4254" s="1037"/>
      <c r="BP4254" s="1385"/>
      <c r="BV4254" s="236">
        <v>109</v>
      </c>
      <c r="BW4254" s="236" t="s">
        <v>344</v>
      </c>
      <c r="CL4254" s="338">
        <v>611</v>
      </c>
      <c r="CM4254" s="338" t="s">
        <v>288</v>
      </c>
      <c r="CT4254" s="1384"/>
      <c r="CZ4254" s="338"/>
      <c r="DA4254" s="338"/>
      <c r="DP4254" s="236"/>
      <c r="DQ4254" s="236"/>
      <c r="DX4254" s="1671"/>
    </row>
    <row r="4255" spans="38:128">
      <c r="AL4255" s="1037"/>
      <c r="BP4255" s="1385"/>
      <c r="BV4255" s="236">
        <v>110</v>
      </c>
      <c r="BW4255" s="236" t="s">
        <v>344</v>
      </c>
      <c r="CL4255" s="338">
        <v>611</v>
      </c>
      <c r="CM4255" s="338" t="s">
        <v>289</v>
      </c>
      <c r="CT4255" s="1384"/>
      <c r="CZ4255" s="338"/>
      <c r="DA4255" s="338"/>
      <c r="DP4255" s="236"/>
      <c r="DQ4255" s="236"/>
      <c r="DX4255" s="1671"/>
    </row>
    <row r="4256" spans="38:128">
      <c r="AL4256" s="1037"/>
      <c r="BP4256" s="1385"/>
      <c r="BV4256" s="236">
        <v>111</v>
      </c>
      <c r="BW4256" s="236" t="s">
        <v>344</v>
      </c>
      <c r="CL4256" s="338">
        <v>612.01</v>
      </c>
      <c r="CM4256" s="338" t="s">
        <v>288</v>
      </c>
      <c r="CT4256" s="1384"/>
      <c r="CZ4256" s="338"/>
      <c r="DA4256" s="338"/>
      <c r="DP4256" s="236"/>
      <c r="DQ4256" s="236"/>
      <c r="DX4256" s="1671"/>
    </row>
    <row r="4257" spans="38:128">
      <c r="AL4257" s="1037"/>
      <c r="BP4257" s="1385"/>
      <c r="BV4257" s="236">
        <v>112.02</v>
      </c>
      <c r="BW4257" s="236" t="s">
        <v>344</v>
      </c>
      <c r="CL4257" s="338">
        <v>612.02</v>
      </c>
      <c r="CM4257" s="338" t="s">
        <v>288</v>
      </c>
      <c r="CT4257" s="1384"/>
      <c r="CZ4257" s="338"/>
      <c r="DA4257" s="338"/>
      <c r="DP4257" s="236"/>
      <c r="DQ4257" s="236"/>
      <c r="DX4257" s="1671"/>
    </row>
    <row r="4258" spans="38:128">
      <c r="AL4258" s="1037"/>
      <c r="BP4258" s="1385"/>
      <c r="BV4258" s="236">
        <v>112.03</v>
      </c>
      <c r="BW4258" s="236" t="s">
        <v>344</v>
      </c>
      <c r="CL4258" s="338">
        <v>621.05999999999995</v>
      </c>
      <c r="CM4258" s="338" t="s">
        <v>288</v>
      </c>
      <c r="CT4258" s="1384"/>
      <c r="CZ4258" s="338"/>
      <c r="DA4258" s="338"/>
      <c r="DP4258" s="236"/>
      <c r="DQ4258" s="236"/>
      <c r="DX4258" s="1671"/>
    </row>
    <row r="4259" spans="38:128">
      <c r="AL4259" s="1037"/>
      <c r="BP4259" s="1385"/>
      <c r="BV4259" s="236">
        <v>112.04</v>
      </c>
      <c r="BW4259" s="236" t="s">
        <v>344</v>
      </c>
      <c r="CL4259" s="338">
        <v>621.08000000000004</v>
      </c>
      <c r="CM4259" s="338" t="s">
        <v>288</v>
      </c>
      <c r="CT4259" s="1384"/>
      <c r="CZ4259" s="338"/>
      <c r="DA4259" s="338"/>
      <c r="DP4259" s="236"/>
      <c r="DQ4259" s="236"/>
      <c r="DX4259" s="1671"/>
    </row>
    <row r="4260" spans="38:128">
      <c r="AL4260" s="1037"/>
      <c r="BP4260" s="1385"/>
      <c r="BV4260" s="236">
        <v>113</v>
      </c>
      <c r="BW4260" s="236" t="s">
        <v>344</v>
      </c>
      <c r="CL4260" s="338">
        <v>621.09</v>
      </c>
      <c r="CM4260" s="338" t="s">
        <v>288</v>
      </c>
      <c r="CT4260" s="1384"/>
      <c r="CZ4260" s="338"/>
      <c r="DA4260" s="338"/>
      <c r="DP4260" s="236"/>
      <c r="DQ4260" s="236"/>
      <c r="DX4260" s="1671"/>
    </row>
    <row r="4261" spans="38:128">
      <c r="AL4261" s="1037"/>
      <c r="BP4261" s="1385"/>
      <c r="BV4261" s="236">
        <v>114</v>
      </c>
      <c r="BW4261" s="236" t="s">
        <v>344</v>
      </c>
      <c r="CL4261" s="338">
        <v>621.1</v>
      </c>
      <c r="CM4261" s="338" t="s">
        <v>288</v>
      </c>
      <c r="CT4261" s="1384"/>
      <c r="CZ4261" s="338"/>
      <c r="DA4261" s="338"/>
      <c r="DP4261" s="236"/>
      <c r="DQ4261" s="236"/>
      <c r="DX4261" s="1671"/>
    </row>
    <row r="4262" spans="38:128">
      <c r="AL4262" s="1037"/>
      <c r="BP4262" s="1385"/>
      <c r="BV4262" s="236">
        <v>115.01</v>
      </c>
      <c r="BW4262" s="236" t="s">
        <v>344</v>
      </c>
      <c r="CL4262" s="338">
        <v>621.11</v>
      </c>
      <c r="CM4262" s="338" t="s">
        <v>288</v>
      </c>
      <c r="CT4262" s="1384"/>
      <c r="CZ4262" s="338"/>
      <c r="DA4262" s="338"/>
      <c r="DP4262" s="236"/>
      <c r="DQ4262" s="236"/>
      <c r="DX4262" s="1671"/>
    </row>
    <row r="4263" spans="38:128">
      <c r="AL4263" s="1037"/>
      <c r="BP4263" s="1385"/>
      <c r="BV4263" s="236">
        <v>115.02</v>
      </c>
      <c r="BW4263" s="236" t="s">
        <v>344</v>
      </c>
      <c r="CL4263" s="338">
        <v>621.12</v>
      </c>
      <c r="CM4263" s="338" t="s">
        <v>288</v>
      </c>
      <c r="CT4263" s="1384"/>
      <c r="CZ4263" s="338"/>
      <c r="DA4263" s="338"/>
      <c r="DP4263" s="236"/>
      <c r="DQ4263" s="236"/>
      <c r="DX4263" s="1671"/>
    </row>
    <row r="4264" spans="38:128">
      <c r="AL4264" s="1037"/>
      <c r="BP4264" s="1385"/>
      <c r="BV4264" s="236">
        <v>116.03</v>
      </c>
      <c r="BW4264" s="236" t="s">
        <v>344</v>
      </c>
      <c r="CL4264" s="338">
        <v>621.13</v>
      </c>
      <c r="CM4264" s="338" t="s">
        <v>288</v>
      </c>
      <c r="CT4264" s="1384"/>
      <c r="CZ4264" s="338"/>
      <c r="DA4264" s="338"/>
      <c r="DP4264" s="236"/>
      <c r="DQ4264" s="236"/>
      <c r="DX4264" s="1671"/>
    </row>
    <row r="4265" spans="38:128">
      <c r="AL4265" s="1037"/>
      <c r="BP4265" s="1385"/>
      <c r="BV4265" s="236">
        <v>116.04</v>
      </c>
      <c r="BW4265" s="236" t="s">
        <v>344</v>
      </c>
      <c r="CL4265" s="338">
        <v>621.14</v>
      </c>
      <c r="CM4265" s="338" t="s">
        <v>288</v>
      </c>
      <c r="CT4265" s="1384"/>
      <c r="CZ4265" s="338"/>
      <c r="DA4265" s="338"/>
      <c r="DP4265" s="236"/>
      <c r="DQ4265" s="236"/>
      <c r="DX4265" s="1671"/>
    </row>
    <row r="4266" spans="38:128">
      <c r="AL4266" s="1037"/>
      <c r="BP4266" s="1385"/>
      <c r="BV4266" s="236">
        <v>116.05</v>
      </c>
      <c r="BW4266" s="236" t="s">
        <v>344</v>
      </c>
      <c r="CL4266" s="338">
        <v>621.15</v>
      </c>
      <c r="CM4266" s="338" t="s">
        <v>288</v>
      </c>
      <c r="CT4266" s="1384"/>
      <c r="CZ4266" s="338"/>
      <c r="DA4266" s="338"/>
      <c r="DP4266" s="236"/>
      <c r="DQ4266" s="236"/>
      <c r="DX4266" s="1671"/>
    </row>
    <row r="4267" spans="38:128">
      <c r="AL4267" s="1037"/>
      <c r="BP4267" s="1385"/>
      <c r="BV4267" s="236">
        <v>116.06</v>
      </c>
      <c r="BW4267" s="236" t="s">
        <v>344</v>
      </c>
      <c r="CL4267" s="338">
        <v>623.01</v>
      </c>
      <c r="CM4267" s="338" t="s">
        <v>288</v>
      </c>
      <c r="CT4267" s="1384"/>
      <c r="CZ4267" s="338"/>
      <c r="DA4267" s="338"/>
      <c r="DP4267" s="236"/>
      <c r="DQ4267" s="236"/>
      <c r="DX4267" s="1671"/>
    </row>
    <row r="4268" spans="38:128">
      <c r="AL4268" s="1037"/>
      <c r="BP4268" s="1385"/>
      <c r="BV4268" s="236">
        <v>117.04</v>
      </c>
      <c r="BW4268" s="236" t="s">
        <v>344</v>
      </c>
      <c r="CL4268" s="338">
        <v>623.02</v>
      </c>
      <c r="CM4268" s="338" t="s">
        <v>288</v>
      </c>
      <c r="CT4268" s="1384"/>
      <c r="CZ4268" s="338"/>
      <c r="DA4268" s="338"/>
      <c r="DP4268" s="236"/>
      <c r="DQ4268" s="236"/>
      <c r="DX4268" s="1671"/>
    </row>
    <row r="4269" spans="38:128">
      <c r="AL4269" s="1037"/>
      <c r="BP4269" s="1385"/>
      <c r="BV4269" s="236">
        <v>117.21</v>
      </c>
      <c r="BW4269" s="236" t="s">
        <v>344</v>
      </c>
      <c r="CL4269" s="338">
        <v>624.01</v>
      </c>
      <c r="CM4269" s="338" t="s">
        <v>288</v>
      </c>
      <c r="CT4269" s="1384"/>
      <c r="CZ4269" s="338"/>
      <c r="DA4269" s="338"/>
      <c r="DP4269" s="236"/>
      <c r="DQ4269" s="236"/>
      <c r="DX4269" s="1671"/>
    </row>
    <row r="4270" spans="38:128">
      <c r="AL4270" s="1037"/>
      <c r="BP4270" s="1385"/>
      <c r="BV4270" s="236">
        <v>117.22</v>
      </c>
      <c r="BW4270" s="236" t="s">
        <v>344</v>
      </c>
      <c r="CL4270" s="338">
        <v>624.02</v>
      </c>
      <c r="CM4270" s="338" t="s">
        <v>288</v>
      </c>
      <c r="CT4270" s="1384"/>
      <c r="CZ4270" s="338"/>
      <c r="DA4270" s="338"/>
      <c r="DP4270" s="236"/>
      <c r="DQ4270" s="236"/>
      <c r="DX4270" s="1671"/>
    </row>
    <row r="4271" spans="38:128">
      <c r="AL4271" s="1037"/>
      <c r="BP4271" s="1385"/>
      <c r="BV4271" s="236">
        <v>117.31</v>
      </c>
      <c r="BW4271" s="236" t="s">
        <v>344</v>
      </c>
      <c r="CL4271" s="338">
        <v>625</v>
      </c>
      <c r="CM4271" s="338" t="s">
        <v>288</v>
      </c>
      <c r="CT4271" s="1384"/>
      <c r="CZ4271" s="338"/>
      <c r="DA4271" s="338"/>
      <c r="DP4271" s="236"/>
      <c r="DQ4271" s="236"/>
      <c r="DX4271" s="1671"/>
    </row>
    <row r="4272" spans="38:128">
      <c r="AL4272" s="1037"/>
      <c r="BP4272" s="1385"/>
      <c r="BV4272" s="236">
        <v>117.32</v>
      </c>
      <c r="BW4272" s="236" t="s">
        <v>344</v>
      </c>
      <c r="CL4272" s="338">
        <v>626</v>
      </c>
      <c r="CM4272" s="338" t="s">
        <v>288</v>
      </c>
      <c r="CT4272" s="1384"/>
      <c r="CZ4272" s="338"/>
      <c r="DA4272" s="338"/>
      <c r="DP4272" s="236"/>
      <c r="DQ4272" s="236"/>
      <c r="DX4272" s="1671"/>
    </row>
    <row r="4273" spans="38:128">
      <c r="AL4273" s="1037"/>
      <c r="BP4273" s="1385"/>
      <c r="BV4273" s="236">
        <v>118.21</v>
      </c>
      <c r="BW4273" s="236" t="s">
        <v>344</v>
      </c>
      <c r="CL4273" s="338">
        <v>628</v>
      </c>
      <c r="CM4273" s="338" t="s">
        <v>288</v>
      </c>
      <c r="CT4273" s="1384"/>
      <c r="CZ4273" s="338"/>
      <c r="DA4273" s="338"/>
      <c r="DP4273" s="236"/>
      <c r="DQ4273" s="236"/>
      <c r="DX4273" s="1671"/>
    </row>
    <row r="4274" spans="38:128">
      <c r="AL4274" s="1037"/>
      <c r="BP4274" s="1385"/>
      <c r="BV4274" s="236">
        <v>118.22</v>
      </c>
      <c r="BW4274" s="236" t="s">
        <v>344</v>
      </c>
      <c r="CL4274" s="338">
        <v>629</v>
      </c>
      <c r="CM4274" s="338" t="s">
        <v>288</v>
      </c>
      <c r="CT4274" s="1384"/>
      <c r="CZ4274" s="338"/>
      <c r="DA4274" s="338"/>
      <c r="DP4274" s="236"/>
      <c r="DQ4274" s="236"/>
      <c r="DX4274" s="1671"/>
    </row>
    <row r="4275" spans="38:128">
      <c r="AL4275" s="1037"/>
      <c r="BP4275" s="1385"/>
      <c r="BV4275" s="236">
        <v>118.32</v>
      </c>
      <c r="BW4275" s="236" t="s">
        <v>344</v>
      </c>
      <c r="CL4275" s="338">
        <v>630</v>
      </c>
      <c r="CM4275" s="338" t="s">
        <v>288</v>
      </c>
      <c r="CT4275" s="1384"/>
      <c r="CZ4275" s="338"/>
      <c r="DA4275" s="338"/>
      <c r="DP4275" s="236"/>
      <c r="DQ4275" s="236"/>
      <c r="DX4275" s="1671"/>
    </row>
    <row r="4276" spans="38:128">
      <c r="AL4276" s="1037"/>
      <c r="BP4276" s="1385"/>
      <c r="BV4276" s="236">
        <v>118.34</v>
      </c>
      <c r="BW4276" s="236" t="s">
        <v>344</v>
      </c>
      <c r="CL4276" s="338">
        <v>631.02</v>
      </c>
      <c r="CM4276" s="338" t="s">
        <v>288</v>
      </c>
      <c r="CT4276" s="1384"/>
      <c r="CZ4276" s="338"/>
      <c r="DA4276" s="338"/>
      <c r="DP4276" s="236"/>
      <c r="DQ4276" s="236"/>
      <c r="DX4276" s="1671"/>
    </row>
    <row r="4277" spans="38:128">
      <c r="AL4277" s="1037"/>
      <c r="BP4277" s="1385"/>
      <c r="BV4277" s="236">
        <v>118.35</v>
      </c>
      <c r="BW4277" s="236" t="s">
        <v>344</v>
      </c>
      <c r="CL4277" s="338">
        <v>631.04</v>
      </c>
      <c r="CM4277" s="338" t="s">
        <v>288</v>
      </c>
      <c r="CT4277" s="1384"/>
      <c r="CZ4277" s="338"/>
      <c r="DA4277" s="338"/>
      <c r="DP4277" s="236"/>
      <c r="DQ4277" s="236"/>
      <c r="DX4277" s="1671"/>
    </row>
    <row r="4278" spans="38:128">
      <c r="AL4278" s="1037"/>
      <c r="BP4278" s="1385"/>
      <c r="BV4278" s="236">
        <v>118.36</v>
      </c>
      <c r="BW4278" s="236" t="s">
        <v>344</v>
      </c>
      <c r="CL4278" s="338">
        <v>631.04999999999995</v>
      </c>
      <c r="CM4278" s="338" t="s">
        <v>288</v>
      </c>
      <c r="CT4278" s="1384"/>
      <c r="CZ4278" s="338"/>
      <c r="DA4278" s="338"/>
      <c r="DP4278" s="236"/>
      <c r="DQ4278" s="236"/>
      <c r="DX4278" s="1671"/>
    </row>
    <row r="4279" spans="38:128">
      <c r="AL4279" s="1037"/>
      <c r="BP4279" s="1385"/>
      <c r="BV4279" s="236">
        <v>118.37</v>
      </c>
      <c r="BW4279" s="236" t="s">
        <v>344</v>
      </c>
      <c r="CL4279" s="338">
        <v>631.05999999999995</v>
      </c>
      <c r="CM4279" s="338" t="s">
        <v>288</v>
      </c>
      <c r="CT4279" s="1384"/>
      <c r="CZ4279" s="338"/>
      <c r="DA4279" s="338"/>
      <c r="DP4279" s="236"/>
      <c r="DQ4279" s="236"/>
      <c r="DX4279" s="1671"/>
    </row>
    <row r="4280" spans="38:128">
      <c r="AL4280" s="1037"/>
      <c r="BP4280" s="1385"/>
      <c r="BV4280" s="236">
        <v>118.38</v>
      </c>
      <c r="BW4280" s="236" t="s">
        <v>344</v>
      </c>
      <c r="CL4280" s="338">
        <v>631.08000000000004</v>
      </c>
      <c r="CM4280" s="338" t="s">
        <v>288</v>
      </c>
      <c r="CT4280" s="1384"/>
      <c r="CZ4280" s="338"/>
      <c r="DA4280" s="338"/>
      <c r="DP4280" s="236"/>
      <c r="DQ4280" s="236"/>
      <c r="DX4280" s="1671"/>
    </row>
    <row r="4281" spans="38:128">
      <c r="AL4281" s="1037"/>
      <c r="BP4281" s="1385"/>
      <c r="BV4281" s="236">
        <v>119.01</v>
      </c>
      <c r="BW4281" s="236" t="s">
        <v>344</v>
      </c>
      <c r="CL4281" s="338">
        <v>631.09</v>
      </c>
      <c r="CM4281" s="338" t="s">
        <v>288</v>
      </c>
      <c r="CT4281" s="1384"/>
      <c r="CZ4281" s="338"/>
      <c r="DA4281" s="338"/>
      <c r="DP4281" s="236"/>
      <c r="DQ4281" s="236"/>
      <c r="DX4281" s="1671"/>
    </row>
    <row r="4282" spans="38:128">
      <c r="AL4282" s="1037"/>
      <c r="BP4282" s="1385"/>
      <c r="BV4282" s="236">
        <v>119.02</v>
      </c>
      <c r="BW4282" s="236" t="s">
        <v>344</v>
      </c>
      <c r="CL4282" s="338">
        <v>641.02</v>
      </c>
      <c r="CM4282" s="338" t="s">
        <v>288</v>
      </c>
      <c r="CT4282" s="1384"/>
      <c r="CZ4282" s="338"/>
      <c r="DA4282" s="338"/>
      <c r="DP4282" s="236"/>
      <c r="DQ4282" s="236"/>
      <c r="DX4282" s="1671"/>
    </row>
    <row r="4283" spans="38:128">
      <c r="AL4283" s="1037"/>
      <c r="BP4283" s="1385"/>
      <c r="BV4283" s="236">
        <v>119.08</v>
      </c>
      <c r="BW4283" s="236" t="s">
        <v>344</v>
      </c>
      <c r="CL4283" s="338">
        <v>641.23</v>
      </c>
      <c r="CM4283" s="338" t="s">
        <v>288</v>
      </c>
      <c r="CT4283" s="1384"/>
      <c r="CZ4283" s="338"/>
      <c r="DA4283" s="338"/>
      <c r="DP4283" s="236"/>
      <c r="DQ4283" s="236"/>
      <c r="DX4283" s="1671"/>
    </row>
    <row r="4284" spans="38:128">
      <c r="AL4284" s="1037"/>
      <c r="BP4284" s="1385"/>
      <c r="BV4284" s="236">
        <v>119.09</v>
      </c>
      <c r="BW4284" s="236" t="s">
        <v>344</v>
      </c>
      <c r="CL4284" s="338">
        <v>641.24</v>
      </c>
      <c r="CM4284" s="338" t="s">
        <v>288</v>
      </c>
      <c r="CT4284" s="1384"/>
      <c r="CZ4284" s="338"/>
      <c r="DA4284" s="338"/>
      <c r="DP4284" s="236"/>
      <c r="DQ4284" s="236"/>
      <c r="DX4284" s="1671"/>
    </row>
    <row r="4285" spans="38:128">
      <c r="AL4285" s="1037"/>
      <c r="BP4285" s="1385"/>
      <c r="BV4285" s="236">
        <v>119.1</v>
      </c>
      <c r="BW4285" s="236" t="s">
        <v>344</v>
      </c>
      <c r="CL4285" s="338">
        <v>641.26</v>
      </c>
      <c r="CM4285" s="338" t="s">
        <v>288</v>
      </c>
      <c r="CT4285" s="1384"/>
      <c r="CZ4285" s="338"/>
      <c r="DA4285" s="338"/>
      <c r="DP4285" s="236"/>
      <c r="DQ4285" s="236"/>
      <c r="DX4285" s="1671"/>
    </row>
    <row r="4286" spans="38:128">
      <c r="AL4286" s="1037"/>
      <c r="BP4286" s="1385"/>
      <c r="BV4286" s="236">
        <v>119.11</v>
      </c>
      <c r="BW4286" s="236" t="s">
        <v>344</v>
      </c>
      <c r="CL4286" s="338">
        <v>641.27</v>
      </c>
      <c r="CM4286" s="338" t="s">
        <v>288</v>
      </c>
      <c r="CT4286" s="1384"/>
      <c r="CZ4286" s="338"/>
      <c r="DA4286" s="338"/>
      <c r="DP4286" s="236"/>
      <c r="DQ4286" s="236"/>
      <c r="DX4286" s="1671"/>
    </row>
    <row r="4287" spans="38:128">
      <c r="AL4287" s="1037"/>
      <c r="BP4287" s="1385"/>
      <c r="BV4287" s="236">
        <v>119.12</v>
      </c>
      <c r="BW4287" s="236" t="s">
        <v>344</v>
      </c>
      <c r="CL4287" s="338">
        <v>641.28</v>
      </c>
      <c r="CM4287" s="338" t="s">
        <v>288</v>
      </c>
      <c r="CT4287" s="1384"/>
      <c r="CZ4287" s="338"/>
      <c r="DA4287" s="338"/>
      <c r="DP4287" s="236"/>
      <c r="DQ4287" s="236"/>
      <c r="DX4287" s="1671"/>
    </row>
    <row r="4288" spans="38:128">
      <c r="AL4288" s="1037"/>
      <c r="BP4288" s="1385"/>
      <c r="BV4288" s="236">
        <v>119.13</v>
      </c>
      <c r="BW4288" s="236" t="s">
        <v>344</v>
      </c>
      <c r="CL4288" s="338">
        <v>641.29</v>
      </c>
      <c r="CM4288" s="338" t="s">
        <v>288</v>
      </c>
      <c r="CT4288" s="1384"/>
      <c r="CZ4288" s="338"/>
      <c r="DA4288" s="338"/>
      <c r="DP4288" s="236"/>
      <c r="DQ4288" s="236"/>
      <c r="DX4288" s="1671"/>
    </row>
    <row r="4289" spans="38:128">
      <c r="AL4289" s="1037"/>
      <c r="BP4289" s="1385"/>
      <c r="BV4289" s="236">
        <v>120.01</v>
      </c>
      <c r="BW4289" s="236" t="s">
        <v>344</v>
      </c>
      <c r="CL4289" s="338">
        <v>641.29999999999995</v>
      </c>
      <c r="CM4289" s="338" t="s">
        <v>288</v>
      </c>
      <c r="CT4289" s="1384"/>
      <c r="CZ4289" s="338"/>
      <c r="DA4289" s="338"/>
      <c r="DP4289" s="236"/>
      <c r="DQ4289" s="236"/>
      <c r="DX4289" s="1671"/>
    </row>
    <row r="4290" spans="38:128">
      <c r="AL4290" s="1037"/>
      <c r="BP4290" s="1385"/>
      <c r="BV4290" s="236">
        <v>120.02</v>
      </c>
      <c r="BW4290" s="236" t="s">
        <v>344</v>
      </c>
      <c r="CL4290" s="338">
        <v>642.01</v>
      </c>
      <c r="CM4290" s="338" t="s">
        <v>288</v>
      </c>
      <c r="CT4290" s="1384"/>
      <c r="CZ4290" s="338"/>
      <c r="DA4290" s="338"/>
      <c r="DP4290" s="236"/>
      <c r="DQ4290" s="236"/>
      <c r="DX4290" s="1671"/>
    </row>
    <row r="4291" spans="38:128">
      <c r="AL4291" s="1037"/>
      <c r="BP4291" s="1385"/>
      <c r="BV4291" s="236">
        <v>120.03</v>
      </c>
      <c r="BW4291" s="236" t="s">
        <v>344</v>
      </c>
      <c r="CL4291" s="338">
        <v>642.02</v>
      </c>
      <c r="CM4291" s="338" t="s">
        <v>288</v>
      </c>
      <c r="CT4291" s="1384"/>
      <c r="CZ4291" s="338"/>
      <c r="DA4291" s="338"/>
      <c r="DP4291" s="236"/>
      <c r="DQ4291" s="236"/>
      <c r="DX4291" s="1671"/>
    </row>
    <row r="4292" spans="38:128">
      <c r="AL4292" s="1037"/>
      <c r="BP4292" s="1385"/>
      <c r="BV4292" s="236">
        <v>120.04</v>
      </c>
      <c r="BW4292" s="236" t="s">
        <v>344</v>
      </c>
      <c r="CL4292" s="338">
        <v>643.01</v>
      </c>
      <c r="CM4292" s="338" t="s">
        <v>288</v>
      </c>
      <c r="CT4292" s="1384"/>
      <c r="CZ4292" s="338"/>
      <c r="DA4292" s="338"/>
      <c r="DP4292" s="236"/>
      <c r="DQ4292" s="236"/>
      <c r="DX4292" s="1671"/>
    </row>
    <row r="4293" spans="38:128">
      <c r="AL4293" s="1037"/>
      <c r="BP4293" s="1385"/>
      <c r="BV4293" s="236">
        <v>121.13</v>
      </c>
      <c r="BW4293" s="236" t="s">
        <v>344</v>
      </c>
      <c r="CL4293" s="338">
        <v>643.02</v>
      </c>
      <c r="CM4293" s="338" t="s">
        <v>288</v>
      </c>
      <c r="CT4293" s="1384"/>
      <c r="CZ4293" s="338"/>
      <c r="DA4293" s="338"/>
      <c r="DP4293" s="236"/>
      <c r="DQ4293" s="236"/>
      <c r="DX4293" s="1671"/>
    </row>
    <row r="4294" spans="38:128">
      <c r="AL4294" s="1037"/>
      <c r="BP4294" s="1385"/>
      <c r="BV4294" s="236">
        <v>121.24</v>
      </c>
      <c r="BW4294" s="236" t="s">
        <v>344</v>
      </c>
      <c r="CL4294" s="338">
        <v>644</v>
      </c>
      <c r="CM4294" s="338" t="s">
        <v>288</v>
      </c>
      <c r="CT4294" s="1384"/>
      <c r="CZ4294" s="338"/>
      <c r="DA4294" s="338"/>
      <c r="DP4294" s="236"/>
      <c r="DQ4294" s="236"/>
      <c r="DX4294" s="1671"/>
    </row>
    <row r="4295" spans="38:128">
      <c r="AL4295" s="1037"/>
      <c r="BP4295" s="1385"/>
      <c r="BV4295" s="236">
        <v>121.25</v>
      </c>
      <c r="BW4295" s="236" t="s">
        <v>344</v>
      </c>
      <c r="CL4295" s="338">
        <v>645</v>
      </c>
      <c r="CM4295" s="338" t="s">
        <v>288</v>
      </c>
      <c r="CT4295" s="1384"/>
      <c r="CZ4295" s="338"/>
      <c r="DA4295" s="338"/>
      <c r="DP4295" s="236"/>
      <c r="DQ4295" s="236"/>
      <c r="DX4295" s="1671"/>
    </row>
    <row r="4296" spans="38:128">
      <c r="AL4296" s="1037"/>
      <c r="BP4296" s="1385"/>
      <c r="BV4296" s="236">
        <v>121.26</v>
      </c>
      <c r="BW4296" s="236" t="s">
        <v>344</v>
      </c>
      <c r="CL4296" s="338">
        <v>646.01</v>
      </c>
      <c r="CM4296" s="338" t="s">
        <v>288</v>
      </c>
      <c r="CT4296" s="1384"/>
      <c r="CZ4296" s="338"/>
      <c r="DA4296" s="338"/>
      <c r="DP4296" s="236"/>
      <c r="DQ4296" s="236"/>
      <c r="DX4296" s="1671"/>
    </row>
    <row r="4297" spans="38:128">
      <c r="AL4297" s="1037"/>
      <c r="BP4297" s="1385"/>
      <c r="BV4297" s="236">
        <v>121.27</v>
      </c>
      <c r="BW4297" s="236" t="s">
        <v>344</v>
      </c>
      <c r="CL4297" s="338">
        <v>646.02</v>
      </c>
      <c r="CM4297" s="338" t="s">
        <v>288</v>
      </c>
      <c r="CT4297" s="1384"/>
      <c r="CZ4297" s="338"/>
      <c r="DA4297" s="338"/>
      <c r="DP4297" s="236"/>
      <c r="DQ4297" s="236"/>
      <c r="DX4297" s="1671"/>
    </row>
    <row r="4298" spans="38:128">
      <c r="AL4298" s="1037"/>
      <c r="BP4298" s="1385"/>
      <c r="BV4298" s="236">
        <v>121.28</v>
      </c>
      <c r="BW4298" s="236" t="s">
        <v>344</v>
      </c>
      <c r="CL4298" s="338">
        <v>647.01</v>
      </c>
      <c r="CM4298" s="338" t="s">
        <v>288</v>
      </c>
      <c r="CT4298" s="1384"/>
      <c r="CZ4298" s="338"/>
      <c r="DA4298" s="338"/>
      <c r="DP4298" s="236"/>
      <c r="DQ4298" s="236"/>
      <c r="DX4298" s="1671"/>
    </row>
    <row r="4299" spans="38:128">
      <c r="AL4299" s="1037"/>
      <c r="BP4299" s="1385"/>
      <c r="BV4299" s="236">
        <v>121.3</v>
      </c>
      <c r="BW4299" s="236" t="s">
        <v>344</v>
      </c>
      <c r="CL4299" s="338">
        <v>647.02</v>
      </c>
      <c r="CM4299" s="338" t="s">
        <v>288</v>
      </c>
      <c r="CT4299" s="1384"/>
      <c r="CZ4299" s="338"/>
      <c r="DA4299" s="338"/>
      <c r="DP4299" s="236"/>
      <c r="DQ4299" s="236"/>
      <c r="DX4299" s="1671"/>
    </row>
    <row r="4300" spans="38:128">
      <c r="AL4300" s="1037"/>
      <c r="BP4300" s="1385"/>
      <c r="BV4300" s="236">
        <v>121.31</v>
      </c>
      <c r="BW4300" s="236" t="s">
        <v>344</v>
      </c>
      <c r="CL4300" s="338">
        <v>648</v>
      </c>
      <c r="CM4300" s="338" t="s">
        <v>288</v>
      </c>
      <c r="CT4300" s="1384"/>
      <c r="CZ4300" s="338"/>
      <c r="DA4300" s="338"/>
      <c r="DP4300" s="236"/>
      <c r="DQ4300" s="236"/>
      <c r="DX4300" s="1671"/>
    </row>
    <row r="4301" spans="38:128">
      <c r="AL4301" s="1037"/>
      <c r="BP4301" s="1385"/>
      <c r="BV4301" s="236">
        <v>121.32</v>
      </c>
      <c r="BW4301" s="236" t="s">
        <v>344</v>
      </c>
      <c r="CL4301" s="338">
        <v>649.01</v>
      </c>
      <c r="CM4301" s="338" t="s">
        <v>288</v>
      </c>
      <c r="CT4301" s="1384"/>
      <c r="CZ4301" s="338"/>
      <c r="DA4301" s="338"/>
      <c r="DP4301" s="236"/>
      <c r="DQ4301" s="236"/>
      <c r="DX4301" s="1671"/>
    </row>
    <row r="4302" spans="38:128">
      <c r="AL4302" s="1037"/>
      <c r="BP4302" s="1385"/>
      <c r="BV4302" s="236">
        <v>121.33</v>
      </c>
      <c r="BW4302" s="236" t="s">
        <v>344</v>
      </c>
      <c r="CL4302" s="338">
        <v>649.02</v>
      </c>
      <c r="CM4302" s="338" t="s">
        <v>288</v>
      </c>
      <c r="CT4302" s="1384"/>
      <c r="CZ4302" s="338"/>
      <c r="DA4302" s="338"/>
      <c r="DP4302" s="236"/>
      <c r="DQ4302" s="236"/>
      <c r="DX4302" s="1671"/>
    </row>
    <row r="4303" spans="38:128">
      <c r="AL4303" s="1037"/>
      <c r="BP4303" s="1385"/>
      <c r="BV4303" s="236">
        <v>122.03</v>
      </c>
      <c r="BW4303" s="236" t="s">
        <v>344</v>
      </c>
      <c r="CL4303" s="338">
        <v>650.01</v>
      </c>
      <c r="CM4303" s="338" t="s">
        <v>288</v>
      </c>
      <c r="CT4303" s="1384"/>
      <c r="CZ4303" s="338"/>
      <c r="DA4303" s="338"/>
      <c r="DP4303" s="236"/>
      <c r="DQ4303" s="236"/>
      <c r="DX4303" s="1671"/>
    </row>
    <row r="4304" spans="38:128">
      <c r="AL4304" s="1037"/>
      <c r="BP4304" s="1385"/>
      <c r="BV4304" s="236">
        <v>122.07</v>
      </c>
      <c r="BW4304" s="236" t="s">
        <v>344</v>
      </c>
      <c r="CL4304" s="338">
        <v>650.22</v>
      </c>
      <c r="CM4304" s="338" t="s">
        <v>288</v>
      </c>
      <c r="CT4304" s="1384"/>
      <c r="CZ4304" s="338"/>
      <c r="DA4304" s="338"/>
      <c r="DP4304" s="236"/>
      <c r="DQ4304" s="236"/>
      <c r="DX4304" s="1671"/>
    </row>
    <row r="4305" spans="38:128">
      <c r="AL4305" s="1037"/>
      <c r="BP4305" s="1385"/>
      <c r="BV4305" s="236">
        <v>122.08</v>
      </c>
      <c r="BW4305" s="236" t="s">
        <v>344</v>
      </c>
      <c r="CL4305" s="338">
        <v>650.23</v>
      </c>
      <c r="CM4305" s="338" t="s">
        <v>288</v>
      </c>
      <c r="CT4305" s="1384"/>
      <c r="CZ4305" s="338"/>
      <c r="DA4305" s="338"/>
      <c r="DP4305" s="236"/>
      <c r="DQ4305" s="236"/>
      <c r="DX4305" s="1671"/>
    </row>
    <row r="4306" spans="38:128">
      <c r="AL4306" s="1037"/>
      <c r="BP4306" s="1385"/>
      <c r="BV4306" s="236">
        <v>122.09</v>
      </c>
      <c r="BW4306" s="236" t="s">
        <v>344</v>
      </c>
      <c r="CL4306" s="338">
        <v>650.24</v>
      </c>
      <c r="CM4306" s="338" t="s">
        <v>288</v>
      </c>
      <c r="CT4306" s="1384"/>
      <c r="CZ4306" s="338"/>
      <c r="DA4306" s="338"/>
      <c r="DP4306" s="236"/>
      <c r="DQ4306" s="236"/>
      <c r="DX4306" s="1671"/>
    </row>
    <row r="4307" spans="38:128">
      <c r="AL4307" s="1037"/>
      <c r="BP4307" s="1385"/>
      <c r="BV4307" s="236">
        <v>123.03</v>
      </c>
      <c r="BW4307" s="236" t="s">
        <v>344</v>
      </c>
      <c r="CL4307" s="338">
        <v>650.25</v>
      </c>
      <c r="CM4307" s="338" t="s">
        <v>288</v>
      </c>
      <c r="CT4307" s="1384"/>
      <c r="CZ4307" s="338"/>
      <c r="DA4307" s="338"/>
      <c r="DP4307" s="236"/>
      <c r="DQ4307" s="236"/>
      <c r="DX4307" s="1671"/>
    </row>
    <row r="4308" spans="38:128">
      <c r="AL4308" s="1037"/>
      <c r="BP4308" s="1385"/>
      <c r="BV4308" s="236">
        <v>123.04</v>
      </c>
      <c r="BW4308" s="236" t="s">
        <v>344</v>
      </c>
      <c r="CL4308" s="338">
        <v>651.23</v>
      </c>
      <c r="CM4308" s="338" t="s">
        <v>288</v>
      </c>
      <c r="CT4308" s="1384"/>
      <c r="CZ4308" s="338"/>
      <c r="DA4308" s="338"/>
      <c r="DP4308" s="236"/>
      <c r="DQ4308" s="236"/>
      <c r="DX4308" s="1671"/>
    </row>
    <row r="4309" spans="38:128">
      <c r="AL4309" s="1037"/>
      <c r="BP4309" s="1385"/>
      <c r="BV4309" s="236">
        <v>123.05</v>
      </c>
      <c r="BW4309" s="236" t="s">
        <v>344</v>
      </c>
      <c r="CL4309" s="338">
        <v>651.24</v>
      </c>
      <c r="CM4309" s="338" t="s">
        <v>288</v>
      </c>
      <c r="CT4309" s="1384"/>
      <c r="CZ4309" s="338"/>
      <c r="DA4309" s="338"/>
      <c r="DP4309" s="236"/>
      <c r="DQ4309" s="236"/>
      <c r="DX4309" s="1671"/>
    </row>
    <row r="4310" spans="38:128">
      <c r="AL4310" s="1037"/>
      <c r="BP4310" s="1385"/>
      <c r="BV4310" s="236">
        <v>123.06</v>
      </c>
      <c r="BW4310" s="236" t="s">
        <v>344</v>
      </c>
      <c r="CL4310" s="338">
        <v>651.26</v>
      </c>
      <c r="CM4310" s="338" t="s">
        <v>288</v>
      </c>
      <c r="CT4310" s="1384"/>
      <c r="CZ4310" s="338"/>
      <c r="DA4310" s="338"/>
      <c r="DP4310" s="236"/>
      <c r="DQ4310" s="236"/>
      <c r="DX4310" s="1671"/>
    </row>
    <row r="4311" spans="38:128">
      <c r="AL4311" s="1037"/>
      <c r="BP4311" s="1385"/>
      <c r="BV4311" s="236">
        <v>123.07</v>
      </c>
      <c r="BW4311" s="236" t="s">
        <v>344</v>
      </c>
      <c r="CL4311" s="338">
        <v>651.27</v>
      </c>
      <c r="CM4311" s="338" t="s">
        <v>288</v>
      </c>
      <c r="CT4311" s="1384"/>
      <c r="CZ4311" s="338"/>
      <c r="DA4311" s="338"/>
      <c r="DP4311" s="236"/>
      <c r="DQ4311" s="236"/>
      <c r="DX4311" s="1671"/>
    </row>
    <row r="4312" spans="38:128">
      <c r="AL4312" s="1037"/>
      <c r="BP4312" s="1385"/>
      <c r="BV4312" s="236">
        <v>123.09</v>
      </c>
      <c r="BW4312" s="236" t="s">
        <v>344</v>
      </c>
      <c r="CL4312" s="338">
        <v>651.28</v>
      </c>
      <c r="CM4312" s="338" t="s">
        <v>288</v>
      </c>
      <c r="CT4312" s="1384"/>
      <c r="CZ4312" s="338"/>
      <c r="DA4312" s="338"/>
      <c r="DP4312" s="236"/>
      <c r="DQ4312" s="236"/>
      <c r="DX4312" s="1671"/>
    </row>
    <row r="4313" spans="38:128">
      <c r="AL4313" s="1037"/>
      <c r="BP4313" s="1385"/>
      <c r="BV4313" s="236">
        <v>124.04</v>
      </c>
      <c r="BW4313" s="236" t="s">
        <v>344</v>
      </c>
      <c r="CL4313" s="338">
        <v>651.29</v>
      </c>
      <c r="CM4313" s="338" t="s">
        <v>288</v>
      </c>
      <c r="CT4313" s="1384"/>
      <c r="CZ4313" s="338"/>
      <c r="DA4313" s="338"/>
      <c r="DP4313" s="236"/>
      <c r="DQ4313" s="236"/>
      <c r="DX4313" s="1671"/>
    </row>
    <row r="4314" spans="38:128">
      <c r="AL4314" s="1037"/>
      <c r="BP4314" s="1385"/>
      <c r="BV4314" s="236">
        <v>124.05</v>
      </c>
      <c r="BW4314" s="236" t="s">
        <v>344</v>
      </c>
      <c r="CL4314" s="338">
        <v>651.29999999999995</v>
      </c>
      <c r="CM4314" s="338" t="s">
        <v>288</v>
      </c>
      <c r="CT4314" s="1384"/>
      <c r="CZ4314" s="338"/>
      <c r="DA4314" s="338"/>
      <c r="DP4314" s="236"/>
      <c r="DQ4314" s="236"/>
      <c r="DX4314" s="1671"/>
    </row>
    <row r="4315" spans="38:128">
      <c r="AL4315" s="1037"/>
      <c r="BP4315" s="1385"/>
      <c r="BV4315" s="236">
        <v>124.07</v>
      </c>
      <c r="BW4315" s="236" t="s">
        <v>344</v>
      </c>
      <c r="CL4315" s="338">
        <v>651.30999999999995</v>
      </c>
      <c r="CM4315" s="338" t="s">
        <v>288</v>
      </c>
      <c r="CT4315" s="1384"/>
      <c r="CZ4315" s="338"/>
      <c r="DA4315" s="338"/>
      <c r="DP4315" s="236"/>
      <c r="DQ4315" s="236"/>
      <c r="DX4315" s="1671"/>
    </row>
    <row r="4316" spans="38:128">
      <c r="AL4316" s="1037"/>
      <c r="BP4316" s="1385"/>
      <c r="BV4316" s="236">
        <v>124.08</v>
      </c>
      <c r="BW4316" s="236" t="s">
        <v>344</v>
      </c>
      <c r="CL4316" s="338">
        <v>652.01</v>
      </c>
      <c r="CM4316" s="338" t="s">
        <v>288</v>
      </c>
      <c r="CT4316" s="1384"/>
      <c r="CZ4316" s="338"/>
      <c r="DA4316" s="338"/>
      <c r="DP4316" s="236"/>
      <c r="DQ4316" s="236"/>
      <c r="DX4316" s="1671"/>
    </row>
    <row r="4317" spans="38:128">
      <c r="AL4317" s="1037"/>
      <c r="BP4317" s="1385"/>
      <c r="BV4317" s="236">
        <v>124.09</v>
      </c>
      <c r="BW4317" s="236" t="s">
        <v>344</v>
      </c>
      <c r="CL4317" s="338">
        <v>652.02</v>
      </c>
      <c r="CM4317" s="338" t="s">
        <v>288</v>
      </c>
      <c r="CT4317" s="1384"/>
      <c r="CZ4317" s="338"/>
      <c r="DA4317" s="338"/>
      <c r="DP4317" s="236"/>
      <c r="DQ4317" s="236"/>
      <c r="DX4317" s="1671"/>
    </row>
    <row r="4318" spans="38:128">
      <c r="AL4318" s="1037"/>
      <c r="BP4318" s="1385"/>
      <c r="BV4318" s="236">
        <v>124.1</v>
      </c>
      <c r="BW4318" s="236" t="s">
        <v>344</v>
      </c>
      <c r="CL4318" s="338">
        <v>652.30999999999995</v>
      </c>
      <c r="CM4318" s="338" t="s">
        <v>288</v>
      </c>
      <c r="CT4318" s="1384"/>
      <c r="CZ4318" s="338"/>
      <c r="DA4318" s="338"/>
      <c r="DP4318" s="236"/>
      <c r="DQ4318" s="236"/>
      <c r="DX4318" s="1671"/>
    </row>
    <row r="4319" spans="38:128">
      <c r="AL4319" s="1037"/>
      <c r="BP4319" s="1385"/>
      <c r="BV4319" s="236">
        <v>124.11</v>
      </c>
      <c r="BW4319" s="236" t="s">
        <v>344</v>
      </c>
      <c r="CL4319" s="338">
        <v>652.36</v>
      </c>
      <c r="CM4319" s="338" t="s">
        <v>288</v>
      </c>
      <c r="CT4319" s="1384"/>
      <c r="CZ4319" s="338"/>
      <c r="DA4319" s="338"/>
      <c r="DP4319" s="236"/>
      <c r="DQ4319" s="236"/>
      <c r="DX4319" s="1671"/>
    </row>
    <row r="4320" spans="38:128">
      <c r="AL4320" s="1037"/>
      <c r="BP4320" s="1385"/>
      <c r="BV4320" s="236">
        <v>124.12</v>
      </c>
      <c r="BW4320" s="236" t="s">
        <v>344</v>
      </c>
      <c r="CL4320" s="338">
        <v>652.37</v>
      </c>
      <c r="CM4320" s="338" t="s">
        <v>288</v>
      </c>
      <c r="CT4320" s="1384"/>
      <c r="CZ4320" s="338"/>
      <c r="DA4320" s="338"/>
      <c r="DP4320" s="236"/>
      <c r="DQ4320" s="236"/>
      <c r="DX4320" s="1671"/>
    </row>
    <row r="4321" spans="38:128">
      <c r="AL4321" s="1037"/>
      <c r="BP4321" s="1385"/>
      <c r="BV4321" s="236">
        <v>124.13</v>
      </c>
      <c r="BW4321" s="236" t="s">
        <v>344</v>
      </c>
      <c r="CL4321" s="338">
        <v>652.38</v>
      </c>
      <c r="CM4321" s="338" t="s">
        <v>288</v>
      </c>
      <c r="CT4321" s="1384"/>
      <c r="CZ4321" s="338"/>
      <c r="DA4321" s="338"/>
      <c r="DP4321" s="236"/>
      <c r="DQ4321" s="236"/>
      <c r="DX4321" s="1671"/>
    </row>
    <row r="4322" spans="38:128">
      <c r="AL4322" s="1037"/>
      <c r="BP4322" s="1385"/>
      <c r="BV4322" s="236">
        <v>124.14</v>
      </c>
      <c r="BW4322" s="236" t="s">
        <v>344</v>
      </c>
      <c r="CL4322" s="338">
        <v>652.39</v>
      </c>
      <c r="CM4322" s="338" t="s">
        <v>288</v>
      </c>
      <c r="CT4322" s="1384"/>
      <c r="CZ4322" s="338"/>
      <c r="DA4322" s="338"/>
      <c r="DP4322" s="236"/>
      <c r="DQ4322" s="236"/>
      <c r="DX4322" s="1671"/>
    </row>
    <row r="4323" spans="38:128">
      <c r="AL4323" s="1037"/>
      <c r="BP4323" s="1385"/>
      <c r="BV4323" s="236">
        <v>124.15</v>
      </c>
      <c r="BW4323" s="236" t="s">
        <v>344</v>
      </c>
      <c r="CL4323" s="338">
        <v>652.4</v>
      </c>
      <c r="CM4323" s="338" t="s">
        <v>288</v>
      </c>
      <c r="CT4323" s="1384"/>
      <c r="CZ4323" s="338"/>
      <c r="DA4323" s="338"/>
      <c r="DP4323" s="236"/>
      <c r="DQ4323" s="236"/>
      <c r="DX4323" s="1671"/>
    </row>
    <row r="4324" spans="38:128">
      <c r="AL4324" s="1037"/>
      <c r="BP4324" s="1385"/>
      <c r="BV4324" s="236">
        <v>125.02</v>
      </c>
      <c r="BW4324" s="236" t="s">
        <v>344</v>
      </c>
      <c r="CL4324" s="338">
        <v>661.01</v>
      </c>
      <c r="CM4324" s="338" t="s">
        <v>288</v>
      </c>
      <c r="CT4324" s="1384"/>
      <c r="CZ4324" s="338"/>
      <c r="DA4324" s="338"/>
      <c r="DP4324" s="236"/>
      <c r="DQ4324" s="236"/>
      <c r="DX4324" s="1671"/>
    </row>
    <row r="4325" spans="38:128">
      <c r="AL4325" s="1037"/>
      <c r="BP4325" s="1385"/>
      <c r="BV4325" s="236">
        <v>125.06</v>
      </c>
      <c r="BW4325" s="236" t="s">
        <v>344</v>
      </c>
      <c r="CL4325" s="338">
        <v>661.03</v>
      </c>
      <c r="CM4325" s="338" t="s">
        <v>288</v>
      </c>
      <c r="CT4325" s="1384"/>
      <c r="CZ4325" s="338"/>
      <c r="DA4325" s="338"/>
      <c r="DP4325" s="236"/>
      <c r="DQ4325" s="236"/>
      <c r="DX4325" s="1671"/>
    </row>
    <row r="4326" spans="38:128">
      <c r="AL4326" s="1037"/>
      <c r="BP4326" s="1385"/>
      <c r="BV4326" s="236">
        <v>125.08</v>
      </c>
      <c r="BW4326" s="236" t="s">
        <v>344</v>
      </c>
      <c r="CL4326" s="338">
        <v>661.04</v>
      </c>
      <c r="CM4326" s="338" t="s">
        <v>288</v>
      </c>
      <c r="CT4326" s="1384"/>
      <c r="CZ4326" s="338"/>
      <c r="DA4326" s="338"/>
      <c r="DP4326" s="236"/>
      <c r="DQ4326" s="236"/>
      <c r="DX4326" s="1671"/>
    </row>
    <row r="4327" spans="38:128">
      <c r="AL4327" s="1037"/>
      <c r="BP4327" s="1385"/>
      <c r="BV4327" s="236">
        <v>125.09</v>
      </c>
      <c r="BW4327" s="236" t="s">
        <v>344</v>
      </c>
      <c r="CL4327" s="338">
        <v>662</v>
      </c>
      <c r="CM4327" s="338" t="s">
        <v>288</v>
      </c>
      <c r="CT4327" s="1384"/>
      <c r="CZ4327" s="338"/>
      <c r="DA4327" s="338"/>
      <c r="DP4327" s="236"/>
      <c r="DQ4327" s="236"/>
      <c r="DX4327" s="1671"/>
    </row>
    <row r="4328" spans="38:128">
      <c r="AL4328" s="1037"/>
      <c r="BP4328" s="1385"/>
      <c r="BV4328" s="236">
        <v>125.1</v>
      </c>
      <c r="BW4328" s="236" t="s">
        <v>344</v>
      </c>
      <c r="CL4328" s="338">
        <v>663.01</v>
      </c>
      <c r="CM4328" s="338" t="s">
        <v>288</v>
      </c>
      <c r="CT4328" s="1384"/>
      <c r="CZ4328" s="338"/>
      <c r="DA4328" s="338"/>
      <c r="DP4328" s="236"/>
      <c r="DQ4328" s="236"/>
      <c r="DX4328" s="1671"/>
    </row>
    <row r="4329" spans="38:128">
      <c r="AL4329" s="1037"/>
      <c r="BP4329" s="1385"/>
      <c r="BV4329" s="236">
        <v>125.11</v>
      </c>
      <c r="BW4329" s="236" t="s">
        <v>344</v>
      </c>
      <c r="CL4329" s="338">
        <v>663.02</v>
      </c>
      <c r="CM4329" s="338" t="s">
        <v>288</v>
      </c>
      <c r="CT4329" s="1384"/>
      <c r="CZ4329" s="338"/>
      <c r="DA4329" s="338"/>
      <c r="DP4329" s="236"/>
      <c r="DQ4329" s="236"/>
      <c r="DX4329" s="1671"/>
    </row>
    <row r="4330" spans="38:128">
      <c r="AL4330" s="1037"/>
      <c r="BP4330" s="1385"/>
      <c r="BV4330" s="236">
        <v>125.12</v>
      </c>
      <c r="BW4330" s="236" t="s">
        <v>344</v>
      </c>
      <c r="CL4330" s="338">
        <v>664</v>
      </c>
      <c r="CM4330" s="338" t="s">
        <v>288</v>
      </c>
      <c r="CT4330" s="1384"/>
      <c r="CZ4330" s="338"/>
      <c r="DA4330" s="338"/>
      <c r="DP4330" s="236"/>
      <c r="DQ4330" s="236"/>
      <c r="DX4330" s="1671"/>
    </row>
    <row r="4331" spans="38:128">
      <c r="AL4331" s="1037"/>
      <c r="BP4331" s="1385"/>
      <c r="BV4331" s="236">
        <v>125.13</v>
      </c>
      <c r="BW4331" s="236" t="s">
        <v>344</v>
      </c>
      <c r="CL4331" s="338">
        <v>665</v>
      </c>
      <c r="CM4331" s="338" t="s">
        <v>288</v>
      </c>
      <c r="CT4331" s="1384"/>
      <c r="CZ4331" s="338"/>
      <c r="DA4331" s="338"/>
      <c r="DP4331" s="236"/>
      <c r="DQ4331" s="236"/>
      <c r="DX4331" s="1671"/>
    </row>
    <row r="4332" spans="38:128">
      <c r="AL4332" s="1037"/>
      <c r="BP4332" s="1385"/>
      <c r="BV4332" s="236">
        <v>125.14</v>
      </c>
      <c r="BW4332" s="236" t="s">
        <v>344</v>
      </c>
      <c r="CL4332" s="338">
        <v>666</v>
      </c>
      <c r="CM4332" s="338" t="s">
        <v>288</v>
      </c>
      <c r="CT4332" s="1384"/>
      <c r="CZ4332" s="338"/>
      <c r="DA4332" s="338"/>
      <c r="DP4332" s="236"/>
      <c r="DQ4332" s="236"/>
      <c r="DX4332" s="1671"/>
    </row>
    <row r="4333" spans="38:128">
      <c r="AL4333" s="1037"/>
      <c r="BP4333" s="1385"/>
      <c r="BV4333" s="236">
        <v>125.15</v>
      </c>
      <c r="BW4333" s="236" t="s">
        <v>344</v>
      </c>
      <c r="CL4333" s="338">
        <v>667</v>
      </c>
      <c r="CM4333" s="338" t="s">
        <v>288</v>
      </c>
      <c r="CT4333" s="1384"/>
      <c r="CZ4333" s="338"/>
      <c r="DA4333" s="338"/>
      <c r="DP4333" s="236"/>
      <c r="DQ4333" s="236"/>
      <c r="DX4333" s="1671"/>
    </row>
    <row r="4334" spans="38:128">
      <c r="AL4334" s="1037"/>
      <c r="BP4334" s="1385"/>
      <c r="BV4334" s="236">
        <v>126.01</v>
      </c>
      <c r="BW4334" s="236" t="s">
        <v>344</v>
      </c>
      <c r="CL4334" s="338">
        <v>668</v>
      </c>
      <c r="CM4334" s="338" t="s">
        <v>288</v>
      </c>
      <c r="CT4334" s="1384"/>
      <c r="CZ4334" s="338"/>
      <c r="DA4334" s="338"/>
      <c r="DP4334" s="236"/>
      <c r="DQ4334" s="236"/>
      <c r="DX4334" s="1671"/>
    </row>
    <row r="4335" spans="38:128">
      <c r="AL4335" s="1037"/>
      <c r="BP4335" s="1385"/>
      <c r="BV4335" s="236">
        <v>126.02</v>
      </c>
      <c r="BW4335" s="236" t="s">
        <v>344</v>
      </c>
      <c r="CL4335" s="338">
        <v>669</v>
      </c>
      <c r="CM4335" s="338" t="s">
        <v>288</v>
      </c>
      <c r="CT4335" s="1384"/>
      <c r="CZ4335" s="338"/>
      <c r="DA4335" s="338"/>
      <c r="DP4335" s="236"/>
      <c r="DQ4335" s="236"/>
      <c r="DX4335" s="1671"/>
    </row>
    <row r="4336" spans="38:128">
      <c r="AL4336" s="1037"/>
      <c r="BP4336" s="1385"/>
      <c r="BV4336" s="236">
        <v>127.01</v>
      </c>
      <c r="BW4336" s="236" t="s">
        <v>344</v>
      </c>
      <c r="CL4336" s="338">
        <v>671</v>
      </c>
      <c r="CM4336" s="338" t="s">
        <v>288</v>
      </c>
      <c r="CT4336" s="1384"/>
      <c r="CZ4336" s="338"/>
      <c r="DA4336" s="338"/>
      <c r="DP4336" s="236"/>
      <c r="DQ4336" s="236"/>
      <c r="DX4336" s="1671"/>
    </row>
    <row r="4337" spans="38:128">
      <c r="AL4337" s="1037"/>
      <c r="BP4337" s="1385"/>
      <c r="BV4337" s="236">
        <v>127.02</v>
      </c>
      <c r="BW4337" s="236" t="s">
        <v>344</v>
      </c>
      <c r="CL4337" s="338">
        <v>681.01</v>
      </c>
      <c r="CM4337" s="338" t="s">
        <v>288</v>
      </c>
      <c r="CT4337" s="1384"/>
      <c r="CZ4337" s="338"/>
      <c r="DA4337" s="338"/>
      <c r="DP4337" s="236"/>
      <c r="DQ4337" s="236"/>
      <c r="DX4337" s="1671"/>
    </row>
    <row r="4338" spans="38:128">
      <c r="AL4338" s="1037"/>
      <c r="BP4338" s="1385"/>
      <c r="BV4338" s="236">
        <v>128.02000000000001</v>
      </c>
      <c r="BW4338" s="236" t="s">
        <v>344</v>
      </c>
      <c r="CL4338" s="338">
        <v>681.02</v>
      </c>
      <c r="CM4338" s="338" t="s">
        <v>288</v>
      </c>
      <c r="CT4338" s="1384"/>
      <c r="CZ4338" s="338"/>
      <c r="DA4338" s="338"/>
      <c r="DP4338" s="236"/>
      <c r="DQ4338" s="236"/>
      <c r="DX4338" s="1671"/>
    </row>
    <row r="4339" spans="38:128">
      <c r="AL4339" s="1037"/>
      <c r="BP4339" s="1385"/>
      <c r="BV4339" s="236">
        <v>128.03</v>
      </c>
      <c r="BW4339" s="236" t="s">
        <v>344</v>
      </c>
      <c r="CL4339" s="338">
        <v>684</v>
      </c>
      <c r="CM4339" s="338" t="s">
        <v>288</v>
      </c>
      <c r="CT4339" s="1384"/>
      <c r="CZ4339" s="338"/>
      <c r="DA4339" s="338"/>
      <c r="DP4339" s="236"/>
      <c r="DQ4339" s="236"/>
      <c r="DX4339" s="1671"/>
    </row>
    <row r="4340" spans="38:128">
      <c r="AL4340" s="1037"/>
      <c r="BP4340" s="1385"/>
      <c r="BV4340" s="236">
        <v>128.04</v>
      </c>
      <c r="BW4340" s="236" t="s">
        <v>344</v>
      </c>
      <c r="CL4340" s="338">
        <v>685.01</v>
      </c>
      <c r="CM4340" s="338" t="s">
        <v>288</v>
      </c>
      <c r="CT4340" s="1384"/>
      <c r="CZ4340" s="338"/>
      <c r="DA4340" s="338"/>
      <c r="DP4340" s="236"/>
      <c r="DQ4340" s="236"/>
      <c r="DX4340" s="1671"/>
    </row>
    <row r="4341" spans="38:128">
      <c r="AL4341" s="1037"/>
      <c r="BP4341" s="1385"/>
      <c r="BV4341" s="236">
        <v>129</v>
      </c>
      <c r="BW4341" s="236" t="s">
        <v>344</v>
      </c>
      <c r="CL4341" s="338">
        <v>685.02</v>
      </c>
      <c r="CM4341" s="338" t="s">
        <v>288</v>
      </c>
      <c r="CT4341" s="1384"/>
      <c r="CZ4341" s="338"/>
      <c r="DA4341" s="338"/>
      <c r="DP4341" s="236"/>
      <c r="DQ4341" s="236"/>
      <c r="DX4341" s="1671"/>
    </row>
    <row r="4342" spans="38:128">
      <c r="AL4342" s="1037"/>
      <c r="BP4342" s="1385"/>
      <c r="BV4342" s="236">
        <v>130.01</v>
      </c>
      <c r="BW4342" s="236" t="s">
        <v>344</v>
      </c>
      <c r="CL4342" s="338">
        <v>686.01</v>
      </c>
      <c r="CM4342" s="338" t="s">
        <v>288</v>
      </c>
      <c r="CT4342" s="1384"/>
      <c r="CZ4342" s="338"/>
      <c r="DA4342" s="338"/>
      <c r="DP4342" s="236"/>
      <c r="DQ4342" s="236"/>
      <c r="DX4342" s="1671"/>
    </row>
    <row r="4343" spans="38:128">
      <c r="AL4343" s="1037"/>
      <c r="BP4343" s="1385"/>
      <c r="BV4343" s="236">
        <v>130.02000000000001</v>
      </c>
      <c r="BW4343" s="236" t="s">
        <v>344</v>
      </c>
      <c r="CL4343" s="338">
        <v>686.03</v>
      </c>
      <c r="CM4343" s="338" t="s">
        <v>288</v>
      </c>
      <c r="CT4343" s="1384"/>
      <c r="CZ4343" s="338"/>
      <c r="DA4343" s="338"/>
      <c r="DP4343" s="236"/>
      <c r="DQ4343" s="236"/>
      <c r="DX4343" s="1671"/>
    </row>
    <row r="4344" spans="38:128">
      <c r="AL4344" s="1037"/>
      <c r="BP4344" s="1385"/>
      <c r="BV4344" s="236">
        <v>131.01</v>
      </c>
      <c r="BW4344" s="236" t="s">
        <v>344</v>
      </c>
      <c r="CL4344" s="338">
        <v>686.04</v>
      </c>
      <c r="CM4344" s="338" t="s">
        <v>288</v>
      </c>
      <c r="CT4344" s="1384"/>
      <c r="CZ4344" s="338"/>
      <c r="DA4344" s="338"/>
      <c r="DP4344" s="236"/>
      <c r="DQ4344" s="236"/>
      <c r="DX4344" s="1671"/>
    </row>
    <row r="4345" spans="38:128">
      <c r="AL4345" s="1037"/>
      <c r="BP4345" s="1385"/>
      <c r="BV4345" s="236">
        <v>131.02000000000001</v>
      </c>
      <c r="BW4345" s="236" t="s">
        <v>344</v>
      </c>
      <c r="CL4345" s="338">
        <v>691</v>
      </c>
      <c r="CM4345" s="338" t="s">
        <v>288</v>
      </c>
      <c r="CT4345" s="1384"/>
      <c r="CZ4345" s="338"/>
      <c r="DA4345" s="338"/>
      <c r="DP4345" s="236"/>
      <c r="DQ4345" s="236"/>
      <c r="DX4345" s="1671"/>
    </row>
    <row r="4346" spans="38:128">
      <c r="AL4346" s="1037"/>
      <c r="BP4346" s="1385"/>
      <c r="BV4346" s="236">
        <v>131.03</v>
      </c>
      <c r="BW4346" s="236" t="s">
        <v>344</v>
      </c>
      <c r="CL4346" s="338">
        <v>692</v>
      </c>
      <c r="CM4346" s="338" t="s">
        <v>288</v>
      </c>
      <c r="CT4346" s="1384"/>
      <c r="CZ4346" s="338"/>
      <c r="DA4346" s="338"/>
      <c r="DP4346" s="236"/>
      <c r="DQ4346" s="236"/>
      <c r="DX4346" s="1671"/>
    </row>
    <row r="4347" spans="38:128">
      <c r="AL4347" s="1037"/>
      <c r="BP4347" s="1385"/>
      <c r="BV4347" s="236">
        <v>132</v>
      </c>
      <c r="BW4347" s="236" t="s">
        <v>344</v>
      </c>
      <c r="CL4347" s="338">
        <v>693</v>
      </c>
      <c r="CM4347" s="338" t="s">
        <v>288</v>
      </c>
      <c r="CT4347" s="1384"/>
      <c r="CZ4347" s="338"/>
      <c r="DA4347" s="338"/>
      <c r="DP4347" s="236"/>
      <c r="DQ4347" s="236"/>
      <c r="DX4347" s="1671"/>
    </row>
    <row r="4348" spans="38:128">
      <c r="AL4348" s="1037"/>
      <c r="BP4348" s="1385"/>
      <c r="BV4348" s="236">
        <v>133</v>
      </c>
      <c r="BW4348" s="236" t="s">
        <v>344</v>
      </c>
      <c r="CL4348" s="338">
        <v>694</v>
      </c>
      <c r="CM4348" s="338" t="s">
        <v>288</v>
      </c>
      <c r="CT4348" s="1384"/>
      <c r="CZ4348" s="338"/>
      <c r="DA4348" s="338"/>
      <c r="DP4348" s="236"/>
      <c r="DQ4348" s="236"/>
      <c r="DX4348" s="1671"/>
    </row>
    <row r="4349" spans="38:128">
      <c r="AL4349" s="1037"/>
      <c r="BP4349" s="1385"/>
      <c r="BV4349" s="236">
        <v>134</v>
      </c>
      <c r="BW4349" s="236" t="s">
        <v>344</v>
      </c>
      <c r="CL4349" s="338">
        <v>697</v>
      </c>
      <c r="CM4349" s="338" t="s">
        <v>288</v>
      </c>
      <c r="CT4349" s="1384"/>
      <c r="CZ4349" s="338"/>
      <c r="DA4349" s="338"/>
      <c r="DP4349" s="236"/>
      <c r="DQ4349" s="236"/>
      <c r="DX4349" s="1671"/>
    </row>
    <row r="4350" spans="38:128">
      <c r="AL4350" s="1037"/>
      <c r="BP4350" s="1385"/>
      <c r="BV4350" s="236">
        <v>135</v>
      </c>
      <c r="BW4350" s="236" t="s">
        <v>344</v>
      </c>
      <c r="CL4350" s="338">
        <v>698.01</v>
      </c>
      <c r="CM4350" s="338" t="s">
        <v>288</v>
      </c>
      <c r="CT4350" s="1384"/>
      <c r="CZ4350" s="338"/>
      <c r="DA4350" s="338"/>
      <c r="DP4350" s="236"/>
      <c r="DQ4350" s="236"/>
      <c r="DX4350" s="1671"/>
    </row>
    <row r="4351" spans="38:128">
      <c r="AL4351" s="1037"/>
      <c r="BP4351" s="1385"/>
      <c r="BV4351" s="236">
        <v>136.01</v>
      </c>
      <c r="BW4351" s="236" t="s">
        <v>344</v>
      </c>
      <c r="CL4351" s="338">
        <v>698.02</v>
      </c>
      <c r="CM4351" s="338" t="s">
        <v>288</v>
      </c>
      <c r="CT4351" s="1384"/>
      <c r="CZ4351" s="338"/>
      <c r="DA4351" s="338"/>
      <c r="DP4351" s="236"/>
      <c r="DQ4351" s="236"/>
      <c r="DX4351" s="1671"/>
    </row>
    <row r="4352" spans="38:128">
      <c r="AL4352" s="1037"/>
      <c r="BP4352" s="1385"/>
      <c r="BV4352" s="236">
        <v>136.02000000000001</v>
      </c>
      <c r="BW4352" s="236" t="s">
        <v>344</v>
      </c>
      <c r="CL4352" s="338">
        <v>699.03</v>
      </c>
      <c r="CM4352" s="338" t="s">
        <v>288</v>
      </c>
      <c r="CT4352" s="1384"/>
      <c r="CZ4352" s="338"/>
      <c r="DA4352" s="338"/>
      <c r="DP4352" s="236"/>
      <c r="DQ4352" s="236"/>
      <c r="DX4352" s="1671"/>
    </row>
    <row r="4353" spans="38:128">
      <c r="AL4353" s="1037"/>
      <c r="BP4353" s="1385"/>
      <c r="BV4353" s="236">
        <v>137.01</v>
      </c>
      <c r="BW4353" s="236" t="s">
        <v>344</v>
      </c>
      <c r="CL4353" s="338">
        <v>699.04</v>
      </c>
      <c r="CM4353" s="338" t="s">
        <v>288</v>
      </c>
      <c r="CT4353" s="1384"/>
      <c r="CZ4353" s="338"/>
      <c r="DA4353" s="338"/>
      <c r="DP4353" s="236"/>
      <c r="DQ4353" s="236"/>
      <c r="DX4353" s="1671"/>
    </row>
    <row r="4354" spans="38:128">
      <c r="AL4354" s="1037"/>
      <c r="BP4354" s="1385"/>
      <c r="BV4354" s="236">
        <v>137.02000000000001</v>
      </c>
      <c r="BW4354" s="236" t="s">
        <v>344</v>
      </c>
      <c r="CL4354" s="338">
        <v>699.05</v>
      </c>
      <c r="CM4354" s="338" t="s">
        <v>288</v>
      </c>
      <c r="CT4354" s="1384"/>
      <c r="CZ4354" s="338"/>
      <c r="DA4354" s="338"/>
      <c r="DP4354" s="236"/>
      <c r="DQ4354" s="236"/>
      <c r="DX4354" s="1671"/>
    </row>
    <row r="4355" spans="38:128">
      <c r="AL4355" s="1037"/>
      <c r="BP4355" s="1385"/>
      <c r="BV4355" s="236">
        <v>138.01</v>
      </c>
      <c r="BW4355" s="236" t="s">
        <v>344</v>
      </c>
      <c r="CL4355" s="338">
        <v>699.06</v>
      </c>
      <c r="CM4355" s="338" t="s">
        <v>288</v>
      </c>
      <c r="CT4355" s="1384"/>
      <c r="CZ4355" s="338"/>
      <c r="DA4355" s="338"/>
      <c r="DP4355" s="236"/>
      <c r="DQ4355" s="236"/>
      <c r="DX4355" s="1671"/>
    </row>
    <row r="4356" spans="38:128">
      <c r="AL4356" s="1037"/>
      <c r="BP4356" s="1385"/>
      <c r="BV4356" s="236">
        <v>138.02000000000001</v>
      </c>
      <c r="BW4356" s="236" t="s">
        <v>344</v>
      </c>
      <c r="CL4356" s="338">
        <v>699.07</v>
      </c>
      <c r="CM4356" s="338" t="s">
        <v>288</v>
      </c>
      <c r="CT4356" s="1384"/>
      <c r="CZ4356" s="338"/>
      <c r="DA4356" s="338"/>
      <c r="DP4356" s="236"/>
      <c r="DQ4356" s="236"/>
      <c r="DX4356" s="1671"/>
    </row>
    <row r="4357" spans="38:128">
      <c r="AL4357" s="1037"/>
      <c r="BP4357" s="1385"/>
      <c r="BV4357" s="236">
        <v>139.01</v>
      </c>
      <c r="BW4357" s="236" t="s">
        <v>344</v>
      </c>
      <c r="CL4357" s="236">
        <v>701.01</v>
      </c>
      <c r="CM4357" s="236" t="s">
        <v>323</v>
      </c>
      <c r="CT4357" s="1384"/>
      <c r="CZ4357" s="338"/>
      <c r="DA4357" s="338"/>
      <c r="DP4357" s="236"/>
      <c r="DQ4357" s="236"/>
      <c r="DX4357" s="1671"/>
    </row>
    <row r="4358" spans="38:128">
      <c r="AL4358" s="1037"/>
      <c r="BP4358" s="1385"/>
      <c r="BV4358" s="236">
        <v>139.02000000000001</v>
      </c>
      <c r="BW4358" s="236" t="s">
        <v>344</v>
      </c>
      <c r="CL4358" s="338">
        <v>701.02</v>
      </c>
      <c r="CM4358" s="338" t="s">
        <v>289</v>
      </c>
      <c r="CT4358" s="1384"/>
      <c r="CZ4358" s="338"/>
      <c r="DA4358" s="338"/>
      <c r="DP4358" s="236"/>
      <c r="DQ4358" s="236"/>
      <c r="DX4358" s="1671"/>
    </row>
    <row r="4359" spans="38:128">
      <c r="AL4359" s="1037"/>
      <c r="BP4359" s="1385"/>
      <c r="BV4359" s="236">
        <v>140.01</v>
      </c>
      <c r="BW4359" s="236" t="s">
        <v>344</v>
      </c>
      <c r="CL4359" s="236">
        <v>701.02</v>
      </c>
      <c r="CM4359" s="236" t="s">
        <v>323</v>
      </c>
      <c r="CT4359" s="1384"/>
      <c r="CZ4359" s="338"/>
      <c r="DA4359" s="338"/>
      <c r="DP4359" s="236"/>
      <c r="DQ4359" s="236"/>
      <c r="DX4359" s="1671"/>
    </row>
    <row r="4360" spans="38:128">
      <c r="AL4360" s="1037"/>
      <c r="BP4360" s="1385"/>
      <c r="BV4360" s="236">
        <v>140.03</v>
      </c>
      <c r="BW4360" s="236" t="s">
        <v>344</v>
      </c>
      <c r="CL4360" s="338">
        <v>701.03</v>
      </c>
      <c r="CM4360" s="338" t="s">
        <v>289</v>
      </c>
      <c r="CT4360" s="1384"/>
      <c r="CZ4360" s="338"/>
      <c r="DA4360" s="338"/>
      <c r="DP4360" s="236"/>
      <c r="DQ4360" s="236"/>
      <c r="DX4360" s="1671"/>
    </row>
    <row r="4361" spans="38:128">
      <c r="AL4361" s="1037"/>
      <c r="BP4361" s="1385"/>
      <c r="BV4361" s="236">
        <v>140.05000000000001</v>
      </c>
      <c r="BW4361" s="236" t="s">
        <v>344</v>
      </c>
      <c r="CL4361" s="338">
        <v>701.04</v>
      </c>
      <c r="CM4361" s="338" t="s">
        <v>289</v>
      </c>
      <c r="CT4361" s="1384"/>
      <c r="CZ4361" s="338"/>
      <c r="DA4361" s="338"/>
      <c r="DP4361" s="236"/>
      <c r="DQ4361" s="236"/>
      <c r="DX4361" s="1671"/>
    </row>
    <row r="4362" spans="38:128">
      <c r="AL4362" s="1037"/>
      <c r="BP4362" s="1385"/>
      <c r="BV4362" s="236">
        <v>140.06</v>
      </c>
      <c r="BW4362" s="236" t="s">
        <v>344</v>
      </c>
      <c r="CL4362" s="236">
        <v>702.01</v>
      </c>
      <c r="CM4362" s="236" t="s">
        <v>323</v>
      </c>
      <c r="CT4362" s="1384"/>
      <c r="CZ4362" s="338"/>
      <c r="DA4362" s="338"/>
      <c r="DP4362" s="236"/>
      <c r="DQ4362" s="236"/>
      <c r="DX4362" s="1671"/>
    </row>
    <row r="4363" spans="38:128">
      <c r="AL4363" s="1037"/>
      <c r="BP4363" s="1385"/>
      <c r="BV4363" s="236">
        <v>141.04</v>
      </c>
      <c r="BW4363" s="236" t="s">
        <v>344</v>
      </c>
      <c r="CL4363" s="236">
        <v>702.02</v>
      </c>
      <c r="CM4363" s="236" t="s">
        <v>323</v>
      </c>
      <c r="CT4363" s="1384"/>
      <c r="CZ4363" s="338"/>
      <c r="DA4363" s="338"/>
      <c r="DP4363" s="236"/>
      <c r="DQ4363" s="236"/>
      <c r="DX4363" s="1671"/>
    </row>
    <row r="4364" spans="38:128">
      <c r="AL4364" s="1037"/>
      <c r="BP4364" s="1385"/>
      <c r="BV4364" s="236">
        <v>141.21</v>
      </c>
      <c r="BW4364" s="236" t="s">
        <v>344</v>
      </c>
      <c r="CL4364" s="338">
        <v>702.04</v>
      </c>
      <c r="CM4364" s="338" t="s">
        <v>289</v>
      </c>
      <c r="CT4364" s="1384"/>
      <c r="CZ4364" s="338"/>
      <c r="DA4364" s="338"/>
      <c r="DP4364" s="236"/>
      <c r="DQ4364" s="236"/>
      <c r="DX4364" s="1671"/>
    </row>
    <row r="4365" spans="38:128">
      <c r="AL4365" s="1037"/>
      <c r="BP4365" s="1385"/>
      <c r="BV4365" s="236">
        <v>141.22999999999999</v>
      </c>
      <c r="BW4365" s="236" t="s">
        <v>344</v>
      </c>
      <c r="CL4365" s="338">
        <v>702.05</v>
      </c>
      <c r="CM4365" s="338" t="s">
        <v>289</v>
      </c>
      <c r="CT4365" s="1384"/>
      <c r="CZ4365" s="338"/>
      <c r="DA4365" s="338"/>
      <c r="DP4365" s="236"/>
      <c r="DQ4365" s="236"/>
      <c r="DX4365" s="1671"/>
    </row>
    <row r="4366" spans="38:128">
      <c r="AL4366" s="1037"/>
      <c r="BP4366" s="1385"/>
      <c r="BV4366" s="236">
        <v>141.24</v>
      </c>
      <c r="BW4366" s="236" t="s">
        <v>344</v>
      </c>
      <c r="CL4366" s="338">
        <v>702.08</v>
      </c>
      <c r="CM4366" s="338" t="s">
        <v>289</v>
      </c>
      <c r="CT4366" s="1384"/>
      <c r="CZ4366" s="338"/>
      <c r="DA4366" s="338"/>
      <c r="DP4366" s="236"/>
      <c r="DQ4366" s="236"/>
      <c r="DX4366" s="1671"/>
    </row>
    <row r="4367" spans="38:128">
      <c r="AL4367" s="1037"/>
      <c r="BP4367" s="1385"/>
      <c r="BV4367" s="236">
        <v>141.26</v>
      </c>
      <c r="BW4367" s="236" t="s">
        <v>344</v>
      </c>
      <c r="CL4367" s="338">
        <v>702.09</v>
      </c>
      <c r="CM4367" s="338" t="s">
        <v>289</v>
      </c>
      <c r="CT4367" s="1384"/>
      <c r="CZ4367" s="338"/>
      <c r="DA4367" s="338"/>
      <c r="DP4367" s="236"/>
      <c r="DQ4367" s="236"/>
      <c r="DX4367" s="1671"/>
    </row>
    <row r="4368" spans="38:128">
      <c r="AL4368" s="1037"/>
      <c r="BP4368" s="1385"/>
      <c r="BV4368" s="236">
        <v>141.27000000000001</v>
      </c>
      <c r="BW4368" s="236" t="s">
        <v>344</v>
      </c>
      <c r="CL4368" s="338">
        <v>702.1</v>
      </c>
      <c r="CM4368" s="338" t="s">
        <v>289</v>
      </c>
      <c r="CT4368" s="1384"/>
      <c r="CZ4368" s="338"/>
      <c r="DA4368" s="338"/>
      <c r="DP4368" s="236"/>
      <c r="DQ4368" s="236"/>
      <c r="DX4368" s="1671"/>
    </row>
    <row r="4369" spans="38:128">
      <c r="AL4369" s="1037"/>
      <c r="BP4369" s="1385"/>
      <c r="BV4369" s="236">
        <v>141.28</v>
      </c>
      <c r="BW4369" s="236" t="s">
        <v>344</v>
      </c>
      <c r="CL4369" s="338">
        <v>702.11</v>
      </c>
      <c r="CM4369" s="338" t="s">
        <v>289</v>
      </c>
      <c r="CT4369" s="1384"/>
      <c r="CZ4369" s="338"/>
      <c r="DA4369" s="338"/>
      <c r="DP4369" s="236"/>
      <c r="DQ4369" s="236"/>
      <c r="DX4369" s="1671"/>
    </row>
    <row r="4370" spans="38:128">
      <c r="AL4370" s="1037"/>
      <c r="BP4370" s="1385"/>
      <c r="BV4370" s="236">
        <v>141.29</v>
      </c>
      <c r="BW4370" s="236" t="s">
        <v>344</v>
      </c>
      <c r="CL4370" s="338">
        <v>702.12</v>
      </c>
      <c r="CM4370" s="338" t="s">
        <v>289</v>
      </c>
      <c r="CT4370" s="1384"/>
      <c r="CZ4370" s="338"/>
      <c r="DA4370" s="338"/>
      <c r="DP4370" s="236"/>
      <c r="DQ4370" s="236"/>
      <c r="DX4370" s="1671"/>
    </row>
    <row r="4371" spans="38:128">
      <c r="AL4371" s="1037"/>
      <c r="BP4371" s="1385"/>
      <c r="BV4371" s="236">
        <v>141.30000000000001</v>
      </c>
      <c r="BW4371" s="236" t="s">
        <v>344</v>
      </c>
      <c r="CL4371" s="338">
        <v>702.13</v>
      </c>
      <c r="CM4371" s="338" t="s">
        <v>289</v>
      </c>
      <c r="CT4371" s="1384"/>
      <c r="CZ4371" s="338"/>
      <c r="DA4371" s="338"/>
      <c r="DP4371" s="236"/>
      <c r="DQ4371" s="236"/>
      <c r="DX4371" s="1671"/>
    </row>
    <row r="4372" spans="38:128">
      <c r="AL4372" s="1037"/>
      <c r="BP4372" s="1385"/>
      <c r="BV4372" s="236">
        <v>141.31</v>
      </c>
      <c r="BW4372" s="236" t="s">
        <v>344</v>
      </c>
      <c r="CL4372" s="338">
        <v>703.04</v>
      </c>
      <c r="CM4372" s="338" t="s">
        <v>289</v>
      </c>
      <c r="CT4372" s="1384"/>
      <c r="CZ4372" s="338"/>
      <c r="DA4372" s="338"/>
      <c r="DP4372" s="236"/>
      <c r="DQ4372" s="236"/>
      <c r="DX4372" s="1671"/>
    </row>
    <row r="4373" spans="38:128">
      <c r="AL4373" s="1037"/>
      <c r="BP4373" s="1385"/>
      <c r="BV4373" s="236">
        <v>142.01</v>
      </c>
      <c r="BW4373" s="236" t="s">
        <v>344</v>
      </c>
      <c r="CL4373" s="338">
        <v>703.06</v>
      </c>
      <c r="CM4373" s="338" t="s">
        <v>289</v>
      </c>
      <c r="CT4373" s="1384"/>
      <c r="CZ4373" s="338"/>
      <c r="DA4373" s="338"/>
      <c r="DP4373" s="236"/>
      <c r="DQ4373" s="236"/>
      <c r="DX4373" s="1671"/>
    </row>
    <row r="4374" spans="38:128">
      <c r="AL4374" s="1037"/>
      <c r="BP4374" s="1385"/>
      <c r="BV4374" s="236">
        <v>142.02000000000001</v>
      </c>
      <c r="BW4374" s="236" t="s">
        <v>344</v>
      </c>
      <c r="CL4374" s="338">
        <v>703.1</v>
      </c>
      <c r="CM4374" s="338" t="s">
        <v>289</v>
      </c>
      <c r="CT4374" s="1384"/>
      <c r="CZ4374" s="338"/>
      <c r="DA4374" s="338"/>
      <c r="DP4374" s="236"/>
      <c r="DQ4374" s="236"/>
      <c r="DX4374" s="1671"/>
    </row>
    <row r="4375" spans="38:128">
      <c r="AL4375" s="1037"/>
      <c r="BP4375" s="1385"/>
      <c r="BV4375" s="236">
        <v>142.03</v>
      </c>
      <c r="BW4375" s="236" t="s">
        <v>344</v>
      </c>
      <c r="CL4375" s="338">
        <v>703.11</v>
      </c>
      <c r="CM4375" s="338" t="s">
        <v>289</v>
      </c>
      <c r="CT4375" s="1384"/>
      <c r="CZ4375" s="338"/>
      <c r="DA4375" s="338"/>
      <c r="DP4375" s="236"/>
      <c r="DQ4375" s="236"/>
      <c r="DX4375" s="1671"/>
    </row>
    <row r="4376" spans="38:128">
      <c r="AL4376" s="1037"/>
      <c r="BP4376" s="1385"/>
      <c r="BV4376" s="236">
        <v>143.01</v>
      </c>
      <c r="BW4376" s="236" t="s">
        <v>344</v>
      </c>
      <c r="CL4376" s="338">
        <v>703.12</v>
      </c>
      <c r="CM4376" s="338" t="s">
        <v>289</v>
      </c>
      <c r="CT4376" s="1384"/>
      <c r="CZ4376" s="338"/>
      <c r="DA4376" s="338"/>
      <c r="DP4376" s="236"/>
      <c r="DQ4376" s="236"/>
      <c r="DX4376" s="1671"/>
    </row>
    <row r="4377" spans="38:128">
      <c r="AL4377" s="1037"/>
      <c r="BP4377" s="1385"/>
      <c r="BV4377" s="236">
        <v>143.03</v>
      </c>
      <c r="BW4377" s="236" t="s">
        <v>344</v>
      </c>
      <c r="CL4377" s="338">
        <v>703.14</v>
      </c>
      <c r="CM4377" s="338" t="s">
        <v>289</v>
      </c>
      <c r="CT4377" s="1384"/>
      <c r="CZ4377" s="338"/>
      <c r="DA4377" s="338"/>
      <c r="DP4377" s="236"/>
      <c r="DQ4377" s="236"/>
      <c r="DX4377" s="1671"/>
    </row>
    <row r="4378" spans="38:128">
      <c r="AL4378" s="1037"/>
      <c r="BP4378" s="1385"/>
      <c r="BV4378" s="236">
        <v>143.04</v>
      </c>
      <c r="BW4378" s="236" t="s">
        <v>344</v>
      </c>
      <c r="CL4378" s="338">
        <v>703.15</v>
      </c>
      <c r="CM4378" s="338" t="s">
        <v>289</v>
      </c>
      <c r="CT4378" s="1384"/>
      <c r="CZ4378" s="338"/>
      <c r="DA4378" s="338"/>
      <c r="DP4378" s="236"/>
      <c r="DQ4378" s="236"/>
      <c r="DX4378" s="1671"/>
    </row>
    <row r="4379" spans="38:128">
      <c r="AL4379" s="1037"/>
      <c r="BP4379" s="1385"/>
      <c r="BV4379" s="236">
        <v>144.01</v>
      </c>
      <c r="BW4379" s="236" t="s">
        <v>344</v>
      </c>
      <c r="CL4379" s="338">
        <v>703.16</v>
      </c>
      <c r="CM4379" s="338" t="s">
        <v>289</v>
      </c>
      <c r="CT4379" s="1384"/>
      <c r="CZ4379" s="338"/>
      <c r="DA4379" s="338"/>
      <c r="DP4379" s="236"/>
      <c r="DQ4379" s="236"/>
      <c r="DX4379" s="1671"/>
    </row>
    <row r="4380" spans="38:128">
      <c r="AL4380" s="1037"/>
      <c r="BP4380" s="1385"/>
      <c r="BV4380" s="236">
        <v>144.02000000000001</v>
      </c>
      <c r="BW4380" s="236" t="s">
        <v>344</v>
      </c>
      <c r="CL4380" s="338">
        <v>703.18</v>
      </c>
      <c r="CM4380" s="338" t="s">
        <v>289</v>
      </c>
      <c r="CT4380" s="1384"/>
      <c r="CZ4380" s="338"/>
      <c r="DA4380" s="338"/>
      <c r="DP4380" s="236"/>
      <c r="DQ4380" s="236"/>
      <c r="DX4380" s="1671"/>
    </row>
    <row r="4381" spans="38:128">
      <c r="AL4381" s="1037"/>
      <c r="BP4381" s="1385"/>
      <c r="BV4381" s="236">
        <v>145.01</v>
      </c>
      <c r="BW4381" s="236" t="s">
        <v>344</v>
      </c>
      <c r="CL4381" s="338">
        <v>703.19</v>
      </c>
      <c r="CM4381" s="338" t="s">
        <v>289</v>
      </c>
      <c r="CT4381" s="1384"/>
      <c r="CZ4381" s="338"/>
      <c r="DA4381" s="338"/>
      <c r="DP4381" s="236"/>
      <c r="DQ4381" s="236"/>
      <c r="DX4381" s="1671"/>
    </row>
    <row r="4382" spans="38:128">
      <c r="AL4382" s="1037"/>
      <c r="BP4382" s="1385"/>
      <c r="BV4382" s="236">
        <v>145.02000000000001</v>
      </c>
      <c r="BW4382" s="236" t="s">
        <v>344</v>
      </c>
      <c r="CL4382" s="338">
        <v>703.2</v>
      </c>
      <c r="CM4382" s="338" t="s">
        <v>289</v>
      </c>
      <c r="CT4382" s="1384"/>
      <c r="CZ4382" s="338"/>
      <c r="DA4382" s="338"/>
      <c r="DP4382" s="236"/>
      <c r="DQ4382" s="236"/>
      <c r="DX4382" s="1671"/>
    </row>
    <row r="4383" spans="38:128">
      <c r="AL4383" s="1037"/>
      <c r="BP4383" s="1385"/>
      <c r="BV4383" s="236">
        <v>146</v>
      </c>
      <c r="BW4383" s="236" t="s">
        <v>344</v>
      </c>
      <c r="CL4383" s="338">
        <v>703.21</v>
      </c>
      <c r="CM4383" s="338" t="s">
        <v>289</v>
      </c>
      <c r="CT4383" s="1384"/>
      <c r="CZ4383" s="338"/>
      <c r="DA4383" s="338"/>
      <c r="DP4383" s="236"/>
      <c r="DQ4383" s="236"/>
      <c r="DX4383" s="1671"/>
    </row>
    <row r="4384" spans="38:128">
      <c r="AL4384" s="1037"/>
      <c r="BP4384" s="1385"/>
      <c r="BV4384" s="236">
        <v>147.01</v>
      </c>
      <c r="BW4384" s="236" t="s">
        <v>344</v>
      </c>
      <c r="CL4384" s="338">
        <v>703.23</v>
      </c>
      <c r="CM4384" s="338" t="s">
        <v>289</v>
      </c>
      <c r="CT4384" s="1384"/>
      <c r="CZ4384" s="338"/>
      <c r="DA4384" s="338"/>
      <c r="DP4384" s="236"/>
      <c r="DQ4384" s="236"/>
      <c r="DX4384" s="1671"/>
    </row>
    <row r="4385" spans="38:128">
      <c r="AL4385" s="1037"/>
      <c r="BP4385" s="1385"/>
      <c r="BV4385" s="236">
        <v>147.03</v>
      </c>
      <c r="BW4385" s="236" t="s">
        <v>344</v>
      </c>
      <c r="CL4385" s="338">
        <v>703.24</v>
      </c>
      <c r="CM4385" s="338" t="s">
        <v>289</v>
      </c>
      <c r="CT4385" s="1384"/>
      <c r="CZ4385" s="338"/>
      <c r="DA4385" s="338"/>
      <c r="DP4385" s="236"/>
      <c r="DQ4385" s="236"/>
      <c r="DX4385" s="1671"/>
    </row>
    <row r="4386" spans="38:128">
      <c r="AL4386" s="1037"/>
      <c r="BP4386" s="1385"/>
      <c r="BV4386" s="236">
        <v>147.04</v>
      </c>
      <c r="BW4386" s="236" t="s">
        <v>344</v>
      </c>
      <c r="CL4386" s="338">
        <v>703.25</v>
      </c>
      <c r="CM4386" s="338" t="s">
        <v>289</v>
      </c>
      <c r="CT4386" s="1384"/>
      <c r="CZ4386" s="338"/>
      <c r="DA4386" s="338"/>
      <c r="DP4386" s="236"/>
      <c r="DQ4386" s="236"/>
      <c r="DX4386" s="1671"/>
    </row>
    <row r="4387" spans="38:128">
      <c r="AL4387" s="1037"/>
      <c r="BP4387" s="1385"/>
      <c r="BV4387" s="236">
        <v>148.02000000000001</v>
      </c>
      <c r="BW4387" s="236" t="s">
        <v>344</v>
      </c>
      <c r="CL4387" s="338">
        <v>703.26</v>
      </c>
      <c r="CM4387" s="338" t="s">
        <v>289</v>
      </c>
      <c r="CT4387" s="1384"/>
      <c r="CZ4387" s="338"/>
      <c r="DA4387" s="338"/>
      <c r="DP4387" s="236"/>
      <c r="DQ4387" s="236"/>
      <c r="DX4387" s="1671"/>
    </row>
    <row r="4388" spans="38:128">
      <c r="AL4388" s="1037"/>
      <c r="BP4388" s="1385"/>
      <c r="BV4388" s="236">
        <v>148.03</v>
      </c>
      <c r="BW4388" s="236" t="s">
        <v>344</v>
      </c>
      <c r="CL4388" s="338">
        <v>703.27</v>
      </c>
      <c r="CM4388" s="338" t="s">
        <v>289</v>
      </c>
      <c r="CT4388" s="1384"/>
      <c r="CZ4388" s="338"/>
      <c r="DA4388" s="338"/>
      <c r="DP4388" s="236"/>
      <c r="DQ4388" s="236"/>
      <c r="DX4388" s="1671"/>
    </row>
    <row r="4389" spans="38:128">
      <c r="AL4389" s="1037"/>
      <c r="BP4389" s="1385"/>
      <c r="BV4389" s="236">
        <v>148.04</v>
      </c>
      <c r="BW4389" s="236" t="s">
        <v>344</v>
      </c>
      <c r="CL4389" s="338">
        <v>703.28</v>
      </c>
      <c r="CM4389" s="338" t="s">
        <v>289</v>
      </c>
      <c r="CT4389" s="1384"/>
      <c r="CZ4389" s="338"/>
      <c r="DA4389" s="338"/>
      <c r="DP4389" s="236"/>
      <c r="DQ4389" s="236"/>
      <c r="DX4389" s="1671"/>
    </row>
    <row r="4390" spans="38:128">
      <c r="AL4390" s="1037"/>
      <c r="BP4390" s="1385"/>
      <c r="BV4390" s="236">
        <v>149.03</v>
      </c>
      <c r="BW4390" s="236" t="s">
        <v>344</v>
      </c>
      <c r="CL4390" s="338">
        <v>703.29</v>
      </c>
      <c r="CM4390" s="338" t="s">
        <v>289</v>
      </c>
      <c r="CT4390" s="1384"/>
      <c r="CZ4390" s="338"/>
      <c r="DA4390" s="338"/>
      <c r="DP4390" s="236"/>
      <c r="DQ4390" s="236"/>
      <c r="DX4390" s="1671"/>
    </row>
    <row r="4391" spans="38:128">
      <c r="AL4391" s="1037"/>
      <c r="BP4391" s="1385"/>
      <c r="BV4391" s="236">
        <v>149.04</v>
      </c>
      <c r="BW4391" s="236" t="s">
        <v>344</v>
      </c>
      <c r="CL4391" s="338">
        <v>703.3</v>
      </c>
      <c r="CM4391" s="338" t="s">
        <v>289</v>
      </c>
      <c r="CT4391" s="1384"/>
      <c r="CZ4391" s="338"/>
      <c r="DA4391" s="338"/>
      <c r="DP4391" s="236"/>
      <c r="DQ4391" s="236"/>
      <c r="DX4391" s="1671"/>
    </row>
    <row r="4392" spans="38:128">
      <c r="AL4392" s="1037"/>
      <c r="BP4392" s="1385"/>
      <c r="BV4392" s="236">
        <v>149.05000000000001</v>
      </c>
      <c r="BW4392" s="236" t="s">
        <v>344</v>
      </c>
      <c r="CL4392" s="338">
        <v>703.31</v>
      </c>
      <c r="CM4392" s="338" t="s">
        <v>289</v>
      </c>
      <c r="CT4392" s="1384"/>
      <c r="CZ4392" s="338"/>
      <c r="DA4392" s="338"/>
      <c r="DP4392" s="236"/>
      <c r="DQ4392" s="236"/>
      <c r="DX4392" s="1671"/>
    </row>
    <row r="4393" spans="38:128">
      <c r="AL4393" s="1037"/>
      <c r="BP4393" s="1385"/>
      <c r="BV4393" s="236">
        <v>149.06</v>
      </c>
      <c r="BW4393" s="236" t="s">
        <v>344</v>
      </c>
      <c r="CL4393" s="338">
        <v>704.01</v>
      </c>
      <c r="CM4393" s="338" t="s">
        <v>289</v>
      </c>
      <c r="CT4393" s="1384"/>
      <c r="CZ4393" s="338"/>
      <c r="DA4393" s="338"/>
      <c r="DP4393" s="236"/>
      <c r="DQ4393" s="236"/>
      <c r="DX4393" s="1671"/>
    </row>
    <row r="4394" spans="38:128">
      <c r="AL4394" s="1037"/>
      <c r="BP4394" s="1385"/>
      <c r="BV4394" s="236">
        <v>150</v>
      </c>
      <c r="BW4394" s="236" t="s">
        <v>344</v>
      </c>
      <c r="CL4394" s="338">
        <v>704.02</v>
      </c>
      <c r="CM4394" s="338" t="s">
        <v>289</v>
      </c>
      <c r="CT4394" s="1384"/>
      <c r="CZ4394" s="338"/>
      <c r="DA4394" s="338"/>
      <c r="DP4394" s="236"/>
      <c r="DQ4394" s="236"/>
      <c r="DX4394" s="1671"/>
    </row>
    <row r="4395" spans="38:128">
      <c r="AL4395" s="1037"/>
      <c r="BP4395" s="1385"/>
      <c r="BV4395" s="236">
        <v>151.01</v>
      </c>
      <c r="BW4395" s="236" t="s">
        <v>344</v>
      </c>
      <c r="CL4395" s="338">
        <v>704.03</v>
      </c>
      <c r="CM4395" s="338" t="s">
        <v>289</v>
      </c>
      <c r="CT4395" s="1384"/>
      <c r="CZ4395" s="338"/>
      <c r="DA4395" s="338"/>
      <c r="DP4395" s="236"/>
      <c r="DQ4395" s="236"/>
      <c r="DX4395" s="1671"/>
    </row>
    <row r="4396" spans="38:128">
      <c r="AL4396" s="1037"/>
      <c r="BP4396" s="1385"/>
      <c r="BV4396" s="236">
        <v>151.02000000000001</v>
      </c>
      <c r="BW4396" s="236" t="s">
        <v>344</v>
      </c>
      <c r="CL4396" s="338">
        <v>704.04</v>
      </c>
      <c r="CM4396" s="338" t="s">
        <v>289</v>
      </c>
      <c r="CT4396" s="1384"/>
      <c r="CZ4396" s="338"/>
      <c r="DA4396" s="338"/>
      <c r="DP4396" s="236"/>
      <c r="DQ4396" s="236"/>
      <c r="DX4396" s="1671"/>
    </row>
    <row r="4397" spans="38:128">
      <c r="AL4397" s="1037"/>
      <c r="BP4397" s="1385"/>
      <c r="BV4397" s="236">
        <v>152</v>
      </c>
      <c r="BW4397" s="236" t="s">
        <v>344</v>
      </c>
      <c r="CL4397" s="338">
        <v>704.05</v>
      </c>
      <c r="CM4397" s="338" t="s">
        <v>289</v>
      </c>
      <c r="CT4397" s="1384"/>
      <c r="CZ4397" s="338"/>
      <c r="DA4397" s="338"/>
      <c r="DP4397" s="236"/>
      <c r="DQ4397" s="236"/>
      <c r="DX4397" s="1671"/>
    </row>
    <row r="4398" spans="38:128">
      <c r="AL4398" s="1037"/>
      <c r="BP4398" s="1385"/>
      <c r="BV4398" s="236">
        <v>153.01</v>
      </c>
      <c r="BW4398" s="236" t="s">
        <v>344</v>
      </c>
      <c r="CL4398" s="338">
        <v>705.01</v>
      </c>
      <c r="CM4398" s="338" t="s">
        <v>289</v>
      </c>
      <c r="CT4398" s="1384"/>
      <c r="CZ4398" s="338"/>
      <c r="DA4398" s="338"/>
      <c r="DP4398" s="236"/>
      <c r="DQ4398" s="236"/>
      <c r="DX4398" s="1671"/>
    </row>
    <row r="4399" spans="38:128">
      <c r="AL4399" s="1037"/>
      <c r="BP4399" s="1385"/>
      <c r="BV4399" s="236">
        <v>153.02000000000001</v>
      </c>
      <c r="BW4399" s="236" t="s">
        <v>344</v>
      </c>
      <c r="CL4399" s="338">
        <v>705.03</v>
      </c>
      <c r="CM4399" s="338" t="s">
        <v>289</v>
      </c>
      <c r="CT4399" s="1384"/>
      <c r="CZ4399" s="338"/>
      <c r="DA4399" s="338"/>
      <c r="DP4399" s="236"/>
      <c r="DQ4399" s="236"/>
      <c r="DX4399" s="1671"/>
    </row>
    <row r="4400" spans="38:128">
      <c r="AL4400" s="1037"/>
      <c r="BP4400" s="1385"/>
      <c r="BV4400" s="236">
        <v>154.01</v>
      </c>
      <c r="BW4400" s="236" t="s">
        <v>344</v>
      </c>
      <c r="CL4400" s="338">
        <v>705.04</v>
      </c>
      <c r="CM4400" s="338" t="s">
        <v>289</v>
      </c>
      <c r="CT4400" s="1384"/>
      <c r="CZ4400" s="338"/>
      <c r="DA4400" s="338"/>
      <c r="DP4400" s="236"/>
      <c r="DQ4400" s="236"/>
      <c r="DX4400" s="1671"/>
    </row>
    <row r="4401" spans="38:128">
      <c r="AL4401" s="1037"/>
      <c r="BP4401" s="1385"/>
      <c r="BV4401" s="236">
        <v>154.02000000000001</v>
      </c>
      <c r="BW4401" s="236" t="s">
        <v>344</v>
      </c>
      <c r="CL4401" s="338">
        <v>706.01</v>
      </c>
      <c r="CM4401" s="338" t="s">
        <v>289</v>
      </c>
      <c r="CT4401" s="1384"/>
      <c r="CZ4401" s="338"/>
      <c r="DA4401" s="338"/>
      <c r="DP4401" s="236"/>
      <c r="DQ4401" s="236"/>
      <c r="DX4401" s="1671"/>
    </row>
    <row r="4402" spans="38:128">
      <c r="AL4402" s="1037"/>
      <c r="BP4402" s="1385"/>
      <c r="BV4402" s="236">
        <v>154.04</v>
      </c>
      <c r="BW4402" s="236" t="s">
        <v>344</v>
      </c>
      <c r="CL4402" s="338">
        <v>706.02</v>
      </c>
      <c r="CM4402" s="338" t="s">
        <v>289</v>
      </c>
      <c r="CT4402" s="1384"/>
      <c r="CZ4402" s="338"/>
      <c r="DA4402" s="338"/>
      <c r="DP4402" s="236"/>
      <c r="DQ4402" s="236"/>
      <c r="DX4402" s="1671"/>
    </row>
    <row r="4403" spans="38:128">
      <c r="AL4403" s="1037"/>
      <c r="BP4403" s="1385"/>
      <c r="BV4403" s="236">
        <v>154.05000000000001</v>
      </c>
      <c r="BW4403" s="236" t="s">
        <v>344</v>
      </c>
      <c r="CL4403" s="338">
        <v>711</v>
      </c>
      <c r="CM4403" s="338" t="s">
        <v>288</v>
      </c>
      <c r="CT4403" s="1384"/>
      <c r="CZ4403" s="338"/>
      <c r="DA4403" s="338"/>
      <c r="DP4403" s="236"/>
      <c r="DQ4403" s="236"/>
      <c r="DX4403" s="1671"/>
    </row>
    <row r="4404" spans="38:128">
      <c r="AL4404" s="1037"/>
      <c r="BP4404" s="1385"/>
      <c r="BV4404" s="236">
        <v>155</v>
      </c>
      <c r="BW4404" s="236" t="s">
        <v>344</v>
      </c>
      <c r="CL4404" s="338">
        <v>712.01</v>
      </c>
      <c r="CM4404" s="338" t="s">
        <v>288</v>
      </c>
      <c r="CT4404" s="1384"/>
      <c r="CZ4404" s="338"/>
      <c r="DA4404" s="338"/>
      <c r="DP4404" s="236"/>
      <c r="DQ4404" s="236"/>
      <c r="DX4404" s="1671"/>
    </row>
    <row r="4405" spans="38:128">
      <c r="AL4405" s="1037"/>
      <c r="BP4405" s="1385"/>
      <c r="BV4405" s="236">
        <v>156</v>
      </c>
      <c r="BW4405" s="236" t="s">
        <v>344</v>
      </c>
      <c r="CL4405" s="338">
        <v>712.02</v>
      </c>
      <c r="CM4405" s="338" t="s">
        <v>288</v>
      </c>
      <c r="CT4405" s="1384"/>
      <c r="CZ4405" s="338"/>
      <c r="DA4405" s="338"/>
      <c r="DP4405" s="236"/>
      <c r="DQ4405" s="236"/>
      <c r="DX4405" s="1671"/>
    </row>
    <row r="4406" spans="38:128">
      <c r="AL4406" s="1037"/>
      <c r="BP4406" s="1385"/>
      <c r="BV4406" s="236">
        <v>157.01</v>
      </c>
      <c r="BW4406" s="236" t="s">
        <v>344</v>
      </c>
      <c r="CL4406" s="338">
        <v>712.03</v>
      </c>
      <c r="CM4406" s="338" t="s">
        <v>288</v>
      </c>
      <c r="CT4406" s="1384"/>
      <c r="CZ4406" s="338"/>
      <c r="DA4406" s="338"/>
      <c r="DP4406" s="236"/>
      <c r="DQ4406" s="236"/>
      <c r="DX4406" s="1671"/>
    </row>
    <row r="4407" spans="38:128">
      <c r="AL4407" s="1037"/>
      <c r="BP4407" s="1385"/>
      <c r="BV4407" s="236">
        <v>157.02000000000001</v>
      </c>
      <c r="BW4407" s="236" t="s">
        <v>344</v>
      </c>
      <c r="CL4407" s="338">
        <v>712.04</v>
      </c>
      <c r="CM4407" s="338" t="s">
        <v>288</v>
      </c>
      <c r="CT4407" s="1384"/>
      <c r="CZ4407" s="338"/>
      <c r="DA4407" s="338"/>
      <c r="DP4407" s="236"/>
      <c r="DQ4407" s="236"/>
      <c r="DX4407" s="1671"/>
    </row>
    <row r="4408" spans="38:128">
      <c r="AL4408" s="1037"/>
      <c r="BP4408" s="1385"/>
      <c r="BV4408" s="236">
        <v>158.01</v>
      </c>
      <c r="BW4408" s="236" t="s">
        <v>344</v>
      </c>
      <c r="CL4408" s="338">
        <v>712.05</v>
      </c>
      <c r="CM4408" s="338" t="s">
        <v>288</v>
      </c>
      <c r="CT4408" s="1384"/>
      <c r="CZ4408" s="338"/>
      <c r="DA4408" s="338"/>
      <c r="DP4408" s="236"/>
      <c r="DQ4408" s="236"/>
      <c r="DX4408" s="1671"/>
    </row>
    <row r="4409" spans="38:128">
      <c r="AL4409" s="1037"/>
      <c r="BP4409" s="1385"/>
      <c r="BV4409" s="236">
        <v>158.02000000000001</v>
      </c>
      <c r="BW4409" s="236" t="s">
        <v>344</v>
      </c>
      <c r="CL4409" s="338">
        <v>713.35</v>
      </c>
      <c r="CM4409" s="338" t="s">
        <v>288</v>
      </c>
      <c r="CT4409" s="1384"/>
      <c r="CZ4409" s="338"/>
      <c r="DA4409" s="338"/>
      <c r="DP4409" s="236"/>
      <c r="DQ4409" s="236"/>
      <c r="DX4409" s="1671"/>
    </row>
    <row r="4410" spans="38:128">
      <c r="AL4410" s="1037"/>
      <c r="BP4410" s="1385"/>
      <c r="BV4410" s="236">
        <v>159</v>
      </c>
      <c r="BW4410" s="236" t="s">
        <v>344</v>
      </c>
      <c r="CL4410" s="338">
        <v>713.37</v>
      </c>
      <c r="CM4410" s="338" t="s">
        <v>288</v>
      </c>
      <c r="CT4410" s="1384"/>
      <c r="CZ4410" s="338"/>
      <c r="DA4410" s="338"/>
      <c r="DP4410" s="236"/>
      <c r="DQ4410" s="236"/>
      <c r="DX4410" s="1671"/>
    </row>
    <row r="4411" spans="38:128">
      <c r="AL4411" s="1037"/>
      <c r="BP4411" s="1385"/>
      <c r="BV4411" s="236">
        <v>160.01</v>
      </c>
      <c r="BW4411" s="236" t="s">
        <v>344</v>
      </c>
      <c r="CL4411" s="338">
        <v>713.39</v>
      </c>
      <c r="CM4411" s="338" t="s">
        <v>288</v>
      </c>
      <c r="CT4411" s="1384"/>
      <c r="CZ4411" s="338"/>
      <c r="DA4411" s="338"/>
      <c r="DP4411" s="236"/>
      <c r="DQ4411" s="236"/>
      <c r="DX4411" s="1671"/>
    </row>
    <row r="4412" spans="38:128">
      <c r="AL4412" s="1037"/>
      <c r="BP4412" s="1385"/>
      <c r="BV4412" s="236">
        <v>160.02000000000001</v>
      </c>
      <c r="BW4412" s="236" t="s">
        <v>344</v>
      </c>
      <c r="CL4412" s="338">
        <v>713.41</v>
      </c>
      <c r="CM4412" s="338" t="s">
        <v>288</v>
      </c>
      <c r="CT4412" s="1384"/>
      <c r="CZ4412" s="338"/>
      <c r="DA4412" s="338"/>
      <c r="DP4412" s="236"/>
      <c r="DQ4412" s="236"/>
      <c r="DX4412" s="1671"/>
    </row>
    <row r="4413" spans="38:128">
      <c r="AL4413" s="1037"/>
      <c r="BP4413" s="1385"/>
      <c r="BV4413" s="236">
        <v>160.03</v>
      </c>
      <c r="BW4413" s="236" t="s">
        <v>344</v>
      </c>
      <c r="CL4413" s="338">
        <v>713.42</v>
      </c>
      <c r="CM4413" s="338" t="s">
        <v>288</v>
      </c>
      <c r="CT4413" s="1384"/>
      <c r="CZ4413" s="338"/>
      <c r="DA4413" s="338"/>
      <c r="DP4413" s="236"/>
      <c r="DQ4413" s="236"/>
      <c r="DX4413" s="1671"/>
    </row>
    <row r="4414" spans="38:128">
      <c r="AL4414" s="1037"/>
      <c r="BP4414" s="1385"/>
      <c r="BV4414" s="236">
        <v>161</v>
      </c>
      <c r="BW4414" s="236" t="s">
        <v>344</v>
      </c>
      <c r="CL4414" s="338">
        <v>713.43</v>
      </c>
      <c r="CM4414" s="338" t="s">
        <v>288</v>
      </c>
      <c r="CT4414" s="1384"/>
      <c r="CZ4414" s="338"/>
      <c r="DA4414" s="338"/>
      <c r="DP4414" s="236"/>
      <c r="DQ4414" s="236"/>
      <c r="DX4414" s="1671"/>
    </row>
    <row r="4415" spans="38:128">
      <c r="AL4415" s="1037"/>
      <c r="BP4415" s="1385"/>
      <c r="BV4415" s="236">
        <v>164</v>
      </c>
      <c r="BW4415" s="236" t="s">
        <v>344</v>
      </c>
      <c r="CL4415" s="338">
        <v>713.44</v>
      </c>
      <c r="CM4415" s="338" t="s">
        <v>288</v>
      </c>
      <c r="CT4415" s="1384"/>
      <c r="CZ4415" s="338"/>
      <c r="DA4415" s="338"/>
      <c r="DP4415" s="236"/>
      <c r="DQ4415" s="236"/>
      <c r="DX4415" s="1671"/>
    </row>
    <row r="4416" spans="38:128">
      <c r="AL4416" s="1037"/>
      <c r="BP4416" s="1385"/>
      <c r="BV4416" s="236">
        <v>9800</v>
      </c>
      <c r="BW4416" s="236" t="s">
        <v>344</v>
      </c>
      <c r="CL4416" s="338">
        <v>713.45</v>
      </c>
      <c r="CM4416" s="338" t="s">
        <v>288</v>
      </c>
      <c r="CT4416" s="1384"/>
      <c r="CZ4416" s="338"/>
      <c r="DA4416" s="338"/>
      <c r="DP4416" s="236"/>
      <c r="DQ4416" s="236"/>
      <c r="DX4416" s="1671"/>
    </row>
    <row r="4417" spans="38:128">
      <c r="AL4417" s="1037"/>
      <c r="BP4417" s="1385"/>
      <c r="BV4417" s="236">
        <v>202</v>
      </c>
      <c r="BW4417" s="236" t="s">
        <v>349</v>
      </c>
      <c r="CL4417" s="338">
        <v>713.46</v>
      </c>
      <c r="CM4417" s="338" t="s">
        <v>288</v>
      </c>
      <c r="CT4417" s="1384"/>
      <c r="CZ4417" s="338"/>
      <c r="DA4417" s="338"/>
      <c r="DP4417" s="236"/>
      <c r="DQ4417" s="236"/>
      <c r="DX4417" s="1671"/>
    </row>
    <row r="4418" spans="38:128">
      <c r="AL4418" s="1037"/>
      <c r="BP4418" s="1385"/>
      <c r="BV4418" s="236">
        <v>203</v>
      </c>
      <c r="BW4418" s="236" t="s">
        <v>349</v>
      </c>
      <c r="CL4418" s="338">
        <v>713.47</v>
      </c>
      <c r="CM4418" s="338" t="s">
        <v>288</v>
      </c>
      <c r="CT4418" s="1384"/>
      <c r="CZ4418" s="338"/>
      <c r="DA4418" s="338"/>
      <c r="DP4418" s="236"/>
      <c r="DQ4418" s="236"/>
      <c r="DX4418" s="1671"/>
    </row>
    <row r="4419" spans="38:128">
      <c r="AL4419" s="1037"/>
      <c r="BP4419" s="1385"/>
      <c r="BV4419" s="236">
        <v>204</v>
      </c>
      <c r="BW4419" s="236" t="s">
        <v>349</v>
      </c>
      <c r="CL4419" s="338">
        <v>713.48</v>
      </c>
      <c r="CM4419" s="338" t="s">
        <v>288</v>
      </c>
      <c r="CT4419" s="1384"/>
      <c r="CZ4419" s="338"/>
      <c r="DA4419" s="338"/>
      <c r="DP4419" s="236"/>
      <c r="DQ4419" s="236"/>
      <c r="DX4419" s="1671"/>
    </row>
    <row r="4420" spans="38:128">
      <c r="AL4420" s="1037"/>
      <c r="BP4420" s="1385"/>
      <c r="BV4420" s="236">
        <v>205</v>
      </c>
      <c r="BW4420" s="236" t="s">
        <v>349</v>
      </c>
      <c r="CL4420" s="338">
        <v>713.49</v>
      </c>
      <c r="CM4420" s="338" t="s">
        <v>288</v>
      </c>
      <c r="CT4420" s="1384"/>
      <c r="CZ4420" s="338"/>
      <c r="DA4420" s="338"/>
      <c r="DP4420" s="236"/>
      <c r="DQ4420" s="236"/>
      <c r="DX4420" s="1671"/>
    </row>
    <row r="4421" spans="38:128">
      <c r="AL4421" s="1037"/>
      <c r="BP4421" s="1385"/>
      <c r="BV4421" s="236">
        <v>206.03</v>
      </c>
      <c r="BW4421" s="236" t="s">
        <v>349</v>
      </c>
      <c r="CL4421" s="338">
        <v>713.5</v>
      </c>
      <c r="CM4421" s="338" t="s">
        <v>288</v>
      </c>
      <c r="CT4421" s="1384"/>
      <c r="CZ4421" s="338"/>
      <c r="DA4421" s="338"/>
      <c r="DP4421" s="236"/>
      <c r="DQ4421" s="236"/>
      <c r="DX4421" s="1671"/>
    </row>
    <row r="4422" spans="38:128">
      <c r="AL4422" s="1037"/>
      <c r="BP4422" s="1385"/>
      <c r="BV4422" s="236">
        <v>206.04</v>
      </c>
      <c r="BW4422" s="236" t="s">
        <v>349</v>
      </c>
      <c r="CL4422" s="338">
        <v>713.51</v>
      </c>
      <c r="CM4422" s="338" t="s">
        <v>288</v>
      </c>
      <c r="CT4422" s="1384"/>
      <c r="CZ4422" s="338"/>
      <c r="DA4422" s="338"/>
      <c r="DP4422" s="236"/>
      <c r="DQ4422" s="236"/>
      <c r="DX4422" s="1671"/>
    </row>
    <row r="4423" spans="38:128">
      <c r="AL4423" s="1037"/>
      <c r="BP4423" s="1385"/>
      <c r="BV4423" s="236">
        <v>206.05</v>
      </c>
      <c r="BW4423" s="236" t="s">
        <v>349</v>
      </c>
      <c r="CL4423" s="338">
        <v>713.52</v>
      </c>
      <c r="CM4423" s="338" t="s">
        <v>288</v>
      </c>
      <c r="CT4423" s="1384"/>
      <c r="CZ4423" s="338"/>
      <c r="DA4423" s="338"/>
      <c r="DP4423" s="236"/>
      <c r="DQ4423" s="236"/>
      <c r="DX4423" s="1671"/>
    </row>
    <row r="4424" spans="38:128">
      <c r="AL4424" s="1037"/>
      <c r="BP4424" s="1385"/>
      <c r="BV4424" s="236">
        <v>206.06</v>
      </c>
      <c r="BW4424" s="236" t="s">
        <v>349</v>
      </c>
      <c r="CL4424" s="338">
        <v>713.53</v>
      </c>
      <c r="CM4424" s="338" t="s">
        <v>288</v>
      </c>
      <c r="CT4424" s="1384"/>
      <c r="CZ4424" s="338"/>
      <c r="DA4424" s="338"/>
      <c r="DP4424" s="236"/>
      <c r="DQ4424" s="236"/>
      <c r="DX4424" s="1671"/>
    </row>
    <row r="4425" spans="38:128">
      <c r="AL4425" s="1037"/>
      <c r="BP4425" s="1385"/>
      <c r="BV4425" s="236">
        <v>207.04</v>
      </c>
      <c r="BW4425" s="236" t="s">
        <v>349</v>
      </c>
      <c r="CL4425" s="338">
        <v>713.54</v>
      </c>
      <c r="CM4425" s="338" t="s">
        <v>288</v>
      </c>
      <c r="CT4425" s="1384"/>
      <c r="CZ4425" s="338"/>
      <c r="DA4425" s="338"/>
      <c r="DP4425" s="236"/>
      <c r="DQ4425" s="236"/>
      <c r="DX4425" s="1671"/>
    </row>
    <row r="4426" spans="38:128">
      <c r="AL4426" s="1037"/>
      <c r="BP4426" s="1385"/>
      <c r="BV4426" s="236">
        <v>207.05</v>
      </c>
      <c r="BW4426" s="236" t="s">
        <v>349</v>
      </c>
      <c r="CL4426" s="338">
        <v>714.01</v>
      </c>
      <c r="CM4426" s="338" t="s">
        <v>288</v>
      </c>
      <c r="CT4426" s="1384"/>
      <c r="CZ4426" s="338"/>
      <c r="DA4426" s="338"/>
      <c r="DP4426" s="236"/>
      <c r="DQ4426" s="236"/>
      <c r="DX4426" s="1671"/>
    </row>
    <row r="4427" spans="38:128">
      <c r="AL4427" s="1037"/>
      <c r="BP4427" s="1385"/>
      <c r="BV4427" s="236">
        <v>207.06</v>
      </c>
      <c r="BW4427" s="236" t="s">
        <v>349</v>
      </c>
      <c r="CL4427" s="338">
        <v>714.02</v>
      </c>
      <c r="CM4427" s="338" t="s">
        <v>288</v>
      </c>
      <c r="CT4427" s="1384"/>
      <c r="CZ4427" s="338"/>
      <c r="DA4427" s="338"/>
      <c r="DP4427" s="236"/>
      <c r="DQ4427" s="236"/>
      <c r="DX4427" s="1671"/>
    </row>
    <row r="4428" spans="38:128">
      <c r="AL4428" s="1037"/>
      <c r="BP4428" s="1385"/>
      <c r="BV4428" s="236">
        <v>207.07</v>
      </c>
      <c r="BW4428" s="236" t="s">
        <v>349</v>
      </c>
      <c r="CL4428" s="338">
        <v>715</v>
      </c>
      <c r="CM4428" s="338" t="s">
        <v>288</v>
      </c>
      <c r="CT4428" s="1384"/>
      <c r="CZ4428" s="338"/>
      <c r="DA4428" s="338"/>
      <c r="DP4428" s="236"/>
      <c r="DQ4428" s="236"/>
      <c r="DX4428" s="1671"/>
    </row>
    <row r="4429" spans="38:128">
      <c r="AL4429" s="1037"/>
      <c r="BP4429" s="1385"/>
      <c r="BV4429" s="236">
        <v>207.08</v>
      </c>
      <c r="BW4429" s="236" t="s">
        <v>349</v>
      </c>
      <c r="CL4429" s="338">
        <v>716.01</v>
      </c>
      <c r="CM4429" s="338" t="s">
        <v>288</v>
      </c>
      <c r="CT4429" s="1384"/>
      <c r="CZ4429" s="338"/>
      <c r="DA4429" s="338"/>
      <c r="DP4429" s="236"/>
      <c r="DQ4429" s="236"/>
      <c r="DX4429" s="1671"/>
    </row>
    <row r="4430" spans="38:128">
      <c r="AL4430" s="1037"/>
      <c r="BP4430" s="1385"/>
      <c r="BV4430" s="236">
        <v>207.1</v>
      </c>
      <c r="BW4430" s="236" t="s">
        <v>349</v>
      </c>
      <c r="CL4430" s="338">
        <v>716.02</v>
      </c>
      <c r="CM4430" s="338" t="s">
        <v>288</v>
      </c>
      <c r="CT4430" s="1384"/>
      <c r="CZ4430" s="338"/>
      <c r="DA4430" s="338"/>
      <c r="DP4430" s="236"/>
      <c r="DQ4430" s="236"/>
      <c r="DX4430" s="1671"/>
    </row>
    <row r="4431" spans="38:128">
      <c r="AL4431" s="1037"/>
      <c r="BP4431" s="1385"/>
      <c r="BV4431" s="236">
        <v>207.12</v>
      </c>
      <c r="BW4431" s="236" t="s">
        <v>349</v>
      </c>
      <c r="CL4431" s="338">
        <v>717</v>
      </c>
      <c r="CM4431" s="338" t="s">
        <v>288</v>
      </c>
      <c r="CT4431" s="1384"/>
      <c r="CZ4431" s="338"/>
      <c r="DA4431" s="338"/>
      <c r="DP4431" s="236"/>
      <c r="DQ4431" s="236"/>
      <c r="DX4431" s="1671"/>
    </row>
    <row r="4432" spans="38:128">
      <c r="AL4432" s="1037"/>
      <c r="BP4432" s="1385"/>
      <c r="BV4432" s="236">
        <v>207.13</v>
      </c>
      <c r="BW4432" s="236" t="s">
        <v>349</v>
      </c>
      <c r="CL4432" s="236">
        <v>801</v>
      </c>
      <c r="CM4432" s="236" t="s">
        <v>323</v>
      </c>
      <c r="CT4432" s="1384"/>
      <c r="CZ4432" s="338"/>
      <c r="DA4432" s="338"/>
      <c r="DP4432" s="236"/>
      <c r="DQ4432" s="236"/>
      <c r="DX4432" s="1671"/>
    </row>
    <row r="4433" spans="38:128">
      <c r="AL4433" s="1037"/>
      <c r="BP4433" s="1385"/>
      <c r="BV4433" s="236">
        <v>208.01</v>
      </c>
      <c r="BW4433" s="236" t="s">
        <v>349</v>
      </c>
      <c r="CL4433" s="236">
        <v>801.01</v>
      </c>
      <c r="CM4433" s="236" t="s">
        <v>355</v>
      </c>
      <c r="CT4433" s="1384"/>
      <c r="CZ4433" s="338"/>
      <c r="DA4433" s="338"/>
      <c r="DP4433" s="236"/>
      <c r="DQ4433" s="236"/>
      <c r="DX4433" s="1671"/>
    </row>
    <row r="4434" spans="38:128">
      <c r="AL4434" s="1037"/>
      <c r="BP4434" s="1385"/>
      <c r="BV4434" s="236">
        <v>208.02</v>
      </c>
      <c r="BW4434" s="236" t="s">
        <v>349</v>
      </c>
      <c r="CL4434" s="338">
        <v>801.02</v>
      </c>
      <c r="CM4434" s="338" t="s">
        <v>289</v>
      </c>
      <c r="CT4434" s="1384"/>
      <c r="CZ4434" s="338"/>
      <c r="DA4434" s="338"/>
      <c r="DP4434" s="236"/>
      <c r="DQ4434" s="236"/>
      <c r="DX4434" s="1671"/>
    </row>
    <row r="4435" spans="38:128">
      <c r="AL4435" s="1037"/>
      <c r="BP4435" s="1385"/>
      <c r="BV4435" s="236">
        <v>208.03</v>
      </c>
      <c r="BW4435" s="236" t="s">
        <v>349</v>
      </c>
      <c r="CL4435" s="236">
        <v>801.02</v>
      </c>
      <c r="CM4435" s="236" t="s">
        <v>355</v>
      </c>
      <c r="CT4435" s="1384"/>
      <c r="CZ4435" s="338"/>
      <c r="DA4435" s="338"/>
      <c r="DP4435" s="236"/>
      <c r="DQ4435" s="236"/>
      <c r="DX4435" s="1671"/>
    </row>
    <row r="4436" spans="38:128">
      <c r="AL4436" s="1037"/>
      <c r="BP4436" s="1385"/>
      <c r="BV4436" s="236">
        <v>208.04</v>
      </c>
      <c r="BW4436" s="236" t="s">
        <v>349</v>
      </c>
      <c r="CL4436" s="338">
        <v>801.03</v>
      </c>
      <c r="CM4436" s="338" t="s">
        <v>289</v>
      </c>
      <c r="CT4436" s="1384"/>
      <c r="CZ4436" s="338"/>
      <c r="DA4436" s="338"/>
      <c r="DP4436" s="236"/>
      <c r="DQ4436" s="236"/>
      <c r="DX4436" s="1671"/>
    </row>
    <row r="4437" spans="38:128">
      <c r="AL4437" s="1037"/>
      <c r="BP4437" s="1385"/>
      <c r="BV4437" s="236">
        <v>208.07</v>
      </c>
      <c r="BW4437" s="236" t="s">
        <v>349</v>
      </c>
      <c r="CL4437" s="338">
        <v>801.04</v>
      </c>
      <c r="CM4437" s="338" t="s">
        <v>289</v>
      </c>
      <c r="CT4437" s="1384"/>
      <c r="CZ4437" s="338"/>
      <c r="DA4437" s="338"/>
      <c r="DP4437" s="236"/>
      <c r="DQ4437" s="236"/>
      <c r="DX4437" s="1671"/>
    </row>
    <row r="4438" spans="38:128">
      <c r="AL4438" s="1037"/>
      <c r="BP4438" s="1385"/>
      <c r="BV4438" s="236">
        <v>208.08</v>
      </c>
      <c r="BW4438" s="236" t="s">
        <v>349</v>
      </c>
      <c r="CL4438" s="338">
        <v>801.05</v>
      </c>
      <c r="CM4438" s="338" t="s">
        <v>289</v>
      </c>
      <c r="CT4438" s="1384"/>
      <c r="CZ4438" s="338"/>
      <c r="DA4438" s="338"/>
      <c r="DP4438" s="236"/>
      <c r="DQ4438" s="236"/>
      <c r="DX4438" s="1671"/>
    </row>
    <row r="4439" spans="38:128">
      <c r="AL4439" s="1037"/>
      <c r="BP4439" s="1385"/>
      <c r="BV4439" s="236">
        <v>208.09</v>
      </c>
      <c r="BW4439" s="236" t="s">
        <v>349</v>
      </c>
      <c r="CL4439" s="338">
        <v>802</v>
      </c>
      <c r="CM4439" s="338" t="s">
        <v>289</v>
      </c>
      <c r="CT4439" s="1384"/>
      <c r="CZ4439" s="338"/>
      <c r="DA4439" s="338"/>
      <c r="DP4439" s="236"/>
      <c r="DQ4439" s="236"/>
      <c r="DX4439" s="1671"/>
    </row>
    <row r="4440" spans="38:128">
      <c r="AL4440" s="1037"/>
      <c r="BP4440" s="1385"/>
      <c r="BV4440" s="236">
        <v>208.1</v>
      </c>
      <c r="BW4440" s="236" t="s">
        <v>349</v>
      </c>
      <c r="CL4440" s="236">
        <v>802.01</v>
      </c>
      <c r="CM4440" s="236" t="s">
        <v>355</v>
      </c>
      <c r="CT4440" s="1384"/>
      <c r="CZ4440" s="338"/>
      <c r="DA4440" s="338"/>
      <c r="DP4440" s="236"/>
      <c r="DQ4440" s="236"/>
      <c r="DX4440" s="1671"/>
    </row>
    <row r="4441" spans="38:128">
      <c r="AL4441" s="1037"/>
      <c r="BP4441" s="1385"/>
      <c r="BV4441" s="236">
        <v>208.11</v>
      </c>
      <c r="BW4441" s="236" t="s">
        <v>349</v>
      </c>
      <c r="CL4441" s="236">
        <v>802.02</v>
      </c>
      <c r="CM4441" s="236" t="s">
        <v>323</v>
      </c>
      <c r="CT4441" s="1384"/>
      <c r="CZ4441" s="338"/>
      <c r="DA4441" s="338"/>
      <c r="DP4441" s="236"/>
      <c r="DQ4441" s="236"/>
      <c r="DX4441" s="1671"/>
    </row>
    <row r="4442" spans="38:128">
      <c r="AL4442" s="1037"/>
      <c r="BP4442" s="1385"/>
      <c r="BV4442" s="236">
        <v>209.03</v>
      </c>
      <c r="BW4442" s="236" t="s">
        <v>349</v>
      </c>
      <c r="CL4442" s="236">
        <v>802.02</v>
      </c>
      <c r="CM4442" s="236" t="s">
        <v>355</v>
      </c>
      <c r="CT4442" s="1384"/>
      <c r="CZ4442" s="338"/>
      <c r="DA4442" s="338"/>
      <c r="DP4442" s="236"/>
      <c r="DQ4442" s="236"/>
      <c r="DX4442" s="1671"/>
    </row>
    <row r="4443" spans="38:128">
      <c r="AL4443" s="1037"/>
      <c r="BP4443" s="1385"/>
      <c r="BV4443" s="236">
        <v>209.04</v>
      </c>
      <c r="BW4443" s="236" t="s">
        <v>349</v>
      </c>
      <c r="CL4443" s="236">
        <v>802.03</v>
      </c>
      <c r="CM4443" s="236" t="s">
        <v>323</v>
      </c>
      <c r="CT4443" s="1384"/>
      <c r="CZ4443" s="338"/>
      <c r="DA4443" s="338"/>
      <c r="DP4443" s="236"/>
      <c r="DQ4443" s="236"/>
      <c r="DX4443" s="1671"/>
    </row>
    <row r="4444" spans="38:128">
      <c r="AL4444" s="1037"/>
      <c r="BP4444" s="1385"/>
      <c r="BV4444" s="236">
        <v>209.05</v>
      </c>
      <c r="BW4444" s="236" t="s">
        <v>349</v>
      </c>
      <c r="CL4444" s="236">
        <v>802.04</v>
      </c>
      <c r="CM4444" s="236" t="s">
        <v>323</v>
      </c>
      <c r="CT4444" s="1384"/>
      <c r="CZ4444" s="338"/>
      <c r="DA4444" s="338"/>
      <c r="DP4444" s="236"/>
      <c r="DQ4444" s="236"/>
      <c r="DX4444" s="1671"/>
    </row>
    <row r="4445" spans="38:128">
      <c r="AL4445" s="1037"/>
      <c r="BP4445" s="1385"/>
      <c r="BV4445" s="236">
        <v>209.06</v>
      </c>
      <c r="BW4445" s="236" t="s">
        <v>349</v>
      </c>
      <c r="CL4445" s="236">
        <v>803</v>
      </c>
      <c r="CM4445" s="236" t="s">
        <v>323</v>
      </c>
      <c r="CT4445" s="1384"/>
      <c r="CZ4445" s="338"/>
      <c r="DA4445" s="338"/>
      <c r="DP4445" s="236"/>
      <c r="DQ4445" s="236"/>
      <c r="DX4445" s="1671"/>
    </row>
    <row r="4446" spans="38:128">
      <c r="AL4446" s="1037"/>
      <c r="BP4446" s="1385"/>
      <c r="BV4446" s="236">
        <v>209.07</v>
      </c>
      <c r="BW4446" s="236" t="s">
        <v>349</v>
      </c>
      <c r="CL4446" s="236">
        <v>803</v>
      </c>
      <c r="CM4446" s="236" t="s">
        <v>355</v>
      </c>
      <c r="CT4446" s="1384"/>
      <c r="CZ4446" s="338"/>
      <c r="DA4446" s="338"/>
      <c r="DP4446" s="236"/>
      <c r="DQ4446" s="236"/>
      <c r="DX4446" s="1671"/>
    </row>
    <row r="4447" spans="38:128">
      <c r="AL4447" s="1037"/>
      <c r="BP4447" s="1385"/>
      <c r="BV4447" s="236">
        <v>209.08</v>
      </c>
      <c r="BW4447" s="236" t="s">
        <v>349</v>
      </c>
      <c r="CL4447" s="236">
        <v>804</v>
      </c>
      <c r="CM4447" s="236" t="s">
        <v>355</v>
      </c>
      <c r="CT4447" s="1384"/>
      <c r="CZ4447" s="338"/>
      <c r="DA4447" s="338"/>
      <c r="DP4447" s="236"/>
      <c r="DQ4447" s="236"/>
      <c r="DX4447" s="1671"/>
    </row>
    <row r="4448" spans="38:128">
      <c r="AL4448" s="1037"/>
      <c r="BP4448" s="1385"/>
      <c r="BV4448" s="236">
        <v>210.02</v>
      </c>
      <c r="BW4448" s="236" t="s">
        <v>349</v>
      </c>
      <c r="CL4448" s="338">
        <v>804.02</v>
      </c>
      <c r="CM4448" s="338" t="s">
        <v>289</v>
      </c>
      <c r="CT4448" s="1384"/>
      <c r="CZ4448" s="338"/>
      <c r="DA4448" s="338"/>
      <c r="DP4448" s="236"/>
      <c r="DQ4448" s="236"/>
      <c r="DX4448" s="1671"/>
    </row>
    <row r="4449" spans="38:128">
      <c r="AL4449" s="1037"/>
      <c r="BP4449" s="1385"/>
      <c r="BV4449" s="236">
        <v>210.03</v>
      </c>
      <c r="BW4449" s="236" t="s">
        <v>349</v>
      </c>
      <c r="CL4449" s="338">
        <v>804.03</v>
      </c>
      <c r="CM4449" s="338" t="s">
        <v>289</v>
      </c>
      <c r="CT4449" s="1384"/>
      <c r="CZ4449" s="338"/>
      <c r="DA4449" s="338"/>
      <c r="DP4449" s="236"/>
      <c r="DQ4449" s="236"/>
      <c r="DX4449" s="1671"/>
    </row>
    <row r="4450" spans="38:128">
      <c r="AL4450" s="1037"/>
      <c r="BP4450" s="1385"/>
      <c r="BV4450" s="236">
        <v>210.04</v>
      </c>
      <c r="BW4450" s="236" t="s">
        <v>349</v>
      </c>
      <c r="CL4450" s="338">
        <v>804.05</v>
      </c>
      <c r="CM4450" s="338" t="s">
        <v>289</v>
      </c>
      <c r="CT4450" s="1384"/>
      <c r="CZ4450" s="338"/>
      <c r="DA4450" s="338"/>
      <c r="DP4450" s="236"/>
      <c r="DQ4450" s="236"/>
      <c r="DX4450" s="1671"/>
    </row>
    <row r="4451" spans="38:128">
      <c r="AL4451" s="1037"/>
      <c r="BP4451" s="1385"/>
      <c r="BV4451" s="236">
        <v>211.01</v>
      </c>
      <c r="BW4451" s="236" t="s">
        <v>349</v>
      </c>
      <c r="CL4451" s="338">
        <v>804.06</v>
      </c>
      <c r="CM4451" s="338" t="s">
        <v>289</v>
      </c>
      <c r="CT4451" s="1384"/>
      <c r="CZ4451" s="338"/>
      <c r="DA4451" s="338"/>
      <c r="DP4451" s="236"/>
      <c r="DQ4451" s="236"/>
      <c r="DX4451" s="1671"/>
    </row>
    <row r="4452" spans="38:128">
      <c r="AL4452" s="1037"/>
      <c r="BP4452" s="1385"/>
      <c r="BV4452" s="236">
        <v>211.02</v>
      </c>
      <c r="BW4452" s="236" t="s">
        <v>349</v>
      </c>
      <c r="CL4452" s="338">
        <v>805</v>
      </c>
      <c r="CM4452" s="338" t="s">
        <v>289</v>
      </c>
      <c r="CT4452" s="1384"/>
      <c r="CZ4452" s="338"/>
      <c r="DA4452" s="338"/>
      <c r="DP4452" s="236"/>
      <c r="DQ4452" s="236"/>
      <c r="DX4452" s="1671"/>
    </row>
    <row r="4453" spans="38:128">
      <c r="AL4453" s="1037"/>
      <c r="BP4453" s="1385"/>
      <c r="BV4453" s="236">
        <v>211.03</v>
      </c>
      <c r="BW4453" s="236" t="s">
        <v>349</v>
      </c>
      <c r="CL4453" s="236">
        <v>805</v>
      </c>
      <c r="CM4453" s="236" t="s">
        <v>355</v>
      </c>
      <c r="CT4453" s="1384"/>
      <c r="CZ4453" s="338"/>
      <c r="DA4453" s="338"/>
      <c r="DP4453" s="236"/>
      <c r="DQ4453" s="236"/>
      <c r="DX4453" s="1671"/>
    </row>
    <row r="4454" spans="38:128">
      <c r="AL4454" s="1037"/>
      <c r="BP4454" s="1385"/>
      <c r="BV4454" s="236">
        <v>212.07</v>
      </c>
      <c r="BW4454" s="236" t="s">
        <v>349</v>
      </c>
      <c r="CL4454" s="236">
        <v>806</v>
      </c>
      <c r="CM4454" s="236" t="s">
        <v>355</v>
      </c>
      <c r="CT4454" s="1384"/>
      <c r="CZ4454" s="338"/>
      <c r="DA4454" s="338"/>
      <c r="DP4454" s="236"/>
      <c r="DQ4454" s="236"/>
      <c r="DX4454" s="1671"/>
    </row>
    <row r="4455" spans="38:128">
      <c r="AL4455" s="1037"/>
      <c r="BP4455" s="1385"/>
      <c r="BV4455" s="236">
        <v>212.08</v>
      </c>
      <c r="BW4455" s="236" t="s">
        <v>349</v>
      </c>
      <c r="CL4455" s="236">
        <v>807</v>
      </c>
      <c r="CM4455" s="236" t="s">
        <v>355</v>
      </c>
      <c r="CT4455" s="1384"/>
      <c r="CZ4455" s="338"/>
      <c r="DA4455" s="338"/>
      <c r="DP4455" s="236"/>
      <c r="DQ4455" s="236"/>
      <c r="DX4455" s="1671"/>
    </row>
    <row r="4456" spans="38:128">
      <c r="AL4456" s="1037"/>
      <c r="BP4456" s="1385"/>
      <c r="BV4456" s="236">
        <v>212.09</v>
      </c>
      <c r="BW4456" s="236" t="s">
        <v>349</v>
      </c>
      <c r="CL4456" s="236">
        <v>808.03</v>
      </c>
      <c r="CM4456" s="236" t="s">
        <v>355</v>
      </c>
      <c r="CT4456" s="1384"/>
      <c r="CZ4456" s="338"/>
      <c r="DA4456" s="338"/>
      <c r="DP4456" s="236"/>
      <c r="DQ4456" s="236"/>
      <c r="DX4456" s="1671"/>
    </row>
    <row r="4457" spans="38:128">
      <c r="AL4457" s="1037"/>
      <c r="BP4457" s="1385"/>
      <c r="BV4457" s="236">
        <v>212.1</v>
      </c>
      <c r="BW4457" s="236" t="s">
        <v>349</v>
      </c>
      <c r="CL4457" s="236">
        <v>808.05</v>
      </c>
      <c r="CM4457" s="236" t="s">
        <v>355</v>
      </c>
      <c r="CT4457" s="1384"/>
      <c r="CZ4457" s="338"/>
      <c r="DA4457" s="338"/>
      <c r="DP4457" s="236"/>
      <c r="DQ4457" s="236"/>
      <c r="DX4457" s="1671"/>
    </row>
    <row r="4458" spans="38:128">
      <c r="AL4458" s="1037"/>
      <c r="BP4458" s="1385"/>
      <c r="BV4458" s="236">
        <v>212.11</v>
      </c>
      <c r="BW4458" s="236" t="s">
        <v>349</v>
      </c>
      <c r="CL4458" s="236">
        <v>808.06</v>
      </c>
      <c r="CM4458" s="236" t="s">
        <v>355</v>
      </c>
      <c r="CT4458" s="1384"/>
      <c r="CZ4458" s="338"/>
      <c r="DA4458" s="338"/>
      <c r="DP4458" s="236"/>
      <c r="DQ4458" s="236"/>
      <c r="DX4458" s="1671"/>
    </row>
    <row r="4459" spans="38:128">
      <c r="AL4459" s="1037"/>
      <c r="BP4459" s="1385"/>
      <c r="BV4459" s="236">
        <v>213.01</v>
      </c>
      <c r="BW4459" s="236" t="s">
        <v>349</v>
      </c>
      <c r="CL4459" s="236">
        <v>808.07</v>
      </c>
      <c r="CM4459" s="236" t="s">
        <v>355</v>
      </c>
      <c r="CT4459" s="1384"/>
      <c r="CZ4459" s="338"/>
      <c r="DA4459" s="338"/>
      <c r="DP4459" s="236"/>
      <c r="DQ4459" s="236"/>
      <c r="DX4459" s="1671"/>
    </row>
    <row r="4460" spans="38:128">
      <c r="AL4460" s="1037"/>
      <c r="BP4460" s="1385"/>
      <c r="BV4460" s="236">
        <v>213.02</v>
      </c>
      <c r="BW4460" s="236" t="s">
        <v>349</v>
      </c>
      <c r="CL4460" s="236">
        <v>808.08</v>
      </c>
      <c r="CM4460" s="236" t="s">
        <v>355</v>
      </c>
      <c r="CT4460" s="1384"/>
      <c r="CZ4460" s="338"/>
      <c r="DA4460" s="338"/>
      <c r="DP4460" s="236"/>
      <c r="DQ4460" s="236"/>
      <c r="DX4460" s="1671"/>
    </row>
    <row r="4461" spans="38:128">
      <c r="AL4461" s="1037"/>
      <c r="BP4461" s="1385"/>
      <c r="BV4461" s="236">
        <v>214.03</v>
      </c>
      <c r="BW4461" s="236" t="s">
        <v>349</v>
      </c>
      <c r="CL4461" s="236">
        <v>808.09</v>
      </c>
      <c r="CM4461" s="236" t="s">
        <v>355</v>
      </c>
      <c r="CT4461" s="1384"/>
      <c r="CZ4461" s="338"/>
      <c r="DA4461" s="338"/>
      <c r="DP4461" s="236"/>
      <c r="DQ4461" s="236"/>
      <c r="DX4461" s="1671"/>
    </row>
    <row r="4462" spans="38:128">
      <c r="AL4462" s="1037"/>
      <c r="BP4462" s="1385"/>
      <c r="BV4462" s="236">
        <v>214.04</v>
      </c>
      <c r="BW4462" s="236" t="s">
        <v>349</v>
      </c>
      <c r="CL4462" s="236">
        <v>809.01</v>
      </c>
      <c r="CM4462" s="236" t="s">
        <v>355</v>
      </c>
      <c r="CT4462" s="1384"/>
      <c r="CZ4462" s="338"/>
      <c r="DA4462" s="338"/>
      <c r="DP4462" s="236"/>
      <c r="DQ4462" s="236"/>
      <c r="DX4462" s="1671"/>
    </row>
    <row r="4463" spans="38:128">
      <c r="AL4463" s="1037"/>
      <c r="BP4463" s="1385"/>
      <c r="BV4463" s="236">
        <v>214.08</v>
      </c>
      <c r="BW4463" s="236" t="s">
        <v>349</v>
      </c>
      <c r="CL4463" s="236">
        <v>809.02</v>
      </c>
      <c r="CM4463" s="236" t="s">
        <v>355</v>
      </c>
      <c r="CT4463" s="1384"/>
      <c r="CZ4463" s="338"/>
      <c r="DA4463" s="338"/>
      <c r="DP4463" s="236"/>
      <c r="DQ4463" s="236"/>
      <c r="DX4463" s="1671"/>
    </row>
    <row r="4464" spans="38:128">
      <c r="AL4464" s="1037"/>
      <c r="BP4464" s="1385"/>
      <c r="BV4464" s="236">
        <v>214.09</v>
      </c>
      <c r="BW4464" s="236" t="s">
        <v>349</v>
      </c>
      <c r="CL4464" s="236">
        <v>810.01</v>
      </c>
      <c r="CM4464" s="236" t="s">
        <v>355</v>
      </c>
      <c r="CT4464" s="1384"/>
      <c r="CZ4464" s="338"/>
      <c r="DA4464" s="338"/>
      <c r="DP4464" s="236"/>
      <c r="DQ4464" s="236"/>
      <c r="DX4464" s="1671"/>
    </row>
    <row r="4465" spans="38:128">
      <c r="AL4465" s="1037"/>
      <c r="BP4465" s="1385"/>
      <c r="BV4465" s="236">
        <v>214.1</v>
      </c>
      <c r="BW4465" s="236" t="s">
        <v>349</v>
      </c>
      <c r="CL4465" s="236">
        <v>810.02</v>
      </c>
      <c r="CM4465" s="236" t="s">
        <v>355</v>
      </c>
      <c r="CT4465" s="1384"/>
      <c r="CZ4465" s="338"/>
      <c r="DA4465" s="338"/>
      <c r="DP4465" s="236"/>
      <c r="DQ4465" s="236"/>
      <c r="DX4465" s="1671"/>
    </row>
    <row r="4466" spans="38:128">
      <c r="AL4466" s="1037"/>
      <c r="BP4466" s="1385"/>
      <c r="BV4466" s="236">
        <v>9901</v>
      </c>
      <c r="BW4466" s="236" t="s">
        <v>349</v>
      </c>
      <c r="CL4466" s="236">
        <v>811.01</v>
      </c>
      <c r="CM4466" s="236" t="s">
        <v>355</v>
      </c>
      <c r="CT4466" s="1384"/>
      <c r="CZ4466" s="338"/>
      <c r="DA4466" s="338"/>
      <c r="DP4466" s="236"/>
      <c r="DQ4466" s="236"/>
      <c r="DX4466" s="1671"/>
    </row>
    <row r="4467" spans="38:128">
      <c r="AL4467" s="1037"/>
      <c r="BP4467" s="1385"/>
      <c r="BV4467" s="236">
        <v>9902</v>
      </c>
      <c r="BW4467" s="236" t="s">
        <v>349</v>
      </c>
      <c r="CL4467" s="236">
        <v>811.02</v>
      </c>
      <c r="CM4467" s="236" t="s">
        <v>355</v>
      </c>
      <c r="CT4467" s="1384"/>
      <c r="CZ4467" s="338"/>
      <c r="DA4467" s="338"/>
      <c r="DP4467" s="236"/>
      <c r="DQ4467" s="236"/>
      <c r="DX4467" s="1671"/>
    </row>
    <row r="4468" spans="38:128">
      <c r="AL4468" s="1037"/>
      <c r="BP4468" s="1385"/>
      <c r="BV4468" s="236">
        <v>3801</v>
      </c>
      <c r="BW4468" s="236" t="s">
        <v>350</v>
      </c>
      <c r="CL4468" s="236">
        <v>812.01</v>
      </c>
      <c r="CM4468" s="236" t="s">
        <v>355</v>
      </c>
      <c r="CT4468" s="1384"/>
      <c r="CZ4468" s="338"/>
      <c r="DA4468" s="338"/>
      <c r="DP4468" s="236"/>
      <c r="DQ4468" s="236"/>
      <c r="DX4468" s="1671"/>
    </row>
    <row r="4469" spans="38:128">
      <c r="AL4469" s="1037"/>
      <c r="BP4469" s="1385"/>
      <c r="BV4469" s="236">
        <v>3802</v>
      </c>
      <c r="BW4469" s="236" t="s">
        <v>350</v>
      </c>
      <c r="CL4469" s="236">
        <v>812.02</v>
      </c>
      <c r="CM4469" s="236" t="s">
        <v>355</v>
      </c>
      <c r="CT4469" s="1384"/>
      <c r="CZ4469" s="338"/>
      <c r="DA4469" s="338"/>
      <c r="DP4469" s="236"/>
      <c r="DQ4469" s="236"/>
      <c r="DX4469" s="1671"/>
    </row>
    <row r="4470" spans="38:128">
      <c r="AL4470" s="1037"/>
      <c r="BP4470" s="1385"/>
      <c r="BV4470" s="236">
        <v>3803</v>
      </c>
      <c r="BW4470" s="236" t="s">
        <v>350</v>
      </c>
      <c r="CL4470" s="236">
        <v>813</v>
      </c>
      <c r="CM4470" s="236" t="s">
        <v>355</v>
      </c>
      <c r="CT4470" s="1384"/>
      <c r="CZ4470" s="338"/>
      <c r="DA4470" s="338"/>
      <c r="DP4470" s="236"/>
      <c r="DQ4470" s="236"/>
      <c r="DX4470" s="1671"/>
    </row>
    <row r="4471" spans="38:128">
      <c r="AL4471" s="1037"/>
      <c r="BP4471" s="1385"/>
      <c r="BV4471" s="236">
        <v>3804</v>
      </c>
      <c r="BW4471" s="236" t="s">
        <v>350</v>
      </c>
      <c r="CL4471" s="236">
        <v>815</v>
      </c>
      <c r="CM4471" s="236" t="s">
        <v>355</v>
      </c>
      <c r="CT4471" s="1384"/>
      <c r="CZ4471" s="338"/>
      <c r="DA4471" s="338"/>
      <c r="DP4471" s="236"/>
      <c r="DQ4471" s="236"/>
      <c r="DX4471" s="1671"/>
    </row>
    <row r="4472" spans="38:128">
      <c r="AL4472" s="1037"/>
      <c r="BP4472" s="1385"/>
      <c r="BV4472" s="236">
        <v>3805</v>
      </c>
      <c r="BW4472" s="236" t="s">
        <v>350</v>
      </c>
      <c r="CL4472" s="236">
        <v>816</v>
      </c>
      <c r="CM4472" s="236" t="s">
        <v>355</v>
      </c>
      <c r="CT4472" s="1384"/>
      <c r="CZ4472" s="338"/>
      <c r="DA4472" s="338"/>
      <c r="DP4472" s="236"/>
      <c r="DQ4472" s="236"/>
      <c r="DX4472" s="1671"/>
    </row>
    <row r="4473" spans="38:128">
      <c r="AL4473" s="1037"/>
      <c r="BP4473" s="1385"/>
      <c r="BV4473" s="236">
        <v>3806</v>
      </c>
      <c r="BW4473" s="236" t="s">
        <v>350</v>
      </c>
      <c r="CL4473" s="236">
        <v>817.01</v>
      </c>
      <c r="CM4473" s="236" t="s">
        <v>355</v>
      </c>
      <c r="CT4473" s="1384"/>
      <c r="CZ4473" s="338"/>
      <c r="DA4473" s="338"/>
      <c r="DP4473" s="236"/>
      <c r="DQ4473" s="236"/>
      <c r="DX4473" s="1671"/>
    </row>
    <row r="4474" spans="38:128">
      <c r="AL4474" s="1037"/>
      <c r="BP4474" s="1385"/>
      <c r="BV4474" s="236">
        <v>3807</v>
      </c>
      <c r="BW4474" s="236" t="s">
        <v>350</v>
      </c>
      <c r="CL4474" s="236">
        <v>817.02</v>
      </c>
      <c r="CM4474" s="236" t="s">
        <v>355</v>
      </c>
      <c r="CT4474" s="1384"/>
      <c r="CZ4474" s="338"/>
      <c r="DA4474" s="338"/>
      <c r="DP4474" s="236"/>
      <c r="DQ4474" s="236"/>
      <c r="DX4474" s="1671"/>
    </row>
    <row r="4475" spans="38:128">
      <c r="AL4475" s="1037"/>
      <c r="BP4475" s="1385"/>
      <c r="BV4475" s="236">
        <v>3808</v>
      </c>
      <c r="BW4475" s="236" t="s">
        <v>350</v>
      </c>
      <c r="CL4475" s="236">
        <v>818</v>
      </c>
      <c r="CM4475" s="236" t="s">
        <v>355</v>
      </c>
      <c r="CT4475" s="1384"/>
      <c r="CZ4475" s="338"/>
      <c r="DA4475" s="338"/>
      <c r="DP4475" s="236"/>
      <c r="DQ4475" s="236"/>
      <c r="DX4475" s="1671"/>
    </row>
    <row r="4476" spans="38:128">
      <c r="AL4476" s="1037"/>
      <c r="BP4476" s="1385"/>
      <c r="BV4476" s="236">
        <v>3809.01</v>
      </c>
      <c r="BW4476" s="236" t="s">
        <v>350</v>
      </c>
      <c r="CL4476" s="236">
        <v>819</v>
      </c>
      <c r="CM4476" s="236" t="s">
        <v>355</v>
      </c>
      <c r="CT4476" s="1384"/>
      <c r="CZ4476" s="338"/>
      <c r="DA4476" s="338"/>
      <c r="DP4476" s="236"/>
      <c r="DQ4476" s="236"/>
      <c r="DX4476" s="1671"/>
    </row>
    <row r="4477" spans="38:128">
      <c r="AL4477" s="1037"/>
      <c r="BP4477" s="1385"/>
      <c r="BV4477" s="236">
        <v>3809.02</v>
      </c>
      <c r="BW4477" s="236" t="s">
        <v>350</v>
      </c>
      <c r="CL4477" s="236">
        <v>820</v>
      </c>
      <c r="CM4477" s="236" t="s">
        <v>355</v>
      </c>
      <c r="CT4477" s="1384"/>
      <c r="CZ4477" s="338"/>
      <c r="DA4477" s="338"/>
      <c r="DP4477" s="236"/>
      <c r="DQ4477" s="236"/>
      <c r="DX4477" s="1671"/>
    </row>
    <row r="4478" spans="38:128">
      <c r="AL4478" s="1037"/>
      <c r="BP4478" s="1385"/>
      <c r="BV4478" s="236">
        <v>3810</v>
      </c>
      <c r="BW4478" s="236" t="s">
        <v>350</v>
      </c>
      <c r="CL4478" s="236">
        <v>821</v>
      </c>
      <c r="CM4478" s="236" t="s">
        <v>355</v>
      </c>
      <c r="CT4478" s="1384"/>
      <c r="CZ4478" s="338"/>
      <c r="DA4478" s="338"/>
      <c r="DP4478" s="236"/>
      <c r="DQ4478" s="236"/>
      <c r="DX4478" s="1671"/>
    </row>
    <row r="4479" spans="38:128">
      <c r="AL4479" s="1037"/>
      <c r="BP4479" s="1385"/>
      <c r="BV4479" s="236">
        <v>3811.03</v>
      </c>
      <c r="BW4479" s="236" t="s">
        <v>350</v>
      </c>
      <c r="CL4479" s="236">
        <v>822.01</v>
      </c>
      <c r="CM4479" s="236" t="s">
        <v>355</v>
      </c>
      <c r="CT4479" s="1384"/>
      <c r="CZ4479" s="338"/>
      <c r="DA4479" s="338"/>
      <c r="DP4479" s="236"/>
      <c r="DQ4479" s="236"/>
      <c r="DX4479" s="1671"/>
    </row>
    <row r="4480" spans="38:128">
      <c r="AL4480" s="1037"/>
      <c r="BP4480" s="1385"/>
      <c r="BV4480" s="236">
        <v>3811.04</v>
      </c>
      <c r="BW4480" s="236" t="s">
        <v>350</v>
      </c>
      <c r="CL4480" s="236">
        <v>822.02</v>
      </c>
      <c r="CM4480" s="236" t="s">
        <v>355</v>
      </c>
      <c r="CT4480" s="1384"/>
      <c r="CZ4480" s="338"/>
      <c r="DA4480" s="338"/>
      <c r="DP4480" s="236"/>
      <c r="DQ4480" s="236"/>
      <c r="DX4480" s="1671"/>
    </row>
    <row r="4481" spans="38:128">
      <c r="AL4481" s="1037"/>
      <c r="BP4481" s="1385"/>
      <c r="BV4481" s="236">
        <v>3811.05</v>
      </c>
      <c r="BW4481" s="236" t="s">
        <v>350</v>
      </c>
      <c r="CL4481" s="236">
        <v>823.02</v>
      </c>
      <c r="CM4481" s="236" t="s">
        <v>355</v>
      </c>
      <c r="CT4481" s="1384"/>
      <c r="CZ4481" s="338"/>
      <c r="DA4481" s="338"/>
      <c r="DP4481" s="236"/>
      <c r="DQ4481" s="236"/>
      <c r="DX4481" s="1671"/>
    </row>
    <row r="4482" spans="38:128">
      <c r="AL4482" s="1037"/>
      <c r="BP4482" s="1385"/>
      <c r="BV4482" s="236">
        <v>3811.06</v>
      </c>
      <c r="BW4482" s="236" t="s">
        <v>350</v>
      </c>
      <c r="CL4482" s="236">
        <v>823.03</v>
      </c>
      <c r="CM4482" s="236" t="s">
        <v>355</v>
      </c>
      <c r="CT4482" s="1384"/>
      <c r="CZ4482" s="338"/>
      <c r="DA4482" s="338"/>
      <c r="DP4482" s="236"/>
      <c r="DQ4482" s="236"/>
      <c r="DX4482" s="1671"/>
    </row>
    <row r="4483" spans="38:128">
      <c r="AL4483" s="1037"/>
      <c r="BP4483" s="1385"/>
      <c r="BV4483" s="236">
        <v>3811.07</v>
      </c>
      <c r="BW4483" s="236" t="s">
        <v>350</v>
      </c>
      <c r="CL4483" s="236">
        <v>824.01</v>
      </c>
      <c r="CM4483" s="236" t="s">
        <v>355</v>
      </c>
      <c r="CT4483" s="1384"/>
      <c r="CZ4483" s="338"/>
      <c r="DA4483" s="338"/>
      <c r="DP4483" s="236"/>
      <c r="DQ4483" s="236"/>
      <c r="DX4483" s="1671"/>
    </row>
    <row r="4484" spans="38:128">
      <c r="AL4484" s="1037"/>
      <c r="BP4484" s="1385"/>
      <c r="BV4484" s="236">
        <v>3812.04</v>
      </c>
      <c r="BW4484" s="236" t="s">
        <v>350</v>
      </c>
      <c r="CL4484" s="236">
        <v>824.04</v>
      </c>
      <c r="CM4484" s="236" t="s">
        <v>355</v>
      </c>
      <c r="CT4484" s="1384"/>
      <c r="CZ4484" s="338"/>
      <c r="DA4484" s="338"/>
      <c r="DP4484" s="236"/>
      <c r="DQ4484" s="236"/>
      <c r="DX4484" s="1671"/>
    </row>
    <row r="4485" spans="38:128">
      <c r="AL4485" s="1037"/>
      <c r="BP4485" s="1385"/>
      <c r="BV4485" s="236">
        <v>3813</v>
      </c>
      <c r="BW4485" s="236" t="s">
        <v>350</v>
      </c>
      <c r="CL4485" s="236">
        <v>824.05</v>
      </c>
      <c r="CM4485" s="236" t="s">
        <v>355</v>
      </c>
      <c r="CT4485" s="1384"/>
      <c r="CZ4485" s="338"/>
      <c r="DA4485" s="338"/>
      <c r="DP4485" s="236"/>
      <c r="DQ4485" s="236"/>
      <c r="DX4485" s="1671"/>
    </row>
    <row r="4486" spans="38:128">
      <c r="AL4486" s="1037"/>
      <c r="BP4486" s="1385"/>
      <c r="BV4486" s="236">
        <v>3814.01</v>
      </c>
      <c r="BW4486" s="236" t="s">
        <v>350</v>
      </c>
      <c r="CL4486" s="236">
        <v>824.06</v>
      </c>
      <c r="CM4486" s="236" t="s">
        <v>355</v>
      </c>
      <c r="CT4486" s="1384"/>
      <c r="CZ4486" s="338"/>
      <c r="DA4486" s="338"/>
      <c r="DP4486" s="236"/>
      <c r="DQ4486" s="236"/>
      <c r="DX4486" s="1671"/>
    </row>
    <row r="4487" spans="38:128">
      <c r="AL4487" s="1037"/>
      <c r="BP4487" s="1385"/>
      <c r="BV4487" s="236">
        <v>3814.02</v>
      </c>
      <c r="BW4487" s="236" t="s">
        <v>350</v>
      </c>
      <c r="CL4487" s="236">
        <v>824.1</v>
      </c>
      <c r="CM4487" s="236" t="s">
        <v>355</v>
      </c>
      <c r="CT4487" s="1384"/>
      <c r="CZ4487" s="338"/>
      <c r="DA4487" s="338"/>
      <c r="DP4487" s="236"/>
      <c r="DQ4487" s="236"/>
      <c r="DX4487" s="1671"/>
    </row>
    <row r="4488" spans="38:128">
      <c r="AL4488" s="1037"/>
      <c r="BP4488" s="1385"/>
      <c r="BV4488" s="236">
        <v>3815.04</v>
      </c>
      <c r="BW4488" s="236" t="s">
        <v>350</v>
      </c>
      <c r="CL4488" s="236">
        <v>824.11</v>
      </c>
      <c r="CM4488" s="236" t="s">
        <v>355</v>
      </c>
      <c r="CT4488" s="1384"/>
      <c r="CZ4488" s="338"/>
      <c r="DA4488" s="338"/>
      <c r="DP4488" s="236"/>
      <c r="DQ4488" s="236"/>
      <c r="DX4488" s="1671"/>
    </row>
    <row r="4489" spans="38:128">
      <c r="AL4489" s="1037"/>
      <c r="BP4489" s="1385"/>
      <c r="BV4489" s="236">
        <v>3815.05</v>
      </c>
      <c r="BW4489" s="236" t="s">
        <v>350</v>
      </c>
      <c r="CL4489" s="236">
        <v>824.12</v>
      </c>
      <c r="CM4489" s="236" t="s">
        <v>355</v>
      </c>
      <c r="CT4489" s="1384"/>
      <c r="CZ4489" s="338"/>
      <c r="DA4489" s="338"/>
      <c r="DP4489" s="236"/>
      <c r="DQ4489" s="236"/>
      <c r="DX4489" s="1671"/>
    </row>
    <row r="4490" spans="38:128">
      <c r="AL4490" s="1037"/>
      <c r="BP4490" s="1385"/>
      <c r="BV4490" s="236">
        <v>3815.06</v>
      </c>
      <c r="BW4490" s="236" t="s">
        <v>350</v>
      </c>
      <c r="CL4490" s="236">
        <v>824.13</v>
      </c>
      <c r="CM4490" s="236" t="s">
        <v>355</v>
      </c>
      <c r="CT4490" s="1384"/>
      <c r="CZ4490" s="338"/>
      <c r="DA4490" s="338"/>
      <c r="DP4490" s="236"/>
      <c r="DQ4490" s="236"/>
      <c r="DX4490" s="1671"/>
    </row>
    <row r="4491" spans="38:128">
      <c r="AL4491" s="1037"/>
      <c r="BP4491" s="1385"/>
      <c r="BV4491" s="236">
        <v>3815.07</v>
      </c>
      <c r="BW4491" s="236" t="s">
        <v>350</v>
      </c>
      <c r="CL4491" s="236">
        <v>824.14</v>
      </c>
      <c r="CM4491" s="236" t="s">
        <v>355</v>
      </c>
      <c r="CT4491" s="1384"/>
      <c r="CZ4491" s="338"/>
      <c r="DA4491" s="338"/>
      <c r="DP4491" s="236"/>
      <c r="DQ4491" s="236"/>
      <c r="DX4491" s="1671"/>
    </row>
    <row r="4492" spans="38:128">
      <c r="AL4492" s="1037"/>
      <c r="BP4492" s="1385"/>
      <c r="BV4492" s="236">
        <v>3815.08</v>
      </c>
      <c r="BW4492" s="236" t="s">
        <v>350</v>
      </c>
      <c r="CL4492" s="236">
        <v>824.15</v>
      </c>
      <c r="CM4492" s="236" t="s">
        <v>355</v>
      </c>
      <c r="CT4492" s="1384"/>
      <c r="CZ4492" s="338"/>
      <c r="DA4492" s="338"/>
      <c r="DP4492" s="236"/>
      <c r="DQ4492" s="236"/>
      <c r="DX4492" s="1671"/>
    </row>
    <row r="4493" spans="38:128">
      <c r="AL4493" s="1037"/>
      <c r="BP4493" s="1385"/>
      <c r="BV4493" s="236">
        <v>3816.02</v>
      </c>
      <c r="BW4493" s="236" t="s">
        <v>350</v>
      </c>
      <c r="CL4493" s="236">
        <v>825.03</v>
      </c>
      <c r="CM4493" s="236" t="s">
        <v>355</v>
      </c>
      <c r="CT4493" s="1384"/>
      <c r="CZ4493" s="338"/>
      <c r="DA4493" s="338"/>
      <c r="DP4493" s="236"/>
      <c r="DQ4493" s="236"/>
      <c r="DX4493" s="1671"/>
    </row>
    <row r="4494" spans="38:128">
      <c r="AL4494" s="1037"/>
      <c r="BP4494" s="1385"/>
      <c r="BV4494" s="236">
        <v>3816.03</v>
      </c>
      <c r="BW4494" s="236" t="s">
        <v>350</v>
      </c>
      <c r="CL4494" s="236">
        <v>825.06</v>
      </c>
      <c r="CM4494" s="236" t="s">
        <v>355</v>
      </c>
      <c r="CT4494" s="1384"/>
      <c r="CZ4494" s="338"/>
      <c r="DA4494" s="338"/>
      <c r="DP4494" s="236"/>
      <c r="DQ4494" s="236"/>
      <c r="DX4494" s="1671"/>
    </row>
    <row r="4495" spans="38:128">
      <c r="AL4495" s="1037"/>
      <c r="BP4495" s="1385"/>
      <c r="BV4495" s="236">
        <v>3816.04</v>
      </c>
      <c r="BW4495" s="236" t="s">
        <v>350</v>
      </c>
      <c r="CL4495" s="236">
        <v>825.08</v>
      </c>
      <c r="CM4495" s="236" t="s">
        <v>355</v>
      </c>
      <c r="CT4495" s="1384"/>
      <c r="CZ4495" s="338"/>
      <c r="DA4495" s="338"/>
      <c r="DP4495" s="236"/>
      <c r="DQ4495" s="236"/>
      <c r="DX4495" s="1671"/>
    </row>
    <row r="4496" spans="38:128">
      <c r="AL4496" s="1037"/>
      <c r="BP4496" s="1385"/>
      <c r="BV4496" s="236">
        <v>3816.05</v>
      </c>
      <c r="BW4496" s="236" t="s">
        <v>350</v>
      </c>
      <c r="CL4496" s="236">
        <v>825.09</v>
      </c>
      <c r="CM4496" s="236" t="s">
        <v>355</v>
      </c>
      <c r="CT4496" s="1384"/>
      <c r="CZ4496" s="338"/>
      <c r="DA4496" s="338"/>
      <c r="DP4496" s="236"/>
      <c r="DQ4496" s="236"/>
      <c r="DX4496" s="1671"/>
    </row>
    <row r="4497" spans="38:128">
      <c r="AL4497" s="1037"/>
      <c r="BP4497" s="1385"/>
      <c r="BV4497" s="236">
        <v>3817.01</v>
      </c>
      <c r="BW4497" s="236" t="s">
        <v>350</v>
      </c>
      <c r="CL4497" s="236">
        <v>825.1</v>
      </c>
      <c r="CM4497" s="236" t="s">
        <v>355</v>
      </c>
      <c r="CT4497" s="1384"/>
      <c r="CZ4497" s="338"/>
      <c r="DA4497" s="338"/>
      <c r="DP4497" s="236"/>
      <c r="DQ4497" s="236"/>
      <c r="DX4497" s="1671"/>
    </row>
    <row r="4498" spans="38:128">
      <c r="AL4498" s="1037"/>
      <c r="BP4498" s="1385"/>
      <c r="BV4498" s="236">
        <v>3817.02</v>
      </c>
      <c r="BW4498" s="236" t="s">
        <v>350</v>
      </c>
      <c r="CL4498" s="236">
        <v>825.11</v>
      </c>
      <c r="CM4498" s="236" t="s">
        <v>355</v>
      </c>
      <c r="CT4498" s="1384"/>
      <c r="CZ4498" s="338"/>
      <c r="DA4498" s="338"/>
      <c r="DP4498" s="236"/>
      <c r="DQ4498" s="236"/>
      <c r="DX4498" s="1671"/>
    </row>
    <row r="4499" spans="38:128">
      <c r="AL4499" s="1037"/>
      <c r="BP4499" s="1385"/>
      <c r="BV4499" s="236">
        <v>3818.02</v>
      </c>
      <c r="BW4499" s="236" t="s">
        <v>350</v>
      </c>
      <c r="CL4499" s="236">
        <v>825.12</v>
      </c>
      <c r="CM4499" s="236" t="s">
        <v>355</v>
      </c>
      <c r="CT4499" s="1384"/>
      <c r="CZ4499" s="338"/>
      <c r="DA4499" s="338"/>
      <c r="DP4499" s="236"/>
      <c r="DQ4499" s="236"/>
      <c r="DX4499" s="1671"/>
    </row>
    <row r="4500" spans="38:128">
      <c r="AL4500" s="1037"/>
      <c r="BP4500" s="1385"/>
      <c r="BV4500" s="236">
        <v>3818.03</v>
      </c>
      <c r="BW4500" s="236" t="s">
        <v>350</v>
      </c>
      <c r="CL4500" s="236">
        <v>825.13</v>
      </c>
      <c r="CM4500" s="236" t="s">
        <v>355</v>
      </c>
      <c r="CT4500" s="1384"/>
      <c r="CZ4500" s="338"/>
      <c r="DA4500" s="338"/>
      <c r="DP4500" s="236"/>
      <c r="DQ4500" s="236"/>
      <c r="DX4500" s="1671"/>
    </row>
    <row r="4501" spans="38:128">
      <c r="AL4501" s="1037"/>
      <c r="BP4501" s="1385"/>
      <c r="BV4501" s="236">
        <v>3818.04</v>
      </c>
      <c r="BW4501" s="236" t="s">
        <v>350</v>
      </c>
      <c r="CL4501" s="236">
        <v>826.04</v>
      </c>
      <c r="CM4501" s="236" t="s">
        <v>355</v>
      </c>
      <c r="CT4501" s="1384"/>
      <c r="CZ4501" s="338"/>
      <c r="DA4501" s="338"/>
      <c r="DP4501" s="236"/>
      <c r="DQ4501" s="236"/>
      <c r="DX4501" s="1671"/>
    </row>
    <row r="4502" spans="38:128">
      <c r="AL4502" s="1037"/>
      <c r="BP4502" s="1385"/>
      <c r="BV4502" s="236">
        <v>3819</v>
      </c>
      <c r="BW4502" s="236" t="s">
        <v>350</v>
      </c>
      <c r="CL4502" s="236">
        <v>826.05</v>
      </c>
      <c r="CM4502" s="236" t="s">
        <v>355</v>
      </c>
      <c r="CT4502" s="1384"/>
      <c r="CZ4502" s="338"/>
      <c r="DA4502" s="338"/>
      <c r="DP4502" s="236"/>
      <c r="DQ4502" s="236"/>
      <c r="DX4502" s="1671"/>
    </row>
    <row r="4503" spans="38:128">
      <c r="AL4503" s="1037"/>
      <c r="BP4503" s="1385"/>
      <c r="BV4503" s="236">
        <v>3820.07</v>
      </c>
      <c r="BW4503" s="236" t="s">
        <v>350</v>
      </c>
      <c r="CL4503" s="236">
        <v>826.06</v>
      </c>
      <c r="CM4503" s="236" t="s">
        <v>355</v>
      </c>
      <c r="CT4503" s="1384"/>
      <c r="CZ4503" s="338"/>
      <c r="DA4503" s="338"/>
      <c r="DP4503" s="236"/>
      <c r="DQ4503" s="236"/>
      <c r="DX4503" s="1671"/>
    </row>
    <row r="4504" spans="38:128">
      <c r="AL4504" s="1037"/>
      <c r="BP4504" s="1385"/>
      <c r="BV4504" s="236">
        <v>3820.08</v>
      </c>
      <c r="BW4504" s="236" t="s">
        <v>350</v>
      </c>
      <c r="CL4504" s="236">
        <v>826.07</v>
      </c>
      <c r="CM4504" s="236" t="s">
        <v>355</v>
      </c>
      <c r="CT4504" s="1384"/>
      <c r="CZ4504" s="338"/>
      <c r="DA4504" s="338"/>
      <c r="DP4504" s="236"/>
      <c r="DQ4504" s="236"/>
      <c r="DX4504" s="1671"/>
    </row>
    <row r="4505" spans="38:128">
      <c r="AL4505" s="1037"/>
      <c r="BP4505" s="1385"/>
      <c r="BV4505" s="236">
        <v>3820.09</v>
      </c>
      <c r="BW4505" s="236" t="s">
        <v>350</v>
      </c>
      <c r="CL4505" s="236">
        <v>827.01</v>
      </c>
      <c r="CM4505" s="236" t="s">
        <v>355</v>
      </c>
      <c r="CT4505" s="1384"/>
      <c r="CZ4505" s="338"/>
      <c r="DA4505" s="338"/>
      <c r="DP4505" s="236"/>
      <c r="DQ4505" s="236"/>
      <c r="DX4505" s="1671"/>
    </row>
    <row r="4506" spans="38:128">
      <c r="AL4506" s="1037"/>
      <c r="BP4506" s="1385"/>
      <c r="BV4506" s="236">
        <v>3820.1</v>
      </c>
      <c r="BW4506" s="236" t="s">
        <v>350</v>
      </c>
      <c r="CL4506" s="236">
        <v>827.03</v>
      </c>
      <c r="CM4506" s="236" t="s">
        <v>355</v>
      </c>
      <c r="CT4506" s="1384"/>
      <c r="CZ4506" s="338"/>
      <c r="DA4506" s="338"/>
      <c r="DP4506" s="236"/>
      <c r="DQ4506" s="236"/>
      <c r="DX4506" s="1671"/>
    </row>
    <row r="4507" spans="38:128">
      <c r="AL4507" s="1037"/>
      <c r="BP4507" s="1385"/>
      <c r="BV4507" s="236">
        <v>3820.11</v>
      </c>
      <c r="BW4507" s="236" t="s">
        <v>350</v>
      </c>
      <c r="CL4507" s="236">
        <v>827.04</v>
      </c>
      <c r="CM4507" s="236" t="s">
        <v>355</v>
      </c>
      <c r="CT4507" s="1384"/>
      <c r="CZ4507" s="338"/>
      <c r="DA4507" s="338"/>
      <c r="DP4507" s="236"/>
      <c r="DQ4507" s="236"/>
      <c r="DX4507" s="1671"/>
    </row>
    <row r="4508" spans="38:128">
      <c r="AL4508" s="1037"/>
      <c r="BP4508" s="1385"/>
      <c r="BV4508" s="236">
        <v>3820.12</v>
      </c>
      <c r="BW4508" s="236" t="s">
        <v>350</v>
      </c>
      <c r="CL4508" s="236">
        <v>827.05</v>
      </c>
      <c r="CM4508" s="236" t="s">
        <v>355</v>
      </c>
      <c r="CT4508" s="1384"/>
      <c r="CZ4508" s="338"/>
      <c r="DA4508" s="338"/>
      <c r="DP4508" s="236"/>
      <c r="DQ4508" s="236"/>
      <c r="DX4508" s="1671"/>
    </row>
    <row r="4509" spans="38:128">
      <c r="AL4509" s="1037"/>
      <c r="BP4509" s="1385"/>
      <c r="BV4509" s="236">
        <v>3820.13</v>
      </c>
      <c r="BW4509" s="236" t="s">
        <v>350</v>
      </c>
      <c r="CL4509" s="236">
        <v>828.01</v>
      </c>
      <c r="CM4509" s="236" t="s">
        <v>355</v>
      </c>
      <c r="CT4509" s="1384"/>
      <c r="CZ4509" s="338"/>
      <c r="DA4509" s="338"/>
      <c r="DP4509" s="236"/>
      <c r="DQ4509" s="236"/>
      <c r="DX4509" s="1671"/>
    </row>
    <row r="4510" spans="38:128">
      <c r="AL4510" s="1037"/>
      <c r="BP4510" s="1385"/>
      <c r="BV4510" s="236">
        <v>3820.14</v>
      </c>
      <c r="BW4510" s="236" t="s">
        <v>350</v>
      </c>
      <c r="CL4510" s="236">
        <v>828.02</v>
      </c>
      <c r="CM4510" s="236" t="s">
        <v>355</v>
      </c>
      <c r="CT4510" s="1384"/>
      <c r="CZ4510" s="338"/>
      <c r="DA4510" s="338"/>
      <c r="DP4510" s="236"/>
      <c r="DQ4510" s="236"/>
      <c r="DX4510" s="1671"/>
    </row>
    <row r="4511" spans="38:128">
      <c r="AL4511" s="1037"/>
      <c r="BP4511" s="1385"/>
      <c r="BV4511" s="236">
        <v>3820.15</v>
      </c>
      <c r="BW4511" s="236" t="s">
        <v>350</v>
      </c>
      <c r="CL4511" s="236">
        <v>829.02</v>
      </c>
      <c r="CM4511" s="236" t="s">
        <v>355</v>
      </c>
      <c r="CT4511" s="1384"/>
      <c r="CZ4511" s="338"/>
      <c r="DA4511" s="338"/>
      <c r="DP4511" s="236"/>
      <c r="DQ4511" s="236"/>
      <c r="DX4511" s="1671"/>
    </row>
    <row r="4512" spans="38:128">
      <c r="AL4512" s="1037"/>
      <c r="BP4512" s="1385"/>
      <c r="BV4512" s="236">
        <v>3820.16</v>
      </c>
      <c r="BW4512" s="236" t="s">
        <v>350</v>
      </c>
      <c r="CL4512" s="236">
        <v>829.03</v>
      </c>
      <c r="CM4512" s="236" t="s">
        <v>355</v>
      </c>
      <c r="CT4512" s="1384"/>
      <c r="CZ4512" s="338"/>
      <c r="DA4512" s="338"/>
      <c r="DP4512" s="236"/>
      <c r="DQ4512" s="236"/>
      <c r="DX4512" s="1671"/>
    </row>
    <row r="4513" spans="38:128">
      <c r="AL4513" s="1037"/>
      <c r="BP4513" s="1385"/>
      <c r="BV4513" s="236">
        <v>3821.1</v>
      </c>
      <c r="BW4513" s="236" t="s">
        <v>350</v>
      </c>
      <c r="CL4513" s="236">
        <v>829.04</v>
      </c>
      <c r="CM4513" s="236" t="s">
        <v>355</v>
      </c>
      <c r="CT4513" s="1384"/>
      <c r="CZ4513" s="338"/>
      <c r="DA4513" s="338"/>
      <c r="DP4513" s="236"/>
      <c r="DQ4513" s="236"/>
      <c r="DX4513" s="1671"/>
    </row>
    <row r="4514" spans="38:128">
      <c r="AL4514" s="1037"/>
      <c r="BP4514" s="1385"/>
      <c r="BV4514" s="236">
        <v>3821.12</v>
      </c>
      <c r="BW4514" s="236" t="s">
        <v>350</v>
      </c>
      <c r="CL4514" s="236">
        <v>830.03</v>
      </c>
      <c r="CM4514" s="236" t="s">
        <v>355</v>
      </c>
      <c r="CT4514" s="1384"/>
      <c r="CZ4514" s="338"/>
      <c r="DA4514" s="338"/>
      <c r="DP4514" s="236"/>
      <c r="DQ4514" s="236"/>
      <c r="DX4514" s="1671"/>
    </row>
    <row r="4515" spans="38:128">
      <c r="AL4515" s="1037"/>
      <c r="BP4515" s="1385"/>
      <c r="BV4515" s="236">
        <v>3821.14</v>
      </c>
      <c r="BW4515" s="236" t="s">
        <v>350</v>
      </c>
      <c r="CL4515" s="236">
        <v>830.05</v>
      </c>
      <c r="CM4515" s="236" t="s">
        <v>355</v>
      </c>
      <c r="CT4515" s="1384"/>
      <c r="CZ4515" s="338"/>
      <c r="DA4515" s="338"/>
      <c r="DP4515" s="236"/>
      <c r="DQ4515" s="236"/>
      <c r="DX4515" s="1671"/>
    </row>
    <row r="4516" spans="38:128">
      <c r="AL4516" s="1037"/>
      <c r="BP4516" s="1385"/>
      <c r="BV4516" s="236">
        <v>3821.15</v>
      </c>
      <c r="BW4516" s="236" t="s">
        <v>350</v>
      </c>
      <c r="CL4516" s="236">
        <v>830.06</v>
      </c>
      <c r="CM4516" s="236" t="s">
        <v>355</v>
      </c>
      <c r="CT4516" s="1384"/>
      <c r="CZ4516" s="338"/>
      <c r="DA4516" s="338"/>
      <c r="DP4516" s="236"/>
      <c r="DQ4516" s="236"/>
      <c r="DX4516" s="1671"/>
    </row>
    <row r="4517" spans="38:128">
      <c r="AL4517" s="1037"/>
      <c r="BP4517" s="1385"/>
      <c r="BV4517" s="236">
        <v>3821.16</v>
      </c>
      <c r="BW4517" s="236" t="s">
        <v>350</v>
      </c>
      <c r="CL4517" s="236">
        <v>830.07</v>
      </c>
      <c r="CM4517" s="236" t="s">
        <v>355</v>
      </c>
      <c r="CT4517" s="1384"/>
      <c r="CZ4517" s="338"/>
      <c r="DA4517" s="338"/>
      <c r="DP4517" s="236"/>
      <c r="DQ4517" s="236"/>
      <c r="DX4517" s="1671"/>
    </row>
    <row r="4518" spans="38:128">
      <c r="AL4518" s="1037"/>
      <c r="BP4518" s="1385"/>
      <c r="BV4518" s="236">
        <v>3821.17</v>
      </c>
      <c r="BW4518" s="236" t="s">
        <v>350</v>
      </c>
      <c r="CL4518" s="236">
        <v>830.08</v>
      </c>
      <c r="CM4518" s="236" t="s">
        <v>355</v>
      </c>
      <c r="CT4518" s="1384"/>
      <c r="CZ4518" s="338"/>
      <c r="DA4518" s="338"/>
      <c r="DP4518" s="236"/>
      <c r="DQ4518" s="236"/>
      <c r="DX4518" s="1671"/>
    </row>
    <row r="4519" spans="38:128">
      <c r="AL4519" s="1037"/>
      <c r="BP4519" s="1385"/>
      <c r="BV4519" s="236">
        <v>3821.18</v>
      </c>
      <c r="BW4519" s="236" t="s">
        <v>350</v>
      </c>
      <c r="CL4519" s="236">
        <v>830.09</v>
      </c>
      <c r="CM4519" s="236" t="s">
        <v>355</v>
      </c>
      <c r="CT4519" s="1384"/>
      <c r="CZ4519" s="338"/>
      <c r="DA4519" s="338"/>
      <c r="DP4519" s="236"/>
      <c r="DQ4519" s="236"/>
      <c r="DX4519" s="1671"/>
    </row>
    <row r="4520" spans="38:128">
      <c r="AL4520" s="1037"/>
      <c r="BP4520" s="1385"/>
      <c r="BV4520" s="236">
        <v>3821.19</v>
      </c>
      <c r="BW4520" s="236" t="s">
        <v>350</v>
      </c>
      <c r="CL4520" s="236">
        <v>832.03</v>
      </c>
      <c r="CM4520" s="236" t="s">
        <v>355</v>
      </c>
      <c r="CT4520" s="1384"/>
      <c r="CZ4520" s="338"/>
      <c r="DA4520" s="338"/>
      <c r="DP4520" s="236"/>
      <c r="DQ4520" s="236"/>
      <c r="DX4520" s="1671"/>
    </row>
    <row r="4521" spans="38:128">
      <c r="AL4521" s="1037"/>
      <c r="BP4521" s="1385"/>
      <c r="BV4521" s="236">
        <v>3821.2</v>
      </c>
      <c r="BW4521" s="236" t="s">
        <v>350</v>
      </c>
      <c r="CL4521" s="236">
        <v>832.05</v>
      </c>
      <c r="CM4521" s="236" t="s">
        <v>355</v>
      </c>
      <c r="CT4521" s="1384"/>
      <c r="CZ4521" s="338"/>
      <c r="DA4521" s="338"/>
      <c r="DP4521" s="236"/>
      <c r="DQ4521" s="236"/>
      <c r="DX4521" s="1671"/>
    </row>
    <row r="4522" spans="38:128">
      <c r="AL4522" s="1037"/>
      <c r="BP4522" s="1385"/>
      <c r="BV4522" s="236">
        <v>3821.21</v>
      </c>
      <c r="BW4522" s="236" t="s">
        <v>350</v>
      </c>
      <c r="CL4522" s="236">
        <v>832.06</v>
      </c>
      <c r="CM4522" s="236" t="s">
        <v>355</v>
      </c>
      <c r="CT4522" s="1384"/>
      <c r="CZ4522" s="338"/>
      <c r="DA4522" s="338"/>
      <c r="DP4522" s="236"/>
      <c r="DQ4522" s="236"/>
      <c r="DX4522" s="1671"/>
    </row>
    <row r="4523" spans="38:128">
      <c r="AL4523" s="1037"/>
      <c r="BP4523" s="1385"/>
      <c r="BV4523" s="236">
        <v>3821.22</v>
      </c>
      <c r="BW4523" s="236" t="s">
        <v>350</v>
      </c>
      <c r="CL4523" s="236">
        <v>832.07</v>
      </c>
      <c r="CM4523" s="236" t="s">
        <v>355</v>
      </c>
      <c r="CT4523" s="1384"/>
      <c r="CZ4523" s="338"/>
      <c r="DA4523" s="338"/>
      <c r="DP4523" s="236"/>
      <c r="DQ4523" s="236"/>
      <c r="DX4523" s="1671"/>
    </row>
    <row r="4524" spans="38:128">
      <c r="AL4524" s="1037"/>
      <c r="BP4524" s="1385"/>
      <c r="BV4524" s="236">
        <v>3821.23</v>
      </c>
      <c r="BW4524" s="236" t="s">
        <v>350</v>
      </c>
      <c r="CL4524" s="236">
        <v>832.09</v>
      </c>
      <c r="CM4524" s="236" t="s">
        <v>355</v>
      </c>
      <c r="CT4524" s="1384"/>
      <c r="CZ4524" s="338"/>
      <c r="DA4524" s="338"/>
      <c r="DP4524" s="236"/>
      <c r="DQ4524" s="236"/>
      <c r="DX4524" s="1671"/>
    </row>
    <row r="4525" spans="38:128">
      <c r="AL4525" s="1037"/>
      <c r="BP4525" s="1385"/>
      <c r="BV4525" s="236">
        <v>3821.24</v>
      </c>
      <c r="BW4525" s="236" t="s">
        <v>350</v>
      </c>
      <c r="CL4525" s="236">
        <v>832.1</v>
      </c>
      <c r="CM4525" s="236" t="s">
        <v>355</v>
      </c>
      <c r="CT4525" s="1384"/>
      <c r="CZ4525" s="338"/>
      <c r="DA4525" s="338"/>
      <c r="DP4525" s="236"/>
      <c r="DQ4525" s="236"/>
      <c r="DX4525" s="1671"/>
    </row>
    <row r="4526" spans="38:128">
      <c r="AL4526" s="1037"/>
      <c r="BP4526" s="1385"/>
      <c r="BV4526" s="236">
        <v>3821.25</v>
      </c>
      <c r="BW4526" s="236" t="s">
        <v>350</v>
      </c>
      <c r="CL4526" s="236">
        <v>832.11</v>
      </c>
      <c r="CM4526" s="236" t="s">
        <v>355</v>
      </c>
      <c r="CT4526" s="1384"/>
      <c r="CZ4526" s="338"/>
      <c r="DA4526" s="338"/>
      <c r="DP4526" s="236"/>
      <c r="DQ4526" s="236"/>
      <c r="DX4526" s="1671"/>
    </row>
    <row r="4527" spans="38:128">
      <c r="AL4527" s="1037"/>
      <c r="BP4527" s="1385"/>
      <c r="BV4527" s="236">
        <v>3821.26</v>
      </c>
      <c r="BW4527" s="236" t="s">
        <v>350</v>
      </c>
      <c r="CL4527" s="236">
        <v>901</v>
      </c>
      <c r="CM4527" s="236" t="s">
        <v>323</v>
      </c>
      <c r="CT4527" s="1384"/>
      <c r="CZ4527" s="338"/>
      <c r="DA4527" s="338"/>
      <c r="DP4527" s="236"/>
      <c r="DQ4527" s="236"/>
      <c r="DX4527" s="1671"/>
    </row>
    <row r="4528" spans="38:128">
      <c r="AL4528" s="1037"/>
      <c r="BP4528" s="1385"/>
      <c r="BV4528" s="236">
        <v>3821.27</v>
      </c>
      <c r="BW4528" s="236" t="s">
        <v>350</v>
      </c>
      <c r="CL4528" s="236">
        <v>901.01</v>
      </c>
      <c r="CM4528" s="236" t="s">
        <v>355</v>
      </c>
      <c r="CT4528" s="1384"/>
      <c r="CZ4528" s="338"/>
      <c r="DA4528" s="338"/>
      <c r="DP4528" s="236"/>
      <c r="DQ4528" s="236"/>
      <c r="DX4528" s="1671"/>
    </row>
    <row r="4529" spans="38:128">
      <c r="AL4529" s="1037"/>
      <c r="BP4529" s="1385"/>
      <c r="BV4529" s="236">
        <v>3821.28</v>
      </c>
      <c r="BW4529" s="236" t="s">
        <v>350</v>
      </c>
      <c r="CL4529" s="338">
        <v>901.02</v>
      </c>
      <c r="CM4529" s="338" t="s">
        <v>289</v>
      </c>
      <c r="CT4529" s="1384"/>
      <c r="CZ4529" s="338"/>
      <c r="DA4529" s="338"/>
      <c r="DP4529" s="236"/>
      <c r="DQ4529" s="236"/>
      <c r="DX4529" s="1671"/>
    </row>
    <row r="4530" spans="38:128">
      <c r="AL4530" s="1037"/>
      <c r="BP4530" s="1385"/>
      <c r="BV4530" s="236">
        <v>3821.29</v>
      </c>
      <c r="BW4530" s="236" t="s">
        <v>350</v>
      </c>
      <c r="CL4530" s="236">
        <v>901.02</v>
      </c>
      <c r="CM4530" s="236" t="s">
        <v>355</v>
      </c>
      <c r="CT4530" s="1384"/>
      <c r="CZ4530" s="338"/>
      <c r="DA4530" s="338"/>
      <c r="DP4530" s="236"/>
      <c r="DQ4530" s="236"/>
      <c r="DX4530" s="1671"/>
    </row>
    <row r="4531" spans="38:128">
      <c r="AL4531" s="1037"/>
      <c r="BP4531" s="1385"/>
      <c r="BV4531" s="236">
        <v>3821.3</v>
      </c>
      <c r="BW4531" s="236" t="s">
        <v>350</v>
      </c>
      <c r="CL4531" s="338">
        <v>901.03</v>
      </c>
      <c r="CM4531" s="338" t="s">
        <v>289</v>
      </c>
      <c r="CT4531" s="1384"/>
      <c r="CZ4531" s="338"/>
      <c r="DA4531" s="338"/>
      <c r="DP4531" s="236"/>
      <c r="DQ4531" s="236"/>
      <c r="DX4531" s="1671"/>
    </row>
    <row r="4532" spans="38:128">
      <c r="AL4532" s="1037"/>
      <c r="BP4532" s="1385"/>
      <c r="BV4532" s="236">
        <v>3822.01</v>
      </c>
      <c r="BW4532" s="236" t="s">
        <v>350</v>
      </c>
      <c r="CL4532" s="338">
        <v>901.04</v>
      </c>
      <c r="CM4532" s="338" t="s">
        <v>289</v>
      </c>
      <c r="CT4532" s="1384"/>
      <c r="CZ4532" s="338"/>
      <c r="DA4532" s="338"/>
      <c r="DP4532" s="236"/>
      <c r="DQ4532" s="236"/>
      <c r="DX4532" s="1671"/>
    </row>
    <row r="4533" spans="38:128">
      <c r="AL4533" s="1037"/>
      <c r="BP4533" s="1385"/>
      <c r="BV4533" s="236">
        <v>3822.02</v>
      </c>
      <c r="BW4533" s="236" t="s">
        <v>350</v>
      </c>
      <c r="CL4533" s="338">
        <v>902</v>
      </c>
      <c r="CM4533" s="338" t="s">
        <v>289</v>
      </c>
      <c r="CT4533" s="1384"/>
      <c r="CZ4533" s="338"/>
      <c r="DA4533" s="338"/>
      <c r="DP4533" s="236"/>
      <c r="DQ4533" s="236"/>
      <c r="DX4533" s="1671"/>
    </row>
    <row r="4534" spans="38:128">
      <c r="AL4534" s="1037"/>
      <c r="BP4534" s="1385"/>
      <c r="BV4534" s="236">
        <v>9800</v>
      </c>
      <c r="BW4534" s="236" t="s">
        <v>350</v>
      </c>
      <c r="CL4534" s="236">
        <v>902.02</v>
      </c>
      <c r="CM4534" s="236" t="s">
        <v>355</v>
      </c>
      <c r="CT4534" s="1384"/>
      <c r="CZ4534" s="338"/>
      <c r="DA4534" s="338"/>
      <c r="DP4534" s="236"/>
      <c r="DQ4534" s="236"/>
      <c r="DX4534" s="1671"/>
    </row>
    <row r="4535" spans="38:128">
      <c r="AL4535" s="1037"/>
      <c r="BP4535" s="1385"/>
      <c r="BV4535" s="236">
        <v>9900</v>
      </c>
      <c r="BW4535" s="236" t="s">
        <v>350</v>
      </c>
      <c r="CL4535" s="236">
        <v>902.03</v>
      </c>
      <c r="CM4535" s="236" t="s">
        <v>355</v>
      </c>
      <c r="CT4535" s="1384"/>
      <c r="CZ4535" s="338"/>
      <c r="DA4535" s="338"/>
      <c r="DP4535" s="236"/>
      <c r="DQ4535" s="236"/>
      <c r="DX4535" s="1671"/>
    </row>
    <row r="4536" spans="38:128">
      <c r="AL4536" s="1037"/>
      <c r="BP4536" s="1385"/>
      <c r="BV4536" s="236">
        <v>101</v>
      </c>
      <c r="BW4536" s="236" t="s">
        <v>346</v>
      </c>
      <c r="CL4536" s="236">
        <v>902.04</v>
      </c>
      <c r="CM4536" s="236" t="s">
        <v>355</v>
      </c>
      <c r="CT4536" s="1384"/>
      <c r="CZ4536" s="338"/>
      <c r="DA4536" s="338"/>
      <c r="DP4536" s="236"/>
      <c r="DQ4536" s="236"/>
      <c r="DX4536" s="1671"/>
    </row>
    <row r="4537" spans="38:128">
      <c r="AL4537" s="1037"/>
      <c r="BP4537" s="1385"/>
      <c r="BV4537" s="236">
        <v>102</v>
      </c>
      <c r="BW4537" s="236" t="s">
        <v>346</v>
      </c>
      <c r="CL4537" s="338">
        <v>903.01</v>
      </c>
      <c r="CM4537" s="338" t="s">
        <v>289</v>
      </c>
      <c r="CT4537" s="1384"/>
      <c r="CZ4537" s="338"/>
      <c r="DA4537" s="338"/>
      <c r="DP4537" s="236"/>
      <c r="DQ4537" s="236"/>
      <c r="DX4537" s="1671"/>
    </row>
    <row r="4538" spans="38:128">
      <c r="AL4538" s="1037"/>
      <c r="BP4538" s="1385"/>
      <c r="BV4538" s="236">
        <v>103.01</v>
      </c>
      <c r="BW4538" s="236" t="s">
        <v>346</v>
      </c>
      <c r="CL4538" s="338">
        <v>903.03</v>
      </c>
      <c r="CM4538" s="338" t="s">
        <v>289</v>
      </c>
      <c r="CT4538" s="1384"/>
      <c r="CZ4538" s="338"/>
      <c r="DA4538" s="338"/>
      <c r="DP4538" s="236"/>
      <c r="DQ4538" s="236"/>
      <c r="DX4538" s="1671"/>
    </row>
    <row r="4539" spans="38:128">
      <c r="AL4539" s="1037"/>
      <c r="BP4539" s="1385"/>
      <c r="BV4539" s="236">
        <v>103.02</v>
      </c>
      <c r="BW4539" s="236" t="s">
        <v>346</v>
      </c>
      <c r="CL4539" s="236">
        <v>903.03</v>
      </c>
      <c r="CM4539" s="236" t="s">
        <v>355</v>
      </c>
      <c r="CT4539" s="1384"/>
      <c r="CZ4539" s="338"/>
      <c r="DA4539" s="338"/>
      <c r="DP4539" s="236"/>
      <c r="DQ4539" s="236"/>
      <c r="DX4539" s="1671"/>
    </row>
    <row r="4540" spans="38:128">
      <c r="AL4540" s="1037"/>
      <c r="BP4540" s="1385"/>
      <c r="BV4540" s="236">
        <v>103.03</v>
      </c>
      <c r="BW4540" s="236" t="s">
        <v>346</v>
      </c>
      <c r="CL4540" s="338">
        <v>903.04</v>
      </c>
      <c r="CM4540" s="338" t="s">
        <v>289</v>
      </c>
      <c r="CT4540" s="1384"/>
      <c r="CZ4540" s="338"/>
      <c r="DA4540" s="338"/>
      <c r="DP4540" s="236"/>
      <c r="DQ4540" s="236"/>
      <c r="DX4540" s="1671"/>
    </row>
    <row r="4541" spans="38:128">
      <c r="AL4541" s="1037"/>
      <c r="BP4541" s="1385"/>
      <c r="BV4541" s="236">
        <v>104</v>
      </c>
      <c r="BW4541" s="236" t="s">
        <v>346</v>
      </c>
      <c r="CL4541" s="236">
        <v>903.04</v>
      </c>
      <c r="CM4541" s="236" t="s">
        <v>355</v>
      </c>
      <c r="CT4541" s="1384"/>
      <c r="CZ4541" s="338"/>
      <c r="DA4541" s="338"/>
      <c r="DP4541" s="236"/>
      <c r="DQ4541" s="236"/>
      <c r="DX4541" s="1671"/>
    </row>
    <row r="4542" spans="38:128">
      <c r="AL4542" s="1037"/>
      <c r="BP4542" s="1385"/>
      <c r="BV4542" s="236">
        <v>105.03</v>
      </c>
      <c r="BW4542" s="236" t="s">
        <v>346</v>
      </c>
      <c r="CL4542" s="236">
        <v>903.05</v>
      </c>
      <c r="CM4542" s="236" t="s">
        <v>355</v>
      </c>
      <c r="CT4542" s="1384"/>
      <c r="CZ4542" s="338"/>
      <c r="DA4542" s="338"/>
      <c r="DP4542" s="236"/>
      <c r="DQ4542" s="236"/>
      <c r="DX4542" s="1671"/>
    </row>
    <row r="4543" spans="38:128">
      <c r="AL4543" s="1037"/>
      <c r="BP4543" s="1385"/>
      <c r="BV4543" s="236">
        <v>105.04</v>
      </c>
      <c r="BW4543" s="236" t="s">
        <v>346</v>
      </c>
      <c r="CL4543" s="236">
        <v>903.06</v>
      </c>
      <c r="CM4543" s="236" t="s">
        <v>355</v>
      </c>
      <c r="CT4543" s="1384"/>
      <c r="CZ4543" s="338"/>
      <c r="DA4543" s="338"/>
      <c r="DP4543" s="236"/>
      <c r="DQ4543" s="236"/>
      <c r="DX4543" s="1671"/>
    </row>
    <row r="4544" spans="38:128">
      <c r="AL4544" s="1037"/>
      <c r="BP4544" s="1385"/>
      <c r="BV4544" s="236">
        <v>105.05</v>
      </c>
      <c r="BW4544" s="236" t="s">
        <v>346</v>
      </c>
      <c r="CL4544" s="236">
        <v>903.07</v>
      </c>
      <c r="CM4544" s="236" t="s">
        <v>355</v>
      </c>
      <c r="CT4544" s="1384"/>
      <c r="CZ4544" s="338"/>
      <c r="DA4544" s="338"/>
      <c r="DP4544" s="236"/>
      <c r="DQ4544" s="236"/>
      <c r="DX4544" s="1671"/>
    </row>
    <row r="4545" spans="38:128">
      <c r="AL4545" s="1037"/>
      <c r="BP4545" s="1385"/>
      <c r="BV4545" s="236">
        <v>105.06</v>
      </c>
      <c r="BW4545" s="236" t="s">
        <v>346</v>
      </c>
      <c r="CL4545" s="338">
        <v>904.01</v>
      </c>
      <c r="CM4545" s="338" t="s">
        <v>289</v>
      </c>
      <c r="CT4545" s="1384"/>
      <c r="CZ4545" s="338"/>
      <c r="DA4545" s="338"/>
      <c r="DP4545" s="236"/>
      <c r="DQ4545" s="236"/>
      <c r="DX4545" s="1671"/>
    </row>
    <row r="4546" spans="38:128">
      <c r="AL4546" s="1037"/>
      <c r="BP4546" s="1385"/>
      <c r="BV4546" s="236">
        <v>106.01</v>
      </c>
      <c r="BW4546" s="236" t="s">
        <v>346</v>
      </c>
      <c r="CL4546" s="236">
        <v>904.01</v>
      </c>
      <c r="CM4546" s="236" t="s">
        <v>355</v>
      </c>
      <c r="CT4546" s="1384"/>
      <c r="CZ4546" s="338"/>
      <c r="DA4546" s="338"/>
      <c r="DP4546" s="236"/>
      <c r="DQ4546" s="236"/>
      <c r="DX4546" s="1671"/>
    </row>
    <row r="4547" spans="38:128">
      <c r="AL4547" s="1037"/>
      <c r="BP4547" s="1385"/>
      <c r="BV4547" s="236">
        <v>106.02</v>
      </c>
      <c r="BW4547" s="236" t="s">
        <v>346</v>
      </c>
      <c r="CL4547" s="236">
        <v>904.02</v>
      </c>
      <c r="CM4547" s="236" t="s">
        <v>355</v>
      </c>
      <c r="CT4547" s="1384"/>
      <c r="CZ4547" s="338"/>
      <c r="DA4547" s="338"/>
      <c r="DP4547" s="236"/>
      <c r="DQ4547" s="236"/>
      <c r="DX4547" s="1671"/>
    </row>
    <row r="4548" spans="38:128">
      <c r="AL4548" s="1037"/>
      <c r="BP4548" s="1385"/>
      <c r="BV4548" s="236">
        <v>107.04</v>
      </c>
      <c r="BW4548" s="236" t="s">
        <v>346</v>
      </c>
      <c r="CL4548" s="338">
        <v>904.03</v>
      </c>
      <c r="CM4548" s="338" t="s">
        <v>289</v>
      </c>
      <c r="CT4548" s="1384"/>
      <c r="CZ4548" s="338"/>
      <c r="DA4548" s="338"/>
      <c r="DP4548" s="236"/>
      <c r="DQ4548" s="236"/>
      <c r="DX4548" s="1671"/>
    </row>
    <row r="4549" spans="38:128">
      <c r="AL4549" s="1037"/>
      <c r="BP4549" s="1385"/>
      <c r="BV4549" s="236">
        <v>107.05</v>
      </c>
      <c r="BW4549" s="236" t="s">
        <v>346</v>
      </c>
      <c r="CL4549" s="338">
        <v>904.04</v>
      </c>
      <c r="CM4549" s="338" t="s">
        <v>289</v>
      </c>
      <c r="CT4549" s="1384"/>
      <c r="CZ4549" s="338"/>
      <c r="DA4549" s="338"/>
      <c r="DP4549" s="236"/>
      <c r="DQ4549" s="236"/>
      <c r="DX4549" s="1671"/>
    </row>
    <row r="4550" spans="38:128">
      <c r="AL4550" s="1037"/>
      <c r="BP4550" s="1385"/>
      <c r="BV4550" s="236">
        <v>107.07</v>
      </c>
      <c r="BW4550" s="236" t="s">
        <v>346</v>
      </c>
      <c r="CL4550" s="236">
        <v>905</v>
      </c>
      <c r="CM4550" s="236" t="s">
        <v>355</v>
      </c>
      <c r="CT4550" s="1384"/>
      <c r="CZ4550" s="338"/>
      <c r="DA4550" s="338"/>
      <c r="DP4550" s="236"/>
      <c r="DQ4550" s="236"/>
      <c r="DX4550" s="1671"/>
    </row>
    <row r="4551" spans="38:128">
      <c r="AL4551" s="1037"/>
      <c r="BP4551" s="1385"/>
      <c r="BV4551" s="236">
        <v>107.08</v>
      </c>
      <c r="BW4551" s="236" t="s">
        <v>346</v>
      </c>
      <c r="CL4551" s="338">
        <v>905.02</v>
      </c>
      <c r="CM4551" s="338" t="s">
        <v>289</v>
      </c>
      <c r="CT4551" s="1384"/>
      <c r="CZ4551" s="338"/>
      <c r="DA4551" s="338"/>
      <c r="DP4551" s="236"/>
      <c r="DQ4551" s="236"/>
      <c r="DX4551" s="1671"/>
    </row>
    <row r="4552" spans="38:128">
      <c r="AL4552" s="1037"/>
      <c r="BP4552" s="1385"/>
      <c r="BV4552" s="236">
        <v>107.09</v>
      </c>
      <c r="BW4552" s="236" t="s">
        <v>346</v>
      </c>
      <c r="CL4552" s="338">
        <v>905.03</v>
      </c>
      <c r="CM4552" s="338" t="s">
        <v>289</v>
      </c>
      <c r="CT4552" s="1384"/>
      <c r="CZ4552" s="338"/>
      <c r="DA4552" s="338"/>
      <c r="DP4552" s="236"/>
      <c r="DQ4552" s="236"/>
      <c r="DX4552" s="1671"/>
    </row>
    <row r="4553" spans="38:128">
      <c r="AL4553" s="1037"/>
      <c r="BP4553" s="1385"/>
      <c r="BV4553" s="236">
        <v>107.1</v>
      </c>
      <c r="BW4553" s="236" t="s">
        <v>346</v>
      </c>
      <c r="CL4553" s="338">
        <v>905.04</v>
      </c>
      <c r="CM4553" s="338" t="s">
        <v>289</v>
      </c>
      <c r="CT4553" s="1384"/>
      <c r="CZ4553" s="338"/>
      <c r="DA4553" s="338"/>
      <c r="DP4553" s="236"/>
      <c r="DQ4553" s="236"/>
      <c r="DX4553" s="1671"/>
    </row>
    <row r="4554" spans="38:128">
      <c r="AL4554" s="1037"/>
      <c r="BP4554" s="1385"/>
      <c r="BV4554" s="236">
        <v>107.11</v>
      </c>
      <c r="BW4554" s="236" t="s">
        <v>346</v>
      </c>
      <c r="CL4554" s="236">
        <v>906</v>
      </c>
      <c r="CM4554" s="236" t="s">
        <v>355</v>
      </c>
      <c r="CT4554" s="1384"/>
      <c r="CZ4554" s="338"/>
      <c r="DA4554" s="338"/>
      <c r="DP4554" s="236"/>
      <c r="DQ4554" s="236"/>
      <c r="DX4554" s="1671"/>
    </row>
    <row r="4555" spans="38:128">
      <c r="AL4555" s="1037"/>
      <c r="BP4555" s="1385"/>
      <c r="BV4555" s="236">
        <v>107.12</v>
      </c>
      <c r="BW4555" s="236" t="s">
        <v>346</v>
      </c>
      <c r="CL4555" s="338">
        <v>906.01</v>
      </c>
      <c r="CM4555" s="338" t="s">
        <v>289</v>
      </c>
      <c r="CT4555" s="1384"/>
      <c r="CZ4555" s="338"/>
      <c r="DA4555" s="338"/>
      <c r="DP4555" s="236"/>
      <c r="DQ4555" s="236"/>
      <c r="DX4555" s="1671"/>
    </row>
    <row r="4556" spans="38:128">
      <c r="AL4556" s="1037"/>
      <c r="BP4556" s="1385"/>
      <c r="BV4556" s="236">
        <v>108.02</v>
      </c>
      <c r="BW4556" s="236" t="s">
        <v>346</v>
      </c>
      <c r="CL4556" s="338">
        <v>906.02</v>
      </c>
      <c r="CM4556" s="338" t="s">
        <v>289</v>
      </c>
      <c r="CT4556" s="1384"/>
      <c r="CZ4556" s="338"/>
      <c r="DA4556" s="338"/>
      <c r="DP4556" s="236"/>
      <c r="DQ4556" s="236"/>
      <c r="DX4556" s="1671"/>
    </row>
    <row r="4557" spans="38:128">
      <c r="AL4557" s="1037"/>
      <c r="BP4557" s="1385"/>
      <c r="BV4557" s="236">
        <v>108.08</v>
      </c>
      <c r="BW4557" s="236" t="s">
        <v>346</v>
      </c>
      <c r="CL4557" s="338">
        <v>907</v>
      </c>
      <c r="CM4557" s="338" t="s">
        <v>289</v>
      </c>
      <c r="CT4557" s="1384"/>
      <c r="CZ4557" s="338"/>
      <c r="DA4557" s="338"/>
      <c r="DP4557" s="236"/>
      <c r="DQ4557" s="236"/>
      <c r="DX4557" s="1671"/>
    </row>
    <row r="4558" spans="38:128">
      <c r="AL4558" s="1037"/>
      <c r="BP4558" s="1385"/>
      <c r="BV4558" s="236">
        <v>108.09</v>
      </c>
      <c r="BW4558" s="236" t="s">
        <v>346</v>
      </c>
      <c r="CL4558" s="236">
        <v>907.01</v>
      </c>
      <c r="CM4558" s="236" t="s">
        <v>355</v>
      </c>
      <c r="CT4558" s="1384"/>
      <c r="CZ4558" s="338"/>
      <c r="DA4558" s="338"/>
      <c r="DP4558" s="236"/>
      <c r="DQ4558" s="236"/>
      <c r="DX4558" s="1671"/>
    </row>
    <row r="4559" spans="38:128">
      <c r="AL4559" s="1037"/>
      <c r="BP4559" s="1385"/>
      <c r="BV4559" s="236">
        <v>108.12</v>
      </c>
      <c r="BW4559" s="236" t="s">
        <v>346</v>
      </c>
      <c r="CL4559" s="236">
        <v>907.02</v>
      </c>
      <c r="CM4559" s="236" t="s">
        <v>355</v>
      </c>
      <c r="CT4559" s="1384"/>
      <c r="CZ4559" s="338"/>
      <c r="DA4559" s="338"/>
      <c r="DP4559" s="236"/>
      <c r="DQ4559" s="236"/>
      <c r="DX4559" s="1671"/>
    </row>
    <row r="4560" spans="38:128">
      <c r="AL4560" s="1037"/>
      <c r="BP4560" s="1385"/>
      <c r="BV4560" s="236">
        <v>108.13</v>
      </c>
      <c r="BW4560" s="236" t="s">
        <v>346</v>
      </c>
      <c r="CL4560" s="338">
        <v>908.01</v>
      </c>
      <c r="CM4560" s="338" t="s">
        <v>289</v>
      </c>
      <c r="CT4560" s="1384"/>
      <c r="CZ4560" s="338"/>
      <c r="DA4560" s="338"/>
      <c r="DP4560" s="236"/>
      <c r="DQ4560" s="236"/>
      <c r="DX4560" s="1671"/>
    </row>
    <row r="4561" spans="38:128">
      <c r="AL4561" s="1037"/>
      <c r="BP4561" s="1385"/>
      <c r="BV4561" s="236">
        <v>108.14</v>
      </c>
      <c r="BW4561" s="236" t="s">
        <v>346</v>
      </c>
      <c r="CL4561" s="338">
        <v>908.02</v>
      </c>
      <c r="CM4561" s="338" t="s">
        <v>289</v>
      </c>
      <c r="CT4561" s="1384"/>
      <c r="CZ4561" s="338"/>
      <c r="DA4561" s="338"/>
      <c r="DP4561" s="236"/>
      <c r="DQ4561" s="236"/>
      <c r="DX4561" s="1671"/>
    </row>
    <row r="4562" spans="38:128">
      <c r="AL4562" s="1037"/>
      <c r="BP4562" s="1385"/>
      <c r="BV4562" s="236">
        <v>108.2</v>
      </c>
      <c r="BW4562" s="236" t="s">
        <v>346</v>
      </c>
      <c r="CL4562" s="236">
        <v>908.03</v>
      </c>
      <c r="CM4562" s="236" t="s">
        <v>355</v>
      </c>
      <c r="CT4562" s="1384"/>
      <c r="CZ4562" s="338"/>
      <c r="DA4562" s="338"/>
      <c r="DP4562" s="236"/>
      <c r="DQ4562" s="236"/>
      <c r="DX4562" s="1671"/>
    </row>
    <row r="4563" spans="38:128">
      <c r="AL4563" s="1037"/>
      <c r="BP4563" s="1385"/>
      <c r="BV4563" s="236">
        <v>108.21</v>
      </c>
      <c r="BW4563" s="236" t="s">
        <v>346</v>
      </c>
      <c r="CL4563" s="236">
        <v>908.04</v>
      </c>
      <c r="CM4563" s="236" t="s">
        <v>355</v>
      </c>
      <c r="CT4563" s="1384"/>
      <c r="CZ4563" s="338"/>
      <c r="DA4563" s="338"/>
      <c r="DP4563" s="236"/>
      <c r="DQ4563" s="236"/>
      <c r="DX4563" s="1671"/>
    </row>
    <row r="4564" spans="38:128">
      <c r="AL4564" s="1037"/>
      <c r="BP4564" s="1385"/>
      <c r="BV4564" s="236">
        <v>108.22</v>
      </c>
      <c r="BW4564" s="236" t="s">
        <v>346</v>
      </c>
      <c r="CL4564" s="236">
        <v>908.06</v>
      </c>
      <c r="CM4564" s="236" t="s">
        <v>355</v>
      </c>
      <c r="CT4564" s="1384"/>
      <c r="CZ4564" s="338"/>
      <c r="DA4564" s="338"/>
      <c r="DP4564" s="236"/>
      <c r="DQ4564" s="236"/>
      <c r="DX4564" s="1671"/>
    </row>
    <row r="4565" spans="38:128">
      <c r="AL4565" s="1037"/>
      <c r="BP4565" s="1385"/>
      <c r="BV4565" s="236">
        <v>108.23</v>
      </c>
      <c r="BW4565" s="236" t="s">
        <v>346</v>
      </c>
      <c r="CL4565" s="236">
        <v>908.07</v>
      </c>
      <c r="CM4565" s="236" t="s">
        <v>355</v>
      </c>
      <c r="CT4565" s="1384"/>
      <c r="CZ4565" s="338"/>
      <c r="DA4565" s="338"/>
      <c r="DP4565" s="236"/>
      <c r="DQ4565" s="236"/>
      <c r="DX4565" s="1671"/>
    </row>
    <row r="4566" spans="38:128">
      <c r="AL4566" s="1037"/>
      <c r="BP4566" s="1385"/>
      <c r="BV4566" s="236">
        <v>108.24</v>
      </c>
      <c r="BW4566" s="236" t="s">
        <v>346</v>
      </c>
      <c r="CL4566" s="236">
        <v>908.08</v>
      </c>
      <c r="CM4566" s="236" t="s">
        <v>355</v>
      </c>
      <c r="CT4566" s="1384"/>
      <c r="CZ4566" s="338"/>
      <c r="DA4566" s="338"/>
      <c r="DP4566" s="236"/>
      <c r="DQ4566" s="236"/>
      <c r="DX4566" s="1671"/>
    </row>
    <row r="4567" spans="38:128">
      <c r="AL4567" s="1037"/>
      <c r="BP4567" s="1385"/>
      <c r="BV4567" s="236">
        <v>108.25</v>
      </c>
      <c r="BW4567" s="236" t="s">
        <v>346</v>
      </c>
      <c r="CL4567" s="338">
        <v>909</v>
      </c>
      <c r="CM4567" s="338" t="s">
        <v>289</v>
      </c>
      <c r="CT4567" s="1384"/>
      <c r="CZ4567" s="338"/>
      <c r="DA4567" s="338"/>
      <c r="DP4567" s="236"/>
      <c r="DQ4567" s="236"/>
      <c r="DX4567" s="1671"/>
    </row>
    <row r="4568" spans="38:128">
      <c r="AL4568" s="1037"/>
      <c r="BP4568" s="1385"/>
      <c r="BV4568" s="236">
        <v>108.26</v>
      </c>
      <c r="BW4568" s="236" t="s">
        <v>346</v>
      </c>
      <c r="CL4568" s="236">
        <v>909.03</v>
      </c>
      <c r="CM4568" s="236" t="s">
        <v>355</v>
      </c>
      <c r="CT4568" s="1384"/>
      <c r="CZ4568" s="338"/>
      <c r="DA4568" s="338"/>
      <c r="DP4568" s="236"/>
      <c r="DQ4568" s="236"/>
      <c r="DX4568" s="1671"/>
    </row>
    <row r="4569" spans="38:128">
      <c r="AL4569" s="1037"/>
      <c r="BP4569" s="1385"/>
      <c r="BV4569" s="236">
        <v>108.27</v>
      </c>
      <c r="BW4569" s="236" t="s">
        <v>346</v>
      </c>
      <c r="CL4569" s="236">
        <v>909.04</v>
      </c>
      <c r="CM4569" s="236" t="s">
        <v>355</v>
      </c>
      <c r="CT4569" s="1384"/>
      <c r="CZ4569" s="338"/>
      <c r="DA4569" s="338"/>
      <c r="DP4569" s="236"/>
      <c r="DQ4569" s="236"/>
      <c r="DX4569" s="1671"/>
    </row>
    <row r="4570" spans="38:128">
      <c r="AL4570" s="1037"/>
      <c r="BP4570" s="1385"/>
      <c r="BV4570" s="236">
        <v>108.28</v>
      </c>
      <c r="BW4570" s="236" t="s">
        <v>346</v>
      </c>
      <c r="CL4570" s="236">
        <v>909.05</v>
      </c>
      <c r="CM4570" s="236" t="s">
        <v>355</v>
      </c>
      <c r="CT4570" s="1384"/>
      <c r="CZ4570" s="338"/>
      <c r="DA4570" s="338"/>
      <c r="DP4570" s="236"/>
      <c r="DQ4570" s="236"/>
      <c r="DX4570" s="1671"/>
    </row>
    <row r="4571" spans="38:128">
      <c r="AL4571" s="1037"/>
      <c r="BP4571" s="1385"/>
      <c r="BV4571" s="236">
        <v>109</v>
      </c>
      <c r="BW4571" s="236" t="s">
        <v>346</v>
      </c>
      <c r="CL4571" s="236">
        <v>909.06</v>
      </c>
      <c r="CM4571" s="236" t="s">
        <v>355</v>
      </c>
      <c r="CT4571" s="1384"/>
      <c r="CZ4571" s="338"/>
      <c r="DA4571" s="338"/>
      <c r="DP4571" s="236"/>
      <c r="DQ4571" s="236"/>
      <c r="DX4571" s="1671"/>
    </row>
    <row r="4572" spans="38:128">
      <c r="AL4572" s="1037"/>
      <c r="BP4572" s="1385"/>
      <c r="BV4572" s="236">
        <v>9900</v>
      </c>
      <c r="BW4572" s="236" t="s">
        <v>346</v>
      </c>
      <c r="CL4572" s="338">
        <v>910</v>
      </c>
      <c r="CM4572" s="338" t="s">
        <v>289</v>
      </c>
      <c r="CT4572" s="1384"/>
      <c r="CZ4572" s="338"/>
      <c r="DA4572" s="338"/>
      <c r="DP4572" s="236"/>
      <c r="DQ4572" s="236"/>
      <c r="DX4572" s="1671"/>
    </row>
    <row r="4573" spans="38:128">
      <c r="AL4573" s="1037"/>
      <c r="BP4573" s="1385"/>
      <c r="BV4573" s="236">
        <v>1.02</v>
      </c>
      <c r="BW4573" s="236" t="s">
        <v>347</v>
      </c>
      <c r="CL4573" s="236">
        <v>910.01</v>
      </c>
      <c r="CM4573" s="236" t="s">
        <v>355</v>
      </c>
      <c r="CT4573" s="1384"/>
      <c r="CZ4573" s="338"/>
      <c r="DA4573" s="338"/>
      <c r="DP4573" s="236"/>
      <c r="DQ4573" s="236"/>
      <c r="DX4573" s="1671"/>
    </row>
    <row r="4574" spans="38:128">
      <c r="AL4574" s="1037"/>
      <c r="BP4574" s="1385"/>
      <c r="BV4574" s="236">
        <v>1.03</v>
      </c>
      <c r="BW4574" s="236" t="s">
        <v>347</v>
      </c>
      <c r="CL4574" s="236">
        <v>910.05</v>
      </c>
      <c r="CM4574" s="236" t="s">
        <v>355</v>
      </c>
      <c r="CT4574" s="1384"/>
      <c r="CZ4574" s="338"/>
      <c r="DA4574" s="338"/>
      <c r="DP4574" s="236"/>
      <c r="DQ4574" s="236"/>
      <c r="DX4574" s="1671"/>
    </row>
    <row r="4575" spans="38:128">
      <c r="AL4575" s="1037"/>
      <c r="BP4575" s="1385"/>
      <c r="BV4575" s="236">
        <v>1.04</v>
      </c>
      <c r="BW4575" s="236" t="s">
        <v>347</v>
      </c>
      <c r="CL4575" s="236">
        <v>910.15</v>
      </c>
      <c r="CM4575" s="236" t="s">
        <v>355</v>
      </c>
      <c r="CT4575" s="1384"/>
      <c r="CZ4575" s="338"/>
      <c r="DA4575" s="338"/>
      <c r="DP4575" s="236"/>
      <c r="DQ4575" s="236"/>
      <c r="DX4575" s="1671"/>
    </row>
    <row r="4576" spans="38:128">
      <c r="AL4576" s="1037"/>
      <c r="BP4576" s="1385"/>
      <c r="BV4576" s="236">
        <v>2</v>
      </c>
      <c r="BW4576" s="236" t="s">
        <v>347</v>
      </c>
      <c r="CL4576" s="236">
        <v>910.16</v>
      </c>
      <c r="CM4576" s="236" t="s">
        <v>355</v>
      </c>
      <c r="CT4576" s="1384"/>
      <c r="CZ4576" s="338"/>
      <c r="DA4576" s="338"/>
      <c r="DP4576" s="236"/>
      <c r="DQ4576" s="236"/>
      <c r="DX4576" s="1671"/>
    </row>
    <row r="4577" spans="38:128">
      <c r="AL4577" s="1037"/>
      <c r="BP4577" s="1385"/>
      <c r="BV4577" s="236">
        <v>3</v>
      </c>
      <c r="BW4577" s="236" t="s">
        <v>347</v>
      </c>
      <c r="CL4577" s="236">
        <v>910.17</v>
      </c>
      <c r="CM4577" s="236" t="s">
        <v>355</v>
      </c>
      <c r="CT4577" s="1384"/>
      <c r="CZ4577" s="338"/>
      <c r="DA4577" s="338"/>
      <c r="DP4577" s="236"/>
      <c r="DQ4577" s="236"/>
      <c r="DX4577" s="1671"/>
    </row>
    <row r="4578" spans="38:128">
      <c r="AL4578" s="1037"/>
      <c r="BP4578" s="1385"/>
      <c r="BV4578" s="236">
        <v>4.01</v>
      </c>
      <c r="BW4578" s="236" t="s">
        <v>347</v>
      </c>
      <c r="CL4578" s="236">
        <v>910.18</v>
      </c>
      <c r="CM4578" s="236" t="s">
        <v>355</v>
      </c>
      <c r="CT4578" s="1384"/>
      <c r="CZ4578" s="338"/>
      <c r="DA4578" s="338"/>
      <c r="DP4578" s="236"/>
      <c r="DQ4578" s="236"/>
      <c r="DX4578" s="1671"/>
    </row>
    <row r="4579" spans="38:128">
      <c r="AL4579" s="1037"/>
      <c r="BP4579" s="1385"/>
      <c r="BV4579" s="236">
        <v>4.04</v>
      </c>
      <c r="BW4579" s="236" t="s">
        <v>347</v>
      </c>
      <c r="CL4579" s="236">
        <v>910.19</v>
      </c>
      <c r="CM4579" s="236" t="s">
        <v>355</v>
      </c>
      <c r="CT4579" s="1384"/>
      <c r="CZ4579" s="338"/>
      <c r="DA4579" s="338"/>
      <c r="DP4579" s="236"/>
      <c r="DQ4579" s="236"/>
      <c r="DX4579" s="1671"/>
    </row>
    <row r="4580" spans="38:128">
      <c r="AL4580" s="1037"/>
      <c r="BP4580" s="1385"/>
      <c r="BV4580" s="236">
        <v>4.05</v>
      </c>
      <c r="BW4580" s="236" t="s">
        <v>347</v>
      </c>
      <c r="CL4580" s="236">
        <v>910.2</v>
      </c>
      <c r="CM4580" s="236" t="s">
        <v>355</v>
      </c>
      <c r="CT4580" s="1384"/>
      <c r="CZ4580" s="338"/>
      <c r="DA4580" s="338"/>
      <c r="DP4580" s="236"/>
      <c r="DQ4580" s="236"/>
      <c r="DX4580" s="1671"/>
    </row>
    <row r="4581" spans="38:128">
      <c r="AL4581" s="1037"/>
      <c r="BP4581" s="1385"/>
      <c r="BV4581" s="236">
        <v>4.0599999999999996</v>
      </c>
      <c r="BW4581" s="236" t="s">
        <v>347</v>
      </c>
      <c r="CL4581" s="236">
        <v>910.21</v>
      </c>
      <c r="CM4581" s="236" t="s">
        <v>355</v>
      </c>
      <c r="CT4581" s="1384"/>
      <c r="CZ4581" s="338"/>
      <c r="DA4581" s="338"/>
      <c r="DP4581" s="236"/>
      <c r="DQ4581" s="236"/>
      <c r="DX4581" s="1671"/>
    </row>
    <row r="4582" spans="38:128">
      <c r="AL4582" s="1037"/>
      <c r="BP4582" s="1385"/>
      <c r="BV4582" s="236">
        <v>4.07</v>
      </c>
      <c r="BW4582" s="236" t="s">
        <v>347</v>
      </c>
      <c r="CL4582" s="236">
        <v>910.23</v>
      </c>
      <c r="CM4582" s="236" t="s">
        <v>355</v>
      </c>
      <c r="CT4582" s="1384"/>
      <c r="CZ4582" s="338"/>
      <c r="DA4582" s="338"/>
      <c r="DP4582" s="236"/>
      <c r="DQ4582" s="236"/>
      <c r="DX4582" s="1671"/>
    </row>
    <row r="4583" spans="38:128">
      <c r="AL4583" s="1037"/>
      <c r="BP4583" s="1385"/>
      <c r="BV4583" s="236">
        <v>5.01</v>
      </c>
      <c r="BW4583" s="236" t="s">
        <v>347</v>
      </c>
      <c r="CL4583" s="236">
        <v>910.25</v>
      </c>
      <c r="CM4583" s="236" t="s">
        <v>355</v>
      </c>
      <c r="CT4583" s="1384"/>
      <c r="CZ4583" s="338"/>
      <c r="DA4583" s="338"/>
      <c r="DP4583" s="236"/>
      <c r="DQ4583" s="236"/>
      <c r="DX4583" s="1671"/>
    </row>
    <row r="4584" spans="38:128">
      <c r="AL4584" s="1037"/>
      <c r="BP4584" s="1385"/>
      <c r="BV4584" s="236">
        <v>5.0199999999999996</v>
      </c>
      <c r="BW4584" s="236" t="s">
        <v>347</v>
      </c>
      <c r="CL4584" s="236">
        <v>910.28</v>
      </c>
      <c r="CM4584" s="236" t="s">
        <v>355</v>
      </c>
      <c r="CT4584" s="1384"/>
      <c r="CZ4584" s="338"/>
      <c r="DA4584" s="338"/>
      <c r="DP4584" s="236"/>
      <c r="DQ4584" s="236"/>
      <c r="DX4584" s="1671"/>
    </row>
    <row r="4585" spans="38:128">
      <c r="AL4585" s="1037"/>
      <c r="BP4585" s="1385"/>
      <c r="BV4585" s="236">
        <v>5.03</v>
      </c>
      <c r="BW4585" s="236" t="s">
        <v>347</v>
      </c>
      <c r="CL4585" s="236">
        <v>910.29</v>
      </c>
      <c r="CM4585" s="236" t="s">
        <v>355</v>
      </c>
      <c r="CT4585" s="1384"/>
      <c r="CZ4585" s="338"/>
      <c r="DA4585" s="338"/>
      <c r="DP4585" s="236"/>
      <c r="DQ4585" s="236"/>
      <c r="DX4585" s="1671"/>
    </row>
    <row r="4586" spans="38:128">
      <c r="AL4586" s="1037"/>
      <c r="BP4586" s="1385"/>
      <c r="BV4586" s="236">
        <v>6.01</v>
      </c>
      <c r="BW4586" s="236" t="s">
        <v>347</v>
      </c>
      <c r="CL4586" s="236">
        <v>910.3</v>
      </c>
      <c r="CM4586" s="236" t="s">
        <v>355</v>
      </c>
      <c r="CT4586" s="1384"/>
      <c r="CZ4586" s="338"/>
      <c r="DA4586" s="338"/>
      <c r="DP4586" s="236"/>
      <c r="DQ4586" s="236"/>
      <c r="DX4586" s="1671"/>
    </row>
    <row r="4587" spans="38:128">
      <c r="AL4587" s="1037"/>
      <c r="BP4587" s="1385"/>
      <c r="BV4587" s="236">
        <v>6.02</v>
      </c>
      <c r="BW4587" s="236" t="s">
        <v>347</v>
      </c>
      <c r="CL4587" s="236">
        <v>910.31</v>
      </c>
      <c r="CM4587" s="236" t="s">
        <v>355</v>
      </c>
      <c r="CT4587" s="1384"/>
      <c r="CZ4587" s="338"/>
      <c r="DA4587" s="338"/>
      <c r="DP4587" s="236"/>
      <c r="DQ4587" s="236"/>
      <c r="DX4587" s="1671"/>
    </row>
    <row r="4588" spans="38:128">
      <c r="AL4588" s="1037"/>
      <c r="BP4588" s="1385"/>
      <c r="BV4588" s="236">
        <v>7</v>
      </c>
      <c r="BW4588" s="236" t="s">
        <v>347</v>
      </c>
      <c r="CL4588" s="236">
        <v>910.32</v>
      </c>
      <c r="CM4588" s="236" t="s">
        <v>355</v>
      </c>
      <c r="CT4588" s="1384"/>
      <c r="CZ4588" s="338"/>
      <c r="DA4588" s="338"/>
      <c r="DP4588" s="236"/>
      <c r="DQ4588" s="236"/>
      <c r="DX4588" s="1671"/>
    </row>
    <row r="4589" spans="38:128">
      <c r="AL4589" s="1037"/>
      <c r="BP4589" s="1385"/>
      <c r="BV4589" s="236">
        <v>8.01</v>
      </c>
      <c r="BW4589" s="236" t="s">
        <v>347</v>
      </c>
      <c r="CL4589" s="236">
        <v>910.33</v>
      </c>
      <c r="CM4589" s="236" t="s">
        <v>355</v>
      </c>
      <c r="CT4589" s="1384"/>
      <c r="CZ4589" s="338"/>
      <c r="DA4589" s="338"/>
      <c r="DP4589" s="236"/>
      <c r="DQ4589" s="236"/>
      <c r="DX4589" s="1671"/>
    </row>
    <row r="4590" spans="38:128">
      <c r="AL4590" s="1037"/>
      <c r="BP4590" s="1385"/>
      <c r="BV4590" s="236">
        <v>8.02</v>
      </c>
      <c r="BW4590" s="236" t="s">
        <v>347</v>
      </c>
      <c r="CL4590" s="236">
        <v>910.34</v>
      </c>
      <c r="CM4590" s="236" t="s">
        <v>355</v>
      </c>
      <c r="CT4590" s="1384"/>
      <c r="CZ4590" s="338"/>
      <c r="DA4590" s="338"/>
      <c r="DP4590" s="236"/>
      <c r="DQ4590" s="236"/>
      <c r="DX4590" s="1671"/>
    </row>
    <row r="4591" spans="38:128">
      <c r="AL4591" s="1037"/>
      <c r="BP4591" s="1385"/>
      <c r="BV4591" s="236">
        <v>9</v>
      </c>
      <c r="BW4591" s="236" t="s">
        <v>347</v>
      </c>
      <c r="CL4591" s="236">
        <v>910.35</v>
      </c>
      <c r="CM4591" s="236" t="s">
        <v>355</v>
      </c>
      <c r="CT4591" s="1384"/>
      <c r="CZ4591" s="338"/>
      <c r="DA4591" s="338"/>
      <c r="DP4591" s="236"/>
      <c r="DQ4591" s="236"/>
      <c r="DX4591" s="1671"/>
    </row>
    <row r="4592" spans="38:128">
      <c r="AL4592" s="1037"/>
      <c r="BP4592" s="1385"/>
      <c r="BV4592" s="236">
        <v>10</v>
      </c>
      <c r="BW4592" s="236" t="s">
        <v>347</v>
      </c>
      <c r="CL4592" s="236">
        <v>910.36</v>
      </c>
      <c r="CM4592" s="236" t="s">
        <v>355</v>
      </c>
      <c r="CT4592" s="1384"/>
      <c r="CZ4592" s="338"/>
      <c r="DA4592" s="338"/>
      <c r="DP4592" s="236"/>
      <c r="DQ4592" s="236"/>
      <c r="DX4592" s="1671"/>
    </row>
    <row r="4593" spans="38:128">
      <c r="AL4593" s="1037"/>
      <c r="BP4593" s="1385"/>
      <c r="BV4593" s="236">
        <v>11.01</v>
      </c>
      <c r="BW4593" s="236" t="s">
        <v>347</v>
      </c>
      <c r="CL4593" s="236">
        <v>910.37</v>
      </c>
      <c r="CM4593" s="236" t="s">
        <v>355</v>
      </c>
      <c r="CT4593" s="1384"/>
      <c r="CZ4593" s="338"/>
      <c r="DA4593" s="338"/>
      <c r="DP4593" s="236"/>
      <c r="DQ4593" s="236"/>
      <c r="DX4593" s="1671"/>
    </row>
    <row r="4594" spans="38:128">
      <c r="AL4594" s="1037"/>
      <c r="BP4594" s="1385"/>
      <c r="BV4594" s="236">
        <v>11.02</v>
      </c>
      <c r="BW4594" s="236" t="s">
        <v>347</v>
      </c>
      <c r="CL4594" s="236">
        <v>910.38</v>
      </c>
      <c r="CM4594" s="236" t="s">
        <v>355</v>
      </c>
      <c r="CT4594" s="1384"/>
      <c r="CZ4594" s="338"/>
      <c r="DA4594" s="338"/>
      <c r="DP4594" s="236"/>
      <c r="DQ4594" s="236"/>
      <c r="DX4594" s="1671"/>
    </row>
    <row r="4595" spans="38:128">
      <c r="AL4595" s="1037"/>
      <c r="BP4595" s="1385"/>
      <c r="BV4595" s="236">
        <v>12.02</v>
      </c>
      <c r="BW4595" s="236" t="s">
        <v>347</v>
      </c>
      <c r="CL4595" s="236">
        <v>910.39</v>
      </c>
      <c r="CM4595" s="236" t="s">
        <v>355</v>
      </c>
      <c r="CT4595" s="1384"/>
      <c r="CZ4595" s="338"/>
      <c r="DA4595" s="338"/>
      <c r="DP4595" s="236"/>
      <c r="DQ4595" s="236"/>
      <c r="DX4595" s="1671"/>
    </row>
    <row r="4596" spans="38:128">
      <c r="AL4596" s="1037"/>
      <c r="BP4596" s="1385"/>
      <c r="BV4596" s="236">
        <v>12.03</v>
      </c>
      <c r="BW4596" s="236" t="s">
        <v>347</v>
      </c>
      <c r="CL4596" s="338">
        <v>911</v>
      </c>
      <c r="CM4596" s="338" t="s">
        <v>289</v>
      </c>
      <c r="CT4596" s="1384"/>
      <c r="CZ4596" s="338"/>
      <c r="DA4596" s="338"/>
      <c r="DP4596" s="236"/>
      <c r="DQ4596" s="236"/>
      <c r="DX4596" s="1671"/>
    </row>
    <row r="4597" spans="38:128">
      <c r="AL4597" s="1037"/>
      <c r="BP4597" s="1385"/>
      <c r="BV4597" s="236">
        <v>12.04</v>
      </c>
      <c r="BW4597" s="236" t="s">
        <v>347</v>
      </c>
      <c r="CL4597" s="338">
        <v>912.01</v>
      </c>
      <c r="CM4597" s="338" t="s">
        <v>289</v>
      </c>
      <c r="CT4597" s="1384"/>
      <c r="CZ4597" s="338"/>
      <c r="DA4597" s="338"/>
      <c r="DP4597" s="236"/>
      <c r="DQ4597" s="236"/>
      <c r="DX4597" s="1671"/>
    </row>
    <row r="4598" spans="38:128">
      <c r="AL4598" s="1037"/>
      <c r="BP4598" s="1385"/>
      <c r="BV4598" s="236">
        <v>12.05</v>
      </c>
      <c r="BW4598" s="236" t="s">
        <v>347</v>
      </c>
      <c r="CL4598" s="338">
        <v>912.02</v>
      </c>
      <c r="CM4598" s="338" t="s">
        <v>289</v>
      </c>
      <c r="CT4598" s="1384"/>
      <c r="CZ4598" s="338"/>
      <c r="DA4598" s="338"/>
      <c r="DP4598" s="236"/>
      <c r="DQ4598" s="236"/>
      <c r="DX4598" s="1671"/>
    </row>
    <row r="4599" spans="38:128">
      <c r="AL4599" s="1037"/>
      <c r="BP4599" s="1385"/>
      <c r="BV4599" s="236">
        <v>12.06</v>
      </c>
      <c r="BW4599" s="236" t="s">
        <v>347</v>
      </c>
      <c r="CL4599" s="338">
        <v>913</v>
      </c>
      <c r="CM4599" s="338" t="s">
        <v>289</v>
      </c>
      <c r="CT4599" s="1384"/>
      <c r="CZ4599" s="338"/>
      <c r="DA4599" s="338"/>
      <c r="DP4599" s="236"/>
      <c r="DQ4599" s="236"/>
      <c r="DX4599" s="1671"/>
    </row>
    <row r="4600" spans="38:128">
      <c r="AL4600" s="1037"/>
      <c r="BP4600" s="1385"/>
      <c r="BV4600" s="236">
        <v>13.01</v>
      </c>
      <c r="BW4600" s="236" t="s">
        <v>347</v>
      </c>
      <c r="CL4600" s="338">
        <v>914</v>
      </c>
      <c r="CM4600" s="338" t="s">
        <v>289</v>
      </c>
      <c r="CT4600" s="1384"/>
      <c r="CZ4600" s="338"/>
      <c r="DA4600" s="338"/>
      <c r="DP4600" s="236"/>
      <c r="DQ4600" s="236"/>
      <c r="DX4600" s="1671"/>
    </row>
    <row r="4601" spans="38:128">
      <c r="AL4601" s="1037"/>
      <c r="BP4601" s="1385"/>
      <c r="BV4601" s="236">
        <v>13.02</v>
      </c>
      <c r="BW4601" s="236" t="s">
        <v>347</v>
      </c>
      <c r="CL4601" s="338">
        <v>915</v>
      </c>
      <c r="CM4601" s="338" t="s">
        <v>289</v>
      </c>
      <c r="CT4601" s="1384"/>
      <c r="CZ4601" s="338"/>
      <c r="DA4601" s="338"/>
      <c r="DP4601" s="236"/>
      <c r="DQ4601" s="236"/>
      <c r="DX4601" s="1671"/>
    </row>
    <row r="4602" spans="38:128">
      <c r="AL4602" s="1037"/>
      <c r="BP4602" s="1385"/>
      <c r="BV4602" s="236">
        <v>13.03</v>
      </c>
      <c r="BW4602" s="236" t="s">
        <v>347</v>
      </c>
      <c r="CL4602" s="338">
        <v>916.01</v>
      </c>
      <c r="CM4602" s="338" t="s">
        <v>289</v>
      </c>
      <c r="CT4602" s="1384"/>
      <c r="CZ4602" s="338"/>
      <c r="DA4602" s="338"/>
      <c r="DP4602" s="236"/>
      <c r="DQ4602" s="236"/>
      <c r="DX4602" s="1671"/>
    </row>
    <row r="4603" spans="38:128">
      <c r="AL4603" s="1037"/>
      <c r="BP4603" s="1385"/>
      <c r="BV4603" s="236">
        <v>13.04</v>
      </c>
      <c r="BW4603" s="236" t="s">
        <v>347</v>
      </c>
      <c r="CL4603" s="338">
        <v>916.02</v>
      </c>
      <c r="CM4603" s="338" t="s">
        <v>289</v>
      </c>
      <c r="CT4603" s="1384"/>
      <c r="CZ4603" s="338"/>
      <c r="DA4603" s="338"/>
      <c r="DP4603" s="236"/>
      <c r="DQ4603" s="236"/>
      <c r="DX4603" s="1671"/>
    </row>
    <row r="4604" spans="38:128">
      <c r="AL4604" s="1037"/>
      <c r="BP4604" s="1385"/>
      <c r="BV4604" s="236">
        <v>14.02</v>
      </c>
      <c r="BW4604" s="236" t="s">
        <v>347</v>
      </c>
      <c r="CL4604" s="338">
        <v>917.01</v>
      </c>
      <c r="CM4604" s="338" t="s">
        <v>289</v>
      </c>
      <c r="CT4604" s="1384"/>
      <c r="CZ4604" s="338"/>
      <c r="DA4604" s="338"/>
      <c r="DP4604" s="236"/>
      <c r="DQ4604" s="236"/>
      <c r="DX4604" s="1671"/>
    </row>
    <row r="4605" spans="38:128">
      <c r="AL4605" s="1037"/>
      <c r="BP4605" s="1385"/>
      <c r="BV4605" s="236">
        <v>14.03</v>
      </c>
      <c r="BW4605" s="236" t="s">
        <v>347</v>
      </c>
      <c r="CL4605" s="338">
        <v>917.02</v>
      </c>
      <c r="CM4605" s="338" t="s">
        <v>289</v>
      </c>
      <c r="CT4605" s="1384"/>
      <c r="CZ4605" s="338"/>
      <c r="DA4605" s="338"/>
      <c r="DP4605" s="236"/>
      <c r="DQ4605" s="236"/>
      <c r="DX4605" s="1671"/>
    </row>
    <row r="4606" spans="38:128">
      <c r="AL4606" s="1037"/>
      <c r="BP4606" s="1385"/>
      <c r="BV4606" s="236">
        <v>14.04</v>
      </c>
      <c r="BW4606" s="236" t="s">
        <v>347</v>
      </c>
      <c r="CL4606" s="338">
        <v>918.02</v>
      </c>
      <c r="CM4606" s="338" t="s">
        <v>289</v>
      </c>
      <c r="CT4606" s="1384"/>
      <c r="CZ4606" s="338"/>
      <c r="DA4606" s="338"/>
      <c r="DP4606" s="236"/>
      <c r="DQ4606" s="236"/>
      <c r="DX4606" s="1671"/>
    </row>
    <row r="4607" spans="38:128">
      <c r="AL4607" s="1037"/>
      <c r="BP4607" s="1385"/>
      <c r="BV4607" s="236">
        <v>14.05</v>
      </c>
      <c r="BW4607" s="236" t="s">
        <v>347</v>
      </c>
      <c r="CL4607" s="338">
        <v>918.03</v>
      </c>
      <c r="CM4607" s="338" t="s">
        <v>289</v>
      </c>
      <c r="CT4607" s="1384"/>
      <c r="CZ4607" s="338"/>
      <c r="DA4607" s="338"/>
      <c r="DP4607" s="236"/>
      <c r="DQ4607" s="236"/>
      <c r="DX4607" s="1671"/>
    </row>
    <row r="4608" spans="38:128">
      <c r="AL4608" s="1037"/>
      <c r="BP4608" s="1385"/>
      <c r="BV4608" s="236">
        <v>15.03</v>
      </c>
      <c r="BW4608" s="236" t="s">
        <v>347</v>
      </c>
      <c r="CL4608" s="338">
        <v>918.04</v>
      </c>
      <c r="CM4608" s="338" t="s">
        <v>289</v>
      </c>
      <c r="CT4608" s="1384"/>
      <c r="CZ4608" s="338"/>
      <c r="DA4608" s="338"/>
      <c r="DP4608" s="236"/>
      <c r="DQ4608" s="236"/>
      <c r="DX4608" s="1671"/>
    </row>
    <row r="4609" spans="38:128">
      <c r="AL4609" s="1037"/>
      <c r="BP4609" s="1385"/>
      <c r="BV4609" s="236">
        <v>15.04</v>
      </c>
      <c r="BW4609" s="236" t="s">
        <v>347</v>
      </c>
      <c r="CL4609" s="338">
        <v>919.01</v>
      </c>
      <c r="CM4609" s="338" t="s">
        <v>289</v>
      </c>
      <c r="CT4609" s="1384"/>
      <c r="CZ4609" s="338"/>
      <c r="DA4609" s="338"/>
      <c r="DP4609" s="236"/>
      <c r="DQ4609" s="236"/>
      <c r="DX4609" s="1671"/>
    </row>
    <row r="4610" spans="38:128">
      <c r="AL4610" s="1037"/>
      <c r="BP4610" s="1385"/>
      <c r="BV4610" s="236">
        <v>15.05</v>
      </c>
      <c r="BW4610" s="236" t="s">
        <v>347</v>
      </c>
      <c r="CL4610" s="338">
        <v>919.03</v>
      </c>
      <c r="CM4610" s="338" t="s">
        <v>289</v>
      </c>
      <c r="CT4610" s="1384"/>
      <c r="CZ4610" s="338"/>
      <c r="DA4610" s="338"/>
      <c r="DP4610" s="236"/>
      <c r="DQ4610" s="236"/>
      <c r="DX4610" s="1671"/>
    </row>
    <row r="4611" spans="38:128">
      <c r="AL4611" s="1037"/>
      <c r="BP4611" s="1385"/>
      <c r="BV4611" s="236">
        <v>15.08</v>
      </c>
      <c r="BW4611" s="236" t="s">
        <v>347</v>
      </c>
      <c r="CL4611" s="338">
        <v>919.04</v>
      </c>
      <c r="CM4611" s="338" t="s">
        <v>289</v>
      </c>
      <c r="CT4611" s="1384"/>
      <c r="CZ4611" s="338"/>
      <c r="DA4611" s="338"/>
      <c r="DP4611" s="236"/>
      <c r="DQ4611" s="236"/>
      <c r="DX4611" s="1671"/>
    </row>
    <row r="4612" spans="38:128">
      <c r="AL4612" s="1037"/>
      <c r="BP4612" s="1385"/>
      <c r="BV4612" s="236">
        <v>15.09</v>
      </c>
      <c r="BW4612" s="236" t="s">
        <v>347</v>
      </c>
      <c r="CL4612" s="338">
        <v>920</v>
      </c>
      <c r="CM4612" s="338" t="s">
        <v>289</v>
      </c>
      <c r="CT4612" s="1384"/>
      <c r="CZ4612" s="338"/>
      <c r="DA4612" s="338"/>
      <c r="DP4612" s="236"/>
      <c r="DQ4612" s="236"/>
      <c r="DX4612" s="1671"/>
    </row>
    <row r="4613" spans="38:128">
      <c r="AL4613" s="1037"/>
      <c r="BP4613" s="1385"/>
      <c r="BV4613" s="236">
        <v>15.1</v>
      </c>
      <c r="BW4613" s="236" t="s">
        <v>347</v>
      </c>
      <c r="CL4613" s="236">
        <v>925</v>
      </c>
      <c r="CM4613" s="236" t="s">
        <v>355</v>
      </c>
      <c r="CT4613" s="1384"/>
      <c r="CZ4613" s="338"/>
      <c r="DA4613" s="338"/>
      <c r="DP4613" s="236"/>
      <c r="DQ4613" s="236"/>
      <c r="DX4613" s="1671"/>
    </row>
    <row r="4614" spans="38:128">
      <c r="AL4614" s="1037"/>
      <c r="BP4614" s="1385"/>
      <c r="BV4614" s="236">
        <v>15.11</v>
      </c>
      <c r="BW4614" s="236" t="s">
        <v>347</v>
      </c>
      <c r="CL4614" s="338">
        <v>1001.03</v>
      </c>
      <c r="CM4614" s="338" t="s">
        <v>289</v>
      </c>
      <c r="CT4614" s="1384"/>
      <c r="CZ4614" s="338"/>
      <c r="DA4614" s="338"/>
      <c r="DP4614" s="236"/>
      <c r="DQ4614" s="236"/>
      <c r="DX4614" s="1671"/>
    </row>
    <row r="4615" spans="38:128">
      <c r="AL4615" s="1037"/>
      <c r="BP4615" s="1385"/>
      <c r="BV4615" s="236">
        <v>16.010000000000002</v>
      </c>
      <c r="BW4615" s="236" t="s">
        <v>347</v>
      </c>
      <c r="CL4615" s="338">
        <v>1001.04</v>
      </c>
      <c r="CM4615" s="338" t="s">
        <v>289</v>
      </c>
      <c r="CT4615" s="1384"/>
      <c r="CZ4615" s="338"/>
      <c r="DA4615" s="338"/>
      <c r="DP4615" s="236"/>
      <c r="DQ4615" s="236"/>
      <c r="DX4615" s="1671"/>
    </row>
    <row r="4616" spans="38:128">
      <c r="AL4616" s="1037"/>
      <c r="BP4616" s="1385"/>
      <c r="BV4616" s="236">
        <v>16.02</v>
      </c>
      <c r="BW4616" s="236" t="s">
        <v>347</v>
      </c>
      <c r="CL4616" s="338">
        <v>1001.05</v>
      </c>
      <c r="CM4616" s="338" t="s">
        <v>289</v>
      </c>
      <c r="CT4616" s="1384"/>
      <c r="CZ4616" s="338"/>
      <c r="DA4616" s="338"/>
      <c r="DP4616" s="236"/>
      <c r="DQ4616" s="236"/>
      <c r="DX4616" s="1671"/>
    </row>
    <row r="4617" spans="38:128">
      <c r="AL4617" s="1037"/>
      <c r="BP4617" s="1385"/>
      <c r="BV4617" s="236">
        <v>17.02</v>
      </c>
      <c r="BW4617" s="236" t="s">
        <v>347</v>
      </c>
      <c r="CL4617" s="338">
        <v>1001.06</v>
      </c>
      <c r="CM4617" s="338" t="s">
        <v>289</v>
      </c>
      <c r="CT4617" s="1384"/>
      <c r="CZ4617" s="338"/>
      <c r="DA4617" s="338"/>
      <c r="DP4617" s="236"/>
      <c r="DQ4617" s="236"/>
      <c r="DX4617" s="1671"/>
    </row>
    <row r="4618" spans="38:128">
      <c r="AL4618" s="1037"/>
      <c r="BP4618" s="1385"/>
      <c r="BV4618" s="236">
        <v>17.03</v>
      </c>
      <c r="BW4618" s="236" t="s">
        <v>347</v>
      </c>
      <c r="CL4618" s="338">
        <v>1001.07</v>
      </c>
      <c r="CM4618" s="338" t="s">
        <v>289</v>
      </c>
      <c r="CT4618" s="1384"/>
      <c r="CZ4618" s="338"/>
      <c r="DA4618" s="338"/>
      <c r="DP4618" s="236"/>
      <c r="DQ4618" s="236"/>
      <c r="DX4618" s="1671"/>
    </row>
    <row r="4619" spans="38:128">
      <c r="AL4619" s="1037"/>
      <c r="BP4619" s="1385"/>
      <c r="BV4619" s="236">
        <v>17.04</v>
      </c>
      <c r="BW4619" s="236" t="s">
        <v>347</v>
      </c>
      <c r="CL4619" s="338">
        <v>1001.08</v>
      </c>
      <c r="CM4619" s="338" t="s">
        <v>289</v>
      </c>
      <c r="CT4619" s="1384"/>
      <c r="CZ4619" s="338"/>
      <c r="DA4619" s="338"/>
      <c r="DP4619" s="236"/>
      <c r="DQ4619" s="236"/>
      <c r="DX4619" s="1671"/>
    </row>
    <row r="4620" spans="38:128">
      <c r="AL4620" s="1037"/>
      <c r="BP4620" s="1385"/>
      <c r="BV4620" s="236">
        <v>18.010000000000002</v>
      </c>
      <c r="BW4620" s="236" t="s">
        <v>347</v>
      </c>
      <c r="CL4620" s="338">
        <v>1002.01</v>
      </c>
      <c r="CM4620" s="338" t="s">
        <v>289</v>
      </c>
      <c r="CT4620" s="1384"/>
      <c r="CZ4620" s="338"/>
      <c r="DA4620" s="338"/>
      <c r="DP4620" s="236"/>
      <c r="DQ4620" s="236"/>
      <c r="DX4620" s="1671"/>
    </row>
    <row r="4621" spans="38:128">
      <c r="AL4621" s="1037"/>
      <c r="BP4621" s="1385"/>
      <c r="BV4621" s="236">
        <v>18.03</v>
      </c>
      <c r="BW4621" s="236" t="s">
        <v>347</v>
      </c>
      <c r="CL4621" s="338">
        <v>1002.03</v>
      </c>
      <c r="CM4621" s="338" t="s">
        <v>289</v>
      </c>
      <c r="CT4621" s="1384"/>
      <c r="CZ4621" s="338"/>
      <c r="DA4621" s="338"/>
      <c r="DP4621" s="236"/>
      <c r="DQ4621" s="236"/>
      <c r="DX4621" s="1671"/>
    </row>
    <row r="4622" spans="38:128">
      <c r="AL4622" s="1037"/>
      <c r="BP4622" s="1385"/>
      <c r="BV4622" s="236">
        <v>18.04</v>
      </c>
      <c r="BW4622" s="236" t="s">
        <v>347</v>
      </c>
      <c r="CL4622" s="338">
        <v>1002.04</v>
      </c>
      <c r="CM4622" s="338" t="s">
        <v>289</v>
      </c>
      <c r="CT4622" s="1384"/>
      <c r="CZ4622" s="338"/>
      <c r="DA4622" s="338"/>
      <c r="DP4622" s="236"/>
      <c r="DQ4622" s="236"/>
      <c r="DX4622" s="1671"/>
    </row>
    <row r="4623" spans="38:128">
      <c r="AL4623" s="1037"/>
      <c r="BP4623" s="1385"/>
      <c r="BV4623" s="236">
        <v>18.05</v>
      </c>
      <c r="BW4623" s="236" t="s">
        <v>347</v>
      </c>
      <c r="CL4623" s="338">
        <v>1003.01</v>
      </c>
      <c r="CM4623" s="338" t="s">
        <v>289</v>
      </c>
      <c r="CT4623" s="1384"/>
      <c r="CZ4623" s="338"/>
      <c r="DA4623" s="338"/>
      <c r="DP4623" s="236"/>
      <c r="DQ4623" s="236"/>
      <c r="DX4623" s="1671"/>
    </row>
    <row r="4624" spans="38:128">
      <c r="AL4624" s="1037"/>
      <c r="BP4624" s="1385"/>
      <c r="BV4624" s="236">
        <v>19.03</v>
      </c>
      <c r="BW4624" s="236" t="s">
        <v>347</v>
      </c>
      <c r="CL4624" s="338">
        <v>1003.02</v>
      </c>
      <c r="CM4624" s="338" t="s">
        <v>289</v>
      </c>
      <c r="CT4624" s="1384"/>
      <c r="CZ4624" s="338"/>
      <c r="DA4624" s="338"/>
      <c r="DP4624" s="236"/>
      <c r="DQ4624" s="236"/>
      <c r="DX4624" s="1671"/>
    </row>
    <row r="4625" spans="38:128">
      <c r="AL4625" s="1037"/>
      <c r="BP4625" s="1385"/>
      <c r="BV4625" s="236">
        <v>19.04</v>
      </c>
      <c r="BW4625" s="236" t="s">
        <v>347</v>
      </c>
      <c r="CL4625" s="338">
        <v>1004</v>
      </c>
      <c r="CM4625" s="338" t="s">
        <v>289</v>
      </c>
      <c r="CT4625" s="1384"/>
      <c r="CZ4625" s="338"/>
      <c r="DA4625" s="338"/>
      <c r="DP4625" s="236"/>
      <c r="DQ4625" s="236"/>
      <c r="DX4625" s="1671"/>
    </row>
    <row r="4626" spans="38:128">
      <c r="AL4626" s="1037"/>
      <c r="BP4626" s="1385"/>
      <c r="BV4626" s="236">
        <v>19.05</v>
      </c>
      <c r="BW4626" s="236" t="s">
        <v>347</v>
      </c>
      <c r="CL4626" s="338">
        <v>1005.01</v>
      </c>
      <c r="CM4626" s="338" t="s">
        <v>289</v>
      </c>
      <c r="CT4626" s="1384"/>
      <c r="CZ4626" s="338"/>
      <c r="DA4626" s="338"/>
      <c r="DP4626" s="236"/>
      <c r="DQ4626" s="236"/>
      <c r="DX4626" s="1671"/>
    </row>
    <row r="4627" spans="38:128">
      <c r="AL4627" s="1037"/>
      <c r="BP4627" s="1385"/>
      <c r="BV4627" s="236">
        <v>19.09</v>
      </c>
      <c r="BW4627" s="236" t="s">
        <v>347</v>
      </c>
      <c r="CL4627" s="338">
        <v>1005.02</v>
      </c>
      <c r="CM4627" s="338" t="s">
        <v>289</v>
      </c>
      <c r="CT4627" s="1384"/>
      <c r="CZ4627" s="338"/>
      <c r="DA4627" s="338"/>
      <c r="DP4627" s="236"/>
      <c r="DQ4627" s="236"/>
      <c r="DX4627" s="1671"/>
    </row>
    <row r="4628" spans="38:128">
      <c r="AL4628" s="1037"/>
      <c r="BP4628" s="1385"/>
      <c r="BV4628" s="236">
        <v>20.03</v>
      </c>
      <c r="BW4628" s="236" t="s">
        <v>347</v>
      </c>
      <c r="CL4628" s="338">
        <v>1006</v>
      </c>
      <c r="CM4628" s="338" t="s">
        <v>289</v>
      </c>
      <c r="CT4628" s="1384"/>
      <c r="CZ4628" s="338"/>
      <c r="DA4628" s="338"/>
      <c r="DP4628" s="236"/>
      <c r="DQ4628" s="236"/>
      <c r="DX4628" s="1671"/>
    </row>
    <row r="4629" spans="38:128">
      <c r="AL4629" s="1037"/>
      <c r="BP4629" s="1385"/>
      <c r="BV4629" s="236">
        <v>20.04</v>
      </c>
      <c r="BW4629" s="236" t="s">
        <v>347</v>
      </c>
      <c r="CL4629" s="338">
        <v>1007</v>
      </c>
      <c r="CM4629" s="338" t="s">
        <v>289</v>
      </c>
      <c r="CT4629" s="1384"/>
      <c r="CZ4629" s="338"/>
      <c r="DA4629" s="338"/>
      <c r="DP4629" s="236"/>
      <c r="DQ4629" s="236"/>
      <c r="DX4629" s="1671"/>
    </row>
    <row r="4630" spans="38:128">
      <c r="AL4630" s="1037"/>
      <c r="BP4630" s="1385"/>
      <c r="BV4630" s="236">
        <v>20.07</v>
      </c>
      <c r="BW4630" s="236" t="s">
        <v>347</v>
      </c>
      <c r="CL4630" s="338">
        <v>1008.01</v>
      </c>
      <c r="CM4630" s="338" t="s">
        <v>289</v>
      </c>
      <c r="CT4630" s="1384"/>
      <c r="CZ4630" s="338"/>
      <c r="DA4630" s="338"/>
      <c r="DP4630" s="236"/>
      <c r="DQ4630" s="236"/>
      <c r="DX4630" s="1671"/>
    </row>
    <row r="4631" spans="38:128">
      <c r="AL4631" s="1037"/>
      <c r="BP4631" s="1385"/>
      <c r="BV4631" s="236">
        <v>20.079999999999998</v>
      </c>
      <c r="BW4631" s="236" t="s">
        <v>347</v>
      </c>
      <c r="CL4631" s="338">
        <v>1008.03</v>
      </c>
      <c r="CM4631" s="338" t="s">
        <v>289</v>
      </c>
      <c r="CT4631" s="1384"/>
      <c r="CZ4631" s="338"/>
      <c r="DA4631" s="338"/>
      <c r="DP4631" s="236"/>
      <c r="DQ4631" s="236"/>
      <c r="DX4631" s="1671"/>
    </row>
    <row r="4632" spans="38:128">
      <c r="AL4632" s="1037"/>
      <c r="BP4632" s="1385"/>
      <c r="BV4632" s="236">
        <v>20.11</v>
      </c>
      <c r="BW4632" s="236" t="s">
        <v>347</v>
      </c>
      <c r="CL4632" s="338">
        <v>1008.04</v>
      </c>
      <c r="CM4632" s="338" t="s">
        <v>289</v>
      </c>
      <c r="CT4632" s="1384"/>
      <c r="CZ4632" s="338"/>
      <c r="DA4632" s="338"/>
      <c r="DP4632" s="236"/>
      <c r="DQ4632" s="236"/>
      <c r="DX4632" s="1671"/>
    </row>
    <row r="4633" spans="38:128">
      <c r="AL4633" s="1037"/>
      <c r="BP4633" s="1385"/>
      <c r="BV4633" s="236">
        <v>20.12</v>
      </c>
      <c r="BW4633" s="236" t="s">
        <v>347</v>
      </c>
      <c r="CL4633" s="338">
        <v>1101</v>
      </c>
      <c r="CM4633" s="338" t="s">
        <v>289</v>
      </c>
      <c r="CT4633" s="1384"/>
      <c r="CZ4633" s="338"/>
      <c r="DA4633" s="338"/>
      <c r="DP4633" s="236"/>
      <c r="DQ4633" s="236"/>
      <c r="DX4633" s="1671"/>
    </row>
    <row r="4634" spans="38:128">
      <c r="AL4634" s="1037"/>
      <c r="BP4634" s="1385"/>
      <c r="BV4634" s="236">
        <v>20.13</v>
      </c>
      <c r="BW4634" s="236" t="s">
        <v>347</v>
      </c>
      <c r="CL4634" s="338">
        <v>1103.01</v>
      </c>
      <c r="CM4634" s="338" t="s">
        <v>289</v>
      </c>
      <c r="CT4634" s="1384"/>
      <c r="CZ4634" s="338"/>
      <c r="DA4634" s="338"/>
      <c r="DP4634" s="236"/>
      <c r="DQ4634" s="236"/>
      <c r="DX4634" s="1671"/>
    </row>
    <row r="4635" spans="38:128">
      <c r="AL4635" s="1037"/>
      <c r="BP4635" s="1385"/>
      <c r="BV4635" s="236">
        <v>20.14</v>
      </c>
      <c r="BW4635" s="236" t="s">
        <v>347</v>
      </c>
      <c r="CL4635" s="338">
        <v>1103.03</v>
      </c>
      <c r="CM4635" s="338" t="s">
        <v>289</v>
      </c>
      <c r="CT4635" s="1384"/>
      <c r="CZ4635" s="338"/>
      <c r="DA4635" s="338"/>
      <c r="DP4635" s="236"/>
      <c r="DQ4635" s="236"/>
      <c r="DX4635" s="1671"/>
    </row>
    <row r="4636" spans="38:128">
      <c r="AL4636" s="1037"/>
      <c r="BP4636" s="1385"/>
      <c r="BV4636" s="236">
        <v>20.149999999999999</v>
      </c>
      <c r="BW4636" s="236" t="s">
        <v>347</v>
      </c>
      <c r="CL4636" s="338">
        <v>1103.07</v>
      </c>
      <c r="CM4636" s="338" t="s">
        <v>289</v>
      </c>
      <c r="CT4636" s="1384"/>
      <c r="CZ4636" s="338"/>
      <c r="DA4636" s="338"/>
      <c r="DP4636" s="236"/>
      <c r="DQ4636" s="236"/>
      <c r="DX4636" s="1671"/>
    </row>
    <row r="4637" spans="38:128">
      <c r="AL4637" s="1037"/>
      <c r="BP4637" s="1385"/>
      <c r="BV4637" s="236">
        <v>20.16</v>
      </c>
      <c r="BW4637" s="236" t="s">
        <v>347</v>
      </c>
      <c r="CL4637" s="338">
        <v>1103.08</v>
      </c>
      <c r="CM4637" s="338" t="s">
        <v>289</v>
      </c>
      <c r="CT4637" s="1384"/>
      <c r="CZ4637" s="338"/>
      <c r="DA4637" s="338"/>
      <c r="DP4637" s="236"/>
      <c r="DQ4637" s="236"/>
      <c r="DX4637" s="1671"/>
    </row>
    <row r="4638" spans="38:128">
      <c r="AL4638" s="1037"/>
      <c r="BP4638" s="1385"/>
      <c r="BV4638" s="236">
        <v>21.01</v>
      </c>
      <c r="BW4638" s="236" t="s">
        <v>347</v>
      </c>
      <c r="CL4638" s="338">
        <v>1103.0899999999999</v>
      </c>
      <c r="CM4638" s="338" t="s">
        <v>289</v>
      </c>
      <c r="CT4638" s="1384"/>
      <c r="CZ4638" s="338"/>
      <c r="DA4638" s="338"/>
      <c r="DP4638" s="236"/>
      <c r="DQ4638" s="236"/>
      <c r="DX4638" s="1671"/>
    </row>
    <row r="4639" spans="38:128">
      <c r="AL4639" s="1037"/>
      <c r="BP4639" s="1385"/>
      <c r="BV4639" s="236">
        <v>21.02</v>
      </c>
      <c r="BW4639" s="236" t="s">
        <v>347</v>
      </c>
      <c r="CL4639" s="338">
        <v>1103.1099999999999</v>
      </c>
      <c r="CM4639" s="338" t="s">
        <v>289</v>
      </c>
      <c r="CT4639" s="1384"/>
      <c r="CZ4639" s="338"/>
      <c r="DA4639" s="338"/>
      <c r="DP4639" s="236"/>
      <c r="DQ4639" s="236"/>
      <c r="DX4639" s="1671"/>
    </row>
    <row r="4640" spans="38:128">
      <c r="AL4640" s="1037"/>
      <c r="BP4640" s="1385"/>
      <c r="BV4640" s="236">
        <v>22.01</v>
      </c>
      <c r="BW4640" s="236" t="s">
        <v>347</v>
      </c>
      <c r="CL4640" s="338">
        <v>1103.1199999999999</v>
      </c>
      <c r="CM4640" s="338" t="s">
        <v>289</v>
      </c>
      <c r="CT4640" s="1384"/>
      <c r="CZ4640" s="338"/>
      <c r="DA4640" s="338"/>
      <c r="DP4640" s="236"/>
      <c r="DQ4640" s="236"/>
      <c r="DX4640" s="1671"/>
    </row>
    <row r="4641" spans="38:128">
      <c r="AL4641" s="1037"/>
      <c r="BP4641" s="1385"/>
      <c r="BV4641" s="236">
        <v>22.03</v>
      </c>
      <c r="BW4641" s="236" t="s">
        <v>347</v>
      </c>
      <c r="CL4641" s="338">
        <v>1103.1300000000001</v>
      </c>
      <c r="CM4641" s="338" t="s">
        <v>289</v>
      </c>
      <c r="CT4641" s="1384"/>
      <c r="CZ4641" s="338"/>
      <c r="DA4641" s="338"/>
      <c r="DP4641" s="236"/>
      <c r="DQ4641" s="236"/>
      <c r="DX4641" s="1671"/>
    </row>
    <row r="4642" spans="38:128">
      <c r="AL4642" s="1037"/>
      <c r="BP4642" s="1385"/>
      <c r="BV4642" s="236">
        <v>22.04</v>
      </c>
      <c r="BW4642" s="236" t="s">
        <v>347</v>
      </c>
      <c r="CL4642" s="338">
        <v>1103.19</v>
      </c>
      <c r="CM4642" s="338" t="s">
        <v>289</v>
      </c>
      <c r="CT4642" s="1384"/>
      <c r="CZ4642" s="338"/>
      <c r="DA4642" s="338"/>
      <c r="DP4642" s="236"/>
      <c r="DQ4642" s="236"/>
      <c r="DX4642" s="1671"/>
    </row>
    <row r="4643" spans="38:128">
      <c r="AL4643" s="1037"/>
      <c r="BP4643" s="1385"/>
      <c r="BV4643" s="236">
        <v>22.05</v>
      </c>
      <c r="BW4643" s="236" t="s">
        <v>347</v>
      </c>
      <c r="CL4643" s="338">
        <v>1103.21</v>
      </c>
      <c r="CM4643" s="338" t="s">
        <v>289</v>
      </c>
      <c r="CT4643" s="1384"/>
      <c r="CZ4643" s="338"/>
      <c r="DA4643" s="338"/>
      <c r="DP4643" s="236"/>
      <c r="DQ4643" s="236"/>
      <c r="DX4643" s="1671"/>
    </row>
    <row r="4644" spans="38:128">
      <c r="AL4644" s="1037"/>
      <c r="BP4644" s="1385"/>
      <c r="BV4644" s="236">
        <v>23.02</v>
      </c>
      <c r="BW4644" s="236" t="s">
        <v>347</v>
      </c>
      <c r="CL4644" s="338">
        <v>1103.23</v>
      </c>
      <c r="CM4644" s="338" t="s">
        <v>289</v>
      </c>
      <c r="CT4644" s="1384"/>
      <c r="CZ4644" s="338"/>
      <c r="DA4644" s="338"/>
      <c r="DP4644" s="236"/>
      <c r="DQ4644" s="236"/>
      <c r="DX4644" s="1671"/>
    </row>
    <row r="4645" spans="38:128">
      <c r="AL4645" s="1037"/>
      <c r="BP4645" s="1385"/>
      <c r="BV4645" s="236">
        <v>23.04</v>
      </c>
      <c r="BW4645" s="236" t="s">
        <v>347</v>
      </c>
      <c r="CL4645" s="338">
        <v>1103.26</v>
      </c>
      <c r="CM4645" s="338" t="s">
        <v>289</v>
      </c>
      <c r="CT4645" s="1384"/>
      <c r="CZ4645" s="338"/>
      <c r="DA4645" s="338"/>
      <c r="DP4645" s="236"/>
      <c r="DQ4645" s="236"/>
      <c r="DX4645" s="1671"/>
    </row>
    <row r="4646" spans="38:128">
      <c r="AL4646" s="1037"/>
      <c r="BP4646" s="1385"/>
      <c r="BV4646" s="236">
        <v>23.05</v>
      </c>
      <c r="BW4646" s="236" t="s">
        <v>347</v>
      </c>
      <c r="CL4646" s="338">
        <v>1103.27</v>
      </c>
      <c r="CM4646" s="338" t="s">
        <v>289</v>
      </c>
      <c r="CT4646" s="1384"/>
      <c r="CZ4646" s="338"/>
      <c r="DA4646" s="338"/>
      <c r="DP4646" s="236"/>
      <c r="DQ4646" s="236"/>
      <c r="DX4646" s="1671"/>
    </row>
    <row r="4647" spans="38:128">
      <c r="AL4647" s="1037"/>
      <c r="BP4647" s="1385"/>
      <c r="BV4647" s="236">
        <v>23.06</v>
      </c>
      <c r="BW4647" s="236" t="s">
        <v>347</v>
      </c>
      <c r="CL4647" s="338">
        <v>1103.28</v>
      </c>
      <c r="CM4647" s="338" t="s">
        <v>289</v>
      </c>
      <c r="CT4647" s="1384"/>
      <c r="CZ4647" s="338"/>
      <c r="DA4647" s="338"/>
      <c r="DP4647" s="236"/>
      <c r="DQ4647" s="236"/>
      <c r="DX4647" s="1671"/>
    </row>
    <row r="4648" spans="38:128">
      <c r="AL4648" s="1037"/>
      <c r="BP4648" s="1385"/>
      <c r="BV4648" s="236">
        <v>23.07</v>
      </c>
      <c r="BW4648" s="236" t="s">
        <v>347</v>
      </c>
      <c r="CL4648" s="338">
        <v>1103.3</v>
      </c>
      <c r="CM4648" s="338" t="s">
        <v>289</v>
      </c>
      <c r="CT4648" s="1384"/>
      <c r="CZ4648" s="338"/>
      <c r="DA4648" s="338"/>
      <c r="DP4648" s="236"/>
      <c r="DQ4648" s="236"/>
      <c r="DX4648" s="1671"/>
    </row>
    <row r="4649" spans="38:128">
      <c r="AL4649" s="1037"/>
      <c r="BP4649" s="1385"/>
      <c r="BV4649" s="236">
        <v>24.01</v>
      </c>
      <c r="BW4649" s="236" t="s">
        <v>347</v>
      </c>
      <c r="CL4649" s="338">
        <v>1103.32</v>
      </c>
      <c r="CM4649" s="338" t="s">
        <v>289</v>
      </c>
      <c r="CT4649" s="1384"/>
      <c r="CZ4649" s="338"/>
      <c r="DA4649" s="338"/>
      <c r="DP4649" s="236"/>
      <c r="DQ4649" s="236"/>
      <c r="DX4649" s="1671"/>
    </row>
    <row r="4650" spans="38:128">
      <c r="AL4650" s="1037"/>
      <c r="BP4650" s="1385"/>
      <c r="BV4650" s="236">
        <v>24.03</v>
      </c>
      <c r="BW4650" s="236" t="s">
        <v>347</v>
      </c>
      <c r="CL4650" s="338">
        <v>1103.33</v>
      </c>
      <c r="CM4650" s="338" t="s">
        <v>289</v>
      </c>
      <c r="CT4650" s="1384"/>
      <c r="CZ4650" s="338"/>
      <c r="DA4650" s="338"/>
      <c r="DP4650" s="236"/>
      <c r="DQ4650" s="236"/>
      <c r="DX4650" s="1671"/>
    </row>
    <row r="4651" spans="38:128">
      <c r="AL4651" s="1037"/>
      <c r="BP4651" s="1385"/>
      <c r="BV4651" s="236">
        <v>24.04</v>
      </c>
      <c r="BW4651" s="236" t="s">
        <v>347</v>
      </c>
      <c r="CL4651" s="338">
        <v>1103.3399999999999</v>
      </c>
      <c r="CM4651" s="338" t="s">
        <v>289</v>
      </c>
      <c r="CT4651" s="1384"/>
      <c r="CZ4651" s="338"/>
      <c r="DA4651" s="338"/>
      <c r="DP4651" s="236"/>
      <c r="DQ4651" s="236"/>
      <c r="DX4651" s="1671"/>
    </row>
    <row r="4652" spans="38:128">
      <c r="AL4652" s="1037"/>
      <c r="BP4652" s="1385"/>
      <c r="BV4652" s="236">
        <v>25.04</v>
      </c>
      <c r="BW4652" s="236" t="s">
        <v>347</v>
      </c>
      <c r="CL4652" s="338">
        <v>1103.3699999999999</v>
      </c>
      <c r="CM4652" s="338" t="s">
        <v>289</v>
      </c>
      <c r="CT4652" s="1384"/>
      <c r="CZ4652" s="338"/>
      <c r="DA4652" s="338"/>
      <c r="DP4652" s="236"/>
      <c r="DQ4652" s="236"/>
      <c r="DX4652" s="1671"/>
    </row>
    <row r="4653" spans="38:128">
      <c r="AL4653" s="1037"/>
      <c r="BP4653" s="1385"/>
      <c r="BV4653" s="236">
        <v>25.05</v>
      </c>
      <c r="BW4653" s="236" t="s">
        <v>347</v>
      </c>
      <c r="CL4653" s="338">
        <v>1103.3800000000001</v>
      </c>
      <c r="CM4653" s="338" t="s">
        <v>289</v>
      </c>
      <c r="CT4653" s="1384"/>
      <c r="CZ4653" s="338"/>
      <c r="DA4653" s="338"/>
      <c r="DP4653" s="236"/>
      <c r="DQ4653" s="236"/>
      <c r="DX4653" s="1671"/>
    </row>
    <row r="4654" spans="38:128">
      <c r="AL4654" s="1037"/>
      <c r="BP4654" s="1385"/>
      <c r="BV4654" s="236">
        <v>25.07</v>
      </c>
      <c r="BW4654" s="236" t="s">
        <v>347</v>
      </c>
      <c r="CL4654" s="338">
        <v>1103.3900000000001</v>
      </c>
      <c r="CM4654" s="338" t="s">
        <v>289</v>
      </c>
      <c r="CT4654" s="1384"/>
      <c r="CZ4654" s="338"/>
      <c r="DA4654" s="338"/>
      <c r="DP4654" s="236"/>
      <c r="DQ4654" s="236"/>
      <c r="DX4654" s="1671"/>
    </row>
    <row r="4655" spans="38:128">
      <c r="AL4655" s="1037"/>
      <c r="BP4655" s="1385"/>
      <c r="BV4655" s="236">
        <v>25.08</v>
      </c>
      <c r="BW4655" s="236" t="s">
        <v>347</v>
      </c>
      <c r="CL4655" s="338">
        <v>1103.4100000000001</v>
      </c>
      <c r="CM4655" s="338" t="s">
        <v>289</v>
      </c>
      <c r="CT4655" s="1384"/>
      <c r="CZ4655" s="338"/>
      <c r="DA4655" s="338"/>
      <c r="DP4655" s="236"/>
      <c r="DQ4655" s="236"/>
      <c r="DX4655" s="1671"/>
    </row>
    <row r="4656" spans="38:128">
      <c r="AL4656" s="1037"/>
      <c r="BP4656" s="1385"/>
      <c r="BV4656" s="236">
        <v>25.09</v>
      </c>
      <c r="BW4656" s="236" t="s">
        <v>347</v>
      </c>
      <c r="CL4656" s="338">
        <v>1103.44</v>
      </c>
      <c r="CM4656" s="338" t="s">
        <v>289</v>
      </c>
      <c r="CT4656" s="1384"/>
      <c r="CZ4656" s="338"/>
      <c r="DA4656" s="338"/>
      <c r="DP4656" s="236"/>
      <c r="DQ4656" s="236"/>
      <c r="DX4656" s="1671"/>
    </row>
    <row r="4657" spans="38:128">
      <c r="AL4657" s="1037"/>
      <c r="BP4657" s="1385"/>
      <c r="BV4657" s="236">
        <v>25.1</v>
      </c>
      <c r="BW4657" s="236" t="s">
        <v>347</v>
      </c>
      <c r="CL4657" s="338">
        <v>1103.45</v>
      </c>
      <c r="CM4657" s="338" t="s">
        <v>289</v>
      </c>
      <c r="CT4657" s="1384"/>
      <c r="CZ4657" s="338"/>
      <c r="DA4657" s="338"/>
      <c r="DP4657" s="236"/>
      <c r="DQ4657" s="236"/>
      <c r="DX4657" s="1671"/>
    </row>
    <row r="4658" spans="38:128">
      <c r="AL4658" s="1037"/>
      <c r="BP4658" s="1385"/>
      <c r="BV4658" s="236">
        <v>25.11</v>
      </c>
      <c r="BW4658" s="236" t="s">
        <v>347</v>
      </c>
      <c r="CL4658" s="338">
        <v>1103.46</v>
      </c>
      <c r="CM4658" s="338" t="s">
        <v>289</v>
      </c>
      <c r="CT4658" s="1384"/>
      <c r="CZ4658" s="338"/>
      <c r="DA4658" s="338"/>
      <c r="DP4658" s="236"/>
      <c r="DQ4658" s="236"/>
      <c r="DX4658" s="1671"/>
    </row>
    <row r="4659" spans="38:128">
      <c r="AL4659" s="1037"/>
      <c r="BP4659" s="1385"/>
      <c r="BV4659" s="236">
        <v>26.01</v>
      </c>
      <c r="BW4659" s="236" t="s">
        <v>347</v>
      </c>
      <c r="CL4659" s="338">
        <v>1103.47</v>
      </c>
      <c r="CM4659" s="338" t="s">
        <v>289</v>
      </c>
      <c r="CT4659" s="1384"/>
      <c r="CZ4659" s="338"/>
      <c r="DA4659" s="338"/>
      <c r="DP4659" s="236"/>
      <c r="DQ4659" s="236"/>
      <c r="DX4659" s="1671"/>
    </row>
    <row r="4660" spans="38:128">
      <c r="AL4660" s="1037"/>
      <c r="BP4660" s="1385"/>
      <c r="BV4660" s="236">
        <v>26.02</v>
      </c>
      <c r="BW4660" s="236" t="s">
        <v>347</v>
      </c>
      <c r="CL4660" s="338">
        <v>1103.48</v>
      </c>
      <c r="CM4660" s="338" t="s">
        <v>289</v>
      </c>
      <c r="CT4660" s="1384"/>
      <c r="CZ4660" s="338"/>
      <c r="DA4660" s="338"/>
      <c r="DP4660" s="236"/>
      <c r="DQ4660" s="236"/>
      <c r="DX4660" s="1671"/>
    </row>
    <row r="4661" spans="38:128">
      <c r="AL4661" s="1037"/>
      <c r="BP4661" s="1385"/>
      <c r="BV4661" s="236">
        <v>26.03</v>
      </c>
      <c r="BW4661" s="236" t="s">
        <v>347</v>
      </c>
      <c r="CL4661" s="338">
        <v>1103.49</v>
      </c>
      <c r="CM4661" s="338" t="s">
        <v>289</v>
      </c>
      <c r="CT4661" s="1384"/>
      <c r="CZ4661" s="338"/>
      <c r="DA4661" s="338"/>
      <c r="DP4661" s="236"/>
      <c r="DQ4661" s="236"/>
      <c r="DX4661" s="1671"/>
    </row>
    <row r="4662" spans="38:128">
      <c r="AL4662" s="1037"/>
      <c r="BP4662" s="1385"/>
      <c r="BV4662" s="236">
        <v>26.04</v>
      </c>
      <c r="BW4662" s="236" t="s">
        <v>347</v>
      </c>
      <c r="CL4662" s="338">
        <v>1103.5</v>
      </c>
      <c r="CM4662" s="338" t="s">
        <v>289</v>
      </c>
      <c r="CT4662" s="1384"/>
      <c r="CZ4662" s="338"/>
      <c r="DA4662" s="338"/>
      <c r="DP4662" s="236"/>
      <c r="DQ4662" s="236"/>
      <c r="DX4662" s="1671"/>
    </row>
    <row r="4663" spans="38:128">
      <c r="AL4663" s="1037"/>
      <c r="BP4663" s="1385"/>
      <c r="BV4663" s="236">
        <v>26.05</v>
      </c>
      <c r="BW4663" s="236" t="s">
        <v>347</v>
      </c>
      <c r="CL4663" s="338">
        <v>1103.51</v>
      </c>
      <c r="CM4663" s="338" t="s">
        <v>289</v>
      </c>
      <c r="CT4663" s="1384"/>
      <c r="CZ4663" s="338"/>
      <c r="DA4663" s="338"/>
      <c r="DP4663" s="236"/>
      <c r="DQ4663" s="236"/>
      <c r="DX4663" s="1671"/>
    </row>
    <row r="4664" spans="38:128">
      <c r="AL4664" s="1037"/>
      <c r="BP4664" s="1385"/>
      <c r="BV4664" s="236">
        <v>27.1</v>
      </c>
      <c r="BW4664" s="236" t="s">
        <v>347</v>
      </c>
      <c r="CL4664" s="338">
        <v>1103.52</v>
      </c>
      <c r="CM4664" s="338" t="s">
        <v>289</v>
      </c>
      <c r="CT4664" s="1384"/>
      <c r="CZ4664" s="338"/>
      <c r="DA4664" s="338"/>
      <c r="DP4664" s="236"/>
      <c r="DQ4664" s="236"/>
      <c r="DX4664" s="1671"/>
    </row>
    <row r="4665" spans="38:128">
      <c r="AL4665" s="1037"/>
      <c r="BP4665" s="1385"/>
      <c r="BV4665" s="236">
        <v>27.14</v>
      </c>
      <c r="BW4665" s="236" t="s">
        <v>347</v>
      </c>
      <c r="CL4665" s="338">
        <v>1103.53</v>
      </c>
      <c r="CM4665" s="338" t="s">
        <v>289</v>
      </c>
      <c r="CT4665" s="1384"/>
      <c r="CZ4665" s="338"/>
      <c r="DA4665" s="338"/>
      <c r="DP4665" s="236"/>
      <c r="DQ4665" s="236"/>
      <c r="DX4665" s="1671"/>
    </row>
    <row r="4666" spans="38:128">
      <c r="AL4666" s="1037"/>
      <c r="BP4666" s="1385"/>
      <c r="BV4666" s="236">
        <v>27.16</v>
      </c>
      <c r="BW4666" s="236" t="s">
        <v>347</v>
      </c>
      <c r="CL4666" s="338">
        <v>1103.54</v>
      </c>
      <c r="CM4666" s="338" t="s">
        <v>289</v>
      </c>
      <c r="CT4666" s="1384"/>
      <c r="CZ4666" s="338"/>
      <c r="DA4666" s="338"/>
      <c r="DP4666" s="236"/>
      <c r="DQ4666" s="236"/>
      <c r="DX4666" s="1671"/>
    </row>
    <row r="4667" spans="38:128">
      <c r="AL4667" s="1037"/>
      <c r="BP4667" s="1385"/>
      <c r="BV4667" s="236">
        <v>27.2</v>
      </c>
      <c r="BW4667" s="236" t="s">
        <v>347</v>
      </c>
      <c r="CL4667" s="338">
        <v>1103.55</v>
      </c>
      <c r="CM4667" s="338" t="s">
        <v>289</v>
      </c>
      <c r="CT4667" s="1384"/>
      <c r="CZ4667" s="338"/>
      <c r="DA4667" s="338"/>
      <c r="DP4667" s="236"/>
      <c r="DQ4667" s="236"/>
      <c r="DX4667" s="1671"/>
    </row>
    <row r="4668" spans="38:128">
      <c r="AL4668" s="1037"/>
      <c r="BP4668" s="1385"/>
      <c r="BV4668" s="236">
        <v>27.21</v>
      </c>
      <c r="BW4668" s="236" t="s">
        <v>347</v>
      </c>
      <c r="CL4668" s="338">
        <v>1103.56</v>
      </c>
      <c r="CM4668" s="338" t="s">
        <v>289</v>
      </c>
      <c r="CT4668" s="1384"/>
      <c r="CZ4668" s="338"/>
      <c r="DA4668" s="338"/>
      <c r="DP4668" s="236"/>
      <c r="DQ4668" s="236"/>
      <c r="DX4668" s="1671"/>
    </row>
    <row r="4669" spans="38:128">
      <c r="AL4669" s="1037"/>
      <c r="BP4669" s="1385"/>
      <c r="BV4669" s="236">
        <v>27.23</v>
      </c>
      <c r="BW4669" s="236" t="s">
        <v>347</v>
      </c>
      <c r="CL4669" s="338">
        <v>1103.57</v>
      </c>
      <c r="CM4669" s="338" t="s">
        <v>289</v>
      </c>
      <c r="CT4669" s="1384"/>
      <c r="CZ4669" s="338"/>
      <c r="DA4669" s="338"/>
      <c r="DP4669" s="236"/>
      <c r="DQ4669" s="236"/>
      <c r="DX4669" s="1671"/>
    </row>
    <row r="4670" spans="38:128">
      <c r="AL4670" s="1037"/>
      <c r="BP4670" s="1385"/>
      <c r="BV4670" s="236">
        <v>27.24</v>
      </c>
      <c r="BW4670" s="236" t="s">
        <v>347</v>
      </c>
      <c r="CL4670" s="338">
        <v>1103.58</v>
      </c>
      <c r="CM4670" s="338" t="s">
        <v>289</v>
      </c>
      <c r="CT4670" s="1384"/>
      <c r="CZ4670" s="338"/>
      <c r="DA4670" s="338"/>
      <c r="DP4670" s="236"/>
      <c r="DQ4670" s="236"/>
      <c r="DX4670" s="1671"/>
    </row>
    <row r="4671" spans="38:128">
      <c r="AL4671" s="1037"/>
      <c r="BP4671" s="1385"/>
      <c r="BV4671" s="236">
        <v>27.25</v>
      </c>
      <c r="BW4671" s="236" t="s">
        <v>347</v>
      </c>
      <c r="CL4671" s="338">
        <v>1103.5899999999999</v>
      </c>
      <c r="CM4671" s="338" t="s">
        <v>289</v>
      </c>
      <c r="CT4671" s="1384"/>
      <c r="CZ4671" s="338"/>
      <c r="DA4671" s="338"/>
      <c r="DP4671" s="236"/>
      <c r="DQ4671" s="236"/>
      <c r="DX4671" s="1671"/>
    </row>
    <row r="4672" spans="38:128">
      <c r="AL4672" s="1037"/>
      <c r="BP4672" s="1385"/>
      <c r="BV4672" s="236">
        <v>27.26</v>
      </c>
      <c r="BW4672" s="236" t="s">
        <v>347</v>
      </c>
      <c r="CL4672" s="338">
        <v>1103.5999999999999</v>
      </c>
      <c r="CM4672" s="338" t="s">
        <v>289</v>
      </c>
      <c r="CT4672" s="1384"/>
      <c r="CZ4672" s="338"/>
      <c r="DA4672" s="338"/>
      <c r="DP4672" s="236"/>
      <c r="DQ4672" s="236"/>
      <c r="DX4672" s="1671"/>
    </row>
    <row r="4673" spans="38:128">
      <c r="AL4673" s="1037"/>
      <c r="BP4673" s="1385"/>
      <c r="BV4673" s="236">
        <v>27.27</v>
      </c>
      <c r="BW4673" s="236" t="s">
        <v>347</v>
      </c>
      <c r="CL4673" s="338">
        <v>1103.6099999999999</v>
      </c>
      <c r="CM4673" s="338" t="s">
        <v>289</v>
      </c>
      <c r="CT4673" s="1384"/>
      <c r="CZ4673" s="338"/>
      <c r="DA4673" s="338"/>
      <c r="DP4673" s="236"/>
      <c r="DQ4673" s="236"/>
      <c r="DX4673" s="1671"/>
    </row>
    <row r="4674" spans="38:128">
      <c r="AL4674" s="1037"/>
      <c r="BP4674" s="1385"/>
      <c r="BV4674" s="236">
        <v>27.28</v>
      </c>
      <c r="BW4674" s="236" t="s">
        <v>347</v>
      </c>
      <c r="CL4674" s="338">
        <v>1103.6199999999999</v>
      </c>
      <c r="CM4674" s="338" t="s">
        <v>289</v>
      </c>
      <c r="CT4674" s="1384"/>
      <c r="CZ4674" s="338"/>
      <c r="DA4674" s="338"/>
      <c r="DP4674" s="236"/>
      <c r="DQ4674" s="236"/>
      <c r="DX4674" s="1671"/>
    </row>
    <row r="4675" spans="38:128">
      <c r="AL4675" s="1037"/>
      <c r="BP4675" s="1385"/>
      <c r="BV4675" s="236">
        <v>27.29</v>
      </c>
      <c r="BW4675" s="236" t="s">
        <v>347</v>
      </c>
      <c r="CL4675" s="338">
        <v>1103.6300000000001</v>
      </c>
      <c r="CM4675" s="338" t="s">
        <v>289</v>
      </c>
      <c r="CT4675" s="1384"/>
      <c r="CZ4675" s="338"/>
      <c r="DA4675" s="338"/>
      <c r="DP4675" s="236"/>
      <c r="DQ4675" s="236"/>
      <c r="DX4675" s="1671"/>
    </row>
    <row r="4676" spans="38:128">
      <c r="AL4676" s="1037"/>
      <c r="BP4676" s="1385"/>
      <c r="BV4676" s="236">
        <v>27.3</v>
      </c>
      <c r="BW4676" s="236" t="s">
        <v>347</v>
      </c>
      <c r="CL4676" s="338">
        <v>1103.6400000000001</v>
      </c>
      <c r="CM4676" s="338" t="s">
        <v>289</v>
      </c>
      <c r="CT4676" s="1384"/>
      <c r="CZ4676" s="338"/>
      <c r="DA4676" s="338"/>
      <c r="DP4676" s="236"/>
      <c r="DQ4676" s="236"/>
      <c r="DX4676" s="1671"/>
    </row>
    <row r="4677" spans="38:128">
      <c r="AL4677" s="1037"/>
      <c r="BP4677" s="1385"/>
      <c r="BV4677" s="236">
        <v>27.31</v>
      </c>
      <c r="BW4677" s="236" t="s">
        <v>347</v>
      </c>
      <c r="CL4677" s="338">
        <v>1103.6500000000001</v>
      </c>
      <c r="CM4677" s="338" t="s">
        <v>289</v>
      </c>
      <c r="CT4677" s="1384"/>
      <c r="CZ4677" s="338"/>
      <c r="DA4677" s="338"/>
      <c r="DP4677" s="236"/>
      <c r="DQ4677" s="236"/>
      <c r="DX4677" s="1671"/>
    </row>
    <row r="4678" spans="38:128">
      <c r="AL4678" s="1037"/>
      <c r="BP4678" s="1385"/>
      <c r="BV4678" s="236">
        <v>27.32</v>
      </c>
      <c r="BW4678" s="236" t="s">
        <v>347</v>
      </c>
      <c r="CL4678" s="338">
        <v>1103.6600000000001</v>
      </c>
      <c r="CM4678" s="338" t="s">
        <v>289</v>
      </c>
      <c r="CT4678" s="1384"/>
      <c r="CZ4678" s="338"/>
      <c r="DA4678" s="338"/>
      <c r="DP4678" s="236"/>
      <c r="DQ4678" s="236"/>
      <c r="DX4678" s="1671"/>
    </row>
    <row r="4679" spans="38:128">
      <c r="AL4679" s="1037"/>
      <c r="BP4679" s="1385"/>
      <c r="BV4679" s="236">
        <v>27.33</v>
      </c>
      <c r="BW4679" s="236" t="s">
        <v>347</v>
      </c>
      <c r="CL4679" s="338">
        <v>1103.67</v>
      </c>
      <c r="CM4679" s="338" t="s">
        <v>289</v>
      </c>
      <c r="CT4679" s="1384"/>
      <c r="CZ4679" s="338"/>
      <c r="DA4679" s="338"/>
      <c r="DP4679" s="236"/>
      <c r="DQ4679" s="236"/>
      <c r="DX4679" s="1671"/>
    </row>
    <row r="4680" spans="38:128">
      <c r="AL4680" s="1037"/>
      <c r="BP4680" s="1385"/>
      <c r="BV4680" s="236">
        <v>27.34</v>
      </c>
      <c r="BW4680" s="236" t="s">
        <v>347</v>
      </c>
      <c r="CL4680" s="338">
        <v>1103.68</v>
      </c>
      <c r="CM4680" s="338" t="s">
        <v>289</v>
      </c>
      <c r="CT4680" s="1384"/>
      <c r="CZ4680" s="338"/>
      <c r="DA4680" s="338"/>
      <c r="DP4680" s="236"/>
      <c r="DQ4680" s="236"/>
      <c r="DX4680" s="1671"/>
    </row>
    <row r="4681" spans="38:128">
      <c r="AL4681" s="1037"/>
      <c r="BP4681" s="1385"/>
      <c r="BV4681" s="236">
        <v>27.35</v>
      </c>
      <c r="BW4681" s="236" t="s">
        <v>347</v>
      </c>
      <c r="CL4681" s="338">
        <v>1104.02</v>
      </c>
      <c r="CM4681" s="338" t="s">
        <v>289</v>
      </c>
      <c r="CT4681" s="1384"/>
      <c r="CZ4681" s="338"/>
      <c r="DA4681" s="338"/>
      <c r="DP4681" s="236"/>
      <c r="DQ4681" s="236"/>
      <c r="DX4681" s="1671"/>
    </row>
    <row r="4682" spans="38:128">
      <c r="AL4682" s="1037"/>
      <c r="BP4682" s="1385"/>
      <c r="BV4682" s="236">
        <v>27.36</v>
      </c>
      <c r="BW4682" s="236" t="s">
        <v>347</v>
      </c>
      <c r="CL4682" s="338">
        <v>1104.03</v>
      </c>
      <c r="CM4682" s="338" t="s">
        <v>289</v>
      </c>
      <c r="CT4682" s="1384"/>
      <c r="CZ4682" s="338"/>
      <c r="DA4682" s="338"/>
      <c r="DP4682" s="236"/>
      <c r="DQ4682" s="236"/>
      <c r="DX4682" s="1671"/>
    </row>
    <row r="4683" spans="38:128">
      <c r="AL4683" s="1037"/>
      <c r="BP4683" s="1385"/>
      <c r="BV4683" s="236">
        <v>27.37</v>
      </c>
      <c r="BW4683" s="236" t="s">
        <v>347</v>
      </c>
      <c r="CL4683" s="338">
        <v>1104.04</v>
      </c>
      <c r="CM4683" s="338" t="s">
        <v>289</v>
      </c>
      <c r="CT4683" s="1384"/>
      <c r="CZ4683" s="338"/>
      <c r="DA4683" s="338"/>
      <c r="DP4683" s="236"/>
      <c r="DQ4683" s="236"/>
      <c r="DX4683" s="1671"/>
    </row>
    <row r="4684" spans="38:128">
      <c r="AL4684" s="1037"/>
      <c r="BP4684" s="1385"/>
      <c r="BV4684" s="236">
        <v>27.38</v>
      </c>
      <c r="BW4684" s="236" t="s">
        <v>347</v>
      </c>
      <c r="CL4684" s="338">
        <v>1105.01</v>
      </c>
      <c r="CM4684" s="338" t="s">
        <v>289</v>
      </c>
      <c r="CT4684" s="1384"/>
      <c r="CZ4684" s="338"/>
      <c r="DA4684" s="338"/>
      <c r="DP4684" s="236"/>
      <c r="DQ4684" s="236"/>
      <c r="DX4684" s="1671"/>
    </row>
    <row r="4685" spans="38:128">
      <c r="AL4685" s="1037"/>
      <c r="BP4685" s="1385"/>
      <c r="BV4685" s="236">
        <v>27.39</v>
      </c>
      <c r="BW4685" s="236" t="s">
        <v>347</v>
      </c>
      <c r="CL4685" s="338">
        <v>1105.02</v>
      </c>
      <c r="CM4685" s="338" t="s">
        <v>289</v>
      </c>
      <c r="CT4685" s="1384"/>
      <c r="CZ4685" s="338"/>
      <c r="DA4685" s="338"/>
      <c r="DP4685" s="236"/>
      <c r="DQ4685" s="236"/>
      <c r="DX4685" s="1671"/>
    </row>
    <row r="4686" spans="38:128">
      <c r="AL4686" s="1037"/>
      <c r="BP4686" s="1385"/>
      <c r="BV4686" s="236">
        <v>27.4</v>
      </c>
      <c r="BW4686" s="236" t="s">
        <v>347</v>
      </c>
      <c r="CL4686" s="338">
        <v>1106</v>
      </c>
      <c r="CM4686" s="338" t="s">
        <v>289</v>
      </c>
      <c r="CT4686" s="1384"/>
      <c r="CZ4686" s="338"/>
      <c r="DA4686" s="338"/>
      <c r="DP4686" s="236"/>
      <c r="DQ4686" s="236"/>
      <c r="DX4686" s="1671"/>
    </row>
    <row r="4687" spans="38:128">
      <c r="AL4687" s="1037"/>
      <c r="BP4687" s="1385"/>
      <c r="BV4687" s="236">
        <v>27.41</v>
      </c>
      <c r="BW4687" s="236" t="s">
        <v>347</v>
      </c>
      <c r="CL4687" s="338">
        <v>1108</v>
      </c>
      <c r="CM4687" s="338" t="s">
        <v>276</v>
      </c>
      <c r="CT4687" s="1384"/>
      <c r="CZ4687" s="338"/>
      <c r="DA4687" s="338"/>
      <c r="DP4687" s="236"/>
      <c r="DQ4687" s="236"/>
      <c r="DX4687" s="1671"/>
    </row>
    <row r="4688" spans="38:128">
      <c r="AL4688" s="1037"/>
      <c r="BP4688" s="1385"/>
      <c r="BV4688" s="236">
        <v>27.42</v>
      </c>
      <c r="BW4688" s="236" t="s">
        <v>347</v>
      </c>
      <c r="CL4688" s="236">
        <v>2501.0300000000002</v>
      </c>
      <c r="CM4688" s="236" t="s">
        <v>320</v>
      </c>
      <c r="CT4688" s="1384"/>
      <c r="CZ4688" s="338"/>
      <c r="DA4688" s="338"/>
      <c r="DP4688" s="236"/>
      <c r="DQ4688" s="236"/>
      <c r="DX4688" s="1671"/>
    </row>
    <row r="4689" spans="38:128">
      <c r="AL4689" s="1037"/>
      <c r="BP4689" s="1385"/>
      <c r="BV4689" s="236">
        <v>27.43</v>
      </c>
      <c r="BW4689" s="236" t="s">
        <v>347</v>
      </c>
      <c r="CL4689" s="236">
        <v>2501.04</v>
      </c>
      <c r="CM4689" s="236" t="s">
        <v>320</v>
      </c>
      <c r="CT4689" s="1384"/>
      <c r="CZ4689" s="338"/>
      <c r="DA4689" s="338"/>
      <c r="DP4689" s="236"/>
      <c r="DQ4689" s="236"/>
      <c r="DX4689" s="1671"/>
    </row>
    <row r="4690" spans="38:128">
      <c r="AL4690" s="1037"/>
      <c r="BP4690" s="1385"/>
      <c r="BV4690" s="236">
        <v>27.44</v>
      </c>
      <c r="BW4690" s="236" t="s">
        <v>347</v>
      </c>
      <c r="CL4690" s="236">
        <v>2501.0500000000002</v>
      </c>
      <c r="CM4690" s="236" t="s">
        <v>320</v>
      </c>
      <c r="CT4690" s="1384"/>
      <c r="CZ4690" s="338"/>
      <c r="DA4690" s="338"/>
      <c r="DP4690" s="236"/>
      <c r="DQ4690" s="236"/>
      <c r="DX4690" s="1671"/>
    </row>
    <row r="4691" spans="38:128">
      <c r="AL4691" s="1037"/>
      <c r="BP4691" s="1385"/>
      <c r="BV4691" s="236">
        <v>27.45</v>
      </c>
      <c r="BW4691" s="236" t="s">
        <v>347</v>
      </c>
      <c r="CL4691" s="236">
        <v>2501.06</v>
      </c>
      <c r="CM4691" s="236" t="s">
        <v>320</v>
      </c>
      <c r="CT4691" s="1384"/>
      <c r="CZ4691" s="338"/>
      <c r="DA4691" s="338"/>
      <c r="DP4691" s="236"/>
      <c r="DQ4691" s="236"/>
      <c r="DX4691" s="1671"/>
    </row>
    <row r="4692" spans="38:128">
      <c r="AL4692" s="1037"/>
      <c r="BP4692" s="1385"/>
      <c r="BV4692" s="236">
        <v>27.46</v>
      </c>
      <c r="BW4692" s="236" t="s">
        <v>347</v>
      </c>
      <c r="CL4692" s="236">
        <v>2502</v>
      </c>
      <c r="CM4692" s="236" t="s">
        <v>320</v>
      </c>
      <c r="CT4692" s="1384"/>
      <c r="CZ4692" s="338"/>
      <c r="DA4692" s="338"/>
      <c r="DP4692" s="236"/>
      <c r="DQ4692" s="236"/>
      <c r="DX4692" s="1671"/>
    </row>
    <row r="4693" spans="38:128">
      <c r="AL4693" s="1037"/>
      <c r="BP4693" s="1385"/>
      <c r="BV4693" s="236">
        <v>27.47</v>
      </c>
      <c r="BW4693" s="236" t="s">
        <v>347</v>
      </c>
      <c r="CL4693" s="236">
        <v>3801</v>
      </c>
      <c r="CM4693" s="236" t="s">
        <v>350</v>
      </c>
      <c r="CT4693" s="1384"/>
      <c r="CZ4693" s="338"/>
      <c r="DA4693" s="338"/>
      <c r="DP4693" s="236"/>
      <c r="DQ4693" s="236"/>
      <c r="DX4693" s="1671"/>
    </row>
    <row r="4694" spans="38:128">
      <c r="AL4694" s="1037"/>
      <c r="BP4694" s="1385"/>
      <c r="BV4694" s="236">
        <v>27.48</v>
      </c>
      <c r="BW4694" s="236" t="s">
        <v>347</v>
      </c>
      <c r="CL4694" s="236">
        <v>3802</v>
      </c>
      <c r="CM4694" s="236" t="s">
        <v>350</v>
      </c>
      <c r="CT4694" s="1384"/>
      <c r="CZ4694" s="338"/>
      <c r="DA4694" s="338"/>
      <c r="DP4694" s="236"/>
      <c r="DQ4694" s="236"/>
      <c r="DX4694" s="1671"/>
    </row>
    <row r="4695" spans="38:128">
      <c r="AL4695" s="1037"/>
      <c r="BP4695" s="1385"/>
      <c r="BV4695" s="236">
        <v>9900</v>
      </c>
      <c r="BW4695" s="236" t="s">
        <v>347</v>
      </c>
      <c r="CL4695" s="236">
        <v>3803</v>
      </c>
      <c r="CM4695" s="236" t="s">
        <v>350</v>
      </c>
      <c r="CT4695" s="1384"/>
      <c r="CZ4695" s="338"/>
      <c r="DA4695" s="338"/>
      <c r="DP4695" s="236"/>
      <c r="DQ4695" s="236"/>
      <c r="DX4695" s="1671"/>
    </row>
    <row r="4696" spans="38:128">
      <c r="AL4696" s="1037"/>
      <c r="BP4696" s="1385"/>
      <c r="BV4696" s="236">
        <v>201.01</v>
      </c>
      <c r="BW4696" s="236" t="s">
        <v>348</v>
      </c>
      <c r="CL4696" s="236">
        <v>3804</v>
      </c>
      <c r="CM4696" s="236" t="s">
        <v>350</v>
      </c>
      <c r="CT4696" s="1384"/>
      <c r="CZ4696" s="338"/>
      <c r="DA4696" s="338"/>
      <c r="DP4696" s="236"/>
      <c r="DQ4696" s="236"/>
      <c r="DX4696" s="1671"/>
    </row>
    <row r="4697" spans="38:128">
      <c r="AL4697" s="1037"/>
      <c r="BP4697" s="1385"/>
      <c r="BV4697" s="236">
        <v>201.02</v>
      </c>
      <c r="BW4697" s="236" t="s">
        <v>348</v>
      </c>
      <c r="CL4697" s="236">
        <v>3805</v>
      </c>
      <c r="CM4697" s="236" t="s">
        <v>350</v>
      </c>
      <c r="CT4697" s="1384"/>
      <c r="CZ4697" s="338"/>
      <c r="DA4697" s="338"/>
      <c r="DP4697" s="236"/>
      <c r="DQ4697" s="236"/>
      <c r="DX4697" s="1671"/>
    </row>
    <row r="4698" spans="38:128">
      <c r="AL4698" s="1037"/>
      <c r="BP4698" s="1385"/>
      <c r="BV4698" s="236">
        <v>202.01</v>
      </c>
      <c r="BW4698" s="236" t="s">
        <v>348</v>
      </c>
      <c r="CL4698" s="236">
        <v>3806</v>
      </c>
      <c r="CM4698" s="236" t="s">
        <v>350</v>
      </c>
      <c r="CT4698" s="1384"/>
      <c r="CZ4698" s="338"/>
      <c r="DA4698" s="338"/>
      <c r="DP4698" s="236"/>
      <c r="DQ4698" s="236"/>
      <c r="DX4698" s="1671"/>
    </row>
    <row r="4699" spans="38:128">
      <c r="AL4699" s="1037"/>
      <c r="BP4699" s="1385"/>
      <c r="BV4699" s="236">
        <v>202.02</v>
      </c>
      <c r="BW4699" s="236" t="s">
        <v>348</v>
      </c>
      <c r="CL4699" s="236">
        <v>3807</v>
      </c>
      <c r="CM4699" s="236" t="s">
        <v>350</v>
      </c>
      <c r="CT4699" s="1384"/>
      <c r="CZ4699" s="338"/>
      <c r="DA4699" s="338"/>
      <c r="DP4699" s="236"/>
      <c r="DQ4699" s="236"/>
      <c r="DX4699" s="1671"/>
    </row>
    <row r="4700" spans="38:128">
      <c r="AL4700" s="1037"/>
      <c r="BP4700" s="1385"/>
      <c r="BV4700" s="236">
        <v>203.01</v>
      </c>
      <c r="BW4700" s="236" t="s">
        <v>348</v>
      </c>
      <c r="CL4700" s="236">
        <v>3808</v>
      </c>
      <c r="CM4700" s="236" t="s">
        <v>350</v>
      </c>
      <c r="CT4700" s="1384"/>
      <c r="CZ4700" s="338"/>
      <c r="DA4700" s="338"/>
      <c r="DP4700" s="236"/>
      <c r="DQ4700" s="236"/>
      <c r="DX4700" s="1671"/>
    </row>
    <row r="4701" spans="38:128">
      <c r="AL4701" s="1037"/>
      <c r="BP4701" s="1385"/>
      <c r="BV4701" s="236">
        <v>203.02</v>
      </c>
      <c r="BW4701" s="236" t="s">
        <v>348</v>
      </c>
      <c r="CL4701" s="236">
        <v>3809.01</v>
      </c>
      <c r="CM4701" s="236" t="s">
        <v>350</v>
      </c>
      <c r="CT4701" s="1384"/>
      <c r="CZ4701" s="338"/>
      <c r="DA4701" s="338"/>
      <c r="DP4701" s="236"/>
      <c r="DQ4701" s="236"/>
      <c r="DX4701" s="1671"/>
    </row>
    <row r="4702" spans="38:128">
      <c r="AL4702" s="1037"/>
      <c r="BP4702" s="1385"/>
      <c r="BV4702" s="236">
        <v>204.01</v>
      </c>
      <c r="BW4702" s="236" t="s">
        <v>348</v>
      </c>
      <c r="CL4702" s="236">
        <v>3809.02</v>
      </c>
      <c r="CM4702" s="236" t="s">
        <v>350</v>
      </c>
      <c r="CT4702" s="1384"/>
      <c r="CZ4702" s="338"/>
      <c r="DA4702" s="338"/>
      <c r="DP4702" s="236"/>
      <c r="DQ4702" s="236"/>
      <c r="DX4702" s="1671"/>
    </row>
    <row r="4703" spans="38:128">
      <c r="AL4703" s="1037"/>
      <c r="BP4703" s="1385"/>
      <c r="BV4703" s="236">
        <v>204.02</v>
      </c>
      <c r="BW4703" s="236" t="s">
        <v>348</v>
      </c>
      <c r="CL4703" s="236">
        <v>3810</v>
      </c>
      <c r="CM4703" s="236" t="s">
        <v>350</v>
      </c>
      <c r="CT4703" s="1384"/>
      <c r="CZ4703" s="338"/>
      <c r="DA4703" s="338"/>
      <c r="DP4703" s="236"/>
      <c r="DQ4703" s="236"/>
      <c r="DX4703" s="1671"/>
    </row>
    <row r="4704" spans="38:128">
      <c r="AL4704" s="1037"/>
      <c r="BP4704" s="1385"/>
      <c r="BV4704" s="236">
        <v>205</v>
      </c>
      <c r="BW4704" s="236" t="s">
        <v>348</v>
      </c>
      <c r="CL4704" s="236">
        <v>3811.03</v>
      </c>
      <c r="CM4704" s="236" t="s">
        <v>350</v>
      </c>
      <c r="CT4704" s="1384"/>
      <c r="CZ4704" s="338"/>
      <c r="DA4704" s="338"/>
      <c r="DP4704" s="236"/>
      <c r="DQ4704" s="236"/>
      <c r="DX4704" s="1671"/>
    </row>
    <row r="4705" spans="38:128">
      <c r="AL4705" s="1037"/>
      <c r="BP4705" s="1385"/>
      <c r="BV4705" s="236">
        <v>206.01</v>
      </c>
      <c r="BW4705" s="236" t="s">
        <v>348</v>
      </c>
      <c r="CL4705" s="236">
        <v>3811.04</v>
      </c>
      <c r="CM4705" s="236" t="s">
        <v>350</v>
      </c>
      <c r="CT4705" s="1384"/>
      <c r="CZ4705" s="338"/>
      <c r="DA4705" s="338"/>
      <c r="DP4705" s="236"/>
      <c r="DQ4705" s="236"/>
      <c r="DX4705" s="1671"/>
    </row>
    <row r="4706" spans="38:128">
      <c r="AL4706" s="1037"/>
      <c r="BP4706" s="1385"/>
      <c r="BV4706" s="236">
        <v>206.02</v>
      </c>
      <c r="BW4706" s="236" t="s">
        <v>348</v>
      </c>
      <c r="CL4706" s="236">
        <v>3811.05</v>
      </c>
      <c r="CM4706" s="236" t="s">
        <v>350</v>
      </c>
      <c r="CT4706" s="1384"/>
      <c r="CZ4706" s="338"/>
      <c r="DA4706" s="338"/>
      <c r="DP4706" s="236"/>
      <c r="DQ4706" s="236"/>
      <c r="DX4706" s="1671"/>
    </row>
    <row r="4707" spans="38:128">
      <c r="AL4707" s="1037"/>
      <c r="BP4707" s="1385"/>
      <c r="BV4707" s="236">
        <v>207.03</v>
      </c>
      <c r="BW4707" s="236" t="s">
        <v>348</v>
      </c>
      <c r="CL4707" s="236">
        <v>3811.06</v>
      </c>
      <c r="CM4707" s="236" t="s">
        <v>350</v>
      </c>
      <c r="CT4707" s="1384"/>
      <c r="CZ4707" s="338"/>
      <c r="DA4707" s="338"/>
      <c r="DP4707" s="236"/>
      <c r="DQ4707" s="236"/>
      <c r="DX4707" s="1671"/>
    </row>
    <row r="4708" spans="38:128">
      <c r="AL4708" s="1037"/>
      <c r="BP4708" s="1385"/>
      <c r="BV4708" s="236">
        <v>207.04</v>
      </c>
      <c r="BW4708" s="236" t="s">
        <v>348</v>
      </c>
      <c r="CL4708" s="236">
        <v>3811.07</v>
      </c>
      <c r="CM4708" s="236" t="s">
        <v>350</v>
      </c>
      <c r="CT4708" s="1384"/>
      <c r="CZ4708" s="338"/>
      <c r="DA4708" s="338"/>
      <c r="DP4708" s="236"/>
      <c r="DQ4708" s="236"/>
      <c r="DX4708" s="1671"/>
    </row>
    <row r="4709" spans="38:128">
      <c r="AL4709" s="1037"/>
      <c r="BP4709" s="1385"/>
      <c r="BV4709" s="236">
        <v>207.05</v>
      </c>
      <c r="BW4709" s="236" t="s">
        <v>348</v>
      </c>
      <c r="CL4709" s="236">
        <v>3812.04</v>
      </c>
      <c r="CM4709" s="236" t="s">
        <v>350</v>
      </c>
      <c r="CT4709" s="1384"/>
      <c r="CZ4709" s="338"/>
      <c r="DA4709" s="338"/>
      <c r="DP4709" s="236"/>
      <c r="DQ4709" s="236"/>
      <c r="DX4709" s="1671"/>
    </row>
    <row r="4710" spans="38:128">
      <c r="AL4710" s="1037"/>
      <c r="BP4710" s="1385"/>
      <c r="BV4710" s="236">
        <v>207.06</v>
      </c>
      <c r="BW4710" s="236" t="s">
        <v>348</v>
      </c>
      <c r="CL4710" s="236">
        <v>3813</v>
      </c>
      <c r="CM4710" s="236" t="s">
        <v>350</v>
      </c>
      <c r="CT4710" s="1384"/>
      <c r="CZ4710" s="338"/>
      <c r="DA4710" s="338"/>
      <c r="DP4710" s="236"/>
      <c r="DQ4710" s="236"/>
      <c r="DX4710" s="1671"/>
    </row>
    <row r="4711" spans="38:128">
      <c r="AL4711" s="1037"/>
      <c r="BP4711" s="1385"/>
      <c r="BV4711" s="236">
        <v>207.07</v>
      </c>
      <c r="BW4711" s="236" t="s">
        <v>348</v>
      </c>
      <c r="CL4711" s="236">
        <v>3814.01</v>
      </c>
      <c r="CM4711" s="236" t="s">
        <v>350</v>
      </c>
      <c r="CT4711" s="1384"/>
      <c r="CZ4711" s="338"/>
      <c r="DA4711" s="338"/>
      <c r="DP4711" s="236"/>
      <c r="DQ4711" s="236"/>
      <c r="DX4711" s="1671"/>
    </row>
    <row r="4712" spans="38:128">
      <c r="AL4712" s="1037"/>
      <c r="BP4712" s="1385"/>
      <c r="BV4712" s="236">
        <v>208.03</v>
      </c>
      <c r="BW4712" s="236" t="s">
        <v>348</v>
      </c>
      <c r="CL4712" s="236">
        <v>3814.02</v>
      </c>
      <c r="CM4712" s="236" t="s">
        <v>350</v>
      </c>
      <c r="CT4712" s="1384"/>
      <c r="CZ4712" s="338"/>
      <c r="DA4712" s="338"/>
      <c r="DP4712" s="236"/>
      <c r="DQ4712" s="236"/>
      <c r="DX4712" s="1671"/>
    </row>
    <row r="4713" spans="38:128">
      <c r="AL4713" s="1037"/>
      <c r="BP4713" s="1385"/>
      <c r="BV4713" s="236">
        <v>208.05</v>
      </c>
      <c r="BW4713" s="236" t="s">
        <v>348</v>
      </c>
      <c r="CL4713" s="236">
        <v>3815.04</v>
      </c>
      <c r="CM4713" s="236" t="s">
        <v>350</v>
      </c>
      <c r="CT4713" s="1384"/>
      <c r="CZ4713" s="338"/>
      <c r="DA4713" s="338"/>
      <c r="DP4713" s="236"/>
      <c r="DQ4713" s="236"/>
      <c r="DX4713" s="1671"/>
    </row>
    <row r="4714" spans="38:128">
      <c r="AL4714" s="1037"/>
      <c r="BP4714" s="1385"/>
      <c r="BV4714" s="236">
        <v>208.06</v>
      </c>
      <c r="BW4714" s="236" t="s">
        <v>348</v>
      </c>
      <c r="CL4714" s="236">
        <v>3815.05</v>
      </c>
      <c r="CM4714" s="236" t="s">
        <v>350</v>
      </c>
      <c r="CT4714" s="1384"/>
      <c r="CZ4714" s="338"/>
      <c r="DA4714" s="338"/>
      <c r="DP4714" s="236"/>
      <c r="DQ4714" s="236"/>
      <c r="DX4714" s="1671"/>
    </row>
    <row r="4715" spans="38:128">
      <c r="AL4715" s="1037"/>
      <c r="BP4715" s="1385"/>
      <c r="BV4715" s="236">
        <v>208.07</v>
      </c>
      <c r="BW4715" s="236" t="s">
        <v>348</v>
      </c>
      <c r="CL4715" s="236">
        <v>3815.06</v>
      </c>
      <c r="CM4715" s="236" t="s">
        <v>350</v>
      </c>
      <c r="CT4715" s="1384"/>
      <c r="CZ4715" s="338"/>
      <c r="DA4715" s="338"/>
      <c r="DP4715" s="236"/>
      <c r="DQ4715" s="236"/>
      <c r="DX4715" s="1671"/>
    </row>
    <row r="4716" spans="38:128">
      <c r="AL4716" s="1037"/>
      <c r="BP4716" s="1385"/>
      <c r="BV4716" s="236">
        <v>208.08</v>
      </c>
      <c r="BW4716" s="236" t="s">
        <v>348</v>
      </c>
      <c r="CL4716" s="236">
        <v>3815.07</v>
      </c>
      <c r="CM4716" s="236" t="s">
        <v>350</v>
      </c>
      <c r="CT4716" s="1384"/>
      <c r="CZ4716" s="338"/>
      <c r="DA4716" s="338"/>
      <c r="DP4716" s="236"/>
      <c r="DQ4716" s="236"/>
      <c r="DX4716" s="1671"/>
    </row>
    <row r="4717" spans="38:128">
      <c r="AL4717" s="1037"/>
      <c r="BP4717" s="1385"/>
      <c r="BV4717" s="236">
        <v>208.1</v>
      </c>
      <c r="BW4717" s="236" t="s">
        <v>348</v>
      </c>
      <c r="CL4717" s="236">
        <v>3815.08</v>
      </c>
      <c r="CM4717" s="236" t="s">
        <v>350</v>
      </c>
      <c r="CT4717" s="1384"/>
      <c r="CZ4717" s="338"/>
      <c r="DA4717" s="338"/>
      <c r="DP4717" s="236"/>
      <c r="DQ4717" s="236"/>
      <c r="DX4717" s="1671"/>
    </row>
    <row r="4718" spans="38:128">
      <c r="AL4718" s="1037"/>
      <c r="BP4718" s="1385"/>
      <c r="BV4718" s="236">
        <v>208.11</v>
      </c>
      <c r="BW4718" s="236" t="s">
        <v>348</v>
      </c>
      <c r="CL4718" s="236">
        <v>3816.02</v>
      </c>
      <c r="CM4718" s="236" t="s">
        <v>350</v>
      </c>
      <c r="CT4718" s="1384"/>
      <c r="CZ4718" s="338"/>
      <c r="DA4718" s="338"/>
      <c r="DP4718" s="236"/>
      <c r="DQ4718" s="236"/>
      <c r="DX4718" s="1671"/>
    </row>
    <row r="4719" spans="38:128">
      <c r="AL4719" s="1037"/>
      <c r="BP4719" s="1385"/>
      <c r="BV4719" s="236">
        <v>208.12</v>
      </c>
      <c r="BW4719" s="236" t="s">
        <v>348</v>
      </c>
      <c r="CL4719" s="236">
        <v>3816.03</v>
      </c>
      <c r="CM4719" s="236" t="s">
        <v>350</v>
      </c>
      <c r="CT4719" s="1384"/>
      <c r="CZ4719" s="338"/>
      <c r="DA4719" s="338"/>
      <c r="DP4719" s="236"/>
      <c r="DQ4719" s="236"/>
      <c r="DX4719" s="1671"/>
    </row>
    <row r="4720" spans="38:128">
      <c r="AL4720" s="1037"/>
      <c r="BP4720" s="1385"/>
      <c r="BV4720" s="236">
        <v>209.01</v>
      </c>
      <c r="BW4720" s="236" t="s">
        <v>348</v>
      </c>
      <c r="CL4720" s="236">
        <v>3816.04</v>
      </c>
      <c r="CM4720" s="236" t="s">
        <v>350</v>
      </c>
      <c r="CT4720" s="1384"/>
      <c r="CZ4720" s="338"/>
      <c r="DA4720" s="338"/>
      <c r="DP4720" s="236"/>
      <c r="DQ4720" s="236"/>
      <c r="DX4720" s="1671"/>
    </row>
    <row r="4721" spans="38:128">
      <c r="AL4721" s="1037"/>
      <c r="BP4721" s="1385"/>
      <c r="BV4721" s="236">
        <v>209.02</v>
      </c>
      <c r="BW4721" s="236" t="s">
        <v>348</v>
      </c>
      <c r="CL4721" s="236">
        <v>3816.05</v>
      </c>
      <c r="CM4721" s="236" t="s">
        <v>350</v>
      </c>
      <c r="CT4721" s="1384"/>
      <c r="CZ4721" s="338"/>
      <c r="DA4721" s="338"/>
      <c r="DP4721" s="236"/>
      <c r="DQ4721" s="236"/>
      <c r="DX4721" s="1671"/>
    </row>
    <row r="4722" spans="38:128">
      <c r="AL4722" s="1037"/>
      <c r="BP4722" s="1385"/>
      <c r="BV4722" s="236">
        <v>209.04</v>
      </c>
      <c r="BW4722" s="236" t="s">
        <v>348</v>
      </c>
      <c r="CL4722" s="236">
        <v>3817.01</v>
      </c>
      <c r="CM4722" s="236" t="s">
        <v>350</v>
      </c>
      <c r="CT4722" s="1384"/>
      <c r="CZ4722" s="338"/>
      <c r="DA4722" s="338"/>
      <c r="DP4722" s="236"/>
      <c r="DQ4722" s="236"/>
      <c r="DX4722" s="1671"/>
    </row>
    <row r="4723" spans="38:128">
      <c r="AL4723" s="1037"/>
      <c r="BP4723" s="1385"/>
      <c r="BV4723" s="236">
        <v>209.05</v>
      </c>
      <c r="BW4723" s="236" t="s">
        <v>348</v>
      </c>
      <c r="CL4723" s="236">
        <v>3817.02</v>
      </c>
      <c r="CM4723" s="236" t="s">
        <v>350</v>
      </c>
      <c r="CT4723" s="1384"/>
      <c r="CZ4723" s="338"/>
      <c r="DA4723" s="338"/>
      <c r="DP4723" s="236"/>
      <c r="DQ4723" s="236"/>
      <c r="DX4723" s="1671"/>
    </row>
    <row r="4724" spans="38:128">
      <c r="AL4724" s="1037"/>
      <c r="BP4724" s="1385"/>
      <c r="BV4724" s="236">
        <v>210</v>
      </c>
      <c r="BW4724" s="236" t="s">
        <v>348</v>
      </c>
      <c r="CL4724" s="236">
        <v>3818.02</v>
      </c>
      <c r="CM4724" s="236" t="s">
        <v>350</v>
      </c>
      <c r="CT4724" s="1384"/>
      <c r="CZ4724" s="338"/>
      <c r="DA4724" s="338"/>
      <c r="DP4724" s="236"/>
      <c r="DQ4724" s="236"/>
      <c r="DX4724" s="1671"/>
    </row>
    <row r="4725" spans="38:128">
      <c r="AL4725" s="1037"/>
      <c r="BP4725" s="1385"/>
      <c r="BV4725" s="236">
        <v>211</v>
      </c>
      <c r="BW4725" s="236" t="s">
        <v>348</v>
      </c>
      <c r="CL4725" s="236">
        <v>3818.03</v>
      </c>
      <c r="CM4725" s="236" t="s">
        <v>350</v>
      </c>
      <c r="CT4725" s="1384"/>
      <c r="CZ4725" s="338"/>
      <c r="DA4725" s="338"/>
      <c r="DP4725" s="236"/>
      <c r="DQ4725" s="236"/>
      <c r="DX4725" s="1671"/>
    </row>
    <row r="4726" spans="38:128">
      <c r="AL4726" s="1037"/>
      <c r="BP4726" s="1385"/>
      <c r="BV4726" s="236">
        <v>212.01</v>
      </c>
      <c r="BW4726" s="236" t="s">
        <v>348</v>
      </c>
      <c r="CL4726" s="236">
        <v>3818.04</v>
      </c>
      <c r="CM4726" s="236" t="s">
        <v>350</v>
      </c>
      <c r="CT4726" s="1384"/>
      <c r="CZ4726" s="338"/>
      <c r="DA4726" s="338"/>
      <c r="DP4726" s="236"/>
      <c r="DQ4726" s="236"/>
      <c r="DX4726" s="1671"/>
    </row>
    <row r="4727" spans="38:128">
      <c r="AL4727" s="1037"/>
      <c r="BP4727" s="1385"/>
      <c r="BV4727" s="236">
        <v>212.03</v>
      </c>
      <c r="BW4727" s="236" t="s">
        <v>348</v>
      </c>
      <c r="CL4727" s="236">
        <v>3819</v>
      </c>
      <c r="CM4727" s="236" t="s">
        <v>350</v>
      </c>
      <c r="CT4727" s="1384"/>
      <c r="CZ4727" s="338"/>
      <c r="DA4727" s="338"/>
      <c r="DP4727" s="236"/>
      <c r="DQ4727" s="236"/>
      <c r="DX4727" s="1671"/>
    </row>
    <row r="4728" spans="38:128">
      <c r="AL4728" s="1037"/>
      <c r="BP4728" s="1385"/>
      <c r="BV4728" s="236">
        <v>212.05</v>
      </c>
      <c r="BW4728" s="236" t="s">
        <v>348</v>
      </c>
      <c r="CL4728" s="236">
        <v>3820.07</v>
      </c>
      <c r="CM4728" s="236" t="s">
        <v>350</v>
      </c>
      <c r="CT4728" s="1384"/>
      <c r="CZ4728" s="338"/>
      <c r="DA4728" s="338"/>
      <c r="DP4728" s="236"/>
      <c r="DQ4728" s="236"/>
      <c r="DX4728" s="1671"/>
    </row>
    <row r="4729" spans="38:128">
      <c r="AL4729" s="1037"/>
      <c r="BP4729" s="1385"/>
      <c r="BV4729" s="236">
        <v>212.06</v>
      </c>
      <c r="BW4729" s="236" t="s">
        <v>348</v>
      </c>
      <c r="CL4729" s="236">
        <v>3820.08</v>
      </c>
      <c r="CM4729" s="236" t="s">
        <v>350</v>
      </c>
      <c r="CT4729" s="1384"/>
      <c r="CZ4729" s="338"/>
      <c r="DA4729" s="338"/>
      <c r="DP4729" s="236"/>
      <c r="DQ4729" s="236"/>
      <c r="DX4729" s="1671"/>
    </row>
    <row r="4730" spans="38:128">
      <c r="AL4730" s="1037"/>
      <c r="BP4730" s="1385"/>
      <c r="BV4730" s="236">
        <v>213.06</v>
      </c>
      <c r="BW4730" s="236" t="s">
        <v>348</v>
      </c>
      <c r="CL4730" s="236">
        <v>3820.09</v>
      </c>
      <c r="CM4730" s="236" t="s">
        <v>350</v>
      </c>
      <c r="CT4730" s="1384"/>
      <c r="CZ4730" s="338"/>
      <c r="DA4730" s="338"/>
      <c r="DP4730" s="236"/>
      <c r="DQ4730" s="236"/>
      <c r="DX4730" s="1671"/>
    </row>
    <row r="4731" spans="38:128">
      <c r="AL4731" s="1037"/>
      <c r="BP4731" s="1385"/>
      <c r="BV4731" s="236">
        <v>213.07</v>
      </c>
      <c r="BW4731" s="236" t="s">
        <v>348</v>
      </c>
      <c r="CL4731" s="236">
        <v>3820.1</v>
      </c>
      <c r="CM4731" s="236" t="s">
        <v>350</v>
      </c>
      <c r="CT4731" s="1384"/>
      <c r="CZ4731" s="338"/>
      <c r="DA4731" s="338"/>
      <c r="DP4731" s="236"/>
      <c r="DQ4731" s="236"/>
      <c r="DX4731" s="1671"/>
    </row>
    <row r="4732" spans="38:128">
      <c r="AL4732" s="1037"/>
      <c r="BP4732" s="1385"/>
      <c r="BV4732" s="236">
        <v>213.11</v>
      </c>
      <c r="BW4732" s="236" t="s">
        <v>348</v>
      </c>
      <c r="CL4732" s="236">
        <v>3820.11</v>
      </c>
      <c r="CM4732" s="236" t="s">
        <v>350</v>
      </c>
      <c r="CT4732" s="1384"/>
      <c r="CZ4732" s="338"/>
      <c r="DA4732" s="338"/>
      <c r="DP4732" s="236"/>
      <c r="DQ4732" s="236"/>
      <c r="DX4732" s="1671"/>
    </row>
    <row r="4733" spans="38:128">
      <c r="AL4733" s="1037"/>
      <c r="BP4733" s="1385"/>
      <c r="BV4733" s="236">
        <v>213.12</v>
      </c>
      <c r="BW4733" s="236" t="s">
        <v>348</v>
      </c>
      <c r="CL4733" s="236">
        <v>3820.12</v>
      </c>
      <c r="CM4733" s="236" t="s">
        <v>350</v>
      </c>
      <c r="CT4733" s="1384"/>
      <c r="CZ4733" s="338"/>
      <c r="DA4733" s="338"/>
      <c r="DP4733" s="236"/>
      <c r="DQ4733" s="236"/>
      <c r="DX4733" s="1671"/>
    </row>
    <row r="4734" spans="38:128">
      <c r="AL4734" s="1037"/>
      <c r="BP4734" s="1385"/>
      <c r="BV4734" s="236">
        <v>213.13</v>
      </c>
      <c r="BW4734" s="236" t="s">
        <v>348</v>
      </c>
      <c r="CL4734" s="236">
        <v>3820.13</v>
      </c>
      <c r="CM4734" s="236" t="s">
        <v>350</v>
      </c>
      <c r="CT4734" s="1384"/>
      <c r="CZ4734" s="338"/>
      <c r="DA4734" s="338"/>
      <c r="DP4734" s="236"/>
      <c r="DQ4734" s="236"/>
      <c r="DX4734" s="1671"/>
    </row>
    <row r="4735" spans="38:128">
      <c r="AL4735" s="1037"/>
      <c r="BP4735" s="1385"/>
      <c r="BV4735" s="236">
        <v>213.14</v>
      </c>
      <c r="BW4735" s="236" t="s">
        <v>348</v>
      </c>
      <c r="CL4735" s="236">
        <v>3820.14</v>
      </c>
      <c r="CM4735" s="236" t="s">
        <v>350</v>
      </c>
      <c r="CT4735" s="1384"/>
      <c r="CZ4735" s="338"/>
      <c r="DA4735" s="338"/>
      <c r="DP4735" s="236"/>
      <c r="DQ4735" s="236"/>
      <c r="DX4735" s="1671"/>
    </row>
    <row r="4736" spans="38:128">
      <c r="AL4736" s="1037"/>
      <c r="BP4736" s="1385"/>
      <c r="BV4736" s="236">
        <v>213.15</v>
      </c>
      <c r="BW4736" s="236" t="s">
        <v>348</v>
      </c>
      <c r="CL4736" s="236">
        <v>3820.15</v>
      </c>
      <c r="CM4736" s="236" t="s">
        <v>350</v>
      </c>
      <c r="CT4736" s="1384"/>
      <c r="CZ4736" s="338"/>
      <c r="DA4736" s="338"/>
      <c r="DP4736" s="236"/>
      <c r="DQ4736" s="236"/>
      <c r="DX4736" s="1671"/>
    </row>
    <row r="4737" spans="38:128">
      <c r="AL4737" s="1037"/>
      <c r="BP4737" s="1385"/>
      <c r="BV4737" s="236">
        <v>213.16</v>
      </c>
      <c r="BW4737" s="236" t="s">
        <v>348</v>
      </c>
      <c r="CL4737" s="236">
        <v>3820.16</v>
      </c>
      <c r="CM4737" s="236" t="s">
        <v>350</v>
      </c>
      <c r="CT4737" s="1384"/>
      <c r="CZ4737" s="338"/>
      <c r="DA4737" s="338"/>
      <c r="DP4737" s="236"/>
      <c r="DQ4737" s="236"/>
      <c r="DX4737" s="1671"/>
    </row>
    <row r="4738" spans="38:128">
      <c r="AL4738" s="1037"/>
      <c r="BP4738" s="1385"/>
      <c r="BV4738" s="236">
        <v>213.17</v>
      </c>
      <c r="BW4738" s="236" t="s">
        <v>348</v>
      </c>
      <c r="CL4738" s="236">
        <v>3821.1</v>
      </c>
      <c r="CM4738" s="236" t="s">
        <v>350</v>
      </c>
      <c r="CT4738" s="1384"/>
      <c r="CZ4738" s="338"/>
      <c r="DA4738" s="338"/>
      <c r="DP4738" s="236"/>
      <c r="DQ4738" s="236"/>
      <c r="DX4738" s="1671"/>
    </row>
    <row r="4739" spans="38:128">
      <c r="AL4739" s="1037"/>
      <c r="BP4739" s="1385"/>
      <c r="BV4739" s="236">
        <v>213.18</v>
      </c>
      <c r="BW4739" s="236" t="s">
        <v>348</v>
      </c>
      <c r="CL4739" s="236">
        <v>3821.12</v>
      </c>
      <c r="CM4739" s="236" t="s">
        <v>350</v>
      </c>
      <c r="CT4739" s="1384"/>
      <c r="CZ4739" s="338"/>
      <c r="DA4739" s="338"/>
      <c r="DP4739" s="236"/>
      <c r="DQ4739" s="236"/>
      <c r="DX4739" s="1671"/>
    </row>
    <row r="4740" spans="38:128">
      <c r="AL4740" s="1037"/>
      <c r="BP4740" s="1385"/>
      <c r="BV4740" s="236">
        <v>213.19</v>
      </c>
      <c r="BW4740" s="236" t="s">
        <v>348</v>
      </c>
      <c r="CL4740" s="236">
        <v>3821.14</v>
      </c>
      <c r="CM4740" s="236" t="s">
        <v>350</v>
      </c>
      <c r="CT4740" s="1384"/>
      <c r="CZ4740" s="338"/>
      <c r="DA4740" s="338"/>
      <c r="DP4740" s="236"/>
      <c r="DQ4740" s="236"/>
      <c r="DX4740" s="1671"/>
    </row>
    <row r="4741" spans="38:128">
      <c r="AL4741" s="1037"/>
      <c r="BP4741" s="1385"/>
      <c r="BV4741" s="236">
        <v>213.2</v>
      </c>
      <c r="BW4741" s="236" t="s">
        <v>348</v>
      </c>
      <c r="CL4741" s="236">
        <v>3821.15</v>
      </c>
      <c r="CM4741" s="236" t="s">
        <v>350</v>
      </c>
      <c r="CT4741" s="1384"/>
      <c r="CZ4741" s="338"/>
      <c r="DA4741" s="338"/>
      <c r="DP4741" s="236"/>
      <c r="DQ4741" s="236"/>
      <c r="DX4741" s="1671"/>
    </row>
    <row r="4742" spans="38:128">
      <c r="AL4742" s="1037"/>
      <c r="BP4742" s="1385"/>
      <c r="BV4742" s="236">
        <v>213.21</v>
      </c>
      <c r="BW4742" s="236" t="s">
        <v>348</v>
      </c>
      <c r="CL4742" s="236">
        <v>3821.16</v>
      </c>
      <c r="CM4742" s="236" t="s">
        <v>350</v>
      </c>
      <c r="CT4742" s="1384"/>
      <c r="CZ4742" s="338"/>
      <c r="DA4742" s="338"/>
      <c r="DP4742" s="236"/>
      <c r="DQ4742" s="236"/>
      <c r="DX4742" s="1671"/>
    </row>
    <row r="4743" spans="38:128">
      <c r="AL4743" s="1037"/>
      <c r="BP4743" s="1385"/>
      <c r="BV4743" s="236">
        <v>214.01</v>
      </c>
      <c r="BW4743" s="236" t="s">
        <v>348</v>
      </c>
      <c r="CL4743" s="236">
        <v>3821.17</v>
      </c>
      <c r="CM4743" s="236" t="s">
        <v>350</v>
      </c>
      <c r="CT4743" s="1384"/>
      <c r="CZ4743" s="338"/>
      <c r="DA4743" s="338"/>
      <c r="DP4743" s="236"/>
      <c r="DQ4743" s="236"/>
      <c r="DX4743" s="1671"/>
    </row>
    <row r="4744" spans="38:128">
      <c r="AL4744" s="1037"/>
      <c r="BP4744" s="1385"/>
      <c r="BV4744" s="236">
        <v>214.03</v>
      </c>
      <c r="BW4744" s="236" t="s">
        <v>348</v>
      </c>
      <c r="CL4744" s="236">
        <v>3821.18</v>
      </c>
      <c r="CM4744" s="236" t="s">
        <v>350</v>
      </c>
      <c r="CT4744" s="1384"/>
      <c r="CZ4744" s="338"/>
      <c r="DA4744" s="338"/>
      <c r="DP4744" s="236"/>
      <c r="DQ4744" s="236"/>
      <c r="DX4744" s="1671"/>
    </row>
    <row r="4745" spans="38:128">
      <c r="AL4745" s="1037"/>
      <c r="BP4745" s="1385"/>
      <c r="BV4745" s="236">
        <v>214.04</v>
      </c>
      <c r="BW4745" s="236" t="s">
        <v>348</v>
      </c>
      <c r="CL4745" s="236">
        <v>3821.19</v>
      </c>
      <c r="CM4745" s="236" t="s">
        <v>350</v>
      </c>
      <c r="CT4745" s="1384"/>
      <c r="CZ4745" s="338"/>
      <c r="DA4745" s="338"/>
      <c r="DP4745" s="236"/>
      <c r="DQ4745" s="236"/>
      <c r="DX4745" s="1671"/>
    </row>
    <row r="4746" spans="38:128">
      <c r="AL4746" s="1037"/>
      <c r="BP4746" s="1385"/>
      <c r="BV4746" s="236">
        <v>215.04</v>
      </c>
      <c r="BW4746" s="236" t="s">
        <v>348</v>
      </c>
      <c r="CL4746" s="236">
        <v>3821.2</v>
      </c>
      <c r="CM4746" s="236" t="s">
        <v>350</v>
      </c>
      <c r="CT4746" s="1384"/>
      <c r="CZ4746" s="338"/>
      <c r="DA4746" s="338"/>
      <c r="DP4746" s="236"/>
      <c r="DQ4746" s="236"/>
      <c r="DX4746" s="1671"/>
    </row>
    <row r="4747" spans="38:128">
      <c r="AL4747" s="1037"/>
      <c r="BP4747" s="1385"/>
      <c r="BV4747" s="236">
        <v>215.05</v>
      </c>
      <c r="BW4747" s="236" t="s">
        <v>348</v>
      </c>
      <c r="CL4747" s="236">
        <v>3821.21</v>
      </c>
      <c r="CM4747" s="236" t="s">
        <v>350</v>
      </c>
      <c r="CT4747" s="1384"/>
      <c r="CZ4747" s="338"/>
      <c r="DA4747" s="338"/>
      <c r="DP4747" s="236"/>
      <c r="DQ4747" s="236"/>
      <c r="DX4747" s="1671"/>
    </row>
    <row r="4748" spans="38:128">
      <c r="AL4748" s="1037"/>
      <c r="BP4748" s="1385"/>
      <c r="BV4748" s="236">
        <v>215.06</v>
      </c>
      <c r="BW4748" s="236" t="s">
        <v>348</v>
      </c>
      <c r="CL4748" s="236">
        <v>3821.22</v>
      </c>
      <c r="CM4748" s="236" t="s">
        <v>350</v>
      </c>
      <c r="CT4748" s="1384"/>
      <c r="CZ4748" s="338"/>
      <c r="DA4748" s="338"/>
      <c r="DP4748" s="236"/>
      <c r="DQ4748" s="236"/>
      <c r="DX4748" s="1671"/>
    </row>
    <row r="4749" spans="38:128">
      <c r="AL4749" s="1037"/>
      <c r="BP4749" s="1385"/>
      <c r="BV4749" s="236">
        <v>215.07</v>
      </c>
      <c r="BW4749" s="236" t="s">
        <v>348</v>
      </c>
      <c r="CL4749" s="236">
        <v>3821.23</v>
      </c>
      <c r="CM4749" s="236" t="s">
        <v>350</v>
      </c>
      <c r="CT4749" s="1384"/>
      <c r="CZ4749" s="338"/>
      <c r="DA4749" s="338"/>
      <c r="DP4749" s="236"/>
      <c r="DQ4749" s="236"/>
      <c r="DX4749" s="1671"/>
    </row>
    <row r="4750" spans="38:128">
      <c r="AL4750" s="1037"/>
      <c r="BP4750" s="1385"/>
      <c r="BV4750" s="236">
        <v>216.04</v>
      </c>
      <c r="BW4750" s="236" t="s">
        <v>348</v>
      </c>
      <c r="CL4750" s="236">
        <v>3821.24</v>
      </c>
      <c r="CM4750" s="236" t="s">
        <v>350</v>
      </c>
      <c r="CT4750" s="1384"/>
      <c r="CZ4750" s="338"/>
      <c r="DA4750" s="338"/>
      <c r="DP4750" s="236"/>
      <c r="DQ4750" s="236"/>
      <c r="DX4750" s="1671"/>
    </row>
    <row r="4751" spans="38:128">
      <c r="AL4751" s="1037"/>
      <c r="BP4751" s="1385"/>
      <c r="BV4751" s="236">
        <v>216.06</v>
      </c>
      <c r="BW4751" s="236" t="s">
        <v>348</v>
      </c>
      <c r="CL4751" s="236">
        <v>3821.25</v>
      </c>
      <c r="CM4751" s="236" t="s">
        <v>350</v>
      </c>
      <c r="CT4751" s="1384"/>
      <c r="CZ4751" s="338"/>
      <c r="DA4751" s="338"/>
      <c r="DP4751" s="236"/>
      <c r="DQ4751" s="236"/>
      <c r="DX4751" s="1671"/>
    </row>
    <row r="4752" spans="38:128">
      <c r="AL4752" s="1037"/>
      <c r="BP4752" s="1385"/>
      <c r="BV4752" s="236">
        <v>216.08</v>
      </c>
      <c r="BW4752" s="236" t="s">
        <v>348</v>
      </c>
      <c r="CL4752" s="236">
        <v>3821.26</v>
      </c>
      <c r="CM4752" s="236" t="s">
        <v>350</v>
      </c>
      <c r="CT4752" s="1384"/>
      <c r="CZ4752" s="338"/>
      <c r="DA4752" s="338"/>
      <c r="DP4752" s="236"/>
      <c r="DQ4752" s="236"/>
      <c r="DX4752" s="1671"/>
    </row>
    <row r="4753" spans="38:128">
      <c r="AL4753" s="1037"/>
      <c r="BP4753" s="1385"/>
      <c r="BV4753" s="236">
        <v>216.09</v>
      </c>
      <c r="BW4753" s="236" t="s">
        <v>348</v>
      </c>
      <c r="CL4753" s="236">
        <v>3821.27</v>
      </c>
      <c r="CM4753" s="236" t="s">
        <v>350</v>
      </c>
      <c r="CT4753" s="1384"/>
      <c r="CZ4753" s="338"/>
      <c r="DA4753" s="338"/>
      <c r="DP4753" s="236"/>
      <c r="DQ4753" s="236"/>
      <c r="DX4753" s="1671"/>
    </row>
    <row r="4754" spans="38:128">
      <c r="AL4754" s="1037"/>
      <c r="BP4754" s="1385"/>
      <c r="BV4754" s="236">
        <v>216.11</v>
      </c>
      <c r="BW4754" s="236" t="s">
        <v>348</v>
      </c>
      <c r="CL4754" s="236">
        <v>3821.28</v>
      </c>
      <c r="CM4754" s="236" t="s">
        <v>350</v>
      </c>
      <c r="CT4754" s="1384"/>
      <c r="CZ4754" s="338"/>
      <c r="DA4754" s="338"/>
      <c r="DP4754" s="236"/>
      <c r="DQ4754" s="236"/>
      <c r="DX4754" s="1671"/>
    </row>
    <row r="4755" spans="38:128">
      <c r="AL4755" s="1037"/>
      <c r="BP4755" s="1385"/>
      <c r="BV4755" s="236">
        <v>216.12</v>
      </c>
      <c r="BW4755" s="236" t="s">
        <v>348</v>
      </c>
      <c r="CL4755" s="236">
        <v>3821.29</v>
      </c>
      <c r="CM4755" s="236" t="s">
        <v>350</v>
      </c>
      <c r="CT4755" s="1384"/>
      <c r="CZ4755" s="338"/>
      <c r="DA4755" s="338"/>
      <c r="DP4755" s="236"/>
      <c r="DQ4755" s="236"/>
      <c r="DX4755" s="1671"/>
    </row>
    <row r="4756" spans="38:128">
      <c r="AL4756" s="1037"/>
      <c r="BP4756" s="1385"/>
      <c r="BV4756" s="236">
        <v>216.13</v>
      </c>
      <c r="BW4756" s="236" t="s">
        <v>348</v>
      </c>
      <c r="CL4756" s="236">
        <v>3821.3</v>
      </c>
      <c r="CM4756" s="236" t="s">
        <v>350</v>
      </c>
      <c r="CT4756" s="1384"/>
      <c r="CZ4756" s="338"/>
      <c r="DA4756" s="338"/>
      <c r="DP4756" s="236"/>
      <c r="DQ4756" s="236"/>
      <c r="DX4756" s="1671"/>
    </row>
    <row r="4757" spans="38:128">
      <c r="AL4757" s="1037"/>
      <c r="BP4757" s="1385"/>
      <c r="BV4757" s="236">
        <v>216.14</v>
      </c>
      <c r="BW4757" s="236" t="s">
        <v>348</v>
      </c>
      <c r="CL4757" s="236">
        <v>3822.01</v>
      </c>
      <c r="CM4757" s="236" t="s">
        <v>350</v>
      </c>
      <c r="CT4757" s="1384"/>
      <c r="CZ4757" s="338"/>
      <c r="DA4757" s="338"/>
      <c r="DP4757" s="236"/>
      <c r="DQ4757" s="236"/>
      <c r="DX4757" s="1671"/>
    </row>
    <row r="4758" spans="38:128">
      <c r="AL4758" s="1037"/>
      <c r="BP4758" s="1385"/>
      <c r="BV4758" s="236">
        <v>216.17</v>
      </c>
      <c r="BW4758" s="236" t="s">
        <v>348</v>
      </c>
      <c r="CL4758" s="236">
        <v>3822.02</v>
      </c>
      <c r="CM4758" s="236" t="s">
        <v>350</v>
      </c>
      <c r="CT4758" s="1384"/>
      <c r="CZ4758" s="338"/>
      <c r="DA4758" s="338"/>
      <c r="DP4758" s="236"/>
      <c r="DQ4758" s="236"/>
      <c r="DX4758" s="1671"/>
    </row>
    <row r="4759" spans="38:128">
      <c r="AL4759" s="1037"/>
      <c r="BP4759" s="1385"/>
      <c r="BV4759" s="236">
        <v>217.04</v>
      </c>
      <c r="BW4759" s="236" t="s">
        <v>348</v>
      </c>
      <c r="CL4759" s="338">
        <v>4501.03</v>
      </c>
      <c r="CM4759" s="338" t="s">
        <v>295</v>
      </c>
      <c r="CT4759" s="1384"/>
      <c r="CZ4759" s="338"/>
      <c r="DA4759" s="338"/>
      <c r="DP4759" s="236"/>
      <c r="DQ4759" s="236"/>
      <c r="DX4759" s="1671"/>
    </row>
    <row r="4760" spans="38:128">
      <c r="AL4760" s="1037"/>
      <c r="BP4760" s="1385"/>
      <c r="BV4760" s="236">
        <v>217.05</v>
      </c>
      <c r="BW4760" s="236" t="s">
        <v>348</v>
      </c>
      <c r="CL4760" s="338">
        <v>4501.04</v>
      </c>
      <c r="CM4760" s="338" t="s">
        <v>295</v>
      </c>
      <c r="CT4760" s="1384"/>
      <c r="CZ4760" s="338"/>
      <c r="DA4760" s="338"/>
      <c r="DP4760" s="236"/>
      <c r="DQ4760" s="236"/>
      <c r="DX4760" s="1671"/>
    </row>
    <row r="4761" spans="38:128">
      <c r="AL4761" s="1037"/>
      <c r="BP4761" s="1385"/>
      <c r="BV4761" s="236">
        <v>217.06</v>
      </c>
      <c r="BW4761" s="236" t="s">
        <v>348</v>
      </c>
      <c r="CL4761" s="338">
        <v>4501.05</v>
      </c>
      <c r="CM4761" s="338" t="s">
        <v>295</v>
      </c>
      <c r="CT4761" s="1384"/>
      <c r="CZ4761" s="338"/>
      <c r="DA4761" s="338"/>
      <c r="DP4761" s="236"/>
      <c r="DQ4761" s="236"/>
      <c r="DX4761" s="1671"/>
    </row>
    <row r="4762" spans="38:128">
      <c r="AL4762" s="1037"/>
      <c r="BP4762" s="1385"/>
      <c r="BV4762" s="236">
        <v>217.07</v>
      </c>
      <c r="BW4762" s="236" t="s">
        <v>348</v>
      </c>
      <c r="CL4762" s="338">
        <v>4501.0600000000004</v>
      </c>
      <c r="CM4762" s="338" t="s">
        <v>295</v>
      </c>
      <c r="CT4762" s="1384"/>
      <c r="CZ4762" s="338"/>
      <c r="DA4762" s="338"/>
      <c r="DP4762" s="236"/>
      <c r="DQ4762" s="236"/>
      <c r="DX4762" s="1671"/>
    </row>
    <row r="4763" spans="38:128">
      <c r="AL4763" s="1037"/>
      <c r="BP4763" s="1385"/>
      <c r="BV4763" s="236">
        <v>217.08</v>
      </c>
      <c r="BW4763" s="236" t="s">
        <v>348</v>
      </c>
      <c r="CL4763" s="338">
        <v>4502.01</v>
      </c>
      <c r="CM4763" s="338" t="s">
        <v>295</v>
      </c>
      <c r="CT4763" s="1384"/>
      <c r="CZ4763" s="338"/>
      <c r="DA4763" s="338"/>
      <c r="DP4763" s="236"/>
      <c r="DQ4763" s="236"/>
      <c r="DX4763" s="1671"/>
    </row>
    <row r="4764" spans="38:128">
      <c r="AL4764" s="1037"/>
      <c r="BP4764" s="1385"/>
      <c r="BV4764" s="236">
        <v>218.02</v>
      </c>
      <c r="BW4764" s="236" t="s">
        <v>348</v>
      </c>
      <c r="CL4764" s="338">
        <v>4502.0200000000004</v>
      </c>
      <c r="CM4764" s="338" t="s">
        <v>295</v>
      </c>
      <c r="CT4764" s="1384"/>
      <c r="CZ4764" s="338"/>
      <c r="DA4764" s="338"/>
      <c r="DP4764" s="236"/>
      <c r="DQ4764" s="236"/>
      <c r="DX4764" s="1671"/>
    </row>
    <row r="4765" spans="38:128">
      <c r="AL4765" s="1037"/>
      <c r="BP4765" s="1385"/>
      <c r="BV4765" s="236">
        <v>218.03</v>
      </c>
      <c r="BW4765" s="236" t="s">
        <v>348</v>
      </c>
      <c r="CL4765" s="338">
        <v>4503.05</v>
      </c>
      <c r="CM4765" s="338" t="s">
        <v>295</v>
      </c>
      <c r="CT4765" s="1384"/>
      <c r="CZ4765" s="338"/>
      <c r="DA4765" s="338"/>
      <c r="DP4765" s="236"/>
      <c r="DQ4765" s="236"/>
      <c r="DX4765" s="1671"/>
    </row>
    <row r="4766" spans="38:128">
      <c r="AL4766" s="1037"/>
      <c r="BP4766" s="1385"/>
      <c r="BV4766" s="236">
        <v>218.05</v>
      </c>
      <c r="BW4766" s="236" t="s">
        <v>348</v>
      </c>
      <c r="CL4766" s="338">
        <v>4503.0600000000004</v>
      </c>
      <c r="CM4766" s="338" t="s">
        <v>295</v>
      </c>
      <c r="CT4766" s="1384"/>
      <c r="CZ4766" s="338"/>
      <c r="DA4766" s="338"/>
      <c r="DP4766" s="236"/>
      <c r="DQ4766" s="236"/>
      <c r="DX4766" s="1671"/>
    </row>
    <row r="4767" spans="38:128">
      <c r="AL4767" s="1037"/>
      <c r="BP4767" s="1385"/>
      <c r="BV4767" s="236">
        <v>218.06</v>
      </c>
      <c r="BW4767" s="236" t="s">
        <v>348</v>
      </c>
      <c r="CL4767" s="338">
        <v>4503.07</v>
      </c>
      <c r="CM4767" s="338" t="s">
        <v>295</v>
      </c>
      <c r="CT4767" s="1384"/>
      <c r="CZ4767" s="338"/>
      <c r="DA4767" s="338"/>
      <c r="DP4767" s="236"/>
      <c r="DQ4767" s="236"/>
      <c r="DX4767" s="1671"/>
    </row>
    <row r="4768" spans="38:128">
      <c r="AL4768" s="1037"/>
      <c r="BP4768" s="1385"/>
      <c r="BV4768" s="236">
        <v>219.01</v>
      </c>
      <c r="BW4768" s="236" t="s">
        <v>348</v>
      </c>
      <c r="CL4768" s="338">
        <v>4503.08</v>
      </c>
      <c r="CM4768" s="338" t="s">
        <v>295</v>
      </c>
      <c r="CT4768" s="1384"/>
      <c r="CZ4768" s="338"/>
      <c r="DA4768" s="338"/>
      <c r="DP4768" s="236"/>
      <c r="DQ4768" s="236"/>
      <c r="DX4768" s="1671"/>
    </row>
    <row r="4769" spans="38:128">
      <c r="AL4769" s="1037"/>
      <c r="BP4769" s="1385"/>
      <c r="BV4769" s="236">
        <v>219.02</v>
      </c>
      <c r="BW4769" s="236" t="s">
        <v>348</v>
      </c>
      <c r="CL4769" s="338">
        <v>4503.09</v>
      </c>
      <c r="CM4769" s="338" t="s">
        <v>295</v>
      </c>
      <c r="CT4769" s="1384"/>
      <c r="CZ4769" s="338"/>
      <c r="DA4769" s="338"/>
      <c r="DP4769" s="236"/>
      <c r="DQ4769" s="236"/>
      <c r="DX4769" s="1671"/>
    </row>
    <row r="4770" spans="38:128">
      <c r="AL4770" s="1037"/>
      <c r="BP4770" s="1385"/>
      <c r="BV4770" s="236">
        <v>220.01</v>
      </c>
      <c r="BW4770" s="236" t="s">
        <v>348</v>
      </c>
      <c r="CL4770" s="338">
        <v>4503.1000000000004</v>
      </c>
      <c r="CM4770" s="338" t="s">
        <v>295</v>
      </c>
      <c r="CT4770" s="1384"/>
      <c r="CZ4770" s="338"/>
      <c r="DA4770" s="338"/>
      <c r="DP4770" s="236"/>
      <c r="DQ4770" s="236"/>
      <c r="DX4770" s="1671"/>
    </row>
    <row r="4771" spans="38:128">
      <c r="AL4771" s="1037"/>
      <c r="BP4771" s="1385"/>
      <c r="BV4771" s="236">
        <v>220.02</v>
      </c>
      <c r="BW4771" s="236" t="s">
        <v>348</v>
      </c>
      <c r="CL4771" s="338">
        <v>4504.01</v>
      </c>
      <c r="CM4771" s="338" t="s">
        <v>295</v>
      </c>
      <c r="CT4771" s="1384"/>
      <c r="CZ4771" s="338"/>
      <c r="DA4771" s="338"/>
      <c r="DP4771" s="236"/>
      <c r="DQ4771" s="236"/>
      <c r="DX4771" s="1671"/>
    </row>
    <row r="4772" spans="38:128">
      <c r="AL4772" s="1037"/>
      <c r="BP4772" s="1385"/>
      <c r="BV4772" s="236">
        <v>220.04</v>
      </c>
      <c r="BW4772" s="236" t="s">
        <v>348</v>
      </c>
      <c r="CL4772" s="338">
        <v>4504.0200000000004</v>
      </c>
      <c r="CM4772" s="338" t="s">
        <v>295</v>
      </c>
      <c r="CT4772" s="1384"/>
      <c r="CZ4772" s="338"/>
      <c r="DA4772" s="338"/>
      <c r="DP4772" s="236"/>
      <c r="DQ4772" s="236"/>
      <c r="DX4772" s="1671"/>
    </row>
    <row r="4773" spans="38:128">
      <c r="AL4773" s="1037"/>
      <c r="BP4773" s="1385"/>
      <c r="BV4773" s="236">
        <v>220.06</v>
      </c>
      <c r="BW4773" s="236" t="s">
        <v>348</v>
      </c>
      <c r="CL4773" s="338">
        <v>4505.01</v>
      </c>
      <c r="CM4773" s="338" t="s">
        <v>295</v>
      </c>
      <c r="CT4773" s="1384"/>
      <c r="CZ4773" s="338"/>
      <c r="DA4773" s="338"/>
      <c r="DP4773" s="236"/>
      <c r="DQ4773" s="236"/>
      <c r="DX4773" s="1671"/>
    </row>
    <row r="4774" spans="38:128">
      <c r="AL4774" s="1037"/>
      <c r="BP4774" s="1385"/>
      <c r="BV4774" s="236">
        <v>220.07</v>
      </c>
      <c r="BW4774" s="236" t="s">
        <v>348</v>
      </c>
      <c r="CL4774" s="338">
        <v>4505.0200000000004</v>
      </c>
      <c r="CM4774" s="338" t="s">
        <v>295</v>
      </c>
      <c r="CT4774" s="1384"/>
      <c r="CZ4774" s="338"/>
      <c r="DA4774" s="338"/>
      <c r="DP4774" s="236"/>
      <c r="DQ4774" s="236"/>
      <c r="DX4774" s="1671"/>
    </row>
    <row r="4775" spans="38:128">
      <c r="AL4775" s="1037"/>
      <c r="BP4775" s="1385"/>
      <c r="BV4775" s="236">
        <v>221.01</v>
      </c>
      <c r="BW4775" s="236" t="s">
        <v>348</v>
      </c>
      <c r="CL4775" s="338">
        <v>4506.01</v>
      </c>
      <c r="CM4775" s="338" t="s">
        <v>295</v>
      </c>
      <c r="CT4775" s="1384"/>
      <c r="CZ4775" s="338"/>
      <c r="DA4775" s="338"/>
      <c r="DP4775" s="236"/>
      <c r="DQ4775" s="236"/>
      <c r="DX4775" s="1671"/>
    </row>
    <row r="4776" spans="38:128">
      <c r="AL4776" s="1037"/>
      <c r="BP4776" s="1385"/>
      <c r="BV4776" s="236">
        <v>221.04</v>
      </c>
      <c r="BW4776" s="236" t="s">
        <v>348</v>
      </c>
      <c r="CL4776" s="338">
        <v>4506.0200000000004</v>
      </c>
      <c r="CM4776" s="338" t="s">
        <v>295</v>
      </c>
      <c r="CT4776" s="1384"/>
      <c r="CZ4776" s="338"/>
      <c r="DA4776" s="338"/>
      <c r="DP4776" s="236"/>
      <c r="DQ4776" s="236"/>
      <c r="DX4776" s="1671"/>
    </row>
    <row r="4777" spans="38:128">
      <c r="AL4777" s="1037"/>
      <c r="BP4777" s="1385"/>
      <c r="BV4777" s="236">
        <v>221.05</v>
      </c>
      <c r="BW4777" s="236" t="s">
        <v>348</v>
      </c>
      <c r="CL4777" s="338">
        <v>4507.03</v>
      </c>
      <c r="CM4777" s="338" t="s">
        <v>295</v>
      </c>
      <c r="CT4777" s="1384"/>
      <c r="CZ4777" s="338"/>
      <c r="DA4777" s="338"/>
      <c r="DP4777" s="236"/>
      <c r="DQ4777" s="236"/>
      <c r="DX4777" s="1671"/>
    </row>
    <row r="4778" spans="38:128">
      <c r="AL4778" s="1037"/>
      <c r="BP4778" s="1385"/>
      <c r="BV4778" s="236">
        <v>221.06</v>
      </c>
      <c r="BW4778" s="236" t="s">
        <v>348</v>
      </c>
      <c r="CL4778" s="338">
        <v>4507.04</v>
      </c>
      <c r="CM4778" s="338" t="s">
        <v>295</v>
      </c>
      <c r="CT4778" s="1384"/>
      <c r="CZ4778" s="338"/>
      <c r="DA4778" s="338"/>
      <c r="DP4778" s="236"/>
      <c r="DQ4778" s="236"/>
      <c r="DX4778" s="1671"/>
    </row>
    <row r="4779" spans="38:128">
      <c r="AL4779" s="1037"/>
      <c r="BP4779" s="1385"/>
      <c r="BV4779" s="236">
        <v>222.01</v>
      </c>
      <c r="BW4779" s="236" t="s">
        <v>348</v>
      </c>
      <c r="CL4779" s="338">
        <v>4507.05</v>
      </c>
      <c r="CM4779" s="338" t="s">
        <v>295</v>
      </c>
      <c r="CT4779" s="1384"/>
      <c r="CZ4779" s="338"/>
      <c r="DA4779" s="338"/>
      <c r="DP4779" s="236"/>
      <c r="DQ4779" s="236"/>
      <c r="DX4779" s="1671"/>
    </row>
    <row r="4780" spans="38:128">
      <c r="AL4780" s="1037"/>
      <c r="BP4780" s="1385"/>
      <c r="BV4780" s="236">
        <v>222.05</v>
      </c>
      <c r="BW4780" s="236" t="s">
        <v>348</v>
      </c>
      <c r="CL4780" s="338">
        <v>4507.0600000000004</v>
      </c>
      <c r="CM4780" s="338" t="s">
        <v>295</v>
      </c>
      <c r="CT4780" s="1384"/>
      <c r="CZ4780" s="338"/>
      <c r="DA4780" s="338"/>
      <c r="DP4780" s="236"/>
      <c r="DQ4780" s="236"/>
      <c r="DX4780" s="1671"/>
    </row>
    <row r="4781" spans="38:128">
      <c r="AL4781" s="1037"/>
      <c r="BP4781" s="1385"/>
      <c r="BV4781" s="236">
        <v>222.06</v>
      </c>
      <c r="BW4781" s="236" t="s">
        <v>348</v>
      </c>
      <c r="CL4781" s="338">
        <v>4508</v>
      </c>
      <c r="CM4781" s="338" t="s">
        <v>295</v>
      </c>
      <c r="CT4781" s="1384"/>
      <c r="CZ4781" s="338"/>
      <c r="DA4781" s="338"/>
      <c r="DP4781" s="236"/>
      <c r="DQ4781" s="236"/>
      <c r="DX4781" s="1671"/>
    </row>
    <row r="4782" spans="38:128">
      <c r="AL4782" s="1037"/>
      <c r="BP4782" s="1385"/>
      <c r="BV4782" s="236">
        <v>222.07</v>
      </c>
      <c r="BW4782" s="236" t="s">
        <v>348</v>
      </c>
      <c r="CL4782" s="338">
        <v>4509.01</v>
      </c>
      <c r="CM4782" s="338" t="s">
        <v>295</v>
      </c>
      <c r="CT4782" s="1384"/>
      <c r="CZ4782" s="338"/>
      <c r="DA4782" s="338"/>
      <c r="DP4782" s="236"/>
      <c r="DQ4782" s="236"/>
      <c r="DX4782" s="1671"/>
    </row>
    <row r="4783" spans="38:128">
      <c r="AL4783" s="1037"/>
      <c r="BP4783" s="1385"/>
      <c r="BV4783" s="236">
        <v>222.08</v>
      </c>
      <c r="BW4783" s="236" t="s">
        <v>348</v>
      </c>
      <c r="CL4783" s="338">
        <v>4509.0200000000004</v>
      </c>
      <c r="CM4783" s="338" t="s">
        <v>295</v>
      </c>
      <c r="CT4783" s="1384"/>
      <c r="CZ4783" s="338"/>
      <c r="DA4783" s="338"/>
      <c r="DP4783" s="236"/>
      <c r="DQ4783" s="236"/>
      <c r="DX4783" s="1671"/>
    </row>
    <row r="4784" spans="38:128">
      <c r="AL4784" s="1037"/>
      <c r="BP4784" s="1385"/>
      <c r="BV4784" s="236">
        <v>222.09</v>
      </c>
      <c r="BW4784" s="236" t="s">
        <v>348</v>
      </c>
      <c r="CL4784" s="338">
        <v>4510.01</v>
      </c>
      <c r="CM4784" s="338" t="s">
        <v>295</v>
      </c>
      <c r="CT4784" s="1384"/>
      <c r="CZ4784" s="338"/>
      <c r="DA4784" s="338"/>
      <c r="DP4784" s="236"/>
      <c r="DQ4784" s="236"/>
      <c r="DX4784" s="1671"/>
    </row>
    <row r="4785" spans="38:128">
      <c r="AL4785" s="1037"/>
      <c r="BP4785" s="1385"/>
      <c r="BV4785" s="236">
        <v>9101</v>
      </c>
      <c r="BW4785" s="236" t="s">
        <v>351</v>
      </c>
      <c r="CL4785" s="338">
        <v>4510.0200000000004</v>
      </c>
      <c r="CM4785" s="338" t="s">
        <v>295</v>
      </c>
      <c r="CT4785" s="1384"/>
      <c r="CZ4785" s="338"/>
      <c r="DA4785" s="338"/>
      <c r="DP4785" s="236"/>
      <c r="DQ4785" s="236"/>
      <c r="DX4785" s="1671"/>
    </row>
    <row r="4786" spans="38:128">
      <c r="AL4786" s="1037"/>
      <c r="BP4786" s="1385"/>
      <c r="BV4786" s="236">
        <v>9103</v>
      </c>
      <c r="BW4786" s="236" t="s">
        <v>351</v>
      </c>
      <c r="CL4786" s="338">
        <v>4511.01</v>
      </c>
      <c r="CM4786" s="338" t="s">
        <v>295</v>
      </c>
      <c r="CT4786" s="1384"/>
      <c r="CZ4786" s="338"/>
      <c r="DA4786" s="338"/>
      <c r="DP4786" s="236"/>
      <c r="DQ4786" s="236"/>
      <c r="DX4786" s="1671"/>
    </row>
    <row r="4787" spans="38:128">
      <c r="AL4787" s="1037"/>
      <c r="BP4787" s="1385"/>
      <c r="BV4787" s="236">
        <v>9104.01</v>
      </c>
      <c r="BW4787" s="236" t="s">
        <v>351</v>
      </c>
      <c r="CL4787" s="338">
        <v>4511.03</v>
      </c>
      <c r="CM4787" s="338" t="s">
        <v>295</v>
      </c>
      <c r="CT4787" s="1384"/>
      <c r="CZ4787" s="338"/>
      <c r="DA4787" s="338"/>
      <c r="DP4787" s="236"/>
      <c r="DQ4787" s="236"/>
      <c r="DX4787" s="1671"/>
    </row>
    <row r="4788" spans="38:128">
      <c r="AL4788" s="1037"/>
      <c r="BP4788" s="1385"/>
      <c r="BV4788" s="236">
        <v>9104.02</v>
      </c>
      <c r="BW4788" s="236" t="s">
        <v>351</v>
      </c>
      <c r="CL4788" s="338">
        <v>4511.04</v>
      </c>
      <c r="CM4788" s="338" t="s">
        <v>295</v>
      </c>
      <c r="CT4788" s="1384"/>
      <c r="CZ4788" s="338"/>
      <c r="DA4788" s="338"/>
      <c r="DP4788" s="236"/>
      <c r="DQ4788" s="236"/>
      <c r="DX4788" s="1671"/>
    </row>
    <row r="4789" spans="38:128">
      <c r="AL4789" s="1037"/>
      <c r="BP4789" s="1385"/>
      <c r="BV4789" s="236">
        <v>9105</v>
      </c>
      <c r="BW4789" s="236" t="s">
        <v>351</v>
      </c>
      <c r="CL4789" s="338">
        <v>4512</v>
      </c>
      <c r="CM4789" s="338" t="s">
        <v>295</v>
      </c>
      <c r="CT4789" s="1384"/>
      <c r="CZ4789" s="338"/>
      <c r="DA4789" s="338"/>
      <c r="DP4789" s="236"/>
      <c r="DQ4789" s="236"/>
      <c r="DX4789" s="1671"/>
    </row>
    <row r="4790" spans="38:128">
      <c r="AL4790" s="1037"/>
      <c r="BP4790" s="1385"/>
      <c r="BV4790" s="236">
        <v>9106.01</v>
      </c>
      <c r="BW4790" s="236" t="s">
        <v>351</v>
      </c>
      <c r="CL4790" s="338">
        <v>4513</v>
      </c>
      <c r="CM4790" s="338" t="s">
        <v>295</v>
      </c>
      <c r="CT4790" s="1384"/>
      <c r="CZ4790" s="338"/>
      <c r="DA4790" s="338"/>
      <c r="DP4790" s="236"/>
      <c r="DQ4790" s="236"/>
      <c r="DX4790" s="1671"/>
    </row>
    <row r="4791" spans="38:128">
      <c r="AL4791" s="1037"/>
      <c r="BP4791" s="1385"/>
      <c r="BV4791" s="236">
        <v>9106.02</v>
      </c>
      <c r="BW4791" s="236" t="s">
        <v>351</v>
      </c>
      <c r="CL4791" s="338">
        <v>4514</v>
      </c>
      <c r="CM4791" s="338" t="s">
        <v>295</v>
      </c>
      <c r="CT4791" s="1384"/>
      <c r="CZ4791" s="338"/>
      <c r="DA4791" s="338"/>
      <c r="DP4791" s="236"/>
      <c r="DQ4791" s="236"/>
      <c r="DX4791" s="1671"/>
    </row>
    <row r="4792" spans="38:128">
      <c r="AL4792" s="1037"/>
      <c r="BP4792" s="1385"/>
      <c r="BV4792" s="236">
        <v>9107.01</v>
      </c>
      <c r="BW4792" s="236" t="s">
        <v>351</v>
      </c>
      <c r="CL4792" s="338">
        <v>4515.01</v>
      </c>
      <c r="CM4792" s="338" t="s">
        <v>295</v>
      </c>
      <c r="CT4792" s="1384"/>
      <c r="CZ4792" s="338"/>
      <c r="DA4792" s="338"/>
      <c r="DP4792" s="236"/>
      <c r="DQ4792" s="236"/>
      <c r="DX4792" s="1671"/>
    </row>
    <row r="4793" spans="38:128">
      <c r="AL4793" s="1037"/>
      <c r="BP4793" s="1385"/>
      <c r="BV4793" s="236">
        <v>9107.02</v>
      </c>
      <c r="BW4793" s="236" t="s">
        <v>351</v>
      </c>
      <c r="CL4793" s="338">
        <v>4515.0200000000004</v>
      </c>
      <c r="CM4793" s="338" t="s">
        <v>295</v>
      </c>
      <c r="CT4793" s="1384"/>
      <c r="CZ4793" s="338"/>
      <c r="DA4793" s="338"/>
      <c r="DP4793" s="236"/>
      <c r="DQ4793" s="236"/>
      <c r="DX4793" s="1671"/>
    </row>
    <row r="4794" spans="38:128">
      <c r="AL4794" s="1037"/>
      <c r="BP4794" s="1385"/>
      <c r="BV4794" s="236">
        <v>9108</v>
      </c>
      <c r="BW4794" s="236" t="s">
        <v>351</v>
      </c>
      <c r="CL4794" s="338">
        <v>4516.03</v>
      </c>
      <c r="CM4794" s="338" t="s">
        <v>295</v>
      </c>
      <c r="CT4794" s="1384"/>
      <c r="CZ4794" s="338"/>
      <c r="DA4794" s="338"/>
      <c r="DP4794" s="236"/>
      <c r="DQ4794" s="236"/>
      <c r="DX4794" s="1671"/>
    </row>
    <row r="4795" spans="38:128">
      <c r="AL4795" s="1037"/>
      <c r="BP4795" s="1385"/>
      <c r="BV4795" s="236">
        <v>9110</v>
      </c>
      <c r="BW4795" s="236" t="s">
        <v>351</v>
      </c>
      <c r="CL4795" s="338">
        <v>4516.04</v>
      </c>
      <c r="CM4795" s="338" t="s">
        <v>295</v>
      </c>
      <c r="CT4795" s="1384"/>
      <c r="CZ4795" s="338"/>
      <c r="DA4795" s="338"/>
      <c r="DP4795" s="236"/>
      <c r="DQ4795" s="236"/>
      <c r="DX4795" s="1671"/>
    </row>
    <row r="4796" spans="38:128">
      <c r="AL4796" s="1037"/>
      <c r="BP4796" s="1385"/>
      <c r="BV4796" s="236">
        <v>9112.01</v>
      </c>
      <c r="BW4796" s="236" t="s">
        <v>351</v>
      </c>
      <c r="CL4796" s="338">
        <v>4516.05</v>
      </c>
      <c r="CM4796" s="338" t="s">
        <v>295</v>
      </c>
      <c r="CT4796" s="1384"/>
      <c r="CZ4796" s="338"/>
      <c r="DA4796" s="338"/>
      <c r="DP4796" s="236"/>
      <c r="DQ4796" s="236"/>
      <c r="DX4796" s="1671"/>
    </row>
    <row r="4797" spans="38:128">
      <c r="AL4797" s="1037"/>
      <c r="BP4797" s="1385"/>
      <c r="BV4797" s="236">
        <v>9112.02</v>
      </c>
      <c r="BW4797" s="236" t="s">
        <v>351</v>
      </c>
      <c r="CL4797" s="338">
        <v>4516.0600000000004</v>
      </c>
      <c r="CM4797" s="338" t="s">
        <v>295</v>
      </c>
      <c r="CT4797" s="1384"/>
      <c r="CZ4797" s="338"/>
      <c r="DA4797" s="338"/>
      <c r="DP4797" s="236"/>
      <c r="DQ4797" s="236"/>
      <c r="DX4797" s="1671"/>
    </row>
    <row r="4798" spans="38:128">
      <c r="AL4798" s="1037"/>
      <c r="BP4798" s="1385"/>
      <c r="BV4798" s="236">
        <v>9112.0300000000007</v>
      </c>
      <c r="BW4798" s="236" t="s">
        <v>351</v>
      </c>
      <c r="CL4798" s="338">
        <v>4517.01</v>
      </c>
      <c r="CM4798" s="338" t="s">
        <v>295</v>
      </c>
      <c r="CT4798" s="1384"/>
      <c r="CZ4798" s="338"/>
      <c r="DA4798" s="338"/>
      <c r="DP4798" s="236"/>
      <c r="DQ4798" s="236"/>
      <c r="DX4798" s="1671"/>
    </row>
    <row r="4799" spans="38:128">
      <c r="AL4799" s="1037"/>
      <c r="BP4799" s="1385"/>
      <c r="BV4799" s="236">
        <v>9112.0400000000009</v>
      </c>
      <c r="BW4799" s="236" t="s">
        <v>351</v>
      </c>
      <c r="CL4799" s="338">
        <v>4517.0200000000004</v>
      </c>
      <c r="CM4799" s="338" t="s">
        <v>295</v>
      </c>
      <c r="CT4799" s="1384"/>
      <c r="CZ4799" s="338"/>
      <c r="DA4799" s="338"/>
      <c r="DP4799" s="236"/>
      <c r="DQ4799" s="236"/>
      <c r="DX4799" s="1671"/>
    </row>
    <row r="4800" spans="38:128">
      <c r="AL4800" s="1037"/>
      <c r="BP4800" s="1385"/>
      <c r="BV4800" s="236">
        <v>9112.0499999999993</v>
      </c>
      <c r="BW4800" s="236" t="s">
        <v>351</v>
      </c>
      <c r="CL4800" s="236">
        <v>4901</v>
      </c>
      <c r="CM4800" s="236" t="s">
        <v>331</v>
      </c>
      <c r="CT4800" s="1384"/>
      <c r="CZ4800" s="338"/>
      <c r="DA4800" s="338"/>
      <c r="DP4800" s="236"/>
      <c r="DQ4800" s="236"/>
      <c r="DX4800" s="1671"/>
    </row>
    <row r="4801" spans="38:128">
      <c r="AL4801" s="1037"/>
      <c r="BP4801" s="1385"/>
      <c r="BV4801" s="236">
        <v>9112.06</v>
      </c>
      <c r="BW4801" s="236" t="s">
        <v>351</v>
      </c>
      <c r="CL4801" s="236">
        <v>9101</v>
      </c>
      <c r="CM4801" s="236" t="s">
        <v>351</v>
      </c>
      <c r="CT4801" s="1384"/>
      <c r="CZ4801" s="338"/>
      <c r="DA4801" s="338"/>
      <c r="DP4801" s="236"/>
      <c r="DQ4801" s="236"/>
      <c r="DX4801" s="1671"/>
    </row>
    <row r="4802" spans="38:128">
      <c r="AL4802" s="1037"/>
      <c r="BP4802" s="1385"/>
      <c r="BV4802" s="236">
        <v>9112.07</v>
      </c>
      <c r="BW4802" s="236" t="s">
        <v>351</v>
      </c>
      <c r="CL4802" s="236">
        <v>9103</v>
      </c>
      <c r="CM4802" s="236" t="s">
        <v>351</v>
      </c>
      <c r="CT4802" s="1384"/>
      <c r="CZ4802" s="338"/>
      <c r="DA4802" s="338"/>
      <c r="DP4802" s="236"/>
      <c r="DQ4802" s="236"/>
      <c r="DX4802" s="1671"/>
    </row>
    <row r="4803" spans="38:128">
      <c r="AL4803" s="1037"/>
      <c r="BP4803" s="1385"/>
      <c r="BV4803" s="236">
        <v>9113.01</v>
      </c>
      <c r="BW4803" s="236" t="s">
        <v>351</v>
      </c>
      <c r="CL4803" s="236">
        <v>9104.01</v>
      </c>
      <c r="CM4803" s="236" t="s">
        <v>351</v>
      </c>
      <c r="CT4803" s="1384"/>
      <c r="CZ4803" s="338"/>
      <c r="DA4803" s="338"/>
      <c r="DP4803" s="236"/>
      <c r="DQ4803" s="236"/>
      <c r="DX4803" s="1671"/>
    </row>
    <row r="4804" spans="38:128">
      <c r="AL4804" s="1037"/>
      <c r="BP4804" s="1385"/>
      <c r="BV4804" s="236">
        <v>9113.02</v>
      </c>
      <c r="BW4804" s="236" t="s">
        <v>351</v>
      </c>
      <c r="CL4804" s="236">
        <v>9104.02</v>
      </c>
      <c r="CM4804" s="236" t="s">
        <v>351</v>
      </c>
      <c r="CT4804" s="1384"/>
      <c r="CZ4804" s="338"/>
      <c r="DA4804" s="338"/>
      <c r="DP4804" s="236"/>
      <c r="DQ4804" s="236"/>
      <c r="DX4804" s="1671"/>
    </row>
    <row r="4805" spans="38:128">
      <c r="AL4805" s="1037"/>
      <c r="BP4805" s="1385"/>
      <c r="BV4805" s="236">
        <v>9114.01</v>
      </c>
      <c r="BW4805" s="236" t="s">
        <v>351</v>
      </c>
      <c r="CL4805" s="236">
        <v>9105</v>
      </c>
      <c r="CM4805" s="236" t="s">
        <v>351</v>
      </c>
      <c r="CT4805" s="1384"/>
      <c r="CZ4805" s="338"/>
      <c r="DA4805" s="338"/>
      <c r="DP4805" s="236"/>
      <c r="DQ4805" s="236"/>
      <c r="DX4805" s="1671"/>
    </row>
    <row r="4806" spans="38:128">
      <c r="AL4806" s="1037"/>
      <c r="BP4806" s="1385"/>
      <c r="BV4806" s="236">
        <v>9114.02</v>
      </c>
      <c r="BW4806" s="236" t="s">
        <v>351</v>
      </c>
      <c r="CL4806" s="236">
        <v>9106.01</v>
      </c>
      <c r="CM4806" s="236" t="s">
        <v>351</v>
      </c>
      <c r="CT4806" s="1384"/>
      <c r="CZ4806" s="338"/>
      <c r="DA4806" s="338"/>
      <c r="DP4806" s="236"/>
      <c r="DQ4806" s="236"/>
      <c r="DX4806" s="1671"/>
    </row>
    <row r="4807" spans="38:128">
      <c r="AL4807" s="1037"/>
      <c r="BP4807" s="1385"/>
      <c r="BV4807" s="236">
        <v>9115</v>
      </c>
      <c r="BW4807" s="236" t="s">
        <v>351</v>
      </c>
      <c r="CL4807" s="236">
        <v>9106.02</v>
      </c>
      <c r="CM4807" s="236" t="s">
        <v>351</v>
      </c>
      <c r="CT4807" s="1384"/>
      <c r="CZ4807" s="338"/>
      <c r="DA4807" s="338"/>
      <c r="DP4807" s="236"/>
      <c r="DQ4807" s="236"/>
      <c r="DX4807" s="1671"/>
    </row>
    <row r="4808" spans="38:128">
      <c r="AL4808" s="1037"/>
      <c r="BP4808" s="1385"/>
      <c r="BV4808" s="236">
        <v>9117.02</v>
      </c>
      <c r="BW4808" s="236" t="s">
        <v>351</v>
      </c>
      <c r="CL4808" s="236">
        <v>9107.01</v>
      </c>
      <c r="CM4808" s="236" t="s">
        <v>351</v>
      </c>
      <c r="CT4808" s="1384"/>
      <c r="CZ4808" s="338"/>
      <c r="DA4808" s="338"/>
      <c r="DP4808" s="236"/>
      <c r="DQ4808" s="236"/>
      <c r="DX4808" s="1671"/>
    </row>
    <row r="4809" spans="38:128">
      <c r="AL4809" s="1037"/>
      <c r="BP4809" s="1385"/>
      <c r="BV4809" s="236">
        <v>9117.0300000000007</v>
      </c>
      <c r="BW4809" s="236" t="s">
        <v>351</v>
      </c>
      <c r="CL4809" s="236">
        <v>9107.02</v>
      </c>
      <c r="CM4809" s="236" t="s">
        <v>351</v>
      </c>
      <c r="CT4809" s="1384"/>
      <c r="CZ4809" s="338"/>
      <c r="DA4809" s="338"/>
      <c r="DP4809" s="236"/>
      <c r="DQ4809" s="236"/>
      <c r="DX4809" s="1671"/>
    </row>
    <row r="4810" spans="38:128">
      <c r="AL4810" s="1037"/>
      <c r="BP4810" s="1385"/>
      <c r="BV4810" s="236">
        <v>9117.0400000000009</v>
      </c>
      <c r="BW4810" s="236" t="s">
        <v>351</v>
      </c>
      <c r="CL4810" s="236">
        <v>9108</v>
      </c>
      <c r="CM4810" s="236" t="s">
        <v>351</v>
      </c>
      <c r="CT4810" s="1384"/>
      <c r="CZ4810" s="338"/>
      <c r="DA4810" s="338"/>
      <c r="DP4810" s="236"/>
      <c r="DQ4810" s="236"/>
      <c r="DX4810" s="1671"/>
    </row>
    <row r="4811" spans="38:128">
      <c r="AL4811" s="1037"/>
      <c r="BP4811" s="1385"/>
      <c r="BV4811" s="236">
        <v>9800</v>
      </c>
      <c r="BW4811" s="236" t="s">
        <v>351</v>
      </c>
      <c r="CL4811" s="236">
        <v>9110</v>
      </c>
      <c r="CM4811" s="236" t="s">
        <v>351</v>
      </c>
      <c r="CT4811" s="1384"/>
      <c r="CZ4811" s="338"/>
      <c r="DA4811" s="338"/>
      <c r="DP4811" s="236"/>
      <c r="DQ4811" s="236"/>
      <c r="DX4811" s="1671"/>
    </row>
    <row r="4812" spans="38:128">
      <c r="AL4812" s="1037"/>
      <c r="BP4812" s="1385"/>
      <c r="BV4812" s="236">
        <v>9801</v>
      </c>
      <c r="BW4812" s="236" t="s">
        <v>351</v>
      </c>
      <c r="CL4812" s="236">
        <v>9112.01</v>
      </c>
      <c r="CM4812" s="236" t="s">
        <v>351</v>
      </c>
      <c r="CT4812" s="1384"/>
      <c r="CZ4812" s="338"/>
      <c r="DA4812" s="338"/>
      <c r="DP4812" s="236"/>
      <c r="DQ4812" s="236"/>
      <c r="DX4812" s="1671"/>
    </row>
    <row r="4813" spans="38:128">
      <c r="AL4813" s="1037"/>
      <c r="BP4813" s="1385"/>
      <c r="BV4813" s="236">
        <v>801.01</v>
      </c>
      <c r="BW4813" s="236" t="s">
        <v>355</v>
      </c>
      <c r="CL4813" s="236">
        <v>9112.02</v>
      </c>
      <c r="CM4813" s="236" t="s">
        <v>351</v>
      </c>
      <c r="CT4813" s="1384"/>
      <c r="CZ4813" s="338"/>
      <c r="DA4813" s="338"/>
      <c r="DP4813" s="236"/>
      <c r="DQ4813" s="236"/>
      <c r="DX4813" s="1671"/>
    </row>
    <row r="4814" spans="38:128">
      <c r="AL4814" s="1037"/>
      <c r="BP4814" s="1385"/>
      <c r="BV4814" s="236">
        <v>801.02</v>
      </c>
      <c r="BW4814" s="236" t="s">
        <v>355</v>
      </c>
      <c r="CL4814" s="236">
        <v>9112.0300000000007</v>
      </c>
      <c r="CM4814" s="236" t="s">
        <v>351</v>
      </c>
      <c r="CT4814" s="1384"/>
      <c r="CZ4814" s="338"/>
      <c r="DA4814" s="338"/>
      <c r="DP4814" s="236"/>
      <c r="DQ4814" s="236"/>
      <c r="DX4814" s="1671"/>
    </row>
    <row r="4815" spans="38:128">
      <c r="AL4815" s="1037"/>
      <c r="BP4815" s="1385"/>
      <c r="BV4815" s="236">
        <v>802.01</v>
      </c>
      <c r="BW4815" s="236" t="s">
        <v>355</v>
      </c>
      <c r="CL4815" s="236">
        <v>9112.0400000000009</v>
      </c>
      <c r="CM4815" s="236" t="s">
        <v>351</v>
      </c>
      <c r="CT4815" s="1384"/>
      <c r="CZ4815" s="338"/>
      <c r="DA4815" s="338"/>
      <c r="DP4815" s="236"/>
      <c r="DQ4815" s="236"/>
      <c r="DX4815" s="1671"/>
    </row>
    <row r="4816" spans="38:128">
      <c r="AL4816" s="1037"/>
      <c r="BP4816" s="1385"/>
      <c r="BV4816" s="236">
        <v>802.02</v>
      </c>
      <c r="BW4816" s="236" t="s">
        <v>355</v>
      </c>
      <c r="CL4816" s="236">
        <v>9112.0499999999993</v>
      </c>
      <c r="CM4816" s="236" t="s">
        <v>351</v>
      </c>
      <c r="CT4816" s="1384"/>
      <c r="CZ4816" s="338"/>
      <c r="DA4816" s="338"/>
      <c r="DP4816" s="236"/>
      <c r="DQ4816" s="236"/>
      <c r="DX4816" s="1671"/>
    </row>
    <row r="4817" spans="38:128">
      <c r="AL4817" s="1037"/>
      <c r="BP4817" s="1385"/>
      <c r="BV4817" s="236">
        <v>803</v>
      </c>
      <c r="BW4817" s="236" t="s">
        <v>355</v>
      </c>
      <c r="CL4817" s="236">
        <v>9112.06</v>
      </c>
      <c r="CM4817" s="236" t="s">
        <v>351</v>
      </c>
      <c r="CT4817" s="1384"/>
      <c r="CZ4817" s="338"/>
      <c r="DA4817" s="338"/>
      <c r="DP4817" s="236"/>
      <c r="DQ4817" s="236"/>
      <c r="DX4817" s="1671"/>
    </row>
    <row r="4818" spans="38:128">
      <c r="AL4818" s="1037"/>
      <c r="BP4818" s="1385"/>
      <c r="BV4818" s="236">
        <v>804</v>
      </c>
      <c r="BW4818" s="236" t="s">
        <v>355</v>
      </c>
      <c r="CL4818" s="236">
        <v>9112.07</v>
      </c>
      <c r="CM4818" s="236" t="s">
        <v>351</v>
      </c>
      <c r="CT4818" s="1384"/>
      <c r="CZ4818" s="338"/>
      <c r="DA4818" s="338"/>
      <c r="DP4818" s="236"/>
      <c r="DQ4818" s="236"/>
      <c r="DX4818" s="1671"/>
    </row>
    <row r="4819" spans="38:128">
      <c r="AL4819" s="1037"/>
      <c r="BP4819" s="1385"/>
      <c r="BV4819" s="236">
        <v>805</v>
      </c>
      <c r="BW4819" s="236" t="s">
        <v>355</v>
      </c>
      <c r="CL4819" s="236">
        <v>9113.01</v>
      </c>
      <c r="CM4819" s="236" t="s">
        <v>351</v>
      </c>
      <c r="CT4819" s="1384"/>
      <c r="CZ4819" s="338"/>
      <c r="DA4819" s="338"/>
      <c r="DP4819" s="236"/>
      <c r="DQ4819" s="236"/>
      <c r="DX4819" s="1671"/>
    </row>
    <row r="4820" spans="38:128">
      <c r="AL4820" s="1037"/>
      <c r="BP4820" s="1385"/>
      <c r="BV4820" s="236">
        <v>806</v>
      </c>
      <c r="BW4820" s="236" t="s">
        <v>355</v>
      </c>
      <c r="CL4820" s="236">
        <v>9113.02</v>
      </c>
      <c r="CM4820" s="236" t="s">
        <v>351</v>
      </c>
      <c r="CT4820" s="1384"/>
      <c r="CZ4820" s="338"/>
      <c r="DA4820" s="338"/>
      <c r="DP4820" s="236"/>
      <c r="DQ4820" s="236"/>
      <c r="DX4820" s="1671"/>
    </row>
    <row r="4821" spans="38:128">
      <c r="AL4821" s="1037"/>
      <c r="BP4821" s="1385"/>
      <c r="BV4821" s="236">
        <v>807</v>
      </c>
      <c r="BW4821" s="236" t="s">
        <v>355</v>
      </c>
      <c r="CL4821" s="236">
        <v>9114.01</v>
      </c>
      <c r="CM4821" s="236" t="s">
        <v>351</v>
      </c>
      <c r="CT4821" s="1384"/>
      <c r="CZ4821" s="338"/>
      <c r="DA4821" s="338"/>
      <c r="DP4821" s="236"/>
      <c r="DQ4821" s="236"/>
      <c r="DX4821" s="1671"/>
    </row>
    <row r="4822" spans="38:128">
      <c r="AL4822" s="1037"/>
      <c r="BP4822" s="1385"/>
      <c r="BV4822" s="236">
        <v>808.03</v>
      </c>
      <c r="BW4822" s="236" t="s">
        <v>355</v>
      </c>
      <c r="CL4822" s="236">
        <v>9114.02</v>
      </c>
      <c r="CM4822" s="236" t="s">
        <v>351</v>
      </c>
      <c r="CT4822" s="1384"/>
      <c r="CZ4822" s="338"/>
      <c r="DA4822" s="338"/>
      <c r="DP4822" s="236"/>
      <c r="DQ4822" s="236"/>
      <c r="DX4822" s="1671"/>
    </row>
    <row r="4823" spans="38:128">
      <c r="AL4823" s="1037"/>
      <c r="BP4823" s="1385"/>
      <c r="BV4823" s="236">
        <v>808.05</v>
      </c>
      <c r="BW4823" s="236" t="s">
        <v>355</v>
      </c>
      <c r="CL4823" s="236">
        <v>9115</v>
      </c>
      <c r="CM4823" s="236" t="s">
        <v>351</v>
      </c>
      <c r="CT4823" s="1384"/>
      <c r="CZ4823" s="338"/>
      <c r="DA4823" s="338"/>
      <c r="DP4823" s="236"/>
      <c r="DQ4823" s="236"/>
      <c r="DX4823" s="1671"/>
    </row>
    <row r="4824" spans="38:128">
      <c r="AL4824" s="1037"/>
      <c r="BP4824" s="1385"/>
      <c r="BV4824" s="236">
        <v>808.06</v>
      </c>
      <c r="BW4824" s="236" t="s">
        <v>355</v>
      </c>
      <c r="CL4824" s="236">
        <v>9117.02</v>
      </c>
      <c r="CM4824" s="236" t="s">
        <v>351</v>
      </c>
      <c r="CT4824" s="1384"/>
      <c r="CZ4824" s="338"/>
      <c r="DA4824" s="338"/>
      <c r="DP4824" s="236"/>
      <c r="DQ4824" s="236"/>
      <c r="DX4824" s="1671"/>
    </row>
    <row r="4825" spans="38:128">
      <c r="AL4825" s="1037"/>
      <c r="BP4825" s="1385"/>
      <c r="BV4825" s="236">
        <v>808.07</v>
      </c>
      <c r="BW4825" s="236" t="s">
        <v>355</v>
      </c>
      <c r="CL4825" s="236">
        <v>9117.0300000000007</v>
      </c>
      <c r="CM4825" s="236" t="s">
        <v>351</v>
      </c>
      <c r="CT4825" s="1384"/>
      <c r="CZ4825" s="338"/>
      <c r="DA4825" s="338"/>
      <c r="DP4825" s="236"/>
      <c r="DQ4825" s="236"/>
      <c r="DX4825" s="1671"/>
    </row>
    <row r="4826" spans="38:128">
      <c r="AL4826" s="1037"/>
      <c r="BP4826" s="1385"/>
      <c r="BV4826" s="236">
        <v>808.08</v>
      </c>
      <c r="BW4826" s="236" t="s">
        <v>355</v>
      </c>
      <c r="CL4826" s="236">
        <v>9117.0400000000009</v>
      </c>
      <c r="CM4826" s="236" t="s">
        <v>351</v>
      </c>
      <c r="CT4826" s="1384"/>
      <c r="CZ4826" s="338"/>
      <c r="DA4826" s="338"/>
      <c r="DP4826" s="236"/>
      <c r="DQ4826" s="236"/>
      <c r="DX4826" s="1671"/>
    </row>
    <row r="4827" spans="38:128">
      <c r="AL4827" s="1037"/>
      <c r="BP4827" s="1385"/>
      <c r="BV4827" s="236">
        <v>808.09</v>
      </c>
      <c r="BW4827" s="236" t="s">
        <v>355</v>
      </c>
      <c r="CL4827" s="236">
        <v>9501</v>
      </c>
      <c r="CM4827" s="236" t="s">
        <v>308</v>
      </c>
      <c r="CT4827" s="1384"/>
      <c r="CZ4827" s="338"/>
      <c r="DA4827" s="338"/>
      <c r="DP4827" s="236"/>
      <c r="DQ4827" s="236"/>
      <c r="DX4827" s="1671"/>
    </row>
    <row r="4828" spans="38:128">
      <c r="AL4828" s="1037"/>
      <c r="BP4828" s="1385"/>
      <c r="BV4828" s="236">
        <v>809.01</v>
      </c>
      <c r="BW4828" s="236" t="s">
        <v>355</v>
      </c>
      <c r="CL4828" s="236">
        <v>9501.02</v>
      </c>
      <c r="CM4828" s="236" t="s">
        <v>357</v>
      </c>
      <c r="CT4828" s="1384"/>
      <c r="CZ4828" s="338"/>
      <c r="DA4828" s="338"/>
      <c r="DP4828" s="236"/>
      <c r="DQ4828" s="236"/>
      <c r="DX4828" s="1671"/>
    </row>
    <row r="4829" spans="38:128">
      <c r="AL4829" s="1037"/>
      <c r="BP4829" s="1385"/>
      <c r="BV4829" s="236">
        <v>809.02</v>
      </c>
      <c r="BW4829" s="236" t="s">
        <v>355</v>
      </c>
      <c r="CL4829" s="236">
        <v>9501.0300000000007</v>
      </c>
      <c r="CM4829" s="236" t="s">
        <v>357</v>
      </c>
      <c r="CT4829" s="1384"/>
      <c r="CZ4829" s="338"/>
      <c r="DA4829" s="338"/>
      <c r="DP4829" s="236"/>
      <c r="DQ4829" s="236"/>
      <c r="DX4829" s="1671"/>
    </row>
    <row r="4830" spans="38:128">
      <c r="AL4830" s="1037"/>
      <c r="BP4830" s="1385"/>
      <c r="BV4830" s="236">
        <v>810.01</v>
      </c>
      <c r="BW4830" s="236" t="s">
        <v>355</v>
      </c>
      <c r="CL4830" s="236">
        <v>9501.0400000000009</v>
      </c>
      <c r="CM4830" s="236" t="s">
        <v>357</v>
      </c>
      <c r="CT4830" s="1384"/>
      <c r="CZ4830" s="338"/>
      <c r="DA4830" s="338"/>
      <c r="DP4830" s="236"/>
      <c r="DQ4830" s="236"/>
      <c r="DX4830" s="1671"/>
    </row>
    <row r="4831" spans="38:128">
      <c r="AL4831" s="1037"/>
      <c r="BP4831" s="1385"/>
      <c r="BV4831" s="236">
        <v>810.02</v>
      </c>
      <c r="BW4831" s="236" t="s">
        <v>355</v>
      </c>
      <c r="CL4831" s="236">
        <v>9502.01</v>
      </c>
      <c r="CM4831" s="236" t="s">
        <v>308</v>
      </c>
      <c r="CT4831" s="1384"/>
      <c r="CZ4831" s="338"/>
      <c r="DA4831" s="338"/>
      <c r="DP4831" s="236"/>
      <c r="DQ4831" s="236"/>
      <c r="DX4831" s="1671"/>
    </row>
    <row r="4832" spans="38:128">
      <c r="AL4832" s="1037"/>
      <c r="BP4832" s="1385"/>
      <c r="BV4832" s="236">
        <v>811.01</v>
      </c>
      <c r="BW4832" s="236" t="s">
        <v>355</v>
      </c>
      <c r="CL4832" s="236">
        <v>9502.01</v>
      </c>
      <c r="CM4832" s="236" t="s">
        <v>357</v>
      </c>
      <c r="CT4832" s="1384"/>
      <c r="CZ4832" s="338"/>
      <c r="DA4832" s="338"/>
      <c r="DP4832" s="236"/>
      <c r="DQ4832" s="236"/>
      <c r="DX4832" s="1671"/>
    </row>
    <row r="4833" spans="38:128">
      <c r="AL4833" s="1037"/>
      <c r="BP4833" s="1385"/>
      <c r="BV4833" s="236">
        <v>811.02</v>
      </c>
      <c r="BW4833" s="236" t="s">
        <v>355</v>
      </c>
      <c r="CL4833" s="236">
        <v>9502.02</v>
      </c>
      <c r="CM4833" s="236" t="s">
        <v>308</v>
      </c>
      <c r="CT4833" s="1384"/>
      <c r="CZ4833" s="338"/>
      <c r="DA4833" s="338"/>
      <c r="DP4833" s="236"/>
      <c r="DQ4833" s="236"/>
      <c r="DX4833" s="1671"/>
    </row>
    <row r="4834" spans="38:128">
      <c r="AL4834" s="1037"/>
      <c r="BP4834" s="1385"/>
      <c r="BV4834" s="236">
        <v>812.01</v>
      </c>
      <c r="BW4834" s="236" t="s">
        <v>355</v>
      </c>
      <c r="CL4834" s="236">
        <v>9502.02</v>
      </c>
      <c r="CM4834" s="236" t="s">
        <v>357</v>
      </c>
      <c r="CT4834" s="1384"/>
      <c r="CZ4834" s="338"/>
      <c r="DA4834" s="338"/>
      <c r="DP4834" s="236"/>
      <c r="DQ4834" s="236"/>
      <c r="DX4834" s="1671"/>
    </row>
    <row r="4835" spans="38:128">
      <c r="AL4835" s="1037"/>
      <c r="BP4835" s="1385"/>
      <c r="BV4835" s="236">
        <v>812.02</v>
      </c>
      <c r="BW4835" s="236" t="s">
        <v>355</v>
      </c>
      <c r="CL4835" s="236">
        <v>9502.0300000000007</v>
      </c>
      <c r="CM4835" s="236" t="s">
        <v>308</v>
      </c>
      <c r="CT4835" s="1384"/>
      <c r="CZ4835" s="338"/>
      <c r="DA4835" s="338"/>
      <c r="DP4835" s="236"/>
      <c r="DQ4835" s="236"/>
      <c r="DX4835" s="1671"/>
    </row>
    <row r="4836" spans="38:128">
      <c r="AL4836" s="1037"/>
      <c r="BP4836" s="1385"/>
      <c r="BV4836" s="236">
        <v>813</v>
      </c>
      <c r="BW4836" s="236" t="s">
        <v>355</v>
      </c>
      <c r="CL4836" s="236">
        <v>9502.0400000000009</v>
      </c>
      <c r="CM4836" s="236" t="s">
        <v>308</v>
      </c>
      <c r="CT4836" s="1384"/>
      <c r="CZ4836" s="338"/>
      <c r="DA4836" s="338"/>
      <c r="DP4836" s="236"/>
      <c r="DQ4836" s="236"/>
      <c r="DX4836" s="1671"/>
    </row>
    <row r="4837" spans="38:128">
      <c r="AL4837" s="1037"/>
      <c r="BP4837" s="1385"/>
      <c r="BV4837" s="236">
        <v>815</v>
      </c>
      <c r="BW4837" s="236" t="s">
        <v>355</v>
      </c>
      <c r="CL4837" s="236">
        <v>9503.0300000000007</v>
      </c>
      <c r="CM4837" s="236" t="s">
        <v>357</v>
      </c>
      <c r="CT4837" s="1384"/>
      <c r="CZ4837" s="338"/>
      <c r="DA4837" s="338"/>
      <c r="DP4837" s="236"/>
      <c r="DQ4837" s="236"/>
      <c r="DX4837" s="1671"/>
    </row>
    <row r="4838" spans="38:128">
      <c r="AL4838" s="1037"/>
      <c r="BP4838" s="1385"/>
      <c r="BV4838" s="236">
        <v>816</v>
      </c>
      <c r="BW4838" s="236" t="s">
        <v>355</v>
      </c>
      <c r="CL4838" s="236">
        <v>9503.0400000000009</v>
      </c>
      <c r="CM4838" s="236" t="s">
        <v>357</v>
      </c>
      <c r="CT4838" s="1384"/>
      <c r="CZ4838" s="338"/>
      <c r="DA4838" s="338"/>
      <c r="DP4838" s="236"/>
      <c r="DQ4838" s="236"/>
      <c r="DX4838" s="1671"/>
    </row>
    <row r="4839" spans="38:128">
      <c r="AL4839" s="1037"/>
      <c r="BP4839" s="1385"/>
      <c r="BV4839" s="236">
        <v>817.01</v>
      </c>
      <c r="BW4839" s="236" t="s">
        <v>355</v>
      </c>
      <c r="CL4839" s="236">
        <v>9503.0499999999993</v>
      </c>
      <c r="CM4839" s="236" t="s">
        <v>357</v>
      </c>
      <c r="CT4839" s="1384"/>
      <c r="CZ4839" s="338"/>
      <c r="DA4839" s="338"/>
      <c r="DP4839" s="236"/>
      <c r="DQ4839" s="236"/>
      <c r="DX4839" s="1671"/>
    </row>
    <row r="4840" spans="38:128">
      <c r="AL4840" s="1037"/>
      <c r="BP4840" s="1385"/>
      <c r="BV4840" s="236">
        <v>817.02</v>
      </c>
      <c r="BW4840" s="236" t="s">
        <v>355</v>
      </c>
      <c r="CL4840" s="236">
        <v>9503.06</v>
      </c>
      <c r="CM4840" s="236" t="s">
        <v>357</v>
      </c>
      <c r="CT4840" s="1384"/>
      <c r="CZ4840" s="338"/>
      <c r="DA4840" s="338"/>
      <c r="DP4840" s="236"/>
      <c r="DQ4840" s="236"/>
      <c r="DX4840" s="1671"/>
    </row>
    <row r="4841" spans="38:128">
      <c r="AL4841" s="1037"/>
      <c r="BP4841" s="1385"/>
      <c r="BV4841" s="236">
        <v>818</v>
      </c>
      <c r="BW4841" s="236" t="s">
        <v>355</v>
      </c>
      <c r="CL4841" s="236">
        <v>9504</v>
      </c>
      <c r="CM4841" s="236" t="s">
        <v>357</v>
      </c>
      <c r="CT4841" s="1384"/>
      <c r="CZ4841" s="338"/>
      <c r="DA4841" s="338"/>
      <c r="DP4841" s="236"/>
      <c r="DQ4841" s="236"/>
      <c r="DX4841" s="1671"/>
    </row>
    <row r="4842" spans="38:128">
      <c r="AL4842" s="1037"/>
      <c r="BP4842" s="1385"/>
      <c r="BV4842" s="236">
        <v>819</v>
      </c>
      <c r="BW4842" s="236" t="s">
        <v>355</v>
      </c>
      <c r="CL4842" s="236">
        <v>9505.01</v>
      </c>
      <c r="CM4842" s="236" t="s">
        <v>357</v>
      </c>
      <c r="CT4842" s="1384"/>
      <c r="CZ4842" s="338"/>
      <c r="DA4842" s="338"/>
      <c r="DP4842" s="236"/>
      <c r="DQ4842" s="236"/>
      <c r="DX4842" s="1671"/>
    </row>
    <row r="4843" spans="38:128">
      <c r="AL4843" s="1037"/>
      <c r="BP4843" s="1385"/>
      <c r="BV4843" s="236">
        <v>820</v>
      </c>
      <c r="BW4843" s="236" t="s">
        <v>355</v>
      </c>
      <c r="CL4843" s="236">
        <v>9505.02</v>
      </c>
      <c r="CM4843" s="236" t="s">
        <v>357</v>
      </c>
      <c r="CT4843" s="1384"/>
      <c r="CZ4843" s="338"/>
      <c r="DA4843" s="338"/>
      <c r="DP4843" s="236"/>
      <c r="DQ4843" s="236"/>
      <c r="DX4843" s="1671"/>
    </row>
    <row r="4844" spans="38:128">
      <c r="AL4844" s="1037"/>
      <c r="BP4844" s="1385"/>
      <c r="BV4844" s="236">
        <v>821</v>
      </c>
      <c r="BW4844" s="236" t="s">
        <v>355</v>
      </c>
      <c r="CL4844" s="236">
        <v>9506.0400000000009</v>
      </c>
      <c r="CM4844" s="236" t="s">
        <v>357</v>
      </c>
      <c r="CT4844" s="1384"/>
      <c r="CZ4844" s="338"/>
      <c r="DA4844" s="338"/>
      <c r="DP4844" s="236"/>
      <c r="DQ4844" s="236"/>
      <c r="DX4844" s="1671"/>
    </row>
    <row r="4845" spans="38:128">
      <c r="AL4845" s="1037"/>
      <c r="BP4845" s="1385"/>
      <c r="BV4845" s="236">
        <v>822.01</v>
      </c>
      <c r="BW4845" s="236" t="s">
        <v>355</v>
      </c>
      <c r="CL4845" s="236">
        <v>9506.0499999999993</v>
      </c>
      <c r="CM4845" s="236" t="s">
        <v>357</v>
      </c>
      <c r="CT4845" s="1384"/>
      <c r="CZ4845" s="338"/>
      <c r="DA4845" s="338"/>
      <c r="DP4845" s="236"/>
      <c r="DQ4845" s="236"/>
      <c r="DX4845" s="1671"/>
    </row>
    <row r="4846" spans="38:128">
      <c r="AL4846" s="1037"/>
      <c r="BP4846" s="1385"/>
      <c r="BV4846" s="236">
        <v>822.02</v>
      </c>
      <c r="BW4846" s="236" t="s">
        <v>355</v>
      </c>
      <c r="CL4846" s="236">
        <v>9506.06</v>
      </c>
      <c r="CM4846" s="236" t="s">
        <v>357</v>
      </c>
      <c r="CT4846" s="1384"/>
      <c r="CZ4846" s="338"/>
      <c r="DA4846" s="338"/>
      <c r="DP4846" s="236"/>
      <c r="DQ4846" s="236"/>
      <c r="DX4846" s="1671"/>
    </row>
    <row r="4847" spans="38:128">
      <c r="AL4847" s="1037"/>
      <c r="BP4847" s="1385"/>
      <c r="BV4847" s="236">
        <v>823.02</v>
      </c>
      <c r="BW4847" s="236" t="s">
        <v>355</v>
      </c>
      <c r="CL4847" s="236">
        <v>9506.07</v>
      </c>
      <c r="CM4847" s="236" t="s">
        <v>357</v>
      </c>
      <c r="CT4847" s="1384"/>
      <c r="CZ4847" s="338"/>
      <c r="DA4847" s="338"/>
      <c r="DP4847" s="236"/>
      <c r="DQ4847" s="236"/>
      <c r="DX4847" s="1671"/>
    </row>
    <row r="4848" spans="38:128">
      <c r="AL4848" s="1037"/>
      <c r="BP4848" s="1385"/>
      <c r="BV4848" s="236">
        <v>823.03</v>
      </c>
      <c r="BW4848" s="236" t="s">
        <v>355</v>
      </c>
      <c r="CL4848" s="236">
        <v>9506.08</v>
      </c>
      <c r="CM4848" s="236" t="s">
        <v>357</v>
      </c>
      <c r="CT4848" s="1384"/>
      <c r="CZ4848" s="338"/>
      <c r="DA4848" s="338"/>
      <c r="DP4848" s="236"/>
      <c r="DQ4848" s="236"/>
      <c r="DX4848" s="1671"/>
    </row>
    <row r="4849" spans="38:128">
      <c r="AL4849" s="1037"/>
      <c r="BP4849" s="1385"/>
      <c r="BV4849" s="236">
        <v>824.01</v>
      </c>
      <c r="BW4849" s="236" t="s">
        <v>355</v>
      </c>
      <c r="CL4849" s="236">
        <v>9506.09</v>
      </c>
      <c r="CM4849" s="236" t="s">
        <v>357</v>
      </c>
      <c r="CT4849" s="1384"/>
      <c r="CZ4849" s="338"/>
      <c r="DA4849" s="338"/>
      <c r="DP4849" s="236"/>
      <c r="DQ4849" s="236"/>
      <c r="DX4849" s="1671"/>
    </row>
    <row r="4850" spans="38:128">
      <c r="AL4850" s="1037"/>
      <c r="BP4850" s="1385"/>
      <c r="BV4850" s="236">
        <v>824.04</v>
      </c>
      <c r="BW4850" s="236" t="s">
        <v>355</v>
      </c>
      <c r="CL4850" s="236">
        <v>9506.1</v>
      </c>
      <c r="CM4850" s="236" t="s">
        <v>357</v>
      </c>
      <c r="CT4850" s="1384"/>
      <c r="CZ4850" s="338"/>
      <c r="DA4850" s="338"/>
      <c r="DP4850" s="236"/>
      <c r="DQ4850" s="236"/>
      <c r="DX4850" s="1671"/>
    </row>
    <row r="4851" spans="38:128">
      <c r="AL4851" s="1037"/>
      <c r="BP4851" s="1385"/>
      <c r="BV4851" s="236">
        <v>824.05</v>
      </c>
      <c r="BW4851" s="236" t="s">
        <v>355</v>
      </c>
      <c r="CL4851" s="236">
        <v>9506.11</v>
      </c>
      <c r="CM4851" s="236" t="s">
        <v>357</v>
      </c>
      <c r="CT4851" s="1384"/>
      <c r="CZ4851" s="338"/>
      <c r="DA4851" s="338"/>
      <c r="DP4851" s="236"/>
      <c r="DQ4851" s="236"/>
      <c r="DX4851" s="1671"/>
    </row>
    <row r="4852" spans="38:128">
      <c r="AL4852" s="1037"/>
      <c r="BP4852" s="1385"/>
      <c r="BV4852" s="236">
        <v>824.06</v>
      </c>
      <c r="BW4852" s="236" t="s">
        <v>355</v>
      </c>
      <c r="CL4852" s="236">
        <v>9601.01</v>
      </c>
      <c r="CM4852" s="236" t="s">
        <v>315</v>
      </c>
      <c r="CT4852" s="1384"/>
      <c r="CZ4852" s="338"/>
      <c r="DA4852" s="338"/>
      <c r="DP4852" s="236"/>
      <c r="DQ4852" s="236"/>
      <c r="DX4852" s="1671"/>
    </row>
    <row r="4853" spans="38:128">
      <c r="AL4853" s="1037"/>
      <c r="BP4853" s="1385"/>
      <c r="BV4853" s="236">
        <v>824.1</v>
      </c>
      <c r="BW4853" s="236" t="s">
        <v>355</v>
      </c>
      <c r="CL4853" s="236">
        <v>9601.02</v>
      </c>
      <c r="CM4853" s="236" t="s">
        <v>315</v>
      </c>
      <c r="CT4853" s="1384"/>
      <c r="CZ4853" s="338"/>
      <c r="DA4853" s="338"/>
      <c r="DP4853" s="236"/>
      <c r="DQ4853" s="236"/>
      <c r="DX4853" s="1671"/>
    </row>
    <row r="4854" spans="38:128">
      <c r="AL4854" s="1037"/>
      <c r="BP4854" s="1385"/>
      <c r="BV4854" s="236">
        <v>824.11</v>
      </c>
      <c r="BW4854" s="236" t="s">
        <v>355</v>
      </c>
      <c r="CL4854" s="236">
        <v>9601.0400000000009</v>
      </c>
      <c r="CM4854" s="236" t="s">
        <v>315</v>
      </c>
      <c r="CT4854" s="1384"/>
      <c r="CZ4854" s="338"/>
      <c r="DA4854" s="338"/>
      <c r="DP4854" s="236"/>
      <c r="DQ4854" s="236"/>
      <c r="DX4854" s="1671"/>
    </row>
    <row r="4855" spans="38:128">
      <c r="AL4855" s="1037"/>
      <c r="BP4855" s="1385"/>
      <c r="BV4855" s="236">
        <v>824.12</v>
      </c>
      <c r="BW4855" s="236" t="s">
        <v>355</v>
      </c>
      <c r="CL4855" s="236">
        <v>9601.0499999999993</v>
      </c>
      <c r="CM4855" s="236" t="s">
        <v>315</v>
      </c>
      <c r="CT4855" s="1384"/>
      <c r="CZ4855" s="338"/>
      <c r="DA4855" s="338"/>
      <c r="DP4855" s="236"/>
      <c r="DQ4855" s="236"/>
      <c r="DX4855" s="1671"/>
    </row>
    <row r="4856" spans="38:128">
      <c r="AL4856" s="1037"/>
      <c r="BP4856" s="1385"/>
      <c r="BV4856" s="236">
        <v>824.13</v>
      </c>
      <c r="BW4856" s="236" t="s">
        <v>355</v>
      </c>
      <c r="CL4856" s="236">
        <v>9602</v>
      </c>
      <c r="CM4856" s="236" t="s">
        <v>315</v>
      </c>
      <c r="CT4856" s="1384"/>
      <c r="CZ4856" s="338"/>
      <c r="DA4856" s="338"/>
      <c r="DP4856" s="236"/>
      <c r="DQ4856" s="236"/>
      <c r="DX4856" s="1671"/>
    </row>
    <row r="4857" spans="38:128">
      <c r="AL4857" s="1037"/>
      <c r="BP4857" s="1385"/>
      <c r="BV4857" s="236">
        <v>824.14</v>
      </c>
      <c r="BW4857" s="236" t="s">
        <v>355</v>
      </c>
      <c r="CL4857" s="236">
        <v>9603</v>
      </c>
      <c r="CM4857" s="236" t="s">
        <v>315</v>
      </c>
      <c r="CT4857" s="1384"/>
      <c r="CZ4857" s="338"/>
      <c r="DA4857" s="338"/>
      <c r="DP4857" s="236"/>
      <c r="DQ4857" s="236"/>
      <c r="DX4857" s="1671"/>
    </row>
    <row r="4858" spans="38:128">
      <c r="AL4858" s="1037"/>
      <c r="BP4858" s="1385"/>
      <c r="BV4858" s="236">
        <v>824.15</v>
      </c>
      <c r="BW4858" s="236" t="s">
        <v>355</v>
      </c>
      <c r="CL4858" s="236">
        <v>9604.01</v>
      </c>
      <c r="CM4858" s="236" t="s">
        <v>315</v>
      </c>
      <c r="CT4858" s="1384"/>
      <c r="CZ4858" s="338"/>
      <c r="DA4858" s="338"/>
      <c r="DP4858" s="236"/>
      <c r="DQ4858" s="236"/>
      <c r="DX4858" s="1671"/>
    </row>
    <row r="4859" spans="38:128">
      <c r="AL4859" s="1037"/>
      <c r="BP4859" s="1385"/>
      <c r="BV4859" s="236">
        <v>825.03</v>
      </c>
      <c r="BW4859" s="236" t="s">
        <v>355</v>
      </c>
      <c r="CL4859" s="236">
        <v>9604.02</v>
      </c>
      <c r="CM4859" s="236" t="s">
        <v>315</v>
      </c>
      <c r="CT4859" s="1384"/>
      <c r="CZ4859" s="338"/>
      <c r="DA4859" s="338"/>
      <c r="DP4859" s="236"/>
      <c r="DQ4859" s="236"/>
      <c r="DX4859" s="1671"/>
    </row>
    <row r="4860" spans="38:128">
      <c r="AL4860" s="1037"/>
      <c r="BP4860" s="1385"/>
      <c r="BV4860" s="236">
        <v>825.06</v>
      </c>
      <c r="BW4860" s="236" t="s">
        <v>355</v>
      </c>
      <c r="CL4860" s="236">
        <v>9605.01</v>
      </c>
      <c r="CM4860" s="236" t="s">
        <v>315</v>
      </c>
      <c r="CT4860" s="1384"/>
      <c r="CZ4860" s="338"/>
      <c r="DA4860" s="338"/>
      <c r="DP4860" s="236"/>
      <c r="DQ4860" s="236"/>
      <c r="DX4860" s="1671"/>
    </row>
    <row r="4861" spans="38:128">
      <c r="AL4861" s="1037"/>
      <c r="BP4861" s="1385"/>
      <c r="BV4861" s="236">
        <v>825.08</v>
      </c>
      <c r="BW4861" s="236" t="s">
        <v>355</v>
      </c>
      <c r="CL4861" s="236">
        <v>9605.0300000000007</v>
      </c>
      <c r="CM4861" s="236" t="s">
        <v>315</v>
      </c>
      <c r="CT4861" s="1384"/>
      <c r="CZ4861" s="338"/>
      <c r="DA4861" s="338"/>
      <c r="DP4861" s="236"/>
      <c r="DQ4861" s="236"/>
      <c r="DX4861" s="1671"/>
    </row>
    <row r="4862" spans="38:128">
      <c r="AL4862" s="1037"/>
      <c r="BP4862" s="1385"/>
      <c r="BV4862" s="236">
        <v>825.09</v>
      </c>
      <c r="BW4862" s="236" t="s">
        <v>355</v>
      </c>
      <c r="CL4862" s="236">
        <v>9605.0400000000009</v>
      </c>
      <c r="CM4862" s="236" t="s">
        <v>315</v>
      </c>
      <c r="CT4862" s="1384"/>
      <c r="CZ4862" s="338"/>
      <c r="DA4862" s="338"/>
      <c r="DP4862" s="236"/>
      <c r="DQ4862" s="236"/>
      <c r="DX4862" s="1671"/>
    </row>
    <row r="4863" spans="38:128">
      <c r="AL4863" s="1037"/>
      <c r="BP4863" s="1385"/>
      <c r="BV4863" s="236">
        <v>825.1</v>
      </c>
      <c r="BW4863" s="236" t="s">
        <v>355</v>
      </c>
      <c r="CL4863" s="236">
        <v>9606.01</v>
      </c>
      <c r="CM4863" s="236" t="s">
        <v>315</v>
      </c>
      <c r="CT4863" s="1384"/>
      <c r="CZ4863" s="338"/>
      <c r="DA4863" s="338"/>
      <c r="DP4863" s="236"/>
      <c r="DQ4863" s="236"/>
      <c r="DX4863" s="1671"/>
    </row>
    <row r="4864" spans="38:128">
      <c r="AL4864" s="1037"/>
      <c r="BP4864" s="1385"/>
      <c r="BV4864" s="236">
        <v>825.11</v>
      </c>
      <c r="BW4864" s="236" t="s">
        <v>355</v>
      </c>
      <c r="CL4864" s="236">
        <v>9606.02</v>
      </c>
      <c r="CM4864" s="236" t="s">
        <v>315</v>
      </c>
      <c r="CT4864" s="1384"/>
      <c r="CZ4864" s="338"/>
      <c r="DA4864" s="338"/>
      <c r="DP4864" s="236"/>
      <c r="DQ4864" s="236"/>
      <c r="DX4864" s="1671"/>
    </row>
    <row r="4865" spans="38:128">
      <c r="AL4865" s="1037"/>
      <c r="BP4865" s="1385"/>
      <c r="BV4865" s="236">
        <v>825.12</v>
      </c>
      <c r="BW4865" s="236" t="s">
        <v>355</v>
      </c>
      <c r="CL4865" s="236">
        <v>9607</v>
      </c>
      <c r="CM4865" s="236" t="s">
        <v>315</v>
      </c>
      <c r="CT4865" s="1384"/>
      <c r="CZ4865" s="338"/>
      <c r="DA4865" s="338"/>
      <c r="DP4865" s="236"/>
      <c r="DQ4865" s="236"/>
      <c r="DX4865" s="1671"/>
    </row>
    <row r="4866" spans="38:128">
      <c r="AL4866" s="1037"/>
      <c r="BP4866" s="1385"/>
      <c r="BV4866" s="236">
        <v>825.13</v>
      </c>
      <c r="BW4866" s="236" t="s">
        <v>355</v>
      </c>
      <c r="CL4866" s="236">
        <v>9608</v>
      </c>
      <c r="CM4866" s="236" t="s">
        <v>315</v>
      </c>
      <c r="CT4866" s="1384"/>
      <c r="CZ4866" s="338"/>
      <c r="DA4866" s="338"/>
      <c r="DP4866" s="236"/>
      <c r="DQ4866" s="236"/>
      <c r="DX4866" s="1671"/>
    </row>
    <row r="4867" spans="38:128">
      <c r="AL4867" s="1037"/>
      <c r="BP4867" s="1385"/>
      <c r="BV4867" s="236">
        <v>826.04</v>
      </c>
      <c r="BW4867" s="236" t="s">
        <v>355</v>
      </c>
      <c r="CL4867" s="236">
        <v>9609</v>
      </c>
      <c r="CM4867" s="236" t="s">
        <v>315</v>
      </c>
      <c r="CT4867" s="1384"/>
      <c r="CZ4867" s="338"/>
      <c r="DA4867" s="338"/>
      <c r="DP4867" s="236"/>
      <c r="DQ4867" s="236"/>
      <c r="DX4867" s="1671"/>
    </row>
    <row r="4868" spans="38:128">
      <c r="AL4868" s="1037"/>
      <c r="BP4868" s="1385"/>
      <c r="BV4868" s="236">
        <v>826.05</v>
      </c>
      <c r="BW4868" s="236" t="s">
        <v>355</v>
      </c>
      <c r="CL4868" s="236">
        <v>9610</v>
      </c>
      <c r="CM4868" s="236" t="s">
        <v>315</v>
      </c>
      <c r="CT4868" s="1384"/>
      <c r="CZ4868" s="338"/>
      <c r="DA4868" s="338"/>
      <c r="DP4868" s="236"/>
      <c r="DQ4868" s="236"/>
      <c r="DX4868" s="1671"/>
    </row>
    <row r="4869" spans="38:128">
      <c r="AL4869" s="1037"/>
      <c r="BP4869" s="1385"/>
      <c r="BV4869" s="236">
        <v>826.06</v>
      </c>
      <c r="BW4869" s="236" t="s">
        <v>355</v>
      </c>
      <c r="CL4869" s="236">
        <v>9611</v>
      </c>
      <c r="CM4869" s="236" t="s">
        <v>315</v>
      </c>
      <c r="CT4869" s="1384"/>
      <c r="CZ4869" s="338"/>
      <c r="DA4869" s="338"/>
      <c r="DP4869" s="236"/>
      <c r="DQ4869" s="236"/>
      <c r="DX4869" s="1671"/>
    </row>
    <row r="4870" spans="38:128">
      <c r="AL4870" s="1037"/>
      <c r="BP4870" s="1385"/>
      <c r="BV4870" s="236">
        <v>826.07</v>
      </c>
      <c r="BW4870" s="236" t="s">
        <v>355</v>
      </c>
      <c r="CL4870" s="236">
        <v>9612.01</v>
      </c>
      <c r="CM4870" s="236" t="s">
        <v>315</v>
      </c>
      <c r="CT4870" s="1384"/>
      <c r="CZ4870" s="338"/>
      <c r="DA4870" s="338"/>
      <c r="DP4870" s="236"/>
      <c r="DQ4870" s="236"/>
      <c r="DX4870" s="1671"/>
    </row>
    <row r="4871" spans="38:128">
      <c r="AL4871" s="1037"/>
      <c r="BP4871" s="1385"/>
      <c r="BV4871" s="236">
        <v>827.01</v>
      </c>
      <c r="BW4871" s="236" t="s">
        <v>355</v>
      </c>
      <c r="CL4871" s="236">
        <v>9612.02</v>
      </c>
      <c r="CM4871" s="236" t="s">
        <v>315</v>
      </c>
      <c r="CT4871" s="1384"/>
      <c r="CZ4871" s="338"/>
      <c r="DA4871" s="338"/>
      <c r="DP4871" s="236"/>
      <c r="DQ4871" s="236"/>
      <c r="DX4871" s="1671"/>
    </row>
    <row r="4872" spans="38:128">
      <c r="AL4872" s="1037"/>
      <c r="BP4872" s="1385"/>
      <c r="BV4872" s="236">
        <v>827.03</v>
      </c>
      <c r="BW4872" s="236" t="s">
        <v>355</v>
      </c>
      <c r="CL4872" s="236">
        <v>9613.01</v>
      </c>
      <c r="CM4872" s="236" t="s">
        <v>315</v>
      </c>
      <c r="CT4872" s="1384"/>
      <c r="CZ4872" s="338"/>
      <c r="DA4872" s="338"/>
      <c r="DP4872" s="236"/>
      <c r="DQ4872" s="236"/>
      <c r="DX4872" s="1671"/>
    </row>
    <row r="4873" spans="38:128">
      <c r="AL4873" s="1037"/>
      <c r="BP4873" s="1385"/>
      <c r="BV4873" s="236">
        <v>827.04</v>
      </c>
      <c r="BW4873" s="236" t="s">
        <v>355</v>
      </c>
      <c r="CL4873" s="236">
        <v>9613.0300000000007</v>
      </c>
      <c r="CM4873" s="236" t="s">
        <v>315</v>
      </c>
      <c r="CT4873" s="1384"/>
      <c r="CZ4873" s="338"/>
      <c r="DA4873" s="338"/>
      <c r="DP4873" s="236"/>
      <c r="DQ4873" s="236"/>
      <c r="DX4873" s="1671"/>
    </row>
    <row r="4874" spans="38:128">
      <c r="AL4874" s="1037"/>
      <c r="BP4874" s="1385"/>
      <c r="BV4874" s="236">
        <v>827.05</v>
      </c>
      <c r="BW4874" s="236" t="s">
        <v>355</v>
      </c>
      <c r="CL4874" s="236">
        <v>9613.0400000000009</v>
      </c>
      <c r="CM4874" s="236" t="s">
        <v>315</v>
      </c>
      <c r="CT4874" s="1384"/>
      <c r="CZ4874" s="338"/>
      <c r="DA4874" s="338"/>
      <c r="DP4874" s="236"/>
      <c r="DQ4874" s="236"/>
      <c r="DX4874" s="1671"/>
    </row>
    <row r="4875" spans="38:128">
      <c r="AL4875" s="1037"/>
      <c r="BP4875" s="1385"/>
      <c r="BV4875" s="236">
        <v>828.01</v>
      </c>
      <c r="BW4875" s="236" t="s">
        <v>355</v>
      </c>
      <c r="CL4875" s="236">
        <v>9614.01</v>
      </c>
      <c r="CM4875" s="236" t="s">
        <v>315</v>
      </c>
      <c r="CT4875" s="1384"/>
      <c r="CZ4875" s="338"/>
      <c r="DA4875" s="338"/>
      <c r="DP4875" s="236"/>
      <c r="DQ4875" s="236"/>
      <c r="DX4875" s="1671"/>
    </row>
    <row r="4876" spans="38:128">
      <c r="AL4876" s="1037"/>
      <c r="BP4876" s="1385"/>
      <c r="BV4876" s="236">
        <v>828.02</v>
      </c>
      <c r="BW4876" s="236" t="s">
        <v>355</v>
      </c>
      <c r="CL4876" s="236">
        <v>9614.02</v>
      </c>
      <c r="CM4876" s="236" t="s">
        <v>315</v>
      </c>
      <c r="CT4876" s="1384"/>
      <c r="CZ4876" s="338"/>
      <c r="DA4876" s="338"/>
      <c r="DP4876" s="236"/>
      <c r="DQ4876" s="236"/>
      <c r="DX4876" s="1671"/>
    </row>
    <row r="4877" spans="38:128">
      <c r="AL4877" s="1037"/>
      <c r="BP4877" s="1385"/>
      <c r="BV4877" s="236">
        <v>829.02</v>
      </c>
      <c r="BW4877" s="236" t="s">
        <v>355</v>
      </c>
      <c r="CL4877" s="236">
        <v>9615</v>
      </c>
      <c r="CM4877" s="236" t="s">
        <v>315</v>
      </c>
      <c r="CT4877" s="1384"/>
      <c r="CZ4877" s="338"/>
      <c r="DA4877" s="338"/>
      <c r="DP4877" s="236"/>
      <c r="DQ4877" s="236"/>
      <c r="DX4877" s="1671"/>
    </row>
    <row r="4878" spans="38:128">
      <c r="AL4878" s="1037"/>
      <c r="BP4878" s="1385"/>
      <c r="BV4878" s="236">
        <v>829.03</v>
      </c>
      <c r="BW4878" s="236" t="s">
        <v>355</v>
      </c>
      <c r="CL4878" s="236">
        <v>9616.01</v>
      </c>
      <c r="CM4878" s="236" t="s">
        <v>315</v>
      </c>
      <c r="CT4878" s="1384"/>
      <c r="CZ4878" s="338"/>
      <c r="DA4878" s="338"/>
      <c r="DP4878" s="236"/>
      <c r="DQ4878" s="236"/>
      <c r="DX4878" s="1671"/>
    </row>
    <row r="4879" spans="38:128">
      <c r="AL4879" s="1037"/>
      <c r="BP4879" s="1385"/>
      <c r="BV4879" s="236">
        <v>829.04</v>
      </c>
      <c r="BW4879" s="236" t="s">
        <v>355</v>
      </c>
      <c r="CL4879" s="236">
        <v>9616.02</v>
      </c>
      <c r="CM4879" s="236" t="s">
        <v>315</v>
      </c>
      <c r="CT4879" s="1384"/>
      <c r="CZ4879" s="338"/>
      <c r="DA4879" s="338"/>
      <c r="DP4879" s="236"/>
      <c r="DQ4879" s="236"/>
      <c r="DX4879" s="1671"/>
    </row>
    <row r="4880" spans="38:128">
      <c r="AL4880" s="1037"/>
      <c r="BP4880" s="1385"/>
      <c r="BV4880" s="236">
        <v>830.03</v>
      </c>
      <c r="BW4880" s="236" t="s">
        <v>355</v>
      </c>
      <c r="CL4880" s="236">
        <v>9616.0400000000009</v>
      </c>
      <c r="CM4880" s="236" t="s">
        <v>315</v>
      </c>
      <c r="CT4880" s="1384"/>
      <c r="CZ4880" s="338"/>
      <c r="DA4880" s="338"/>
      <c r="DP4880" s="236"/>
      <c r="DQ4880" s="236"/>
      <c r="DX4880" s="1671"/>
    </row>
    <row r="4881" spans="38:128">
      <c r="AL4881" s="1037"/>
      <c r="BP4881" s="1385"/>
      <c r="BV4881" s="236">
        <v>830.05</v>
      </c>
      <c r="BW4881" s="236" t="s">
        <v>355</v>
      </c>
      <c r="CL4881" s="236">
        <v>9616.0499999999993</v>
      </c>
      <c r="CM4881" s="236" t="s">
        <v>315</v>
      </c>
      <c r="CT4881" s="1384"/>
      <c r="CZ4881" s="338"/>
      <c r="DA4881" s="338"/>
      <c r="DP4881" s="236"/>
      <c r="DQ4881" s="236"/>
      <c r="DX4881" s="1671"/>
    </row>
    <row r="4882" spans="38:128">
      <c r="AL4882" s="1037"/>
      <c r="BP4882" s="1385"/>
      <c r="BV4882" s="236">
        <v>830.06</v>
      </c>
      <c r="BW4882" s="236" t="s">
        <v>355</v>
      </c>
      <c r="CL4882" s="236">
        <v>9617.01</v>
      </c>
      <c r="CM4882" s="236" t="s">
        <v>315</v>
      </c>
      <c r="CT4882" s="1384"/>
      <c r="CZ4882" s="338"/>
      <c r="DA4882" s="338"/>
      <c r="DP4882" s="236"/>
      <c r="DQ4882" s="236"/>
      <c r="DX4882" s="1671"/>
    </row>
    <row r="4883" spans="38:128">
      <c r="AL4883" s="1037"/>
      <c r="BP4883" s="1385"/>
      <c r="BV4883" s="236">
        <v>830.07</v>
      </c>
      <c r="BW4883" s="236" t="s">
        <v>355</v>
      </c>
      <c r="CL4883" s="236">
        <v>9617.02</v>
      </c>
      <c r="CM4883" s="236" t="s">
        <v>315</v>
      </c>
      <c r="CT4883" s="1384"/>
      <c r="CZ4883" s="338"/>
      <c r="DA4883" s="338"/>
      <c r="DP4883" s="236"/>
      <c r="DQ4883" s="236"/>
      <c r="DX4883" s="1671"/>
    </row>
    <row r="4884" spans="38:128">
      <c r="AL4884" s="1037"/>
      <c r="BP4884" s="1385"/>
      <c r="BV4884" s="236">
        <v>830.08</v>
      </c>
      <c r="BW4884" s="236" t="s">
        <v>355</v>
      </c>
      <c r="CL4884" s="236">
        <v>9701.01</v>
      </c>
      <c r="CM4884" s="236" t="s">
        <v>325</v>
      </c>
      <c r="CT4884" s="1384"/>
      <c r="CZ4884" s="338"/>
      <c r="DA4884" s="338"/>
      <c r="DP4884" s="236"/>
      <c r="DQ4884" s="236"/>
      <c r="DX4884" s="1671"/>
    </row>
    <row r="4885" spans="38:128">
      <c r="AL4885" s="1037"/>
      <c r="BP4885" s="1385"/>
      <c r="BV4885" s="236">
        <v>830.09</v>
      </c>
      <c r="BW4885" s="236" t="s">
        <v>355</v>
      </c>
      <c r="CL4885" s="236">
        <v>9701.0300000000007</v>
      </c>
      <c r="CM4885" s="236" t="s">
        <v>325</v>
      </c>
      <c r="CT4885" s="1384"/>
      <c r="CZ4885" s="338"/>
      <c r="DA4885" s="338"/>
      <c r="DP4885" s="236"/>
      <c r="DQ4885" s="236"/>
      <c r="DX4885" s="1671"/>
    </row>
    <row r="4886" spans="38:128">
      <c r="AL4886" s="1037"/>
      <c r="BP4886" s="1385"/>
      <c r="BV4886" s="236">
        <v>832.03</v>
      </c>
      <c r="BW4886" s="236" t="s">
        <v>355</v>
      </c>
      <c r="CL4886" s="236">
        <v>9701.0400000000009</v>
      </c>
      <c r="CM4886" s="236" t="s">
        <v>325</v>
      </c>
      <c r="CT4886" s="1384"/>
      <c r="CZ4886" s="338"/>
      <c r="DA4886" s="338"/>
      <c r="DP4886" s="236"/>
      <c r="DQ4886" s="236"/>
      <c r="DX4886" s="1671"/>
    </row>
    <row r="4887" spans="38:128">
      <c r="AL4887" s="1037"/>
      <c r="BP4887" s="1385"/>
      <c r="BV4887" s="236">
        <v>832.05</v>
      </c>
      <c r="BW4887" s="236" t="s">
        <v>355</v>
      </c>
      <c r="CL4887" s="236">
        <v>9702</v>
      </c>
      <c r="CM4887" s="236" t="s">
        <v>325</v>
      </c>
      <c r="CT4887" s="1384"/>
      <c r="CZ4887" s="338"/>
      <c r="DA4887" s="338"/>
      <c r="DP4887" s="236"/>
      <c r="DQ4887" s="236"/>
      <c r="DX4887" s="1671"/>
    </row>
    <row r="4888" spans="38:128">
      <c r="AL4888" s="1037"/>
      <c r="BP4888" s="1385"/>
      <c r="BV4888" s="236">
        <v>832.06</v>
      </c>
      <c r="BW4888" s="236" t="s">
        <v>355</v>
      </c>
      <c r="CL4888" s="236">
        <v>9703.01</v>
      </c>
      <c r="CM4888" s="236" t="s">
        <v>325</v>
      </c>
      <c r="CT4888" s="1384"/>
      <c r="CZ4888" s="338"/>
      <c r="DA4888" s="338"/>
      <c r="DP4888" s="236"/>
      <c r="DQ4888" s="236"/>
      <c r="DX4888" s="1671"/>
    </row>
    <row r="4889" spans="38:128">
      <c r="AL4889" s="1037"/>
      <c r="BP4889" s="1385"/>
      <c r="BV4889" s="236">
        <v>832.07</v>
      </c>
      <c r="BW4889" s="236" t="s">
        <v>355</v>
      </c>
      <c r="CL4889" s="236">
        <v>9703.0300000000007</v>
      </c>
      <c r="CM4889" s="236" t="s">
        <v>325</v>
      </c>
      <c r="CT4889" s="1384"/>
      <c r="CZ4889" s="338"/>
      <c r="DA4889" s="338"/>
      <c r="DP4889" s="236"/>
      <c r="DQ4889" s="236"/>
      <c r="DX4889" s="1671"/>
    </row>
    <row r="4890" spans="38:128">
      <c r="AL4890" s="1037"/>
      <c r="BP4890" s="1385"/>
      <c r="BV4890" s="236">
        <v>832.09</v>
      </c>
      <c r="BW4890" s="236" t="s">
        <v>355</v>
      </c>
      <c r="CL4890" s="236">
        <v>9703.0400000000009</v>
      </c>
      <c r="CM4890" s="236" t="s">
        <v>325</v>
      </c>
      <c r="CT4890" s="1384"/>
      <c r="CZ4890" s="338"/>
      <c r="DA4890" s="338"/>
      <c r="DP4890" s="236"/>
      <c r="DQ4890" s="236"/>
      <c r="DX4890" s="1671"/>
    </row>
    <row r="4891" spans="38:128">
      <c r="AL4891" s="1037"/>
      <c r="BP4891" s="1385"/>
      <c r="BV4891" s="236">
        <v>832.1</v>
      </c>
      <c r="BW4891" s="236" t="s">
        <v>355</v>
      </c>
      <c r="CL4891" s="236">
        <v>9704</v>
      </c>
      <c r="CM4891" s="236" t="s">
        <v>325</v>
      </c>
      <c r="CT4891" s="1384"/>
      <c r="CZ4891" s="338"/>
      <c r="DA4891" s="338"/>
      <c r="DP4891" s="236"/>
      <c r="DQ4891" s="236"/>
      <c r="DX4891" s="1671"/>
    </row>
    <row r="4892" spans="38:128">
      <c r="AL4892" s="1037"/>
      <c r="BP4892" s="1385"/>
      <c r="BV4892" s="236">
        <v>832.11</v>
      </c>
      <c r="BW4892" s="236" t="s">
        <v>355</v>
      </c>
      <c r="CL4892" s="236">
        <v>9705.01</v>
      </c>
      <c r="CM4892" s="236" t="s">
        <v>325</v>
      </c>
      <c r="CT4892" s="1384"/>
      <c r="CZ4892" s="338"/>
      <c r="DA4892" s="338"/>
      <c r="DP4892" s="236"/>
      <c r="DQ4892" s="236"/>
      <c r="DX4892" s="1671"/>
    </row>
    <row r="4893" spans="38:128">
      <c r="AL4893" s="1037"/>
      <c r="BP4893" s="1385"/>
      <c r="BV4893" s="236">
        <v>901.01</v>
      </c>
      <c r="BW4893" s="236" t="s">
        <v>355</v>
      </c>
      <c r="CL4893" s="236">
        <v>9705.02</v>
      </c>
      <c r="CM4893" s="236" t="s">
        <v>325</v>
      </c>
      <c r="CT4893" s="1384"/>
      <c r="CZ4893" s="338"/>
      <c r="DA4893" s="338"/>
      <c r="DP4893" s="236"/>
      <c r="DQ4893" s="236"/>
      <c r="DX4893" s="1671"/>
    </row>
    <row r="4894" spans="38:128">
      <c r="AL4894" s="1037"/>
      <c r="BP4894" s="1385"/>
      <c r="BV4894" s="236">
        <v>901.02</v>
      </c>
      <c r="BW4894" s="236" t="s">
        <v>355</v>
      </c>
      <c r="CL4894" s="236">
        <v>9706</v>
      </c>
      <c r="CM4894" s="236" t="s">
        <v>325</v>
      </c>
      <c r="CT4894" s="1384"/>
      <c r="CZ4894" s="338"/>
      <c r="DA4894" s="338"/>
      <c r="DP4894" s="236"/>
      <c r="DQ4894" s="236"/>
      <c r="DX4894" s="1671"/>
    </row>
    <row r="4895" spans="38:128">
      <c r="AL4895" s="1037"/>
      <c r="BP4895" s="1385"/>
      <c r="BV4895" s="236">
        <v>902.02</v>
      </c>
      <c r="BW4895" s="236" t="s">
        <v>355</v>
      </c>
      <c r="CL4895" s="236">
        <v>9707</v>
      </c>
      <c r="CM4895" s="236" t="s">
        <v>325</v>
      </c>
      <c r="CT4895" s="1384"/>
      <c r="CZ4895" s="338"/>
      <c r="DA4895" s="338"/>
      <c r="DP4895" s="236"/>
      <c r="DQ4895" s="236"/>
      <c r="DX4895" s="1671"/>
    </row>
    <row r="4896" spans="38:128">
      <c r="AL4896" s="1037"/>
      <c r="BP4896" s="1385"/>
      <c r="BV4896" s="236">
        <v>902.03</v>
      </c>
      <c r="BW4896" s="236" t="s">
        <v>355</v>
      </c>
      <c r="CL4896" s="338">
        <v>9800</v>
      </c>
      <c r="CM4896" s="338" t="s">
        <v>288</v>
      </c>
      <c r="CT4896" s="1384"/>
      <c r="CZ4896" s="338"/>
      <c r="DA4896" s="338"/>
      <c r="DP4896" s="236"/>
      <c r="DQ4896" s="236"/>
      <c r="DX4896" s="1671"/>
    </row>
    <row r="4897" spans="38:128">
      <c r="AL4897" s="1037"/>
      <c r="BP4897" s="1385"/>
      <c r="BV4897" s="236">
        <v>902.04</v>
      </c>
      <c r="BW4897" s="236" t="s">
        <v>355</v>
      </c>
      <c r="CL4897" s="338">
        <v>9800</v>
      </c>
      <c r="CM4897" s="338" t="s">
        <v>289</v>
      </c>
      <c r="CT4897" s="1384"/>
      <c r="CZ4897" s="338"/>
      <c r="DA4897" s="338"/>
      <c r="DP4897" s="236"/>
      <c r="DQ4897" s="236"/>
      <c r="DX4897" s="1671"/>
    </row>
    <row r="4898" spans="38:128">
      <c r="AL4898" s="1037"/>
      <c r="BP4898" s="1385"/>
      <c r="BV4898" s="236">
        <v>903.03</v>
      </c>
      <c r="BW4898" s="236" t="s">
        <v>355</v>
      </c>
      <c r="CL4898" s="236">
        <v>9800</v>
      </c>
      <c r="CM4898" s="236" t="s">
        <v>296</v>
      </c>
      <c r="CT4898" s="1384"/>
      <c r="CZ4898" s="338"/>
      <c r="DA4898" s="338"/>
      <c r="DP4898" s="236"/>
      <c r="DQ4898" s="236"/>
      <c r="DX4898" s="1671"/>
    </row>
    <row r="4899" spans="38:128">
      <c r="AL4899" s="1037"/>
      <c r="BP4899" s="1385"/>
      <c r="BV4899" s="236">
        <v>903.04</v>
      </c>
      <c r="BW4899" s="236" t="s">
        <v>355</v>
      </c>
      <c r="CL4899" s="236">
        <v>9800</v>
      </c>
      <c r="CM4899" s="236" t="s">
        <v>315</v>
      </c>
      <c r="CT4899" s="1384"/>
      <c r="CZ4899" s="338"/>
      <c r="DA4899" s="338"/>
      <c r="DP4899" s="236"/>
      <c r="DQ4899" s="236"/>
      <c r="DX4899" s="1671"/>
    </row>
    <row r="4900" spans="38:128">
      <c r="AL4900" s="1037"/>
      <c r="BP4900" s="1385"/>
      <c r="BV4900" s="236">
        <v>903.05</v>
      </c>
      <c r="BW4900" s="236" t="s">
        <v>355</v>
      </c>
      <c r="CL4900" s="236">
        <v>9800</v>
      </c>
      <c r="CM4900" s="236" t="s">
        <v>318</v>
      </c>
      <c r="CT4900" s="1384"/>
      <c r="CZ4900" s="338"/>
      <c r="DA4900" s="338"/>
      <c r="DP4900" s="236"/>
      <c r="DQ4900" s="236"/>
      <c r="DX4900" s="1671"/>
    </row>
    <row r="4901" spans="38:128">
      <c r="AL4901" s="1037"/>
      <c r="BP4901" s="1385"/>
      <c r="BV4901" s="236">
        <v>903.06</v>
      </c>
      <c r="BW4901" s="236" t="s">
        <v>355</v>
      </c>
      <c r="CL4901" s="236">
        <v>9800</v>
      </c>
      <c r="CM4901" s="236" t="s">
        <v>323</v>
      </c>
      <c r="CT4901" s="1384"/>
      <c r="CZ4901" s="338"/>
      <c r="DA4901" s="338"/>
      <c r="DP4901" s="236"/>
      <c r="DQ4901" s="236"/>
      <c r="DX4901" s="1671"/>
    </row>
    <row r="4902" spans="38:128">
      <c r="AL4902" s="1037"/>
      <c r="BP4902" s="1385"/>
      <c r="BV4902" s="236">
        <v>903.07</v>
      </c>
      <c r="BW4902" s="236" t="s">
        <v>355</v>
      </c>
      <c r="CL4902" s="236">
        <v>9800</v>
      </c>
      <c r="CM4902" s="236" t="s">
        <v>329</v>
      </c>
      <c r="CT4902" s="1384"/>
      <c r="CZ4902" s="338"/>
      <c r="DA4902" s="338"/>
      <c r="DP4902" s="236"/>
      <c r="DQ4902" s="236"/>
      <c r="DX4902" s="1671"/>
    </row>
    <row r="4903" spans="38:128">
      <c r="AL4903" s="1037"/>
      <c r="BP4903" s="1385"/>
      <c r="BV4903" s="236">
        <v>904.01</v>
      </c>
      <c r="BW4903" s="236" t="s">
        <v>355</v>
      </c>
      <c r="CL4903" s="236">
        <v>9800</v>
      </c>
      <c r="CM4903" s="236" t="s">
        <v>340</v>
      </c>
      <c r="CT4903" s="1384"/>
      <c r="CZ4903" s="338"/>
      <c r="DA4903" s="338"/>
      <c r="DP4903" s="236"/>
      <c r="DQ4903" s="236"/>
      <c r="DX4903" s="1671"/>
    </row>
    <row r="4904" spans="38:128">
      <c r="AL4904" s="1037"/>
      <c r="BP4904" s="1385"/>
      <c r="BV4904" s="236">
        <v>904.02</v>
      </c>
      <c r="BW4904" s="236" t="s">
        <v>355</v>
      </c>
      <c r="CL4904" s="236">
        <v>9800</v>
      </c>
      <c r="CM4904" s="236" t="s">
        <v>344</v>
      </c>
      <c r="CT4904" s="1384"/>
      <c r="CZ4904" s="338"/>
      <c r="DA4904" s="338"/>
      <c r="DP4904" s="236"/>
      <c r="DQ4904" s="236"/>
      <c r="DX4904" s="1671"/>
    </row>
    <row r="4905" spans="38:128">
      <c r="AL4905" s="1037"/>
      <c r="BP4905" s="1385"/>
      <c r="BV4905" s="236">
        <v>905</v>
      </c>
      <c r="BW4905" s="236" t="s">
        <v>355</v>
      </c>
      <c r="CL4905" s="236">
        <v>9800</v>
      </c>
      <c r="CM4905" s="236" t="s">
        <v>350</v>
      </c>
      <c r="CT4905" s="1384"/>
      <c r="CZ4905" s="338"/>
      <c r="DA4905" s="338"/>
      <c r="DP4905" s="236"/>
      <c r="DQ4905" s="236"/>
      <c r="DX4905" s="1671"/>
    </row>
    <row r="4906" spans="38:128">
      <c r="AL4906" s="1037"/>
      <c r="BP4906" s="1385"/>
      <c r="BV4906" s="236">
        <v>906</v>
      </c>
      <c r="BW4906" s="236" t="s">
        <v>355</v>
      </c>
      <c r="CL4906" s="236">
        <v>9800</v>
      </c>
      <c r="CM4906" s="236" t="s">
        <v>351</v>
      </c>
      <c r="CT4906" s="1384"/>
      <c r="CZ4906" s="338"/>
      <c r="DA4906" s="338"/>
      <c r="DP4906" s="236"/>
      <c r="DQ4906" s="236"/>
      <c r="DX4906" s="1671"/>
    </row>
    <row r="4907" spans="38:128">
      <c r="AL4907" s="1037"/>
      <c r="BP4907" s="1385"/>
      <c r="BV4907" s="236">
        <v>907.01</v>
      </c>
      <c r="BW4907" s="236" t="s">
        <v>355</v>
      </c>
      <c r="CL4907" s="338">
        <v>9801</v>
      </c>
      <c r="CM4907" s="338" t="s">
        <v>288</v>
      </c>
      <c r="CT4907" s="1384"/>
      <c r="CZ4907" s="338"/>
      <c r="DA4907" s="338"/>
      <c r="DP4907" s="236"/>
      <c r="DQ4907" s="236"/>
      <c r="DX4907" s="1671"/>
    </row>
    <row r="4908" spans="38:128">
      <c r="AL4908" s="1037"/>
      <c r="BP4908" s="1385"/>
      <c r="BV4908" s="236">
        <v>907.02</v>
      </c>
      <c r="BW4908" s="236" t="s">
        <v>355</v>
      </c>
      <c r="CL4908" s="236">
        <v>9801</v>
      </c>
      <c r="CM4908" s="236" t="s">
        <v>315</v>
      </c>
      <c r="CT4908" s="1384"/>
      <c r="CZ4908" s="338"/>
      <c r="DA4908" s="338"/>
      <c r="DP4908" s="236"/>
      <c r="DQ4908" s="236"/>
      <c r="DX4908" s="1671"/>
    </row>
    <row r="4909" spans="38:128">
      <c r="AL4909" s="1037"/>
      <c r="BP4909" s="1385"/>
      <c r="BV4909" s="236">
        <v>908.03</v>
      </c>
      <c r="BW4909" s="236" t="s">
        <v>355</v>
      </c>
      <c r="CL4909" s="236">
        <v>9801</v>
      </c>
      <c r="CM4909" s="236" t="s">
        <v>316</v>
      </c>
      <c r="CT4909" s="1384"/>
      <c r="CZ4909" s="338"/>
      <c r="DA4909" s="338"/>
      <c r="DP4909" s="236"/>
      <c r="DQ4909" s="236"/>
      <c r="DX4909" s="1671"/>
    </row>
    <row r="4910" spans="38:128">
      <c r="AL4910" s="1037"/>
      <c r="BP4910" s="1385"/>
      <c r="BV4910" s="236">
        <v>908.04</v>
      </c>
      <c r="BW4910" s="236" t="s">
        <v>355</v>
      </c>
      <c r="CL4910" s="236">
        <v>9801</v>
      </c>
      <c r="CM4910" s="236" t="s">
        <v>329</v>
      </c>
      <c r="CT4910" s="1384"/>
      <c r="CZ4910" s="338"/>
      <c r="DA4910" s="338"/>
      <c r="DP4910" s="236"/>
      <c r="DQ4910" s="236"/>
      <c r="DX4910" s="1671"/>
    </row>
    <row r="4911" spans="38:128">
      <c r="AL4911" s="1037"/>
      <c r="BP4911" s="1385"/>
      <c r="BV4911" s="236">
        <v>908.06</v>
      </c>
      <c r="BW4911" s="236" t="s">
        <v>355</v>
      </c>
      <c r="CL4911" s="236">
        <v>9801</v>
      </c>
      <c r="CM4911" s="236" t="s">
        <v>331</v>
      </c>
      <c r="CT4911" s="1384"/>
      <c r="CZ4911" s="338"/>
      <c r="DA4911" s="338"/>
      <c r="DP4911" s="236"/>
      <c r="DQ4911" s="236"/>
      <c r="DX4911" s="1671"/>
    </row>
    <row r="4912" spans="38:128">
      <c r="AL4912" s="1037"/>
      <c r="BP4912" s="1385"/>
      <c r="BV4912" s="236">
        <v>908.07</v>
      </c>
      <c r="BW4912" s="236" t="s">
        <v>355</v>
      </c>
      <c r="CL4912" s="236">
        <v>9801</v>
      </c>
      <c r="CM4912" s="236" t="s">
        <v>340</v>
      </c>
      <c r="CT4912" s="1384"/>
      <c r="CZ4912" s="338"/>
      <c r="DA4912" s="338"/>
      <c r="DP4912" s="236"/>
      <c r="DQ4912" s="236"/>
      <c r="DX4912" s="1671"/>
    </row>
    <row r="4913" spans="38:128">
      <c r="AL4913" s="1037"/>
      <c r="BP4913" s="1385"/>
      <c r="BV4913" s="236">
        <v>908.08</v>
      </c>
      <c r="BW4913" s="236" t="s">
        <v>355</v>
      </c>
      <c r="CL4913" s="236">
        <v>9801</v>
      </c>
      <c r="CM4913" s="236" t="s">
        <v>351</v>
      </c>
      <c r="CT4913" s="1384"/>
      <c r="CZ4913" s="338"/>
      <c r="DA4913" s="338"/>
      <c r="DP4913" s="236"/>
      <c r="DQ4913" s="236"/>
      <c r="DX4913" s="1671"/>
    </row>
    <row r="4914" spans="38:128">
      <c r="AL4914" s="1037"/>
      <c r="BP4914" s="1385"/>
      <c r="BV4914" s="236">
        <v>909.03</v>
      </c>
      <c r="BW4914" s="236" t="s">
        <v>355</v>
      </c>
      <c r="CL4914" s="236">
        <v>9802</v>
      </c>
      <c r="CM4914" s="236" t="s">
        <v>315</v>
      </c>
      <c r="CT4914" s="1384"/>
      <c r="CZ4914" s="338"/>
      <c r="DA4914" s="338"/>
      <c r="DP4914" s="236"/>
      <c r="DQ4914" s="236"/>
      <c r="DX4914" s="1671"/>
    </row>
    <row r="4915" spans="38:128">
      <c r="AL4915" s="1037"/>
      <c r="BP4915" s="1385"/>
      <c r="BV4915" s="236">
        <v>909.04</v>
      </c>
      <c r="BW4915" s="236" t="s">
        <v>355</v>
      </c>
      <c r="CL4915" s="236">
        <v>9802</v>
      </c>
      <c r="CM4915" s="236" t="s">
        <v>316</v>
      </c>
      <c r="CT4915" s="1384"/>
      <c r="CZ4915" s="338"/>
      <c r="DA4915" s="338"/>
      <c r="DP4915" s="236"/>
      <c r="DQ4915" s="236"/>
      <c r="DX4915" s="1671"/>
    </row>
    <row r="4916" spans="38:128">
      <c r="AL4916" s="1037"/>
      <c r="BP4916" s="1385"/>
      <c r="BV4916" s="236">
        <v>909.05</v>
      </c>
      <c r="BW4916" s="236" t="s">
        <v>355</v>
      </c>
      <c r="CL4916" s="236">
        <v>9802</v>
      </c>
      <c r="CM4916" s="236" t="s">
        <v>331</v>
      </c>
      <c r="CT4916" s="1384"/>
      <c r="CZ4916" s="338"/>
      <c r="DA4916" s="338"/>
      <c r="DP4916" s="236"/>
      <c r="DQ4916" s="236"/>
      <c r="DX4916" s="1671"/>
    </row>
    <row r="4917" spans="38:128">
      <c r="AL4917" s="1037"/>
      <c r="BP4917" s="1385"/>
      <c r="BV4917" s="236">
        <v>909.06</v>
      </c>
      <c r="BW4917" s="236" t="s">
        <v>355</v>
      </c>
      <c r="CL4917" s="236">
        <v>9802</v>
      </c>
      <c r="CM4917" s="236" t="s">
        <v>340</v>
      </c>
      <c r="CT4917" s="1384"/>
      <c r="CZ4917" s="338"/>
      <c r="DA4917" s="338"/>
      <c r="DP4917" s="236"/>
      <c r="DQ4917" s="236"/>
      <c r="DX4917" s="1671"/>
    </row>
    <row r="4918" spans="38:128">
      <c r="AL4918" s="1037"/>
      <c r="BP4918" s="1385"/>
      <c r="BV4918" s="236">
        <v>910.01</v>
      </c>
      <c r="BW4918" s="236" t="s">
        <v>355</v>
      </c>
      <c r="CL4918" s="236">
        <v>9803</v>
      </c>
      <c r="CM4918" s="236" t="s">
        <v>316</v>
      </c>
      <c r="CT4918" s="1384"/>
      <c r="CZ4918" s="338"/>
      <c r="DA4918" s="338"/>
      <c r="DP4918" s="236"/>
      <c r="DQ4918" s="236"/>
      <c r="DX4918" s="1671"/>
    </row>
    <row r="4919" spans="38:128">
      <c r="AL4919" s="1037"/>
      <c r="BP4919" s="1385"/>
      <c r="BV4919" s="236">
        <v>910.05</v>
      </c>
      <c r="BW4919" s="236" t="s">
        <v>355</v>
      </c>
      <c r="CL4919" s="236">
        <v>9803</v>
      </c>
      <c r="CM4919" s="236" t="s">
        <v>331</v>
      </c>
      <c r="CT4919" s="1384"/>
      <c r="CZ4919" s="338"/>
      <c r="DA4919" s="338"/>
      <c r="DP4919" s="236"/>
      <c r="DQ4919" s="236"/>
      <c r="DX4919" s="1671"/>
    </row>
    <row r="4920" spans="38:128">
      <c r="AL4920" s="1037"/>
      <c r="BP4920" s="1385"/>
      <c r="BV4920" s="236">
        <v>910.15</v>
      </c>
      <c r="BW4920" s="236" t="s">
        <v>355</v>
      </c>
      <c r="CL4920" s="236">
        <v>9804</v>
      </c>
      <c r="CM4920" s="236" t="s">
        <v>316</v>
      </c>
      <c r="CT4920" s="1384"/>
      <c r="CZ4920" s="338"/>
      <c r="DA4920" s="338"/>
      <c r="DP4920" s="236"/>
      <c r="DQ4920" s="236"/>
      <c r="DX4920" s="1671"/>
    </row>
    <row r="4921" spans="38:128">
      <c r="AL4921" s="1037"/>
      <c r="BP4921" s="1385"/>
      <c r="BV4921" s="236">
        <v>910.16</v>
      </c>
      <c r="BW4921" s="236" t="s">
        <v>355</v>
      </c>
      <c r="CL4921" s="236">
        <v>9804</v>
      </c>
      <c r="CM4921" s="236" t="s">
        <v>331</v>
      </c>
      <c r="CT4921" s="1384"/>
      <c r="CZ4921" s="338"/>
      <c r="DA4921" s="338"/>
      <c r="DP4921" s="236"/>
      <c r="DQ4921" s="236"/>
      <c r="DX4921" s="1671"/>
    </row>
    <row r="4922" spans="38:128">
      <c r="AL4922" s="1037"/>
      <c r="BP4922" s="1385"/>
      <c r="BV4922" s="236">
        <v>910.17</v>
      </c>
      <c r="BW4922" s="236" t="s">
        <v>355</v>
      </c>
      <c r="CL4922" s="236">
        <v>9804</v>
      </c>
      <c r="CM4922" s="236" t="s">
        <v>340</v>
      </c>
      <c r="CT4922" s="1384"/>
      <c r="CZ4922" s="338"/>
      <c r="DA4922" s="338"/>
      <c r="DP4922" s="236"/>
      <c r="DQ4922" s="236"/>
      <c r="DX4922" s="1671"/>
    </row>
    <row r="4923" spans="38:128">
      <c r="AL4923" s="1037"/>
      <c r="BP4923" s="1385"/>
      <c r="BV4923" s="236">
        <v>910.18</v>
      </c>
      <c r="BW4923" s="236" t="s">
        <v>355</v>
      </c>
      <c r="CL4923" s="236">
        <v>9805</v>
      </c>
      <c r="CM4923" s="236" t="s">
        <v>316</v>
      </c>
      <c r="CT4923" s="1384"/>
      <c r="CZ4923" s="338"/>
      <c r="DA4923" s="338"/>
      <c r="DP4923" s="236"/>
      <c r="DQ4923" s="236"/>
      <c r="DX4923" s="1671"/>
    </row>
    <row r="4924" spans="38:128">
      <c r="AL4924" s="1037"/>
      <c r="BP4924" s="1385"/>
      <c r="BV4924" s="236">
        <v>910.19</v>
      </c>
      <c r="BW4924" s="236" t="s">
        <v>355</v>
      </c>
      <c r="CL4924" s="236">
        <v>9805</v>
      </c>
      <c r="CM4924" s="236" t="s">
        <v>331</v>
      </c>
      <c r="CT4924" s="1384"/>
      <c r="CZ4924" s="338"/>
      <c r="DA4924" s="338"/>
      <c r="DP4924" s="236"/>
      <c r="DQ4924" s="236"/>
      <c r="DX4924" s="1671"/>
    </row>
    <row r="4925" spans="38:128">
      <c r="AL4925" s="1037"/>
      <c r="BP4925" s="1385"/>
      <c r="BV4925" s="236">
        <v>910.2</v>
      </c>
      <c r="BW4925" s="236" t="s">
        <v>355</v>
      </c>
      <c r="CL4925" s="236">
        <v>9805</v>
      </c>
      <c r="CM4925" s="236" t="s">
        <v>340</v>
      </c>
      <c r="CT4925" s="1384"/>
      <c r="CZ4925" s="338"/>
      <c r="DA4925" s="338"/>
      <c r="DP4925" s="236"/>
      <c r="DQ4925" s="236"/>
      <c r="DX4925" s="1671"/>
    </row>
    <row r="4926" spans="38:128">
      <c r="AL4926" s="1037"/>
      <c r="BP4926" s="1385"/>
      <c r="BV4926" s="236">
        <v>910.21</v>
      </c>
      <c r="BW4926" s="236" t="s">
        <v>355</v>
      </c>
      <c r="CL4926" s="236">
        <v>9806</v>
      </c>
      <c r="CM4926" s="236" t="s">
        <v>316</v>
      </c>
      <c r="CT4926" s="1384"/>
      <c r="CZ4926" s="338"/>
      <c r="DA4926" s="338"/>
      <c r="DP4926" s="236"/>
      <c r="DQ4926" s="236"/>
      <c r="DX4926" s="1671"/>
    </row>
    <row r="4927" spans="38:128">
      <c r="AL4927" s="1037"/>
      <c r="BP4927" s="1385"/>
      <c r="BV4927" s="236">
        <v>910.23</v>
      </c>
      <c r="BW4927" s="236" t="s">
        <v>355</v>
      </c>
      <c r="CL4927" s="236">
        <v>9806</v>
      </c>
      <c r="CM4927" s="236" t="s">
        <v>331</v>
      </c>
      <c r="CT4927" s="1384"/>
      <c r="CZ4927" s="338"/>
      <c r="DA4927" s="338"/>
      <c r="DP4927" s="236"/>
      <c r="DQ4927" s="236"/>
      <c r="DX4927" s="1671"/>
    </row>
    <row r="4928" spans="38:128">
      <c r="AL4928" s="1037"/>
      <c r="BP4928" s="1385"/>
      <c r="BV4928" s="236">
        <v>910.25</v>
      </c>
      <c r="BW4928" s="236" t="s">
        <v>355</v>
      </c>
      <c r="CL4928" s="236">
        <v>9807</v>
      </c>
      <c r="CM4928" s="236" t="s">
        <v>316</v>
      </c>
      <c r="CT4928" s="1384"/>
      <c r="CZ4928" s="338"/>
      <c r="DA4928" s="338"/>
      <c r="DP4928" s="236"/>
      <c r="DQ4928" s="236"/>
      <c r="DX4928" s="1671"/>
    </row>
    <row r="4929" spans="38:128">
      <c r="AL4929" s="1037"/>
      <c r="BP4929" s="1385"/>
      <c r="BV4929" s="236">
        <v>910.28</v>
      </c>
      <c r="BW4929" s="236" t="s">
        <v>355</v>
      </c>
      <c r="CL4929" s="236">
        <v>9807</v>
      </c>
      <c r="CM4929" s="236" t="s">
        <v>331</v>
      </c>
      <c r="CT4929" s="1384"/>
      <c r="CZ4929" s="338"/>
      <c r="DA4929" s="338"/>
      <c r="DP4929" s="236"/>
      <c r="DQ4929" s="236"/>
      <c r="DX4929" s="1671"/>
    </row>
    <row r="4930" spans="38:128">
      <c r="AL4930" s="1037"/>
      <c r="BP4930" s="1385"/>
      <c r="BV4930" s="236">
        <v>910.29</v>
      </c>
      <c r="BW4930" s="236" t="s">
        <v>355</v>
      </c>
      <c r="CL4930" s="236">
        <v>9808</v>
      </c>
      <c r="CM4930" s="236" t="s">
        <v>331</v>
      </c>
      <c r="CT4930" s="1384"/>
      <c r="CZ4930" s="338"/>
      <c r="DA4930" s="338"/>
      <c r="DP4930" s="236"/>
      <c r="DQ4930" s="236"/>
      <c r="DX4930" s="1671"/>
    </row>
    <row r="4931" spans="38:128">
      <c r="AL4931" s="1037"/>
      <c r="BP4931" s="1385"/>
      <c r="BV4931" s="236">
        <v>910.3</v>
      </c>
      <c r="BW4931" s="236" t="s">
        <v>355</v>
      </c>
      <c r="CL4931" s="236">
        <v>9809</v>
      </c>
      <c r="CM4931" s="236" t="s">
        <v>331</v>
      </c>
      <c r="CT4931" s="1384"/>
      <c r="CZ4931" s="338"/>
      <c r="DA4931" s="338"/>
      <c r="DP4931" s="236"/>
      <c r="DQ4931" s="236"/>
      <c r="DX4931" s="1671"/>
    </row>
    <row r="4932" spans="38:128">
      <c r="AL4932" s="1037"/>
      <c r="BP4932" s="1385"/>
      <c r="BV4932" s="236">
        <v>910.31</v>
      </c>
      <c r="BW4932" s="236" t="s">
        <v>355</v>
      </c>
      <c r="CL4932" s="236">
        <v>9810</v>
      </c>
      <c r="CM4932" s="236" t="s">
        <v>331</v>
      </c>
      <c r="CT4932" s="1384"/>
      <c r="CZ4932" s="338"/>
      <c r="DA4932" s="338"/>
      <c r="DP4932" s="236"/>
      <c r="DQ4932" s="236"/>
      <c r="DX4932" s="1671"/>
    </row>
    <row r="4933" spans="38:128">
      <c r="AL4933" s="1037"/>
      <c r="BP4933" s="1385"/>
      <c r="BV4933" s="236">
        <v>910.32</v>
      </c>
      <c r="BW4933" s="236" t="s">
        <v>355</v>
      </c>
      <c r="CL4933" s="236">
        <v>9811</v>
      </c>
      <c r="CM4933" s="236" t="s">
        <v>331</v>
      </c>
      <c r="CT4933" s="1384"/>
      <c r="CZ4933" s="338"/>
      <c r="DA4933" s="338"/>
      <c r="DP4933" s="236"/>
      <c r="DQ4933" s="236"/>
      <c r="DX4933" s="1671"/>
    </row>
    <row r="4934" spans="38:128">
      <c r="AL4934" s="1037"/>
      <c r="BP4934" s="1385"/>
      <c r="BV4934" s="236">
        <v>910.33</v>
      </c>
      <c r="BW4934" s="236" t="s">
        <v>355</v>
      </c>
      <c r="CL4934" s="236">
        <v>9812</v>
      </c>
      <c r="CM4934" s="236" t="s">
        <v>331</v>
      </c>
      <c r="CT4934" s="1384"/>
      <c r="CZ4934" s="338"/>
      <c r="DA4934" s="338"/>
      <c r="DP4934" s="236"/>
      <c r="DQ4934" s="236"/>
      <c r="DX4934" s="1671"/>
    </row>
    <row r="4935" spans="38:128">
      <c r="AL4935" s="1037"/>
      <c r="BP4935" s="1385"/>
      <c r="BV4935" s="236">
        <v>910.34</v>
      </c>
      <c r="BW4935" s="236" t="s">
        <v>355</v>
      </c>
      <c r="CL4935" s="236">
        <v>9813</v>
      </c>
      <c r="CM4935" s="236" t="s">
        <v>331</v>
      </c>
      <c r="CT4935" s="1384"/>
      <c r="CZ4935" s="338"/>
      <c r="DA4935" s="338"/>
      <c r="DP4935" s="236"/>
      <c r="DQ4935" s="236"/>
      <c r="DX4935" s="1671"/>
    </row>
    <row r="4936" spans="38:128">
      <c r="AL4936" s="1037"/>
      <c r="BP4936" s="1385"/>
      <c r="BV4936" s="236">
        <v>910.35</v>
      </c>
      <c r="BW4936" s="236" t="s">
        <v>355</v>
      </c>
      <c r="CL4936" s="338">
        <v>9900</v>
      </c>
      <c r="CM4936" s="338" t="s">
        <v>285</v>
      </c>
      <c r="CT4936" s="1384"/>
      <c r="CZ4936" s="338"/>
      <c r="DA4936" s="338"/>
      <c r="DP4936" s="236"/>
      <c r="DQ4936" s="236"/>
      <c r="DX4936" s="1671"/>
    </row>
    <row r="4937" spans="38:128">
      <c r="AL4937" s="1037"/>
      <c r="BP4937" s="1385"/>
      <c r="BV4937" s="236">
        <v>910.36</v>
      </c>
      <c r="BW4937" s="236" t="s">
        <v>355</v>
      </c>
      <c r="CL4937" s="338">
        <v>9900</v>
      </c>
      <c r="CM4937" s="338" t="s">
        <v>288</v>
      </c>
      <c r="CT4937" s="1384"/>
      <c r="CZ4937" s="338"/>
      <c r="DA4937" s="338"/>
      <c r="DP4937" s="236"/>
      <c r="DQ4937" s="236"/>
      <c r="DX4937" s="1671"/>
    </row>
    <row r="4938" spans="38:128">
      <c r="AL4938" s="1037"/>
      <c r="BP4938" s="1385"/>
      <c r="BV4938" s="236">
        <v>910.37</v>
      </c>
      <c r="BW4938" s="236" t="s">
        <v>355</v>
      </c>
      <c r="CL4938" s="338">
        <v>9900</v>
      </c>
      <c r="CM4938" s="338" t="s">
        <v>289</v>
      </c>
      <c r="CT4938" s="1384"/>
      <c r="CZ4938" s="338"/>
      <c r="DA4938" s="338"/>
      <c r="DP4938" s="236"/>
      <c r="DQ4938" s="236"/>
      <c r="DX4938" s="1671"/>
    </row>
    <row r="4939" spans="38:128">
      <c r="AL4939" s="1037"/>
      <c r="BP4939" s="1385"/>
      <c r="BV4939" s="236">
        <v>910.38</v>
      </c>
      <c r="BW4939" s="236" t="s">
        <v>355</v>
      </c>
      <c r="CL4939" s="338">
        <v>9900</v>
      </c>
      <c r="CM4939" s="338" t="s">
        <v>294</v>
      </c>
      <c r="CT4939" s="1384"/>
      <c r="CZ4939" s="338"/>
      <c r="DA4939" s="338"/>
      <c r="DP4939" s="236"/>
      <c r="DQ4939" s="236"/>
      <c r="DX4939" s="1671"/>
    </row>
    <row r="4940" spans="38:128">
      <c r="AL4940" s="1037"/>
      <c r="BP4940" s="1385"/>
      <c r="BV4940" s="236">
        <v>910.39</v>
      </c>
      <c r="BW4940" s="236" t="s">
        <v>355</v>
      </c>
      <c r="CL4940" s="338">
        <v>9900</v>
      </c>
      <c r="CM4940" s="338" t="s">
        <v>295</v>
      </c>
      <c r="CT4940" s="1384"/>
      <c r="CZ4940" s="338"/>
      <c r="DA4940" s="338"/>
      <c r="DP4940" s="236"/>
      <c r="DQ4940" s="236"/>
      <c r="DX4940" s="1671"/>
    </row>
    <row r="4941" spans="38:128">
      <c r="AL4941" s="1037"/>
      <c r="BP4941" s="1385"/>
      <c r="BV4941" s="236">
        <v>925</v>
      </c>
      <c r="BW4941" s="236" t="s">
        <v>355</v>
      </c>
      <c r="CL4941" s="236">
        <v>9900</v>
      </c>
      <c r="CM4941" s="236" t="s">
        <v>297</v>
      </c>
      <c r="CT4941" s="1384"/>
      <c r="CZ4941" s="338"/>
      <c r="DA4941" s="338"/>
      <c r="DP4941" s="236"/>
      <c r="DQ4941" s="236"/>
      <c r="DX4941" s="1671"/>
    </row>
    <row r="4942" spans="38:128">
      <c r="AL4942" s="1037"/>
      <c r="BP4942" s="1385"/>
      <c r="BV4942" s="236">
        <v>9900</v>
      </c>
      <c r="BW4942" s="236" t="s">
        <v>355</v>
      </c>
      <c r="CL4942" s="236">
        <v>9900</v>
      </c>
      <c r="CM4942" s="236" t="s">
        <v>302</v>
      </c>
      <c r="CT4942" s="1384"/>
      <c r="CZ4942" s="338"/>
      <c r="DA4942" s="338"/>
      <c r="DP4942" s="236"/>
      <c r="DQ4942" s="236"/>
      <c r="DX4942" s="1671"/>
    </row>
    <row r="4943" spans="38:128">
      <c r="AL4943" s="1037"/>
      <c r="BP4943" s="1385"/>
      <c r="BV4943" s="236">
        <v>101.01</v>
      </c>
      <c r="BW4943" s="236" t="s">
        <v>356</v>
      </c>
      <c r="CL4943" s="236">
        <v>9900</v>
      </c>
      <c r="CM4943" s="236" t="s">
        <v>304</v>
      </c>
      <c r="CT4943" s="1384"/>
      <c r="CZ4943" s="338"/>
      <c r="DA4943" s="338"/>
      <c r="DP4943" s="236"/>
      <c r="DQ4943" s="236"/>
      <c r="DX4943" s="1671"/>
    </row>
    <row r="4944" spans="38:128">
      <c r="AL4944" s="1037"/>
      <c r="BP4944" s="1385"/>
      <c r="BV4944" s="236">
        <v>101.02</v>
      </c>
      <c r="BW4944" s="236" t="s">
        <v>356</v>
      </c>
      <c r="CL4944" s="236">
        <v>9900</v>
      </c>
      <c r="CM4944" s="236" t="s">
        <v>305</v>
      </c>
      <c r="CT4944" s="1384"/>
      <c r="CZ4944" s="338"/>
      <c r="DA4944" s="338"/>
      <c r="DP4944" s="236"/>
      <c r="DQ4944" s="236"/>
      <c r="DX4944" s="1671"/>
    </row>
    <row r="4945" spans="38:128">
      <c r="AL4945" s="1037"/>
      <c r="BP4945" s="1385"/>
      <c r="BV4945" s="236">
        <v>102.04</v>
      </c>
      <c r="BW4945" s="236" t="s">
        <v>356</v>
      </c>
      <c r="CL4945" s="236">
        <v>9900</v>
      </c>
      <c r="CM4945" s="236" t="s">
        <v>314</v>
      </c>
      <c r="CT4945" s="1384"/>
      <c r="CZ4945" s="338"/>
      <c r="DA4945" s="338"/>
      <c r="DP4945" s="236"/>
      <c r="DQ4945" s="236"/>
      <c r="DX4945" s="1671"/>
    </row>
    <row r="4946" spans="38:128">
      <c r="AL4946" s="1037"/>
      <c r="BP4946" s="1385"/>
      <c r="BV4946" s="236">
        <v>102.05</v>
      </c>
      <c r="BW4946" s="236" t="s">
        <v>356</v>
      </c>
      <c r="CL4946" s="236">
        <v>9900</v>
      </c>
      <c r="CM4946" s="236" t="s">
        <v>316</v>
      </c>
      <c r="CT4946" s="1384"/>
      <c r="CZ4946" s="338"/>
      <c r="DA4946" s="338"/>
      <c r="DP4946" s="236"/>
      <c r="DQ4946" s="236"/>
      <c r="DX4946" s="1671"/>
    </row>
    <row r="4947" spans="38:128">
      <c r="AL4947" s="1037"/>
      <c r="BP4947" s="1385"/>
      <c r="BV4947" s="236">
        <v>102.06</v>
      </c>
      <c r="BW4947" s="236" t="s">
        <v>356</v>
      </c>
      <c r="CL4947" s="236">
        <v>9900</v>
      </c>
      <c r="CM4947" s="236" t="s">
        <v>318</v>
      </c>
      <c r="CT4947" s="1384"/>
      <c r="CZ4947" s="338"/>
      <c r="DA4947" s="338"/>
      <c r="DP4947" s="236"/>
      <c r="DQ4947" s="236"/>
      <c r="DX4947" s="1671"/>
    </row>
    <row r="4948" spans="38:128">
      <c r="AL4948" s="1037"/>
      <c r="BP4948" s="1385"/>
      <c r="BV4948" s="236">
        <v>102.07</v>
      </c>
      <c r="BW4948" s="236" t="s">
        <v>356</v>
      </c>
      <c r="CL4948" s="236">
        <v>9900</v>
      </c>
      <c r="CM4948" s="236" t="s">
        <v>320</v>
      </c>
      <c r="CT4948" s="1384"/>
      <c r="CZ4948" s="338"/>
      <c r="DA4948" s="338"/>
      <c r="DP4948" s="236"/>
      <c r="DQ4948" s="236"/>
      <c r="DX4948" s="1671"/>
    </row>
    <row r="4949" spans="38:128">
      <c r="AL4949" s="1037"/>
      <c r="BP4949" s="1385"/>
      <c r="BV4949" s="236">
        <v>102.08</v>
      </c>
      <c r="BW4949" s="236" t="s">
        <v>356</v>
      </c>
      <c r="CL4949" s="236">
        <v>9900</v>
      </c>
      <c r="CM4949" s="236" t="s">
        <v>323</v>
      </c>
      <c r="CT4949" s="1384"/>
      <c r="CZ4949" s="338"/>
      <c r="DA4949" s="338"/>
      <c r="DP4949" s="236"/>
      <c r="DQ4949" s="236"/>
      <c r="DX4949" s="1671"/>
    </row>
    <row r="4950" spans="38:128">
      <c r="AL4950" s="1037"/>
      <c r="BP4950" s="1385"/>
      <c r="BV4950" s="236">
        <v>102.09</v>
      </c>
      <c r="BW4950" s="236" t="s">
        <v>356</v>
      </c>
      <c r="CL4950" s="236">
        <v>9900</v>
      </c>
      <c r="CM4950" s="236" t="s">
        <v>325</v>
      </c>
      <c r="CT4950" s="1384"/>
      <c r="CZ4950" s="338"/>
      <c r="DA4950" s="338"/>
      <c r="DP4950" s="236"/>
      <c r="DQ4950" s="236"/>
      <c r="DX4950" s="1671"/>
    </row>
    <row r="4951" spans="38:128">
      <c r="AL4951" s="1037"/>
      <c r="BP4951" s="1385"/>
      <c r="BV4951" s="236">
        <v>9900</v>
      </c>
      <c r="BW4951" s="236" t="s">
        <v>356</v>
      </c>
      <c r="CL4951" s="236">
        <v>9900</v>
      </c>
      <c r="CM4951" s="236" t="s">
        <v>328</v>
      </c>
      <c r="CT4951" s="1384"/>
      <c r="CZ4951" s="338"/>
      <c r="DA4951" s="338"/>
      <c r="DP4951" s="236"/>
      <c r="DQ4951" s="236"/>
      <c r="DX4951" s="1671"/>
    </row>
    <row r="4952" spans="38:128">
      <c r="AL4952" s="1037"/>
      <c r="BP4952" s="1385"/>
      <c r="BV4952" s="236">
        <v>9501.02</v>
      </c>
      <c r="BW4952" s="236" t="s">
        <v>357</v>
      </c>
      <c r="CL4952" s="236">
        <v>9900</v>
      </c>
      <c r="CM4952" s="236" t="s">
        <v>330</v>
      </c>
      <c r="CT4952" s="1384"/>
      <c r="CZ4952" s="338"/>
      <c r="DA4952" s="338"/>
      <c r="DP4952" s="236"/>
      <c r="DQ4952" s="236"/>
      <c r="DX4952" s="1671"/>
    </row>
    <row r="4953" spans="38:128">
      <c r="AL4953" s="1037"/>
      <c r="BP4953" s="1385"/>
      <c r="BV4953" s="236">
        <v>9501.0300000000007</v>
      </c>
      <c r="BW4953" s="236" t="s">
        <v>357</v>
      </c>
      <c r="CL4953" s="236">
        <v>9900</v>
      </c>
      <c r="CM4953" s="236" t="s">
        <v>331</v>
      </c>
      <c r="CT4953" s="1384"/>
      <c r="CZ4953" s="338"/>
      <c r="DA4953" s="338"/>
      <c r="DP4953" s="236"/>
      <c r="DQ4953" s="236"/>
      <c r="DX4953" s="1671"/>
    </row>
    <row r="4954" spans="38:128">
      <c r="AL4954" s="1037"/>
      <c r="BP4954" s="1385"/>
      <c r="BV4954" s="236">
        <v>9501.0400000000009</v>
      </c>
      <c r="BW4954" s="236" t="s">
        <v>357</v>
      </c>
      <c r="CL4954" s="236">
        <v>9900</v>
      </c>
      <c r="CM4954" s="236" t="s">
        <v>335</v>
      </c>
      <c r="CT4954" s="1384"/>
      <c r="CZ4954" s="338"/>
      <c r="DA4954" s="338"/>
      <c r="DP4954" s="236"/>
      <c r="DQ4954" s="236"/>
      <c r="DX4954" s="1671"/>
    </row>
    <row r="4955" spans="38:128">
      <c r="AL4955" s="1037"/>
      <c r="BP4955" s="1385"/>
      <c r="BV4955" s="236">
        <v>9502.01</v>
      </c>
      <c r="BW4955" s="236" t="s">
        <v>357</v>
      </c>
      <c r="CL4955" s="236">
        <v>9900</v>
      </c>
      <c r="CM4955" s="236" t="s">
        <v>338</v>
      </c>
      <c r="CT4955" s="1384"/>
      <c r="CZ4955" s="338"/>
      <c r="DA4955" s="338"/>
      <c r="DP4955" s="236"/>
      <c r="DQ4955" s="236"/>
      <c r="DX4955" s="1671"/>
    </row>
    <row r="4956" spans="38:128">
      <c r="AL4956" s="1037"/>
      <c r="BP4956" s="1385"/>
      <c r="BV4956" s="236">
        <v>9502.02</v>
      </c>
      <c r="BW4956" s="236" t="s">
        <v>357</v>
      </c>
      <c r="CL4956" s="236">
        <v>9900</v>
      </c>
      <c r="CM4956" s="236" t="s">
        <v>340</v>
      </c>
      <c r="CT4956" s="1384"/>
      <c r="CZ4956" s="338"/>
      <c r="DA4956" s="338"/>
      <c r="DP4956" s="236"/>
      <c r="DQ4956" s="236"/>
      <c r="DX4956" s="1671"/>
    </row>
    <row r="4957" spans="38:128">
      <c r="AL4957" s="1037"/>
      <c r="BP4957" s="1385"/>
      <c r="BV4957" s="236">
        <v>9503.0300000000007</v>
      </c>
      <c r="BW4957" s="236" t="s">
        <v>357</v>
      </c>
      <c r="CL4957" s="236">
        <v>9900</v>
      </c>
      <c r="CM4957" s="236" t="s">
        <v>341</v>
      </c>
      <c r="CT4957" s="1384"/>
      <c r="CZ4957" s="338"/>
      <c r="DA4957" s="338"/>
      <c r="DP4957" s="236"/>
      <c r="DQ4957" s="236"/>
      <c r="DX4957" s="1671"/>
    </row>
    <row r="4958" spans="38:128">
      <c r="AL4958" s="1037"/>
      <c r="BP4958" s="1385"/>
      <c r="BV4958" s="236">
        <v>9503.0400000000009</v>
      </c>
      <c r="BW4958" s="236" t="s">
        <v>357</v>
      </c>
      <c r="CL4958" s="236">
        <v>9900</v>
      </c>
      <c r="CM4958" s="236" t="s">
        <v>342</v>
      </c>
      <c r="CT4958" s="1384"/>
      <c r="CZ4958" s="338"/>
      <c r="DA4958" s="338"/>
      <c r="DP4958" s="236"/>
      <c r="DQ4958" s="236"/>
      <c r="DX4958" s="1671"/>
    </row>
    <row r="4959" spans="38:128">
      <c r="AL4959" s="1037"/>
      <c r="BP4959" s="1385"/>
      <c r="BV4959" s="236">
        <v>9503.0499999999993</v>
      </c>
      <c r="BW4959" s="236" t="s">
        <v>357</v>
      </c>
      <c r="CL4959" s="236">
        <v>9900</v>
      </c>
      <c r="CM4959" s="236" t="s">
        <v>346</v>
      </c>
      <c r="CT4959" s="1384"/>
      <c r="CZ4959" s="338"/>
      <c r="DA4959" s="338"/>
      <c r="DP4959" s="236"/>
      <c r="DQ4959" s="236"/>
      <c r="DX4959" s="1671"/>
    </row>
    <row r="4960" spans="38:128">
      <c r="AL4960" s="1037"/>
      <c r="BP4960" s="1385"/>
      <c r="BV4960" s="236">
        <v>9503.06</v>
      </c>
      <c r="BW4960" s="236" t="s">
        <v>357</v>
      </c>
      <c r="CL4960" s="236">
        <v>9900</v>
      </c>
      <c r="CM4960" s="236" t="s">
        <v>347</v>
      </c>
      <c r="CT4960" s="1384"/>
      <c r="CZ4960" s="338"/>
      <c r="DA4960" s="338"/>
      <c r="DP4960" s="236"/>
      <c r="DQ4960" s="236"/>
      <c r="DX4960" s="1671"/>
    </row>
    <row r="4961" spans="38:131">
      <c r="AL4961" s="1037"/>
      <c r="BP4961" s="1385"/>
      <c r="BV4961" s="236">
        <v>9504</v>
      </c>
      <c r="BW4961" s="236" t="s">
        <v>357</v>
      </c>
      <c r="CL4961" s="236">
        <v>9900</v>
      </c>
      <c r="CM4961" s="236" t="s">
        <v>350</v>
      </c>
      <c r="CT4961" s="1384"/>
      <c r="CZ4961" s="338"/>
      <c r="DA4961" s="338"/>
      <c r="DP4961" s="236"/>
      <c r="DQ4961" s="236"/>
      <c r="DX4961" s="1671"/>
    </row>
    <row r="4962" spans="38:131">
      <c r="AL4962" s="1037"/>
      <c r="BP4962" s="1385"/>
      <c r="BV4962" s="236">
        <v>9505.01</v>
      </c>
      <c r="BW4962" s="236" t="s">
        <v>357</v>
      </c>
      <c r="CL4962" s="236">
        <v>9900</v>
      </c>
      <c r="CM4962" s="236" t="s">
        <v>355</v>
      </c>
      <c r="CT4962" s="1384"/>
      <c r="CZ4962" s="338"/>
      <c r="DA4962" s="338"/>
      <c r="DP4962" s="236"/>
      <c r="DQ4962" s="236"/>
      <c r="DX4962" s="1671"/>
    </row>
    <row r="4963" spans="38:131">
      <c r="AL4963" s="1037"/>
      <c r="BP4963" s="1385"/>
      <c r="BV4963" s="236">
        <v>9505.02</v>
      </c>
      <c r="BW4963" s="236" t="s">
        <v>357</v>
      </c>
      <c r="CL4963" s="236">
        <v>9900</v>
      </c>
      <c r="CM4963" s="236" t="s">
        <v>356</v>
      </c>
      <c r="CT4963" s="1384"/>
      <c r="CZ4963" s="338"/>
      <c r="DA4963" s="338"/>
      <c r="DP4963" s="236"/>
      <c r="DQ4963" s="236"/>
      <c r="DX4963" s="1671"/>
    </row>
    <row r="4964" spans="38:131">
      <c r="AL4964" s="1037"/>
      <c r="BP4964" s="1385"/>
      <c r="BV4964" s="236">
        <v>9506.0400000000009</v>
      </c>
      <c r="BW4964" s="236" t="s">
        <v>357</v>
      </c>
      <c r="CL4964" s="236">
        <v>9900</v>
      </c>
      <c r="CM4964" s="236" t="s">
        <v>357</v>
      </c>
      <c r="CT4964" s="1384"/>
      <c r="CZ4964" s="338"/>
      <c r="DA4964" s="338"/>
      <c r="DP4964" s="236"/>
      <c r="DQ4964" s="236"/>
      <c r="DX4964" s="1671"/>
    </row>
    <row r="4965" spans="38:131">
      <c r="AL4965" s="1037"/>
      <c r="BP4965" s="1385"/>
      <c r="BV4965" s="236">
        <v>9506.0499999999993</v>
      </c>
      <c r="BW4965" s="236" t="s">
        <v>357</v>
      </c>
      <c r="CL4965" s="236">
        <v>9901</v>
      </c>
      <c r="CM4965" s="236" t="s">
        <v>316</v>
      </c>
      <c r="CT4965" s="1384"/>
      <c r="CZ4965" s="338"/>
      <c r="DA4965" s="338"/>
      <c r="DP4965" s="236"/>
      <c r="DQ4965" s="236"/>
      <c r="DX4965" s="1671"/>
    </row>
    <row r="4966" spans="38:131">
      <c r="AL4966" s="1037"/>
      <c r="BP4966" s="1385"/>
      <c r="BV4966" s="236">
        <v>9506.06</v>
      </c>
      <c r="BW4966" s="236" t="s">
        <v>357</v>
      </c>
      <c r="CL4966" s="236">
        <v>9901</v>
      </c>
      <c r="CM4966" s="236" t="s">
        <v>330</v>
      </c>
      <c r="CT4966" s="1384"/>
      <c r="CZ4966" s="338"/>
      <c r="DA4966" s="338"/>
      <c r="DP4966" s="236"/>
      <c r="DQ4966" s="236"/>
      <c r="DX4966" s="1671"/>
    </row>
    <row r="4967" spans="38:131">
      <c r="AL4967" s="1037"/>
      <c r="BP4967" s="1385"/>
      <c r="BV4967" s="236">
        <v>9506.07</v>
      </c>
      <c r="BW4967" s="236" t="s">
        <v>357</v>
      </c>
      <c r="CL4967" s="236">
        <v>9901</v>
      </c>
      <c r="CM4967" s="236" t="s">
        <v>336</v>
      </c>
      <c r="CT4967" s="1384"/>
      <c r="CZ4967" s="338"/>
      <c r="DA4967" s="338"/>
      <c r="DP4967" s="236"/>
      <c r="DQ4967" s="236"/>
      <c r="DX4967" s="1671"/>
    </row>
    <row r="4968" spans="38:131">
      <c r="AL4968" s="1037"/>
      <c r="BP4968" s="1385"/>
      <c r="BV4968" s="236">
        <v>9506.08</v>
      </c>
      <c r="BW4968" s="236" t="s">
        <v>357</v>
      </c>
      <c r="CL4968" s="236">
        <v>9901</v>
      </c>
      <c r="CM4968" s="236" t="s">
        <v>340</v>
      </c>
      <c r="CT4968" s="1384"/>
      <c r="CZ4968" s="338"/>
      <c r="DA4968" s="338"/>
      <c r="DP4968" s="236"/>
      <c r="DQ4968" s="236"/>
      <c r="DX4968" s="1671"/>
    </row>
    <row r="4969" spans="38:131">
      <c r="AL4969" s="1037"/>
      <c r="BP4969" s="1385"/>
      <c r="BV4969" s="236">
        <v>9506.09</v>
      </c>
      <c r="BW4969" s="236" t="s">
        <v>357</v>
      </c>
      <c r="CL4969" s="236">
        <v>9901</v>
      </c>
      <c r="CM4969" s="236" t="s">
        <v>342</v>
      </c>
      <c r="CT4969" s="1384"/>
      <c r="CZ4969" s="338"/>
      <c r="DA4969" s="338"/>
      <c r="DP4969" s="236"/>
      <c r="DQ4969" s="236"/>
      <c r="DX4969" s="1671"/>
    </row>
    <row r="4970" spans="38:131">
      <c r="AL4970" s="1037"/>
      <c r="BP4970" s="1385"/>
      <c r="BV4970" s="236">
        <v>9506.1</v>
      </c>
      <c r="BW4970" s="236" t="s">
        <v>357</v>
      </c>
      <c r="CL4970" s="236">
        <v>9901</v>
      </c>
      <c r="CM4970" s="236" t="s">
        <v>349</v>
      </c>
      <c r="CT4970" s="1384"/>
      <c r="CZ4970" s="338"/>
      <c r="DA4970" s="338"/>
      <c r="DP4970" s="236"/>
      <c r="DQ4970" s="236"/>
      <c r="DX4970" s="1671"/>
    </row>
    <row r="4971" spans="38:131">
      <c r="AL4971" s="1037"/>
      <c r="BP4971" s="1385"/>
      <c r="BV4971" s="236">
        <v>9506.11</v>
      </c>
      <c r="BW4971" s="236" t="s">
        <v>357</v>
      </c>
      <c r="CL4971" s="236">
        <v>9902</v>
      </c>
      <c r="CM4971" s="236" t="s">
        <v>336</v>
      </c>
      <c r="CT4971" s="1384"/>
      <c r="CZ4971" s="338"/>
      <c r="DA4971" s="338"/>
      <c r="DP4971" s="236"/>
      <c r="DQ4971" s="236"/>
      <c r="DX4971" s="1671"/>
      <c r="EA4971" s="823" t="s">
        <v>2498</v>
      </c>
    </row>
    <row r="4972" spans="38:131">
      <c r="AL4972" s="1037"/>
      <c r="BP4972" s="1385"/>
      <c r="BV4972" s="236">
        <v>9900</v>
      </c>
      <c r="BW4972" s="236" t="s">
        <v>357</v>
      </c>
      <c r="CL4972" s="236">
        <v>9902</v>
      </c>
      <c r="CM4972" s="236" t="s">
        <v>349</v>
      </c>
      <c r="CT4972" s="1384"/>
      <c r="CZ4972" s="338"/>
      <c r="DA4972" s="338"/>
      <c r="DP4972" s="236"/>
      <c r="DQ4972" s="236"/>
      <c r="DX4972" s="1671"/>
    </row>
    <row r="4973" spans="38:131">
      <c r="AL4973" s="1037" t="s">
        <v>2498</v>
      </c>
      <c r="BP4973" s="1385" t="s">
        <v>2498</v>
      </c>
      <c r="BV4973" s="2711" t="s">
        <v>2072</v>
      </c>
      <c r="BW4973" s="2712"/>
      <c r="CL4973" s="2711" t="s">
        <v>2072</v>
      </c>
      <c r="CM4973" s="2712"/>
      <c r="CT4973" s="1384" t="s">
        <v>2498</v>
      </c>
      <c r="CZ4973" s="2711" t="s">
        <v>2072</v>
      </c>
      <c r="DA4973" s="2712"/>
      <c r="DP4973" s="2711" t="s">
        <v>2072</v>
      </c>
      <c r="DQ4973" s="2712"/>
      <c r="DX4973" s="1672" t="s">
        <v>2498</v>
      </c>
    </row>
  </sheetData>
  <sheetProtection algorithmName="SHA-512" hashValue="Y/5qEuTu1Fa97sfnDtGurGbzfyz3FbRZ/DyM2d7lVDlgOP12r/rMnB9Qa4CSho9tiSx9U1mX3vuoQsfR0jvWmw==" saltValue="AXpMTyPqgRBAG6GvhfyE6A==" spinCount="100000" sheet="1" objects="1" scenarios="1"/>
  <sortState xmlns:xlrd2="http://schemas.microsoft.com/office/spreadsheetml/2017/richdata2" ref="CU363:CV399">
    <sortCondition ref="CV363:CV399"/>
    <sortCondition ref="CU363:CU399"/>
  </sortState>
  <mergeCells count="188">
    <mergeCell ref="AG2:AH2"/>
    <mergeCell ref="AX12:AY12"/>
    <mergeCell ref="BE12:BF12"/>
    <mergeCell ref="BK9:BL9"/>
    <mergeCell ref="AM366:AN366"/>
    <mergeCell ref="EG114:EI114"/>
    <mergeCell ref="EG109:EI109"/>
    <mergeCell ref="EG110:EI110"/>
    <mergeCell ref="EG111:EI111"/>
    <mergeCell ref="EG112:EI112"/>
    <mergeCell ref="EG113:EI113"/>
    <mergeCell ref="EG106:EI106"/>
    <mergeCell ref="EG107:EI107"/>
    <mergeCell ref="EG108:EI108"/>
    <mergeCell ref="EG97:EI97"/>
    <mergeCell ref="EG98:EI98"/>
    <mergeCell ref="EG99:EI99"/>
    <mergeCell ref="EG100:EI100"/>
    <mergeCell ref="EG92:EI92"/>
    <mergeCell ref="EG91:EI91"/>
    <mergeCell ref="EG93:EI93"/>
    <mergeCell ref="EG94:EI94"/>
    <mergeCell ref="EG95:EI95"/>
    <mergeCell ref="BQ3:CT3"/>
    <mergeCell ref="BQ9:BR9"/>
    <mergeCell ref="BV9:BW9"/>
    <mergeCell ref="CL9:CM9"/>
    <mergeCell ref="BA4:BA8"/>
    <mergeCell ref="F9:G9"/>
    <mergeCell ref="I9:J9"/>
    <mergeCell ref="O8:P8"/>
    <mergeCell ref="BY9:BZ9"/>
    <mergeCell ref="CB9:CC9"/>
    <mergeCell ref="CI9:CJ9"/>
    <mergeCell ref="AU9:AV9"/>
    <mergeCell ref="BQ6:BR6"/>
    <mergeCell ref="L5:M5"/>
    <mergeCell ref="A3:AK3"/>
    <mergeCell ref="BC4:BC8"/>
    <mergeCell ref="BH4:BI8"/>
    <mergeCell ref="CR4:CS8"/>
    <mergeCell ref="CR9:CS9"/>
    <mergeCell ref="DV12:DW12"/>
    <mergeCell ref="DC48:DD48"/>
    <mergeCell ref="DS48:DT48"/>
    <mergeCell ref="CO4:CP8"/>
    <mergeCell ref="CB6:CC6"/>
    <mergeCell ref="A9:B9"/>
    <mergeCell ref="A12:B12"/>
    <mergeCell ref="F12:G12"/>
    <mergeCell ref="I12:J12"/>
    <mergeCell ref="AA4:AB8"/>
    <mergeCell ref="AD4:AE8"/>
    <mergeCell ref="AG4:AH8"/>
    <mergeCell ref="BE4:BF8"/>
    <mergeCell ref="AL3:AL9"/>
    <mergeCell ref="BN4:BO8"/>
    <mergeCell ref="AM3:BO3"/>
    <mergeCell ref="BK4:BL8"/>
    <mergeCell ref="AG9:AH9"/>
    <mergeCell ref="AG12:AH12"/>
    <mergeCell ref="EJ90:EL90"/>
    <mergeCell ref="L9:M9"/>
    <mergeCell ref="AD12:AE12"/>
    <mergeCell ref="CO9:CP9"/>
    <mergeCell ref="CL12:CM12"/>
    <mergeCell ref="CO12:CP12"/>
    <mergeCell ref="CR12:CS12"/>
    <mergeCell ref="AX9:AY9"/>
    <mergeCell ref="BH12:BI12"/>
    <mergeCell ref="BP3:BP11"/>
    <mergeCell ref="EE90:EI90"/>
    <mergeCell ref="BK12:BL12"/>
    <mergeCell ref="CE4:CE8"/>
    <mergeCell ref="CG4:CG8"/>
    <mergeCell ref="CI4:CJ8"/>
    <mergeCell ref="CL4:CM8"/>
    <mergeCell ref="BY6:BZ6"/>
    <mergeCell ref="X4:Y8"/>
    <mergeCell ref="O6:P6"/>
    <mergeCell ref="V4:V8"/>
    <mergeCell ref="AJ4:AK8"/>
    <mergeCell ref="BV6:BW6"/>
    <mergeCell ref="R4:R8"/>
    <mergeCell ref="T4:T8"/>
    <mergeCell ref="CI10:CJ11"/>
    <mergeCell ref="BE9:BF9"/>
    <mergeCell ref="BH9:BI9"/>
    <mergeCell ref="BN9:BO9"/>
    <mergeCell ref="BH815:BI815"/>
    <mergeCell ref="AR815:AS815"/>
    <mergeCell ref="X419:Y419"/>
    <mergeCell ref="AA830:AB830"/>
    <mergeCell ref="BQ12:BR12"/>
    <mergeCell ref="BV12:BW12"/>
    <mergeCell ref="BY12:BZ12"/>
    <mergeCell ref="CB12:CC12"/>
    <mergeCell ref="CI12:CJ12"/>
    <mergeCell ref="BE366:BF366"/>
    <mergeCell ref="X10:Y11"/>
    <mergeCell ref="BE10:BF11"/>
    <mergeCell ref="AJ12:AK12"/>
    <mergeCell ref="AJ9:AK9"/>
    <mergeCell ref="BN12:BO12"/>
    <mergeCell ref="AA12:AB12"/>
    <mergeCell ref="X12:Y12"/>
    <mergeCell ref="X9:Y9"/>
    <mergeCell ref="AA9:AB9"/>
    <mergeCell ref="AD9:AE9"/>
    <mergeCell ref="AU12:AV12"/>
    <mergeCell ref="AM6:AN6"/>
    <mergeCell ref="AR6:AS6"/>
    <mergeCell ref="AU6:AV6"/>
    <mergeCell ref="AX6:AY6"/>
    <mergeCell ref="A6:B6"/>
    <mergeCell ref="F6:G6"/>
    <mergeCell ref="I6:J6"/>
    <mergeCell ref="L6:M6"/>
    <mergeCell ref="O12:P12"/>
    <mergeCell ref="O9:P9"/>
    <mergeCell ref="L12:M12"/>
    <mergeCell ref="AM9:AN9"/>
    <mergeCell ref="AR9:AS9"/>
    <mergeCell ref="AM12:AN12"/>
    <mergeCell ref="AR12:AS12"/>
    <mergeCell ref="EK4:EM4"/>
    <mergeCell ref="CU409:CV409"/>
    <mergeCell ref="DM409:DN409"/>
    <mergeCell ref="CZ930:DA930"/>
    <mergeCell ref="DP930:DQ930"/>
    <mergeCell ref="CU3:DX3"/>
    <mergeCell ref="DI4:DI8"/>
    <mergeCell ref="DK4:DK8"/>
    <mergeCell ref="DM4:DN8"/>
    <mergeCell ref="DP4:DQ8"/>
    <mergeCell ref="DS4:DT8"/>
    <mergeCell ref="DV4:DW8"/>
    <mergeCell ref="CU6:CV6"/>
    <mergeCell ref="CZ6:DA6"/>
    <mergeCell ref="DC6:DD6"/>
    <mergeCell ref="DF6:DG6"/>
    <mergeCell ref="DM10:DN11"/>
    <mergeCell ref="EF10:EG11"/>
    <mergeCell ref="EG104:EI104"/>
    <mergeCell ref="EG105:EI105"/>
    <mergeCell ref="EG101:EI101"/>
    <mergeCell ref="EG102:EI102"/>
    <mergeCell ref="EG103:EI103"/>
    <mergeCell ref="EG96:EI96"/>
    <mergeCell ref="DC9:DD9"/>
    <mergeCell ref="DF9:DG9"/>
    <mergeCell ref="DM9:DN9"/>
    <mergeCell ref="DP9:DQ9"/>
    <mergeCell ref="DS9:DT9"/>
    <mergeCell ref="DV9:DW9"/>
    <mergeCell ref="CU12:CV12"/>
    <mergeCell ref="CZ12:DA12"/>
    <mergeCell ref="DC12:DD12"/>
    <mergeCell ref="DF12:DG12"/>
    <mergeCell ref="DM12:DN12"/>
    <mergeCell ref="DP12:DQ12"/>
    <mergeCell ref="DS12:DT12"/>
    <mergeCell ref="CU9:CV9"/>
    <mergeCell ref="CZ9:DA9"/>
    <mergeCell ref="I45:J45"/>
    <mergeCell ref="AD45:AE45"/>
    <mergeCell ref="A419:B419"/>
    <mergeCell ref="AJ2814:AK2814"/>
    <mergeCell ref="CZ4973:DA4973"/>
    <mergeCell ref="DF3001:DG3001"/>
    <mergeCell ref="DP4973:DQ4973"/>
    <mergeCell ref="DV3001:DW3001"/>
    <mergeCell ref="F830:G830"/>
    <mergeCell ref="BY213:BZ213"/>
    <mergeCell ref="CB2944:CC2944"/>
    <mergeCell ref="CR2944:CS2944"/>
    <mergeCell ref="BV4973:BW4973"/>
    <mergeCell ref="CL4973:CM4973"/>
    <mergeCell ref="CO213:CP213"/>
    <mergeCell ref="AX2951:AY2951"/>
    <mergeCell ref="BN2951:BO2951"/>
    <mergeCell ref="AU49:AV49"/>
    <mergeCell ref="BK49:BL49"/>
    <mergeCell ref="O2814:P2814"/>
    <mergeCell ref="AG2814:AH2814"/>
    <mergeCell ref="L2814:M2814"/>
    <mergeCell ref="BQ411:BR411"/>
    <mergeCell ref="CI411:CJ411"/>
  </mergeCells>
  <conditionalFormatting sqref="A418">
    <cfRule type="expression" dxfId="1865" priority="6264">
      <formula>A418=#REF!</formula>
    </cfRule>
  </conditionalFormatting>
  <conditionalFormatting sqref="D13:D26 AP13:AP35 J13:J44 AE13:AE44 AV13:AV48 BL13:BL48 EB13:EC76 AN13:AN365 BF13:BF365 BR13:BR410 CJ13:CJ410 B13:B418 Y13:Y418 AS13:AS814 BI13:BI814 G13:G829 AB13:AB829 N13:N2809 AH13:AK2809 AY13:AY2950 BO13:BO2950 EB78:EC85">
    <cfRule type="cellIs" dxfId="1864" priority="22" operator="equal">
      <formula>County</formula>
    </cfRule>
  </conditionalFormatting>
  <conditionalFormatting sqref="L13:M2813">
    <cfRule type="cellIs" dxfId="1863" priority="5" operator="equal">
      <formula>County</formula>
    </cfRule>
  </conditionalFormatting>
  <conditionalFormatting sqref="O13:P2813">
    <cfRule type="cellIs" dxfId="1862" priority="7" operator="equal">
      <formula>County</formula>
    </cfRule>
  </conditionalFormatting>
  <conditionalFormatting sqref="X10:X11">
    <cfRule type="expression" dxfId="1858" priority="26">
      <formula>COUNTA(_xlfn.UNIQUE(X13:X418))&lt;COUNTA(X13:X418)</formula>
    </cfRule>
  </conditionalFormatting>
  <conditionalFormatting sqref="X360:X418 A363:A416">
    <cfRule type="expression" dxfId="1856" priority="6241">
      <formula>A360=A419</formula>
    </cfRule>
  </conditionalFormatting>
  <conditionalFormatting sqref="X4:Y8">
    <cfRule type="expression" dxfId="1855" priority="54">
      <formula>ROWS(DS_2026_ZCTAs)&lt;&gt;ROWS(DS_2026_ZCTAs_Sorted)</formula>
    </cfRule>
  </conditionalFormatting>
  <conditionalFormatting sqref="AA4:AB8">
    <cfRule type="expression" dxfId="1854" priority="57">
      <formula>COUNT(DS_2026_Metro_QCTs)&lt;&gt;COUNT(DS_2026_Metro_QCTs_Sorted)</formula>
    </cfRule>
  </conditionalFormatting>
  <conditionalFormatting sqref="AD4:AE8">
    <cfRule type="expression" dxfId="1853" priority="56">
      <formula>COUNT(DS_2026_NonMetro_QCTs)&lt;&gt;COUNT(DS_2026_NonMetro_QCTs_Sorted)</formula>
    </cfRule>
  </conditionalFormatting>
  <conditionalFormatting sqref="AG4:AK8">
    <cfRule type="expression" dxfId="1852" priority="55">
      <formula>COUNTA(DS_2026_2F_GAO_Counties)&lt;&gt;COUNT(DS_2026_2F_GAO_CTs_Sorted)</formula>
    </cfRule>
  </conditionalFormatting>
  <conditionalFormatting sqref="AJ2810:AK2813">
    <cfRule type="cellIs" dxfId="1851" priority="1" operator="equal">
      <formula>County</formula>
    </cfRule>
  </conditionalFormatting>
  <conditionalFormatting sqref="AM13:AM365">
    <cfRule type="expression" dxfId="1850" priority="73">
      <formula>AM13=AM14</formula>
    </cfRule>
  </conditionalFormatting>
  <conditionalFormatting sqref="BE10:BE11">
    <cfRule type="expression" dxfId="1847" priority="25">
      <formula>COUNTA(_xlfn.UNIQUE(BE13:BE365))&lt;COUNTA(BE13:BE365)</formula>
    </cfRule>
  </conditionalFormatting>
  <conditionalFormatting sqref="BE13:BE365">
    <cfRule type="expression" dxfId="1846" priority="71">
      <formula>BE13=BE14</formula>
    </cfRule>
  </conditionalFormatting>
  <conditionalFormatting sqref="BE4:BF8">
    <cfRule type="expression" dxfId="1845" priority="53">
      <formula>ROWS(DS_2023_ZCTAs)&lt;&gt;ROWS(DS_2023_ZCTAs_Sorted)</formula>
    </cfRule>
  </conditionalFormatting>
  <conditionalFormatting sqref="BH4:BI8">
    <cfRule type="expression" dxfId="1844" priority="61">
      <formula>COUNT(DS_2023_Metro_QCTs)&lt;&gt;COUNT(DS_2023_Metro_QCTs_Sorted)</formula>
    </cfRule>
  </conditionalFormatting>
  <conditionalFormatting sqref="BK4:BL8">
    <cfRule type="expression" dxfId="1843" priority="60">
      <formula>COUNT(DS_2023_NonMetro_QCTs)&lt;&gt;COUNT(DS_2023_NonMetro_QCTs_Sorted)</formula>
    </cfRule>
  </conditionalFormatting>
  <conditionalFormatting sqref="BN4:BO8">
    <cfRule type="expression" dxfId="1842" priority="52">
      <formula>COUNTA(DS_2023_GAO_Counties)&lt;&gt;COUNT(DS_2023_GAO_QCTs_Sorted)</formula>
    </cfRule>
  </conditionalFormatting>
  <conditionalFormatting sqref="BQ398">
    <cfRule type="expression" dxfId="1841" priority="4871">
      <formula>BQ398=#REF!</formula>
    </cfRule>
  </conditionalFormatting>
  <conditionalFormatting sqref="BT13:BT35 BZ13:BZ212 CP13:CP212 CC13:CC2943 CS13:CS2943 BW13:BW4972 CM13:CM4972">
    <cfRule type="cellIs" dxfId="1840" priority="41" operator="equal">
      <formula>County</formula>
    </cfRule>
  </conditionalFormatting>
  <conditionalFormatting sqref="CI10:CI11">
    <cfRule type="expression" dxfId="1837" priority="24">
      <formula>COUNTA(_xlfn.UNIQUE(CI13:CI410))&lt;COUNTA(CI13:CI410)</formula>
    </cfRule>
  </conditionalFormatting>
  <conditionalFormatting sqref="CI13:CI24 X13:X359 A13:A362 BQ13:BQ397 CI26:CI211 CI213:CI214 CI216:CI219 CI221:CI410 BQ399:BQ410 A417">
    <cfRule type="expression" dxfId="1836" priority="129">
      <formula>A13=A14</formula>
    </cfRule>
  </conditionalFormatting>
  <conditionalFormatting sqref="CI25 CI212 CI215 CI220">
    <cfRule type="expression" dxfId="1835" priority="4834">
      <formula>CI25=#REF!</formula>
    </cfRule>
  </conditionalFormatting>
  <conditionalFormatting sqref="CI4:CJ8">
    <cfRule type="expression" dxfId="1834" priority="47">
      <formula>ROWS(DS_2023_ZCTAs)&lt;&gt;ROWS(DS_2023_ZCTAs_Sorted)</formula>
    </cfRule>
  </conditionalFormatting>
  <conditionalFormatting sqref="CL4:CM8">
    <cfRule type="expression" dxfId="1833" priority="49">
      <formula>COUNT(DS_2023_Metro_QCTs)&lt;&gt;COUNT(DS_2023_Metro_QCTs_Sorted)</formula>
    </cfRule>
  </conditionalFormatting>
  <conditionalFormatting sqref="CO4:CP8">
    <cfRule type="expression" dxfId="1832" priority="48">
      <formula>COUNT(DS_2023_NonMetro_QCTs)&lt;&gt;COUNT(DS_2023_NonMetro_QCTs_Sorted)</formula>
    </cfRule>
  </conditionalFormatting>
  <conditionalFormatting sqref="CR4:CS8">
    <cfRule type="expression" dxfId="1831" priority="46">
      <formula>COUNTA(DS_2023_GAO_Counties)&lt;&gt;COUNT(DS_2023_GAO_QCTs_Sorted)</formula>
    </cfRule>
  </conditionalFormatting>
  <conditionalFormatting sqref="CU13:CU408 DM13:DM408">
    <cfRule type="expression" dxfId="1830" priority="30">
      <formula>CU13=CU14</formula>
    </cfRule>
  </conditionalFormatting>
  <conditionalFormatting sqref="CV7 DA7 DD7 DG7">
    <cfRule type="cellIs" dxfId="1829" priority="27" operator="equal">
      <formula>"NA"</formula>
    </cfRule>
  </conditionalFormatting>
  <conditionalFormatting sqref="CV13:CV408 DN13:DN408">
    <cfRule type="cellIs" dxfId="1828" priority="29" operator="equal">
      <formula>County</formula>
    </cfRule>
  </conditionalFormatting>
  <conditionalFormatting sqref="CX13:CX35 DD13:DD47 DT13:DT47 DA13:DA929 DQ13:DQ929 DG13:DG3000 DD49:DD250 DT49:DT250 DA931 DQ931">
    <cfRule type="cellIs" dxfId="1827" priority="28" operator="equal">
      <formula>County</formula>
    </cfRule>
  </conditionalFormatting>
  <conditionalFormatting sqref="DM10:DM11">
    <cfRule type="expression" dxfId="1824" priority="23">
      <formula>COUNTA(_xlfn.UNIQUE(DM13:DM408))&lt;COUNTA(DM13:DM408)</formula>
    </cfRule>
  </conditionalFormatting>
  <conditionalFormatting sqref="DM4:DN8">
    <cfRule type="expression" dxfId="1823" priority="36">
      <formula>ROWS(DS_2023_ZCTAs)&lt;&gt;ROWS(DS_2023_ZCTAs_Sorted)</formula>
    </cfRule>
  </conditionalFormatting>
  <conditionalFormatting sqref="DP4:DQ8">
    <cfRule type="expression" dxfId="1822" priority="38">
      <formula>COUNT(DS_2023_Metro_QCTs)&lt;&gt;COUNT(DS_2023_Metro_QCTs_Sorted)</formula>
    </cfRule>
  </conditionalFormatting>
  <conditionalFormatting sqref="DS4:DT8">
    <cfRule type="expression" dxfId="1821" priority="37">
      <formula>COUNT(DS_2023_NonMetro_QCTs)&lt;&gt;COUNT(DS_2023_NonMetro_QCTs_Sorted)</formula>
    </cfRule>
  </conditionalFormatting>
  <conditionalFormatting sqref="DV4:DW8">
    <cfRule type="expression" dxfId="1820" priority="35">
      <formula>COUNTA(DS_2023_GAO_Counties)&lt;&gt;COUNT(DS_2023_GAO_QCTs_Sorted)</formula>
    </cfRule>
  </conditionalFormatting>
  <conditionalFormatting sqref="DW13:DW3000 DA3085:DA4972 DQ3085:DQ4972">
    <cfRule type="cellIs" dxfId="1819" priority="32" operator="equal">
      <formula>County</formula>
    </cfRule>
  </conditionalFormatting>
  <conditionalFormatting sqref="EG13:EG76">
    <cfRule type="cellIs" dxfId="1818" priority="104" operator="greaterThan">
      <formula>0</formula>
    </cfRule>
  </conditionalFormatting>
  <conditionalFormatting sqref="EG78:EG85">
    <cfRule type="cellIs" dxfId="1817" priority="65" operator="greaterThan">
      <formula>0</formula>
    </cfRule>
  </conditionalFormatting>
  <conditionalFormatting sqref="EK22:EK76">
    <cfRule type="cellIs" dxfId="1816" priority="16" operator="equal">
      <formula>$EO$7</formula>
    </cfRule>
  </conditionalFormatting>
  <conditionalFormatting sqref="EM13:EM76">
    <cfRule type="expression" dxfId="1815" priority="15">
      <formula>OR(AND(N(Total_Units)&lt;31,EM13="&lt;31"),AND(N(Total_Units)&gt;30,EM13="&gt;30"))</formula>
    </cfRule>
  </conditionalFormatting>
  <conditionalFormatting sqref="EP13:EP58">
    <cfRule type="expression" dxfId="1814" priority="17">
      <formula>OR(AND(LEN(EO13)=LEN(EO12)-3,LEFT(EO13,15)=LEFT(EO12,15)),AND(LEN(EO13)=LEN(EO14)-3,LEFT(EO13,15)=LEFT(EO14,15)))</formula>
    </cfRule>
    <cfRule type="expression" dxfId="1813" priority="14">
      <formula>OR(EO13=EO12&amp;" II",EO13=EO14&amp;" II")</formula>
    </cfRule>
    <cfRule type="expression" dxfId="1812" priority="12">
      <formula>OR(EO13=EO12,EO13=EO14)</formula>
    </cfRule>
  </conditionalFormatting>
  <conditionalFormatting sqref="EP13:EP76">
    <cfRule type="expression" dxfId="1811" priority="11">
      <formula>EP13&lt;IF(LDA_Notice="LDA",IF(ER13="Small",N($EP$5)+N($EP$8),IF(ER13="Medium",N($EQ$5)+N($EQ$8),IF($ER$5&lt;&gt;"NA",N($ER$5)+N($ER$8),0))),IF(EM13="&gt;30",IF(ER13="Small",N($EP$6)+N($EP$8),IF(ER13="Medium",N($EQ$6)+N($EQ$8),IF($ER$6&lt;&gt;"NA",N($ER$6)+N($ER$8),0))),IF(ER13="Small",N($EP$7)+N($EP$8),IF(ER13="Medium",N($EQ$7)+N($EQ$8),IF($ER$7&lt;&gt;"NA",N($ER$7)+N($ER$8),0)))))</formula>
    </cfRule>
  </conditionalFormatting>
  <conditionalFormatting sqref="EP59:EP76">
    <cfRule type="expression" dxfId="1810" priority="16681">
      <formula>OR(EO59=#REF!,EO59=EO60)</formula>
    </cfRule>
    <cfRule type="expression" dxfId="1809" priority="16682">
      <formula>OR(EO59=#REF!&amp;" II",EO59=EO60&amp;" II")</formula>
    </cfRule>
    <cfRule type="expression" dxfId="1808" priority="16683">
      <formula>OR(AND(LEN(EO59)=LEN(#REF!)-3,LEFT(EO59,15)=LEFT(#REF!,15)),AND(LEN(EO59)=LEN(EO60)-3,LEFT(EO59,15)=LEFT(EO60,15)))</formula>
    </cfRule>
  </conditionalFormatting>
  <conditionalFormatting sqref="ES13:ES23">
    <cfRule type="cellIs" dxfId="1807" priority="18" operator="equal">
      <formula>""</formula>
    </cfRule>
  </conditionalFormatting>
  <conditionalFormatting sqref="EU13:EU76">
    <cfRule type="cellIs" dxfId="1806" priority="70" operator="equal">
      <formula>1</formula>
    </cfRule>
  </conditionalFormatting>
  <conditionalFormatting sqref="EV13:EV76">
    <cfRule type="cellIs" dxfId="1805" priority="21" operator="notEqual">
      <formula>EJ13</formula>
    </cfRule>
    <cfRule type="expression" dxfId="1804" priority="20">
      <formula>AND(IFERROR(FIND("- site",EJ13),0)&gt;0,N(EN13)=0,$EV$11="Yes")</formula>
    </cfRule>
  </conditionalFormatting>
  <dataValidations count="2">
    <dataValidation type="list" allowBlank="1" showInputMessage="1" showErrorMessage="1" sqref="EV11" xr:uid="{AD402ED9-C252-4B06-AB0B-BBC33249E217}">
      <formula1>"Yes,No"</formula1>
    </dataValidation>
    <dataValidation type="list" allowBlank="1" showInputMessage="1" showErrorMessage="1" sqref="ET10" xr:uid="{B1AFA15B-6EE4-4C66-9D39-3B84E68BF7F4}">
      <formula1>"0,1,2,3,4"</formula1>
    </dataValidation>
  </dataValidations>
  <pageMargins left="0.7" right="0.7" top="0.75" bottom="0.75" header="0.3" footer="0.3"/>
  <pageSetup scale="80" orientation="portrait" cellComments="atEnd" r:id="rId1"/>
  <headerFooter>
    <oddHeader>&amp;C&amp;B&amp;14&amp;K7030A0RFA 2026-204 SAIL FINANCING FOR THE PRESERVATION OF ELDERLY DEVELOPMENTS</oddHeader>
    <oddFooter>&amp;LRFA 2026-204&amp;R&amp;K000000'&amp;A'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30" id="{047D5C16-0FBC-4E5B-882D-E50D2DACDAD3}">
            <xm:f>MAX(Data1!$U$405:$U$471,Data1!$T$405:$T$471)&gt;ROWS(DS_2026_County_QCTs)</xm:f>
            <x14:dxf>
              <font>
                <color rgb="FFC00000"/>
              </font>
              <fill>
                <patternFill>
                  <bgColor rgb="FFFFEBFF"/>
                </patternFill>
              </fill>
            </x14:dxf>
          </x14:cfRule>
          <xm:sqref>R4:R8</xm:sqref>
        </x14:conditionalFormatting>
        <x14:conditionalFormatting xmlns:xm="http://schemas.microsoft.com/office/excel/2006/main">
          <x14:cfRule type="expression" priority="4231" id="{AADC6359-3111-4D4C-B412-F8D4BC3D4BD1}">
            <xm:f>MAX(Data1!$V$405:$V$471)&gt;ROWS(DS_2026_County_2F_GAOs)</xm:f>
            <x14:dxf>
              <font>
                <color rgb="FFC00000"/>
              </font>
              <fill>
                <patternFill>
                  <bgColor rgb="FFFFEBFF"/>
                </patternFill>
              </fill>
            </x14:dxf>
          </x14:cfRule>
          <xm:sqref>T4:T8</xm:sqref>
        </x14:conditionalFormatting>
        <x14:conditionalFormatting xmlns:xm="http://schemas.microsoft.com/office/excel/2006/main">
          <x14:cfRule type="expression" priority="13" id="{4CE5ABFA-C705-46FD-A78E-2B48AA1F87B1}">
            <xm:f>MAX(Data1!$V$405:$V$471)&gt;ROWS(DS_2026_County_2F_GAOs)</xm:f>
            <x14:dxf>
              <font>
                <color rgb="FFC00000"/>
              </font>
              <fill>
                <patternFill>
                  <bgColor rgb="FFFFEBFF"/>
                </patternFill>
              </fill>
            </x14:dxf>
          </x14:cfRule>
          <xm:sqref>V4:V8</xm:sqref>
        </x14:conditionalFormatting>
        <x14:conditionalFormatting xmlns:xm="http://schemas.microsoft.com/office/excel/2006/main">
          <x14:cfRule type="expression" priority="77" id="{C367F2D9-0871-402B-93BD-FAE8FE097096}">
            <xm:f>X180=Data1!#REF!</xm:f>
            <x14:dxf>
              <fill>
                <patternFill>
                  <bgColor rgb="FFFFCCFF"/>
                </patternFill>
              </fill>
            </x14:dxf>
          </x14:cfRule>
          <xm:sqref>X180 X187 X263 X271 X287</xm:sqref>
        </x14:conditionalFormatting>
        <x14:conditionalFormatting xmlns:xm="http://schemas.microsoft.com/office/excel/2006/main">
          <x14:cfRule type="expression" priority="4236" id="{E33A1A6A-B4B6-4047-9707-02EB076EDC27}">
            <xm:f>MAX(Data1!$Z$405:$Z$471,Data1!$Y$405:$Y$471)&gt;ROWS(DS_2023_County_QCTs)</xm:f>
            <x14:dxf>
              <font>
                <color rgb="FFC00000"/>
              </font>
              <fill>
                <patternFill>
                  <bgColor rgb="FFFFEBFF"/>
                </patternFill>
              </fill>
            </x14:dxf>
          </x14:cfRule>
          <xm:sqref>BA4:BA8</xm:sqref>
        </x14:conditionalFormatting>
        <x14:conditionalFormatting xmlns:xm="http://schemas.microsoft.com/office/excel/2006/main">
          <x14:cfRule type="expression" priority="4237" id="{DA8DC176-0678-401F-86A8-1F2011B5DC04}">
            <xm:f>MAX(Data1!$AA$405:$AA$471)&gt;ROWS(DS_2023_County_GAOs)</xm:f>
            <x14:dxf>
              <font>
                <color rgb="FFC00000"/>
              </font>
              <fill>
                <patternFill>
                  <bgColor rgb="FFFFEBFF"/>
                </patternFill>
              </fill>
            </x14:dxf>
          </x14:cfRule>
          <xm:sqref>BC4:BC8</xm:sqref>
        </x14:conditionalFormatting>
        <x14:conditionalFormatting xmlns:xm="http://schemas.microsoft.com/office/excel/2006/main">
          <x14:cfRule type="expression" priority="50" id="{5B98C72B-D375-4E87-9E56-D5A372FFBDF3}">
            <xm:f>MAX(Data1!$Z$405:$Z$471,Data1!$Y$405:$Y$471)&gt;ROWS(DS_2023_County_QCTs)</xm:f>
            <x14:dxf>
              <font>
                <color rgb="FFC00000"/>
              </font>
              <fill>
                <patternFill>
                  <bgColor rgb="FFFFEBFF"/>
                </patternFill>
              </fill>
            </x14:dxf>
          </x14:cfRule>
          <xm:sqref>CE4:CE8</xm:sqref>
        </x14:conditionalFormatting>
        <x14:conditionalFormatting xmlns:xm="http://schemas.microsoft.com/office/excel/2006/main">
          <x14:cfRule type="expression" priority="51" id="{41D6E78A-A5A3-4E95-99FD-71DE02A3DF97}">
            <xm:f>MAX(Data1!$AA$405:$AA$471)&gt;ROWS(DS_2023_County_GAOs)</xm:f>
            <x14:dxf>
              <font>
                <color rgb="FFC00000"/>
              </font>
              <fill>
                <patternFill>
                  <bgColor rgb="FFFFEBFF"/>
                </patternFill>
              </fill>
            </x14:dxf>
          </x14:cfRule>
          <xm:sqref>CG4:CG8</xm:sqref>
        </x14:conditionalFormatting>
        <x14:conditionalFormatting xmlns:xm="http://schemas.microsoft.com/office/excel/2006/main">
          <x14:cfRule type="expression" priority="39" id="{A4E6CE25-485B-444B-AA6D-E30F1E9FECD8}">
            <xm:f>MAX(Data1!$Z$405:$Z$471,Data1!$Y$405:$Y$471)&gt;ROWS(DS_2023_County_QCTs)</xm:f>
            <x14:dxf>
              <font>
                <color rgb="FFC00000"/>
              </font>
              <fill>
                <patternFill>
                  <bgColor rgb="FFFFEBFF"/>
                </patternFill>
              </fill>
            </x14:dxf>
          </x14:cfRule>
          <xm:sqref>DI4:DI8</xm:sqref>
        </x14:conditionalFormatting>
        <x14:conditionalFormatting xmlns:xm="http://schemas.microsoft.com/office/excel/2006/main">
          <x14:cfRule type="expression" priority="40" id="{211EBBE1-D241-41CD-A496-D22E858B5A32}">
            <xm:f>MAX(Data1!$AA$405:$AA$471)&gt;ROWS(DS_2023_County_GAOs)</xm:f>
            <x14:dxf>
              <font>
                <color rgb="FFC00000"/>
              </font>
              <fill>
                <patternFill>
                  <bgColor rgb="FFFFEBFF"/>
                </patternFill>
              </fill>
            </x14:dxf>
          </x14:cfRule>
          <xm:sqref>DK4:DK8</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73"/>
  <sheetViews>
    <sheetView zoomScale="110" zoomScaleNormal="110" zoomScaleSheetLayoutView="110" workbookViewId="0">
      <pane ySplit="3" topLeftCell="A4" activePane="bottomLeft" state="frozen"/>
      <selection activeCell="B23" sqref="B23"/>
      <selection pane="bottomLeft" activeCell="H372" sqref="H372"/>
    </sheetView>
  </sheetViews>
  <sheetFormatPr defaultRowHeight="14.5"/>
  <cols>
    <col min="1" max="1" width="11.453125" customWidth="1"/>
    <col min="3" max="4" width="16.26953125" customWidth="1"/>
    <col min="5" max="5" width="16.26953125" style="106" customWidth="1"/>
    <col min="6" max="10" width="16.26953125" customWidth="1"/>
    <col min="11" max="11" width="19.7265625" customWidth="1"/>
    <col min="12" max="12" width="16.26953125" customWidth="1"/>
    <col min="13" max="13" width="18.7265625" customWidth="1"/>
    <col min="14" max="16" width="15" customWidth="1"/>
    <col min="17" max="17" width="15.26953125" customWidth="1"/>
  </cols>
  <sheetData>
    <row r="1" spans="1:18">
      <c r="A1" s="25" t="str">
        <f>"DS_CountyData is a named range for A"&amp;TEXT(ROW(A5),"0")&amp;": P"&amp;TEXT(ROW(A72),"0")</f>
        <v>DS_CountyData is a named range for A5: P72</v>
      </c>
      <c r="B1" s="114"/>
      <c r="C1" s="114"/>
      <c r="D1" s="114"/>
      <c r="E1" s="1489"/>
      <c r="F1" s="114"/>
      <c r="G1" s="114"/>
      <c r="L1" s="114"/>
      <c r="M1" s="114"/>
      <c r="N1" s="114"/>
      <c r="O1" s="114"/>
      <c r="P1" s="114"/>
    </row>
    <row r="2" spans="1:18">
      <c r="A2" s="25" t="str">
        <f>"DS_ELI_Data is a named range for A"&amp;TEXT(ROW(A5),"0")&amp;": N"&amp;TEXT(ROW(A72),"0")</f>
        <v>DS_ELI_Data is a named range for A5: N72</v>
      </c>
      <c r="E2" s="1489"/>
      <c r="F2" s="24"/>
      <c r="G2" s="2826" t="s">
        <v>3175</v>
      </c>
      <c r="H2" s="2827"/>
      <c r="I2" s="2827"/>
      <c r="J2" s="2827"/>
      <c r="K2" s="2828"/>
      <c r="L2" s="2824" t="s">
        <v>3176</v>
      </c>
      <c r="M2" s="2825"/>
      <c r="N2" s="280"/>
      <c r="O2" s="24"/>
      <c r="P2" s="24"/>
    </row>
    <row r="3" spans="1:18">
      <c r="A3" s="107">
        <v>1</v>
      </c>
      <c r="B3" s="107">
        <v>2</v>
      </c>
      <c r="C3" s="233">
        <v>3</v>
      </c>
      <c r="D3" s="233">
        <v>4</v>
      </c>
      <c r="E3" s="233">
        <v>5</v>
      </c>
      <c r="F3" s="233">
        <v>6</v>
      </c>
      <c r="G3" s="107">
        <v>7</v>
      </c>
      <c r="H3" s="107">
        <v>8</v>
      </c>
      <c r="I3" s="107">
        <v>9</v>
      </c>
      <c r="J3" s="107">
        <v>10</v>
      </c>
      <c r="K3" s="107">
        <v>11</v>
      </c>
      <c r="L3" s="233">
        <v>12</v>
      </c>
      <c r="M3" s="233">
        <v>13</v>
      </c>
      <c r="N3" s="233">
        <v>14</v>
      </c>
      <c r="O3" s="233">
        <v>15</v>
      </c>
      <c r="P3" s="233">
        <v>16</v>
      </c>
      <c r="R3" s="233"/>
    </row>
    <row r="4" spans="1:18" ht="29">
      <c r="A4" s="108" t="s">
        <v>0</v>
      </c>
      <c r="B4" s="1492"/>
      <c r="C4" s="1083" t="s">
        <v>661</v>
      </c>
      <c r="D4" s="1083" t="s">
        <v>662</v>
      </c>
      <c r="E4" s="1491"/>
      <c r="F4" s="1347"/>
      <c r="G4" s="111" t="s">
        <v>663</v>
      </c>
      <c r="H4" s="111" t="s">
        <v>664</v>
      </c>
      <c r="I4" s="111" t="s">
        <v>665</v>
      </c>
      <c r="J4" s="110" t="s">
        <v>666</v>
      </c>
      <c r="K4" s="111" t="s">
        <v>667</v>
      </c>
      <c r="L4" s="111" t="s">
        <v>668</v>
      </c>
      <c r="M4" s="111" t="s">
        <v>669</v>
      </c>
      <c r="N4" s="1799" t="s">
        <v>2590</v>
      </c>
      <c r="O4" s="585"/>
      <c r="P4" s="585"/>
    </row>
    <row r="5" spans="1:18" ht="15" customHeight="1">
      <c r="A5" t="s">
        <v>41</v>
      </c>
      <c r="B5" s="585"/>
      <c r="C5" s="282" t="s">
        <v>670</v>
      </c>
      <c r="D5" s="282" t="s">
        <v>670</v>
      </c>
      <c r="E5" s="1491"/>
      <c r="F5" s="585"/>
      <c r="G5" s="585"/>
      <c r="H5" s="585"/>
      <c r="I5" s="585"/>
      <c r="J5" s="585"/>
      <c r="K5" s="585"/>
      <c r="L5" s="585"/>
      <c r="M5" s="585"/>
      <c r="N5" s="585"/>
      <c r="O5" s="1491"/>
      <c r="P5" s="1491"/>
    </row>
    <row r="6" spans="1:18" ht="15" customHeight="1">
      <c r="A6" s="846" t="s">
        <v>276</v>
      </c>
      <c r="B6" s="1493"/>
      <c r="C6" s="109">
        <v>37500</v>
      </c>
      <c r="D6" s="109">
        <v>460000</v>
      </c>
      <c r="E6" s="1491"/>
      <c r="F6" s="1348"/>
      <c r="G6" s="112">
        <v>71100</v>
      </c>
      <c r="H6" s="112">
        <v>71100</v>
      </c>
      <c r="I6" s="112">
        <v>83300</v>
      </c>
      <c r="J6" s="112">
        <v>93900</v>
      </c>
      <c r="K6" s="112">
        <v>93900</v>
      </c>
      <c r="L6" s="112">
        <v>270000</v>
      </c>
      <c r="M6" s="112">
        <v>213100</v>
      </c>
      <c r="N6" s="281">
        <v>0.4</v>
      </c>
      <c r="O6" s="1491"/>
      <c r="P6" s="1491"/>
    </row>
    <row r="7" spans="1:18" ht="15" customHeight="1">
      <c r="A7" s="846" t="s">
        <v>281</v>
      </c>
      <c r="B7" s="1493"/>
      <c r="C7" s="109">
        <v>2500</v>
      </c>
      <c r="D7" s="257" t="s">
        <v>670</v>
      </c>
      <c r="E7" s="1491"/>
      <c r="F7" s="1348"/>
      <c r="G7" s="112">
        <v>72100</v>
      </c>
      <c r="H7" s="112">
        <v>72100</v>
      </c>
      <c r="I7" s="112">
        <v>84600</v>
      </c>
      <c r="J7" s="112">
        <v>95300</v>
      </c>
      <c r="K7" s="112">
        <v>95300</v>
      </c>
      <c r="L7" s="112">
        <v>273800</v>
      </c>
      <c r="M7" s="112">
        <v>216100</v>
      </c>
      <c r="N7" s="281">
        <v>0.4</v>
      </c>
      <c r="O7" s="1491"/>
      <c r="P7" s="1491"/>
    </row>
    <row r="8" spans="1:18" ht="15" customHeight="1">
      <c r="A8" s="846" t="s">
        <v>285</v>
      </c>
      <c r="B8" s="1493"/>
      <c r="C8" s="109">
        <v>20000</v>
      </c>
      <c r="D8" s="109">
        <v>340000</v>
      </c>
      <c r="E8" s="1491"/>
      <c r="F8" s="1348"/>
      <c r="G8" s="112">
        <v>70900</v>
      </c>
      <c r="H8" s="112">
        <v>70900</v>
      </c>
      <c r="I8" s="112">
        <v>83100</v>
      </c>
      <c r="J8" s="112">
        <v>93700</v>
      </c>
      <c r="K8" s="112">
        <v>93700</v>
      </c>
      <c r="L8" s="112">
        <v>269200</v>
      </c>
      <c r="M8" s="112">
        <v>212700</v>
      </c>
      <c r="N8" s="281">
        <v>0.4</v>
      </c>
      <c r="O8" s="1491"/>
      <c r="P8" s="1491"/>
    </row>
    <row r="9" spans="1:18" ht="15" customHeight="1">
      <c r="A9" s="846" t="s">
        <v>287</v>
      </c>
      <c r="B9" s="1493"/>
      <c r="C9" s="109">
        <v>5000</v>
      </c>
      <c r="D9" s="257" t="s">
        <v>670</v>
      </c>
      <c r="E9" s="1491"/>
      <c r="F9" s="1348"/>
      <c r="G9" s="112">
        <v>58100</v>
      </c>
      <c r="H9" s="112">
        <v>58100</v>
      </c>
      <c r="I9" s="112">
        <v>68200</v>
      </c>
      <c r="J9" s="112">
        <v>76900</v>
      </c>
      <c r="K9" s="112">
        <v>76900</v>
      </c>
      <c r="L9" s="112">
        <v>220700</v>
      </c>
      <c r="M9" s="112">
        <v>174100</v>
      </c>
      <c r="N9" s="281">
        <v>0.4</v>
      </c>
      <c r="O9" s="1491"/>
      <c r="P9" s="1491"/>
    </row>
    <row r="10" spans="1:18" ht="15" customHeight="1">
      <c r="A10" s="846" t="s">
        <v>288</v>
      </c>
      <c r="B10" s="1493"/>
      <c r="C10" s="109">
        <v>50000</v>
      </c>
      <c r="D10" s="109">
        <v>460000</v>
      </c>
      <c r="E10" s="1491"/>
      <c r="F10" s="1348"/>
      <c r="G10" s="112">
        <v>71500</v>
      </c>
      <c r="H10" s="112">
        <v>71500</v>
      </c>
      <c r="I10" s="112">
        <v>83700</v>
      </c>
      <c r="J10" s="112">
        <v>94400</v>
      </c>
      <c r="K10" s="112">
        <v>94400</v>
      </c>
      <c r="L10" s="112">
        <v>271100</v>
      </c>
      <c r="M10" s="112">
        <v>214200</v>
      </c>
      <c r="N10" s="281">
        <v>0.4</v>
      </c>
      <c r="O10" s="1491"/>
      <c r="P10" s="1491"/>
    </row>
    <row r="11" spans="1:18" ht="15" customHeight="1">
      <c r="A11" s="846" t="s">
        <v>289</v>
      </c>
      <c r="B11" s="1493"/>
      <c r="C11" s="109">
        <v>100000</v>
      </c>
      <c r="D11" s="109">
        <v>640000</v>
      </c>
      <c r="E11" s="1491"/>
      <c r="F11" s="1348"/>
      <c r="G11" s="112">
        <v>122900</v>
      </c>
      <c r="H11" s="112">
        <v>122900</v>
      </c>
      <c r="I11" s="112">
        <v>144000</v>
      </c>
      <c r="J11" s="112">
        <v>162200</v>
      </c>
      <c r="K11" s="112">
        <v>162200</v>
      </c>
      <c r="L11" s="112">
        <v>345200</v>
      </c>
      <c r="M11" s="112">
        <v>272600</v>
      </c>
      <c r="N11" s="281">
        <v>0.33</v>
      </c>
      <c r="O11" s="1491"/>
      <c r="P11" s="1491"/>
    </row>
    <row r="12" spans="1:18" ht="15" customHeight="1">
      <c r="A12" s="846" t="s">
        <v>292</v>
      </c>
      <c r="B12" s="1493"/>
      <c r="C12" s="109">
        <v>2500</v>
      </c>
      <c r="D12" s="257" t="s">
        <v>670</v>
      </c>
      <c r="E12" s="1491"/>
      <c r="F12" s="1348"/>
      <c r="G12" s="112">
        <v>57900</v>
      </c>
      <c r="H12" s="112">
        <v>57900</v>
      </c>
      <c r="I12" s="112">
        <v>68000</v>
      </c>
      <c r="J12" s="112">
        <v>76600</v>
      </c>
      <c r="K12" s="112">
        <v>76600</v>
      </c>
      <c r="L12" s="112">
        <v>219900</v>
      </c>
      <c r="M12" s="112">
        <v>173700</v>
      </c>
      <c r="N12" s="281">
        <v>0.4</v>
      </c>
      <c r="O12" s="1491"/>
      <c r="P12" s="1491"/>
    </row>
    <row r="13" spans="1:18" ht="15" customHeight="1">
      <c r="A13" s="846" t="s">
        <v>294</v>
      </c>
      <c r="B13" s="1493"/>
      <c r="C13" s="109">
        <v>20000</v>
      </c>
      <c r="D13" s="109">
        <v>340000</v>
      </c>
      <c r="E13" s="1491"/>
      <c r="F13" s="1348"/>
      <c r="G13" s="112">
        <v>69200</v>
      </c>
      <c r="H13" s="112">
        <v>69200</v>
      </c>
      <c r="I13" s="112">
        <v>81000</v>
      </c>
      <c r="J13" s="112">
        <v>91500</v>
      </c>
      <c r="K13" s="112">
        <v>91500</v>
      </c>
      <c r="L13" s="112">
        <v>262700</v>
      </c>
      <c r="M13" s="112">
        <v>207300</v>
      </c>
      <c r="N13" s="281">
        <v>0.4</v>
      </c>
      <c r="O13" s="1491"/>
      <c r="P13" s="1491"/>
    </row>
    <row r="14" spans="1:18" ht="15" customHeight="1">
      <c r="A14" s="846" t="s">
        <v>295</v>
      </c>
      <c r="B14" s="1493"/>
      <c r="C14" s="109">
        <v>20000</v>
      </c>
      <c r="D14" s="109">
        <v>340000</v>
      </c>
      <c r="E14" s="1491"/>
      <c r="F14" s="1348"/>
      <c r="G14" s="112">
        <v>57200</v>
      </c>
      <c r="H14" s="112">
        <v>57200</v>
      </c>
      <c r="I14" s="112">
        <v>67000</v>
      </c>
      <c r="J14" s="112">
        <v>75600</v>
      </c>
      <c r="K14" s="112">
        <v>75600</v>
      </c>
      <c r="L14" s="112">
        <v>217300</v>
      </c>
      <c r="M14" s="112">
        <v>171400</v>
      </c>
      <c r="N14" s="281">
        <v>0.4</v>
      </c>
      <c r="O14" s="1491"/>
      <c r="P14" s="1491"/>
    </row>
    <row r="15" spans="1:18" ht="15" customHeight="1">
      <c r="A15" s="846" t="s">
        <v>296</v>
      </c>
      <c r="B15" s="1493"/>
      <c r="C15" s="109">
        <v>20000</v>
      </c>
      <c r="D15" s="109">
        <v>340000</v>
      </c>
      <c r="E15" s="1491"/>
      <c r="F15" s="1348"/>
      <c r="G15" s="112">
        <v>78000</v>
      </c>
      <c r="H15" s="112">
        <v>78000</v>
      </c>
      <c r="I15" s="112">
        <v>91300</v>
      </c>
      <c r="J15" s="112">
        <v>103000</v>
      </c>
      <c r="K15" s="112">
        <v>103000</v>
      </c>
      <c r="L15" s="112">
        <v>295900</v>
      </c>
      <c r="M15" s="112">
        <v>233700</v>
      </c>
      <c r="N15" s="281">
        <v>0.4</v>
      </c>
      <c r="O15" s="1491"/>
      <c r="P15" s="1491"/>
    </row>
    <row r="16" spans="1:18" ht="15" customHeight="1">
      <c r="A16" s="846" t="s">
        <v>297</v>
      </c>
      <c r="B16" s="1493"/>
      <c r="C16" s="109">
        <v>37500</v>
      </c>
      <c r="D16" s="109">
        <v>460000</v>
      </c>
      <c r="E16" s="1491"/>
      <c r="F16" s="1348"/>
      <c r="G16" s="112">
        <v>117200</v>
      </c>
      <c r="H16" s="112">
        <v>117200</v>
      </c>
      <c r="I16" s="112">
        <v>137200</v>
      </c>
      <c r="J16" s="112">
        <v>154800</v>
      </c>
      <c r="K16" s="112">
        <v>154800</v>
      </c>
      <c r="L16" s="112">
        <v>329100</v>
      </c>
      <c r="M16" s="112">
        <v>260000</v>
      </c>
      <c r="N16" s="281">
        <v>0.33</v>
      </c>
      <c r="O16" s="1491"/>
      <c r="P16" s="1491"/>
    </row>
    <row r="17" spans="1:16" ht="15" customHeight="1">
      <c r="A17" s="846" t="s">
        <v>298</v>
      </c>
      <c r="B17" s="1493"/>
      <c r="C17" s="109">
        <v>10000</v>
      </c>
      <c r="D17" s="257" t="s">
        <v>670</v>
      </c>
      <c r="E17" s="1491"/>
      <c r="F17" s="1348"/>
      <c r="G17" s="112">
        <v>59500</v>
      </c>
      <c r="H17" s="112">
        <v>59500</v>
      </c>
      <c r="I17" s="112">
        <v>69700</v>
      </c>
      <c r="J17" s="112">
        <v>78700</v>
      </c>
      <c r="K17" s="112">
        <v>78700</v>
      </c>
      <c r="L17" s="112">
        <v>225700</v>
      </c>
      <c r="M17" s="112">
        <v>178300</v>
      </c>
      <c r="N17" s="281">
        <v>0.4</v>
      </c>
      <c r="O17" s="1491"/>
      <c r="P17" s="1491"/>
    </row>
    <row r="18" spans="1:16" ht="15" customHeight="1">
      <c r="A18" s="846" t="s">
        <v>300</v>
      </c>
      <c r="B18" s="1493"/>
      <c r="C18" s="109">
        <v>5000</v>
      </c>
      <c r="D18" s="257" t="s">
        <v>670</v>
      </c>
      <c r="E18" s="1491"/>
      <c r="F18" s="1348"/>
      <c r="G18" s="112">
        <v>56200</v>
      </c>
      <c r="H18" s="112">
        <v>56200</v>
      </c>
      <c r="I18" s="112">
        <v>65700</v>
      </c>
      <c r="J18" s="112">
        <v>74200</v>
      </c>
      <c r="K18" s="112">
        <v>74200</v>
      </c>
      <c r="L18" s="112">
        <v>213400</v>
      </c>
      <c r="M18" s="112">
        <v>168400</v>
      </c>
      <c r="N18" s="281">
        <v>0.4</v>
      </c>
      <c r="O18" s="1491"/>
      <c r="P18" s="1491"/>
    </row>
    <row r="19" spans="1:16" ht="15" customHeight="1">
      <c r="A19" s="846" t="s">
        <v>301</v>
      </c>
      <c r="B19" s="1493"/>
      <c r="C19" s="109">
        <v>2500</v>
      </c>
      <c r="D19" s="257" t="s">
        <v>670</v>
      </c>
      <c r="E19" s="1491"/>
      <c r="F19" s="1348"/>
      <c r="G19" s="112">
        <v>56200</v>
      </c>
      <c r="H19" s="112">
        <v>56200</v>
      </c>
      <c r="I19" s="112">
        <v>65700</v>
      </c>
      <c r="J19" s="112">
        <v>74200</v>
      </c>
      <c r="K19" s="112">
        <v>74200</v>
      </c>
      <c r="L19" s="112">
        <v>213400</v>
      </c>
      <c r="M19" s="112">
        <v>168400</v>
      </c>
      <c r="N19" s="281">
        <v>0.4</v>
      </c>
      <c r="O19" s="1491"/>
      <c r="P19" s="1491"/>
    </row>
    <row r="20" spans="1:16" ht="15" customHeight="1">
      <c r="A20" s="846" t="s">
        <v>302</v>
      </c>
      <c r="B20" s="1493"/>
      <c r="C20" s="109">
        <v>75000</v>
      </c>
      <c r="D20" s="109">
        <v>610000</v>
      </c>
      <c r="E20" s="1491"/>
      <c r="F20" s="1348"/>
      <c r="G20" s="112">
        <v>78000</v>
      </c>
      <c r="H20" s="112">
        <v>78000</v>
      </c>
      <c r="I20" s="112">
        <v>91300</v>
      </c>
      <c r="J20" s="112">
        <v>103000</v>
      </c>
      <c r="K20" s="112">
        <v>103000</v>
      </c>
      <c r="L20" s="112">
        <v>295900</v>
      </c>
      <c r="M20" s="112">
        <v>233700</v>
      </c>
      <c r="N20" s="281">
        <v>0.4</v>
      </c>
      <c r="O20" s="1491"/>
      <c r="P20" s="1491"/>
    </row>
    <row r="21" spans="1:16" ht="15" customHeight="1">
      <c r="A21" s="846" t="s">
        <v>304</v>
      </c>
      <c r="B21" s="1493"/>
      <c r="C21" s="109">
        <v>37500</v>
      </c>
      <c r="D21" s="109">
        <v>460000</v>
      </c>
      <c r="E21" s="1491"/>
      <c r="F21" s="1348"/>
      <c r="G21" s="112">
        <v>66900</v>
      </c>
      <c r="H21" s="112">
        <v>66900</v>
      </c>
      <c r="I21" s="112">
        <v>78200</v>
      </c>
      <c r="J21" s="112">
        <v>88400</v>
      </c>
      <c r="K21" s="112">
        <v>88400</v>
      </c>
      <c r="L21" s="112">
        <v>253900</v>
      </c>
      <c r="M21" s="112">
        <v>200500</v>
      </c>
      <c r="N21" s="281">
        <v>0.4</v>
      </c>
      <c r="O21" s="1491"/>
      <c r="P21" s="1491"/>
    </row>
    <row r="22" spans="1:16" ht="15" customHeight="1">
      <c r="A22" s="846" t="s">
        <v>305</v>
      </c>
      <c r="B22" s="1493"/>
      <c r="C22" s="109">
        <v>20000</v>
      </c>
      <c r="D22" s="109">
        <v>340000</v>
      </c>
      <c r="E22" s="1491"/>
      <c r="F22" s="1348"/>
      <c r="G22" s="112">
        <v>74800</v>
      </c>
      <c r="H22" s="112">
        <v>74800</v>
      </c>
      <c r="I22" s="112">
        <v>87600</v>
      </c>
      <c r="J22" s="112">
        <v>98800</v>
      </c>
      <c r="K22" s="112">
        <v>98800</v>
      </c>
      <c r="L22" s="112">
        <v>284100</v>
      </c>
      <c r="M22" s="112">
        <v>224100</v>
      </c>
      <c r="N22" s="281">
        <v>0.4</v>
      </c>
      <c r="O22" s="1491"/>
      <c r="P22" s="1491"/>
    </row>
    <row r="23" spans="1:16" ht="15" customHeight="1">
      <c r="A23" s="846" t="s">
        <v>306</v>
      </c>
      <c r="B23" s="1493"/>
      <c r="C23" s="109">
        <v>2500</v>
      </c>
      <c r="D23" s="257" t="s">
        <v>670</v>
      </c>
      <c r="E23" s="1491"/>
      <c r="F23" s="1348"/>
      <c r="G23" s="112">
        <v>59100</v>
      </c>
      <c r="H23" s="112">
        <v>59100</v>
      </c>
      <c r="I23" s="112">
        <v>69100</v>
      </c>
      <c r="J23" s="112">
        <v>78000</v>
      </c>
      <c r="K23" s="112">
        <v>78000</v>
      </c>
      <c r="L23" s="112">
        <v>224500</v>
      </c>
      <c r="M23" s="112">
        <v>177200</v>
      </c>
      <c r="N23" s="281">
        <v>0.4</v>
      </c>
      <c r="O23" s="1491"/>
      <c r="P23" s="1491"/>
    </row>
    <row r="24" spans="1:16" ht="15" customHeight="1">
      <c r="A24" s="846" t="s">
        <v>307</v>
      </c>
      <c r="B24" s="1493"/>
      <c r="C24" s="109">
        <v>5000</v>
      </c>
      <c r="D24" s="257" t="s">
        <v>670</v>
      </c>
      <c r="E24" s="1491"/>
      <c r="F24" s="1348"/>
      <c r="G24" s="112">
        <v>71300</v>
      </c>
      <c r="H24" s="112">
        <v>71300</v>
      </c>
      <c r="I24" s="112">
        <v>83700</v>
      </c>
      <c r="J24" s="112">
        <v>94200</v>
      </c>
      <c r="K24" s="112">
        <v>94200</v>
      </c>
      <c r="L24" s="112">
        <v>270700</v>
      </c>
      <c r="M24" s="112">
        <v>213800</v>
      </c>
      <c r="N24" s="281">
        <v>0.4</v>
      </c>
      <c r="O24" s="1491"/>
      <c r="P24" s="1491"/>
    </row>
    <row r="25" spans="1:16" ht="15" customHeight="1">
      <c r="A25" s="846" t="s">
        <v>308</v>
      </c>
      <c r="B25" s="1493"/>
      <c r="C25" s="109">
        <v>2500</v>
      </c>
      <c r="D25" s="257" t="s">
        <v>670</v>
      </c>
      <c r="E25" s="1491"/>
      <c r="F25" s="1348"/>
      <c r="G25" s="112">
        <v>71100</v>
      </c>
      <c r="H25" s="112">
        <v>71100</v>
      </c>
      <c r="I25" s="112">
        <v>83300</v>
      </c>
      <c r="J25" s="112">
        <v>93900</v>
      </c>
      <c r="K25" s="112">
        <v>93900</v>
      </c>
      <c r="L25" s="112">
        <v>270000</v>
      </c>
      <c r="M25" s="112">
        <v>213100</v>
      </c>
      <c r="N25" s="281">
        <v>0.4</v>
      </c>
      <c r="O25" s="1491"/>
      <c r="P25" s="1491"/>
    </row>
    <row r="26" spans="1:16" ht="15" customHeight="1">
      <c r="A26" s="846" t="s">
        <v>309</v>
      </c>
      <c r="B26" s="1493"/>
      <c r="C26" s="109">
        <v>2500</v>
      </c>
      <c r="D26" s="257" t="s">
        <v>670</v>
      </c>
      <c r="E26" s="1491"/>
      <c r="F26" s="1348"/>
      <c r="G26" s="112">
        <v>56200</v>
      </c>
      <c r="H26" s="112">
        <v>56200</v>
      </c>
      <c r="I26" s="112">
        <v>65700</v>
      </c>
      <c r="J26" s="112">
        <v>74200</v>
      </c>
      <c r="K26" s="112">
        <v>74200</v>
      </c>
      <c r="L26" s="112">
        <v>213400</v>
      </c>
      <c r="M26" s="112">
        <v>168400</v>
      </c>
      <c r="N26" s="281">
        <v>0.4</v>
      </c>
      <c r="O26" s="1491"/>
      <c r="P26" s="1491"/>
    </row>
    <row r="27" spans="1:16" ht="15" customHeight="1">
      <c r="A27" s="846" t="s">
        <v>310</v>
      </c>
      <c r="B27" s="1493"/>
      <c r="C27" s="109">
        <v>2500</v>
      </c>
      <c r="D27" s="257" t="s">
        <v>670</v>
      </c>
      <c r="E27" s="1491"/>
      <c r="F27" s="1348"/>
      <c r="G27" s="112">
        <v>61800</v>
      </c>
      <c r="H27" s="112">
        <v>61800</v>
      </c>
      <c r="I27" s="112">
        <v>72300</v>
      </c>
      <c r="J27" s="112">
        <v>81700</v>
      </c>
      <c r="K27" s="112">
        <v>81700</v>
      </c>
      <c r="L27" s="112">
        <v>234400</v>
      </c>
      <c r="M27" s="112">
        <v>185200</v>
      </c>
      <c r="N27" s="281">
        <v>0.4</v>
      </c>
      <c r="O27" s="1491"/>
      <c r="P27" s="1491"/>
    </row>
    <row r="28" spans="1:16" ht="15" customHeight="1">
      <c r="A28" s="846" t="s">
        <v>311</v>
      </c>
      <c r="B28" s="1493"/>
      <c r="C28" s="109">
        <v>2500</v>
      </c>
      <c r="D28" s="257" t="s">
        <v>670</v>
      </c>
      <c r="E28" s="1491"/>
      <c r="F28" s="1348"/>
      <c r="G28" s="112">
        <v>56200</v>
      </c>
      <c r="H28" s="112">
        <v>56200</v>
      </c>
      <c r="I28" s="112">
        <v>65700</v>
      </c>
      <c r="J28" s="112">
        <v>74200</v>
      </c>
      <c r="K28" s="112">
        <v>74200</v>
      </c>
      <c r="L28" s="112">
        <v>213400</v>
      </c>
      <c r="M28" s="112">
        <v>168400</v>
      </c>
      <c r="N28" s="281">
        <v>0.4</v>
      </c>
      <c r="O28" s="1491"/>
      <c r="P28" s="1491"/>
    </row>
    <row r="29" spans="1:16" ht="15" customHeight="1">
      <c r="A29" s="846" t="s">
        <v>312</v>
      </c>
      <c r="B29" s="1493"/>
      <c r="C29" s="109">
        <v>5000</v>
      </c>
      <c r="D29" s="257" t="s">
        <v>670</v>
      </c>
      <c r="E29" s="1491"/>
      <c r="F29" s="1348"/>
      <c r="G29" s="112">
        <v>56200</v>
      </c>
      <c r="H29" s="112">
        <v>56200</v>
      </c>
      <c r="I29" s="112">
        <v>65700</v>
      </c>
      <c r="J29" s="112">
        <v>74200</v>
      </c>
      <c r="K29" s="112">
        <v>74200</v>
      </c>
      <c r="L29" s="112">
        <v>213400</v>
      </c>
      <c r="M29" s="112">
        <v>168400</v>
      </c>
      <c r="N29" s="281">
        <v>0.4</v>
      </c>
      <c r="O29" s="1491"/>
      <c r="P29" s="1491"/>
    </row>
    <row r="30" spans="1:16" ht="15" customHeight="1">
      <c r="A30" s="846" t="s">
        <v>313</v>
      </c>
      <c r="B30" s="1493"/>
      <c r="C30" s="109">
        <v>5000</v>
      </c>
      <c r="D30" s="257" t="s">
        <v>670</v>
      </c>
      <c r="E30" s="1491"/>
      <c r="F30" s="1348"/>
      <c r="G30" s="112">
        <v>56200</v>
      </c>
      <c r="H30" s="112">
        <v>56200</v>
      </c>
      <c r="I30" s="112">
        <v>65700</v>
      </c>
      <c r="J30" s="112">
        <v>74200</v>
      </c>
      <c r="K30" s="112">
        <v>74200</v>
      </c>
      <c r="L30" s="112">
        <v>213400</v>
      </c>
      <c r="M30" s="112">
        <v>168400</v>
      </c>
      <c r="N30" s="281">
        <v>0.4</v>
      </c>
      <c r="O30" s="1491"/>
      <c r="P30" s="1491"/>
    </row>
    <row r="31" spans="1:16" ht="15" customHeight="1">
      <c r="A31" s="846" t="s">
        <v>314</v>
      </c>
      <c r="B31" s="1493"/>
      <c r="C31" s="109">
        <v>20000</v>
      </c>
      <c r="D31" s="109">
        <v>340000</v>
      </c>
      <c r="E31" s="1491"/>
      <c r="F31" s="1348"/>
      <c r="G31" s="112">
        <v>102900</v>
      </c>
      <c r="H31" s="112">
        <v>102900</v>
      </c>
      <c r="I31" s="112">
        <v>120600</v>
      </c>
      <c r="J31" s="112">
        <v>136000</v>
      </c>
      <c r="K31" s="112">
        <v>136000</v>
      </c>
      <c r="L31" s="112">
        <v>312000</v>
      </c>
      <c r="M31" s="112">
        <v>246300</v>
      </c>
      <c r="N31" s="281">
        <v>0.35</v>
      </c>
      <c r="O31" s="1491"/>
      <c r="P31" s="1491"/>
    </row>
    <row r="32" spans="1:16" ht="15" customHeight="1">
      <c r="A32" s="846" t="s">
        <v>315</v>
      </c>
      <c r="B32" s="1493"/>
      <c r="C32" s="109">
        <v>20000</v>
      </c>
      <c r="D32" s="109">
        <v>340000</v>
      </c>
      <c r="E32" s="1491"/>
      <c r="F32" s="1348"/>
      <c r="G32" s="112">
        <v>57900</v>
      </c>
      <c r="H32" s="112">
        <v>57900</v>
      </c>
      <c r="I32" s="112">
        <v>68000</v>
      </c>
      <c r="J32" s="112">
        <v>76600</v>
      </c>
      <c r="K32" s="112">
        <v>76600</v>
      </c>
      <c r="L32" s="112">
        <v>219900</v>
      </c>
      <c r="M32" s="112">
        <v>173700</v>
      </c>
      <c r="N32" s="281">
        <v>0.4</v>
      </c>
      <c r="O32" s="1491"/>
      <c r="P32" s="1491"/>
    </row>
    <row r="33" spans="1:16" ht="15" customHeight="1">
      <c r="A33" s="75" t="s">
        <v>316</v>
      </c>
      <c r="B33" s="1493"/>
      <c r="C33" s="109">
        <v>75000</v>
      </c>
      <c r="D33" s="109">
        <v>610000</v>
      </c>
      <c r="E33" s="1491"/>
      <c r="F33" s="1348"/>
      <c r="G33" s="112">
        <v>102900</v>
      </c>
      <c r="H33" s="112">
        <v>102900</v>
      </c>
      <c r="I33" s="112">
        <v>120600</v>
      </c>
      <c r="J33" s="112">
        <v>136000</v>
      </c>
      <c r="K33" s="112">
        <v>136000</v>
      </c>
      <c r="L33" s="112">
        <v>312000</v>
      </c>
      <c r="M33" s="112">
        <v>246300</v>
      </c>
      <c r="N33" s="281">
        <v>0.35</v>
      </c>
      <c r="O33" s="1491"/>
      <c r="P33" s="1491"/>
    </row>
    <row r="34" spans="1:16" ht="15" customHeight="1">
      <c r="A34" s="846" t="s">
        <v>317</v>
      </c>
      <c r="B34" s="1493"/>
      <c r="C34" s="109">
        <v>2500</v>
      </c>
      <c r="D34" s="257" t="s">
        <v>670</v>
      </c>
      <c r="E34" s="1491"/>
      <c r="F34" s="1348"/>
      <c r="G34" s="112">
        <v>56200</v>
      </c>
      <c r="H34" s="112">
        <v>56200</v>
      </c>
      <c r="I34" s="112">
        <v>65700</v>
      </c>
      <c r="J34" s="112">
        <v>74200</v>
      </c>
      <c r="K34" s="112">
        <v>74200</v>
      </c>
      <c r="L34" s="112">
        <v>213400</v>
      </c>
      <c r="M34" s="112">
        <v>168400</v>
      </c>
      <c r="N34" s="281">
        <v>0.4</v>
      </c>
      <c r="O34" s="1491"/>
      <c r="P34" s="1491"/>
    </row>
    <row r="35" spans="1:16" ht="15" customHeight="1">
      <c r="A35" s="75" t="s">
        <v>318</v>
      </c>
      <c r="B35" s="1493"/>
      <c r="C35" s="109">
        <v>20000</v>
      </c>
      <c r="D35" s="109">
        <v>340000</v>
      </c>
      <c r="E35" s="1491"/>
      <c r="F35" s="1348"/>
      <c r="G35" s="112">
        <v>73400</v>
      </c>
      <c r="H35" s="112">
        <v>73400</v>
      </c>
      <c r="I35" s="112">
        <v>85900</v>
      </c>
      <c r="J35" s="112">
        <v>97000</v>
      </c>
      <c r="K35" s="112">
        <v>97000</v>
      </c>
      <c r="L35" s="112">
        <v>278700</v>
      </c>
      <c r="M35" s="112">
        <v>219900</v>
      </c>
      <c r="N35" s="281">
        <v>0.4</v>
      </c>
      <c r="O35" s="1491"/>
      <c r="P35" s="1491"/>
    </row>
    <row r="36" spans="1:16" ht="15" customHeight="1">
      <c r="A36" s="846" t="s">
        <v>319</v>
      </c>
      <c r="B36" s="1493"/>
      <c r="C36" s="109">
        <v>5000</v>
      </c>
      <c r="D36" s="257" t="s">
        <v>670</v>
      </c>
      <c r="E36" s="1491"/>
      <c r="F36" s="1348"/>
      <c r="G36" s="112">
        <v>56200</v>
      </c>
      <c r="H36" s="112">
        <v>56200</v>
      </c>
      <c r="I36" s="112">
        <v>65700</v>
      </c>
      <c r="J36" s="112">
        <v>74200</v>
      </c>
      <c r="K36" s="112">
        <v>74200</v>
      </c>
      <c r="L36" s="112">
        <v>213400</v>
      </c>
      <c r="M36" s="112">
        <v>168400</v>
      </c>
      <c r="N36" s="281">
        <v>0.4</v>
      </c>
      <c r="O36" s="1491"/>
      <c r="P36" s="1491"/>
    </row>
    <row r="37" spans="1:16" ht="15" customHeight="1">
      <c r="A37" s="846" t="s">
        <v>320</v>
      </c>
      <c r="B37" s="1493"/>
      <c r="C37" s="109">
        <v>2500</v>
      </c>
      <c r="D37" s="257" t="s">
        <v>670</v>
      </c>
      <c r="E37" s="1491"/>
      <c r="F37" s="1348"/>
      <c r="G37" s="112">
        <v>71300</v>
      </c>
      <c r="H37" s="112">
        <v>71300</v>
      </c>
      <c r="I37" s="112">
        <v>83700</v>
      </c>
      <c r="J37" s="112">
        <v>94200</v>
      </c>
      <c r="K37" s="112">
        <v>94200</v>
      </c>
      <c r="L37" s="112">
        <v>270700</v>
      </c>
      <c r="M37" s="112">
        <v>213800</v>
      </c>
      <c r="N37" s="281">
        <v>0.4</v>
      </c>
      <c r="O37" s="1491"/>
      <c r="P37" s="1491"/>
    </row>
    <row r="38" spans="1:16" ht="15" customHeight="1">
      <c r="A38" s="846" t="s">
        <v>321</v>
      </c>
      <c r="B38" s="1493"/>
      <c r="C38" s="109">
        <v>2500</v>
      </c>
      <c r="D38" s="257" t="s">
        <v>670</v>
      </c>
      <c r="E38" s="1491"/>
      <c r="F38" s="1348"/>
      <c r="G38" s="112">
        <v>56200</v>
      </c>
      <c r="H38" s="112">
        <v>56200</v>
      </c>
      <c r="I38" s="112">
        <v>65700</v>
      </c>
      <c r="J38" s="112">
        <v>74200</v>
      </c>
      <c r="K38" s="112">
        <v>74200</v>
      </c>
      <c r="L38" s="112">
        <v>213400</v>
      </c>
      <c r="M38" s="112">
        <v>168400</v>
      </c>
      <c r="N38" s="281">
        <v>0.4</v>
      </c>
      <c r="O38" s="1491"/>
      <c r="P38" s="1491"/>
    </row>
    <row r="39" spans="1:16" ht="15" customHeight="1">
      <c r="A39" s="846" t="s">
        <v>322</v>
      </c>
      <c r="B39" s="1493"/>
      <c r="C39" s="109">
        <v>37500</v>
      </c>
      <c r="D39" s="109">
        <v>460000</v>
      </c>
      <c r="E39" s="1491"/>
      <c r="F39" s="1348"/>
      <c r="G39" s="112">
        <v>103000</v>
      </c>
      <c r="H39" s="112">
        <v>103000</v>
      </c>
      <c r="I39" s="112">
        <v>120800</v>
      </c>
      <c r="J39" s="112">
        <v>136200</v>
      </c>
      <c r="K39" s="112">
        <v>136200</v>
      </c>
      <c r="L39" s="112">
        <v>312700</v>
      </c>
      <c r="M39" s="112">
        <v>247000</v>
      </c>
      <c r="N39" s="281">
        <v>0.35</v>
      </c>
      <c r="O39" s="1491"/>
      <c r="P39" s="1491"/>
    </row>
    <row r="40" spans="1:16" ht="15" customHeight="1">
      <c r="A40" s="846" t="s">
        <v>323</v>
      </c>
      <c r="B40" s="1493"/>
      <c r="C40" s="109">
        <v>75000</v>
      </c>
      <c r="D40" s="109">
        <v>610000</v>
      </c>
      <c r="E40" s="1491"/>
      <c r="F40" s="1348"/>
      <c r="G40" s="112">
        <v>100800</v>
      </c>
      <c r="H40" s="112">
        <v>100800</v>
      </c>
      <c r="I40" s="112">
        <v>118200</v>
      </c>
      <c r="J40" s="112">
        <v>133300</v>
      </c>
      <c r="K40" s="112">
        <v>133300</v>
      </c>
      <c r="L40" s="112">
        <v>306200</v>
      </c>
      <c r="M40" s="112">
        <v>241700</v>
      </c>
      <c r="N40" s="281">
        <v>0.35</v>
      </c>
      <c r="O40" s="1491"/>
      <c r="P40" s="1491"/>
    </row>
    <row r="41" spans="1:16" ht="15" customHeight="1">
      <c r="A41" s="846" t="s">
        <v>324</v>
      </c>
      <c r="B41" s="1493"/>
      <c r="C41" s="109">
        <v>37500</v>
      </c>
      <c r="D41" s="109">
        <v>460000</v>
      </c>
      <c r="E41" s="1491"/>
      <c r="F41" s="1348"/>
      <c r="G41" s="112">
        <v>71300</v>
      </c>
      <c r="H41" s="112">
        <v>71300</v>
      </c>
      <c r="I41" s="112">
        <v>83700</v>
      </c>
      <c r="J41" s="112">
        <v>94200</v>
      </c>
      <c r="K41" s="112">
        <v>94200</v>
      </c>
      <c r="L41" s="112">
        <v>270700</v>
      </c>
      <c r="M41" s="112">
        <v>213800</v>
      </c>
      <c r="N41" s="281">
        <v>0.4</v>
      </c>
      <c r="O41" s="1491"/>
      <c r="P41" s="1491"/>
    </row>
    <row r="42" spans="1:16" ht="15" customHeight="1">
      <c r="A42" s="846" t="s">
        <v>325</v>
      </c>
      <c r="B42" s="1493"/>
      <c r="C42" s="109">
        <v>5000</v>
      </c>
      <c r="D42" s="257" t="s">
        <v>670</v>
      </c>
      <c r="E42" s="1491"/>
      <c r="F42" s="1348"/>
      <c r="G42" s="112">
        <v>56200</v>
      </c>
      <c r="H42" s="112">
        <v>56200</v>
      </c>
      <c r="I42" s="112">
        <v>65700</v>
      </c>
      <c r="J42" s="112">
        <v>74200</v>
      </c>
      <c r="K42" s="112">
        <v>74200</v>
      </c>
      <c r="L42" s="112">
        <v>213400</v>
      </c>
      <c r="M42" s="112">
        <v>168400</v>
      </c>
      <c r="N42" s="281">
        <v>0.4</v>
      </c>
      <c r="O42" s="1491"/>
      <c r="P42" s="1491"/>
    </row>
    <row r="43" spans="1:16" ht="15" customHeight="1">
      <c r="A43" s="846" t="s">
        <v>326</v>
      </c>
      <c r="B43" s="1493"/>
      <c r="C43" s="109">
        <v>2500</v>
      </c>
      <c r="D43" s="257" t="s">
        <v>670</v>
      </c>
      <c r="E43" s="1491"/>
      <c r="F43" s="1348"/>
      <c r="G43" s="112">
        <v>56200</v>
      </c>
      <c r="H43" s="112">
        <v>56200</v>
      </c>
      <c r="I43" s="112">
        <v>65700</v>
      </c>
      <c r="J43" s="112">
        <v>74200</v>
      </c>
      <c r="K43" s="112">
        <v>74200</v>
      </c>
      <c r="L43" s="112">
        <v>213400</v>
      </c>
      <c r="M43" s="112">
        <v>168400</v>
      </c>
      <c r="N43" s="281">
        <v>0.4</v>
      </c>
      <c r="O43" s="1491"/>
      <c r="P43" s="1491"/>
    </row>
    <row r="44" spans="1:16" ht="15" customHeight="1">
      <c r="A44" s="846" t="s">
        <v>327</v>
      </c>
      <c r="B44" s="1493"/>
      <c r="C44" s="109">
        <v>2500</v>
      </c>
      <c r="D44" s="257" t="s">
        <v>670</v>
      </c>
      <c r="E44" s="1491"/>
      <c r="F44" s="1348"/>
      <c r="G44" s="112">
        <v>56200</v>
      </c>
      <c r="H44" s="112">
        <v>56200</v>
      </c>
      <c r="I44" s="112">
        <v>65700</v>
      </c>
      <c r="J44" s="112">
        <v>74200</v>
      </c>
      <c r="K44" s="112">
        <v>74200</v>
      </c>
      <c r="L44" s="112">
        <v>213400</v>
      </c>
      <c r="M44" s="112">
        <v>168400</v>
      </c>
      <c r="N44" s="281">
        <v>0.4</v>
      </c>
      <c r="O44" s="1491"/>
      <c r="P44" s="1491"/>
    </row>
    <row r="45" spans="1:16" ht="15" customHeight="1">
      <c r="A45" s="846" t="s">
        <v>328</v>
      </c>
      <c r="B45" s="1493"/>
      <c r="C45" s="109">
        <v>37500</v>
      </c>
      <c r="D45" s="109">
        <v>460000</v>
      </c>
      <c r="E45" s="1491"/>
      <c r="F45" s="1348"/>
      <c r="G45" s="112">
        <v>102300</v>
      </c>
      <c r="H45" s="112">
        <v>102300</v>
      </c>
      <c r="I45" s="112">
        <v>119900</v>
      </c>
      <c r="J45" s="112">
        <v>135300</v>
      </c>
      <c r="K45" s="112">
        <v>135300</v>
      </c>
      <c r="L45" s="112">
        <v>310800</v>
      </c>
      <c r="M45" s="112">
        <v>245100</v>
      </c>
      <c r="N45" s="281">
        <v>0.35</v>
      </c>
      <c r="O45" s="1491"/>
      <c r="P45" s="1491"/>
    </row>
    <row r="46" spans="1:16" ht="15" customHeight="1">
      <c r="A46" s="846" t="s">
        <v>329</v>
      </c>
      <c r="B46" s="1493"/>
      <c r="C46" s="109">
        <v>37500</v>
      </c>
      <c r="D46" s="109">
        <v>460000</v>
      </c>
      <c r="E46" s="1491"/>
      <c r="F46" s="1348"/>
      <c r="G46" s="112">
        <v>60200</v>
      </c>
      <c r="H46" s="112">
        <v>60200</v>
      </c>
      <c r="I46" s="112">
        <v>70600</v>
      </c>
      <c r="J46" s="112">
        <v>79700</v>
      </c>
      <c r="K46" s="112">
        <v>79700</v>
      </c>
      <c r="L46" s="112">
        <v>228700</v>
      </c>
      <c r="M46" s="112">
        <v>180600</v>
      </c>
      <c r="N46" s="281">
        <v>0.4</v>
      </c>
      <c r="O46" s="1491"/>
      <c r="P46" s="1491"/>
    </row>
    <row r="47" spans="1:16" ht="15" customHeight="1">
      <c r="A47" s="846" t="s">
        <v>330</v>
      </c>
      <c r="B47" s="1493"/>
      <c r="C47" s="109">
        <v>20000</v>
      </c>
      <c r="D47" s="109">
        <v>340000</v>
      </c>
      <c r="E47" s="1491"/>
      <c r="F47" s="1348"/>
      <c r="G47" s="112">
        <v>73400</v>
      </c>
      <c r="H47" s="112">
        <v>73400</v>
      </c>
      <c r="I47" s="112">
        <v>86100</v>
      </c>
      <c r="J47" s="112">
        <v>97000</v>
      </c>
      <c r="K47" s="112">
        <v>97000</v>
      </c>
      <c r="L47" s="112">
        <v>278700</v>
      </c>
      <c r="M47" s="112">
        <v>219900</v>
      </c>
      <c r="N47" s="281">
        <v>0.4</v>
      </c>
      <c r="O47" s="1491"/>
      <c r="P47" s="1491"/>
    </row>
    <row r="48" spans="1:16" ht="15" customHeight="1">
      <c r="A48" s="846" t="s">
        <v>331</v>
      </c>
      <c r="B48" s="1493"/>
      <c r="C48" s="109">
        <v>100000</v>
      </c>
      <c r="D48" s="257" t="s">
        <v>670</v>
      </c>
      <c r="E48" s="1491"/>
      <c r="F48" s="1348"/>
      <c r="G48" s="112">
        <v>146600</v>
      </c>
      <c r="H48" s="112">
        <v>146600</v>
      </c>
      <c r="I48" s="112">
        <v>171800</v>
      </c>
      <c r="J48" s="112">
        <v>193600</v>
      </c>
      <c r="K48" s="112">
        <v>193600</v>
      </c>
      <c r="L48" s="112">
        <v>370800</v>
      </c>
      <c r="M48" s="112">
        <v>292900</v>
      </c>
      <c r="N48" s="281">
        <v>0.3</v>
      </c>
      <c r="O48" s="1491"/>
      <c r="P48" s="1491"/>
    </row>
    <row r="49" spans="1:16" ht="15" customHeight="1">
      <c r="A49" s="846" t="s">
        <v>333</v>
      </c>
      <c r="B49" s="1493"/>
      <c r="C49" s="109">
        <v>10000</v>
      </c>
      <c r="D49" s="257" t="s">
        <v>670</v>
      </c>
      <c r="E49" s="1491"/>
      <c r="F49" s="1348"/>
      <c r="G49" s="112">
        <v>164600</v>
      </c>
      <c r="H49" s="112">
        <v>164600</v>
      </c>
      <c r="I49" s="112">
        <v>192700</v>
      </c>
      <c r="J49" s="112">
        <v>217300</v>
      </c>
      <c r="K49" s="112">
        <v>217300</v>
      </c>
      <c r="L49" s="112">
        <v>390200</v>
      </c>
      <c r="M49" s="112">
        <v>308100</v>
      </c>
      <c r="N49" s="281">
        <v>0.28000000000000003</v>
      </c>
      <c r="O49" s="1491"/>
      <c r="P49" s="1491"/>
    </row>
    <row r="50" spans="1:16" ht="15" customHeight="1">
      <c r="A50" s="846" t="s">
        <v>335</v>
      </c>
      <c r="B50" s="1493"/>
      <c r="C50" s="109">
        <v>10000</v>
      </c>
      <c r="D50" s="257" t="s">
        <v>670</v>
      </c>
      <c r="E50" s="1491"/>
      <c r="F50" s="1348"/>
      <c r="G50" s="112">
        <v>78000</v>
      </c>
      <c r="H50" s="112">
        <v>78000</v>
      </c>
      <c r="I50" s="112">
        <v>91300</v>
      </c>
      <c r="J50" s="112">
        <v>103000</v>
      </c>
      <c r="K50" s="112">
        <v>103000</v>
      </c>
      <c r="L50" s="112">
        <v>295900</v>
      </c>
      <c r="M50" s="112">
        <v>233700</v>
      </c>
      <c r="N50" s="281">
        <v>0.4</v>
      </c>
      <c r="O50" s="1491"/>
      <c r="P50" s="1491"/>
    </row>
    <row r="51" spans="1:16" ht="15" customHeight="1">
      <c r="A51" s="846" t="s">
        <v>336</v>
      </c>
      <c r="B51" s="1493"/>
      <c r="C51" s="109">
        <v>20000</v>
      </c>
      <c r="D51" s="109">
        <v>340000</v>
      </c>
      <c r="E51" s="1491"/>
      <c r="F51" s="1348"/>
      <c r="G51" s="112">
        <v>76500</v>
      </c>
      <c r="H51" s="112">
        <v>76500</v>
      </c>
      <c r="I51" s="112">
        <v>89600</v>
      </c>
      <c r="J51" s="112">
        <v>101200</v>
      </c>
      <c r="K51" s="112">
        <v>101200</v>
      </c>
      <c r="L51" s="112">
        <v>290200</v>
      </c>
      <c r="M51" s="112">
        <v>229100</v>
      </c>
      <c r="N51" s="281">
        <v>0.4</v>
      </c>
      <c r="O51" s="1491"/>
      <c r="P51" s="1491"/>
    </row>
    <row r="52" spans="1:16" ht="15" customHeight="1">
      <c r="A52" s="846" t="s">
        <v>337</v>
      </c>
      <c r="B52" s="1493"/>
      <c r="C52" s="109">
        <v>5000</v>
      </c>
      <c r="D52" s="257" t="s">
        <v>670</v>
      </c>
      <c r="E52" s="1491"/>
      <c r="F52" s="1348"/>
      <c r="G52" s="112">
        <v>56200</v>
      </c>
      <c r="H52" s="112">
        <v>56200</v>
      </c>
      <c r="I52" s="112">
        <v>65700</v>
      </c>
      <c r="J52" s="112">
        <v>74200</v>
      </c>
      <c r="K52" s="112">
        <v>74200</v>
      </c>
      <c r="L52" s="112">
        <v>213400</v>
      </c>
      <c r="M52" s="112">
        <v>168400</v>
      </c>
      <c r="N52" s="281">
        <v>0.4</v>
      </c>
      <c r="O52" s="1491"/>
      <c r="P52" s="1491"/>
    </row>
    <row r="53" spans="1:16" ht="15" customHeight="1">
      <c r="A53" s="846" t="s">
        <v>338</v>
      </c>
      <c r="B53" s="1493"/>
      <c r="C53" s="109">
        <v>75000</v>
      </c>
      <c r="D53" s="109">
        <v>610000</v>
      </c>
      <c r="E53" s="1491"/>
      <c r="F53" s="1348"/>
      <c r="G53" s="112">
        <v>103000</v>
      </c>
      <c r="H53" s="112">
        <v>103000</v>
      </c>
      <c r="I53" s="112">
        <v>120800</v>
      </c>
      <c r="J53" s="112">
        <v>136200</v>
      </c>
      <c r="K53" s="112">
        <v>136200</v>
      </c>
      <c r="L53" s="112">
        <v>312700</v>
      </c>
      <c r="M53" s="112">
        <v>247000</v>
      </c>
      <c r="N53" s="281">
        <v>0.35</v>
      </c>
      <c r="O53" s="1491"/>
      <c r="P53" s="1491"/>
    </row>
    <row r="54" spans="1:16" ht="15" customHeight="1">
      <c r="A54" s="846" t="s">
        <v>339</v>
      </c>
      <c r="B54" s="1493"/>
      <c r="C54" s="109">
        <v>20000</v>
      </c>
      <c r="D54" s="109">
        <v>460000</v>
      </c>
      <c r="E54" s="1491"/>
      <c r="F54" s="1348"/>
      <c r="G54" s="112">
        <v>103000</v>
      </c>
      <c r="H54" s="112">
        <v>103000</v>
      </c>
      <c r="I54" s="112">
        <v>120800</v>
      </c>
      <c r="J54" s="112">
        <v>136200</v>
      </c>
      <c r="K54" s="112">
        <v>136200</v>
      </c>
      <c r="L54" s="112">
        <v>312700</v>
      </c>
      <c r="M54" s="112">
        <v>247000</v>
      </c>
      <c r="N54" s="281">
        <v>0.35</v>
      </c>
      <c r="O54" s="1491"/>
      <c r="P54" s="1491"/>
    </row>
    <row r="55" spans="1:16" ht="15" customHeight="1">
      <c r="A55" s="846" t="s">
        <v>340</v>
      </c>
      <c r="B55" s="1493"/>
      <c r="C55" s="109">
        <v>75000</v>
      </c>
      <c r="D55" s="109">
        <v>640000</v>
      </c>
      <c r="E55" s="1491"/>
      <c r="F55" s="1348"/>
      <c r="G55" s="112">
        <v>124500</v>
      </c>
      <c r="H55" s="112">
        <v>124500</v>
      </c>
      <c r="I55" s="112">
        <v>145800</v>
      </c>
      <c r="J55" s="112">
        <v>164400</v>
      </c>
      <c r="K55" s="112">
        <v>164400</v>
      </c>
      <c r="L55" s="112">
        <v>349800</v>
      </c>
      <c r="M55" s="112">
        <v>276100</v>
      </c>
      <c r="N55" s="281">
        <v>0.33</v>
      </c>
      <c r="O55" s="1491"/>
      <c r="P55" s="1491"/>
    </row>
    <row r="56" spans="1:16" ht="15" customHeight="1">
      <c r="A56" s="846" t="s">
        <v>341</v>
      </c>
      <c r="B56" s="1493"/>
      <c r="C56" s="109">
        <v>50000</v>
      </c>
      <c r="D56" s="109">
        <v>460000</v>
      </c>
      <c r="E56" s="1491"/>
      <c r="F56" s="1348"/>
      <c r="G56" s="112">
        <v>102900</v>
      </c>
      <c r="H56" s="112">
        <v>102900</v>
      </c>
      <c r="I56" s="112">
        <v>120600</v>
      </c>
      <c r="J56" s="112">
        <v>136000</v>
      </c>
      <c r="K56" s="112">
        <v>136000</v>
      </c>
      <c r="L56" s="112">
        <v>312000</v>
      </c>
      <c r="M56" s="112">
        <v>246300</v>
      </c>
      <c r="N56" s="281">
        <v>0.35</v>
      </c>
      <c r="O56" s="1491"/>
      <c r="P56" s="1491"/>
    </row>
    <row r="57" spans="1:16" ht="15" customHeight="1">
      <c r="A57" s="846" t="s">
        <v>342</v>
      </c>
      <c r="B57" s="1493"/>
      <c r="C57" s="109">
        <v>75000</v>
      </c>
      <c r="D57" s="109">
        <v>610000</v>
      </c>
      <c r="E57" s="1491"/>
      <c r="F57" s="1348"/>
      <c r="G57" s="112">
        <v>102900</v>
      </c>
      <c r="H57" s="112">
        <v>102900</v>
      </c>
      <c r="I57" s="112">
        <v>120600</v>
      </c>
      <c r="J57" s="112">
        <v>136000</v>
      </c>
      <c r="K57" s="112">
        <v>136000</v>
      </c>
      <c r="L57" s="112">
        <v>312000</v>
      </c>
      <c r="M57" s="112">
        <v>246300</v>
      </c>
      <c r="N57" s="281">
        <v>0.35</v>
      </c>
      <c r="O57" s="1491"/>
      <c r="P57" s="1491"/>
    </row>
    <row r="58" spans="1:16" ht="15" customHeight="1">
      <c r="A58" s="846" t="s">
        <v>344</v>
      </c>
      <c r="B58" s="1493"/>
      <c r="C58" s="109">
        <v>75000</v>
      </c>
      <c r="D58" s="109">
        <v>610000</v>
      </c>
      <c r="E58" s="1491"/>
      <c r="F58" s="1348"/>
      <c r="G58" s="112">
        <v>62700</v>
      </c>
      <c r="H58" s="112">
        <v>62700</v>
      </c>
      <c r="I58" s="112">
        <v>73400</v>
      </c>
      <c r="J58" s="112">
        <v>82800</v>
      </c>
      <c r="K58" s="112">
        <v>82800</v>
      </c>
      <c r="L58" s="112">
        <v>237900</v>
      </c>
      <c r="M58" s="112">
        <v>187900</v>
      </c>
      <c r="N58" s="281">
        <v>0.4</v>
      </c>
      <c r="O58" s="1491"/>
      <c r="P58" s="1491"/>
    </row>
    <row r="59" spans="1:16" ht="15" customHeight="1">
      <c r="A59" s="846" t="s">
        <v>345</v>
      </c>
      <c r="B59" s="1493"/>
      <c r="C59" s="109">
        <v>10000</v>
      </c>
      <c r="D59" s="257" t="s">
        <v>670</v>
      </c>
      <c r="E59" s="1491"/>
      <c r="F59" s="1348"/>
      <c r="G59" s="112">
        <v>56200</v>
      </c>
      <c r="H59" s="112">
        <v>56200</v>
      </c>
      <c r="I59" s="112">
        <v>65700</v>
      </c>
      <c r="J59" s="112">
        <v>74200</v>
      </c>
      <c r="K59" s="112">
        <v>74200</v>
      </c>
      <c r="L59" s="112">
        <v>213400</v>
      </c>
      <c r="M59" s="112">
        <v>168400</v>
      </c>
      <c r="N59" s="281">
        <v>0.4</v>
      </c>
      <c r="O59" s="1491"/>
      <c r="P59" s="1491"/>
    </row>
    <row r="60" spans="1:16" ht="15" customHeight="1">
      <c r="A60" s="846" t="s">
        <v>346</v>
      </c>
      <c r="B60" s="1493"/>
      <c r="C60" s="109">
        <v>20000</v>
      </c>
      <c r="D60" s="109">
        <v>340000</v>
      </c>
      <c r="E60" s="1491"/>
      <c r="F60" s="1348"/>
      <c r="G60" s="112">
        <v>66900</v>
      </c>
      <c r="H60" s="112">
        <v>66900</v>
      </c>
      <c r="I60" s="112">
        <v>78200</v>
      </c>
      <c r="J60" s="112">
        <v>88400</v>
      </c>
      <c r="K60" s="112">
        <v>88400</v>
      </c>
      <c r="L60" s="112">
        <v>253900</v>
      </c>
      <c r="M60" s="112">
        <v>200500</v>
      </c>
      <c r="N60" s="281">
        <v>0.4</v>
      </c>
      <c r="O60" s="1491"/>
      <c r="P60" s="1491"/>
    </row>
    <row r="61" spans="1:16" ht="15" customHeight="1">
      <c r="A61" s="846" t="s">
        <v>347</v>
      </c>
      <c r="B61" s="1493"/>
      <c r="C61" s="109">
        <v>50000</v>
      </c>
      <c r="D61" s="109">
        <v>460000</v>
      </c>
      <c r="E61" s="1491"/>
      <c r="F61" s="1348"/>
      <c r="G61" s="112">
        <v>102300</v>
      </c>
      <c r="H61" s="112">
        <v>102300</v>
      </c>
      <c r="I61" s="112">
        <v>119900</v>
      </c>
      <c r="J61" s="112">
        <v>135300</v>
      </c>
      <c r="K61" s="112">
        <v>135300</v>
      </c>
      <c r="L61" s="112">
        <v>310800</v>
      </c>
      <c r="M61" s="112">
        <v>245100</v>
      </c>
      <c r="N61" s="281">
        <v>0.35</v>
      </c>
      <c r="O61" s="1491"/>
      <c r="P61" s="1491"/>
    </row>
    <row r="62" spans="1:16" ht="15" customHeight="1">
      <c r="A62" s="846" t="s">
        <v>348</v>
      </c>
      <c r="B62" s="1493"/>
      <c r="C62" s="109">
        <v>50000</v>
      </c>
      <c r="D62" s="109">
        <v>460000</v>
      </c>
      <c r="E62" s="1491"/>
      <c r="F62" s="1348"/>
      <c r="G62" s="112">
        <v>103000</v>
      </c>
      <c r="H62" s="112">
        <v>103000</v>
      </c>
      <c r="I62" s="112">
        <v>120800</v>
      </c>
      <c r="J62" s="112">
        <v>136200</v>
      </c>
      <c r="K62" s="112">
        <v>136200</v>
      </c>
      <c r="L62" s="112">
        <v>312700</v>
      </c>
      <c r="M62" s="112">
        <v>247000</v>
      </c>
      <c r="N62" s="281">
        <v>0.35</v>
      </c>
      <c r="O62" s="1491"/>
      <c r="P62" s="1491"/>
    </row>
    <row r="63" spans="1:16" ht="15" customHeight="1">
      <c r="A63" s="846" t="s">
        <v>349</v>
      </c>
      <c r="B63" s="1493"/>
      <c r="C63" s="109">
        <v>20000</v>
      </c>
      <c r="D63" s="109">
        <v>460000</v>
      </c>
      <c r="E63" s="1491"/>
      <c r="F63" s="1348"/>
      <c r="G63" s="112">
        <v>78000</v>
      </c>
      <c r="H63" s="112">
        <v>78000</v>
      </c>
      <c r="I63" s="112">
        <v>91300</v>
      </c>
      <c r="J63" s="112">
        <v>103000</v>
      </c>
      <c r="K63" s="112">
        <v>103000</v>
      </c>
      <c r="L63" s="112">
        <v>295900</v>
      </c>
      <c r="M63" s="112">
        <v>233700</v>
      </c>
      <c r="N63" s="281">
        <v>0.4</v>
      </c>
      <c r="O63" s="1491"/>
      <c r="P63" s="1491"/>
    </row>
    <row r="64" spans="1:16" ht="15" customHeight="1">
      <c r="A64" s="846" t="s">
        <v>350</v>
      </c>
      <c r="B64" s="1493"/>
      <c r="C64" s="109">
        <v>20000</v>
      </c>
      <c r="D64" s="109">
        <v>460000</v>
      </c>
      <c r="E64" s="1491"/>
      <c r="F64" s="1348"/>
      <c r="G64" s="112">
        <v>73400</v>
      </c>
      <c r="H64" s="112">
        <v>73400</v>
      </c>
      <c r="I64" s="112">
        <v>86100</v>
      </c>
      <c r="J64" s="112">
        <v>97000</v>
      </c>
      <c r="K64" s="112">
        <v>97000</v>
      </c>
      <c r="L64" s="112">
        <v>278700</v>
      </c>
      <c r="M64" s="112">
        <v>219900</v>
      </c>
      <c r="N64" s="281">
        <v>0.4</v>
      </c>
      <c r="O64" s="1491"/>
      <c r="P64" s="1491"/>
    </row>
    <row r="65" spans="1:16" ht="15" customHeight="1">
      <c r="A65" s="846" t="s">
        <v>351</v>
      </c>
      <c r="B65" s="1493"/>
      <c r="C65" s="109">
        <v>10000</v>
      </c>
      <c r="D65" s="109">
        <v>340000</v>
      </c>
      <c r="E65" s="1491"/>
      <c r="F65" s="1348"/>
      <c r="G65" s="112">
        <v>74600</v>
      </c>
      <c r="H65" s="112">
        <v>74600</v>
      </c>
      <c r="I65" s="112">
        <v>87400</v>
      </c>
      <c r="J65" s="112">
        <v>98600</v>
      </c>
      <c r="K65" s="112">
        <v>98600</v>
      </c>
      <c r="L65" s="112">
        <v>283300</v>
      </c>
      <c r="M65" s="112">
        <v>223800</v>
      </c>
      <c r="N65" s="281">
        <v>0.4</v>
      </c>
      <c r="O65" s="1491"/>
      <c r="P65" s="1491"/>
    </row>
    <row r="66" spans="1:16" ht="15" customHeight="1">
      <c r="A66" s="846" t="s">
        <v>352</v>
      </c>
      <c r="B66" s="1493"/>
      <c r="C66" s="109">
        <v>5000</v>
      </c>
      <c r="D66" s="257" t="s">
        <v>670</v>
      </c>
      <c r="E66" s="1491"/>
      <c r="F66" s="1348"/>
      <c r="G66" s="112">
        <v>56200</v>
      </c>
      <c r="H66" s="112">
        <v>56200</v>
      </c>
      <c r="I66" s="112">
        <v>65700</v>
      </c>
      <c r="J66" s="112">
        <v>74200</v>
      </c>
      <c r="K66" s="112">
        <v>74200</v>
      </c>
      <c r="L66" s="112">
        <v>213400</v>
      </c>
      <c r="M66" s="112">
        <v>168400</v>
      </c>
      <c r="N66" s="281">
        <v>0.4</v>
      </c>
      <c r="O66" s="1491"/>
      <c r="P66" s="1491"/>
    </row>
    <row r="67" spans="1:16" ht="15" customHeight="1">
      <c r="A67" s="846" t="s">
        <v>353</v>
      </c>
      <c r="B67" s="1493"/>
      <c r="C67" s="109">
        <v>2500</v>
      </c>
      <c r="D67" s="257" t="s">
        <v>670</v>
      </c>
      <c r="E67" s="1491"/>
      <c r="F67" s="1348"/>
      <c r="G67" s="112">
        <v>56200</v>
      </c>
      <c r="H67" s="112">
        <v>56200</v>
      </c>
      <c r="I67" s="112">
        <v>65700</v>
      </c>
      <c r="J67" s="112">
        <v>74200</v>
      </c>
      <c r="K67" s="112">
        <v>74200</v>
      </c>
      <c r="L67" s="112">
        <v>213400</v>
      </c>
      <c r="M67" s="112">
        <v>168400</v>
      </c>
      <c r="N67" s="281">
        <v>0.4</v>
      </c>
      <c r="O67" s="1491"/>
      <c r="P67" s="1491"/>
    </row>
    <row r="68" spans="1:16" ht="15" customHeight="1">
      <c r="A68" s="846" t="s">
        <v>354</v>
      </c>
      <c r="B68" s="1493"/>
      <c r="C68" s="109">
        <v>2500</v>
      </c>
      <c r="D68" s="257" t="s">
        <v>670</v>
      </c>
      <c r="E68" s="1491"/>
      <c r="F68" s="1348"/>
      <c r="G68" s="112">
        <v>57900</v>
      </c>
      <c r="H68" s="112">
        <v>57900</v>
      </c>
      <c r="I68" s="112">
        <v>68000</v>
      </c>
      <c r="J68" s="112">
        <v>76600</v>
      </c>
      <c r="K68" s="112">
        <v>76600</v>
      </c>
      <c r="L68" s="112">
        <v>219900</v>
      </c>
      <c r="M68" s="112">
        <v>173700</v>
      </c>
      <c r="N68" s="281">
        <v>0.4</v>
      </c>
      <c r="O68" s="1491"/>
      <c r="P68" s="1491"/>
    </row>
    <row r="69" spans="1:16" ht="15" customHeight="1">
      <c r="A69" s="846" t="s">
        <v>355</v>
      </c>
      <c r="B69" s="1493"/>
      <c r="C69" s="109">
        <v>50000</v>
      </c>
      <c r="D69" s="109">
        <v>460000</v>
      </c>
      <c r="E69" s="1491"/>
      <c r="F69" s="1348"/>
      <c r="G69" s="112">
        <v>71100</v>
      </c>
      <c r="H69" s="112">
        <v>71100</v>
      </c>
      <c r="I69" s="112">
        <v>83300</v>
      </c>
      <c r="J69" s="112">
        <v>93900</v>
      </c>
      <c r="K69" s="112">
        <v>93900</v>
      </c>
      <c r="L69" s="112">
        <v>270000</v>
      </c>
      <c r="M69" s="112">
        <v>213100</v>
      </c>
      <c r="N69" s="281">
        <v>0.4</v>
      </c>
      <c r="O69" s="1491"/>
      <c r="P69" s="1491"/>
    </row>
    <row r="70" spans="1:16" ht="15" customHeight="1">
      <c r="A70" s="846" t="s">
        <v>356</v>
      </c>
      <c r="B70" s="1493"/>
      <c r="C70" s="109">
        <v>2500</v>
      </c>
      <c r="D70" s="257" t="s">
        <v>670</v>
      </c>
      <c r="E70" s="1491"/>
      <c r="F70" s="1348"/>
      <c r="G70" s="112">
        <v>72100</v>
      </c>
      <c r="H70" s="112">
        <v>72100</v>
      </c>
      <c r="I70" s="112">
        <v>84400</v>
      </c>
      <c r="J70" s="112">
        <v>95200</v>
      </c>
      <c r="K70" s="112">
        <v>95200</v>
      </c>
      <c r="L70" s="112">
        <v>273400</v>
      </c>
      <c r="M70" s="112">
        <v>215700</v>
      </c>
      <c r="N70" s="281">
        <v>0.4</v>
      </c>
      <c r="O70" s="1491"/>
      <c r="P70" s="1491"/>
    </row>
    <row r="71" spans="1:16" ht="15" customHeight="1">
      <c r="A71" s="846" t="s">
        <v>357</v>
      </c>
      <c r="B71" s="1493"/>
      <c r="C71" s="109">
        <v>5000</v>
      </c>
      <c r="D71" s="257" t="s">
        <v>670</v>
      </c>
      <c r="E71" s="1491"/>
      <c r="F71" s="1348"/>
      <c r="G71" s="112">
        <v>70000</v>
      </c>
      <c r="H71" s="112">
        <v>70000</v>
      </c>
      <c r="I71" s="112">
        <v>82000</v>
      </c>
      <c r="J71" s="112">
        <v>92600</v>
      </c>
      <c r="K71" s="112">
        <v>92600</v>
      </c>
      <c r="L71" s="112">
        <v>265800</v>
      </c>
      <c r="M71" s="112">
        <v>209600</v>
      </c>
      <c r="N71" s="281">
        <v>0.4</v>
      </c>
      <c r="O71" s="1491"/>
      <c r="P71" s="1491"/>
    </row>
    <row r="72" spans="1:16" ht="15" customHeight="1">
      <c r="A72" s="846" t="s">
        <v>671</v>
      </c>
      <c r="B72" s="1493"/>
      <c r="C72" s="109">
        <v>2500</v>
      </c>
      <c r="D72" s="257" t="s">
        <v>670</v>
      </c>
      <c r="E72" s="1491"/>
      <c r="F72" s="1348"/>
      <c r="G72" s="112">
        <v>56200</v>
      </c>
      <c r="H72" s="112">
        <v>56200</v>
      </c>
      <c r="I72" s="112">
        <v>65700</v>
      </c>
      <c r="J72" s="112">
        <v>74200</v>
      </c>
      <c r="K72" s="112">
        <v>74200</v>
      </c>
      <c r="L72" s="112">
        <v>213400</v>
      </c>
      <c r="M72" s="112">
        <v>168400</v>
      </c>
      <c r="N72" s="281">
        <v>0.4</v>
      </c>
      <c r="O72" s="1491"/>
      <c r="P72" s="1491"/>
    </row>
    <row r="74" spans="1:16">
      <c r="A74" s="2796" t="s">
        <v>672</v>
      </c>
      <c r="B74" s="2797"/>
      <c r="C74" s="2797"/>
      <c r="D74" s="2797"/>
      <c r="E74" s="2797"/>
      <c r="F74" s="2797"/>
      <c r="G74" s="2798"/>
      <c r="I74" s="111" t="s">
        <v>673</v>
      </c>
      <c r="J74" s="111" t="s">
        <v>674</v>
      </c>
    </row>
    <row r="75" spans="1:16">
      <c r="N75" s="5" t="s">
        <v>675</v>
      </c>
    </row>
    <row r="76" spans="1:16">
      <c r="A76" s="272" t="s">
        <v>676</v>
      </c>
      <c r="B76" s="272"/>
      <c r="C76" s="266">
        <v>5520000</v>
      </c>
      <c r="D76" s="272" t="s">
        <v>677</v>
      </c>
      <c r="E76" s="376"/>
      <c r="F76" s="272"/>
      <c r="G76" s="272"/>
      <c r="H76" s="272"/>
      <c r="I76" s="376"/>
      <c r="J76" s="273"/>
      <c r="K76" s="273"/>
      <c r="L76" s="273"/>
      <c r="M76" s="251"/>
      <c r="N76" s="65" t="s">
        <v>678</v>
      </c>
    </row>
    <row r="77" spans="1:16">
      <c r="A77" s="273" t="s">
        <v>676</v>
      </c>
      <c r="B77" s="273"/>
      <c r="C77" s="813">
        <v>80000</v>
      </c>
      <c r="D77" s="273" t="s">
        <v>679</v>
      </c>
      <c r="E77" s="394"/>
      <c r="F77" s="273"/>
      <c r="G77" s="273"/>
      <c r="H77" s="273"/>
      <c r="I77" s="394"/>
      <c r="J77" s="273"/>
      <c r="K77" s="273"/>
      <c r="L77" s="273"/>
      <c r="M77" s="251"/>
      <c r="N77" s="65" t="s">
        <v>680</v>
      </c>
    </row>
    <row r="78" spans="1:16">
      <c r="A78" s="273" t="s">
        <v>676</v>
      </c>
      <c r="B78" s="273"/>
      <c r="C78" s="813">
        <v>125000</v>
      </c>
      <c r="D78" s="273" t="s">
        <v>681</v>
      </c>
      <c r="E78" s="394"/>
      <c r="F78" s="273"/>
      <c r="G78" s="273"/>
      <c r="H78" s="273"/>
      <c r="I78" s="394"/>
      <c r="J78" s="273"/>
      <c r="K78" s="273"/>
      <c r="L78" s="273"/>
      <c r="M78" s="273"/>
    </row>
    <row r="79" spans="1:16">
      <c r="A79" s="273" t="s">
        <v>676</v>
      </c>
      <c r="B79" s="273"/>
      <c r="C79" s="813">
        <v>6500000</v>
      </c>
      <c r="D79" s="273" t="s">
        <v>682</v>
      </c>
      <c r="E79" s="394"/>
      <c r="F79" s="273"/>
      <c r="G79" s="273"/>
      <c r="H79" s="273"/>
      <c r="I79" s="394"/>
      <c r="J79" s="273"/>
      <c r="K79" s="273"/>
      <c r="L79" s="273"/>
      <c r="M79" s="273"/>
    </row>
    <row r="80" spans="1:16">
      <c r="A80" s="273" t="s">
        <v>676</v>
      </c>
      <c r="B80" s="273"/>
      <c r="C80" s="813">
        <v>80000</v>
      </c>
      <c r="D80" s="273" t="s">
        <v>683</v>
      </c>
      <c r="E80" s="394"/>
      <c r="F80" s="273"/>
      <c r="G80" s="273"/>
      <c r="H80" s="273"/>
      <c r="I80" s="394"/>
      <c r="J80" s="273"/>
      <c r="K80" s="273"/>
      <c r="L80" s="273"/>
      <c r="M80" s="273"/>
    </row>
    <row r="81" spans="1:15">
      <c r="A81" s="328"/>
      <c r="B81" s="328"/>
      <c r="C81" s="2250"/>
      <c r="D81" s="328"/>
      <c r="E81" s="490"/>
      <c r="F81" s="6"/>
      <c r="G81" s="6"/>
      <c r="H81" s="6"/>
      <c r="I81" s="6"/>
      <c r="J81" s="6"/>
      <c r="K81" s="6"/>
      <c r="L81" s="6"/>
      <c r="M81" s="6"/>
      <c r="N81" s="1146" t="s">
        <v>2196</v>
      </c>
      <c r="O81" s="1146" t="s">
        <v>2197</v>
      </c>
    </row>
    <row r="82" spans="1:15">
      <c r="A82" s="1120" t="s">
        <v>119</v>
      </c>
      <c r="B82" s="1121"/>
      <c r="C82" s="1101">
        <v>17000000</v>
      </c>
      <c r="D82" s="1121" t="s">
        <v>684</v>
      </c>
      <c r="E82" s="1102"/>
      <c r="F82" s="1121"/>
      <c r="G82" s="1102"/>
      <c r="H82" s="1121"/>
      <c r="I82" s="1102" t="s">
        <v>2120</v>
      </c>
      <c r="J82" s="1103" t="s">
        <v>680</v>
      </c>
      <c r="K82" s="1120"/>
      <c r="L82" s="1121"/>
      <c r="M82" s="1121"/>
      <c r="N82" s="1476" t="str">
        <f>IF(N(O82)&gt;0,N(O82)+Eligible_ELI_Request_Amount,"NA  ")</f>
        <v xml:space="preserve">NA  </v>
      </c>
      <c r="O82" s="1476" t="str">
        <f>IF(AND(IFERROR(VLOOKUP(County,DS_County_Sizes,8,FALSE),"")="Large",Funding!M22=1,N(Funding!H22)&gt;0),Funding!H22,"NA  ")</f>
        <v xml:space="preserve">NA  </v>
      </c>
    </row>
    <row r="83" spans="1:15">
      <c r="A83" s="250" t="s">
        <v>119</v>
      </c>
      <c r="B83" s="273"/>
      <c r="C83" s="813">
        <v>17000000</v>
      </c>
      <c r="D83" s="273" t="s">
        <v>1715</v>
      </c>
      <c r="E83" s="394"/>
      <c r="F83" s="273"/>
      <c r="G83" s="394"/>
      <c r="H83" s="273"/>
      <c r="I83" s="376" t="s">
        <v>2120</v>
      </c>
      <c r="J83" s="1103" t="s">
        <v>680</v>
      </c>
      <c r="K83" s="273"/>
      <c r="L83" s="273"/>
      <c r="M83" s="273"/>
      <c r="N83" s="1476" t="str">
        <f>IF(N(O83)&gt;0,N(O83)+Eligible_ELI_Request_Amount,"NA  ")</f>
        <v xml:space="preserve">NA  </v>
      </c>
      <c r="O83" s="1477" t="str">
        <f>IF(AND(IFERROR(VLOOKUP(County,DS_County_Sizes,8,FALSE),"")="Medium",Funding!M24=1,N(Funding!H24)&gt;0),Funding!H24,"NA  ")</f>
        <v xml:space="preserve">NA  </v>
      </c>
    </row>
    <row r="84" spans="1:15">
      <c r="A84" s="250" t="s">
        <v>119</v>
      </c>
      <c r="B84" s="273"/>
      <c r="C84" s="813">
        <v>17000000</v>
      </c>
      <c r="D84" s="273" t="s">
        <v>1716</v>
      </c>
      <c r="E84" s="394"/>
      <c r="F84" s="273"/>
      <c r="G84" s="394"/>
      <c r="H84" s="273"/>
      <c r="I84" s="394">
        <v>205</v>
      </c>
      <c r="J84" s="1103" t="s">
        <v>680</v>
      </c>
      <c r="K84" s="273"/>
      <c r="L84" s="273"/>
      <c r="M84" s="273"/>
      <c r="N84" s="1476" t="str">
        <f>IF(N(O84)&gt;0,N(O84)+Eligible_ELI_Request_Amount,"NA  ")</f>
        <v xml:space="preserve">NA  </v>
      </c>
      <c r="O84" s="1477" t="str">
        <f>IF(AND(IFERROR(VLOOKUP(County,DS_County_Sizes,8,FALSE),"")="Small",Funding!M26=1,N(Funding!H26)&gt;0),Funding!H26,"NA  ")</f>
        <v xml:space="preserve">NA  </v>
      </c>
    </row>
    <row r="85" spans="1:15">
      <c r="A85" s="250" t="s">
        <v>119</v>
      </c>
      <c r="B85" s="273"/>
      <c r="C85" s="813">
        <v>5317810</v>
      </c>
      <c r="D85" s="273" t="s">
        <v>685</v>
      </c>
      <c r="E85" s="394"/>
      <c r="F85" s="273"/>
      <c r="G85" s="1269"/>
      <c r="H85" s="273"/>
      <c r="I85" s="394">
        <v>205</v>
      </c>
      <c r="J85" s="1122"/>
      <c r="K85" s="273"/>
      <c r="L85" s="273"/>
      <c r="M85" s="273"/>
      <c r="N85" s="1476" t="str">
        <f>IF(N(O85)&gt;0,N(O85)+Eligible_ELI_Request_Amount,"NA  ")</f>
        <v xml:space="preserve">NA  </v>
      </c>
      <c r="O85" s="1477" t="str">
        <f>IF(AND(OR(AND(OR(Development_Category="Rehabilitation",Development_Category="Acquisition and Rehabilitation"),Development_SubCategory="Preservation (w/ or w/o Acquisition)"),Development_Category="Rehabilitation",Development_Category="Acquisition and Rehabilitation"),Funding!M28=1,N(Funding!H28)&gt;0),Funding!H28,"NA  ")</f>
        <v xml:space="preserve">NA  </v>
      </c>
    </row>
    <row r="86" spans="1:15">
      <c r="A86" s="1123" t="s">
        <v>119</v>
      </c>
      <c r="B86" s="1124"/>
      <c r="C86" s="1104">
        <f>IF(RIGHT(Excel_RFA_Number,3)="106",4800000,4000000)</f>
        <v>4000000</v>
      </c>
      <c r="D86" s="1124" t="s">
        <v>686</v>
      </c>
      <c r="E86" s="1105"/>
      <c r="F86" s="1124"/>
      <c r="G86" s="1105"/>
      <c r="H86" s="1124"/>
      <c r="I86" s="1105" t="s">
        <v>687</v>
      </c>
      <c r="J86" s="1125"/>
      <c r="K86" s="1123"/>
      <c r="L86" s="1124"/>
      <c r="M86" s="1124"/>
      <c r="N86" s="1478" t="str">
        <f>IF(N(O86)&gt;0,N(O86)+Eligible_ELI_Request_Amount,"NA  ")</f>
        <v xml:space="preserve">NA  </v>
      </c>
      <c r="O86" s="1478" t="str">
        <f>IF(Funding!M30=1,Funding!H30,"NA  ")</f>
        <v xml:space="preserve">NA  </v>
      </c>
    </row>
    <row r="87" spans="1:15">
      <c r="A87" s="272" t="s">
        <v>119</v>
      </c>
      <c r="B87" s="272"/>
      <c r="C87" s="266">
        <v>3000000</v>
      </c>
      <c r="D87" s="272" t="s">
        <v>3254</v>
      </c>
      <c r="E87" s="376"/>
      <c r="F87" s="272"/>
      <c r="G87" s="1121"/>
      <c r="H87" s="272"/>
      <c r="I87" s="376">
        <v>205</v>
      </c>
      <c r="J87" s="272"/>
      <c r="K87" s="272"/>
      <c r="L87" s="272"/>
      <c r="M87" s="272"/>
    </row>
    <row r="88" spans="1:15">
      <c r="A88" s="1474" t="s">
        <v>119</v>
      </c>
      <c r="B88" s="1474"/>
      <c r="C88" s="1475">
        <v>15000000</v>
      </c>
      <c r="D88" s="1474" t="s">
        <v>2243</v>
      </c>
      <c r="E88" s="1473"/>
      <c r="F88" s="1474"/>
      <c r="G88" s="1474"/>
      <c r="H88" s="1474"/>
      <c r="I88" s="1473"/>
      <c r="J88" s="1474"/>
      <c r="K88" s="1474"/>
      <c r="L88" s="1474"/>
      <c r="M88" s="1474"/>
      <c r="N88" s="1479" t="str">
        <f>IF(N(O88)&gt;0,N(O88)+Eligible_ELI_Request_Amount,"NA  ")</f>
        <v xml:space="preserve">NA  </v>
      </c>
      <c r="O88" s="1478" t="str">
        <f>IF(Funding!M33=1,Funding!H33,"NA  ")</f>
        <v xml:space="preserve">NA  </v>
      </c>
    </row>
    <row r="89" spans="1:15">
      <c r="A89" s="272" t="s">
        <v>119</v>
      </c>
      <c r="B89" s="272"/>
      <c r="C89" s="266">
        <v>115000</v>
      </c>
      <c r="D89" s="272" t="s">
        <v>688</v>
      </c>
      <c r="E89" s="376"/>
      <c r="F89" s="272"/>
      <c r="G89" s="272"/>
      <c r="H89" s="272"/>
      <c r="I89" s="376"/>
      <c r="J89" s="272"/>
      <c r="K89" s="272"/>
      <c r="L89" s="272"/>
      <c r="M89" s="272"/>
      <c r="N89" s="2793">
        <f>IF(OR(AND(Funding!M35=1,Funding!H35&lt;&gt;"NA"),AND(Funding!M36=1,Funding!H36&lt;&gt;"NA")),ROUNDDOWN(N(SUM('Proposed Development Info'!$H$139:$H$147))*N(Funding!H35),0)+ROUNDDOWN(N(SUM('Proposed Development Info'!$H$148:$H$161))*N(Funding!H36),0),"NA  ")</f>
        <v>0</v>
      </c>
      <c r="O89" s="2793">
        <f>IF(N89="NA  ","NA  ",IF(N(N89)&lt;=DS_SAIL_PD_Max_Net,N(N89),DS_SAIL_PD_Max_Net))</f>
        <v>0</v>
      </c>
    </row>
    <row r="90" spans="1:15">
      <c r="A90" s="1124" t="s">
        <v>119</v>
      </c>
      <c r="B90" s="1124"/>
      <c r="C90" s="1104">
        <v>115000</v>
      </c>
      <c r="D90" s="1124" t="s">
        <v>689</v>
      </c>
      <c r="E90" s="1105"/>
      <c r="F90" s="1124"/>
      <c r="G90" s="1124"/>
      <c r="H90" s="1124"/>
      <c r="I90" s="1105"/>
      <c r="J90" s="1124"/>
      <c r="K90" s="1124"/>
      <c r="L90" s="1124"/>
      <c r="M90" s="1124"/>
      <c r="N90" s="2794"/>
      <c r="O90" s="2794"/>
    </row>
    <row r="91" spans="1:15">
      <c r="A91" s="272" t="s">
        <v>119</v>
      </c>
      <c r="B91" s="272"/>
      <c r="C91" s="1800" cm="1">
        <f t="array" ref="C91">IF(AND(Priority_Level="Priority 1",Tier_Level="Tier 1"),62000,95000)</f>
        <v>95000</v>
      </c>
      <c r="D91" s="272" t="s">
        <v>2077</v>
      </c>
      <c r="E91" s="376"/>
      <c r="F91" s="272"/>
      <c r="G91" s="1801">
        <v>62000</v>
      </c>
      <c r="H91" s="1801">
        <v>95000</v>
      </c>
      <c r="I91" s="376">
        <v>213</v>
      </c>
      <c r="J91" s="1436"/>
      <c r="K91" s="1437" t="s">
        <v>2084</v>
      </c>
      <c r="L91" s="1437" t="s">
        <v>2085</v>
      </c>
      <c r="M91" s="272"/>
      <c r="N91" s="2795" t="str">
        <f>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Bldgs'!F82,"NA  "))),"NA  ")</f>
        <v xml:space="preserve">NA  </v>
      </c>
      <c r="O91" s="2795" t="str">
        <f>IF(N91="NA  ","NA  ",IF(N(N91)&lt;=DS_SAIL_PD_Max_Net,N(N91),DS_SAIL_PD_Max_Net))</f>
        <v xml:space="preserve">NA  </v>
      </c>
    </row>
    <row r="92" spans="1:15">
      <c r="A92" s="273" t="s">
        <v>119</v>
      </c>
      <c r="B92" s="273"/>
      <c r="C92" s="813">
        <f>IF(AND(Priority_Level="Priority 1",Tier_Level="Tier 1"),62000,95000)</f>
        <v>95000</v>
      </c>
      <c r="D92" s="273" t="s">
        <v>2078</v>
      </c>
      <c r="E92" s="394"/>
      <c r="F92" s="273"/>
      <c r="G92" s="1802">
        <v>62000</v>
      </c>
      <c r="H92" s="1802">
        <v>95000</v>
      </c>
      <c r="I92" s="394">
        <v>213</v>
      </c>
      <c r="J92" s="1438" t="s">
        <v>2082</v>
      </c>
      <c r="K92" s="1439">
        <f>IF(Minimum_SetAside_per_Sec_42=DS_IRS_2050,N(DS_SAIL_PU_LL_HC_60)*SUM('Units, Set-Asides, Bldgs'!F50:F57)+N(DS_SAIL_PU_LL_NonHC_80)*'Units, Set-Asides, Bldgs'!F59+N(DS_SAIL_PU_LL_NonHC_90)*'Units, Set-Asides, Bldgs'!F60+N(DS_SAIL_PU_LL_NonHC_100)*'Units, Set-Asides, Bldgs'!F61+N(DS_SAIL_PU_LL_NonHC_110)*'Units, Set-Asides, Bldgs'!F62+N(DS_SAIL_PU_LL_NonHC_120)*'Units, Set-Asides, Bldgs'!F63,IF(Minimum_SetAside_per_Sec_42=DS_IRS_4060,N(DS_SAIL_PU_LL_HC_60)*SUM('Units, Set-Asides, Bldgs'!F50:F58)+N(DS_SAIL_PU_LL_NonHC_80)*'Units, Set-Asides, Bldgs'!F59+N(DS_SAIL_PU_LL_NonHC_90)*'Units, Set-Asides, Bldgs'!F60+N(DS_SAIL_PU_LL_NonHC_100)*'Units, Set-Asides, Bldgs'!F61+N(DS_SAIL_PU_LL_NonHC_110)*'Units, Set-Asides, Bldgs'!F62+N(DS_SAIL_PU_LL_NonHC_120)*'Units, Set-Asides, Bldgs'!F63,IF(Minimum_SetAside_per_Sec_42=DS_IRS_AIT,N(DS_SAIL_PU_LL_HC_60)*SUM('Units, Set-Asides, Bldgs'!F71:F75)+N(DS_SAIL_PU_LL_HC_80)*SUM('Units, Set-Asides, Bldgs'!F76:F77)+N(DS_SAIL_PU_LL_NonHC_80)*'Units, Set-Asides, Bldgs'!F78+N(DS_SAIL_PU_LL_NonHC_90)*'Units, Set-Asides, Bldgs'!F79+N(DS_SAIL_PU_LL_NonHC_100)*'Units, Set-Asides, Bldgs'!F80+N(DS_SAIL_PU_LL_NonHC_110)*'Units, Set-Asides, Bldgs'!F81+N(DS_SAIL_PU_LL_NonHC_120)*'Units, Set-Asides, Bldgs'!F82,IF(AND(Minimum_SetAside_per_Sec_42=DS_FHFC_NonHC,DS_FHFC_NonHC_Table="AIT"),N(DS_SAIL_PU_LL_NonHC_80)*SUM('Units, Set-Asides, Bldgs'!F71:F78)+N(DS_SAIL_PU_LL_NonHC_90)*'Units, Set-Asides, Bldgs'!F79+N(DS_SAIL_PU_LL_NonHC_100)*'Units, Set-Asides, Bldgs'!F80+N(DS_SAIL_PU_LL_NonHC_110)*'Units, Set-Asides, Bldgs'!F81+N(DS_SAIL_PU_LL_NonHC_120)*'Units, Set-Asides, Bldgs'!F82,0))))</f>
        <v>0</v>
      </c>
      <c r="L92" s="1439">
        <f>K92-IF(AND(K92&gt;0,OR(DS_SAIL_ELI_Inclusive_PD="Yes",DS_SAIL_ELI_Inclusive_PU="Yes")),Eligible_ELI_Request_Amount,0)</f>
        <v>0</v>
      </c>
      <c r="M92" s="273"/>
      <c r="N92" s="2795"/>
      <c r="O92" s="2795"/>
    </row>
    <row r="93" spans="1:15">
      <c r="A93" s="273" t="s">
        <v>119</v>
      </c>
      <c r="B93" s="273"/>
      <c r="C93" s="813">
        <f>IF(AND(Priority_Level="Priority 1",Tier_Level="Tier 1"),143000,220000)</f>
        <v>220000</v>
      </c>
      <c r="D93" s="273" t="s">
        <v>2591</v>
      </c>
      <c r="E93" s="394"/>
      <c r="F93" s="273"/>
      <c r="G93" s="1802">
        <v>143000</v>
      </c>
      <c r="H93" s="1802">
        <v>220000</v>
      </c>
      <c r="I93" s="394">
        <v>213</v>
      </c>
      <c r="J93" s="1438" t="s">
        <v>2086</v>
      </c>
      <c r="K93" s="1440">
        <f>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f>
        <v>0</v>
      </c>
      <c r="L93" s="1440">
        <f>K93</f>
        <v>0</v>
      </c>
      <c r="M93" s="273"/>
      <c r="N93" s="2795"/>
      <c r="O93" s="2795"/>
    </row>
    <row r="94" spans="1:15">
      <c r="A94" s="273" t="s">
        <v>119</v>
      </c>
      <c r="B94" s="273"/>
      <c r="C94" s="813">
        <f>IF(AND(Priority_Level="Priority 1",Tier_Level="Tier 1"),130000,200000)</f>
        <v>200000</v>
      </c>
      <c r="D94" s="1331" t="s">
        <v>2193</v>
      </c>
      <c r="E94" s="394"/>
      <c r="F94" s="273"/>
      <c r="G94" s="1802">
        <v>130000</v>
      </c>
      <c r="H94" s="1802">
        <v>200000</v>
      </c>
      <c r="I94" s="394">
        <v>213</v>
      </c>
      <c r="J94" s="1438" t="s">
        <v>2083</v>
      </c>
      <c r="K94" s="1439">
        <f>IFERROR(K92/IF(Minimum_SetAside_per_Sec_42=DS_IRS_2050,SUM('Units,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L94" s="1439">
        <f>IFERROR(L92/IF(Minimum_SetAside_per_Sec_42=DS_IRS_2050,SUM('Units,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M94" s="273"/>
      <c r="N94" s="2795"/>
      <c r="O94" s="2795"/>
    </row>
    <row r="95" spans="1:15">
      <c r="A95" s="273" t="s">
        <v>119</v>
      </c>
      <c r="B95" s="273"/>
      <c r="C95" s="813">
        <f>IF(AND(Priority_Level="Priority 1",Tier_Level="Tier 1"),117000,180000)</f>
        <v>180000</v>
      </c>
      <c r="D95" s="273" t="s">
        <v>2220</v>
      </c>
      <c r="E95" s="394"/>
      <c r="F95" s="273"/>
      <c r="G95" s="1802">
        <v>117000</v>
      </c>
      <c r="H95" s="1802">
        <v>180000</v>
      </c>
      <c r="I95" s="394">
        <v>213</v>
      </c>
      <c r="J95" s="1470" t="s">
        <v>2087</v>
      </c>
      <c r="K95" s="1435">
        <f>IF(K94=0,1,DS_SAIL_PU_LL_HC_60/K94)</f>
        <v>1</v>
      </c>
      <c r="L95" s="1435">
        <f>IF(L94=0,1,(DS_SAIL_PU_LL_HC_60*L93-(K92-L92))/L92)</f>
        <v>1</v>
      </c>
      <c r="M95" s="273"/>
      <c r="N95" s="2795"/>
      <c r="O95" s="2795"/>
    </row>
    <row r="96" spans="1:15">
      <c r="A96" s="328" t="s">
        <v>119</v>
      </c>
      <c r="B96" s="328"/>
      <c r="C96" s="1469">
        <f>IF(AND(Priority_Level="Priority 1",Tier_Level="Tier 1"),104000,160000)</f>
        <v>160000</v>
      </c>
      <c r="D96" s="1063" t="s">
        <v>2194</v>
      </c>
      <c r="E96" s="490"/>
      <c r="F96" s="328"/>
      <c r="G96" s="1803">
        <v>104000</v>
      </c>
      <c r="H96" s="1803">
        <v>160000</v>
      </c>
      <c r="I96" s="490">
        <v>213</v>
      </c>
      <c r="J96" s="1438"/>
      <c r="K96" s="1439"/>
      <c r="L96" s="1439"/>
      <c r="M96" s="328"/>
      <c r="N96" s="2795"/>
      <c r="O96" s="2795"/>
    </row>
    <row r="97" spans="1:15">
      <c r="A97" s="1124" t="s">
        <v>119</v>
      </c>
      <c r="B97" s="1124"/>
      <c r="C97" s="1104">
        <f>IF(AND(Priority_Level="Priority 1",Tier_Level="Tier 1"),91000,140000)</f>
        <v>140000</v>
      </c>
      <c r="D97" s="1124" t="s">
        <v>2221</v>
      </c>
      <c r="E97" s="1105"/>
      <c r="F97" s="1124"/>
      <c r="G97" s="1804">
        <v>91000</v>
      </c>
      <c r="H97" s="1804">
        <v>140000</v>
      </c>
      <c r="I97" s="1105">
        <v>213</v>
      </c>
      <c r="J97" s="1398"/>
      <c r="K97" s="1398"/>
      <c r="L97" s="1398"/>
      <c r="M97" s="1124"/>
      <c r="N97" s="2794"/>
      <c r="O97" s="2794"/>
    </row>
    <row r="98" spans="1:15">
      <c r="A98" s="272" t="s">
        <v>119</v>
      </c>
      <c r="B98" s="272"/>
      <c r="C98" s="266">
        <v>41000</v>
      </c>
      <c r="D98" s="272" t="s">
        <v>690</v>
      </c>
      <c r="E98" s="376"/>
      <c r="F98" s="272"/>
      <c r="G98" s="272"/>
      <c r="H98" s="272"/>
      <c r="I98" s="376">
        <v>205</v>
      </c>
      <c r="J98" s="272"/>
      <c r="K98" s="1433"/>
      <c r="L98" s="1434"/>
      <c r="M98" s="272"/>
      <c r="N98" s="1476" t="str">
        <f>IF(OR(Funding!M46=0,Self_Sourced_Applicant&lt;&gt;"Yes",Total_Units=0),"NA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476" t="str">
        <f>IF(N98="NA  ","NA  ",IF(N(N98)&lt;=DS_SAIL_PD_Max_Net,N(N98),DS_SAIL_PD_Max_Net))</f>
        <v xml:space="preserve">NA  </v>
      </c>
    </row>
    <row r="99" spans="1:15">
      <c r="A99" s="1124" t="s">
        <v>119</v>
      </c>
      <c r="B99" s="1124"/>
      <c r="C99" s="1104">
        <v>95000</v>
      </c>
      <c r="D99" s="1124" t="s">
        <v>691</v>
      </c>
      <c r="E99" s="1105"/>
      <c r="F99" s="1124"/>
      <c r="G99" s="1124"/>
      <c r="H99" s="1124"/>
      <c r="I99" s="1105" t="s">
        <v>692</v>
      </c>
      <c r="J99" s="1124"/>
      <c r="K99" s="1124"/>
      <c r="L99" s="1480"/>
      <c r="M99" s="1124"/>
      <c r="N99" s="1478" t="str">
        <f>IF(OR(Funding!M48=0,Self_Sourced_Applicant&lt;&gt;"No",Total_Units=0),"NA  ",DS_SAIL_PU_Not_SS*Total_Units)</f>
        <v xml:space="preserve">NA  </v>
      </c>
      <c r="O99" s="1478" t="str">
        <f>IF(N99="NA  ","NA  ",IF(N(N99)&lt;=DS_SAIL_PD_Max_Net,N(N99),DS_SAIL_PD_Max_Net))</f>
        <v xml:space="preserve">NA  </v>
      </c>
    </row>
    <row r="100" spans="1:15">
      <c r="A100" s="272" t="s">
        <v>119</v>
      </c>
      <c r="B100" s="272"/>
      <c r="C100" s="1476">
        <f>MAX(0,MIN(IF(AND(IFERROR(VLOOKUP(County,DS_County_Sizes,8,FALSE),"")="Large",Funding!M22=1,N(Funding!H22)&gt;0),Funding!H22,IF(AND(IFERROR(VLOOKUP(County,DS_County_Sizes,8,FALSE),"")="Medium",Funding!M24=1,N(Funding!H24)&gt;0),Funding!H24,IF(AND(IFERROR(VLOOKUP(County,DS_County_Sizes,8,FALSE),"")="Small",Funding!M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M28=1,N(Funding!H28)&gt;0),Funding!H28,DS_Request_Maximum),IF(Funding!M30=1,Funding!H30,DS_Request_Maximum),IF(Funding!M33=1,Funding!H33,DS_Request_Maximum),IF(OR(AND(Funding!M35=1,Funding!H35&lt;&gt;"NA"),AND(Funding!M36=1,Funding!H36&lt;&gt;"NA")),ROUNDDOWN(N(SUM('Proposed Development Info'!$H$138:$H$146))*N(Funding!H35),0)+ROUNDDOWN(N(SUM('Proposed Development Info'!$H$147:$H$160))*N(Funding!H36),0),DS_Request_Maximum)))+IF(DS_SAIL_ELI_Inclusive_PD&lt;&gt;"Yes",0,Eligible_ELI_Request_Amount)</f>
        <v>0</v>
      </c>
      <c r="D100" s="267" t="s">
        <v>2198</v>
      </c>
      <c r="E100" s="376"/>
      <c r="F100" s="272"/>
      <c r="G100" s="272"/>
      <c r="H100" s="272"/>
      <c r="I100" s="376"/>
      <c r="J100" s="272"/>
      <c r="K100" s="272"/>
      <c r="L100" s="1433"/>
      <c r="M100" s="272"/>
      <c r="N100" s="1476"/>
      <c r="O100" s="1476"/>
    </row>
    <row r="101" spans="1:15">
      <c r="A101" s="273" t="s">
        <v>119</v>
      </c>
      <c r="B101" s="273"/>
      <c r="C101" s="1477">
        <f>IFERROR(C100-IF(DS_SAIL_ELI_Inclusive_PD&lt;&gt;"Yes",0,Eligible_ELI_Request_Amount),"NA  ")</f>
        <v>0</v>
      </c>
      <c r="D101" s="251" t="s">
        <v>2199</v>
      </c>
      <c r="E101" s="394"/>
      <c r="F101" s="273"/>
      <c r="G101" s="273"/>
      <c r="H101" s="273"/>
      <c r="I101" s="394"/>
      <c r="J101" s="273"/>
      <c r="K101" s="273"/>
      <c r="L101" s="1435"/>
      <c r="M101" s="273"/>
      <c r="N101" s="1477"/>
      <c r="O101" s="1477"/>
    </row>
    <row r="102" spans="1:15">
      <c r="A102" s="273" t="s">
        <v>119</v>
      </c>
      <c r="B102" s="273"/>
      <c r="C102" s="1477" t="str">
        <f>IF(N(SUM('Proposed Development Info'!$H$138:$H$146))+N(SUM('Proposed Development Info'!$H$147:$H$160))=0,"NA  ",MIN(IF(OR(AND(Funding!M35=1,Funding!H35&lt;&gt;"NA"),AND(Funding!M36=1,Funding!H36&lt;&gt;"NA")),ROUNDDOWN(N(SUM('Proposed Development Info'!$H$138:$H$146))*N(Funding!H35),0)+ROUNDDOWN(N(SUM('Proposed Development Info'!$H$147:$H$160))*N(Funding!H36),0),DS_Request_Maximum),IF(SUM(Funding!M38:M44)&gt;0,IF(Minimum_SetAside_per_Sec_42=DS_IRS_2050,N(Funding!H38)*SUM('Units,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DS_Request_Maximum))),DS_Request_Maximum),IF(OR(AND(Funding!M46=1,Funding!H46&lt;&gt;"NA"),AND(Funding!M48=1,Funding!H48&lt;&gt;"NA")),ROUNDDOWN(N(Total_Units)*IF(AND(Funding!M46=1,N(Funding!H46)&lt;&gt;0,Self_Sourced_Applicant="Yes"),Funding!H46,IF(AND(Funding!M48=1,N(Funding!H48)&gt;0,Self_Sourced_Applicant="No"),Funding!H48,DS_Request_Maximum)),0),DS_Request_Maximum)))</f>
        <v xml:space="preserve">NA  </v>
      </c>
      <c r="D102" s="251" t="s">
        <v>2200</v>
      </c>
      <c r="E102" s="394"/>
      <c r="F102" s="273"/>
      <c r="G102" s="273"/>
      <c r="H102" s="273"/>
      <c r="I102" s="394"/>
      <c r="J102" s="273"/>
      <c r="K102" s="273"/>
      <c r="L102" s="1435"/>
      <c r="M102" s="273"/>
      <c r="N102" s="1477"/>
      <c r="O102" s="1477"/>
    </row>
    <row r="103" spans="1:15">
      <c r="A103" s="273" t="s">
        <v>119</v>
      </c>
      <c r="B103" s="273"/>
      <c r="C103" s="1477" t="str">
        <f>IFERROR(C102-IF(DS_SAIL_ELI_Inclusive_PU&lt;&gt;"Yes",0,Eligible_ELI_Request_Amount),"NA  ")</f>
        <v xml:space="preserve">NA  </v>
      </c>
      <c r="D103" s="251" t="s">
        <v>2201</v>
      </c>
      <c r="E103" s="394"/>
      <c r="F103" s="273"/>
      <c r="G103" s="273"/>
      <c r="H103" s="273"/>
      <c r="I103" s="68"/>
      <c r="J103" s="273"/>
      <c r="K103" s="273"/>
      <c r="L103" s="1435"/>
      <c r="M103" s="273"/>
      <c r="N103" s="1477"/>
      <c r="O103" s="1477"/>
    </row>
    <row r="104" spans="1:15">
      <c r="A104" s="273"/>
      <c r="B104" s="273"/>
      <c r="C104" s="1100"/>
      <c r="D104" s="273"/>
      <c r="E104" s="394"/>
      <c r="F104" s="273"/>
      <c r="G104" s="273"/>
      <c r="H104" s="273"/>
      <c r="I104" s="394"/>
      <c r="J104" s="6"/>
      <c r="K104" s="6"/>
      <c r="L104" s="1375"/>
      <c r="M104" s="6"/>
    </row>
    <row r="105" spans="1:15">
      <c r="A105" s="273" t="s">
        <v>112</v>
      </c>
      <c r="B105" s="273"/>
      <c r="C105" s="813">
        <v>1000000</v>
      </c>
      <c r="D105" s="273" t="s">
        <v>693</v>
      </c>
      <c r="E105" s="394"/>
      <c r="F105" s="273"/>
      <c r="G105" s="273"/>
      <c r="H105" s="273"/>
      <c r="I105" s="394" t="s">
        <v>694</v>
      </c>
      <c r="J105" s="273"/>
      <c r="K105" s="251"/>
      <c r="L105" s="273"/>
      <c r="M105" s="273"/>
    </row>
    <row r="106" spans="1:15">
      <c r="A106" s="273" t="s">
        <v>112</v>
      </c>
      <c r="B106" s="273"/>
      <c r="C106" s="814" t="s">
        <v>695</v>
      </c>
      <c r="D106" s="273" t="s">
        <v>696</v>
      </c>
      <c r="E106" s="394"/>
      <c r="F106" s="273"/>
      <c r="G106" s="273"/>
      <c r="H106" s="273"/>
      <c r="I106" s="815" t="s">
        <v>694</v>
      </c>
      <c r="J106" s="273"/>
      <c r="K106" s="251"/>
      <c r="L106" s="273"/>
      <c r="M106" s="273"/>
    </row>
    <row r="107" spans="1:15">
      <c r="A107" s="273"/>
      <c r="B107" s="273"/>
      <c r="C107" s="814"/>
      <c r="D107" s="273"/>
      <c r="E107" s="394"/>
      <c r="F107" s="273"/>
      <c r="G107" s="273"/>
      <c r="H107" s="273"/>
      <c r="I107" s="815"/>
      <c r="J107" s="6"/>
      <c r="L107" s="6"/>
      <c r="M107" s="6"/>
    </row>
    <row r="108" spans="1:15">
      <c r="A108" s="273" t="s">
        <v>697</v>
      </c>
      <c r="B108" s="273"/>
      <c r="C108" s="816">
        <v>0.25</v>
      </c>
      <c r="D108" s="273" t="s">
        <v>698</v>
      </c>
      <c r="E108" s="394"/>
      <c r="F108" s="273"/>
      <c r="G108" s="273"/>
      <c r="H108" s="273"/>
      <c r="I108" s="394">
        <v>205</v>
      </c>
      <c r="J108" s="273"/>
      <c r="K108" s="251"/>
      <c r="L108" s="273"/>
      <c r="M108" s="273"/>
    </row>
    <row r="109" spans="1:15">
      <c r="A109" s="273" t="s">
        <v>697</v>
      </c>
      <c r="B109" s="273"/>
      <c r="C109" s="816">
        <v>0.35</v>
      </c>
      <c r="D109" s="273" t="s">
        <v>699</v>
      </c>
      <c r="E109" s="394"/>
      <c r="F109" s="273"/>
      <c r="G109" s="273"/>
      <c r="H109" s="273"/>
      <c r="I109" s="394" t="s">
        <v>694</v>
      </c>
      <c r="J109" s="273"/>
      <c r="K109" s="251"/>
      <c r="L109" s="273"/>
      <c r="M109" s="273"/>
    </row>
    <row r="110" spans="1:15">
      <c r="A110" s="273" t="s">
        <v>697</v>
      </c>
      <c r="B110" s="273"/>
      <c r="C110" s="817" t="s">
        <v>280</v>
      </c>
      <c r="D110" s="273" t="s">
        <v>700</v>
      </c>
      <c r="E110" s="394"/>
      <c r="F110" s="273"/>
      <c r="G110" s="273"/>
      <c r="H110" s="273"/>
      <c r="I110" s="273" t="s">
        <v>2223</v>
      </c>
      <c r="J110" s="273"/>
      <c r="K110" s="251"/>
      <c r="L110" s="273"/>
      <c r="M110" s="273"/>
    </row>
    <row r="111" spans="1:15">
      <c r="A111" s="273" t="s">
        <v>697</v>
      </c>
      <c r="B111" s="273"/>
      <c r="C111" s="817" t="s">
        <v>280</v>
      </c>
      <c r="D111" s="273" t="s">
        <v>2202</v>
      </c>
      <c r="E111" s="394"/>
      <c r="F111" s="273"/>
      <c r="G111" s="273"/>
      <c r="H111" s="273"/>
      <c r="I111" s="273" t="s">
        <v>2225</v>
      </c>
      <c r="J111" s="6"/>
      <c r="L111" s="6"/>
      <c r="M111" s="6"/>
    </row>
    <row r="112" spans="1:15">
      <c r="A112" s="273" t="s">
        <v>697</v>
      </c>
      <c r="B112" s="273"/>
      <c r="C112" s="1490" t="s">
        <v>280</v>
      </c>
      <c r="D112" s="273" t="s">
        <v>2205</v>
      </c>
      <c r="E112" s="394"/>
      <c r="F112" s="273"/>
      <c r="G112" s="273"/>
      <c r="H112" s="273"/>
      <c r="I112" s="68" t="s">
        <v>2224</v>
      </c>
      <c r="J112" s="6"/>
      <c r="L112" s="6"/>
      <c r="M112" s="6"/>
    </row>
    <row r="113" spans="1:13">
      <c r="A113" s="273"/>
      <c r="B113" s="273"/>
      <c r="C113" s="273"/>
      <c r="D113" s="273"/>
      <c r="E113" s="394"/>
      <c r="F113" s="273"/>
      <c r="G113" s="273"/>
      <c r="H113" s="273"/>
      <c r="I113" s="394"/>
      <c r="J113" s="6"/>
      <c r="L113" s="6"/>
      <c r="M113" s="6"/>
    </row>
    <row r="114" spans="1:13">
      <c r="A114" s="273" t="s">
        <v>118</v>
      </c>
      <c r="B114" s="273"/>
      <c r="C114" s="813">
        <v>10000000</v>
      </c>
      <c r="D114" s="273" t="s">
        <v>1718</v>
      </c>
      <c r="E114" s="394"/>
      <c r="F114" s="273"/>
      <c r="G114" s="273"/>
      <c r="H114" s="273"/>
      <c r="I114" s="394"/>
      <c r="J114" s="273"/>
      <c r="K114" s="251"/>
      <c r="L114" s="273"/>
      <c r="M114" s="273"/>
    </row>
    <row r="115" spans="1:13">
      <c r="A115" s="273" t="s">
        <v>118</v>
      </c>
      <c r="B115" s="273"/>
      <c r="C115" s="813">
        <v>105000</v>
      </c>
      <c r="D115" s="273" t="s">
        <v>1719</v>
      </c>
      <c r="E115" s="394"/>
      <c r="F115" s="273"/>
      <c r="G115" s="273"/>
      <c r="H115" s="273"/>
      <c r="I115" s="394"/>
      <c r="J115" s="273"/>
      <c r="K115" s="251"/>
      <c r="L115" s="273"/>
      <c r="M115" s="273"/>
    </row>
    <row r="116" spans="1:13">
      <c r="A116" s="273" t="s">
        <v>118</v>
      </c>
      <c r="B116" s="273"/>
      <c r="C116" s="813">
        <v>6500000</v>
      </c>
      <c r="D116" s="273" t="s">
        <v>1720</v>
      </c>
      <c r="E116" s="394"/>
      <c r="F116" s="273"/>
      <c r="G116" s="6"/>
      <c r="H116" s="273"/>
      <c r="I116" s="394"/>
      <c r="J116" s="273"/>
      <c r="K116" s="251"/>
      <c r="L116" s="273"/>
      <c r="M116" s="273"/>
    </row>
    <row r="117" spans="1:13">
      <c r="A117" s="273" t="s">
        <v>118</v>
      </c>
      <c r="B117" s="273"/>
      <c r="C117" s="394" t="s">
        <v>1721</v>
      </c>
      <c r="D117" s="273" t="s">
        <v>1722</v>
      </c>
      <c r="E117" s="394"/>
      <c r="F117" s="273"/>
      <c r="G117" s="273"/>
      <c r="H117" s="273"/>
      <c r="I117" s="394"/>
      <c r="J117" s="273"/>
      <c r="K117" s="251"/>
      <c r="L117" s="273"/>
      <c r="M117" s="273"/>
    </row>
    <row r="118" spans="1:13">
      <c r="A118" s="273" t="s">
        <v>1724</v>
      </c>
      <c r="B118" s="273"/>
      <c r="C118" s="817" t="s">
        <v>280</v>
      </c>
      <c r="D118" s="251" t="s">
        <v>1778</v>
      </c>
      <c r="E118" s="394"/>
      <c r="F118" s="273"/>
      <c r="G118" s="273"/>
      <c r="H118" s="273"/>
      <c r="I118" s="68" t="s">
        <v>2226</v>
      </c>
      <c r="J118" s="273"/>
      <c r="K118" s="251"/>
      <c r="L118" s="273"/>
      <c r="M118" s="273"/>
    </row>
    <row r="119" spans="1:13">
      <c r="A119" s="273" t="s">
        <v>1724</v>
      </c>
      <c r="B119" s="273"/>
      <c r="C119" s="813">
        <v>750000</v>
      </c>
      <c r="D119" s="273" t="s">
        <v>693</v>
      </c>
      <c r="E119" s="394"/>
      <c r="F119" s="273"/>
      <c r="G119" s="273"/>
      <c r="H119" s="273"/>
      <c r="I119" s="394"/>
      <c r="J119" s="273"/>
      <c r="K119" s="273"/>
      <c r="L119" s="273"/>
      <c r="M119" s="273"/>
    </row>
    <row r="120" spans="1:13">
      <c r="A120" s="273" t="s">
        <v>1724</v>
      </c>
      <c r="B120" s="273"/>
      <c r="C120" s="814" t="s">
        <v>695</v>
      </c>
      <c r="D120" s="273" t="s">
        <v>696</v>
      </c>
      <c r="E120" s="394"/>
      <c r="F120" s="273"/>
      <c r="G120" s="273"/>
      <c r="H120" s="273"/>
      <c r="I120" s="394"/>
      <c r="J120" s="273"/>
      <c r="K120" s="273"/>
      <c r="L120" s="273"/>
      <c r="M120" s="273"/>
    </row>
    <row r="121" spans="1:13">
      <c r="A121" s="273"/>
      <c r="B121" s="273"/>
      <c r="C121" s="273"/>
      <c r="D121" s="273"/>
      <c r="E121" s="394"/>
      <c r="F121" s="273"/>
      <c r="G121" s="273"/>
      <c r="H121" s="273"/>
      <c r="I121" s="394"/>
      <c r="J121" s="6"/>
      <c r="K121" s="6"/>
      <c r="L121" s="6"/>
      <c r="M121" s="6"/>
    </row>
    <row r="122" spans="1:13">
      <c r="A122" s="1126" t="s">
        <v>97</v>
      </c>
      <c r="B122" s="273"/>
      <c r="C122" s="813">
        <v>7200000</v>
      </c>
      <c r="D122" s="273" t="s">
        <v>693</v>
      </c>
      <c r="E122" s="394"/>
      <c r="F122" s="818">
        <v>2021</v>
      </c>
      <c r="G122" s="818">
        <v>2022</v>
      </c>
      <c r="H122" s="818">
        <v>2023</v>
      </c>
      <c r="I122" s="394"/>
      <c r="J122" s="251"/>
      <c r="K122" s="251"/>
      <c r="L122" s="251"/>
      <c r="M122" s="251"/>
    </row>
    <row r="123" spans="1:13">
      <c r="A123" s="273" t="str">
        <f>A122</f>
        <v>HOME</v>
      </c>
      <c r="B123" s="273"/>
      <c r="C123" s="813">
        <v>155709</v>
      </c>
      <c r="D123" s="273" t="s">
        <v>701</v>
      </c>
      <c r="E123" s="394"/>
      <c r="F123" s="1109">
        <v>137983</v>
      </c>
      <c r="G123" s="1109">
        <v>143814</v>
      </c>
      <c r="H123" s="819">
        <v>155709</v>
      </c>
      <c r="I123" s="394"/>
      <c r="J123" s="251"/>
      <c r="K123" s="251"/>
      <c r="L123" s="251"/>
      <c r="M123" s="251"/>
    </row>
    <row r="124" spans="1:13">
      <c r="A124" s="273" t="str">
        <f>A123</f>
        <v>HOME</v>
      </c>
      <c r="B124" s="273"/>
      <c r="C124" s="813">
        <v>178497</v>
      </c>
      <c r="D124" s="273" t="s">
        <v>702</v>
      </c>
      <c r="E124" s="394"/>
      <c r="F124" s="1109">
        <v>158177</v>
      </c>
      <c r="G124" s="1109">
        <v>164819</v>
      </c>
      <c r="H124" s="819">
        <v>178497</v>
      </c>
      <c r="I124" s="394"/>
      <c r="J124" s="251"/>
      <c r="K124" s="251"/>
      <c r="L124" s="251"/>
      <c r="M124" s="251"/>
    </row>
    <row r="125" spans="1:13">
      <c r="A125" s="273" t="str">
        <f>A124</f>
        <v>HOME</v>
      </c>
      <c r="B125" s="273"/>
      <c r="C125" s="813">
        <v>217058</v>
      </c>
      <c r="D125" s="273" t="s">
        <v>703</v>
      </c>
      <c r="E125" s="394"/>
      <c r="F125" s="1109">
        <v>192346</v>
      </c>
      <c r="G125" s="1109">
        <v>200424</v>
      </c>
      <c r="H125" s="819">
        <v>217058</v>
      </c>
      <c r="I125" s="394"/>
      <c r="J125" s="251"/>
      <c r="K125" s="251"/>
      <c r="L125" s="251"/>
      <c r="M125" s="251"/>
    </row>
    <row r="126" spans="1:13">
      <c r="A126" s="273" t="str">
        <f>A125</f>
        <v>HOME</v>
      </c>
      <c r="B126" s="273"/>
      <c r="C126" s="813">
        <v>280804</v>
      </c>
      <c r="D126" s="273" t="s">
        <v>704</v>
      </c>
      <c r="E126" s="394"/>
      <c r="F126" s="1109">
        <v>248834</v>
      </c>
      <c r="G126" s="1109">
        <v>259284</v>
      </c>
      <c r="H126" s="819">
        <v>280804</v>
      </c>
      <c r="I126" s="394"/>
      <c r="J126" s="251"/>
      <c r="K126" s="251"/>
      <c r="L126" s="251"/>
      <c r="M126" s="251"/>
    </row>
    <row r="127" spans="1:13">
      <c r="A127" s="273" t="str">
        <f>A126</f>
        <v>HOME</v>
      </c>
      <c r="B127" s="273"/>
      <c r="C127" s="813">
        <v>308233</v>
      </c>
      <c r="D127" s="273" t="s">
        <v>705</v>
      </c>
      <c r="E127" s="394"/>
      <c r="F127" s="1109">
        <v>273141</v>
      </c>
      <c r="G127" s="1109">
        <v>284612</v>
      </c>
      <c r="H127" s="819">
        <v>308233</v>
      </c>
      <c r="I127" s="394"/>
      <c r="J127" s="251"/>
      <c r="K127" s="251"/>
      <c r="L127" s="251"/>
      <c r="M127" s="251"/>
    </row>
    <row r="128" spans="1:13">
      <c r="A128" s="1903"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B128" s="251"/>
      <c r="D128" s="251"/>
      <c r="E128" s="748"/>
      <c r="F128" s="819"/>
      <c r="G128" s="1912" t="str">
        <f>IF(OR(AND(County_Size&lt;&gt;"Small",County_Size&lt;&gt;"Medium",County_Size&lt;&gt;"Large")),"",IF(AND(N($I$184)&gt;0,County_Size&lt;&gt;"Small",County_Size&lt;&gt;"Medium",County_Size&lt;&gt;"Large"),"Select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H128" s="819"/>
      <c r="I128" s="394"/>
    </row>
    <row r="129" spans="1:15">
      <c r="A129" s="1126" t="s">
        <v>572</v>
      </c>
      <c r="B129" s="273"/>
      <c r="C129" s="813">
        <v>2950000</v>
      </c>
      <c r="D129" s="273" t="s">
        <v>693</v>
      </c>
      <c r="E129" s="394"/>
      <c r="F129" s="273"/>
      <c r="G129" s="820" t="s">
        <v>706</v>
      </c>
      <c r="H129" s="820" t="s">
        <v>707</v>
      </c>
      <c r="I129" s="1722" t="s">
        <v>708</v>
      </c>
      <c r="J129" s="858" t="s">
        <v>2629</v>
      </c>
      <c r="M129" s="1332"/>
    </row>
    <row r="130" spans="1:15" ht="15" customHeight="1">
      <c r="A130" s="273" t="str">
        <f>A129</f>
        <v>HOME-ARP</v>
      </c>
      <c r="B130" s="273"/>
      <c r="C130" s="814">
        <f>IF(L$135=M$133,G130,IF(L$135=M$134,H130,I130))</f>
        <v>0</v>
      </c>
      <c r="D130" s="273" t="str">
        <f>"Per Required Unit ("&amp;TEXT(DS_ARP_AMI_Units_Req,"0%")&amp;" AMI)"</f>
        <v>Per Required Unit (22% AMI)</v>
      </c>
      <c r="E130" s="394"/>
      <c r="F130" s="273"/>
      <c r="G130" s="814">
        <f>VLOOKUP(County,DS_CountyData,12)</f>
        <v>0</v>
      </c>
      <c r="H130" s="814">
        <f>VLOOKUP(County,DS_CountyData,13)</f>
        <v>0</v>
      </c>
      <c r="I130" s="1723">
        <f>Data1!W398</f>
        <v>0</v>
      </c>
      <c r="J130" t="s">
        <v>2630</v>
      </c>
      <c r="M130" s="1333" t="s">
        <v>2055</v>
      </c>
      <c r="N130" s="6"/>
      <c r="O130" s="6"/>
    </row>
    <row r="131" spans="1:15">
      <c r="A131" s="273" t="str">
        <f t="shared" ref="A131:A144" si="0">A130</f>
        <v>HOME-ARP</v>
      </c>
      <c r="B131" s="328"/>
      <c r="C131" s="814">
        <f>IF(L$138=M$133,G130,IF(L$138=M$134,H130,I130))</f>
        <v>0</v>
      </c>
      <c r="D131" s="273" t="str">
        <f>"Per Optional Unit ("&amp;TEXT(DS_ARP_AMI_Units_Opt,"0%")&amp;" AMI)"</f>
        <v>Per Optional Unit (30% AMI)</v>
      </c>
      <c r="E131" s="394"/>
      <c r="F131" s="273"/>
      <c r="G131" s="750"/>
      <c r="H131" s="1712" t="s">
        <v>2056</v>
      </c>
      <c r="J131" s="1003" t="s">
        <v>1610</v>
      </c>
      <c r="L131" s="1714" t="s">
        <v>2059</v>
      </c>
      <c r="M131" s="1334" t="s">
        <v>2052</v>
      </c>
      <c r="N131" s="6"/>
      <c r="O131" s="6"/>
    </row>
    <row r="132" spans="1:15">
      <c r="A132" s="273" t="str">
        <f>A140</f>
        <v>HOME-ARP</v>
      </c>
      <c r="B132" s="1689">
        <f>ROUNDUP(Total_Units*C132,0)</f>
        <v>0</v>
      </c>
      <c r="C132" s="1690">
        <v>0.2</v>
      </c>
      <c r="D132" s="1700" t="s">
        <v>2522</v>
      </c>
      <c r="E132" s="1701"/>
      <c r="F132" s="1700"/>
      <c r="G132" s="1684" t="s">
        <v>716</v>
      </c>
      <c r="H132" s="919" t="s">
        <v>436</v>
      </c>
      <c r="I132" s="2829"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2831">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715" t="s">
        <v>710</v>
      </c>
      <c r="M132" s="1335" t="s">
        <v>41</v>
      </c>
      <c r="N132" s="6"/>
      <c r="O132" s="6"/>
    </row>
    <row r="133" spans="1:15">
      <c r="A133" s="273" t="str">
        <f t="shared" ref="A133:A138" si="1">A132</f>
        <v>HOME-ARP</v>
      </c>
      <c r="B133" s="1691"/>
      <c r="C133" s="1118">
        <v>4</v>
      </c>
      <c r="D133" s="1702" t="s">
        <v>1784</v>
      </c>
      <c r="E133" s="1691"/>
      <c r="F133" s="1702"/>
      <c r="G133" s="814" t="s">
        <v>716</v>
      </c>
      <c r="H133" s="58" t="s">
        <v>436</v>
      </c>
      <c r="I133" s="2829"/>
      <c r="J133" s="2831"/>
      <c r="M133" s="1336" t="s">
        <v>714</v>
      </c>
    </row>
    <row r="134" spans="1:15">
      <c r="A134" s="273" t="str">
        <f t="shared" si="1"/>
        <v>HOME-ARP</v>
      </c>
      <c r="B134" s="1692"/>
      <c r="C134" s="1118">
        <v>2</v>
      </c>
      <c r="D134" s="1702" t="s">
        <v>1785</v>
      </c>
      <c r="E134" s="1691"/>
      <c r="F134" s="1702"/>
      <c r="G134" s="814" t="s">
        <v>716</v>
      </c>
      <c r="H134" s="58" t="s">
        <v>436</v>
      </c>
      <c r="I134" s="2829"/>
      <c r="J134" s="2831"/>
      <c r="L134" s="1093" t="s">
        <v>2053</v>
      </c>
      <c r="M134" s="1336" t="s">
        <v>717</v>
      </c>
    </row>
    <row r="135" spans="1:15">
      <c r="A135" s="273" t="str">
        <f t="shared" si="1"/>
        <v>HOME-ARP</v>
      </c>
      <c r="B135" s="1693"/>
      <c r="C135" s="1694">
        <v>2</v>
      </c>
      <c r="D135" s="1703" t="s">
        <v>2523</v>
      </c>
      <c r="E135" s="1704"/>
      <c r="F135" s="1703"/>
      <c r="G135" s="1685" t="s">
        <v>716</v>
      </c>
      <c r="H135" s="1713" t="s">
        <v>436</v>
      </c>
      <c r="I135" s="2830"/>
      <c r="J135" s="2832"/>
      <c r="L135" s="1904" t="s">
        <v>714</v>
      </c>
      <c r="M135" s="1337" t="s">
        <v>709</v>
      </c>
    </row>
    <row r="136" spans="1:15">
      <c r="A136" s="273" t="str">
        <f t="shared" si="1"/>
        <v>HOME-ARP</v>
      </c>
      <c r="B136" s="1695"/>
      <c r="C136" s="1696">
        <v>5</v>
      </c>
      <c r="D136" s="1705" t="s">
        <v>2524</v>
      </c>
      <c r="E136" s="1706"/>
      <c r="F136" s="1705"/>
      <c r="G136" s="1684" t="s">
        <v>716</v>
      </c>
      <c r="H136" s="919" t="s">
        <v>436</v>
      </c>
      <c r="I136" s="2833"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2836">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332"/>
    </row>
    <row r="137" spans="1:15">
      <c r="A137" s="273" t="str">
        <f t="shared" si="1"/>
        <v>HOME-ARP</v>
      </c>
      <c r="B137" s="1697"/>
      <c r="C137" s="1118">
        <v>3</v>
      </c>
      <c r="D137" s="1707" t="s">
        <v>2525</v>
      </c>
      <c r="E137" s="1708"/>
      <c r="F137" s="1707"/>
      <c r="G137" s="814" t="s">
        <v>716</v>
      </c>
      <c r="H137" s="58" t="s">
        <v>280</v>
      </c>
      <c r="I137" s="2834"/>
      <c r="J137" s="2837"/>
      <c r="L137" s="1716" t="s">
        <v>2054</v>
      </c>
      <c r="M137" s="1338" t="s">
        <v>2059</v>
      </c>
    </row>
    <row r="138" spans="1:15">
      <c r="A138" s="273" t="str">
        <f t="shared" si="1"/>
        <v>HOME-ARP</v>
      </c>
      <c r="B138" s="1698"/>
      <c r="C138" s="1694">
        <v>3</v>
      </c>
      <c r="D138" s="1709" t="s">
        <v>2526</v>
      </c>
      <c r="E138" s="1710"/>
      <c r="F138" s="1709"/>
      <c r="G138" s="1685" t="s">
        <v>716</v>
      </c>
      <c r="H138" s="1713" t="s">
        <v>436</v>
      </c>
      <c r="I138" s="2835"/>
      <c r="J138" s="2838"/>
      <c r="L138" s="1259" t="s">
        <v>717</v>
      </c>
      <c r="M138" s="1335" t="s">
        <v>41</v>
      </c>
    </row>
    <row r="139" spans="1:15">
      <c r="A139" s="273" t="str">
        <f>A131</f>
        <v>HOME-ARP</v>
      </c>
      <c r="B139" s="1686">
        <f>ROUNDUP(Total_Units*C139,0)</f>
        <v>0</v>
      </c>
      <c r="C139" s="821">
        <v>0.2</v>
      </c>
      <c r="D139" s="1127" t="s">
        <v>2631</v>
      </c>
      <c r="E139" s="1128"/>
      <c r="F139" s="1127"/>
      <c r="G139" s="814" t="s">
        <v>716</v>
      </c>
      <c r="H139" s="58" t="s">
        <v>280</v>
      </c>
      <c r="I139" s="2799" t="str">
        <f>IF(OR(DS_ARP_Max_Percent_Total_Active="Both",DS_ARP_Max_Percent_Total_Active="Yes",DS_ARP_Max_Units_Total_Active="Yes"),"Yes","No")</f>
        <v>Yes</v>
      </c>
      <c r="J139" s="2803">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1905" t="s">
        <v>2633</v>
      </c>
      <c r="M139" s="1339" t="s">
        <v>715</v>
      </c>
    </row>
    <row r="140" spans="1:15">
      <c r="A140" s="273" t="str">
        <f>A139</f>
        <v>HOME-ARP</v>
      </c>
      <c r="B140" s="1687"/>
      <c r="C140" s="1688">
        <v>7</v>
      </c>
      <c r="D140" s="1129" t="s">
        <v>2632</v>
      </c>
      <c r="E140" s="1130"/>
      <c r="F140" s="1129"/>
      <c r="G140" s="1683" t="s">
        <v>716</v>
      </c>
      <c r="H140" s="1638" t="s">
        <v>280</v>
      </c>
      <c r="I140" s="2800"/>
      <c r="J140" s="2804"/>
      <c r="K140" s="1906">
        <f>IF(DS_ARP_Max_Percent_Total_Active="Both",MIN(ROUNDUP(DS_ARP_Max_Percent_Total*Total_Units,0),DS_ARP_Max_Units_Total),IF(DS_ARP_Max_Percent_Total_Active="Yes",ROUNDUP(DS_ARP_Max_Percent_Total*Total_Units,0),IF(DS_ARP_Max_Units_Total_Active="Yes",DS_ARP_Max_Units_Total,0*N(Total_Units))))</f>
        <v>0</v>
      </c>
      <c r="M140" s="1337" t="s">
        <v>710</v>
      </c>
    </row>
    <row r="141" spans="1:15">
      <c r="A141" s="273" t="str">
        <f>A134</f>
        <v>HOME-ARP</v>
      </c>
      <c r="B141" s="1699">
        <f>ROUNDUP(Total_Units*C141,0)</f>
        <v>0</v>
      </c>
      <c r="C141" s="1690">
        <v>0.1</v>
      </c>
      <c r="D141" s="1132" t="s">
        <v>1786</v>
      </c>
      <c r="E141" s="1133"/>
      <c r="F141" s="1132"/>
      <c r="G141" s="1684" t="s">
        <v>716</v>
      </c>
      <c r="H141" s="919" t="s">
        <v>436</v>
      </c>
      <c r="I141" s="2801" t="str">
        <f>IF(OR(DS_ARP_Max_Percent_Opt_Active="Both",DS_ARP_Max_Percent_Opt_Active="Yes",DS_ARP_Max_Units_Opt_Active="Yes"),"Yes","No")</f>
        <v>Yes</v>
      </c>
      <c r="J141" s="2805">
        <f>IF(DS_Max_ARP_Opt_Units_Active="Yes",IF(DS_Max_ARP_Opt_Units_Active="Both",MIN(ROUNDUP(DS_ARP_Max_Percent_Opt*N(Total_Units),0),DS_ARP_Max_Units_Opt),IF(DS_ARP_Max_Percent_Opt_Active="Yes",ROUNDUP(DS_ARP_Max_Percent_Opt*N(Total_Units),0),IF(DS_ARP_Max_Units_Opt_Active="Yes",DS_ARP_Max_Units_Opt,0))),0)</f>
        <v>2</v>
      </c>
      <c r="K141" s="823"/>
      <c r="M141" s="1332"/>
    </row>
    <row r="142" spans="1:15">
      <c r="A142" s="273" t="str">
        <f t="shared" si="0"/>
        <v>HOME-ARP</v>
      </c>
      <c r="B142" s="1729"/>
      <c r="C142" s="1694">
        <v>2</v>
      </c>
      <c r="D142" s="1134" t="s">
        <v>1787</v>
      </c>
      <c r="E142" s="1135"/>
      <c r="F142" s="1134"/>
      <c r="G142" s="1685" t="s">
        <v>716</v>
      </c>
      <c r="H142" s="1713" t="s">
        <v>280</v>
      </c>
      <c r="I142" s="2802"/>
      <c r="J142" s="2806"/>
      <c r="K142" s="106"/>
      <c r="M142" s="1338" t="s">
        <v>2051</v>
      </c>
    </row>
    <row r="143" spans="1:15">
      <c r="A143" s="328" t="str">
        <f>A142</f>
        <v>HOME-ARP</v>
      </c>
      <c r="B143" s="338"/>
      <c r="C143" s="1720">
        <v>0.22</v>
      </c>
      <c r="D143" s="338" t="s">
        <v>1788</v>
      </c>
      <c r="E143" s="1734"/>
      <c r="F143" s="6"/>
      <c r="G143" s="1682" t="s">
        <v>1789</v>
      </c>
      <c r="H143" s="444">
        <f>IF(DS_Max_ARP_Req_Units_Active="Yes",DS_Max_ARP_Req_Units,IF(DS_Min_ARP_Req_Units_Active="Yes",DS_Min_ARP_Req_Units,0))+DS_ARP_Max_Units_Opt_Allowed</f>
        <v>0</v>
      </c>
      <c r="I143" s="1907" t="s">
        <v>2634</v>
      </c>
      <c r="J143" s="2839">
        <f>Total_Units</f>
        <v>0</v>
      </c>
      <c r="M143" s="1335" t="s">
        <v>41</v>
      </c>
    </row>
    <row r="144" spans="1:15">
      <c r="A144" s="1124" t="str">
        <f t="shared" si="0"/>
        <v>HOME-ARP</v>
      </c>
      <c r="B144" s="1729"/>
      <c r="C144" s="1732">
        <v>0.3</v>
      </c>
      <c r="D144" s="1729" t="s">
        <v>1790</v>
      </c>
      <c r="E144" s="1730"/>
      <c r="F144" s="1124"/>
      <c r="G144" s="1685" t="s">
        <v>1791</v>
      </c>
      <c r="H144" s="1733">
        <f>MIN(DS_Max_ARP_Opt_Units,N(HOME_ARP_Additional_Units))</f>
        <v>0</v>
      </c>
      <c r="I144" s="1902" t="str">
        <f>County_Size</f>
        <v/>
      </c>
      <c r="J144" s="2840"/>
      <c r="M144" s="1340">
        <v>0.22</v>
      </c>
    </row>
    <row r="145" spans="1:13" ht="20.25" customHeight="1">
      <c r="A145" s="272"/>
      <c r="B145" s="1342"/>
      <c r="C145" s="1028"/>
      <c r="E145" s="376"/>
      <c r="F145" s="272"/>
      <c r="G145" s="1731"/>
      <c r="H145" s="1731"/>
      <c r="I145" s="1731"/>
      <c r="J145" s="312"/>
      <c r="M145" s="1341">
        <v>0.3</v>
      </c>
    </row>
    <row r="146" spans="1:13">
      <c r="A146" s="1331" t="s">
        <v>99</v>
      </c>
      <c r="B146" s="273"/>
      <c r="C146" s="813">
        <v>2500000</v>
      </c>
      <c r="D146" s="273" t="s">
        <v>693</v>
      </c>
      <c r="E146" s="394"/>
      <c r="F146" s="273"/>
      <c r="G146" s="820" t="s">
        <v>711</v>
      </c>
      <c r="H146" s="820" t="s">
        <v>712</v>
      </c>
      <c r="I146" s="1722" t="s">
        <v>713</v>
      </c>
      <c r="M146" s="1332"/>
    </row>
    <row r="147" spans="1:13">
      <c r="A147" s="273" t="str">
        <f>A146</f>
        <v>NHTF</v>
      </c>
      <c r="B147" s="328"/>
      <c r="C147" s="814">
        <f>MIN(IF(L$152=M$133,DS_NHTF22_PU,IF(L$152=M$134,DS_NHTF30_PU,DS_NHTFMax_PU)),DS_NHTFMax_PU)</f>
        <v>0</v>
      </c>
      <c r="D147" s="273" t="str">
        <f>"Per Required Unit ("&amp;TEXT(DS_NHTF_AMI_Units_Req,"0%")&amp;" AMI)"</f>
        <v>Per Required Unit (22% AMI)</v>
      </c>
      <c r="E147" s="394"/>
      <c r="F147" s="273"/>
      <c r="G147" s="814">
        <f>VLOOKUP(County,DS_CountyData,12)</f>
        <v>0</v>
      </c>
      <c r="H147" s="814">
        <f>VLOOKUP(County,DS_CountyData,13)</f>
        <v>0</v>
      </c>
      <c r="I147" s="1723">
        <f>IF(COUNTIF('Proposed Development Info'!H$138:H$153,MAX('Proposed Development Info'!H$138:H$153))=1,VLOOKUP(IF(OR(County="Broward",County="Miami-Dade",County="Palm Beach"),CHOOSE(IFERROR(MATCH(MAX('Proposed Development Info'!H$138:H$153),'Proposed Development Info'!H$138:H$153,0),0)+1," ","SFNCGAE","SFNCGAW","SFNCMRE","SFNCMRW","SFNCHRE","SFNCGAE","SFNCGAW","SFNCGAE","SFNCGAW","SFRCGA","SFRCGA","SFRCNGA","SFRCNGA","SFRCGA","SFRCGA"),CHOOSE(IFERROR(MATCH(MAX('Proposed Development Info'!H$138:H$153),'Proposed Development Info'!H$138:H$153,0),0)+1," ","PFNCGAE","PFNCGAW","PFNCMRE","PFNCMRW","PFNCHRE","PFNCGAE","PFNCGAW","PFNCGAE","PFNCGAW","PFRCGA","PFRCGA","PFRCNGA","PFRCNGA","PFRCGA","PFRCGA")),DS_Max_NHTF,IF(Data3!L$149=Data3!M$320,10,11)),MAX(VLOOKUP(IF(OR(County="Broward",County="Miami-Dade",County="Palm Beach"),CHOOSE(IFERROR(MATCH(MAX('Proposed Development Info'!H$138:H$153),'Proposed Development Info'!H$138:H$153,0),0)+1," ","SFNCGAE","SFNCGAW","SFNCMRE","SFNCMRW","SFNCHRE","SFNCGAE","SFNCGAW","SFNCGAE","SFNCGAW","SFRCGA","SFRCGA","SFRCNGA","SFRCNGA","SFRCGA","SFRCGA"),CHOOSE(IFERROR(MATCH(MAX('Proposed Development Info'!H$138:H$153),'Proposed Development Info'!H$138:H$153,0),0)+1," ","PFNCGAE","PFNCGAW","PFNCMRE","PFNCMRW","PFNCHRE","PFNCGAE","PFNCGAW","PFNCGAE","PFNCGAW","PFRCGA","PFRCGA","PFRCNGA","PFRCNGA","PFRCGA","PFRCGA")),DS_Max_NHTF,IF(Data3!L$149=Data3!M$320,10,11)),VLOOKUP(IF(OR(County="Broward",County="Miami-Dade",County="Palm Beach"),CHOOSE(IFERROR(MAX('Proposed Development Info'!A$138:A$153),0)+1," ","SFNCGAE","SFNCGAW","SFNCMRE","SFNCMRW","SFNCHRE","SFNCGAE","SFNCGAW","SFNCGAE","SFNCGAW","SFRCGA","SFRCGA","SFRCNGA","SFRCNGA","SFRCGA","SFRCGA"),CHOOSE(IFERROR(MAX('Proposed Development Info'!A$138:A$153),0)+1," ","PFNCGAE","PFNCGAW","PFNCMRE","PFNCMRW","PFNCHRE","PFNCGAE","PFNCGAW","PFNCGAE","PFNCGAW","PFRCGA","PFRCGA","PFRCNGA","PFRCNGA","PFRCGA","PFRCGA")),DS_Max_NHTF,IF(Data3!L$149=Data3!M$320,10,11))))</f>
        <v>0</v>
      </c>
      <c r="M147" s="1332"/>
    </row>
    <row r="148" spans="1:13">
      <c r="A148" s="273" t="str">
        <f>A147</f>
        <v>NHTF</v>
      </c>
      <c r="B148" s="6"/>
      <c r="C148" s="814">
        <f>MIN(IF(L$155=M$133,DS_NHTF22_PU,IF(L$155=M$134,DS_NHTF30_PU,DS_NHTFMax_PU)),DS_NHTFMax_PU)</f>
        <v>0</v>
      </c>
      <c r="D148" s="273" t="str">
        <f>"Per Optional Unit ("&amp;TEXT(DS_NHTF_AMI_Units_Opt,"0%")&amp;" AMI)"</f>
        <v>Per Optional Unit (30% AMI)</v>
      </c>
      <c r="E148" s="394"/>
      <c r="F148" s="273"/>
      <c r="G148" s="750"/>
      <c r="H148" s="1712" t="s">
        <v>2056</v>
      </c>
      <c r="J148" s="1003" t="s">
        <v>1610</v>
      </c>
      <c r="L148" s="1721" t="s">
        <v>2059</v>
      </c>
      <c r="M148" s="1332"/>
    </row>
    <row r="149" spans="1:13">
      <c r="A149" s="273" t="str">
        <f>A157</f>
        <v>NHTF</v>
      </c>
      <c r="B149" s="1689">
        <f>ROUNDUP(Total_Units*C149,0)</f>
        <v>0</v>
      </c>
      <c r="C149" s="1690">
        <v>0.2</v>
      </c>
      <c r="D149" s="1700" t="s">
        <v>2527</v>
      </c>
      <c r="E149" s="1701"/>
      <c r="F149" s="1700"/>
      <c r="G149" s="1684" t="s">
        <v>716</v>
      </c>
      <c r="H149" s="919" t="s">
        <v>280</v>
      </c>
      <c r="I149" s="2829"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49" s="2831">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1259" t="s">
        <v>710</v>
      </c>
      <c r="M149" s="1332"/>
    </row>
    <row r="150" spans="1:13">
      <c r="A150" s="273" t="str">
        <f t="shared" ref="A150:A155" si="2">A149</f>
        <v>NHTF</v>
      </c>
      <c r="B150" s="1691"/>
      <c r="C150" s="1118">
        <v>1</v>
      </c>
      <c r="D150" s="1702" t="s">
        <v>1601</v>
      </c>
      <c r="E150" s="1691"/>
      <c r="F150" s="1702"/>
      <c r="G150" s="814" t="s">
        <v>716</v>
      </c>
      <c r="H150" s="58" t="s">
        <v>436</v>
      </c>
      <c r="I150" s="2829"/>
      <c r="J150" s="2831"/>
      <c r="L150" s="1908"/>
      <c r="M150" s="1332"/>
    </row>
    <row r="151" spans="1:13">
      <c r="A151" s="273" t="str">
        <f t="shared" si="2"/>
        <v>NHTF</v>
      </c>
      <c r="B151" s="1692"/>
      <c r="C151" s="1118">
        <v>1</v>
      </c>
      <c r="D151" s="1702" t="s">
        <v>1602</v>
      </c>
      <c r="E151" s="1691"/>
      <c r="F151" s="1702"/>
      <c r="G151" s="814" t="s">
        <v>716</v>
      </c>
      <c r="H151" s="58" t="s">
        <v>436</v>
      </c>
      <c r="I151" s="2829"/>
      <c r="J151" s="2831"/>
      <c r="L151" s="1716" t="s">
        <v>2053</v>
      </c>
      <c r="M151" s="1332"/>
    </row>
    <row r="152" spans="1:13">
      <c r="A152" s="273" t="str">
        <f t="shared" si="2"/>
        <v>NHTF</v>
      </c>
      <c r="B152" s="1693"/>
      <c r="C152" s="1694">
        <v>1</v>
      </c>
      <c r="D152" s="1703" t="s">
        <v>2528</v>
      </c>
      <c r="E152" s="1704"/>
      <c r="F152" s="1703"/>
      <c r="G152" s="1685" t="s">
        <v>716</v>
      </c>
      <c r="H152" s="1713" t="s">
        <v>436</v>
      </c>
      <c r="I152" s="2830"/>
      <c r="J152" s="2832"/>
      <c r="K152" s="528"/>
      <c r="L152" s="1715" t="s">
        <v>714</v>
      </c>
      <c r="M152" s="1332"/>
    </row>
    <row r="153" spans="1:13">
      <c r="A153" s="273" t="str">
        <f t="shared" si="2"/>
        <v>NHTF</v>
      </c>
      <c r="B153" s="1695"/>
      <c r="C153" s="1696">
        <v>4</v>
      </c>
      <c r="D153" s="1705" t="s">
        <v>2529</v>
      </c>
      <c r="E153" s="1706"/>
      <c r="F153" s="1705"/>
      <c r="G153" s="1684" t="s">
        <v>716</v>
      </c>
      <c r="H153" s="919" t="s">
        <v>280</v>
      </c>
      <c r="I153" s="2843"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3" s="2836">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3" s="528"/>
      <c r="M153" s="1332"/>
    </row>
    <row r="154" spans="1:13">
      <c r="A154" s="273" t="str">
        <f t="shared" si="2"/>
        <v>NHTF</v>
      </c>
      <c r="B154" s="1724"/>
      <c r="C154" s="1688">
        <v>4</v>
      </c>
      <c r="D154" s="1725" t="s">
        <v>2530</v>
      </c>
      <c r="E154" s="1726"/>
      <c r="F154" s="1725"/>
      <c r="G154" s="1683" t="s">
        <v>716</v>
      </c>
      <c r="H154" s="1638" t="s">
        <v>280</v>
      </c>
      <c r="I154" s="2844"/>
      <c r="J154" s="2837"/>
      <c r="K154" s="528"/>
      <c r="L154" s="1721" t="s">
        <v>2054</v>
      </c>
      <c r="M154" s="1332"/>
    </row>
    <row r="155" spans="1:13">
      <c r="A155" s="273" t="str">
        <f t="shared" si="2"/>
        <v>NHTF</v>
      </c>
      <c r="B155" s="1698"/>
      <c r="C155" s="1694">
        <v>4</v>
      </c>
      <c r="D155" s="1709" t="s">
        <v>2531</v>
      </c>
      <c r="E155" s="1710"/>
      <c r="F155" s="1709"/>
      <c r="G155" s="1685" t="s">
        <v>716</v>
      </c>
      <c r="H155" s="1713" t="s">
        <v>280</v>
      </c>
      <c r="I155" s="2845"/>
      <c r="J155" s="2838"/>
      <c r="K155" s="528"/>
      <c r="L155" s="1259" t="s">
        <v>714</v>
      </c>
      <c r="M155" s="1332"/>
    </row>
    <row r="156" spans="1:13">
      <c r="A156" s="273" t="str">
        <f>A148</f>
        <v>NHTF</v>
      </c>
      <c r="B156" s="1909">
        <f>ROUNDUP(Total_Units*C156,0)</f>
        <v>0</v>
      </c>
      <c r="C156" s="1910">
        <v>0.2</v>
      </c>
      <c r="D156" s="1286" t="s">
        <v>1597</v>
      </c>
      <c r="E156" s="1911"/>
      <c r="F156" s="1286"/>
      <c r="G156" s="1028" t="s">
        <v>716</v>
      </c>
      <c r="H156" s="57" t="s">
        <v>436</v>
      </c>
      <c r="I156" s="2818" t="str">
        <f>IF(OR(DS_NHTF_Max_Percent_Total_Active="Both",DS_NHTF_Max_Percent_Total_Active="Yes",DS_NHTF_Max_Units_Total_Active="Yes"),"Yes","No")</f>
        <v>Yes</v>
      </c>
      <c r="J156" s="2803">
        <f>IF(DS_NHTF_Max_Percent_Total_Active="Both",MIN(ROUNDUP(DS_NHTF_Max_Percent_Total*Total_Units,0),DS_NHTF_Max_Units_Total),IF(DS_NHTF_Max_Percent_Total_Active="Yes",ROUNDUP(DS_NHTF_Max_Percent_Total*Total_Units,0),IF(DS_NHTF_Max_Units_Total_Active="Yes",DS_NHTF_Max_Units_Total,N(Total_Units))))</f>
        <v>7</v>
      </c>
      <c r="K156" s="1905" t="s">
        <v>2633</v>
      </c>
      <c r="M156" s="1332"/>
    </row>
    <row r="157" spans="1:13">
      <c r="A157" s="273" t="str">
        <f>A156</f>
        <v>NHTF</v>
      </c>
      <c r="B157" s="1687"/>
      <c r="C157" s="1688">
        <v>7</v>
      </c>
      <c r="D157" s="1129" t="s">
        <v>1598</v>
      </c>
      <c r="E157" s="1130"/>
      <c r="F157" s="1129"/>
      <c r="G157" s="1683" t="s">
        <v>716</v>
      </c>
      <c r="H157" s="1029" t="s">
        <v>280</v>
      </c>
      <c r="I157" s="2800"/>
      <c r="J157" s="2804"/>
      <c r="K157" s="1906">
        <f>IF(DS_NHTF_Max_Percent_Total_Active="Both",MIN(ROUNDUP(DS_NHTF_Max_Percent_Total*Total_Units,0),DS_NHTF_Max_Units_Total),IF(DS_NHTF_Max_Percent_Total_Active="Yes",ROUNDUP(DS_NHTF_Max_Percent_Total*Total_Units,0),IF(DS_NHTF_Max_Units_Total_Active="Yes",DS_NHTF_Max_Units_Total,0*N(Total_Units))))</f>
        <v>7</v>
      </c>
      <c r="M157" s="1332"/>
    </row>
    <row r="158" spans="1:13">
      <c r="A158" s="273" t="s">
        <v>99</v>
      </c>
      <c r="B158" s="1699">
        <f>ROUNDUP(Total_Units*C158,0)</f>
        <v>0</v>
      </c>
      <c r="C158" s="1690">
        <v>0.1</v>
      </c>
      <c r="D158" s="1727" t="s">
        <v>1599</v>
      </c>
      <c r="E158" s="1728"/>
      <c r="F158" s="1727"/>
      <c r="G158" s="1684" t="s">
        <v>716</v>
      </c>
      <c r="H158" s="919" t="s">
        <v>436</v>
      </c>
      <c r="I158" s="2801" t="str">
        <f>IF(OR(DS_NHTF_Max_Percent_Opt_Active="Both",DS_NHTF_Max_Percent_Opt_Active="Yes",DS_NHTF_Max_Units_Opt_Active="Yes"),"Yes","No")</f>
        <v>No</v>
      </c>
      <c r="J158" s="2805">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M158" s="1332"/>
    </row>
    <row r="159" spans="1:13">
      <c r="A159" s="273" t="s">
        <v>99</v>
      </c>
      <c r="B159" s="1729"/>
      <c r="C159" s="1694">
        <v>2</v>
      </c>
      <c r="D159" s="1729" t="s">
        <v>1600</v>
      </c>
      <c r="E159" s="1730"/>
      <c r="F159" s="1729"/>
      <c r="G159" s="1685" t="s">
        <v>716</v>
      </c>
      <c r="H159" s="1713" t="s">
        <v>436</v>
      </c>
      <c r="I159" s="2802"/>
      <c r="J159" s="2806"/>
      <c r="M159" s="1332"/>
    </row>
    <row r="160" spans="1:13">
      <c r="A160" s="273" t="s">
        <v>99</v>
      </c>
      <c r="B160" s="1131"/>
      <c r="C160" s="1002">
        <v>0.22</v>
      </c>
      <c r="D160" s="1131" t="s">
        <v>1603</v>
      </c>
      <c r="E160" s="1711"/>
      <c r="F160" s="272"/>
      <c r="G160" s="1028" t="s">
        <v>1596</v>
      </c>
      <c r="H160" s="719">
        <f>IF(DS_Max_NHTF_Req_Units_Active="Yes",DS_Max_NHTF_Req_Units,IF(DS_Min_NHTF_Req_Units_Active="Yes",DS_Min_NHTF_Req_Units,0))+DS_NHTF_Max_Units_Opt_Allowed</f>
        <v>0</v>
      </c>
      <c r="I160" s="1907" t="s">
        <v>2634</v>
      </c>
      <c r="J160" s="2841">
        <f>Total_Units</f>
        <v>0</v>
      </c>
      <c r="M160" s="1332"/>
    </row>
    <row r="161" spans="1:16">
      <c r="A161" s="273" t="s">
        <v>99</v>
      </c>
      <c r="B161" s="1735"/>
      <c r="C161" s="816">
        <v>0.3</v>
      </c>
      <c r="D161" s="1136" t="s">
        <v>1604</v>
      </c>
      <c r="E161" s="1137"/>
      <c r="F161" s="272"/>
      <c r="G161" s="814" t="s">
        <v>1611</v>
      </c>
      <c r="H161" s="823">
        <f>MIN(DS_Max_NHTF_Opt_Units,N(NHTF_Additional_Units))</f>
        <v>0</v>
      </c>
      <c r="I161" s="1902" t="str">
        <f>County_Size</f>
        <v/>
      </c>
      <c r="J161" s="2842"/>
      <c r="M161" s="1332"/>
    </row>
    <row r="162" spans="1:16">
      <c r="A162" s="272"/>
      <c r="B162" s="272"/>
      <c r="C162" s="1106"/>
      <c r="D162" s="272"/>
      <c r="E162" s="376"/>
      <c r="F162" s="272"/>
      <c r="G162" s="814"/>
      <c r="H162" s="749"/>
      <c r="I162" s="1028"/>
    </row>
    <row r="163" spans="1:16">
      <c r="A163" s="273" t="s">
        <v>114</v>
      </c>
      <c r="B163" s="273"/>
      <c r="C163" s="2477">
        <v>4600000</v>
      </c>
      <c r="D163" s="273" t="s">
        <v>693</v>
      </c>
      <c r="E163" s="394"/>
      <c r="F163" s="273"/>
      <c r="G163" s="251"/>
      <c r="H163" s="251"/>
      <c r="I163" s="394">
        <v>106</v>
      </c>
      <c r="J163" s="1346" t="s">
        <v>718</v>
      </c>
    </row>
    <row r="164" spans="1:16">
      <c r="A164" s="251"/>
      <c r="B164" s="251"/>
      <c r="C164" s="1100"/>
      <c r="D164" s="251"/>
      <c r="E164" s="748"/>
      <c r="F164" s="251"/>
      <c r="G164" s="251"/>
      <c r="H164" s="251"/>
      <c r="I164" s="394"/>
    </row>
    <row r="165" spans="1:16">
      <c r="A165" s="273" t="s">
        <v>98</v>
      </c>
      <c r="B165" s="273"/>
      <c r="C165" s="2477">
        <v>5000000</v>
      </c>
      <c r="D165" s="273" t="s">
        <v>1737</v>
      </c>
      <c r="E165" s="394"/>
      <c r="F165" s="273"/>
      <c r="G165" s="273"/>
      <c r="H165" s="273"/>
      <c r="I165" s="394"/>
      <c r="J165" s="2807" t="s">
        <v>1738</v>
      </c>
      <c r="K165" s="2808"/>
      <c r="L165" s="273"/>
      <c r="M165" s="273"/>
      <c r="N165" s="6"/>
      <c r="O165" s="6"/>
      <c r="P165" s="6"/>
    </row>
    <row r="166" spans="1:16">
      <c r="A166" s="273" t="s">
        <v>98</v>
      </c>
      <c r="B166" s="273"/>
      <c r="C166" s="2477">
        <v>8000000</v>
      </c>
      <c r="D166" s="273" t="s">
        <v>1736</v>
      </c>
      <c r="E166" s="394"/>
      <c r="F166" s="273"/>
      <c r="G166" s="273"/>
      <c r="H166" s="273"/>
      <c r="I166" s="394"/>
      <c r="J166" s="2809"/>
      <c r="K166" s="2810"/>
      <c r="L166" s="273"/>
      <c r="M166" s="273"/>
      <c r="N166" s="6"/>
      <c r="O166" s="6"/>
      <c r="P166" s="6"/>
    </row>
    <row r="167" spans="1:16">
      <c r="A167" s="273" t="s">
        <v>98</v>
      </c>
      <c r="B167" s="273"/>
      <c r="C167" s="273"/>
      <c r="D167" s="1140" t="s">
        <v>333</v>
      </c>
      <c r="E167" s="1140" t="s">
        <v>1749</v>
      </c>
      <c r="F167" s="273"/>
      <c r="G167" s="273"/>
      <c r="H167" s="273"/>
      <c r="I167" s="394"/>
      <c r="J167" s="1496" t="s">
        <v>333</v>
      </c>
      <c r="K167" s="1496" t="s">
        <v>1749</v>
      </c>
      <c r="L167" s="273"/>
      <c r="M167" s="273"/>
      <c r="N167" s="6"/>
      <c r="O167" s="6"/>
      <c r="P167" s="6"/>
    </row>
    <row r="168" spans="1:16">
      <c r="A168" s="273" t="s">
        <v>98</v>
      </c>
      <c r="B168" s="273"/>
      <c r="C168" s="1139" t="s">
        <v>701</v>
      </c>
      <c r="D168" s="813"/>
      <c r="E168" s="2477">
        <v>155709</v>
      </c>
      <c r="F168" s="273"/>
      <c r="G168" s="273"/>
      <c r="H168" s="273"/>
      <c r="I168" s="394"/>
      <c r="J168" s="814">
        <v>217058</v>
      </c>
      <c r="K168" s="814">
        <v>149868</v>
      </c>
      <c r="L168" s="273"/>
      <c r="M168" s="273"/>
      <c r="N168" s="6"/>
      <c r="O168" s="6"/>
      <c r="P168" s="6"/>
    </row>
    <row r="169" spans="1:16">
      <c r="A169" s="273" t="s">
        <v>98</v>
      </c>
      <c r="B169" s="273"/>
      <c r="C169" s="1139" t="s">
        <v>702</v>
      </c>
      <c r="D169" s="813"/>
      <c r="E169" s="2477">
        <v>178497</v>
      </c>
      <c r="F169" s="273"/>
      <c r="G169" s="273"/>
      <c r="H169" s="273"/>
      <c r="I169" s="394"/>
      <c r="J169" s="814">
        <v>248828</v>
      </c>
      <c r="K169" s="814">
        <v>171802</v>
      </c>
      <c r="L169" s="273"/>
      <c r="M169" s="273"/>
      <c r="N169" s="6"/>
      <c r="O169" s="6"/>
      <c r="P169" s="6"/>
    </row>
    <row r="170" spans="1:16">
      <c r="A170" s="273" t="s">
        <v>98</v>
      </c>
      <c r="B170" s="273"/>
      <c r="C170" s="1139" t="s">
        <v>703</v>
      </c>
      <c r="D170" s="813"/>
      <c r="E170" s="2477">
        <v>217058</v>
      </c>
      <c r="F170" s="273"/>
      <c r="G170" s="273"/>
      <c r="H170" s="273"/>
      <c r="I170" s="394"/>
      <c r="J170" s="814">
        <v>302572</v>
      </c>
      <c r="K170" s="814">
        <v>208913</v>
      </c>
      <c r="L170" s="273"/>
      <c r="M170" s="273"/>
      <c r="N170" s="6"/>
      <c r="O170" s="6"/>
      <c r="P170" s="6"/>
    </row>
    <row r="171" spans="1:16">
      <c r="A171" s="273" t="s">
        <v>98</v>
      </c>
      <c r="B171" s="273"/>
      <c r="C171" s="1139" t="s">
        <v>704</v>
      </c>
      <c r="D171" s="813"/>
      <c r="E171" s="2477">
        <v>280804</v>
      </c>
      <c r="F171" s="273"/>
      <c r="G171" s="273"/>
      <c r="H171" s="273"/>
      <c r="I171" s="394"/>
      <c r="J171" s="814">
        <v>391432</v>
      </c>
      <c r="K171" s="814">
        <v>270266</v>
      </c>
      <c r="L171" s="273"/>
      <c r="M171" s="273"/>
      <c r="N171" s="6"/>
      <c r="O171" s="6"/>
      <c r="P171" s="6"/>
    </row>
    <row r="172" spans="1:16">
      <c r="A172" s="273" t="s">
        <v>98</v>
      </c>
      <c r="B172" s="273"/>
      <c r="C172" s="1139" t="s">
        <v>705</v>
      </c>
      <c r="D172" s="813"/>
      <c r="E172" s="2477">
        <v>308233</v>
      </c>
      <c r="F172" s="273"/>
      <c r="G172" s="273"/>
      <c r="H172" s="273"/>
      <c r="I172" s="394"/>
      <c r="J172" s="814">
        <v>418592</v>
      </c>
      <c r="K172" s="814">
        <v>296666</v>
      </c>
      <c r="L172" s="273"/>
      <c r="M172" s="273"/>
      <c r="N172" s="6"/>
      <c r="O172" s="6"/>
      <c r="P172" s="6"/>
    </row>
    <row r="173" spans="1:16">
      <c r="A173" s="251"/>
      <c r="B173" s="251"/>
      <c r="C173" s="1100"/>
      <c r="D173" s="251"/>
      <c r="E173" s="748"/>
      <c r="F173" s="251"/>
      <c r="G173" s="251"/>
      <c r="H173" s="251"/>
      <c r="I173" s="394"/>
    </row>
    <row r="174" spans="1:16">
      <c r="A174" s="273" t="s">
        <v>719</v>
      </c>
      <c r="B174" s="273"/>
      <c r="C174" s="2477">
        <v>3800000</v>
      </c>
      <c r="D174" s="1138" t="s">
        <v>720</v>
      </c>
      <c r="E174" s="68"/>
      <c r="F174" s="273"/>
      <c r="G174" s="273"/>
      <c r="H174" s="273"/>
      <c r="I174" s="394" t="s">
        <v>721</v>
      </c>
      <c r="J174" s="273" t="s">
        <v>722</v>
      </c>
      <c r="K174" s="273"/>
      <c r="L174" s="273"/>
      <c r="M174" s="273"/>
    </row>
    <row r="175" spans="1:16">
      <c r="A175" s="273" t="s">
        <v>719</v>
      </c>
      <c r="B175" s="273"/>
      <c r="C175" s="2477">
        <v>3500000</v>
      </c>
      <c r="D175" s="1138" t="s">
        <v>723</v>
      </c>
      <c r="E175" s="68"/>
      <c r="F175" s="273"/>
      <c r="G175" s="273"/>
      <c r="H175" s="273"/>
      <c r="I175" s="394">
        <v>202</v>
      </c>
      <c r="J175" s="273" t="s">
        <v>724</v>
      </c>
      <c r="K175" s="273"/>
      <c r="L175" s="273"/>
      <c r="M175" s="273"/>
    </row>
    <row r="176" spans="1:16">
      <c r="A176" s="273" t="s">
        <v>719</v>
      </c>
      <c r="B176" s="273"/>
      <c r="C176" s="2477">
        <v>3200000</v>
      </c>
      <c r="D176" s="1138" t="s">
        <v>725</v>
      </c>
      <c r="E176" s="68"/>
      <c r="F176" s="273"/>
      <c r="G176" s="273"/>
      <c r="H176" s="273"/>
      <c r="I176" s="394">
        <v>202</v>
      </c>
      <c r="J176" s="273" t="s">
        <v>2642</v>
      </c>
      <c r="K176" s="273"/>
      <c r="L176" s="273"/>
      <c r="M176" s="273"/>
    </row>
    <row r="177" spans="1:13">
      <c r="A177" s="273" t="s">
        <v>719</v>
      </c>
      <c r="B177" s="273"/>
      <c r="C177" s="2477">
        <v>3000000</v>
      </c>
      <c r="D177" s="1138" t="s">
        <v>2640</v>
      </c>
      <c r="E177" s="68"/>
      <c r="F177" s="273"/>
      <c r="G177" s="273"/>
      <c r="H177" s="273"/>
      <c r="I177" s="394">
        <v>202</v>
      </c>
      <c r="J177" s="273" t="s">
        <v>2641</v>
      </c>
      <c r="K177" s="273"/>
      <c r="L177" s="273"/>
      <c r="M177" s="273"/>
    </row>
    <row r="178" spans="1:13">
      <c r="A178" s="273" t="s">
        <v>719</v>
      </c>
      <c r="B178" s="273"/>
      <c r="C178" s="2477">
        <v>1944030</v>
      </c>
      <c r="D178" s="1138" t="s">
        <v>726</v>
      </c>
      <c r="E178" s="68"/>
      <c r="F178" s="273"/>
      <c r="G178" s="273"/>
      <c r="H178" s="273"/>
      <c r="I178" s="394">
        <v>201</v>
      </c>
      <c r="J178" s="273" t="s">
        <v>727</v>
      </c>
      <c r="K178" s="273"/>
      <c r="L178" s="273"/>
      <c r="M178" s="273"/>
    </row>
    <row r="179" spans="1:13">
      <c r="A179" s="273" t="s">
        <v>719</v>
      </c>
      <c r="B179" s="273"/>
      <c r="C179" s="2477">
        <v>2800000</v>
      </c>
      <c r="D179" s="1138" t="s">
        <v>728</v>
      </c>
      <c r="E179" s="68"/>
      <c r="F179" s="273"/>
      <c r="G179" s="273"/>
      <c r="H179" s="273"/>
      <c r="I179" s="394" t="s">
        <v>729</v>
      </c>
      <c r="J179" s="273" t="s">
        <v>730</v>
      </c>
      <c r="K179" s="273"/>
      <c r="L179" s="273"/>
      <c r="M179" s="273"/>
    </row>
    <row r="180" spans="1:13">
      <c r="A180" s="273" t="s">
        <v>719</v>
      </c>
      <c r="B180" s="2441"/>
      <c r="C180" s="2477">
        <v>2850000</v>
      </c>
      <c r="D180" s="1138" t="s">
        <v>731</v>
      </c>
      <c r="E180" s="68"/>
      <c r="F180" s="273"/>
      <c r="G180" s="273"/>
      <c r="H180" s="273"/>
      <c r="I180" s="394"/>
      <c r="J180" s="273" t="s">
        <v>732</v>
      </c>
      <c r="K180" s="273"/>
      <c r="L180" s="273"/>
      <c r="M180" s="273"/>
    </row>
    <row r="181" spans="1:13">
      <c r="A181" s="273" t="s">
        <v>719</v>
      </c>
      <c r="B181" s="2441"/>
      <c r="C181" s="2477">
        <v>2850000</v>
      </c>
      <c r="D181" s="1138" t="s">
        <v>733</v>
      </c>
      <c r="E181" s="68"/>
      <c r="F181" s="273"/>
      <c r="G181" s="273"/>
      <c r="H181" s="273"/>
      <c r="I181" s="394" t="s">
        <v>687</v>
      </c>
      <c r="J181" s="273" t="s">
        <v>734</v>
      </c>
      <c r="K181" s="273"/>
      <c r="L181" s="273"/>
      <c r="M181" s="273"/>
    </row>
    <row r="182" spans="1:13">
      <c r="A182" s="273" t="s">
        <v>719</v>
      </c>
      <c r="B182" s="2441"/>
      <c r="C182" s="2477">
        <v>1490000</v>
      </c>
      <c r="D182" s="1138" t="s">
        <v>735</v>
      </c>
      <c r="E182" s="68"/>
      <c r="F182" s="273"/>
      <c r="G182" s="273"/>
      <c r="H182" s="273"/>
      <c r="I182" s="273"/>
      <c r="J182" s="273" t="s">
        <v>736</v>
      </c>
      <c r="K182" s="273"/>
      <c r="L182" s="273"/>
      <c r="M182" s="273"/>
    </row>
    <row r="183" spans="1:13">
      <c r="A183" s="273" t="s">
        <v>719</v>
      </c>
      <c r="B183" s="2441"/>
      <c r="C183" s="2477">
        <v>2980000</v>
      </c>
      <c r="D183" s="1138" t="s">
        <v>737</v>
      </c>
      <c r="E183" s="68"/>
      <c r="F183" s="273"/>
      <c r="G183" s="273"/>
      <c r="H183" s="273"/>
      <c r="I183" s="273"/>
      <c r="J183" s="273" t="s">
        <v>738</v>
      </c>
      <c r="K183" s="273"/>
      <c r="L183" s="273"/>
      <c r="M183" s="273"/>
    </row>
    <row r="184" spans="1:13">
      <c r="A184" s="273" t="s">
        <v>719</v>
      </c>
      <c r="B184" s="2441"/>
      <c r="C184" s="2477">
        <v>36000</v>
      </c>
      <c r="D184" s="1138" t="s">
        <v>739</v>
      </c>
      <c r="E184" s="68"/>
      <c r="F184" s="273"/>
      <c r="G184" s="273"/>
      <c r="H184" s="273"/>
      <c r="I184" s="273"/>
      <c r="J184" s="273" t="s">
        <v>736</v>
      </c>
      <c r="K184" s="273"/>
      <c r="L184" s="273"/>
      <c r="M184" s="273"/>
    </row>
    <row r="185" spans="1:13">
      <c r="A185" s="273" t="s">
        <v>719</v>
      </c>
      <c r="B185" s="2441"/>
      <c r="C185" s="2477">
        <v>25000</v>
      </c>
      <c r="D185" s="1138" t="s">
        <v>740</v>
      </c>
      <c r="E185" s="68"/>
      <c r="F185" s="273"/>
      <c r="G185" s="273"/>
      <c r="H185" s="273"/>
      <c r="I185" s="273"/>
      <c r="J185" s="273" t="s">
        <v>738</v>
      </c>
      <c r="K185" s="273"/>
      <c r="L185" s="273"/>
      <c r="M185" s="273"/>
    </row>
    <row r="186" spans="1:13">
      <c r="B186" s="264"/>
      <c r="C186" s="271"/>
    </row>
    <row r="187" spans="1:13">
      <c r="A187" s="267" t="s">
        <v>1187</v>
      </c>
      <c r="B187" s="267"/>
      <c r="C187" s="2470">
        <f>N(Aggregate_Basis)</f>
        <v>0</v>
      </c>
      <c r="D187" s="2473" t="s">
        <v>3256</v>
      </c>
      <c r="E187" s="2474"/>
      <c r="F187" s="267"/>
      <c r="G187" s="267"/>
      <c r="H187" s="267"/>
      <c r="I187" s="267"/>
      <c r="J187" s="267"/>
      <c r="K187" s="267"/>
      <c r="L187" s="267"/>
      <c r="M187" s="267"/>
    </row>
    <row r="188" spans="1:13" ht="25.15" customHeight="1">
      <c r="A188" s="251" t="s">
        <v>1187</v>
      </c>
      <c r="B188" s="2471" t="s">
        <v>3259</v>
      </c>
      <c r="C188" s="2472"/>
      <c r="D188" s="1138"/>
      <c r="E188" s="748"/>
      <c r="F188" s="251"/>
      <c r="G188" s="251"/>
      <c r="H188" s="251"/>
      <c r="I188" s="251"/>
      <c r="J188" s="251"/>
      <c r="K188" s="251"/>
      <c r="L188" s="251"/>
      <c r="M188" s="251"/>
    </row>
    <row r="189" spans="1:13">
      <c r="A189" s="251" t="s">
        <v>1187</v>
      </c>
      <c r="B189" s="251" t="s">
        <v>860</v>
      </c>
      <c r="C189" s="2477">
        <v>75000000</v>
      </c>
      <c r="D189" s="1138" t="s">
        <v>3257</v>
      </c>
      <c r="E189" s="748"/>
      <c r="F189" s="251"/>
      <c r="G189" s="251"/>
      <c r="H189" s="251"/>
      <c r="I189" s="251"/>
      <c r="J189" s="251"/>
      <c r="K189" s="251"/>
      <c r="L189" s="251"/>
      <c r="M189" s="251"/>
    </row>
    <row r="190" spans="1:13">
      <c r="A190" s="251" t="s">
        <v>1187</v>
      </c>
      <c r="B190" s="251" t="s">
        <v>862</v>
      </c>
      <c r="C190" s="2478">
        <v>0.5</v>
      </c>
      <c r="D190" s="1138" t="s">
        <v>3258</v>
      </c>
      <c r="E190" s="748"/>
      <c r="F190" s="251"/>
      <c r="G190" s="251"/>
      <c r="H190" s="251"/>
      <c r="I190" s="251"/>
      <c r="J190" s="251"/>
      <c r="K190" s="251"/>
      <c r="L190" s="251"/>
      <c r="M190" s="251"/>
    </row>
    <row r="191" spans="1:13">
      <c r="A191" s="2495" t="s">
        <v>1187</v>
      </c>
      <c r="B191" s="2495" t="s">
        <v>862</v>
      </c>
      <c r="C191" s="2496">
        <f>C190*C$187</f>
        <v>0</v>
      </c>
      <c r="D191" s="2497" t="s">
        <v>3260</v>
      </c>
      <c r="E191" s="2498"/>
      <c r="F191" s="2495"/>
      <c r="G191" s="2495"/>
      <c r="H191" s="2495"/>
      <c r="I191" s="2495"/>
      <c r="J191" s="251" t="s">
        <v>3299</v>
      </c>
      <c r="K191" s="251"/>
      <c r="L191" s="251"/>
      <c r="M191" s="251"/>
    </row>
    <row r="192" spans="1:13">
      <c r="A192" s="251" t="s">
        <v>1187</v>
      </c>
      <c r="B192" s="251" t="s">
        <v>862</v>
      </c>
      <c r="C192" s="2478">
        <v>0.3</v>
      </c>
      <c r="D192" s="1138" t="s">
        <v>3265</v>
      </c>
      <c r="E192" s="748"/>
      <c r="F192" s="251"/>
      <c r="G192" s="251"/>
      <c r="H192" s="251"/>
      <c r="I192" s="251"/>
      <c r="J192" s="251"/>
      <c r="K192" s="251"/>
      <c r="L192" s="251"/>
      <c r="M192" s="251"/>
    </row>
    <row r="193" spans="1:13">
      <c r="A193" s="2495" t="s">
        <v>1187</v>
      </c>
      <c r="B193" s="2495" t="s">
        <v>862</v>
      </c>
      <c r="C193" s="2496">
        <f>C192*C$187</f>
        <v>0</v>
      </c>
      <c r="D193" s="2497" t="s">
        <v>3266</v>
      </c>
      <c r="E193" s="2498"/>
      <c r="F193" s="2495"/>
      <c r="G193" s="2495"/>
      <c r="H193" s="2495"/>
      <c r="I193" s="2495"/>
      <c r="J193" s="251" t="s">
        <v>3299</v>
      </c>
      <c r="K193" s="251"/>
      <c r="L193" s="251"/>
      <c r="M193" s="251"/>
    </row>
    <row r="194" spans="1:13">
      <c r="A194" s="2495" t="s">
        <v>1187</v>
      </c>
      <c r="B194" s="2495" t="s">
        <v>868</v>
      </c>
      <c r="C194" s="2496">
        <f>N(PermAnalysis__1st_Mtg)</f>
        <v>0</v>
      </c>
      <c r="D194" s="2497" t="s">
        <v>3262</v>
      </c>
      <c r="E194" s="2498"/>
      <c r="F194" s="2495"/>
      <c r="G194" s="2495"/>
      <c r="H194" s="2495"/>
      <c r="I194" s="2495"/>
      <c r="J194" s="251" t="s">
        <v>3299</v>
      </c>
      <c r="K194" s="251"/>
      <c r="L194" s="251"/>
      <c r="M194" s="251"/>
    </row>
    <row r="195" spans="1:13">
      <c r="A195" s="251" t="s">
        <v>1187</v>
      </c>
      <c r="B195" s="251" t="s">
        <v>868</v>
      </c>
      <c r="C195" s="2468">
        <f>MAX($C$197*$C$187,PermAnalysis__1st_Mtg)</f>
        <v>0</v>
      </c>
      <c r="D195" s="1138" t="str">
        <f>"The greater of "&amp;TEXT($C$197,"0%")&amp;" of Aggregate Basis ("&amp;TEXT($C$197*$C$187,"$#,##0.00")&amp;"), or the Permanent First Mortgage Amount ("&amp;TEXT(PermAnalysis__1st_Mtg,"$#,##0.00")&amp;")."</f>
        <v>The greater of 30% of Aggregate Basis ($0.00), or the Permanent First Mortgage Amount ().</v>
      </c>
      <c r="E195" s="748"/>
      <c r="F195" s="251"/>
      <c r="G195" s="251"/>
      <c r="H195" s="251"/>
      <c r="I195" s="251"/>
      <c r="J195" s="251"/>
      <c r="K195" s="251"/>
      <c r="L195" s="251"/>
      <c r="M195" s="251"/>
    </row>
    <row r="196" spans="1:13" ht="25.15" customHeight="1">
      <c r="A196" s="251" t="s">
        <v>1187</v>
      </c>
      <c r="B196" s="2471" t="s">
        <v>3263</v>
      </c>
      <c r="C196" s="2472"/>
      <c r="D196" s="1138"/>
      <c r="E196" s="748"/>
      <c r="F196" s="251"/>
      <c r="G196" s="251"/>
      <c r="H196" s="251"/>
      <c r="I196" s="251"/>
      <c r="J196" s="251"/>
      <c r="K196" s="251"/>
      <c r="L196" s="251"/>
      <c r="M196" s="251"/>
    </row>
    <row r="197" spans="1:13">
      <c r="A197" s="251" t="s">
        <v>1187</v>
      </c>
      <c r="B197" s="251" t="s">
        <v>868</v>
      </c>
      <c r="C197" s="2478">
        <v>0.3</v>
      </c>
      <c r="D197" s="1138" t="s">
        <v>3261</v>
      </c>
      <c r="E197" s="748"/>
      <c r="F197" s="251"/>
      <c r="G197" s="251"/>
      <c r="H197" s="251"/>
      <c r="I197" s="251"/>
      <c r="J197" s="251"/>
      <c r="K197" s="251"/>
      <c r="L197" s="251"/>
      <c r="M197" s="251"/>
    </row>
    <row r="198" spans="1:13" ht="25.15" customHeight="1">
      <c r="A198" s="251" t="s">
        <v>1187</v>
      </c>
      <c r="B198" s="2475" t="s">
        <v>3264</v>
      </c>
      <c r="C198" s="2469"/>
      <c r="D198" s="1138"/>
      <c r="E198" s="748"/>
      <c r="F198" s="251"/>
      <c r="G198" s="251"/>
      <c r="H198" s="251"/>
      <c r="I198" s="251"/>
      <c r="J198" s="251"/>
      <c r="K198" s="251"/>
      <c r="L198" s="251"/>
      <c r="M198" s="251"/>
    </row>
    <row r="199" spans="1:13" ht="20.25" customHeight="1">
      <c r="A199" s="251" t="s">
        <v>1187</v>
      </c>
      <c r="B199" s="251"/>
      <c r="C199" s="2468">
        <f>MIN($C$189,IF(Development_Category="New Construction",$C$190,$C$192)*Aggregate_Basis,MAX($C$197*Aggregate_Basis,PermAnalysis__1st_Mtg))</f>
        <v>0</v>
      </c>
      <c r="D199" s="2476" t="str">
        <f>"The lesser of (a) the maximum request amount ("&amp;TEXT($C$189,"$#,##0")&amp;"), (b) "&amp;TEXT(IF(Development_Category="New Construction",$C$190,$C$192),"0%")&amp;" of Aggregate Basis ("&amp;TEXT(IF(Development_Category="New Construction",$C$190,$C$192)*$C$187,"$#,##0.00")&amp;"), or (c) the amount above in cell C"&amp;ROW($C$195)&amp;" ("&amp;TEXT($C$195,"$#,##0.00")&amp;")."</f>
        <v>The lesser of (a) the maximum request amount ($75,000,000), (b) 30% of Aggregate Basis ($0.00), or (c) the amount above in cell C195 ($0.00).</v>
      </c>
      <c r="E199" s="748"/>
      <c r="F199" s="251"/>
      <c r="G199" s="251"/>
      <c r="H199" s="251"/>
      <c r="I199" s="251"/>
      <c r="J199" s="251"/>
      <c r="K199" s="251"/>
      <c r="L199" s="251"/>
      <c r="M199" s="251"/>
    </row>
    <row r="201" spans="1:13" ht="15" thickBot="1">
      <c r="A201" s="2796" t="s">
        <v>741</v>
      </c>
      <c r="B201" s="2797"/>
      <c r="C201" s="2797"/>
      <c r="D201" s="2797"/>
      <c r="E201" s="2797"/>
      <c r="F201" s="2797"/>
      <c r="G201" s="2798"/>
      <c r="H201" s="1529" t="s">
        <v>742</v>
      </c>
      <c r="J201" s="1616" t="s">
        <v>2378</v>
      </c>
      <c r="K201" s="1617" t="s">
        <v>3267</v>
      </c>
      <c r="L201" s="1617" t="s">
        <v>3267</v>
      </c>
    </row>
    <row r="202" spans="1:13">
      <c r="J202" s="1613" t="s">
        <v>2380</v>
      </c>
      <c r="K202" s="1614">
        <v>0.09</v>
      </c>
      <c r="L202" s="1614">
        <v>0.04</v>
      </c>
    </row>
    <row r="203" spans="1:13">
      <c r="A203" t="s">
        <v>743</v>
      </c>
      <c r="G203" s="1564"/>
      <c r="J203" s="1564"/>
      <c r="K203" s="1564"/>
      <c r="L203" s="1564"/>
    </row>
    <row r="204" spans="1:13">
      <c r="A204" t="s">
        <v>744</v>
      </c>
      <c r="G204" s="317">
        <v>1.1100000000000001</v>
      </c>
      <c r="H204" t="s">
        <v>745</v>
      </c>
      <c r="J204" s="1613" t="s">
        <v>2386</v>
      </c>
      <c r="K204" s="1615" t="s">
        <v>670</v>
      </c>
      <c r="L204" s="1614">
        <v>1.1100000000000001</v>
      </c>
    </row>
    <row r="205" spans="1:13">
      <c r="A205" t="s">
        <v>746</v>
      </c>
      <c r="G205" s="317">
        <v>0.88</v>
      </c>
      <c r="J205" s="1613" t="s">
        <v>289</v>
      </c>
      <c r="K205" s="1614">
        <v>0.88</v>
      </c>
      <c r="L205" s="1614">
        <v>0.88</v>
      </c>
    </row>
    <row r="206" spans="1:13">
      <c r="A206" t="s">
        <v>2982</v>
      </c>
      <c r="G206" s="2480">
        <f>(1-IFERROR(MIN(10%,20%*(SUM('Units, Set-Asides, Bldgs'!H107:H109)+SUM('Units, Set-Asides, Bldgs'!H117:H121)+SUMPRODUCT('Units, Set-Asides, Bldgs'!H110:H116,'Units, Set-Asides, Bldgs'!O110:O116)+Five_Bed_Total_Units*'Units, Set-Asides, Bldgs'!O122)/'Units, Set-Asides, Bldgs'!H123),0))*IF(OR(Demographic="Elderly Non-ALF",Demographic="Elderly ALF"),0.95,1)</f>
        <v>1</v>
      </c>
      <c r="H206" t="s">
        <v>3268</v>
      </c>
      <c r="J206" s="1613" t="s">
        <v>2981</v>
      </c>
      <c r="K206" s="2507">
        <f>(1-IFERROR(MIN(10%,20%*(SUM('Units, Set-Asides, Bldgs'!L107:L109)+SUM('Units, Set-Asides, Bldgs'!L117:L121)+SUMPRODUCT('Units, Set-Asides, Bldgs'!L110:L116,'Units, Set-Asides, Bldgs'!S110:S116)+Five_Bed_Total_Units*'Units, Set-Asides, Bldgs'!S122)/'Units, Set-Asides, Bldgs'!L123),0))*IF(OR(Demographic="Elderly Non-ALF",Demographic="Elderly ALF"),0.95,1)</f>
        <v>1</v>
      </c>
      <c r="L206" s="2507">
        <f>(1-IFERROR(MIN(10%,20%*(SUM('Units, Set-Asides, Bldgs'!M107:M109)+SUM('Units, Set-Asides, Bldgs'!M117:M121)+SUMPRODUCT('Units, Set-Asides, Bldgs'!M110:M116,'Units, Set-Asides, Bldgs'!T110:T116)+Five_Bed_Total_Units*'Units, Set-Asides, Bldgs'!T122)/'Units, Set-Asides, Bldgs'!M123),0))*IF(OR(Demographic="Elderly Non-ALF",Demographic="Elderly ALF"),0.95,1)</f>
        <v>1</v>
      </c>
    </row>
    <row r="207" spans="1:13">
      <c r="A207" t="s">
        <v>747</v>
      </c>
      <c r="G207" s="317">
        <v>0.93</v>
      </c>
      <c r="J207" s="1613" t="s">
        <v>2381</v>
      </c>
      <c r="K207" s="1614">
        <v>0.93</v>
      </c>
      <c r="L207" s="1614">
        <v>0.93</v>
      </c>
    </row>
    <row r="208" spans="1:13">
      <c r="A208" t="s">
        <v>748</v>
      </c>
      <c r="G208" s="317">
        <v>0.93</v>
      </c>
      <c r="H208" s="1621" t="s">
        <v>2393</v>
      </c>
      <c r="J208" s="1613" t="s">
        <v>2385</v>
      </c>
      <c r="K208" s="1614">
        <v>0.93</v>
      </c>
      <c r="L208" s="1614">
        <v>0.93</v>
      </c>
    </row>
    <row r="209" spans="1:17">
      <c r="A209" t="s">
        <v>749</v>
      </c>
      <c r="G209" s="317">
        <v>0.86</v>
      </c>
      <c r="H209" s="1597">
        <f>DS_Lev_MP_HR*DS_Lev_MP_ESS</f>
        <v>0.79980000000000007</v>
      </c>
      <c r="J209" s="1613" t="s">
        <v>1374</v>
      </c>
      <c r="K209" s="1614">
        <v>0.95</v>
      </c>
      <c r="L209" s="1614">
        <v>0.86</v>
      </c>
    </row>
    <row r="210" spans="1:17">
      <c r="A210" t="s">
        <v>750</v>
      </c>
      <c r="G210" s="317">
        <v>0.88</v>
      </c>
      <c r="H210" s="1597">
        <f>DS_Lev_MP_MR*DS_Lev_MP_ESS</f>
        <v>0.81840000000000002</v>
      </c>
      <c r="J210" s="1613" t="s">
        <v>2383</v>
      </c>
      <c r="K210" s="1614">
        <v>0.97</v>
      </c>
      <c r="L210" s="1614">
        <v>0.88</v>
      </c>
    </row>
    <row r="211" spans="1:17">
      <c r="A211" t="s">
        <v>751</v>
      </c>
      <c r="G211" s="317">
        <v>0.9</v>
      </c>
      <c r="H211" s="1597">
        <f>DS_Lev_MP_GA*DS_Lev_MP_ESS</f>
        <v>0.83700000000000008</v>
      </c>
      <c r="J211" s="1613" t="s">
        <v>2382</v>
      </c>
      <c r="K211" s="1614">
        <v>1</v>
      </c>
      <c r="L211" s="1614">
        <v>0.9</v>
      </c>
    </row>
    <row r="212" spans="1:17">
      <c r="A212" t="s">
        <v>752</v>
      </c>
      <c r="G212" s="317">
        <v>1</v>
      </c>
      <c r="J212" s="1613" t="s">
        <v>2384</v>
      </c>
      <c r="K212" s="1614">
        <v>1</v>
      </c>
      <c r="L212" s="1614">
        <v>1</v>
      </c>
    </row>
    <row r="214" spans="1:17">
      <c r="A214" s="2796" t="s">
        <v>753</v>
      </c>
      <c r="B214" s="2797"/>
      <c r="C214" s="2797"/>
      <c r="D214" s="2797"/>
      <c r="E214" s="2797"/>
      <c r="F214" s="2797"/>
      <c r="G214" s="2798"/>
      <c r="H214" s="1529" t="str">
        <f>"DON’T MESS WITH THIS SECTION EXCEPT FOR ROW "&amp;ROW(DS_FLJobs_Min_Score1)</f>
        <v>DON’T MESS WITH THIS SECTION EXCEPT FOR ROW 216</v>
      </c>
    </row>
    <row r="215" spans="1:17">
      <c r="L215" s="2443" t="s">
        <v>3231</v>
      </c>
      <c r="M215" s="1678" t="s">
        <v>2379</v>
      </c>
      <c r="N215" s="1679" t="s">
        <v>2518</v>
      </c>
      <c r="O215" s="1679" t="s">
        <v>715</v>
      </c>
      <c r="P215" s="1679" t="s">
        <v>710</v>
      </c>
      <c r="Q215" s="1679" t="s">
        <v>2519</v>
      </c>
    </row>
    <row r="216" spans="1:17">
      <c r="A216" t="s">
        <v>754</v>
      </c>
      <c r="F216" s="1597"/>
      <c r="G216" s="317">
        <v>12.6</v>
      </c>
    </row>
    <row r="217" spans="1:17">
      <c r="A217" t="s">
        <v>755</v>
      </c>
      <c r="G217" s="317">
        <v>11</v>
      </c>
      <c r="H217" s="331" t="s">
        <v>756</v>
      </c>
    </row>
    <row r="218" spans="1:17">
      <c r="A218" t="s">
        <v>757</v>
      </c>
      <c r="F218" s="1597"/>
      <c r="G218" s="318">
        <v>3.1890000000000001</v>
      </c>
      <c r="L218" s="318">
        <v>2.823</v>
      </c>
      <c r="M218" s="318">
        <v>4.3739999999999997</v>
      </c>
      <c r="N218" s="318">
        <v>2.944</v>
      </c>
      <c r="O218" s="318">
        <v>3.1709999999999998</v>
      </c>
      <c r="P218" s="318">
        <v>3.1840000000000002</v>
      </c>
      <c r="Q218" s="318">
        <v>3.298</v>
      </c>
    </row>
    <row r="219" spans="1:17">
      <c r="A219" t="s">
        <v>758</v>
      </c>
      <c r="F219" s="1597"/>
      <c r="G219" s="318">
        <v>1.4570000000000001</v>
      </c>
      <c r="L219" s="318">
        <v>1.52</v>
      </c>
      <c r="M219" s="318">
        <v>1.5640000000000001</v>
      </c>
      <c r="N219" s="318">
        <v>1.494</v>
      </c>
      <c r="O219" s="318">
        <v>1.6020000000000001</v>
      </c>
      <c r="P219" s="318">
        <v>1.5720000000000001</v>
      </c>
      <c r="Q219" s="318">
        <v>1.58</v>
      </c>
    </row>
    <row r="220" spans="1:17">
      <c r="A220" t="s">
        <v>759</v>
      </c>
      <c r="F220" s="1597"/>
      <c r="G220" s="318">
        <v>1.3440000000000001</v>
      </c>
      <c r="L220" s="318">
        <v>0.95399999999999996</v>
      </c>
      <c r="M220" s="318">
        <v>1.542</v>
      </c>
      <c r="N220" s="318">
        <v>1.7310000000000001</v>
      </c>
      <c r="O220" s="318">
        <v>2.5129999999999999</v>
      </c>
      <c r="P220" s="318">
        <v>2.1539999999999999</v>
      </c>
      <c r="Q220" s="318">
        <v>2.157</v>
      </c>
    </row>
    <row r="221" spans="1:17">
      <c r="A221" t="s">
        <v>760</v>
      </c>
      <c r="F221" s="1597"/>
      <c r="G221" s="318">
        <v>3.766</v>
      </c>
      <c r="L221" s="318">
        <v>3.0659999999999998</v>
      </c>
      <c r="M221" s="318">
        <v>2.754</v>
      </c>
      <c r="N221" s="318">
        <v>2.7690000000000001</v>
      </c>
      <c r="O221" s="318">
        <v>2.9260000000000002</v>
      </c>
      <c r="P221" s="318">
        <v>2.8330000000000002</v>
      </c>
      <c r="Q221" s="318">
        <v>2.8650000000000002</v>
      </c>
    </row>
    <row r="222" spans="1:17">
      <c r="A222" t="s">
        <v>743</v>
      </c>
      <c r="G222" s="319">
        <f>G203</f>
        <v>0</v>
      </c>
      <c r="L222" s="319">
        <v>8.5</v>
      </c>
      <c r="M222" s="1680">
        <v>8.5</v>
      </c>
      <c r="N222" s="1680">
        <v>9</v>
      </c>
      <c r="O222" s="1680">
        <v>9</v>
      </c>
      <c r="P222" s="1680">
        <v>9</v>
      </c>
      <c r="Q222" s="1681"/>
    </row>
    <row r="223" spans="1:17">
      <c r="A223" t="s">
        <v>2290</v>
      </c>
      <c r="G223" s="318" t="s">
        <v>436</v>
      </c>
      <c r="H223" s="106">
        <f>IF(Inclusive_of_ELI="Yes",1,0)</f>
        <v>0</v>
      </c>
      <c r="I223" s="308" t="s">
        <v>2291</v>
      </c>
    </row>
    <row r="224" spans="1:17">
      <c r="A224" t="s">
        <v>761</v>
      </c>
      <c r="G224" s="887" t="str">
        <f>IF(Funding!M281=0,"No","Yes")</f>
        <v>No</v>
      </c>
      <c r="H224" s="823">
        <f>IF(DS_FLJobs_HC="Yes",1,0)</f>
        <v>0</v>
      </c>
    </row>
    <row r="225" spans="1:22">
      <c r="A225" t="s">
        <v>762</v>
      </c>
      <c r="G225" s="887" t="str">
        <f>IF(Funding!L4=0,"No","Yes")</f>
        <v>No</v>
      </c>
      <c r="H225" s="823">
        <f>IF(DS_FLJobs_Workforce="Yes",1,0)</f>
        <v>0</v>
      </c>
    </row>
    <row r="226" spans="1:22">
      <c r="A226" t="s">
        <v>763</v>
      </c>
      <c r="G226" s="887" t="str">
        <f>IF(Funding!L21=0,"No","Yes")</f>
        <v>Yes</v>
      </c>
      <c r="H226" s="823">
        <f>IF(DS_FLJobs_SAIL="Yes",1,0)</f>
        <v>1</v>
      </c>
    </row>
    <row r="227" spans="1:22">
      <c r="A227" t="s">
        <v>1723</v>
      </c>
      <c r="G227" s="887" t="str">
        <f>IF(Funding!L69=0,"No","Yes")</f>
        <v>No</v>
      </c>
      <c r="H227" s="823">
        <f>IF(DS_FLJobs_RRLP="Yes",1,0)</f>
        <v>0</v>
      </c>
    </row>
    <row r="228" spans="1:22">
      <c r="A228" t="s">
        <v>764</v>
      </c>
      <c r="G228" s="887" t="str">
        <f>IF(Funding!L116=0,"No","Yes")</f>
        <v>No</v>
      </c>
      <c r="H228" s="823">
        <f>IF(DS_FLJobs_HOME="Yes",1,0)</f>
        <v>0</v>
      </c>
    </row>
    <row r="229" spans="1:22">
      <c r="A229" t="s">
        <v>765</v>
      </c>
      <c r="G229" s="887" t="str">
        <f>IF(Funding!$L$167+SUM(Funding!$L$179:$L$183)+Funding!$L$191=0,"No","Yes")</f>
        <v>No</v>
      </c>
      <c r="H229" s="823">
        <f>IF(DS_FLJobs_HOME_ARP="Yes",1,0)</f>
        <v>0</v>
      </c>
    </row>
    <row r="230" spans="1:22">
      <c r="A230" t="s">
        <v>766</v>
      </c>
      <c r="G230" s="887" t="str">
        <f>IF(Funding!L205=0,"No","Yes")</f>
        <v>No</v>
      </c>
      <c r="H230" s="823">
        <f>IF(DS_FLJobs_Grant="Yes",1,0)</f>
        <v>0</v>
      </c>
      <c r="I230" s="308" t="s">
        <v>767</v>
      </c>
    </row>
    <row r="231" spans="1:22">
      <c r="A231" t="s">
        <v>1754</v>
      </c>
      <c r="G231" s="887" t="str">
        <f>IF(Funding!L213+Funding!L228+Funding!L230=0,"No","Yes")</f>
        <v>No</v>
      </c>
      <c r="H231" s="823">
        <f>IF(DS_FLJobs_NHTF="Yes",1,0)</f>
        <v>0</v>
      </c>
      <c r="I231" s="308"/>
    </row>
    <row r="232" spans="1:22">
      <c r="A232" t="s">
        <v>1753</v>
      </c>
      <c r="G232" s="887" t="str">
        <f>IF(Funding!L239+Funding!M241+Funding!M248=0,"No","Yes")</f>
        <v>No</v>
      </c>
      <c r="H232" s="823">
        <f>IF(DS_FLJobs_CDBG_DR="Yes",1,0)</f>
        <v>0</v>
      </c>
      <c r="I232" s="308"/>
    </row>
    <row r="233" spans="1:22">
      <c r="A233" t="s">
        <v>768</v>
      </c>
      <c r="G233" s="568">
        <f>ROUND(IF(N(Eligible_Competitive_HC_Request_Amount)*DS_FLJobs_MP_HC*H224+N(Eligible_Workforce_Request_Amount)*H225+(N(Eligible_SAIL_Request_Amount)+N(Eligible_ELI_Request_Amount)*N(H223))*H226+(N(Eligible_RRLP_Base_Request_Amount)+N(Eligible_RRLP_ELI_Request_Amount)*N(H223))*H227+N(Eligible_HOME_Request_Amount)*H228+N(Eligible_ARP_Request_Amount)*H229+N(Eligible_Grant_Request_Amount)*H230+N(Eligible_NHTF_Request_Amount)*H231+SUM(N(Eligible_CDBG_DR_Dev_Request_Amount),N(Eligible_CDBG_DR_Land_Request_Amount))*H232=0,0,((SUM('Proposed Development Info'!H138:H146)-SUM('Proposed Development Info'!H143:H144))*DS_FLJobs_MFNC+SUM('Proposed Development Info'!H143:H144)*DS_FLJobs_SFNC+SUM('Proposed Development Info'!H147:H153)*DS_FLJobs_MFAR+SUM('Proposed Development Info'!H154:H160)*DS_FLJobs_MFRO)*1000000/(N(Eligible_Competitive_HC_Request_Amount)*DS_FLJobs_MP_HC*H224+N(Eligible_Workforce_Request_Amount)*H225+(N(Eligible_SAIL_Request_Amount)+N(Eligible_ELI_Request_Amount)*N(H223))*H226+(N(Eligible_RRLP_Base_Request_Amount)+N(Eligible_RRLP_ELI_Request_Amount)*N(H223))*H227+N(Eligible_HOME_Request_Amount)*H228+N(Eligible_ARP_Request_Amount)*H229+N(Eligible_Grant_Request_Amount)*H230+N(Eligible_NHTF_Request_Amount)*H231+SUM(N(Eligible_CDBG_DR_Dev_Request_Amount),N(Eligible_CDBG_DR_Land_Request_Amount))*H232)),2)</f>
        <v>0</v>
      </c>
      <c r="H233" s="1144" t="s">
        <v>1530</v>
      </c>
    </row>
    <row r="235" spans="1:22">
      <c r="A235" s="2796" t="s">
        <v>769</v>
      </c>
      <c r="B235" s="2797"/>
      <c r="C235" s="2797"/>
      <c r="D235" s="2797"/>
      <c r="E235" s="2797"/>
      <c r="F235" s="2797"/>
      <c r="G235" s="2798"/>
      <c r="H235" s="1529" t="s">
        <v>742</v>
      </c>
      <c r="K235" s="799"/>
    </row>
    <row r="237" spans="1:22">
      <c r="A237" t="s">
        <v>770</v>
      </c>
      <c r="F237" s="1597"/>
      <c r="G237" s="290">
        <v>0.14000000000000001</v>
      </c>
      <c r="K237" s="989" t="s">
        <v>2911</v>
      </c>
      <c r="L237" s="2823" t="str">
        <f>IF(DS_MaxDevFeeODR_Percent=5%,"The Maximum Developer Fee of "&amp;TEXT(J242,"$#,##0")&amp;" is calculated as the sum of "&amp;TEXT(N(DS_MaxDevFeeAcq_Percent),"0%")&amp;" Maximum Developer Fee on Acquisition Costs ("&amp;TEXT(H242,"$#,##0")&amp;") and "&amp;TEXT(N(DS_MaxDevFeeNonAcq_Percent),"0%")&amp;" Maximum Developer Fee on non-Acquisition Costs ("&amp;TEXT(H241,"$#,##0")&amp;") plus an additional 5% on Acquisition and non-Acquisition Costs ("&amp;TEXT(I241+I242,"$#,##0")&amp;").",IF(AND(Non_Competitive_HC_Request_Amount&gt;0,Funding!M310&gt;0,SUM(SUM(Rehab_Unit_Count))&gt;0),"The Maximum Developer Fee is calculated as the lesser of a) the sum of the Rehab sublimits: 36% "&amp;IF(SUM(NC_Unit_Count)&gt;0,"pro rata ","")&amp;"Hard Costs ("&amp;TEXT(H244,"$#,##0")&amp;"), 18% Soft Costs ("&amp;TEXT(H245,"$#,##0")&amp;"), and 9% Acquisition Costs ("&amp;TEXT(H246,"$#,##0")&amp;")"&amp;IF(SUM(NC_Unit_Count)&gt;0," plus New Construction sublimit: 18% of pro rata Hard Costs ("&amp;TEXT(H243,"$#,##0")&amp;")","")&amp;", or b) 18% Development Cost ("&amp;TEXT(J242,"$#,##0")&amp;").","The Maximum Developer Fee of "&amp;TEXT(J242,"$#,##0")&amp;" is calculated as the sum of "&amp;TEXT(N(DS_MaxDevFeeAcq_Percent),"0%")&amp;" Maximum Developer Fee on Acquisition Costs ("&amp;TEXT(H242,"$#,##0")&amp;") and "&amp;TEXT(N(DS_MaxDevFeeNonAcq_Percent),"0%")&amp;" Maximum Developer Fee on non-Acquisition Costs ("&amp;TEXT(H241,"$#,##0")&amp;")."))</f>
        <v>The Maximum Developer Fee of $0 is calculated as the sum of 18% Maximum Developer Fee on Acquisition Costs ($0) and 18% Maximum Developer Fee on non-Acquisition Costs ($0).</v>
      </c>
      <c r="M237" s="2823"/>
      <c r="N237" s="2823"/>
      <c r="O237" s="2823"/>
      <c r="P237" s="2823"/>
      <c r="Q237" s="2823"/>
      <c r="R237" s="2823"/>
      <c r="S237" s="2823"/>
      <c r="T237" s="2823"/>
      <c r="U237" s="2823"/>
      <c r="V237" s="2823"/>
    </row>
    <row r="238" spans="1:22">
      <c r="A238" s="2510" t="s">
        <v>771</v>
      </c>
      <c r="B238" s="2510"/>
      <c r="C238" s="2510"/>
      <c r="D238" s="2510"/>
      <c r="E238" s="2511"/>
      <c r="G238" s="2514">
        <v>0.05</v>
      </c>
      <c r="L238" s="2823"/>
      <c r="M238" s="2823"/>
      <c r="N238" s="2823"/>
      <c r="O238" s="2823"/>
      <c r="P238" s="2823"/>
      <c r="Q238" s="2823"/>
      <c r="R238" s="2823"/>
      <c r="S238" s="2823"/>
      <c r="T238" s="2823"/>
      <c r="U238" s="2823"/>
      <c r="V238" s="2823"/>
    </row>
    <row r="239" spans="1:22">
      <c r="A239" t="s">
        <v>772</v>
      </c>
      <c r="F239" s="1597"/>
      <c r="G239" s="290">
        <v>0.15</v>
      </c>
      <c r="L239" s="2823"/>
      <c r="M239" s="2823"/>
      <c r="N239" s="2823"/>
      <c r="O239" s="2823"/>
      <c r="P239" s="2823"/>
      <c r="Q239" s="2823"/>
      <c r="R239" s="2823"/>
      <c r="S239" s="2823"/>
      <c r="T239" s="2823"/>
      <c r="U239" s="2823"/>
      <c r="V239" s="2823"/>
    </row>
    <row r="240" spans="1:22" ht="15" thickBot="1">
      <c r="A240" s="2240" t="s">
        <v>773</v>
      </c>
      <c r="B240" s="2240"/>
      <c r="C240" s="2240"/>
      <c r="D240" s="2240"/>
      <c r="E240" s="2241"/>
      <c r="F240" s="2509"/>
      <c r="G240" s="2242">
        <v>0.05</v>
      </c>
      <c r="H240" s="2240"/>
      <c r="I240" s="2271" t="s">
        <v>3151</v>
      </c>
      <c r="J240" s="2271" t="s">
        <v>2880</v>
      </c>
      <c r="L240" s="2823"/>
      <c r="M240" s="2823"/>
      <c r="N240" s="2823"/>
      <c r="O240" s="2823"/>
      <c r="P240" s="2823"/>
      <c r="Q240" s="2823"/>
      <c r="R240" s="2823"/>
      <c r="S240" s="2823"/>
      <c r="T240" s="2823"/>
      <c r="U240" s="2823"/>
      <c r="V240" s="2823"/>
    </row>
    <row r="241" spans="1:17" ht="15" thickTop="1">
      <c r="A241" s="2510" t="s">
        <v>2882</v>
      </c>
      <c r="B241" s="2510"/>
      <c r="C241" s="2510"/>
      <c r="D241" s="2510"/>
      <c r="E241" s="2511"/>
      <c r="G241" s="2514">
        <v>0.18</v>
      </c>
      <c r="H241" s="2273">
        <f>ROUNDDOWN(N(DS_MaxDevFeeNonAcq_Percent)*(N(Development_Cost_total)-N(Acquisition_total)),0)</f>
        <v>0</v>
      </c>
      <c r="I241" s="2238">
        <f>IF(N(DS_MaxDevFeeODR_Percent)=5%,ROUNDDOWN(N(DS_MaxDevFeeODR_Percent)*(N(Development_Cost_total)-N(Acquisition_total)),0),0)</f>
        <v>0</v>
      </c>
      <c r="J241" s="380"/>
    </row>
    <row r="242" spans="1:17" ht="15" thickBot="1">
      <c r="A242" s="2512" t="s">
        <v>2881</v>
      </c>
      <c r="B242" s="2512"/>
      <c r="C242" s="2512"/>
      <c r="D242" s="2512"/>
      <c r="E242" s="2513"/>
      <c r="F242" s="2240"/>
      <c r="G242" s="2515">
        <f>DS_MaxDevFeeNonAcq_Percent</f>
        <v>0.18</v>
      </c>
      <c r="H242" s="2239">
        <f>ROUNDDOWN(N(DS_MaxDevFeeAcq_Percent)*N(Acquisition_total),0)</f>
        <v>0</v>
      </c>
      <c r="I242" s="2239">
        <f>IF(N(DS_MaxDevFeeODR_Percent)=5%,ROUNDDOWN(N(DS_MaxDevFeeODR_Percent)*N(Acquisition_total),0),0)</f>
        <v>0</v>
      </c>
      <c r="J242" s="2243">
        <f>SUM(H241:I242)</f>
        <v>0</v>
      </c>
      <c r="M242" s="380" t="s">
        <v>3152</v>
      </c>
    </row>
    <row r="243" spans="1:17" ht="15" thickTop="1">
      <c r="A243" t="s">
        <v>3164</v>
      </c>
      <c r="F243" s="1597"/>
      <c r="G243" s="290">
        <v>0.18</v>
      </c>
      <c r="H243" s="2500">
        <f>IFERROR(IF(SUM(NC_Unit_Count)&gt;0,ROUNDDOWN($G$243*(SUM(N(Actual_Demolition_total),N(Actual_Comm_Retail_total),N(Actual_NewConAct_total))+SUM(N(Actual_site_total),N(Actual_Other_total),N(Actual_GCfee_total),N(Contingency_Hard_total))*L250/K250),0),0),"")</f>
        <v>0</v>
      </c>
      <c r="I243" s="585"/>
      <c r="K243" s="989" t="s">
        <v>2913</v>
      </c>
      <c r="L243" s="2411">
        <f>IF(AND(Non_Competitive_HC_Request_Amount&gt;0,Funding!M310&gt;0,SUM(Rehab_Unit_Count)&gt;0),SUM(H243:H245),H241)</f>
        <v>0</v>
      </c>
      <c r="M243" s="2411">
        <f>IFERROR(IF(AND(Non_Competitive_HC_Request_Amount&gt;0,Funding!M310&gt;0,SUM(Rehab_Unit_Count)&gt;0),MIN((H243+H244+H245),(J242-H246)),H241),0)</f>
        <v>0</v>
      </c>
    </row>
    <row r="244" spans="1:17">
      <c r="A244" t="s">
        <v>3165</v>
      </c>
      <c r="F244" s="1597"/>
      <c r="G244" s="290">
        <v>0.36</v>
      </c>
      <c r="H244" s="2500" t="str">
        <f>IFERROR(ROUNDDOWN($G$244*(N(Actual_RehabAct_total)+SUM(N(Actual_site_total),N(Actual_Other_total),N(Actual_GCfee_total),N(Contingency_Hard_total))*M250/K250)+IF(SUM(NC_Unit_Count)=0,ROUNDDOWN($G$244*(SUM(N(Actual_Demolition_total),N(Actual_Comm_Retail_total),N(Actual_NewConAct_total))+SUM(N(Actual_site_total),N(Actual_Other_total),N(Actual_GCfee_total),N(Contingency_Hard_total))*L250/K250),0),0),0),"")</f>
        <v/>
      </c>
      <c r="I244" s="585"/>
      <c r="K244" s="989"/>
      <c r="L244" s="2411"/>
      <c r="M244" s="2411"/>
    </row>
    <row r="245" spans="1:17">
      <c r="A245" t="s">
        <v>2883</v>
      </c>
      <c r="F245" s="1597"/>
      <c r="G245" s="290">
        <v>0.18</v>
      </c>
      <c r="H245" s="2500">
        <f>ROUNDDOWN(G245*(N(General_totaldevelopmentcost_total)+N(Contingency_Soft_total)+N(Financial_totalcosts_total)),0)</f>
        <v>0</v>
      </c>
      <c r="I245" s="585"/>
      <c r="K245" s="989" t="s">
        <v>2912</v>
      </c>
      <c r="L245" s="2411">
        <f>IF(AND(Non_Competitive_HC_Request_Amount&gt;0,Funding!M310&gt;0,SUM(Rehab_Unit_Count)&gt;0),H246,H242)</f>
        <v>0</v>
      </c>
      <c r="M245" s="2411">
        <f>IF(AND(Non_Competitive_HC_Request_Amount&gt;0,Funding!M310&gt;0,SUM(Rehab_Unit_Count)&gt;0),H246,H242)</f>
        <v>0</v>
      </c>
      <c r="P245" s="2298"/>
      <c r="Q245" s="2238"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46" spans="1:17" ht="15" thickBot="1">
      <c r="A246" s="2240" t="s">
        <v>2884</v>
      </c>
      <c r="B246" s="2240"/>
      <c r="C246" s="2240"/>
      <c r="D246" s="2240"/>
      <c r="E246" s="2241"/>
      <c r="F246" s="2509"/>
      <c r="G246" s="2242">
        <v>0.09</v>
      </c>
      <c r="H246" s="2501">
        <f>ROUNDDOWN(G246*(N(Acquisition_total)),0)</f>
        <v>0</v>
      </c>
      <c r="I246" s="2406"/>
      <c r="J246" s="2243">
        <f>SUM(H243:H246)</f>
        <v>0</v>
      </c>
      <c r="K246" s="2272" t="s">
        <v>2914</v>
      </c>
      <c r="L246" s="2413">
        <f>SUM(L243:L245)</f>
        <v>0</v>
      </c>
      <c r="M246" s="2412">
        <f>IF(AND(Non_Competitive_HC_Request_Amount&gt;0,Funding!M310&gt;0,SUM(Rehab_Unit_Count)&gt;0),MIN(J242,J246),J242)</f>
        <v>0</v>
      </c>
      <c r="P246" s="106" t="s">
        <v>2943</v>
      </c>
      <c r="Q246" s="106" t="s">
        <v>635</v>
      </c>
    </row>
    <row r="247" spans="1:17" ht="15" thickTop="1">
      <c r="G247" s="2408"/>
      <c r="J247" s="2407">
        <f>IFERROR(MIN(J242,J246)/N(Development_Cost_total),0)</f>
        <v>0</v>
      </c>
      <c r="O247" t="s">
        <v>2944</v>
      </c>
      <c r="P247" s="2270" t="str">
        <f>IF('Pro Forma'!$E$41=2,IF(N(Developer_fee_acq_eligible)&gt;N(Dev_Fee_Max_Acq),N(Dev_Fee_Max_Acq),IF(AND(N(Developer_fee_acq_eligible)&gt;0,N(Developer_fee_acq_eligible)&lt;N(Dev_Fee_Max_Acq),N(Developer_fee_non_acq_eligible)&gt;N(Dev_Fee_Max_Non_Acq)),MIN(N(Developer_fee_acq_eligible)+N(Developer_fee_non_acq_eligible)-N(Dev_Fee_Max_Non_Acq),N(Dev_Fee_Max_Acq)),IF(AND(N(Developer_fee_acq_eligible)&gt;0,N(Developer_fee_acq_eligible)&lt;N(Dev_Fee_Max_Acq),N(Developer_fee_non_acq_eligible)&lt;N(Dev_Fee_Max_Non_Acq)),N(Developer_fee_acq_eligible),IF(AND(N(Developer_fee_acq_eligible)=0,N(Developer_fee_non_acq_eligible)&gt;0),0,IF(N(Developer_fee_acq_eligible)+N(Developer_fee_non_acq_eligible)=0,N(Dev_Fee_Max_Acq),N(Developer_fee_acq_eligible)))))),"xxx")</f>
        <v>xxx</v>
      </c>
      <c r="Q247" s="2270"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48" spans="1:17">
      <c r="A248" t="s">
        <v>1783</v>
      </c>
      <c r="G248" s="1591">
        <v>0</v>
      </c>
      <c r="H248" s="1530" t="s">
        <v>774</v>
      </c>
      <c r="L248" s="126"/>
      <c r="O248" t="s">
        <v>2945</v>
      </c>
      <c r="P248" s="2298">
        <f>IF('Pro Forma'!$E$41=3,IF(N(Developer_fee_acq_eligible)+N(Developer_fee_acq_ineligible)&gt;N(Dev_Fee_Max_Acq),N(Dev_Fee_Max_Acq),IF(AND(N(Developer_fee_acq_eligible)+N(Developer_fee_acq_ineligible)&gt;0,N(Developer_fee_acq_eligible)+N(Developer_fee_acq_ineligible)&lt;N(Dev_Fee_Max_Acq),N(Developer_fee_non_acq_eligible)+N(Developer_fee_non_acq_ineligible)&gt;N(Dev_Fee_Max_Non_Acq)),MIN(N(Developer_fee_acq_eligible)+N(Developer_fee_acq_ineligible)+N(Developer_fee_non_acq_eligible)+N(Developer_fee_non_acq_ineligible)-N(Dev_Fee_Max_Non_Acq),N(Dev_Fee_Max_Acq)),IF(AND(N(Developer_fee_acq_eligible)+N(Developer_fee_acq_ineligible)&gt;0,N(Developer_fee_acq_eligible)+N(Developer_fee_acq_ineligible)&lt;N(Dev_Fee_Max_Acq),N(Developer_fee_non_acq_eligible)+N(Developer_fee_non_acq_ineligible)&lt;N(Dev_Fee_Max_Non_Acq)),N(Developer_fee_acq_eligible)+N(Developer_fee_acq_ineligible),IF(AND(N(Developer_fee_acq_eligible)+N(Developer_fee_acq_ineligible)=0,N(Developer_fee_non_acq_eligible)+N(Developer_fee_non_acq_ineligible)&gt;0),0,IF(N(Developer_fee_acq_eligible)+N(Developer_fee_acq_ineligible)+N(Developer_fee_non_acq_eligible)+N(Developer_fee_non_acq_ineligible)=0,N(Dev_Fee_Max_Acq),N(Developer_fee_acq_eligible)+N(Developer_fee_acq_ineligible)))))),"xxx")</f>
        <v>0</v>
      </c>
      <c r="Q248" s="2238">
        <f>IF('Pro Forma'!$E$41=3,IF(N(Developer_fee_non_acq_eligible)+N(Developer_fee_non_acq_ineligible)&gt;N(Dev_Fee_Max_Non_Acq),N(Dev_Fee_Max_Non_Acq),IF(AND(N(Developer_fee_non_acq_eligible)+N(Developer_fee_non_acq_ineligible)&gt;0,N(Developer_fee_non_acq_eligible)+N(Developer_fee_non_acq_ineligible)&lt;N(Dev_Fee_Max_Non_Acq),N(Developer_fee_acq_eligible)+N(Developer_fee_acq_ineligible)&gt;N(Dev_Fee_Max_Acq)),MIN(N(Developer_fee_non_acq_eligible)+N(Developer_fee_non_acq_ineligible)+N(Developer_fee_acq_eligible)+N(Developer_fee_acq_ineligible)-N(Dev_Fee_Max_Acq),N(Dev_Fee_Max_Non_Acq)),IF(AND(N(Developer_fee_non_acq_eligible)+N(Developer_fee_non_acq_ineligible)&gt;0,N(Developer_fee_non_acq_eligible)+N(Developer_fee_non_acq_ineligible)&lt;N(Dev_Fee_Max_Non_Acq),N(Developer_fee_acq_eligible)+N(Developer_fee_acq_ineligible)&lt;N(Dev_Fee_Max_Acq)),N(Developer_fee_non_acq_eligible)+N(Developer_fee_non_acq_ineligible),IF(AND(N(Developer_fee_non_acq_eligible)+N(Developer_fee_non_acq_ineligible)=0,N(Developer_fee_acq_eligible)+N(Developer_fee_acq_ineligible)&gt;0),0,IF(N(Developer_fee_non_acq_eligible)+N(Developer_fee_non_acq_ineligible)+N(Developer_fee_acq_eligible)+N(Developer_fee_acq_ineligible)=0,N(Dev_Fee_Max_Non_Acq),N(Developer_fee_non_acq_eligible)+N(Developer_fee_non_acq_ineligible)))))),"xxx")</f>
        <v>0</v>
      </c>
    </row>
    <row r="249" spans="1:17">
      <c r="A249" t="s">
        <v>775</v>
      </c>
      <c r="G249" s="290">
        <v>0</v>
      </c>
      <c r="H249" s="1530" t="s">
        <v>774</v>
      </c>
    </row>
    <row r="250" spans="1:17">
      <c r="A250" t="s">
        <v>1885</v>
      </c>
      <c r="G250" s="1226">
        <v>3500</v>
      </c>
      <c r="H250" s="43" t="s">
        <v>1886</v>
      </c>
      <c r="I250" s="1264" t="s">
        <v>280</v>
      </c>
      <c r="K250" s="2238">
        <f>N(Actual_Demolition_total)+N(Actual_Comm_Retail_total)+N(Actual_NewConAct_total)+N(Actual_RehabAct_total)</f>
        <v>0</v>
      </c>
      <c r="L250" s="2238">
        <f>N(Actual_Demolition_total)+N(Actual_Comm_Retail_total)+N(Actual_NewConAct_total)</f>
        <v>0</v>
      </c>
      <c r="M250" s="2238">
        <f>N(Actual_RehabAct_total)</f>
        <v>0</v>
      </c>
      <c r="O250" s="2299" t="s">
        <v>2946</v>
      </c>
      <c r="P250" s="2300" t="s">
        <v>2947</v>
      </c>
      <c r="Q250" s="2300"/>
    </row>
    <row r="251" spans="1:17">
      <c r="G251" s="712"/>
      <c r="O251" s="2299" t="s">
        <v>2948</v>
      </c>
      <c r="P251" s="2300" t="s">
        <v>2949</v>
      </c>
      <c r="Q251" s="2300"/>
    </row>
    <row r="252" spans="1:17">
      <c r="A252" s="478" t="s">
        <v>776</v>
      </c>
      <c r="B252" s="480"/>
      <c r="C252" s="480"/>
      <c r="D252" s="480"/>
      <c r="E252" s="481"/>
      <c r="F252" s="479" t="s">
        <v>37</v>
      </c>
      <c r="G252" s="62" t="s">
        <v>38</v>
      </c>
      <c r="H252" s="62" t="s">
        <v>39</v>
      </c>
      <c r="I252" s="1597"/>
      <c r="J252" s="482" t="s">
        <v>638</v>
      </c>
      <c r="O252" s="2299" t="s">
        <v>2943</v>
      </c>
      <c r="P252" s="2300" t="s">
        <v>2950</v>
      </c>
      <c r="Q252" s="2300"/>
    </row>
    <row r="253" spans="1:17" ht="14.65" customHeight="1">
      <c r="A253" s="65" t="s">
        <v>2975</v>
      </c>
      <c r="B253" s="65"/>
      <c r="C253" s="65"/>
      <c r="D253" s="2516"/>
      <c r="E253" s="2516"/>
      <c r="F253" s="57">
        <v>1</v>
      </c>
      <c r="G253" s="60">
        <f>IF(F253&lt;&gt;1,"",SUM(F$253:F253))</f>
        <v>1</v>
      </c>
      <c r="H253" s="57">
        <v>1</v>
      </c>
      <c r="I253" s="1597"/>
      <c r="J253" s="85" t="str">
        <f>IF(COUNTA($A253:$A$253)&lt;=MAX(DS_ProAppSource_Sequence)=TRUE,LOOKUP(COUNTA($A253:$A$253),DS_ProAppSource_Sequence,DS_ProAppSource_Name),"")</f>
        <v>Bonds: FHFC MMRB Tax Exempt</v>
      </c>
      <c r="O253" s="2301" t="s">
        <v>2951</v>
      </c>
      <c r="P253" s="2302" t="s">
        <v>2952</v>
      </c>
      <c r="Q253" s="2302"/>
    </row>
    <row r="254" spans="1:17" ht="14.65" customHeight="1">
      <c r="A254" s="65" t="s">
        <v>2976</v>
      </c>
      <c r="B254" s="65"/>
      <c r="C254" s="65"/>
      <c r="D254" s="2517"/>
      <c r="E254" s="2517"/>
      <c r="F254" s="57">
        <v>1</v>
      </c>
      <c r="G254" s="60">
        <f>IF(F254&lt;&gt;1,"",SUM(F$253:F254))</f>
        <v>2</v>
      </c>
      <c r="H254" s="57">
        <v>2</v>
      </c>
      <c r="I254" s="1597"/>
      <c r="J254" s="85" t="str">
        <f>IF(COUNTA($A$253:$A254)&lt;=MAX(DS_ProAppSource_Sequence)=TRUE,LOOKUP(COUNTA($A$253:$A254),DS_ProAppSource_Sequence,DS_ProAppSource_Name),"")</f>
        <v>Bonds: FHFC MMRB Taxable Tail</v>
      </c>
      <c r="O254" s="2301" t="s">
        <v>633</v>
      </c>
      <c r="P254" s="2302" t="s">
        <v>2953</v>
      </c>
      <c r="Q254" s="2302"/>
    </row>
    <row r="255" spans="1:17">
      <c r="A255" s="65" t="s">
        <v>2977</v>
      </c>
      <c r="B255" s="65"/>
      <c r="C255" s="65"/>
      <c r="D255" s="2517"/>
      <c r="E255" s="2517"/>
      <c r="F255" s="57">
        <v>1</v>
      </c>
      <c r="G255" s="60">
        <f>IF(F255&lt;&gt;1,"",SUM(F$253:F255))</f>
        <v>3</v>
      </c>
      <c r="H255" s="57">
        <v>3</v>
      </c>
      <c r="I255" s="1597"/>
      <c r="J255" s="85" t="str">
        <f>IF(COUNTA($A$253:$A255)&lt;=MAX(DS_ProAppSource_Sequence)=TRUE,LOOKUP(COUNTA($A$253:$A255),DS_ProAppSource_Sequence,DS_ProAppSource_Name),"")</f>
        <v>Bonds: Local HFA Tax Exempt</v>
      </c>
      <c r="L255" t="s">
        <v>2731</v>
      </c>
      <c r="N255" t="s">
        <v>2733</v>
      </c>
      <c r="O255" s="2301" t="s">
        <v>635</v>
      </c>
      <c r="P255" s="2302" t="s">
        <v>2954</v>
      </c>
      <c r="Q255" s="2302"/>
    </row>
    <row r="256" spans="1:17">
      <c r="A256" s="65" t="s">
        <v>2978</v>
      </c>
      <c r="B256" s="65"/>
      <c r="C256" s="65"/>
      <c r="D256" s="2518"/>
      <c r="E256" s="2518"/>
      <c r="F256" s="57">
        <v>1</v>
      </c>
      <c r="G256" s="60">
        <f>IF(F256&lt;&gt;1,"",SUM(F$253:F256))</f>
        <v>4</v>
      </c>
      <c r="H256" s="57">
        <v>4</v>
      </c>
      <c r="I256" s="1597"/>
      <c r="J256" s="85" t="str">
        <f>IF(COUNTA($A$253:$A256)&lt;=MAX(DS_ProAppSource_Sequence)=TRUE,LOOKUP(COUNTA($A$253:$A256),DS_ProAppSource_Sequence,DS_ProAppSource_Name),"")</f>
        <v>Bonds: Local HFA Taxable Tail</v>
      </c>
      <c r="O256" s="106" t="s">
        <v>2955</v>
      </c>
      <c r="P256" t="s">
        <v>2956</v>
      </c>
    </row>
    <row r="257" spans="1:18">
      <c r="A257" s="65" t="s">
        <v>777</v>
      </c>
      <c r="B257" s="65"/>
      <c r="C257" s="65"/>
      <c r="D257" s="875"/>
      <c r="E257" s="875"/>
      <c r="F257" s="57">
        <v>1</v>
      </c>
      <c r="G257" s="60">
        <f>IF(F257&lt;&gt;1,"",SUM(F$253:F257))</f>
        <v>5</v>
      </c>
      <c r="H257" s="57">
        <v>5</v>
      </c>
      <c r="I257" s="1597"/>
      <c r="J257" s="85" t="str">
        <f>IF(COUNTA($A$253:$A257)&lt;=MAX(DS_ProAppSource_Sequence)=TRUE,LOOKUP(COUNTA($A$253:$A257),DS_ProAppSource_Sequence,DS_ProAppSource_Name),"")</f>
        <v>Regulated Mortgage Lender</v>
      </c>
      <c r="L257" t="s">
        <v>2732</v>
      </c>
      <c r="N257" t="s">
        <v>2733</v>
      </c>
      <c r="O257" s="2321" t="s">
        <v>2957</v>
      </c>
      <c r="P257" s="2322" t="s">
        <v>2958</v>
      </c>
      <c r="Q257" s="2322"/>
    </row>
    <row r="258" spans="1:18" ht="15" customHeight="1">
      <c r="A258" s="65" t="s">
        <v>778</v>
      </c>
      <c r="B258" s="65"/>
      <c r="C258" s="65"/>
      <c r="D258" s="2822" t="s">
        <v>2617</v>
      </c>
      <c r="E258" s="2822"/>
      <c r="F258" s="57">
        <v>1</v>
      </c>
      <c r="G258" s="60">
        <f>IF(F258&lt;&gt;1,"",SUM(F$253:F258))</f>
        <v>6</v>
      </c>
      <c r="H258" s="57">
        <v>6</v>
      </c>
      <c r="I258" s="1597"/>
      <c r="J258" s="85" t="str">
        <f>IF(COUNTA($A$253:$A258)&lt;=MAX(DS_ProAppSource_Sequence)=TRUE,LOOKUP(COUNTA($A$253:$A258),DS_ProAppSource_Sequence,DS_ProAppSource_Name),"")</f>
        <v>Local Government Subsidy</v>
      </c>
      <c r="O258" s="106" t="s">
        <v>2959</v>
      </c>
      <c r="P258" t="s">
        <v>2960</v>
      </c>
    </row>
    <row r="259" spans="1:18">
      <c r="A259" s="65" t="s">
        <v>114</v>
      </c>
      <c r="B259" s="65"/>
      <c r="C259" s="65"/>
      <c r="D259" s="2822"/>
      <c r="E259" s="2822"/>
      <c r="F259" s="57">
        <v>1</v>
      </c>
      <c r="G259" s="60">
        <f>IF(F259&lt;&gt;1,"",SUM(F$253:F259))</f>
        <v>7</v>
      </c>
      <c r="H259" s="57">
        <v>7</v>
      </c>
      <c r="I259" s="1597"/>
      <c r="J259" s="85" t="str">
        <f>IF(COUNTA($A$253:$A259)&lt;=MAX(DS_ProAppSource_Sequence)=TRUE,LOOKUP(COUNTA($A$253:$A259),DS_ProAppSource_Sequence,DS_ProAppSource_Name),"")</f>
        <v>Grant</v>
      </c>
      <c r="O259" s="2303" t="s">
        <v>2961</v>
      </c>
      <c r="P259" s="2304" t="s">
        <v>2962</v>
      </c>
      <c r="Q259" s="2304"/>
      <c r="R259" s="585"/>
    </row>
    <row r="260" spans="1:18">
      <c r="A260" s="65" t="s">
        <v>2984</v>
      </c>
      <c r="B260" s="65"/>
      <c r="C260" s="65"/>
      <c r="D260" s="1888"/>
      <c r="E260" s="1888"/>
      <c r="F260" s="57">
        <v>0</v>
      </c>
      <c r="G260" s="60" t="str">
        <f>IF(F260&lt;&gt;1,"",SUM(F$253:F260))</f>
        <v/>
      </c>
      <c r="H260" s="57">
        <v>8</v>
      </c>
      <c r="I260" s="1597"/>
      <c r="J260" s="85" t="str">
        <f>IF(COUNTA($A$253:$A260)&lt;=MAX(DS_ProAppSource_Sequence)=TRUE,LOOKUP(COUNTA($A$253:$A260),DS_ProAppSource_Sequence,DS_ProAppSource_Name),"")</f>
        <v>Seller Financing</v>
      </c>
      <c r="O260" s="2303" t="s">
        <v>2963</v>
      </c>
      <c r="P260" s="2304" t="s">
        <v>2964</v>
      </c>
      <c r="Q260" s="2304"/>
    </row>
    <row r="261" spans="1:18">
      <c r="A261" s="65" t="s">
        <v>779</v>
      </c>
      <c r="B261" s="65"/>
      <c r="C261" s="65"/>
      <c r="F261" s="57">
        <v>0</v>
      </c>
      <c r="G261" s="60" t="str">
        <f>IF(F261&lt;&gt;1,"",SUM(F$253:F261))</f>
        <v/>
      </c>
      <c r="H261" s="57">
        <v>9</v>
      </c>
      <c r="I261" s="1597"/>
      <c r="J261" s="85" t="str">
        <f>IF(COUNTA($A$253:$A261)&lt;=MAX(DS_ProAppSource_Sequence)=TRUE,LOOKUP(COUNTA($A$253:$A261),DS_ProAppSource_Sequence,DS_ProAppSource_Name),"")</f>
        <v>State Legislation</v>
      </c>
      <c r="L261" t="s">
        <v>2735</v>
      </c>
      <c r="N261" t="s">
        <v>2733</v>
      </c>
      <c r="O261" s="2303" t="s">
        <v>2965</v>
      </c>
      <c r="P261" s="2304" t="s">
        <v>2966</v>
      </c>
      <c r="Q261" s="2304"/>
    </row>
    <row r="262" spans="1:18">
      <c r="A262" s="65" t="s">
        <v>2598</v>
      </c>
      <c r="B262" s="65"/>
      <c r="C262" s="65"/>
      <c r="F262" s="57">
        <v>0</v>
      </c>
      <c r="G262" s="60" t="str">
        <f>IF(F262&lt;&gt;1,"",SUM(F$253:F262))</f>
        <v/>
      </c>
      <c r="H262" s="57">
        <v>10</v>
      </c>
      <c r="I262" s="1597"/>
      <c r="J262" s="85" t="str">
        <f>IF(COUNTA($A$253:$A262)&lt;=MAX(DS_ProAppSource_Sequence)=TRUE,LOOKUP(COUNTA($A$253:$A262),DS_ProAppSource_Sequence,DS_ProAppSource_Name),"")</f>
        <v>USDA RD 515</v>
      </c>
      <c r="L262" s="65" t="s">
        <v>779</v>
      </c>
      <c r="O262" s="2299" t="s">
        <v>644</v>
      </c>
      <c r="P262" s="2300" t="s">
        <v>2967</v>
      </c>
      <c r="Q262" s="2300"/>
    </row>
    <row r="263" spans="1:18">
      <c r="A263" s="65" t="s">
        <v>780</v>
      </c>
      <c r="B263" s="65"/>
      <c r="C263" s="65"/>
      <c r="F263" s="57">
        <v>1</v>
      </c>
      <c r="G263" s="60">
        <f>IF(F263&lt;&gt;1,"",SUM(F$253:F263))</f>
        <v>8</v>
      </c>
      <c r="H263" s="57">
        <v>11</v>
      </c>
      <c r="I263" s="1597"/>
      <c r="J263" s="85" t="str">
        <f>IF(COUNTA($A$253:$A263)&lt;=MAX(DS_ProAppSource_Sequence)=TRUE,LOOKUP(COUNTA($A$253:$A263),DS_ProAppSource_Sequence,DS_ProAppSource_Name),"")</f>
        <v>USDA RD 538</v>
      </c>
      <c r="O263" s="2301" t="s">
        <v>2810</v>
      </c>
      <c r="P263" s="2302" t="s">
        <v>2968</v>
      </c>
      <c r="Q263" s="2302"/>
    </row>
    <row r="264" spans="1:18">
      <c r="A264" s="65" t="s">
        <v>781</v>
      </c>
      <c r="B264" s="65"/>
      <c r="C264" s="65"/>
      <c r="F264" s="57">
        <v>1</v>
      </c>
      <c r="G264" s="60">
        <f>IF(F264&lt;&gt;1,"",SUM(F$253:F264))</f>
        <v>9</v>
      </c>
      <c r="H264" s="57">
        <v>12</v>
      </c>
      <c r="I264" s="1597"/>
      <c r="J264" s="85" t="str">
        <f>IF(COUNTA($A$253:$A264)&lt;=MAX(DS_ProAppSource_Sequence)=TRUE,LOOKUP(COUNTA($A$253:$A264),DS_ProAppSource_Sequence,DS_ProAppSource_Name),"")</f>
        <v>Other</v>
      </c>
      <c r="O264" s="106" t="s">
        <v>636</v>
      </c>
      <c r="P264" t="s">
        <v>2969</v>
      </c>
    </row>
    <row r="265" spans="1:18">
      <c r="A265" s="65" t="s">
        <v>106</v>
      </c>
      <c r="B265" s="65"/>
      <c r="C265" s="65"/>
      <c r="F265" s="57">
        <v>0</v>
      </c>
      <c r="G265" s="60" t="str">
        <f>IF(F265&lt;&gt;1,"",SUM(F$253:F265))</f>
        <v/>
      </c>
      <c r="H265" s="57">
        <v>13</v>
      </c>
      <c r="I265" s="1597"/>
      <c r="J265" s="85" t="str">
        <f>IF(COUNTA($A$253:$A265)&lt;=MAX(DS_ProAppSource_Sequence)=TRUE,LOOKUP(COUNTA($A$253:$A265),DS_ProAppSource_Sequence,DS_ProAppSource_Name),"")</f>
        <v/>
      </c>
      <c r="O265" s="2303" t="s">
        <v>2970</v>
      </c>
      <c r="P265" s="2304" t="s">
        <v>2971</v>
      </c>
      <c r="Q265" s="2304"/>
    </row>
    <row r="266" spans="1:18">
      <c r="A266" s="65" t="s">
        <v>107</v>
      </c>
      <c r="B266" s="65"/>
      <c r="C266" s="65"/>
      <c r="F266" s="57">
        <v>1</v>
      </c>
      <c r="G266" s="60">
        <f>IF(F266&lt;&gt;1,"",SUM(F$253:F266))</f>
        <v>10</v>
      </c>
      <c r="H266" s="57">
        <v>14</v>
      </c>
      <c r="I266" s="1597"/>
      <c r="J266" s="85" t="str">
        <f>IF(COUNTA($A$253:$A266)&lt;=MAX(DS_ProAppSource_Sequence)=TRUE,LOOKUP(COUNTA($A$253:$A266),DS_ProAppSource_Sequence,DS_ProAppSource_Name),"")</f>
        <v/>
      </c>
    </row>
    <row r="267" spans="1:18">
      <c r="A267" s="65" t="s">
        <v>108</v>
      </c>
      <c r="B267" s="65"/>
      <c r="C267" s="65"/>
      <c r="F267" s="57">
        <v>1</v>
      </c>
      <c r="G267" s="60">
        <f>IF(F267&lt;&gt;1,"",SUM(F$253:F267))</f>
        <v>11</v>
      </c>
      <c r="H267" s="57">
        <v>15</v>
      </c>
      <c r="I267" s="1597"/>
      <c r="J267" s="85" t="str">
        <f>IF(COUNTA($A$253:$A267)&lt;=MAX(DS_ProAppSource_Sequence)=TRUE,LOOKUP(COUNTA($A$253:$A267),DS_ProAppSource_Sequence,DS_ProAppSource_Name),"")</f>
        <v/>
      </c>
    </row>
    <row r="268" spans="1:18">
      <c r="A268" s="1455" t="s">
        <v>782</v>
      </c>
      <c r="B268" s="1455"/>
      <c r="C268" s="1455"/>
      <c r="F268" s="57">
        <v>0</v>
      </c>
      <c r="G268" s="1454"/>
      <c r="H268" s="57">
        <v>16</v>
      </c>
      <c r="I268" s="1597"/>
      <c r="J268" s="85" t="str">
        <f>IF(COUNTA($A$253:$A268)&lt;=MAX(DS_ProAppSource_Sequence)=TRUE,LOOKUP(COUNTA($A$253:$A268),DS_ProAppSource_Sequence,DS_ProAppSource_Name),"")</f>
        <v/>
      </c>
    </row>
    <row r="269" spans="1:18">
      <c r="A269" s="65" t="s">
        <v>124</v>
      </c>
      <c r="B269" s="65"/>
      <c r="C269" s="65"/>
      <c r="F269" s="57">
        <v>1</v>
      </c>
      <c r="G269" s="60">
        <f>IF(F269&lt;&gt;1,"",SUM(F$253:F269))</f>
        <v>12</v>
      </c>
      <c r="H269" s="57">
        <v>17</v>
      </c>
      <c r="I269" s="1597"/>
      <c r="J269" s="85" t="str">
        <f>IF(COUNTA($A$253:$A269)&lt;=MAX(DS_ProAppSource_Sequence)=TRUE,LOOKUP(COUNTA($A$253:$A269),DS_ProAppSource_Sequence,DS_ProAppSource_Name),"")</f>
        <v/>
      </c>
    </row>
    <row r="270" spans="1:18" ht="15" thickBot="1"/>
    <row r="271" spans="1:18">
      <c r="A271" s="478" t="s">
        <v>1763</v>
      </c>
      <c r="B271" s="480"/>
      <c r="C271" s="480"/>
      <c r="D271" s="480"/>
      <c r="E271" s="481"/>
      <c r="F271" s="1529" t="s">
        <v>742</v>
      </c>
      <c r="K271" s="1915"/>
      <c r="L271" s="1916"/>
      <c r="M271" s="1917"/>
    </row>
    <row r="272" spans="1:18">
      <c r="A272" s="398" t="s">
        <v>1764</v>
      </c>
      <c r="C272" s="1146" t="s">
        <v>1769</v>
      </c>
      <c r="D272" s="1146" t="s">
        <v>1770</v>
      </c>
      <c r="E272" s="1146" t="s">
        <v>1771</v>
      </c>
      <c r="F272" s="528" t="s">
        <v>1361</v>
      </c>
      <c r="G272" s="528" t="s">
        <v>1772</v>
      </c>
      <c r="H272" s="1147" t="s">
        <v>1773</v>
      </c>
      <c r="I272" s="528" t="s">
        <v>1774</v>
      </c>
      <c r="J272" s="411" t="s">
        <v>1775</v>
      </c>
      <c r="K272" s="1918" t="s">
        <v>2572</v>
      </c>
      <c r="L272" s="1919" t="s">
        <v>119</v>
      </c>
      <c r="M272" s="1920"/>
    </row>
    <row r="273" spans="1:25" ht="15" thickBot="1">
      <c r="A273" s="6" t="s">
        <v>1765</v>
      </c>
      <c r="C273" s="1153">
        <f>N(SAIL_Request_Amount)+N(ELI_Request_Amount)</f>
        <v>0</v>
      </c>
      <c r="D273" s="1153">
        <f>N(Max_SAIL)+N(Max_ELI)</f>
        <v>0</v>
      </c>
      <c r="E273" s="1153">
        <f>N(Eligible_SAIL_Request_Amount)+N(Eligible_ELI_Request_Amount)</f>
        <v>0</v>
      </c>
      <c r="F273" s="823">
        <f>IF(E273&gt;0,1,0)</f>
        <v>0</v>
      </c>
      <c r="G273" s="1550">
        <f>IF($F273=0,0,COUNTIF($F$273:$F273,$F273))</f>
        <v>0</v>
      </c>
      <c r="H273" s="2237" t="str">
        <f>IF(L272="Live Local SAIL","Live Local SAIL","SAIL")</f>
        <v>SAIL</v>
      </c>
      <c r="I273" s="823">
        <v>1</v>
      </c>
      <c r="J273" s="507" t="str">
        <f>IFERROR(VLOOKUP(1,Track_Funding,2,FALSE),"")</f>
        <v/>
      </c>
      <c r="K273" s="1921"/>
      <c r="L273" s="1922"/>
      <c r="M273" s="1923"/>
    </row>
    <row r="274" spans="1:25">
      <c r="A274" s="6" t="s">
        <v>1766</v>
      </c>
      <c r="C274" s="1153">
        <f>IF(AND(Funding!L213=1,N(Eligible_NHTF_Request_Amount)&gt;0),N(NHTF_Request_Amount),IF(AND(OR(Funding!L228&gt;0,Funding!L221&gt;0),N(NHTF_Funding_Combined_Units)&gt;0),N(NHTF_Funding_Combined_Units),0))</f>
        <v>0</v>
      </c>
      <c r="D274" s="1153">
        <f>IF(AND(Funding!L213=1,N(Eligible_NHTF_Request_Amount)&gt;0),N(Max_NHTF),IF(AND(OR(Funding!L228&gt;0,Funding!L221&gt;0),N(NHTF_Funding_Combined_Units)&gt;0),N(NHTF_Funding_Combined_Units),0))</f>
        <v>0</v>
      </c>
      <c r="E274" s="1153">
        <f>IF(AND(Funding!L213=1,N(Eligible_NHTF_Request_Amount)&gt;0),N(Eligible_NHTF_Request_Amount),IF(AND(OR(Funding!L228&gt;0,Funding!L221&gt;0),N(NHTF_Funding_Combined_Units)&gt;0),N(NHTF_Funding_Combined_Units),0))</f>
        <v>0</v>
      </c>
      <c r="F274" s="823">
        <f t="shared" ref="F274:F280" si="3">IF(E274&gt;0,1,0)</f>
        <v>0</v>
      </c>
      <c r="G274" s="1551">
        <f>IF($F274=0,0,COUNTIF($F$273:$F274,$F274))</f>
        <v>0</v>
      </c>
      <c r="H274" s="1552" t="s">
        <v>99</v>
      </c>
      <c r="I274" s="823">
        <v>2</v>
      </c>
      <c r="J274" s="1148" t="str">
        <f>IFERROR(VLOOKUP(2,Track_Funding,2,FALSE),"")</f>
        <v/>
      </c>
    </row>
    <row r="275" spans="1:25">
      <c r="A275" s="6" t="s">
        <v>97</v>
      </c>
      <c r="C275" s="1153">
        <f>N(HOME_Request_Amount)</f>
        <v>0</v>
      </c>
      <c r="D275" s="1153">
        <f>N(Max_HOME)</f>
        <v>0</v>
      </c>
      <c r="E275" s="1153">
        <f>N(Eligible_HOME_Request_Amount)</f>
        <v>0</v>
      </c>
      <c r="F275" s="823">
        <f t="shared" si="3"/>
        <v>0</v>
      </c>
      <c r="G275" s="1551">
        <f>IF($F275=0,0,COUNTIF($F$273:$F275,$F275))</f>
        <v>0</v>
      </c>
      <c r="H275" s="1552" t="s">
        <v>97</v>
      </c>
      <c r="I275" s="823">
        <v>3</v>
      </c>
      <c r="J275" s="1148" t="str">
        <f>IFERROR(VLOOKUP(3,Track_Funding,2,FALSE),"")</f>
        <v/>
      </c>
    </row>
    <row r="276" spans="1:25">
      <c r="A276" s="6" t="s">
        <v>1767</v>
      </c>
      <c r="C276" s="1153" cm="1">
        <f t="array" ref="C276">N(RRLP_Base_Request_Amount)+N(RRLP_ELI_Request_Amount)</f>
        <v>0</v>
      </c>
      <c r="D276" s="1153" cm="1">
        <f t="array" ref="D276">N(Max_RRLP_Base)+N(Max_RRLP_ELI)</f>
        <v>0</v>
      </c>
      <c r="E276" s="1153" cm="1">
        <f t="array" ref="E276">N(Eligible_RRLP_Base_Request_Amount)+N(Eligible_RRLP_ELI_Request_Amount)</f>
        <v>0</v>
      </c>
      <c r="F276" s="823">
        <f t="shared" si="3"/>
        <v>0</v>
      </c>
      <c r="G276" s="1551">
        <f>IF($F276=0,0,COUNTIF($F$273:$F276,$F276))</f>
        <v>0</v>
      </c>
      <c r="H276" s="1552" t="s">
        <v>118</v>
      </c>
      <c r="I276" s="823">
        <v>4</v>
      </c>
      <c r="J276" s="1148" t="str">
        <f>IFERROR(VLOOKUP(4,Track_Funding,2,FALSE),"")</f>
        <v/>
      </c>
    </row>
    <row r="277" spans="1:25">
      <c r="A277" s="6" t="s">
        <v>572</v>
      </c>
      <c r="C277" s="1153">
        <f>IF(AND(Funding!L167=1,N(Eligible_HOME_ARP_Request_Amount)&gt;0),N(Eligible_HOME_ARP_Request_Amount),IF(AND(OR(Funding!L181&gt;0,Funding!L183&gt;0),N(HOME_ARP_Funding_Combined_Units)&gt;0),N(HOME_ARP_Funding_Combined_Units),IF(AND(Funding!L191&gt;0,N(ARP_Request_Amount)&gt;0),N(ARP_Request_Amount),0)))</f>
        <v>0</v>
      </c>
      <c r="D277" s="1153">
        <f>IF(AND(Funding!L167=1,N(Eligible_HOME_ARP_Request_Amount)&gt;0),N(Max_HOME_ARP),IF(AND(OR(Funding!L181&gt;0,Funding!L183&gt;0),N(HOME_ARP_Funding_Combined_Units)&gt;0),N(HOME_ARP_Funding_Combined_Units),IF(AND(Funding!L191&gt;0,N(ARP_Request_Amount)&gt;0),N(Max_ARP),0)))</f>
        <v>0</v>
      </c>
      <c r="E277" s="1153">
        <f>IF(AND(Funding!L167=1,N(Eligible_HOME_ARP_Request_Amount)&gt;0),N(Eligible_HOME_ARP_Request_Amount),IF(AND(OR(Funding!L181&gt;0,Funding!L183&gt;0),N(HOME_ARP_Funding_Combined_Units)&gt;0),N(HOME_ARP_Funding_Combined_Units),IF(AND(Funding!L191&gt;0,N(ARP_Request_Amount)&gt;0),N(Eligible_ARP_Request_Amount),0)))</f>
        <v>0</v>
      </c>
      <c r="F277" s="823">
        <f t="shared" si="3"/>
        <v>0</v>
      </c>
      <c r="G277" s="1551">
        <f>IF($F277=0,0,COUNTIF($F$273:$F277,$F277))</f>
        <v>0</v>
      </c>
      <c r="H277" s="1552" t="s">
        <v>572</v>
      </c>
      <c r="I277" s="823">
        <v>5</v>
      </c>
      <c r="J277" s="1149" t="str">
        <f>IFERROR(VLOOKUP(5,Track_Funding,2,FALSE),"")</f>
        <v/>
      </c>
    </row>
    <row r="278" spans="1:25">
      <c r="A278" s="6" t="s">
        <v>114</v>
      </c>
      <c r="C278" s="1153">
        <f>N(Grant_Request_Amount)</f>
        <v>0</v>
      </c>
      <c r="D278" s="1153">
        <f>N(Max_Grant)</f>
        <v>0</v>
      </c>
      <c r="E278" s="1153">
        <f>N(Eligible_Grant_Request_Amount)</f>
        <v>0</v>
      </c>
      <c r="F278" s="823">
        <f t="shared" si="3"/>
        <v>0</v>
      </c>
      <c r="G278" s="1551">
        <f>IF($F278=0,0,COUNTIF($F$273:$F278,$F278))</f>
        <v>0</v>
      </c>
      <c r="H278" s="1552" t="s">
        <v>114</v>
      </c>
      <c r="I278" s="823">
        <v>6</v>
      </c>
    </row>
    <row r="279" spans="1:25">
      <c r="A279" s="6" t="s">
        <v>1768</v>
      </c>
      <c r="C279" s="1153">
        <f>N(CDBG_DR_Dev_Request_Amount)+N(CDBG_DR_Land_Request_Amount)</f>
        <v>0</v>
      </c>
      <c r="D279" s="1153">
        <f>N(Max_CDBG_DR_Land)+N(Max_CDBG_DR_Dev)</f>
        <v>0</v>
      </c>
      <c r="E279" s="1153">
        <f>N(Eligible_CDBG_DR_Land_Request_Amount)+N(Eligible_CDBG_DR_Dev_Request_Amount)</f>
        <v>0</v>
      </c>
      <c r="F279" s="823">
        <f t="shared" si="3"/>
        <v>0</v>
      </c>
      <c r="G279" s="1551">
        <f>IF($F279=0,0,COUNTIF($F$273:$F279,$F279))</f>
        <v>0</v>
      </c>
      <c r="H279" s="1552" t="s">
        <v>98</v>
      </c>
      <c r="I279" s="823">
        <v>7</v>
      </c>
    </row>
    <row r="280" spans="1:25">
      <c r="A280" s="6" t="s">
        <v>67</v>
      </c>
      <c r="C280" s="1153">
        <f>N(Workforce_Request_Amount)</f>
        <v>0</v>
      </c>
      <c r="D280" s="1153">
        <f>N(Max_Workforce)</f>
        <v>0</v>
      </c>
      <c r="E280" s="1153">
        <f>N(Eligible_Workforce_Request_Amount)</f>
        <v>0</v>
      </c>
      <c r="F280" s="823">
        <f t="shared" si="3"/>
        <v>0</v>
      </c>
      <c r="G280" s="1553">
        <f>IF($F280=0,0,COUNTIF($F$273:$F280,$F280))</f>
        <v>0</v>
      </c>
      <c r="H280" s="1554" t="s">
        <v>67</v>
      </c>
      <c r="I280" s="823">
        <v>8</v>
      </c>
    </row>
    <row r="281" spans="1:25">
      <c r="O281" s="788"/>
      <c r="P281" s="308"/>
    </row>
    <row r="282" spans="1:25">
      <c r="O282" s="788"/>
      <c r="P282" s="308"/>
    </row>
    <row r="283" spans="1:25">
      <c r="A283" s="2812" t="s">
        <v>611</v>
      </c>
      <c r="B283" s="2813"/>
      <c r="C283" s="2813"/>
      <c r="D283" s="2813"/>
      <c r="E283" s="2813"/>
      <c r="F283" s="2813"/>
      <c r="G283" s="2813"/>
      <c r="H283" s="2813"/>
      <c r="I283" s="2813"/>
      <c r="J283" s="2813"/>
      <c r="K283" s="2813"/>
      <c r="L283" s="2813"/>
      <c r="M283" s="2813"/>
      <c r="N283" s="25"/>
      <c r="O283" s="25"/>
      <c r="P283" s="25"/>
      <c r="Q283" s="25"/>
    </row>
    <row r="284" spans="1:25" s="1495" customFormat="1" ht="26">
      <c r="A284" s="1543"/>
      <c r="B284" s="1544" t="s">
        <v>612</v>
      </c>
      <c r="C284" s="1544" t="s">
        <v>613</v>
      </c>
      <c r="D284" s="1544" t="s">
        <v>614</v>
      </c>
      <c r="E284" s="1545" t="s">
        <v>615</v>
      </c>
      <c r="F284" s="2819" t="s">
        <v>616</v>
      </c>
      <c r="G284" s="2820"/>
      <c r="H284" s="2820"/>
      <c r="I284" s="2820"/>
      <c r="J284" s="2820"/>
      <c r="K284" s="2820"/>
      <c r="L284" s="2821"/>
      <c r="M284" s="1544" t="s">
        <v>617</v>
      </c>
      <c r="T284" s="1546"/>
      <c r="U284" s="1546"/>
      <c r="V284" s="1546"/>
      <c r="W284" s="1546"/>
      <c r="X284" s="1546"/>
      <c r="Y284" s="1546"/>
    </row>
    <row r="285" spans="1:25" s="806" customFormat="1" ht="13">
      <c r="A285" s="1538" t="str">
        <f>IF(B285="Workforce",1,IF(B285="SAIL",2,IF(B285="HOME",3,IF(B285="HOME-ARP",4,IF(B285="Grant",5,IF(B285="NHTF",6,IF(B285="TBD",7,IF(B285="RRLP",8,IF(B285="CDBG-DR",9,IF(B285="Live Local SAIL",10,""))))))))))</f>
        <v/>
      </c>
      <c r="B285" s="1539" t="str">
        <f>IFERROR(VLOOKUP(1,Track_Funding,2,FALSE),"")</f>
        <v/>
      </c>
      <c r="C285" s="1547" t="str">
        <f>CHOOSE(N(A285)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5" s="1538" t="str">
        <f>CHOOSE(N(A285)+1,"Enter request on Funding Tab","FHFC - Workforce","FHFC - SAIL","FHFC - HOME","FHFC - HOME-ARP","FHFC - Grant","FHFC - NHTF","FHFC - TBD","FHFC - RRLP","FHFC - CDBG-DR","FHFC - Live Local SAIL","")</f>
        <v>Enter request on Funding Tab</v>
      </c>
      <c r="E285" s="1547" t="str">
        <f>CHOOSE(N(A285)+1,"",N(Max_Workforce),MIN(N(Max_SAIL),N(SAIL_Request_Amount))+MIN(N(Max_ELI),N(ELI_Request_Amount)),N(Max_HOME),N(DS_HOMEARPMAX),N(Max_Grant),IF(Funding!P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5" s="2814" t="str">
        <f>IF(N(DS_FHFC_Source_1_Amt)&gt;N(DS_FHFC_Source_1_Max_Amt),"The "&amp;TEXT(DS_FHFC_Source_1_Name,"0")&amp;" request amount has been adjusted to the Maximum of "&amp;TEXT(N(DS_FHFC_Source_1_Max_Amt),"$#,##0")&amp;".","")</f>
        <v/>
      </c>
      <c r="G285" s="2815"/>
      <c r="H285" s="2815"/>
      <c r="I285" s="2815"/>
      <c r="J285" s="2815"/>
      <c r="K285" s="2815"/>
      <c r="L285" s="2815"/>
      <c r="M285" s="1540" t="str">
        <f>IF(N(DS_FHFC_Source_1_Amt)&gt;N(DS_FHFC_Source_1_Max_Amt),DS_FHFC_Source_1_Label,"")</f>
        <v/>
      </c>
      <c r="T285" s="1537"/>
      <c r="U285" s="1537"/>
      <c r="V285" s="1537"/>
      <c r="W285" s="1537"/>
      <c r="X285" s="1537"/>
      <c r="Y285" s="1537"/>
    </row>
    <row r="286" spans="1:25" s="806" customFormat="1" ht="13">
      <c r="A286" s="1538" t="str">
        <f t="shared" ref="A286:A288" si="4">IF(B286="Workforce",1,IF(B286="SAIL",2,IF(B286="HOME",3,IF(B286="HOME-ARP",4,IF(B286="Grant",5,IF(B286="NHTF",6,IF(B286="TBD",7,IF(B286="RRLP",8,IF(B286="CDBG-DR",9,IF(B286="Live Local SAIL",10,""))))))))))</f>
        <v/>
      </c>
      <c r="B286" s="1539" t="str">
        <f>IFERROR(VLOOKUP(2,Track_Funding,2,FALSE),"")</f>
        <v/>
      </c>
      <c r="C286" s="1547" t="str">
        <f>CHOOSE(N(A286)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6" s="1538" t="str">
        <f t="shared" ref="D286:D288" si="5">CHOOSE(N(A286)+1,"Enter request on Funding Tab","FHFC - Workforce","FHFC - SAIL","FHFC - HOME","FHFC - HOME-ARP","FHFC - Grant","FHFC - NHTF","FHFC - TBD","FHFC - RRLP","FHFC - CDBG-DR","FHFC - Live Local SAIL","")</f>
        <v>Enter request on Funding Tab</v>
      </c>
      <c r="E286" s="1547" t="str">
        <f>CHOOSE(N(A286)+1,"",N(Max_Workforce),MIN(N(Max_SAIL),N(SAIL_Request_Amount))+MIN(N(Max_ELI),N(ELI_Request_Amount)),N(Max_HOME),N(DS_HOMEARPMAX),N(Max_Grant),IF(Funding!P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6" s="2814" t="str">
        <f>IF(N(DS_FHFC_Source_2_Amt)&gt;N(DS_FHFC_Source_2_Max_Amt),"The "&amp;TEXT(DS_FHFC_Source_2_Name,"0")&amp;" request amount has been adjusted to the Maximum of "&amp;TEXT(N(DS_FHFC_Source_2_Max_Amt),"$#,##0")&amp;".","")</f>
        <v/>
      </c>
      <c r="G286" s="2815"/>
      <c r="H286" s="2815"/>
      <c r="I286" s="2815"/>
      <c r="J286" s="2815"/>
      <c r="K286" s="2815"/>
      <c r="L286" s="2815"/>
      <c r="M286" s="1540" t="str">
        <f>IF(N(DS_FHFC_Source_2_Amt)&gt;N(DS_FHFC_Source_2_Max_Amt),DS_FHFC_Source_2_Label,"")</f>
        <v/>
      </c>
      <c r="T286" s="1541" t="s">
        <v>1777</v>
      </c>
      <c r="U286" s="1537"/>
      <c r="V286" s="1537"/>
      <c r="W286" s="1537"/>
      <c r="X286" s="1537"/>
      <c r="Y286" s="1537"/>
    </row>
    <row r="287" spans="1:25" s="806" customFormat="1" ht="13">
      <c r="A287" s="1538" t="str">
        <f t="shared" si="4"/>
        <v/>
      </c>
      <c r="B287" s="1539" t="str">
        <f>IFERROR(VLOOKUP(3,Track_Funding,2,FALSE),"")</f>
        <v/>
      </c>
      <c r="C287" s="1547" t="str">
        <f>CHOOSE(N(A287)+1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7" s="1538" t="str">
        <f t="shared" si="5"/>
        <v>Enter request on Funding Tab</v>
      </c>
      <c r="E287" s="1547" t="str">
        <f>CHOOSE(N(A287)+1,"",N(Max_Workforce),MIN(N(Max_SAIL),N(SAIL_Request_Amount))+MIN(N(Max_ELI),N(ELI_Request_Amount)),N(Max_HOME),N(DS_HOMEARPMAX),N(Max_Grant),IF(Funding!P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7" s="2814" t="str">
        <f>IF(N(DS_FHFC_Source_3_Amt)&gt;N(DS_FHFC_Source_3_Max_Amt),"The "&amp;TEXT(DS_FHFC_Source_3_Name,"0")&amp;" request amount has been adjusted to the Maximum of "&amp;TEXT(N(DS_FHFC_Source_3_Max_Amt),"$#,##0")&amp;".","")</f>
        <v/>
      </c>
      <c r="G287" s="2815"/>
      <c r="H287" s="2815"/>
      <c r="I287" s="2815"/>
      <c r="J287" s="2815"/>
      <c r="K287" s="2815"/>
      <c r="L287" s="2815"/>
      <c r="M287" s="1540" t="str">
        <f>IF(N(DS_FHFC_Source_3_Amt)&gt;N(DS_FHFC_Source_3_Max_Amt),DS_FHFC_Source_3_Label,"")</f>
        <v/>
      </c>
      <c r="T287" s="1537"/>
      <c r="U287" s="1537"/>
      <c r="V287" s="1537"/>
      <c r="W287" s="1537"/>
      <c r="X287" s="1537"/>
      <c r="Y287" s="1537"/>
    </row>
    <row r="288" spans="1:25" s="806" customFormat="1" ht="13">
      <c r="A288" s="1538" t="str">
        <f t="shared" si="4"/>
        <v/>
      </c>
      <c r="B288" s="1539" t="str">
        <f>IFERROR(VLOOKUP(4,Track_Funding,2,FALSE),"")</f>
        <v/>
      </c>
      <c r="C288" s="1547" t="str">
        <f>CHOOSE(N(A288)+1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8" s="1538" t="str">
        <f t="shared" si="5"/>
        <v>Enter request on Funding Tab</v>
      </c>
      <c r="E288" s="1547" t="str">
        <f>CHOOSE(N(A288)+1,"",N(Max_Workforce),MIN(N(Max_SAIL),N(SAIL_Request_Amount))+MIN(N(Max_ELI),N(ELI_Request_Amount)),N(Max_HOME),N(DS_HOMEARPMAX),N(Max_Grant),IF(Funding!P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8" s="2814" t="str">
        <f>IF(N(DS_FHFC_Source_4_Amt)&gt;N(DS_FHFC_Source_4_Max_Amt),"The "&amp;TEXT(DS_FHFC_Source_4_Name,"0")&amp;" request amount has been adjusted to the Maximum of "&amp;TEXT(N(DS_FHFC_Source_4_Max_Amt),"$#,##0")&amp;".","")</f>
        <v/>
      </c>
      <c r="G288" s="2815"/>
      <c r="H288" s="2815"/>
      <c r="I288" s="2815"/>
      <c r="J288" s="2815"/>
      <c r="K288" s="2815"/>
      <c r="L288" s="2815"/>
      <c r="M288" s="1540" t="str">
        <f>IF(N(DS_FHFC_Source_4_Amt)&gt;N(DS_FHFC_Source_4_Max_Amt),DS_FHFC_Source_4_Label,"")</f>
        <v/>
      </c>
      <c r="T288" s="1537"/>
      <c r="U288" s="1537"/>
      <c r="V288" s="1537"/>
      <c r="W288" s="1537"/>
      <c r="X288" s="1537"/>
      <c r="Y288" s="1537"/>
    </row>
    <row r="289" spans="1:16" s="806" customFormat="1" ht="13">
      <c r="C289" s="1548"/>
      <c r="E289" s="1548"/>
    </row>
    <row r="290" spans="1:16" s="806" customFormat="1" ht="13">
      <c r="A290" s="1542" t="s">
        <v>618</v>
      </c>
      <c r="B290" s="1542" t="str">
        <f>IF(N(Competitive_HC_Request_Amount)&gt;0,"Competitive HC","")</f>
        <v/>
      </c>
      <c r="C290" s="1549" t="str">
        <f>IF(B290="Competitive HC",N(Competitive_HC_Request_Amount),"")</f>
        <v/>
      </c>
      <c r="D290" s="1542" t="str">
        <f>IF(B290="Competitive HC","FHFC - 9% HC","Enter Request on Funding Tab")</f>
        <v>Enter Request on Funding Tab</v>
      </c>
      <c r="E290" s="1549" t="str">
        <f>IF(B290="Competitive HC",N(Max_Competitive_HC),"")</f>
        <v/>
      </c>
      <c r="F290" s="2811" t="str">
        <f>IF(N(DS_FHFC_9HC_Amt)&gt;N(DS_FHFC_9HC_Max_Amt),"The Competitve HC request amount has been adjusted to the Maximum of "&amp;TEXT(N(DS_FHFC_9HC_Max_Amt),"$#,##0")&amp;".","")</f>
        <v/>
      </c>
      <c r="G290" s="2811"/>
      <c r="H290" s="2811"/>
      <c r="I290" s="2811"/>
      <c r="J290" s="2811"/>
      <c r="K290" s="2811"/>
      <c r="L290" s="2811"/>
      <c r="M290" s="1542" t="str">
        <f>IF(N(DS_FHFC_9HC_Amt)&gt;N(DS_FHFC_9HC_Max_Amt),DS_FHFC_9HC_Label,"")</f>
        <v/>
      </c>
    </row>
    <row r="291" spans="1:16" s="806" customFormat="1" ht="13">
      <c r="C291" s="1555"/>
      <c r="F291" s="1556"/>
      <c r="G291" s="1556"/>
      <c r="H291" s="1556"/>
      <c r="I291" s="1556"/>
      <c r="J291" s="1556"/>
      <c r="K291" s="1556"/>
      <c r="L291" s="1556"/>
    </row>
    <row r="292" spans="1:16" s="806" customFormat="1" ht="13">
      <c r="C292" s="1555"/>
      <c r="F292" s="1556"/>
      <c r="G292" s="1556"/>
      <c r="H292" s="1556"/>
      <c r="I292" s="1556"/>
      <c r="J292" s="1556"/>
      <c r="K292" s="1556"/>
      <c r="L292" s="1556"/>
    </row>
    <row r="293" spans="1:16" s="806" customFormat="1" ht="13">
      <c r="C293" s="1555"/>
      <c r="F293" s="1556"/>
      <c r="G293" s="1556"/>
      <c r="H293" s="1556"/>
      <c r="I293" s="1556"/>
      <c r="J293" s="1556"/>
      <c r="K293" s="1556"/>
      <c r="L293" s="1556"/>
    </row>
    <row r="294" spans="1:16" s="806" customFormat="1" ht="13">
      <c r="C294" s="1555"/>
      <c r="F294" s="1556"/>
      <c r="G294" s="1556"/>
      <c r="H294" s="1556"/>
      <c r="I294" s="1556"/>
      <c r="J294" s="1556"/>
      <c r="K294" s="1556"/>
      <c r="L294" s="1556"/>
    </row>
    <row r="295" spans="1:16">
      <c r="A295" s="1662" t="s">
        <v>2327</v>
      </c>
      <c r="B295" s="1663"/>
      <c r="C295" s="1663"/>
      <c r="D295" s="1663"/>
      <c r="E295" s="1663"/>
      <c r="F295" s="1663"/>
      <c r="G295" s="1663"/>
      <c r="H295" s="533" t="str">
        <f>IF(Minimum_SetAside_per_Sec_42="Live Local SAIL only (no HC)","Yes","No")</f>
        <v>No</v>
      </c>
      <c r="I295" s="1529" t="s">
        <v>742</v>
      </c>
      <c r="O295" s="788"/>
      <c r="P295" s="308"/>
    </row>
    <row r="296" spans="1:16">
      <c r="A296" s="1664" t="s">
        <v>1717</v>
      </c>
      <c r="B296" s="1665"/>
      <c r="C296" s="1665"/>
      <c r="D296" s="1665"/>
      <c r="E296" s="1665"/>
      <c r="F296" s="1665"/>
      <c r="G296" s="1665"/>
      <c r="H296" s="1666" t="s">
        <v>436</v>
      </c>
      <c r="I296" s="1529" t="s">
        <v>742</v>
      </c>
    </row>
    <row r="297" spans="1:16">
      <c r="A297" s="1664" t="s">
        <v>2064</v>
      </c>
      <c r="B297" s="1665"/>
      <c r="C297" s="1665"/>
      <c r="D297" s="1665"/>
      <c r="E297" s="1665"/>
      <c r="F297" s="1665"/>
      <c r="G297" s="1665"/>
      <c r="H297" s="1666" t="s">
        <v>436</v>
      </c>
      <c r="I297" s="1529" t="s">
        <v>742</v>
      </c>
    </row>
    <row r="298" spans="1:16">
      <c r="A298" s="1664" t="s">
        <v>1779</v>
      </c>
      <c r="B298" s="1665"/>
      <c r="C298" s="1665"/>
      <c r="D298" s="1665"/>
      <c r="E298" s="1665"/>
      <c r="F298" s="1665"/>
      <c r="G298" s="1665"/>
      <c r="H298" s="1666" t="s">
        <v>436</v>
      </c>
      <c r="I298" s="1529" t="s">
        <v>742</v>
      </c>
    </row>
    <row r="299" spans="1:16">
      <c r="A299" s="2409"/>
      <c r="B299" s="2409"/>
      <c r="C299" s="2409"/>
      <c r="D299" s="2409"/>
      <c r="E299" s="2409"/>
      <c r="F299" s="2409"/>
      <c r="G299" s="2409"/>
      <c r="H299" s="51"/>
      <c r="I299" s="1529"/>
    </row>
    <row r="300" spans="1:16">
      <c r="A300" s="2409"/>
      <c r="B300" s="2409"/>
      <c r="C300" s="2409"/>
      <c r="D300" s="2409"/>
      <c r="E300" s="2409"/>
      <c r="F300" s="2409"/>
      <c r="G300" s="2409"/>
      <c r="H300" s="51"/>
      <c r="I300" s="1529"/>
    </row>
    <row r="301" spans="1:16">
      <c r="A301" s="2409"/>
      <c r="B301" s="2409"/>
      <c r="C301" s="2409"/>
      <c r="D301" s="2409"/>
      <c r="E301" s="2409"/>
      <c r="F301" s="2409"/>
      <c r="G301" s="2409"/>
      <c r="H301" s="9" t="s">
        <v>3157</v>
      </c>
      <c r="I301" s="380" t="s">
        <v>3158</v>
      </c>
      <c r="J301" s="380" t="s">
        <v>3159</v>
      </c>
      <c r="K301" s="380" t="s">
        <v>3160</v>
      </c>
      <c r="L301" s="989" t="s">
        <v>3161</v>
      </c>
      <c r="M301" s="2410" t="s">
        <v>3162</v>
      </c>
      <c r="N301" s="989" t="s">
        <v>3163</v>
      </c>
    </row>
    <row r="302" spans="1:16">
      <c r="A302" s="856" t="s">
        <v>3153</v>
      </c>
      <c r="B302" s="2409"/>
      <c r="C302" s="2409"/>
      <c r="D302" s="2409"/>
      <c r="E302" s="290">
        <v>0.75</v>
      </c>
      <c r="F302" s="2409"/>
      <c r="G302" s="989" t="s">
        <v>3169</v>
      </c>
      <c r="H302" s="2415" cm="1">
        <f t="array" ref="H302">N(Hard_Cost_PU_F_NC)/IF(N('Pro Forma'!I320)&gt;0,N('Pro Forma'!I320),1)/IF(N('Pro Forma'!I321)&gt;0,N('Pro Forma'!I321),1)/IF(N('Pro Forma'!I322)&gt;0,N('Pro Forma'!I322),1)</f>
        <v>0</v>
      </c>
      <c r="I302" s="2270">
        <f>(Max_HC_NC)*(1+N(Esc_Factor))</f>
        <v>0</v>
      </c>
      <c r="J302" s="2270">
        <f>IFERROR(I302*'Pro Forma'!G306,0)</f>
        <v>0</v>
      </c>
      <c r="K302" s="2414">
        <v>0.18</v>
      </c>
      <c r="L302" s="2270">
        <f>IFERROR(J302*K302,"")</f>
        <v>0</v>
      </c>
      <c r="M302" s="2270">
        <f>IFERROR(J302*0.18,"")</f>
        <v>0</v>
      </c>
      <c r="N302" s="2270"/>
    </row>
    <row r="303" spans="1:16">
      <c r="A303" s="856" t="s">
        <v>3154</v>
      </c>
      <c r="B303" s="2409"/>
      <c r="C303" s="2409"/>
      <c r="D303" s="2409"/>
      <c r="E303" s="290">
        <v>0.7</v>
      </c>
      <c r="F303" s="2409"/>
      <c r="G303" s="989" t="s">
        <v>3170</v>
      </c>
      <c r="H303" s="2415">
        <f>N(Hard_Cost_PU_F_AR)/IF(N('Pro Forma'!I320)&gt;0,N('Pro Forma'!I320),1)/IF(N('Pro Forma'!I321)&gt;0,N('Pro Forma'!I321),1)/IF(N('Pro Forma'!I322)&gt;0,N('Pro Forma'!I322),1)</f>
        <v>0</v>
      </c>
      <c r="I303" s="2270">
        <f>(Max_HC_AR)*(1+N(Esc_Factor))</f>
        <v>0</v>
      </c>
      <c r="J303" s="2270">
        <f>IFERROR(I303*'Pro Forma'!G306,0)</f>
        <v>0</v>
      </c>
      <c r="K303" s="2414">
        <v>0.36</v>
      </c>
      <c r="L303" s="2270">
        <f>IFERROR(J303*K303,"")</f>
        <v>0</v>
      </c>
      <c r="M303" s="2270">
        <f>IFERROR(J303*0.18,"")</f>
        <v>0</v>
      </c>
      <c r="N303" s="2270"/>
    </row>
    <row r="304" spans="1:16">
      <c r="F304" s="2409"/>
      <c r="G304" s="2417" t="s">
        <v>3155</v>
      </c>
      <c r="H304" s="2418" cm="1">
        <f t="array" ref="H304">N(Hard_Soft_Costs_AOMult)-N(Max_HC_NC)-N(Max_HC_AR)</f>
        <v>0</v>
      </c>
      <c r="I304" s="2419">
        <f>Max_SC*(1+N(Esc_Factor))</f>
        <v>0</v>
      </c>
      <c r="J304" s="2419">
        <f>I304*N(Unit_Count)</f>
        <v>0</v>
      </c>
      <c r="K304" s="2414">
        <v>0.18</v>
      </c>
      <c r="L304" s="2270">
        <f>IFERROR(J304*K304,"")</f>
        <v>0</v>
      </c>
      <c r="M304" s="2270">
        <f>IFERROR(J304*0.18,"")</f>
        <v>0</v>
      </c>
      <c r="N304" s="2270"/>
    </row>
    <row r="305" spans="1:15" ht="15" thickBot="1">
      <c r="A305" s="2409"/>
      <c r="B305" s="2409"/>
      <c r="C305" s="2409"/>
      <c r="D305" s="2409"/>
      <c r="E305" s="2409"/>
      <c r="F305" s="2409"/>
      <c r="G305" s="989"/>
      <c r="H305" s="2415"/>
      <c r="J305" s="2420">
        <f>SUM(J302:J304)</f>
        <v>0</v>
      </c>
      <c r="K305" s="2414"/>
      <c r="L305" s="2421" t="str">
        <f>IF(SUM(L302:L304)&gt;0,ROUNDDOWN(SUM(L302:L304),0),"")</f>
        <v/>
      </c>
      <c r="M305" s="2421" t="str">
        <f>IF(SUM(M302:M304)&gt;0,ROUNDDOWN(SUM(M302:M304),0),"")</f>
        <v/>
      </c>
      <c r="N305" s="2421" t="str">
        <f>IFERROR(N316-N315,"")</f>
        <v/>
      </c>
    </row>
    <row r="306" spans="1:15" ht="15" thickTop="1">
      <c r="A306" s="2409"/>
      <c r="B306" s="2409"/>
      <c r="C306" s="2409"/>
      <c r="D306" s="2409"/>
      <c r="E306" s="2409"/>
      <c r="F306" s="2409"/>
      <c r="G306" s="989"/>
      <c r="H306" s="2415"/>
      <c r="K306" s="2414"/>
      <c r="L306" s="2270"/>
      <c r="M306" s="2270"/>
      <c r="N306" s="2270"/>
    </row>
    <row r="307" spans="1:15">
      <c r="A307" s="2409"/>
      <c r="B307" s="2409"/>
      <c r="C307" s="2409"/>
      <c r="D307" s="2409"/>
      <c r="E307" s="2409"/>
      <c r="F307" s="2409"/>
      <c r="G307" s="989" t="s">
        <v>3171</v>
      </c>
      <c r="H307" s="2238">
        <f>IFERROR(Max_HC_NC*(1/0.75-1)+('Pro Forma'!I317+'Pro Forma'!I318)*N('Pro Forma'!G304)/Unit_Count/IF(N('Pro Forma'!I320)&gt;0,N('Pro Forma'!I320),1)/IF(N('Pro Forma'!I321)&gt;0,N('Pro Forma'!I321),1)/IF(N('Pro Forma'!I322)&gt;0,N('Pro Forma'!I322),1),0)</f>
        <v>0</v>
      </c>
      <c r="I307" s="2238">
        <f>H307*(1+N(Esc_Factor))</f>
        <v>0</v>
      </c>
      <c r="J307" s="2238">
        <f>IFERROR(I307*'Pro Forma'!G306,0)</f>
        <v>0</v>
      </c>
      <c r="K307" s="2414">
        <v>0.18</v>
      </c>
      <c r="L307" s="2422">
        <f t="shared" ref="L307:L308" si="6">J307*K307</f>
        <v>0</v>
      </c>
      <c r="M307" s="2238"/>
      <c r="N307" s="2238"/>
    </row>
    <row r="308" spans="1:15">
      <c r="A308" s="2409"/>
      <c r="B308" s="2409"/>
      <c r="C308" s="2409"/>
      <c r="D308" s="2409"/>
      <c r="E308" s="2409"/>
      <c r="F308" s="2409"/>
      <c r="G308" s="989" t="s">
        <v>3172</v>
      </c>
      <c r="H308" s="2238">
        <f>IFERROR(Max_HC_AR*(1/0.7-1)+('Pro Forma'!I317+'Pro Forma'!I318)*N('Pro Forma'!G305)/Unit_Count/IF(N('Pro Forma'!I320)&gt;0,N('Pro Forma'!I320),1)/IF(N('Pro Forma'!I321)&gt;0,N('Pro Forma'!I321),1)/IF(N('Pro Forma'!I322)&gt;0,N('Pro Forma'!I322),1),0)</f>
        <v>0</v>
      </c>
      <c r="I308" s="2238">
        <f>H308*(1+N(Esc_Factor))</f>
        <v>0</v>
      </c>
      <c r="J308" s="2238">
        <f>IFERROR(I308*'Pro Forma'!G306,0)</f>
        <v>0</v>
      </c>
      <c r="K308" s="2414">
        <v>0.18</v>
      </c>
      <c r="L308" s="2422">
        <f t="shared" si="6"/>
        <v>0</v>
      </c>
      <c r="M308" s="2238"/>
      <c r="N308" s="2238"/>
    </row>
    <row r="309" spans="1:15" ht="15" thickBot="1">
      <c r="A309" s="2409"/>
      <c r="B309" s="2409"/>
      <c r="C309" s="2409"/>
      <c r="D309" s="2409"/>
      <c r="E309" s="2409"/>
      <c r="F309" s="2409"/>
      <c r="G309" s="2417" t="s">
        <v>3173</v>
      </c>
      <c r="H309" s="2418">
        <f>SUM(H307:H308)</f>
        <v>0</v>
      </c>
      <c r="I309" s="2419">
        <f>SUM(I307:I308)</f>
        <v>0</v>
      </c>
      <c r="J309" s="2419">
        <f>SUM(J307:J308)</f>
        <v>0</v>
      </c>
      <c r="L309" s="2423">
        <f>SUM(L307:L308)</f>
        <v>0</v>
      </c>
      <c r="M309" s="2238"/>
      <c r="N309" s="2238"/>
    </row>
    <row r="310" spans="1:15" ht="15" thickTop="1">
      <c r="G310" s="989"/>
      <c r="H310" s="2416"/>
      <c r="L310" s="2238"/>
      <c r="M310" s="2238"/>
    </row>
    <row r="311" spans="1:15">
      <c r="G311" s="989" t="s">
        <v>166</v>
      </c>
      <c r="H311" s="2416">
        <f>Max_HC_NC+H307</f>
        <v>0</v>
      </c>
      <c r="I311" s="2238">
        <f>I302+I307</f>
        <v>0</v>
      </c>
      <c r="J311" s="2238">
        <f>IFERROR(I311*'Pro Forma'!G306,0)</f>
        <v>0</v>
      </c>
      <c r="L311" s="2422">
        <f>L302+L307</f>
        <v>0</v>
      </c>
      <c r="M311" s="2238"/>
      <c r="N311" s="2238"/>
    </row>
    <row r="312" spans="1:15">
      <c r="G312" s="989" t="s">
        <v>141</v>
      </c>
      <c r="H312" s="2416">
        <f>Max_HC_AR+H308</f>
        <v>0</v>
      </c>
      <c r="I312" s="2238">
        <f>I303+I308</f>
        <v>0</v>
      </c>
      <c r="J312" s="2238">
        <f>IFERROR(I312*'Pro Forma'!G306,0)</f>
        <v>0</v>
      </c>
      <c r="L312" s="2422">
        <f>L303+L308</f>
        <v>0</v>
      </c>
      <c r="M312" s="2238"/>
      <c r="N312" s="2238"/>
    </row>
    <row r="313" spans="1:15">
      <c r="G313" s="989" t="s">
        <v>2372</v>
      </c>
      <c r="H313" s="2416">
        <f>SUM(H311:H312)</f>
        <v>0</v>
      </c>
      <c r="I313" s="2238">
        <f>SUM(I311:I312)</f>
        <v>0</v>
      </c>
      <c r="J313" s="2238">
        <f>SUM(J311:J312)</f>
        <v>0</v>
      </c>
      <c r="L313" s="2238"/>
      <c r="M313" s="2238"/>
      <c r="N313" s="2238"/>
    </row>
    <row r="314" spans="1:15">
      <c r="H314" s="2416"/>
      <c r="L314" s="2238"/>
      <c r="M314" s="2238"/>
      <c r="N314" s="2238"/>
    </row>
    <row r="315" spans="1:15">
      <c r="G315" s="989" t="s">
        <v>3156</v>
      </c>
      <c r="H315" s="2415"/>
      <c r="J315" s="2270">
        <f>IF(N(Acquisition_total)&gt;0,N(Acquisition_total),0)</f>
        <v>0</v>
      </c>
      <c r="K315" s="2414">
        <v>0.09</v>
      </c>
      <c r="L315" s="2270">
        <f>IFERROR(ROUNDDOWN(J315*K315,0),0)</f>
        <v>0</v>
      </c>
      <c r="M315" s="2270">
        <f>IFERROR(ROUNDDOWN(J315*0.18,0),"")</f>
        <v>0</v>
      </c>
      <c r="N315" s="2270" t="str">
        <f>IF(N(Acquisition_total)&gt;0,IF(AND(N(Non_Competitive_HC_Request_Amount)&gt;0,Funding!M310&gt;0,N(Rehab_Unit_Count)&gt;0),L315,N(Acquisition_total)*N(DS_MaxDevFeeAcq_Percent)),"")</f>
        <v/>
      </c>
    </row>
    <row r="316" spans="1:15">
      <c r="G316" s="2409"/>
      <c r="H316" s="2415"/>
      <c r="I316" s="1529"/>
      <c r="L316" s="2270" t="str">
        <f>IF(SUM(L311:L315)&gt;0,SUM(L311:L315),"")</f>
        <v/>
      </c>
      <c r="M316" s="2270" t="str">
        <f>IF(SUM(M305:M315)&gt;0,SUM(M305:M315),"")</f>
        <v/>
      </c>
      <c r="N316" s="2270" t="str">
        <f>IF(SUM(L316:M316)&gt;0,MIN(L316:M316),"")</f>
        <v/>
      </c>
    </row>
    <row r="317" spans="1:15" ht="15" thickBot="1">
      <c r="H317" s="2416"/>
    </row>
    <row r="318" spans="1:15">
      <c r="A318" s="1809" t="s">
        <v>783</v>
      </c>
      <c r="B318" s="1810"/>
      <c r="C318" s="1810"/>
      <c r="D318" s="1810"/>
      <c r="E318" s="1810"/>
      <c r="F318" s="1810"/>
      <c r="G318" s="1810"/>
      <c r="H318" s="1811"/>
      <c r="I318" s="856"/>
      <c r="J318" s="856"/>
      <c r="M318" s="2816" t="s">
        <v>784</v>
      </c>
      <c r="N318" s="2817"/>
      <c r="O318" s="1529" t="s">
        <v>742</v>
      </c>
    </row>
    <row r="319" spans="1:15">
      <c r="E319" s="849"/>
      <c r="F319" s="380" t="s">
        <v>2985</v>
      </c>
      <c r="G319" s="380" t="s">
        <v>2605</v>
      </c>
      <c r="H319" s="380" t="s">
        <v>2366</v>
      </c>
      <c r="I319" s="380" t="s">
        <v>1793</v>
      </c>
      <c r="J319" s="380" t="s">
        <v>2370</v>
      </c>
      <c r="K319" s="381" t="s">
        <v>2370</v>
      </c>
      <c r="L319" s="381" t="s">
        <v>2371</v>
      </c>
      <c r="M319" s="1598" t="s">
        <v>715</v>
      </c>
      <c r="N319" s="1599" t="s">
        <v>710</v>
      </c>
    </row>
    <row r="320" spans="1:15">
      <c r="C320" t="s">
        <v>648</v>
      </c>
      <c r="F320" s="317">
        <v>0</v>
      </c>
      <c r="G320" s="317">
        <v>0</v>
      </c>
      <c r="H320" s="317">
        <v>0</v>
      </c>
      <c r="I320" s="317">
        <v>0</v>
      </c>
      <c r="J320" s="317">
        <v>0</v>
      </c>
      <c r="K320" s="379">
        <v>0</v>
      </c>
      <c r="L320" s="379">
        <v>0</v>
      </c>
      <c r="M320" s="1600"/>
      <c r="N320" s="1601">
        <v>0</v>
      </c>
    </row>
    <row r="321" spans="1:18">
      <c r="A321" t="s">
        <v>785</v>
      </c>
      <c r="C321" t="s">
        <v>786</v>
      </c>
      <c r="F321" s="317">
        <v>284000</v>
      </c>
      <c r="G321" s="317">
        <v>275000</v>
      </c>
      <c r="H321" s="317">
        <v>258000</v>
      </c>
      <c r="I321" s="317">
        <v>240000</v>
      </c>
      <c r="J321" s="317">
        <v>370000</v>
      </c>
      <c r="K321" s="379">
        <v>370000</v>
      </c>
      <c r="L321" s="379">
        <v>311900</v>
      </c>
      <c r="M321" s="1600"/>
      <c r="N321" s="1601">
        <f>275000+IF(N$335="Yes",5000,0)</f>
        <v>275000</v>
      </c>
    </row>
    <row r="322" spans="1:18">
      <c r="A322" t="s">
        <v>787</v>
      </c>
      <c r="C322" t="s">
        <v>788</v>
      </c>
      <c r="F322" s="317">
        <v>256000</v>
      </c>
      <c r="G322" s="317">
        <v>247000</v>
      </c>
      <c r="H322" s="317">
        <v>233000</v>
      </c>
      <c r="I322" s="317">
        <v>220000</v>
      </c>
      <c r="J322" s="317">
        <v>320000</v>
      </c>
      <c r="K322" s="379">
        <v>320000</v>
      </c>
      <c r="L322" s="379">
        <v>270100</v>
      </c>
      <c r="M322" s="1600"/>
      <c r="N322" s="1601">
        <f>260000+IF(N$335="Yes",5000,0)</f>
        <v>260000</v>
      </c>
    </row>
    <row r="323" spans="1:18">
      <c r="A323" t="s">
        <v>789</v>
      </c>
      <c r="C323" t="s">
        <v>790</v>
      </c>
      <c r="F323" s="317">
        <v>338000</v>
      </c>
      <c r="G323" s="317">
        <v>330000</v>
      </c>
      <c r="H323" s="317">
        <v>310000</v>
      </c>
      <c r="I323" s="317">
        <v>290000</v>
      </c>
      <c r="J323" s="317">
        <v>420000</v>
      </c>
      <c r="K323" s="379">
        <v>420000</v>
      </c>
      <c r="L323" s="379">
        <v>358000</v>
      </c>
      <c r="M323" s="1600"/>
      <c r="N323" s="1601">
        <f>335000+IF(N$335="Yes",5000,0)</f>
        <v>335000</v>
      </c>
    </row>
    <row r="324" spans="1:18">
      <c r="A324" t="s">
        <v>791</v>
      </c>
      <c r="C324" t="s">
        <v>792</v>
      </c>
      <c r="F324" s="317">
        <v>311000</v>
      </c>
      <c r="G324" s="317">
        <v>302000</v>
      </c>
      <c r="H324" s="317">
        <v>285000</v>
      </c>
      <c r="I324" s="317">
        <v>270000</v>
      </c>
      <c r="J324" s="317">
        <v>410000</v>
      </c>
      <c r="K324" s="379">
        <v>410000</v>
      </c>
      <c r="L324" s="379">
        <v>344700</v>
      </c>
      <c r="M324" s="1600"/>
      <c r="N324" s="1601">
        <f>290000+IF(N$335="Yes",5000,0)</f>
        <v>290000</v>
      </c>
    </row>
    <row r="325" spans="1:18">
      <c r="A325" t="s">
        <v>793</v>
      </c>
      <c r="C325" t="s">
        <v>794</v>
      </c>
      <c r="F325" s="317">
        <v>284000</v>
      </c>
      <c r="G325" s="317">
        <v>275000</v>
      </c>
      <c r="H325" s="317">
        <v>258000</v>
      </c>
      <c r="I325" s="317">
        <v>240000</v>
      </c>
      <c r="J325" s="317">
        <v>370000</v>
      </c>
      <c r="K325" s="379">
        <v>370000</v>
      </c>
      <c r="L325" s="379">
        <v>311900</v>
      </c>
      <c r="M325" s="1600"/>
      <c r="N325" s="1601">
        <f>275000+IF(N$335="Yes",5000,0)</f>
        <v>275000</v>
      </c>
    </row>
    <row r="326" spans="1:18">
      <c r="A326" t="s">
        <v>795</v>
      </c>
      <c r="C326" t="s">
        <v>796</v>
      </c>
      <c r="F326" s="317">
        <v>122000</v>
      </c>
      <c r="G326" s="317">
        <v>115000</v>
      </c>
      <c r="H326" s="317">
        <v>106000</v>
      </c>
      <c r="I326" s="317">
        <v>100000</v>
      </c>
      <c r="J326" s="317">
        <v>170000</v>
      </c>
      <c r="K326" s="379">
        <v>170000</v>
      </c>
      <c r="L326" s="379">
        <v>146900</v>
      </c>
      <c r="M326" s="1602"/>
      <c r="N326" s="1603"/>
    </row>
    <row r="327" spans="1:18">
      <c r="A327" s="876" t="s">
        <v>797</v>
      </c>
      <c r="B327" s="876"/>
      <c r="C327" s="876" t="s">
        <v>798</v>
      </c>
      <c r="D327" s="876"/>
      <c r="E327" s="888"/>
      <c r="F327" s="1270">
        <v>147000</v>
      </c>
      <c r="G327" s="2360">
        <v>160000</v>
      </c>
      <c r="H327" s="1270">
        <v>146000</v>
      </c>
      <c r="I327" s="1270">
        <v>130000</v>
      </c>
      <c r="J327" s="1270">
        <v>260000</v>
      </c>
      <c r="K327" s="889">
        <v>260000</v>
      </c>
      <c r="L327" s="889">
        <v>221600</v>
      </c>
      <c r="M327" s="1604"/>
      <c r="N327" s="1605"/>
    </row>
    <row r="328" spans="1:18">
      <c r="A328" t="s">
        <v>799</v>
      </c>
      <c r="C328" t="s">
        <v>800</v>
      </c>
      <c r="F328" s="317">
        <v>312000</v>
      </c>
      <c r="G328" s="317">
        <v>300000</v>
      </c>
      <c r="H328" s="317">
        <v>283000</v>
      </c>
      <c r="I328" s="317">
        <v>260000</v>
      </c>
      <c r="J328" s="317">
        <v>390000</v>
      </c>
      <c r="K328" s="379">
        <v>390000</v>
      </c>
      <c r="L328" s="379">
        <v>327100</v>
      </c>
      <c r="M328" s="1600"/>
      <c r="N328" s="1601">
        <f>295000+IF(N$335="Yes",5000,0)</f>
        <v>295000</v>
      </c>
      <c r="Q328" s="497"/>
      <c r="R328" s="497"/>
    </row>
    <row r="329" spans="1:18">
      <c r="A329" t="s">
        <v>801</v>
      </c>
      <c r="C329" t="s">
        <v>802</v>
      </c>
      <c r="F329" s="317">
        <v>284000</v>
      </c>
      <c r="G329" s="317">
        <v>275000</v>
      </c>
      <c r="H329" s="317">
        <v>258000</v>
      </c>
      <c r="I329" s="317">
        <v>240000</v>
      </c>
      <c r="J329" s="317">
        <v>340000</v>
      </c>
      <c r="K329" s="379">
        <v>340000</v>
      </c>
      <c r="L329" s="379">
        <v>284500</v>
      </c>
      <c r="M329" s="1602"/>
      <c r="N329" s="1603"/>
    </row>
    <row r="330" spans="1:18">
      <c r="A330" t="s">
        <v>803</v>
      </c>
      <c r="C330" t="s">
        <v>804</v>
      </c>
      <c r="F330" s="317">
        <v>366000</v>
      </c>
      <c r="G330" s="317">
        <v>355000</v>
      </c>
      <c r="H330" s="317">
        <v>335000</v>
      </c>
      <c r="I330" s="317">
        <v>310000</v>
      </c>
      <c r="J330" s="317">
        <v>440000</v>
      </c>
      <c r="K330" s="379">
        <v>440000</v>
      </c>
      <c r="L330" s="379">
        <v>374700</v>
      </c>
      <c r="M330" s="1600"/>
      <c r="N330" s="1601">
        <f>370000+IF(N$335="Yes",5000,0)</f>
        <v>370000</v>
      </c>
      <c r="O330" s="1796"/>
    </row>
    <row r="331" spans="1:18">
      <c r="A331" t="s">
        <v>805</v>
      </c>
      <c r="C331" t="s">
        <v>806</v>
      </c>
      <c r="F331" s="317">
        <v>339000</v>
      </c>
      <c r="G331" s="317">
        <v>330000</v>
      </c>
      <c r="H331" s="317">
        <v>310000</v>
      </c>
      <c r="I331" s="317">
        <v>290000</v>
      </c>
      <c r="J331" s="317">
        <v>430000</v>
      </c>
      <c r="K331" s="379">
        <v>430000</v>
      </c>
      <c r="L331" s="379">
        <v>361000</v>
      </c>
      <c r="M331" s="1600"/>
      <c r="N331" s="1601">
        <f>315000+IF(N$335="Yes",5000,0)</f>
        <v>315000</v>
      </c>
      <c r="O331" s="1796"/>
    </row>
    <row r="332" spans="1:18">
      <c r="A332" t="s">
        <v>807</v>
      </c>
      <c r="C332" t="s">
        <v>808</v>
      </c>
      <c r="F332" s="317">
        <v>312000</v>
      </c>
      <c r="G332" s="317">
        <v>300000</v>
      </c>
      <c r="H332" s="317">
        <v>283000</v>
      </c>
      <c r="I332" s="317">
        <v>260000</v>
      </c>
      <c r="J332" s="317">
        <v>390000</v>
      </c>
      <c r="K332" s="379">
        <v>390000</v>
      </c>
      <c r="L332" s="379">
        <v>327100</v>
      </c>
      <c r="M332" s="1602"/>
      <c r="N332" s="1603"/>
      <c r="O332" s="1796"/>
    </row>
    <row r="333" spans="1:18">
      <c r="A333" t="s">
        <v>809</v>
      </c>
      <c r="C333" t="s">
        <v>810</v>
      </c>
      <c r="F333" s="317">
        <v>160000</v>
      </c>
      <c r="G333" s="317">
        <v>131000</v>
      </c>
      <c r="H333" s="317">
        <v>121000</v>
      </c>
      <c r="I333" s="317">
        <v>110000</v>
      </c>
      <c r="J333" s="317">
        <v>180000</v>
      </c>
      <c r="K333" s="379">
        <v>180000</v>
      </c>
      <c r="L333" s="379">
        <v>153600</v>
      </c>
      <c r="M333" s="1602"/>
      <c r="N333" s="1603"/>
    </row>
    <row r="334" spans="1:18" ht="15" thickBot="1">
      <c r="A334" t="s">
        <v>811</v>
      </c>
      <c r="C334" t="s">
        <v>812</v>
      </c>
      <c r="F334" s="317">
        <v>177000</v>
      </c>
      <c r="G334" s="317">
        <v>177000</v>
      </c>
      <c r="H334" s="317">
        <v>161000</v>
      </c>
      <c r="I334" s="317">
        <v>140000</v>
      </c>
      <c r="J334" s="317">
        <v>270000</v>
      </c>
      <c r="K334" s="379">
        <v>270000</v>
      </c>
      <c r="L334" s="379">
        <v>232600</v>
      </c>
      <c r="M334" s="1606"/>
      <c r="N334" s="1607"/>
    </row>
    <row r="335" spans="1:18">
      <c r="M335" s="849" t="s">
        <v>813</v>
      </c>
      <c r="N335" s="1589" t="str">
        <f>IF(AND(DS_Add_On_1_Y=1,OR(PHA_land_lease="Yes",PHA_as_Principal="Yes",AND(OR(HOME_Request_Amount&gt;0,ARP_Request_Amount&gt;0),Total_Units&gt;11))),"Yes","No")</f>
        <v>No</v>
      </c>
    </row>
    <row r="336" spans="1:18">
      <c r="A336" s="264"/>
      <c r="F336" s="2505"/>
      <c r="G336" s="2505"/>
      <c r="H336" s="2505"/>
      <c r="M336" t="s">
        <v>814</v>
      </c>
    </row>
    <row r="337" spans="1:14">
      <c r="H337" s="1796"/>
      <c r="I337" s="2505"/>
    </row>
    <row r="338" spans="1:14">
      <c r="L338" s="106" t="s">
        <v>2326</v>
      </c>
      <c r="M338" s="106" t="s">
        <v>2326</v>
      </c>
    </row>
    <row r="339" spans="1:14">
      <c r="A339" s="2796" t="s">
        <v>815</v>
      </c>
      <c r="B339" s="2797"/>
      <c r="C339" s="2797"/>
      <c r="D339" s="2797"/>
      <c r="E339" s="2797"/>
      <c r="F339" s="2797"/>
      <c r="G339" s="2798"/>
      <c r="H339" s="1529" t="s">
        <v>742</v>
      </c>
      <c r="L339" s="106" t="s">
        <v>1379</v>
      </c>
      <c r="M339" s="106" t="s">
        <v>1379</v>
      </c>
    </row>
    <row r="340" spans="1:14" ht="15" thickBot="1">
      <c r="F340" s="1560" t="s">
        <v>37</v>
      </c>
      <c r="G340" s="1561" t="s">
        <v>2320</v>
      </c>
      <c r="H340" s="1562" t="s">
        <v>2323</v>
      </c>
      <c r="I340" s="1562" t="s">
        <v>38</v>
      </c>
      <c r="J340" s="684"/>
      <c r="K340" s="684"/>
      <c r="L340" s="1562" t="s">
        <v>2324</v>
      </c>
      <c r="M340" s="1562" t="s">
        <v>2325</v>
      </c>
      <c r="N340" s="684"/>
    </row>
    <row r="341" spans="1:14">
      <c r="A341" t="s">
        <v>816</v>
      </c>
      <c r="E341" s="2519"/>
      <c r="F341" s="57">
        <v>1</v>
      </c>
      <c r="G341" s="57">
        <v>7500</v>
      </c>
      <c r="H341" s="1564"/>
      <c r="I341" s="1564"/>
      <c r="J341" s="1564"/>
      <c r="K341" s="1564"/>
      <c r="L341" s="1564"/>
      <c r="M341" s="1564"/>
      <c r="N341" s="1564"/>
    </row>
    <row r="342" spans="1:14">
      <c r="A342" s="1565" t="s">
        <v>817</v>
      </c>
      <c r="B342" s="1536"/>
      <c r="C342" s="1536"/>
      <c r="D342" s="1536"/>
      <c r="E342" s="2520"/>
      <c r="F342" s="1570">
        <v>1</v>
      </c>
      <c r="G342" s="1570">
        <v>0.95</v>
      </c>
      <c r="H342" s="1566">
        <f>IF(AND(DS_Multiplier_1_Y=1,Demographic="Elderly ALF"),1,0)</f>
        <v>0</v>
      </c>
      <c r="I342" s="1566">
        <f>SUM($H$342:$H342)</f>
        <v>0</v>
      </c>
      <c r="J342" s="1568" t="s">
        <v>2321</v>
      </c>
      <c r="K342" s="1569">
        <v>0.95</v>
      </c>
      <c r="L342" t="str">
        <f>IFERROR(VLOOKUP(1,I$342:J$351,2,FALSE),"No Applicable Multipliers")</f>
        <v>No Applicable Multipliers</v>
      </c>
      <c r="M342" s="1580" t="str">
        <f>IFERROR(VLOOKUP(1,I$342:K$351,3,FALSE),"")</f>
        <v/>
      </c>
    </row>
    <row r="343" spans="1:14">
      <c r="A343" s="24" t="s">
        <v>818</v>
      </c>
      <c r="F343" s="57">
        <v>0</v>
      </c>
      <c r="G343" s="57">
        <v>0.85</v>
      </c>
      <c r="H343" s="548">
        <f>IF(AND(DS_Multiplier_2_Y=1,H346=0,OR(Demographic="Homeless",Demographic="Persons with a Disabling Condition",Demographic="Persons with Developmental Disabilities",Demographic="Persons with Special Needs")),1,0)</f>
        <v>0</v>
      </c>
      <c r="I343" s="106">
        <f>SUM($H$342:$H343)</f>
        <v>0</v>
      </c>
      <c r="J343" s="1058" t="s">
        <v>2322</v>
      </c>
      <c r="K343" s="1563">
        <v>0.85</v>
      </c>
      <c r="L343" t="str">
        <f>IFERROR(VLOOKUP(2,I$342:J$351,2,FALSE),"")</f>
        <v/>
      </c>
      <c r="M343" s="1580" t="str">
        <f>IFERROR(VLOOKUP(2,I$342:K$351,3,FALSE),"")</f>
        <v/>
      </c>
    </row>
    <row r="344" spans="1:14">
      <c r="A344" s="24" t="s">
        <v>819</v>
      </c>
      <c r="B344" s="7"/>
      <c r="C344" s="7"/>
      <c r="D344" s="7"/>
      <c r="F344" s="57">
        <v>0</v>
      </c>
      <c r="G344" s="57">
        <v>0.85</v>
      </c>
      <c r="H344" s="548">
        <f>IF(AND(DS_Multiplier_3_Y=1,H346=0,County&lt;&gt;"Monroe",Total_Units&lt;51,OR(Demographic="Persons with a Disabling Condition",Demographic="Persons with Developmental Disabilities")),1,0)</f>
        <v>0</v>
      </c>
      <c r="I344" s="106">
        <f>SUM($H$342:$H344)</f>
        <v>0</v>
      </c>
      <c r="J344" s="1576" t="s">
        <v>819</v>
      </c>
      <c r="K344" s="1563">
        <v>0.85</v>
      </c>
      <c r="L344" t="str">
        <f>IFERROR(VLOOKUP(3,I$342:J$351,2,FALSE),"")</f>
        <v/>
      </c>
      <c r="M344" s="1580" t="str">
        <f>IFERROR(VLOOKUP(3,I$342:K$351,3,FALSE),"")</f>
        <v/>
      </c>
    </row>
    <row r="345" spans="1:14">
      <c r="A345" s="1565" t="s">
        <v>820</v>
      </c>
      <c r="B345" s="1571"/>
      <c r="C345" s="1571"/>
      <c r="D345" s="1571"/>
      <c r="E345" s="1566"/>
      <c r="F345" s="1567">
        <v>0</v>
      </c>
      <c r="G345" s="1567">
        <v>0.9</v>
      </c>
      <c r="H345" s="1572">
        <f>IF(AND(DS_Multiplier_4_Y=1,H346=0,County&lt;&gt;"Monroe",Total_Units&gt;50,Total_Units&lt;81,OR(Demographic="Persons with a Disabling Condition",Demographic="Persons with Developmental Disabilities")),1,0)</f>
        <v>0</v>
      </c>
      <c r="I345" s="1566">
        <f>SUM($H$342:$H345)</f>
        <v>0</v>
      </c>
      <c r="J345" s="1577" t="s">
        <v>820</v>
      </c>
      <c r="K345" s="1578">
        <v>0.9</v>
      </c>
      <c r="L345" t="str">
        <f>IFERROR(VLOOKUP(4,I$342:J$351,2,FALSE),"")</f>
        <v/>
      </c>
      <c r="M345" s="1580" t="str">
        <f>IFERROR(VLOOKUP(4,I$342:K$351,3,FALSE),"")</f>
        <v/>
      </c>
    </row>
    <row r="346" spans="1:14">
      <c r="A346" s="1792" t="s">
        <v>821</v>
      </c>
      <c r="B346" s="1793"/>
      <c r="C346" s="1793"/>
      <c r="D346" s="1573"/>
      <c r="E346" s="1790" t="s">
        <v>2577</v>
      </c>
      <c r="F346" s="1791">
        <v>0</v>
      </c>
      <c r="G346" s="1791">
        <v>0.6</v>
      </c>
      <c r="H346" s="1574">
        <f>IF(AND(DS_Multiplier_5_Y=1,ConstrFeaturesDeductQual="Yes",OR(Demographic="Persons with Developmental Disabilities",Demographic="Persons with a Disabling Condition")),1,0)</f>
        <v>0</v>
      </c>
      <c r="I346" s="1574">
        <f>SUM($H$342:$H346)</f>
        <v>0</v>
      </c>
      <c r="J346" s="1575" t="s">
        <v>821</v>
      </c>
      <c r="K346" s="1579">
        <v>0.6</v>
      </c>
      <c r="L346" t="str">
        <f>IFERROR(VLOOKUP(5,I$342:J$351,2,FALSE),"")</f>
        <v/>
      </c>
      <c r="M346" s="719" t="str">
        <f>IFERROR(VLOOKUP(5,I$342:K$351,3,FALSE),"")</f>
        <v/>
      </c>
    </row>
    <row r="347" spans="1:14">
      <c r="A347" s="24" t="s">
        <v>2318</v>
      </c>
      <c r="E347" s="2519"/>
      <c r="F347" s="57">
        <v>1</v>
      </c>
      <c r="G347" s="57">
        <v>0.89</v>
      </c>
      <c r="H347" s="106">
        <f>IF(AND(DS_Multiplier_6_Y=1,OR(PHA_land_lease="Yes",PHA_as_Principal="Yes")),1,0)</f>
        <v>0</v>
      </c>
      <c r="I347" s="106">
        <f>SUM($H$342:$H347)</f>
        <v>0</v>
      </c>
      <c r="J347" s="1058" t="s">
        <v>2318</v>
      </c>
      <c r="K347" s="719">
        <v>0.89</v>
      </c>
      <c r="L347" t="str">
        <f>IFERROR(VLOOKUP(6,I$342:J$351,2,FALSE),"")</f>
        <v/>
      </c>
      <c r="M347" s="719" t="str">
        <f>IFERROR(VLOOKUP(6,I$342:K$351,3,FALSE),"")</f>
        <v/>
      </c>
    </row>
    <row r="348" spans="1:14">
      <c r="A348" s="1565" t="s">
        <v>2364</v>
      </c>
      <c r="B348" s="1536"/>
      <c r="C348" s="1536"/>
      <c r="D348" s="1536"/>
      <c r="E348" s="1566"/>
      <c r="F348" s="1567">
        <v>0</v>
      </c>
      <c r="G348" s="1567">
        <v>0.89</v>
      </c>
      <c r="H348" s="1566">
        <f>IF(AND(H347=0,DS_Multiplier_7_Y=1,OR(Total_HOME_Assisted_Units&gt;11,Total_CDBG_DR_Assisted_Units&gt;11)),1,0)</f>
        <v>0</v>
      </c>
      <c r="I348" s="1566">
        <f>SUM($H$342:$H348)</f>
        <v>0</v>
      </c>
      <c r="J348" s="1568" t="s">
        <v>2319</v>
      </c>
      <c r="K348" s="1156">
        <v>0.89</v>
      </c>
      <c r="L348" t="str">
        <f>IFERROR(VLOOKUP(7,I$342:J$351,2,FALSE),"")</f>
        <v/>
      </c>
      <c r="M348" s="719" t="str">
        <f>IFERROR(VLOOKUP(7,I$342:K$351,3,FALSE),"")</f>
        <v/>
      </c>
    </row>
    <row r="349" spans="1:14">
      <c r="A349" s="24" t="s">
        <v>3150</v>
      </c>
      <c r="F349" s="57">
        <v>1</v>
      </c>
      <c r="G349" s="57">
        <v>0.89</v>
      </c>
      <c r="H349" s="2403"/>
      <c r="I349" s="106">
        <f>SUM($H$342:$H349)</f>
        <v>0</v>
      </c>
      <c r="J349" s="1058" t="str">
        <f>A349</f>
        <v>BABA Multiplier</v>
      </c>
      <c r="K349" s="1563">
        <v>0.89</v>
      </c>
      <c r="L349" t="str">
        <f>IFERROR(VLOOKUP(8,I$342:J$351,2,FALSE),"")</f>
        <v/>
      </c>
      <c r="M349" s="1559" t="str">
        <f>IFERROR(VLOOKUP(8,I$342:K$351,3,FALSE),"")</f>
        <v/>
      </c>
    </row>
    <row r="350" spans="1:14">
      <c r="A350" s="24" t="s">
        <v>822</v>
      </c>
      <c r="E350" s="2519"/>
      <c r="F350" s="57">
        <v>1</v>
      </c>
      <c r="G350" s="57">
        <v>0.65</v>
      </c>
      <c r="H350" s="106">
        <f>IF(AND(DS_Multiplier_8_Y=1,County="Monroe",FLKeys_N_S="North Florida Keys Area"),1,0)</f>
        <v>0</v>
      </c>
      <c r="I350" s="106">
        <f>SUM($H$342:$H350)</f>
        <v>0</v>
      </c>
      <c r="J350" s="1058" t="s">
        <v>822</v>
      </c>
      <c r="K350" s="1563">
        <v>0.65</v>
      </c>
      <c r="L350" t="str">
        <f>IFERROR(VLOOKUP(9,I$342:J$351,2,FALSE),"")</f>
        <v/>
      </c>
      <c r="M350" s="1559" t="str">
        <f>IFERROR(VLOOKUP(9,I$342:K$351,3,FALSE),"")</f>
        <v/>
      </c>
    </row>
    <row r="351" spans="1:14">
      <c r="A351" s="1565" t="s">
        <v>823</v>
      </c>
      <c r="B351" s="1536"/>
      <c r="C351" s="1536"/>
      <c r="D351" s="1536"/>
      <c r="E351" s="2520"/>
      <c r="F351" s="1567">
        <v>1</v>
      </c>
      <c r="G351" s="1567">
        <v>0.5</v>
      </c>
      <c r="H351" s="1566">
        <f>IF(AND(DS_Multiplier_9_Y=1,County="Monroe",FLKeys_N_S="South Florida Keys Area"),1,0)</f>
        <v>0</v>
      </c>
      <c r="I351" s="1566">
        <f>SUM($H$342:$H351)</f>
        <v>0</v>
      </c>
      <c r="J351" s="1568" t="s">
        <v>823</v>
      </c>
      <c r="K351" s="1578">
        <v>0.5</v>
      </c>
      <c r="L351" t="str">
        <f>IFERROR(VLOOKUP(10,I$342:J$351,2,FALSE),"")</f>
        <v/>
      </c>
      <c r="M351" s="1559" t="str">
        <f>IFERROR(VLOOKUP(10,I$342:K$351,3,FALSE),"")</f>
        <v/>
      </c>
    </row>
    <row r="353" spans="1:11">
      <c r="A353" s="2796" t="s">
        <v>1857</v>
      </c>
      <c r="B353" s="2797"/>
      <c r="C353" s="2797"/>
      <c r="D353" s="2797"/>
      <c r="E353" s="2797"/>
      <c r="F353" s="2797"/>
      <c r="G353" s="2798"/>
      <c r="H353" s="1529" t="s">
        <v>742</v>
      </c>
    </row>
    <row r="354" spans="1:11">
      <c r="A354" s="7" t="s">
        <v>1857</v>
      </c>
      <c r="F354" s="57">
        <v>1</v>
      </c>
      <c r="G354" s="1220">
        <v>0.06</v>
      </c>
    </row>
    <row r="356" spans="1:11">
      <c r="A356" t="s">
        <v>824</v>
      </c>
    </row>
    <row r="358" spans="1:11">
      <c r="H358" s="331" t="s">
        <v>825</v>
      </c>
    </row>
    <row r="360" spans="1:11">
      <c r="A360" s="2796" t="s">
        <v>826</v>
      </c>
      <c r="B360" s="2797"/>
      <c r="C360" s="2797"/>
      <c r="D360" s="2797"/>
      <c r="E360" s="2797"/>
      <c r="F360" s="2797"/>
      <c r="G360" s="2798"/>
      <c r="H360" s="835" t="s">
        <v>37</v>
      </c>
      <c r="I360" s="574" t="s">
        <v>827</v>
      </c>
      <c r="J360" s="824" t="s">
        <v>828</v>
      </c>
      <c r="K360" s="1529" t="s">
        <v>742</v>
      </c>
    </row>
    <row r="361" spans="1:11">
      <c r="A361" t="s">
        <v>829</v>
      </c>
      <c r="B361" s="573" t="s">
        <v>830</v>
      </c>
      <c r="C361" s="525"/>
      <c r="D361" s="525"/>
      <c r="E361" s="525"/>
      <c r="F361" s="525"/>
      <c r="G361" s="525"/>
      <c r="H361" s="874">
        <v>1</v>
      </c>
      <c r="I361" s="57">
        <v>2</v>
      </c>
      <c r="J361" s="548" t="str">
        <f>IF(N(FLJobs_Score)&gt;=N(DS_FLJobs_Min_Score1),"Yes",IF(N(FLJobs_Score)&lt;N(DS_FLJobs_Min_Score1),"No","NA"))</f>
        <v>No</v>
      </c>
      <c r="K361" s="6" t="str">
        <f t="shared" ref="K361:K372" si="7">IF(H361="","",IF(H361=0,"Not ","")&amp;"Applicable to this RFA")</f>
        <v>Applicable to this RFA</v>
      </c>
    </row>
    <row r="362" spans="1:11">
      <c r="A362" t="s">
        <v>829</v>
      </c>
      <c r="B362" s="283" t="s">
        <v>831</v>
      </c>
      <c r="C362" s="284"/>
      <c r="D362" s="284"/>
      <c r="E362" s="284"/>
      <c r="F362" s="284"/>
      <c r="G362" s="284"/>
      <c r="H362" s="874">
        <v>0</v>
      </c>
      <c r="I362" s="57"/>
      <c r="J362" s="548" t="str">
        <f>IF(Qualified_Fin_Assist_Pref_Met="TBD","",Qualified_Fin_Assist_Pref_Met)</f>
        <v/>
      </c>
      <c r="K362" s="6" t="str">
        <f t="shared" si="7"/>
        <v>Not Applicable to this RFA</v>
      </c>
    </row>
    <row r="363" spans="1:11">
      <c r="A363" t="s">
        <v>829</v>
      </c>
      <c r="B363" s="283" t="s">
        <v>832</v>
      </c>
      <c r="C363" s="284"/>
      <c r="D363" s="284"/>
      <c r="E363" s="284"/>
      <c r="F363" s="284"/>
      <c r="G363" s="284"/>
      <c r="H363" s="874">
        <v>0</v>
      </c>
      <c r="I363" s="57"/>
      <c r="J363" s="106" t="str">
        <f>PerUnitConstFundingPref</f>
        <v/>
      </c>
      <c r="K363" s="6" t="str">
        <f t="shared" si="7"/>
        <v>Not Applicable to this RFA</v>
      </c>
    </row>
    <row r="364" spans="1:11">
      <c r="A364" t="s">
        <v>829</v>
      </c>
      <c r="B364" s="283" t="s">
        <v>833</v>
      </c>
      <c r="C364" s="284"/>
      <c r="D364" s="284"/>
      <c r="E364" s="284"/>
      <c r="F364" s="284"/>
      <c r="G364" s="284"/>
      <c r="H364" s="874">
        <v>0</v>
      </c>
      <c r="I364" s="57"/>
      <c r="J364" s="106"/>
      <c r="K364" s="6" t="str">
        <f t="shared" si="7"/>
        <v>Not Applicable to this RFA</v>
      </c>
    </row>
    <row r="365" spans="1:11">
      <c r="A365" t="s">
        <v>829</v>
      </c>
      <c r="B365" s="283" t="s">
        <v>834</v>
      </c>
      <c r="C365" s="284"/>
      <c r="D365" s="284"/>
      <c r="E365" s="284"/>
      <c r="F365" s="284"/>
      <c r="G365" s="284"/>
      <c r="H365" s="874">
        <v>0</v>
      </c>
      <c r="I365" s="57"/>
      <c r="J365" s="106"/>
      <c r="K365" s="6" t="str">
        <f t="shared" si="7"/>
        <v>Not Applicable to this RFA</v>
      </c>
    </row>
    <row r="366" spans="1:11">
      <c r="A366" t="s">
        <v>829</v>
      </c>
      <c r="B366" s="283" t="s">
        <v>835</v>
      </c>
      <c r="C366" s="284"/>
      <c r="D366" s="284"/>
      <c r="E366" s="284"/>
      <c r="F366" s="284"/>
      <c r="G366" s="284"/>
      <c r="H366" s="874">
        <v>1</v>
      </c>
      <c r="I366" s="57">
        <v>1</v>
      </c>
      <c r="J366" s="765">
        <f>Total_Corp_Funding_PSAU</f>
        <v>0</v>
      </c>
      <c r="K366" s="6" t="str">
        <f t="shared" si="7"/>
        <v>Applicable to this RFA</v>
      </c>
    </row>
    <row r="367" spans="1:11">
      <c r="A367" t="s">
        <v>829</v>
      </c>
      <c r="B367" s="283" t="s">
        <v>836</v>
      </c>
      <c r="C367" s="284"/>
      <c r="D367" s="284"/>
      <c r="E367" s="284"/>
      <c r="F367" s="284"/>
      <c r="G367" s="284"/>
      <c r="H367" s="874">
        <v>0</v>
      </c>
      <c r="I367" s="57"/>
      <c r="J367" s="763" t="str">
        <f>IF(H367=0,"",IFERROR((MIN(N(Max_SAIL),N(SAIL_Request_Amount))+MIN(N(Max_ARP),N(ARP_Request_Amount)))/IF(Minimum_SetAside_per_Sec_42&lt;&gt;"Average Income Test",SUM('Units, Set-Asides, Bldgs'!F50:F58),IF(Minimum_SetAside_per_Sec_42="Average Income Test",SUM('Units, Set-Asides, Bldgs'!F71:F77),0)),"TBD"))</f>
        <v/>
      </c>
      <c r="K367" s="6" t="str">
        <f t="shared" si="7"/>
        <v>Not Applicable to this RFA</v>
      </c>
    </row>
    <row r="368" spans="1:11">
      <c r="A368" t="s">
        <v>829</v>
      </c>
      <c r="B368" s="283" t="s">
        <v>837</v>
      </c>
      <c r="C368" s="284"/>
      <c r="D368" s="284"/>
      <c r="E368" s="284"/>
      <c r="F368" s="284"/>
      <c r="G368" s="284"/>
      <c r="H368" s="874">
        <v>0</v>
      </c>
      <c r="I368" s="57"/>
      <c r="J368" s="764" t="str">
        <f>IF(H368=0,"",IFERROR(IF(MIN(N(Max_ARP),N(ARP_Request_Amount))/N(TDC_total)&lt;=0.9,"Yes","No"),"TBD"))</f>
        <v/>
      </c>
      <c r="K368" s="6" t="str">
        <f t="shared" si="7"/>
        <v>Not Applicable to this RFA</v>
      </c>
    </row>
    <row r="369" spans="1:14">
      <c r="A369" t="s">
        <v>829</v>
      </c>
      <c r="B369" s="283" t="s">
        <v>838</v>
      </c>
      <c r="C369" s="284"/>
      <c r="D369" s="284"/>
      <c r="E369" s="284"/>
      <c r="F369" s="284"/>
      <c r="G369" s="284"/>
      <c r="H369" s="874">
        <v>0</v>
      </c>
      <c r="I369" s="57"/>
      <c r="J369" s="106"/>
      <c r="K369" s="6" t="str">
        <f t="shared" si="7"/>
        <v>Not Applicable to this RFA</v>
      </c>
    </row>
    <row r="370" spans="1:14">
      <c r="A370" t="s">
        <v>829</v>
      </c>
      <c r="B370" s="283" t="s">
        <v>839</v>
      </c>
      <c r="C370" s="284"/>
      <c r="D370" s="284"/>
      <c r="E370" s="284"/>
      <c r="F370" s="284"/>
      <c r="G370" s="284"/>
      <c r="H370" s="874">
        <v>0</v>
      </c>
      <c r="I370" s="57"/>
      <c r="J370" s="106"/>
      <c r="K370" s="6" t="str">
        <f t="shared" si="7"/>
        <v>Not Applicable to this RFA</v>
      </c>
    </row>
    <row r="371" spans="1:14">
      <c r="A371" s="1807" t="s">
        <v>2600</v>
      </c>
      <c r="B371" s="283" t="s">
        <v>2599</v>
      </c>
      <c r="C371" s="284"/>
      <c r="D371" s="284"/>
      <c r="E371" s="284"/>
      <c r="F371" s="284"/>
      <c r="G371" s="284"/>
      <c r="H371" s="874">
        <v>0</v>
      </c>
      <c r="I371" s="57"/>
      <c r="J371" s="106" t="str">
        <f>Tier_Level</f>
        <v>&lt;select one&gt;</v>
      </c>
      <c r="K371" s="6" t="str">
        <f t="shared" si="7"/>
        <v>Not Applicable to this RFA</v>
      </c>
    </row>
    <row r="372" spans="1:14">
      <c r="A372" t="s">
        <v>829</v>
      </c>
      <c r="B372" s="283" t="s">
        <v>840</v>
      </c>
      <c r="C372" s="284"/>
      <c r="D372" s="284"/>
      <c r="E372" s="284"/>
      <c r="F372" s="284"/>
      <c r="G372" s="284"/>
      <c r="H372" s="874">
        <v>0</v>
      </c>
      <c r="I372" s="57"/>
      <c r="J372" s="106"/>
      <c r="K372" s="6" t="str">
        <f t="shared" si="7"/>
        <v>Not Applicable to this RFA</v>
      </c>
    </row>
    <row r="373" spans="1:14">
      <c r="A373" s="664" t="s">
        <v>829</v>
      </c>
      <c r="B373" s="665"/>
      <c r="C373" s="665"/>
      <c r="D373" s="665"/>
      <c r="E373" s="665"/>
      <c r="F373" s="665"/>
      <c r="G373" s="665"/>
      <c r="H373" s="666"/>
      <c r="I373" s="666"/>
      <c r="J373" s="667"/>
      <c r="K373" s="668" t="s">
        <v>841</v>
      </c>
      <c r="L373" s="669"/>
      <c r="N373" s="6"/>
    </row>
    <row r="374" spans="1:14">
      <c r="A374" s="664" t="s">
        <v>829</v>
      </c>
      <c r="B374" s="670"/>
      <c r="C374" s="670"/>
      <c r="D374" s="670"/>
      <c r="E374" s="670"/>
      <c r="F374" s="670"/>
      <c r="G374" s="670"/>
      <c r="H374" s="664"/>
      <c r="I374" s="664"/>
      <c r="J374" s="664"/>
      <c r="K374" s="668" t="s">
        <v>841</v>
      </c>
      <c r="L374" s="669"/>
      <c r="N374" s="6"/>
    </row>
    <row r="375" spans="1:14">
      <c r="A375" s="664" t="s">
        <v>829</v>
      </c>
      <c r="B375" s="670"/>
      <c r="C375" s="670"/>
      <c r="D375" s="670"/>
      <c r="E375" s="670"/>
      <c r="F375" s="670"/>
      <c r="G375" s="670"/>
      <c r="H375" s="670"/>
      <c r="I375" s="670"/>
      <c r="J375" s="664"/>
      <c r="K375" s="668" t="s">
        <v>841</v>
      </c>
      <c r="L375" s="664"/>
    </row>
    <row r="376" spans="1:14">
      <c r="A376" s="664" t="s">
        <v>829</v>
      </c>
      <c r="B376" s="670"/>
      <c r="C376" s="670"/>
      <c r="D376" s="670"/>
      <c r="E376" s="670"/>
      <c r="F376" s="670"/>
      <c r="G376" s="670"/>
      <c r="H376" s="670"/>
      <c r="I376" s="670"/>
      <c r="J376" s="664"/>
      <c r="K376" s="668" t="s">
        <v>841</v>
      </c>
      <c r="L376" s="664"/>
    </row>
    <row r="377" spans="1:14">
      <c r="A377" s="664" t="s">
        <v>829</v>
      </c>
      <c r="B377" s="670"/>
      <c r="C377" s="670"/>
      <c r="D377" s="670"/>
      <c r="E377" s="670"/>
      <c r="F377" s="670"/>
      <c r="G377" s="670"/>
      <c r="H377" s="670"/>
      <c r="I377" s="670"/>
      <c r="J377" s="664"/>
      <c r="K377" s="668" t="s">
        <v>841</v>
      </c>
      <c r="L377" s="664"/>
    </row>
    <row r="380" spans="1:14">
      <c r="E380"/>
    </row>
    <row r="381" spans="1:14">
      <c r="E381"/>
    </row>
    <row r="382" spans="1:14">
      <c r="E382"/>
    </row>
    <row r="383" spans="1:14">
      <c r="E383"/>
    </row>
    <row r="384" spans="1:14">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5:5">
      <c r="E401"/>
    </row>
    <row r="402" spans="5:5">
      <c r="E402"/>
    </row>
    <row r="403" spans="5:5">
      <c r="E403"/>
    </row>
    <row r="404" spans="5:5">
      <c r="E404"/>
    </row>
    <row r="405" spans="5:5">
      <c r="E405"/>
    </row>
    <row r="406" spans="5:5">
      <c r="E406"/>
    </row>
    <row r="407" spans="5:5">
      <c r="E407"/>
    </row>
    <row r="408" spans="5:5">
      <c r="E408"/>
    </row>
    <row r="409" spans="5:5">
      <c r="E409"/>
    </row>
    <row r="410" spans="5:5">
      <c r="E410"/>
    </row>
    <row r="411" spans="5:5">
      <c r="E411"/>
    </row>
    <row r="412" spans="5:5">
      <c r="E412"/>
    </row>
    <row r="413" spans="5:5">
      <c r="E413"/>
    </row>
    <row r="414" spans="5:5">
      <c r="E414"/>
    </row>
    <row r="415" spans="5:5">
      <c r="E415"/>
    </row>
    <row r="416" spans="5:5">
      <c r="E416"/>
    </row>
    <row r="417" spans="5:5">
      <c r="E417"/>
    </row>
    <row r="418" spans="5:5">
      <c r="E418"/>
    </row>
    <row r="419" spans="5:5">
      <c r="E419"/>
    </row>
    <row r="420" spans="5:5">
      <c r="E420"/>
    </row>
    <row r="421" spans="5:5">
      <c r="E421"/>
    </row>
    <row r="422" spans="5:5">
      <c r="E422"/>
    </row>
    <row r="423" spans="5:5">
      <c r="E423"/>
    </row>
    <row r="424" spans="5:5">
      <c r="E424"/>
    </row>
    <row r="425" spans="5:5">
      <c r="E425"/>
    </row>
    <row r="426" spans="5:5">
      <c r="E426"/>
    </row>
    <row r="427" spans="5:5">
      <c r="E427"/>
    </row>
    <row r="428" spans="5:5">
      <c r="E428"/>
    </row>
    <row r="429" spans="5:5">
      <c r="E429"/>
    </row>
    <row r="430" spans="5:5">
      <c r="E430"/>
    </row>
    <row r="431" spans="5:5">
      <c r="E431"/>
    </row>
    <row r="432" spans="5:5">
      <c r="E432"/>
    </row>
    <row r="433" spans="4:6">
      <c r="E433"/>
    </row>
    <row r="434" spans="4:6">
      <c r="E434"/>
    </row>
    <row r="435" spans="4:6">
      <c r="E435"/>
    </row>
    <row r="436" spans="4:6">
      <c r="E436"/>
    </row>
    <row r="437" spans="4:6">
      <c r="E437"/>
    </row>
    <row r="438" spans="4:6">
      <c r="E438"/>
    </row>
    <row r="439" spans="4:6">
      <c r="E439"/>
    </row>
    <row r="440" spans="4:6">
      <c r="E440"/>
    </row>
    <row r="441" spans="4:6">
      <c r="E441"/>
    </row>
    <row r="442" spans="4:6">
      <c r="E442"/>
    </row>
    <row r="443" spans="4:6">
      <c r="E443"/>
    </row>
    <row r="444" spans="4:6">
      <c r="E444"/>
    </row>
    <row r="445" spans="4:6">
      <c r="E445"/>
    </row>
    <row r="446" spans="4:6">
      <c r="E446"/>
    </row>
    <row r="447" spans="4:6">
      <c r="E447"/>
    </row>
    <row r="448" spans="4:6">
      <c r="D448" s="51"/>
      <c r="E448" s="50"/>
      <c r="F448" s="50"/>
    </row>
    <row r="449" spans="4:6">
      <c r="D449" s="51"/>
      <c r="E449" s="50"/>
      <c r="F449" s="50"/>
    </row>
    <row r="450" spans="4:6">
      <c r="D450" s="51"/>
      <c r="E450" s="50"/>
      <c r="F450" s="50"/>
    </row>
    <row r="451" spans="4:6">
      <c r="D451" s="51"/>
      <c r="E451" s="50"/>
      <c r="F451" s="50"/>
    </row>
    <row r="452" spans="4:6">
      <c r="D452" s="51"/>
      <c r="E452" s="50"/>
      <c r="F452" s="50"/>
    </row>
    <row r="453" spans="4:6">
      <c r="D453" s="51"/>
      <c r="E453" s="50"/>
      <c r="F453" s="50"/>
    </row>
    <row r="454" spans="4:6">
      <c r="D454" s="51"/>
      <c r="E454" s="50"/>
      <c r="F454" s="50"/>
    </row>
    <row r="455" spans="4:6">
      <c r="D455" s="51"/>
      <c r="E455" s="50"/>
      <c r="F455" s="50"/>
    </row>
    <row r="456" spans="4:6">
      <c r="D456" s="51"/>
      <c r="E456" s="50"/>
      <c r="F456" s="50"/>
    </row>
    <row r="457" spans="4:6">
      <c r="D457" s="51"/>
      <c r="E457" s="50"/>
      <c r="F457" s="50"/>
    </row>
    <row r="458" spans="4:6">
      <c r="D458" s="51"/>
      <c r="E458" s="50"/>
      <c r="F458" s="50"/>
    </row>
    <row r="459" spans="4:6">
      <c r="D459" s="51"/>
      <c r="E459" s="50"/>
      <c r="F459" s="50"/>
    </row>
    <row r="460" spans="4:6">
      <c r="D460" s="51"/>
      <c r="E460" s="50"/>
      <c r="F460" s="50"/>
    </row>
    <row r="461" spans="4:6">
      <c r="D461" s="51"/>
      <c r="E461" s="50"/>
      <c r="F461" s="50"/>
    </row>
    <row r="462" spans="4:6">
      <c r="D462" s="51"/>
      <c r="E462" s="50"/>
      <c r="F462" s="50"/>
    </row>
    <row r="463" spans="4:6">
      <c r="D463" s="51"/>
      <c r="E463" s="50"/>
      <c r="F463" s="50"/>
    </row>
    <row r="464" spans="4:6">
      <c r="D464" s="51"/>
      <c r="E464" s="50"/>
      <c r="F464" s="50"/>
    </row>
    <row r="465" spans="4:6">
      <c r="D465" s="51"/>
      <c r="E465" s="50"/>
      <c r="F465" s="50"/>
    </row>
    <row r="466" spans="4:6">
      <c r="D466" s="51"/>
      <c r="E466" s="50"/>
      <c r="F466" s="50"/>
    </row>
    <row r="467" spans="4:6">
      <c r="D467" s="51"/>
      <c r="E467" s="50"/>
      <c r="F467" s="50"/>
    </row>
    <row r="468" spans="4:6">
      <c r="D468" s="51"/>
      <c r="E468" s="50"/>
      <c r="F468" s="50"/>
    </row>
    <row r="469" spans="4:6">
      <c r="D469" s="51"/>
      <c r="E469" s="50"/>
      <c r="F469" s="50"/>
    </row>
    <row r="470" spans="4:6">
      <c r="D470" s="51"/>
      <c r="E470" s="50"/>
      <c r="F470" s="50"/>
    </row>
    <row r="471" spans="4:6">
      <c r="D471" s="51"/>
      <c r="E471" s="50"/>
      <c r="F471" s="50"/>
    </row>
    <row r="472" spans="4:6">
      <c r="D472" s="51"/>
      <c r="E472" s="50"/>
      <c r="F472" s="50"/>
    </row>
    <row r="473" spans="4:6">
      <c r="D473" s="51"/>
      <c r="E473" s="50"/>
      <c r="F473" s="50"/>
    </row>
  </sheetData>
  <sheetProtection algorithmName="SHA-512" hashValue="PrIIUum6aF6o8nTeuuPt8+LdJhkubnDq+cVF0f1xF9Vsi7iGaf0U3pHPTXE4gAerpQy48Qxshlrb47Y1gizVvQ==" saltValue="WQQD4MgC8oX+MJfRQtpN9Q==" spinCount="100000" sheet="1" objects="1" scenarios="1"/>
  <sortState xmlns:xlrd2="http://schemas.microsoft.com/office/spreadsheetml/2017/richdata2" ref="M82:M90">
    <sortCondition ref="M82:M90"/>
  </sortState>
  <mergeCells count="42">
    <mergeCell ref="L2:M2"/>
    <mergeCell ref="A201:G201"/>
    <mergeCell ref="A214:G214"/>
    <mergeCell ref="A74:G74"/>
    <mergeCell ref="G2:K2"/>
    <mergeCell ref="I132:I135"/>
    <mergeCell ref="J132:J135"/>
    <mergeCell ref="I136:I138"/>
    <mergeCell ref="J136:J138"/>
    <mergeCell ref="J143:J144"/>
    <mergeCell ref="J160:J161"/>
    <mergeCell ref="I149:I152"/>
    <mergeCell ref="I153:I155"/>
    <mergeCell ref="J149:J152"/>
    <mergeCell ref="J153:J155"/>
    <mergeCell ref="A235:G235"/>
    <mergeCell ref="M318:N318"/>
    <mergeCell ref="I158:I159"/>
    <mergeCell ref="I156:I157"/>
    <mergeCell ref="J156:J157"/>
    <mergeCell ref="J158:J159"/>
    <mergeCell ref="F284:L284"/>
    <mergeCell ref="F287:L287"/>
    <mergeCell ref="F288:L288"/>
    <mergeCell ref="D258:E259"/>
    <mergeCell ref="L237:V240"/>
    <mergeCell ref="N89:N90"/>
    <mergeCell ref="O89:O90"/>
    <mergeCell ref="N91:N97"/>
    <mergeCell ref="O91:O97"/>
    <mergeCell ref="A360:G360"/>
    <mergeCell ref="A339:G339"/>
    <mergeCell ref="I139:I140"/>
    <mergeCell ref="I141:I142"/>
    <mergeCell ref="J139:J140"/>
    <mergeCell ref="J141:J142"/>
    <mergeCell ref="A353:G353"/>
    <mergeCell ref="J165:K166"/>
    <mergeCell ref="F290:L290"/>
    <mergeCell ref="A283:M283"/>
    <mergeCell ref="F285:L285"/>
    <mergeCell ref="F286:L286"/>
  </mergeCells>
  <conditionalFormatting sqref="A138">
    <cfRule type="expression" dxfId="1802" priority="5712">
      <formula>$A138&lt;&gt;$A141</formula>
    </cfRule>
  </conditionalFormatting>
  <conditionalFormatting sqref="A140">
    <cfRule type="expression" dxfId="1801" priority="5786">
      <formula>$A140&lt;&gt;$A132</formula>
    </cfRule>
  </conditionalFormatting>
  <conditionalFormatting sqref="A155">
    <cfRule type="expression" dxfId="1799" priority="6024">
      <formula>ROUND(COUNTA($A$146:$A155)/2,0)=COUNTA($A$146:$A155)/2</formula>
    </cfRule>
    <cfRule type="expression" dxfId="1798" priority="6023">
      <formula>$A155&lt;&gt;$A158</formula>
    </cfRule>
  </conditionalFormatting>
  <conditionalFormatting sqref="A157">
    <cfRule type="expression" dxfId="1797" priority="6079">
      <formula>$A157&lt;&gt;$A149</formula>
    </cfRule>
    <cfRule type="expression" dxfId="1796" priority="6080">
      <formula>ROUND(COUNTA($A$146:$A157)/2,0)=COUNTA($A$146:$A157)/2</formula>
    </cfRule>
  </conditionalFormatting>
  <conditionalFormatting sqref="A253:A269">
    <cfRule type="expression" dxfId="1793" priority="1038">
      <formula>ROUND(COUNTA(#REF!)/2,0)=COUNTA(#REF!)/2</formula>
    </cfRule>
  </conditionalFormatting>
  <conditionalFormatting sqref="A272">
    <cfRule type="expression" dxfId="1792" priority="124">
      <formula>ROUND(COUNTA(#REF!)/2,0)=COUNTA(#REF!)/2</formula>
    </cfRule>
  </conditionalFormatting>
  <conditionalFormatting sqref="A6:D72">
    <cfRule type="expression" dxfId="1770" priority="234">
      <formula>$G6="Small"</formula>
    </cfRule>
  </conditionalFormatting>
  <conditionalFormatting sqref="A129:H130 B132:H134 A132:A137 B136:H137 A139:H139 B141:H141 A141:A143 B143:H143">
    <cfRule type="expression" dxfId="1769" priority="120">
      <formula>$A129&lt;&gt;$A130</formula>
    </cfRule>
  </conditionalFormatting>
  <conditionalFormatting sqref="A129:H131 B132:H134 A132:A138 B136:H137 A139:H139 A140:A143 B141:H141 B143:H143">
    <cfRule type="expression" dxfId="1768" priority="119">
      <formula>ROUND(COUNTA($A$129:$A129)/2,0)=COUNTA($A$129:$A129)/2</formula>
    </cfRule>
  </conditionalFormatting>
  <conditionalFormatting sqref="A131:H131">
    <cfRule type="expression" dxfId="1767" priority="5864">
      <formula>$A131&lt;&gt;$A139</formula>
    </cfRule>
  </conditionalFormatting>
  <conditionalFormatting sqref="A146:H147 B149:H151 A149:A154 B153:H154 A156:H156 B158:H158 A158:A159 A160:H161">
    <cfRule type="expression" dxfId="1766" priority="3407">
      <formula>$A146&lt;&gt;$A147</formula>
    </cfRule>
    <cfRule type="expression" dxfId="1765" priority="3408">
      <formula>ROUND(COUNTA($A$146:$A146)/2,0)=COUNTA($A$146:$A146)/2</formula>
    </cfRule>
  </conditionalFormatting>
  <conditionalFormatting sqref="A148:H148">
    <cfRule type="expression" dxfId="1764" priority="6142">
      <formula>ROUND(COUNTA($A$146:$A148)/2,0)=COUNTA($A$146:$A148)/2</formula>
    </cfRule>
    <cfRule type="expression" dxfId="1763" priority="6141">
      <formula>$A148&lt;&gt;$A156</formula>
    </cfRule>
  </conditionalFormatting>
  <conditionalFormatting sqref="A224:H232">
    <cfRule type="expression" dxfId="1762" priority="96">
      <formula>$G224="No"</formula>
    </cfRule>
  </conditionalFormatting>
  <conditionalFormatting sqref="A163:I163">
    <cfRule type="expression" dxfId="1761" priority="3602">
      <formula>$A163&lt;&gt;$A174</formula>
    </cfRule>
    <cfRule type="expression" dxfId="1760" priority="3603">
      <formula>ROUND(COUNTA($A$76:$A163)/2,0)=COUNTA($A$76:$A163)/2</formula>
    </cfRule>
  </conditionalFormatting>
  <conditionalFormatting sqref="A174:M185">
    <cfRule type="expression" dxfId="1759" priority="135">
      <formula>$A174&lt;&gt;$A175</formula>
    </cfRule>
    <cfRule type="expression" dxfId="1758" priority="6199">
      <formula>ROUND(COUNTA($A$174:$A174)/2,0)=COUNTA($A$174:$A174)/2</formula>
    </cfRule>
  </conditionalFormatting>
  <conditionalFormatting sqref="A187:M197 A199:M199">
    <cfRule type="expression" dxfId="1757" priority="16765">
      <formula>ROUND(COUNTA($A$187:$A187)/2,0)=COUNTA($A$187:$A187)/2</formula>
    </cfRule>
    <cfRule type="expression" dxfId="1756" priority="1">
      <formula>$A187&lt;&gt;$A188</formula>
    </cfRule>
  </conditionalFormatting>
  <conditionalFormatting sqref="A198:M198">
    <cfRule type="expression" dxfId="1755" priority="16796">
      <formula>ROUND(COUNTA($A$187:$A198)/2,0)=COUNTA($A$187:$A198)/2</formula>
    </cfRule>
    <cfRule type="expression" dxfId="1754" priority="16795">
      <formula>$A198&lt;&gt;#REF!</formula>
    </cfRule>
  </conditionalFormatting>
  <conditionalFormatting sqref="B361:G372">
    <cfRule type="expression" dxfId="1753" priority="12">
      <formula>$H361=0</formula>
    </cfRule>
  </conditionalFormatting>
  <conditionalFormatting sqref="C143 C160">
    <cfRule type="expression" dxfId="1752" priority="5987">
      <formula>AND($C$143=22%,OR($L$135=$M$132,$L$135=$M$134))</formula>
    </cfRule>
    <cfRule type="expression" dxfId="1751" priority="5988">
      <formula>AND($C$143=30%,OR($L$135=$M$132,$L$135=$M$133))</formula>
    </cfRule>
  </conditionalFormatting>
  <conditionalFormatting sqref="D133 D136">
    <cfRule type="expression" dxfId="1750" priority="71">
      <formula>County_Size="Large"</formula>
    </cfRule>
  </conditionalFormatting>
  <conditionalFormatting sqref="D134 D137">
    <cfRule type="expression" dxfId="1749" priority="70">
      <formula>County_Size="Medium"</formula>
    </cfRule>
  </conditionalFormatting>
  <conditionalFormatting sqref="D135 D138:D140">
    <cfRule type="expression" dxfId="1748" priority="69">
      <formula>County_Size="Small"</formula>
    </cfRule>
  </conditionalFormatting>
  <conditionalFormatting sqref="D150 D153">
    <cfRule type="expression" dxfId="1747" priority="38">
      <formula>County_Size="Large"</formula>
    </cfRule>
  </conditionalFormatting>
  <conditionalFormatting sqref="D151 D154">
    <cfRule type="expression" dxfId="1746" priority="37">
      <formula>County_Size="Medium"</formula>
    </cfRule>
  </conditionalFormatting>
  <conditionalFormatting sqref="D152 D155:D157">
    <cfRule type="expression" dxfId="1745" priority="36">
      <formula>County_Size="Small"</formula>
    </cfRule>
  </conditionalFormatting>
  <conditionalFormatting sqref="F253:H269">
    <cfRule type="expression" dxfId="1743" priority="194">
      <formula>ROUND(COUNTA(#REF!)/2,0)=COUNTA(#REF!)/2</formula>
    </cfRule>
  </conditionalFormatting>
  <conditionalFormatting sqref="F6:N72">
    <cfRule type="expression" dxfId="1742" priority="15">
      <formula>$G6="Small"</formula>
    </cfRule>
  </conditionalFormatting>
  <conditionalFormatting sqref="G224:G232">
    <cfRule type="cellIs" dxfId="1741" priority="97" operator="equal">
      <formula>"Yes"</formula>
    </cfRule>
  </conditionalFormatting>
  <conditionalFormatting sqref="H132:H142 H156:H157">
    <cfRule type="cellIs" dxfId="1740" priority="95" operator="equal">
      <formula>"Yes"</formula>
    </cfRule>
    <cfRule type="cellIs" dxfId="1739" priority="94" operator="equal">
      <formula>"Both"</formula>
    </cfRule>
  </conditionalFormatting>
  <conditionalFormatting sqref="H133:H135">
    <cfRule type="expression" dxfId="1738" priority="65">
      <formula>AND($H$132="Both",$H$133&lt;&gt;"Yes",$H$134&lt;&gt;"Yes",$H$135&lt;&gt;"Yes")</formula>
    </cfRule>
  </conditionalFormatting>
  <conditionalFormatting sqref="H142">
    <cfRule type="expression" dxfId="1737" priority="66" stopIfTrue="1">
      <formula>$H141="Both"</formula>
    </cfRule>
  </conditionalFormatting>
  <conditionalFormatting sqref="H149 H132">
    <cfRule type="expression" dxfId="1736" priority="5749" stopIfTrue="1">
      <formula>$H140="Both"</formula>
    </cfRule>
  </conditionalFormatting>
  <conditionalFormatting sqref="H149:H159">
    <cfRule type="cellIs" dxfId="1735" priority="28" operator="equal">
      <formula>"Yes"</formula>
    </cfRule>
    <cfRule type="cellIs" dxfId="1734" priority="27" operator="equal">
      <formula>"Both"</formula>
    </cfRule>
  </conditionalFormatting>
  <conditionalFormatting sqref="H150:H152">
    <cfRule type="expression" dxfId="1733" priority="25">
      <formula>AND($H$132="Both",$H$133&lt;&gt;"Yes",$H$134&lt;&gt;"Yes",$H$135&lt;&gt;"Yes")</formula>
    </cfRule>
  </conditionalFormatting>
  <conditionalFormatting sqref="H157 H140">
    <cfRule type="expression" dxfId="1732" priority="93" stopIfTrue="1">
      <formula>$H139="Both"</formula>
    </cfRule>
  </conditionalFormatting>
  <conditionalFormatting sqref="H159">
    <cfRule type="expression" dxfId="1731" priority="26" stopIfTrue="1">
      <formula>$H158="Both"</formula>
    </cfRule>
  </conditionalFormatting>
  <conditionalFormatting sqref="H361:I372">
    <cfRule type="expression" dxfId="1730" priority="13">
      <formula>ROUND(COUNTA(#REF!)/2,0)=COUNTA(#REF!)/2</formula>
    </cfRule>
  </conditionalFormatting>
  <conditionalFormatting sqref="I132:I142">
    <cfRule type="cellIs" dxfId="1729" priority="9" operator="equal">
      <formula>"No"</formula>
    </cfRule>
  </conditionalFormatting>
  <conditionalFormatting sqref="I149 I153">
    <cfRule type="cellIs" dxfId="1728" priority="24" operator="equal">
      <formula>"No"</formula>
    </cfRule>
  </conditionalFormatting>
  <conditionalFormatting sqref="I361:J372">
    <cfRule type="expression" dxfId="1727" priority="14">
      <formula>$H361=0</formula>
    </cfRule>
  </conditionalFormatting>
  <conditionalFormatting sqref="J132">
    <cfRule type="expression" dxfId="1725" priority="59">
      <formula>$I132="No"</formula>
    </cfRule>
  </conditionalFormatting>
  <conditionalFormatting sqref="J136">
    <cfRule type="expression" dxfId="1724" priority="60">
      <formula>$I136="No"</formula>
    </cfRule>
  </conditionalFormatting>
  <conditionalFormatting sqref="J139">
    <cfRule type="expression" dxfId="1723" priority="11">
      <formula>$I$139="No"</formula>
    </cfRule>
  </conditionalFormatting>
  <conditionalFormatting sqref="J141">
    <cfRule type="expression" dxfId="1722" priority="61">
      <formula>$I141="No"</formula>
    </cfRule>
  </conditionalFormatting>
  <conditionalFormatting sqref="J149">
    <cfRule type="expression" dxfId="1721" priority="21">
      <formula>$I149="No"</formula>
    </cfRule>
  </conditionalFormatting>
  <conditionalFormatting sqref="J153">
    <cfRule type="expression" dxfId="1720" priority="20">
      <formula>$I153="No"</formula>
    </cfRule>
  </conditionalFormatting>
  <conditionalFormatting sqref="L134:L135">
    <cfRule type="expression" dxfId="1718" priority="46">
      <formula>AND($C$143=30%,OR($L$135=$M$132,$L$135=$M$133))</formula>
    </cfRule>
    <cfRule type="expression" dxfId="1717" priority="43">
      <formula>AND($C$143=22%,OR($L$135=$M$132,$L$135=$M$134))</formula>
    </cfRule>
  </conditionalFormatting>
  <conditionalFormatting sqref="L137:L138 C144 C161">
    <cfRule type="expression" dxfId="1716" priority="49">
      <formula>AND($C$144=22%,OR($L$138=$M$132,$L$138=$M$134))</formula>
    </cfRule>
    <cfRule type="expression" dxfId="1715" priority="50">
      <formula>AND($C$144=30%,OR($L$138=$M$132,$L$138=$M$133))</formula>
    </cfRule>
  </conditionalFormatting>
  <conditionalFormatting sqref="L262">
    <cfRule type="expression" dxfId="1714" priority="8">
      <formula>ROUND(COUNTA(#REF!)/2,0)=COUNTA(#REF!)/2</formula>
    </cfRule>
  </conditionalFormatting>
  <conditionalFormatting sqref="L272">
    <cfRule type="expression" dxfId="1713" priority="19">
      <formula>ROUND(COUNTA(#REF!)/2,0)=COUNTA(#REF!)/2</formula>
    </cfRule>
  </conditionalFormatting>
  <dataValidations count="7">
    <dataValidation type="list" allowBlank="1" showInputMessage="1" showErrorMessage="1" sqref="H159 C118 I250 G223 C110:C111 H142 H133:H140 H150:H157 H296:H298"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32 L149" xr:uid="{71FF403A-7E6D-4699-8F54-102FBA77D328}">
      <formula1>$M$138:$M$140</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72" xr:uid="{AB252E91-E4D9-4551-B7D2-EE2D51CA7E3E}">
      <formula1>"&lt;Select one&gt;,SAIL,Live Local SAIL"</formula1>
    </dataValidation>
    <dataValidation type="list" allowBlank="1" showInputMessage="1" showErrorMessage="1" sqref="C160:C162 C143:C144" xr:uid="{B288BAB4-DA5F-4784-8B7D-E07CBD1EAB6E}">
      <formula1>$M$143:$M$145</formula1>
    </dataValidation>
  </dataValidations>
  <pageMargins left="0.7" right="0.7" top="0.75" bottom="0.75" header="0.3" footer="0.3"/>
  <pageSetup scale="80" orientation="portrait" cellComments="atEnd" r:id="rId1"/>
  <headerFooter>
    <oddHeader>&amp;C&amp;B&amp;14&amp;K7030A0RFA 2026-204 SAIL FINANCING FOR THE PRESERVATION OF ELDERLY DEVELOPMENTS</oddHeader>
    <oddFooter>&amp;LRFA 2026-204&amp;R&amp;K000000'&amp;A'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4408" id="{2AE9E148-7443-41FB-9593-C46977F9409F}">
            <xm:f>Funding!$L$167+Funding!$L$181+Funding!$L$183+Funding!$L$191=0</xm:f>
            <x14:dxf>
              <fill>
                <patternFill patternType="darkUp">
                  <fgColor theme="0" tint="-0.24994659260841701"/>
                </patternFill>
              </fill>
            </x14:dxf>
          </x14:cfRule>
          <xm:sqref>A129:A144</xm:sqref>
        </x14:conditionalFormatting>
        <x14:conditionalFormatting xmlns:xm="http://schemas.microsoft.com/office/excel/2006/main">
          <x14:cfRule type="expression" priority="14421" id="{0421B522-1729-4075-B050-8F896731FDAF}">
            <xm:f>Funding!$L$213+SUM(Funding!$L$226:$L$230)=0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105"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14543" id="{C4D4A245-EBCC-4167-B3C6-54B465DD2257}">
            <xm:f>Funding!$M$281=0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3921" id="{4721F7E3-F699-473C-81F1-6A3C6AE215EF}">
            <xm:f>Funding!$M7=0</xm:f>
            <x14:dxf>
              <fill>
                <patternFill patternType="darkUp">
                  <fgColor theme="0" tint="-0.24994659260841701"/>
                </patternFill>
              </fill>
            </x14:dxf>
          </x14:cfRule>
          <x14:cfRule type="expression" priority="13922" id="{E3B4CAA6-9D75-444A-9E4C-D7F9A96D9603}">
            <xm:f>Funding!$L$15=0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14016" id="{E20FBB53-0291-4F9D-8764-D03093009955}">
            <xm:f>Funding!$M$22=0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70" id="{1F4B23C8-798B-490B-91FD-1D5A0130D2D1}">
            <xm:f>Funding!$L$21=0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14031" id="{305CA461-0C02-44DF-BBF1-E913F6327B11}">
            <xm:f>Funding!$M$24=0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14033" id="{A8437313-DF16-4ACC-B3E5-11CFF2D42DEC}">
            <xm:f>Funding!$M$26=0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14023" id="{E20FBB53-0291-4F9D-8764-D03093009955}">
            <xm:f>Funding!$M$28=0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14025" id="{E20FBB53-0291-4F9D-8764-D03093009955}">
            <xm:f>Funding!$M$30=0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4021" id="{61839EE1-97A8-43A4-85BD-A8F21834800C}">
            <xm:f>Funding!$M$32=0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4041" id="{E20FBB53-0291-4F9D-8764-D03093009955}">
            <xm:f>Funding!$M$33=0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4039" id="{E20FBB53-0291-4F9D-8764-D03093009955}">
            <xm:f>Funding!$M35=0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4043" id="{60F95349-C804-42A6-9A10-96F4D74A6607}">
            <xm:f>Funding!$M$36=0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14035" id="{F888BF27-9CC5-4921-9A52-FEEAB9008C69}">
            <xm:f>Funding!$M39=0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14029" id="{E20FBB53-0291-4F9D-8764-D03093009955}">
            <xm:f>Funding!$M$46=0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14027" id="{E20FBB53-0291-4F9D-8764-D03093009955}">
            <xm:f>Funding!$M$48=0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45" id="{CF3BC589-C663-4DE9-B577-040FCBD0544A}">
            <xm:f>Funding!$L$59=0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79" id="{6F9881CF-78F7-4D5D-B169-A67F95152158}">
            <xm:f>AND(Funding!$L$21=0,Funding!$L$59=0)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14129" id="{2256706B-B76A-4AD4-9F09-1D8B771F35EF}">
            <xm:f>Funding!$M$81=0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4213" id="{56632A1C-3499-48B0-BFEC-984022BE044E}">
            <xm:f>Funding!$M$101=0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4266" id="{721C3AA3-1B1E-470C-B94B-222782F73F63}">
            <xm:f>Funding!$N$133=0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4253" id="{6B68BD9A-36BF-4C89-B178-FBB44E6A066F}">
            <xm:f>Funding!$M121=0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14434" id="{0003B5F3-DCA8-4BCB-A3F7-68F26E71889F}">
            <xm:f>Funding!$L$239=0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4018" id="{4A9B7885-092F-4CC2-8DAD-27B5E3C1F0C4}">
            <xm:f>Funding!$M$50=0</xm:f>
            <x14:dxf>
              <fill>
                <patternFill patternType="darkUp">
                  <fgColor theme="0" tint="-0.24994659260841701"/>
                </patternFill>
              </fill>
            </x14:dxf>
          </x14:cfRule>
          <xm:sqref>J108:J112</xm:sqref>
        </x14:conditionalFormatting>
        <x14:conditionalFormatting xmlns:xm="http://schemas.microsoft.com/office/excel/2006/main">
          <x14:cfRule type="expression" priority="16918" id="{6F4206CB-805E-4592-9E30-EBB9820CD833}">
            <xm:f>Funding!$L$385=0</xm:f>
            <x14:dxf>
              <fill>
                <patternFill patternType="darkUp">
                  <fgColor theme="0" tint="-0.24994659260841701"/>
                </patternFill>
              </fill>
            </x14:dxf>
          </x14:cfRule>
          <xm:sqref>J187:M199 A188:A199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2B219-F37C-4A89-A47A-9632F6B0020F}">
  <sheetPr codeName="Sheet23">
    <tabColor rgb="FF00B0F0"/>
  </sheetPr>
  <dimension ref="A1:T27"/>
  <sheetViews>
    <sheetView showGridLines="0" zoomScaleNormal="100" zoomScaleSheetLayoutView="100" workbookViewId="0">
      <pane ySplit="2" topLeftCell="A3" activePane="bottomLeft" state="frozen"/>
      <selection activeCell="D8" sqref="D8:F8"/>
      <selection pane="bottomLeft" activeCell="B8" sqref="B8:J8"/>
    </sheetView>
  </sheetViews>
  <sheetFormatPr defaultColWidth="8.54296875" defaultRowHeight="14.5"/>
  <cols>
    <col min="1" max="1" width="3" customWidth="1"/>
    <col min="2" max="3" width="3.54296875" customWidth="1"/>
    <col min="4" max="4" width="4.453125" customWidth="1"/>
    <col min="6" max="6" width="12.54296875" customWidth="1"/>
    <col min="7" max="8" width="18.453125" customWidth="1"/>
    <col min="9" max="9" width="20.7265625" customWidth="1"/>
    <col min="10" max="10" width="18.1796875" customWidth="1"/>
    <col min="11" max="11" width="8.7265625" customWidth="1"/>
    <col min="12" max="15" width="3.54296875" customWidth="1"/>
    <col min="16" max="16" width="35.7265625" customWidth="1"/>
    <col min="17" max="17" width="3.54296875" customWidth="1"/>
    <col min="18" max="18" width="11.26953125" customWidth="1"/>
    <col min="19" max="19" width="28.26953125" bestFit="1" customWidth="1"/>
    <col min="20" max="20" width="11.7265625" customWidth="1"/>
  </cols>
  <sheetData>
    <row r="1" spans="1:20" ht="36" customHeight="1" thickBot="1">
      <c r="A1" s="2582" t="s">
        <v>1449</v>
      </c>
      <c r="B1" s="2583"/>
      <c r="C1" s="2583"/>
      <c r="D1" s="2583"/>
      <c r="E1" s="2583"/>
      <c r="F1" s="2583"/>
      <c r="G1" s="2583"/>
      <c r="H1" s="2583"/>
      <c r="I1" s="2583"/>
      <c r="J1" s="2584"/>
      <c r="K1" s="24"/>
    </row>
    <row r="2" spans="1:20" ht="14.65" customHeight="1">
      <c r="M2" s="2613" t="s">
        <v>845</v>
      </c>
      <c r="N2" s="2614"/>
      <c r="O2" s="2614"/>
      <c r="P2" s="2614"/>
      <c r="Q2" s="2615"/>
      <c r="R2" s="332"/>
      <c r="S2" s="332"/>
      <c r="T2" s="332"/>
    </row>
    <row r="3" spans="1:20" ht="35.25" customHeight="1">
      <c r="A3" s="759" t="s">
        <v>951</v>
      </c>
      <c r="B3" s="2847" t="str">
        <f>IF(AND(OR(Development_Category="&lt;select one&gt;",Development_Category=""),County&lt;&gt; IF(Data1!B852="Yes","Miami-Dade","")),"The Applicant is still dependent upon a Development Category yet to be selected as to whether or not it will automatically earn the maximum points.",IF(AND(Development_Category&lt;&gt;"&lt;select one&gt;",Development_Category&lt;&gt;"",County&lt;&gt; IF(Data1!B852="Yes","Miami-Dade","")),"The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"&amp;TEXT(Data1!B859,"$#,##0")&amp;IF(Data1!B853="Δ NPV"," in contribution value"," in cash")&amp;" funding (i.e., grants, loans"&amp;IF(Data1!B856="Yes"," and/or",", ")&amp;" fee waivers"&amp;IF(Data1!B856="Yes",""," and/or fee deferrals")&amp;") from local government(s)."))</f>
        <v>The Applicant is still dependent upon a Development Category yet to be selected as to whether or not it will automatically earn the maximum points.</v>
      </c>
      <c r="C3" s="2544"/>
      <c r="D3" s="2544"/>
      <c r="E3" s="2544"/>
      <c r="F3" s="2544"/>
      <c r="G3" s="2544"/>
      <c r="H3" s="2544"/>
      <c r="I3" s="2544"/>
      <c r="J3" s="2544"/>
      <c r="M3" s="2850" t="s">
        <v>2737</v>
      </c>
      <c r="N3" s="2851"/>
      <c r="O3" s="587"/>
    </row>
    <row r="4" spans="1:20" ht="45" customHeight="1">
      <c r="A4" s="759" t="str">
        <f>IF($M$4=0,"","b")</f>
        <v>b</v>
      </c>
      <c r="B4" s="2544" t="str">
        <f>IF(AND(Data1!$B$852="Yes",County="Miami-Dade"),"With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544"/>
      <c r="D4" s="2544"/>
      <c r="E4" s="2544"/>
      <c r="F4" s="2544"/>
      <c r="G4" s="2544"/>
      <c r="H4" s="2544"/>
      <c r="I4" s="2544"/>
      <c r="J4" s="801" t="s">
        <v>41</v>
      </c>
      <c r="M4" s="2069">
        <v>1</v>
      </c>
      <c r="O4" s="587"/>
      <c r="P4" s="850" t="str">
        <f>"Controls Rows "&amp;TEXT(ROW(A4),"0")&amp;":"&amp;TEXT(ROW(A5),"0")&amp;" and will alter the line number for the next paragraph."</f>
        <v>Controls Rows 4:5 and will alter the line number for the next paragraph.</v>
      </c>
      <c r="Q4" s="587"/>
    </row>
    <row r="5" spans="1:20" ht="10.5" customHeight="1">
      <c r="M5" s="2644" t="s">
        <v>2737</v>
      </c>
      <c r="P5" s="2849" t="str">
        <f>"Rest of page has grey font unless ""Yes"" is entered in Cell J"&amp;TEXT(ROW(A4),"0")&amp;"."</f>
        <v>Rest of page has grey font unless "Yes" is entered in Cell J4.</v>
      </c>
    </row>
    <row r="6" spans="1:20" ht="30" customHeight="1">
      <c r="A6" s="759" t="str">
        <f>IF($M$4=0,"b","c")</f>
        <v>c</v>
      </c>
      <c r="B6" s="2848" t="s">
        <v>3242</v>
      </c>
      <c r="C6" s="2848"/>
      <c r="D6" s="2848"/>
      <c r="E6" s="2848"/>
      <c r="F6" s="2848"/>
      <c r="G6" s="2848"/>
      <c r="H6" s="2848"/>
      <c r="I6" s="2848"/>
      <c r="J6" s="2848"/>
      <c r="M6" s="2645"/>
      <c r="P6" s="2849"/>
    </row>
    <row r="7" spans="1:20" ht="10.5" customHeight="1">
      <c r="B7" s="6"/>
      <c r="M7" s="2645"/>
    </row>
    <row r="8" spans="1:20" ht="50.25" customHeight="1">
      <c r="B8" s="2848" t="s">
        <v>3243</v>
      </c>
      <c r="C8" s="2848"/>
      <c r="D8" s="2848"/>
      <c r="E8" s="2848"/>
      <c r="F8" s="2848"/>
      <c r="G8" s="2848"/>
      <c r="H8" s="2848"/>
      <c r="I8" s="2848"/>
      <c r="J8" s="2848"/>
      <c r="M8" s="2645"/>
      <c r="N8" s="2194"/>
    </row>
    <row r="9" spans="1:20" ht="17.649999999999999" customHeight="1">
      <c r="A9" s="6"/>
      <c r="I9" s="989" t="s">
        <v>1712</v>
      </c>
      <c r="J9" s="2846"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M9" s="2645"/>
      <c r="N9" s="2194"/>
    </row>
    <row r="10" spans="1:20" ht="17.649999999999999" customHeight="1" thickBot="1">
      <c r="B10" s="248" t="s">
        <v>1450</v>
      </c>
      <c r="C10" s="249"/>
      <c r="D10" s="249"/>
      <c r="E10" s="249"/>
      <c r="F10" s="249"/>
      <c r="G10" s="252" t="s">
        <v>1451</v>
      </c>
      <c r="H10" s="252" t="s">
        <v>1452</v>
      </c>
      <c r="I10" s="253" t="s">
        <v>1453</v>
      </c>
      <c r="J10" s="2846"/>
      <c r="M10" s="2645"/>
      <c r="N10" s="2194"/>
    </row>
    <row r="11" spans="1:20" ht="17.649999999999999" customHeight="1">
      <c r="B11" s="1077" t="s">
        <v>1701</v>
      </c>
      <c r="C11" s="1078"/>
      <c r="D11" s="1078"/>
      <c r="E11" s="1078"/>
      <c r="F11" s="1078"/>
      <c r="G11" s="1079"/>
      <c r="H11" s="1079"/>
      <c r="I11" s="1080"/>
      <c r="J11" s="2846"/>
      <c r="M11" s="2646"/>
      <c r="N11" s="2194"/>
    </row>
    <row r="12" spans="1:20" ht="17.649999999999999" customHeight="1">
      <c r="B12" s="1076"/>
      <c r="C12" s="272" t="s">
        <v>2833</v>
      </c>
      <c r="D12" s="267"/>
      <c r="E12" s="267"/>
      <c r="F12" s="267"/>
      <c r="G12" s="1086"/>
      <c r="H12" s="1028" t="s">
        <v>2837</v>
      </c>
      <c r="I12" s="1087">
        <f>IF(AND(OR(Data1!$B$851="Face",AND(Data1!$B$853="Face",County="Miami-Dade")),AND(Data1!$B$853="Δ NPV",County="Miami-Dade")=FALSE),"",N(G12)-N(H12))</f>
        <v>0</v>
      </c>
      <c r="J12" s="2846"/>
      <c r="M12" s="2002">
        <v>1</v>
      </c>
      <c r="N12" s="2225"/>
      <c r="P12" s="779"/>
    </row>
    <row r="13" spans="1:20" ht="17.649999999999999" customHeight="1">
      <c r="B13" s="1076"/>
      <c r="C13" s="272" t="s">
        <v>2834</v>
      </c>
      <c r="D13" s="267"/>
      <c r="E13" s="267"/>
      <c r="F13" s="267"/>
      <c r="G13" s="1086"/>
      <c r="H13" s="2196"/>
      <c r="I13" s="1087">
        <f>IF(AND(OR(Data1!$B$851="Face",AND(Data1!$B$853="Face",County="Miami-Dade")),AND(Data1!$B$853="Δ NPV",County="Miami-Dade")=FALSE),"",N(G13)-N(H13))</f>
        <v>0</v>
      </c>
      <c r="J13" s="2846"/>
      <c r="M13" s="2002">
        <v>1</v>
      </c>
      <c r="N13" s="2225"/>
      <c r="P13" s="605"/>
    </row>
    <row r="14" spans="1:20" ht="17.649999999999999" customHeight="1">
      <c r="B14" s="250"/>
      <c r="C14" s="273" t="s">
        <v>114</v>
      </c>
      <c r="D14" s="251"/>
      <c r="E14" s="251"/>
      <c r="F14" s="251"/>
      <c r="G14" s="1088"/>
      <c r="H14" s="1028" t="s">
        <v>2837</v>
      </c>
      <c r="I14" s="2181">
        <f>IF(AND(OR(Data1!$B$851="Face",AND(Data1!$B$853="Face",County="Miami-Dade")),AND(Data1!$B$853="Δ NPV",County="Miami-Dade")=FALSE),"",N(G14)-N(H14))</f>
        <v>0</v>
      </c>
      <c r="J14" s="2846"/>
      <c r="M14" s="2002">
        <v>1</v>
      </c>
      <c r="N14" s="2194"/>
      <c r="P14" s="779"/>
    </row>
    <row r="15" spans="1:20" ht="17.649999999999999" customHeight="1">
      <c r="B15" s="1085"/>
      <c r="C15" s="272" t="str">
        <f>"Fee Waiver"&amp;IF(Data1!B854="Yes"," ("&amp;IF(Data1!B855="No","All Local Govts.)","Miami-Dade Only)"),"")</f>
        <v>Fee Waiver</v>
      </c>
      <c r="D15" s="267"/>
      <c r="E15" s="267"/>
      <c r="F15" s="267"/>
      <c r="G15" s="1086"/>
      <c r="H15" s="814" t="s">
        <v>2837</v>
      </c>
      <c r="I15" s="1087">
        <f>IF(LEFT($B$15,3)="Non","",IF(AND(OR(Data1!$B$851="Face",AND(Data1!$B$853="Face",County="Miami-Dade")),AND(Data1!$B$853="Δ NPV",County="Miami-Dade")=FALSE),"",N(G15)-N(H15)))</f>
        <v>0</v>
      </c>
      <c r="J15" s="2846"/>
      <c r="M15" s="2002">
        <v>0</v>
      </c>
      <c r="N15" s="2855" t="str">
        <f>IF(Data1!B854="No","Data1 programmed to never count as Cash. Enter ""0"".","")</f>
        <v>Data1 programmed to never count as Cash. Enter "0".</v>
      </c>
      <c r="O15" s="2856"/>
      <c r="P15" s="2856"/>
      <c r="Q15" s="2856"/>
    </row>
    <row r="16" spans="1:20" ht="17.649999999999999" customHeight="1">
      <c r="B16" s="2195" t="s">
        <v>2838</v>
      </c>
      <c r="C16" s="272"/>
      <c r="D16" s="267"/>
      <c r="E16" s="267"/>
      <c r="F16" s="267"/>
      <c r="G16" s="1090"/>
      <c r="H16" s="1028"/>
      <c r="I16" s="1087"/>
      <c r="J16" s="2846"/>
      <c r="M16" s="2002">
        <v>1</v>
      </c>
      <c r="N16" s="2194"/>
      <c r="O16" s="43"/>
      <c r="P16" s="779"/>
    </row>
    <row r="17" spans="1:17" ht="17.649999999999999" customHeight="1">
      <c r="B17" s="1085"/>
      <c r="C17" s="272" t="s">
        <v>2835</v>
      </c>
      <c r="D17" s="267"/>
      <c r="E17" s="267"/>
      <c r="F17" s="267"/>
      <c r="G17" s="2197"/>
      <c r="H17" s="1028" t="s">
        <v>2837</v>
      </c>
      <c r="I17" s="1089">
        <f>IF(AND(Data1!$B$856="Yes",County="Miami-Dade"),"",IF(AND(OR(Data1!$B$851="Face",AND(Data1!$B$853="Face",County="Miami-Dade")),AND(Data1!$B$853="Δ NPV",County="Miami-Dade")=FALSE),"",N(G17)-N(H17)))</f>
        <v>0</v>
      </c>
      <c r="J17" s="2846"/>
      <c r="M17" s="2002">
        <v>1</v>
      </c>
      <c r="N17" s="2194"/>
      <c r="P17" s="779"/>
    </row>
    <row r="18" spans="1:17" ht="17.649999999999999" customHeight="1">
      <c r="B18" s="250"/>
      <c r="C18" s="273" t="s">
        <v>2836</v>
      </c>
      <c r="D18" s="251"/>
      <c r="E18" s="251"/>
      <c r="F18" s="251"/>
      <c r="G18" s="1086"/>
      <c r="H18" s="2196"/>
      <c r="I18" s="2182">
        <f>IF(AND(Data1!$B$856="Yes",County="Miami-Dade"),"",IF(AND(OR(Data1!$B$851="Face",AND(Data1!$B$853="Face",County="Miami-Dade")),AND(Data1!$B$853="Δ NPV",County="Miami-Dade")=FALSE),"",N(G18)-N(H18)))</f>
        <v>0</v>
      </c>
      <c r="J18" s="2846"/>
      <c r="M18" s="2002">
        <v>1</v>
      </c>
      <c r="N18" s="2194"/>
      <c r="O18" s="43"/>
      <c r="P18" s="779"/>
    </row>
    <row r="19" spans="1:17" ht="5.25" customHeight="1" thickBot="1">
      <c r="B19" s="247"/>
      <c r="G19" s="1090"/>
      <c r="H19" s="1090"/>
      <c r="I19" s="1091"/>
      <c r="J19" s="2846"/>
      <c r="M19" s="2852" t="s">
        <v>2737</v>
      </c>
      <c r="N19" s="2194"/>
    </row>
    <row r="20" spans="1:17" ht="17.649999999999999" customHeight="1" thickTop="1">
      <c r="B20" s="254" t="s">
        <v>1042</v>
      </c>
      <c r="C20" s="255"/>
      <c r="D20" s="255"/>
      <c r="E20" s="255"/>
      <c r="F20" s="255"/>
      <c r="G20" s="1142">
        <f>N(LGC_Loan_Forgive_Face)+N(LGC_Loan_Repaid_Face)+N(LGC_Grant_Face)+IF(Data1!B854="Yes",IF(OR(Data1!B855="No",AND(Data1!B855="Yes",County="Miami-Dade")),N(LGC_FW_Cash_Face),0),0)+IF(Data1!B854="Yes",IF(OR(Data1!B855="No",AND(Data1!B855="Yes",County="Miami-Dade")),0,N(LGC_FW_NonCash_Face)),N(LGC_FW_NonCash_Face))+IF(OR(AND(Data1!$B$851="Δ NPV",County&lt;&gt;"Miami-Dade"),AND(Data1!$B$853="Δ NPV",County="Miami-Dade",Data1!$B$856="No")),N(LGC_FD_Face),0)</f>
        <v>0</v>
      </c>
      <c r="H20" s="1142">
        <f>IF(AND(OR(Data1!$B$851="Face",AND(Data1!$B$853="Face",County="Miami-Dade")),AND(Data1!$B$853="Δ NPV",County="Miami-Dade")=FALSE),0,SUM(H12:H19)-IF(AND(Data1!$B$856="Yes",County="Miami-Dade"),H18,0))</f>
        <v>0</v>
      </c>
      <c r="I20" s="1143">
        <f>N(LGC_Loan_Forgive_ValueOfContribution)+N(LGC_Loan_Repaid_ValueOfContribution)+N(LGC_Grant_ValueOfContribution)+IF(Data1!B854="Yes",IF(OR(Data1!B855="No",AND(Data1!B855="Yes",County="Miami-Dade")),N(LGC_FW_Cash_ValueOfContribution),0),0)+IF(Data1!B854="Yes",IF(OR(Data1!B855="No",AND(Data1!B855="Yes",County="Miami-Dade")),0,N(LGC_FW_NonCash_ValueOfContribution)),N(LGC_FW_NonCash_ValueOfContribution))+N(LGC_FD_ValueOfContribution)</f>
        <v>0</v>
      </c>
      <c r="J20" s="2846"/>
      <c r="M20" s="2853"/>
      <c r="N20" s="2194"/>
      <c r="P20" s="779"/>
      <c r="Q20" s="779"/>
    </row>
    <row r="21" spans="1:17" ht="10.5" customHeight="1">
      <c r="A21" s="6"/>
      <c r="M21" s="2853"/>
      <c r="N21" s="2194"/>
    </row>
    <row r="22" spans="1:17" ht="50.25" customHeight="1">
      <c r="B22" s="2848" t="str">
        <f>IF(AND(OR(Development_Category="Rehabilitation",Development_Category="Acquisition and Rehabilitation"),IF(Data1!$B$852="Yes",County&lt;&gt;"Miami-Dade",TRUE)),"The selected Development Category of "&amp;Development_Category&amp;" earns an automatic 5 points."," In order for the Applicant to receive the maximum of 5 points without the automatic qualification, the value of the Local Government Contribution must have a cumulative total dollar amount equal to or greater than "&amp;TEXT(LGC_Points_Min_Amt,"$#,##0")&amp;". Applicants that do not have the necessary contribution amount to achieve maximum points will "&amp;IF(AND(Data1!B852="Yes",County="Miami-Dade"),"not","")&amp;" be scored on a pro-rata basis.")</f>
        <v xml:space="preserve"> In order for the Applicant to receive the maximum of 5 points without the automatic qualification, the value of the Local Government Contribution must have a cumulative total dollar amount equal to or greater than NA. Applicants that do not have the necessary contribution amount to achieve maximum points will  be scored on a pro-rata basis.</v>
      </c>
      <c r="C22" s="2848"/>
      <c r="D22" s="2848"/>
      <c r="E22" s="2848"/>
      <c r="F22" s="2848"/>
      <c r="G22" s="2848"/>
      <c r="H22" s="2848"/>
      <c r="I22" s="2848"/>
      <c r="J22" s="2848"/>
      <c r="M22" s="2853"/>
    </row>
    <row r="23" spans="1:17" ht="35.25" customHeight="1">
      <c r="B23" s="2577"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23" s="2577"/>
      <c r="D23" s="2577"/>
      <c r="E23" s="2577"/>
      <c r="F23" s="2577"/>
      <c r="G23" s="2577"/>
      <c r="H23" s="2577"/>
      <c r="I23" s="2577"/>
      <c r="J23" s="2577"/>
      <c r="M23" s="2854"/>
    </row>
    <row r="24" spans="1:17" ht="10.5" customHeight="1">
      <c r="M24" s="2209"/>
    </row>
    <row r="25" spans="1:17">
      <c r="M25" s="24"/>
    </row>
    <row r="26" spans="1:17">
      <c r="M26" s="24"/>
    </row>
    <row r="27" spans="1:17">
      <c r="M27" s="24"/>
    </row>
  </sheetData>
  <sheetProtection selectLockedCells="1"/>
  <mergeCells count="14">
    <mergeCell ref="B22:J22"/>
    <mergeCell ref="B23:J23"/>
    <mergeCell ref="M3:N3"/>
    <mergeCell ref="M5:M11"/>
    <mergeCell ref="M19:M23"/>
    <mergeCell ref="N15:Q15"/>
    <mergeCell ref="M2:Q2"/>
    <mergeCell ref="J9:J20"/>
    <mergeCell ref="A1:J1"/>
    <mergeCell ref="B3:J3"/>
    <mergeCell ref="B4:I4"/>
    <mergeCell ref="B6:J6"/>
    <mergeCell ref="B8:J8"/>
    <mergeCell ref="P5:P6"/>
  </mergeCells>
  <conditionalFormatting sqref="A4:J5">
    <cfRule type="expression" dxfId="1712" priority="15605">
      <formula>$M$4=0</formula>
    </cfRule>
  </conditionalFormatting>
  <conditionalFormatting sqref="A6:J6">
    <cfRule type="expression" dxfId="1711" priority="1">
      <formula>AND(Development_Category="New Construction",Local_govt_contribution&lt;&gt;"Yes")</formula>
    </cfRule>
  </conditionalFormatting>
  <conditionalFormatting sqref="A7:J22">
    <cfRule type="expression" dxfId="1710" priority="67">
      <formula>AND(Development_Category="New Construction",Local_govt_contribution&lt;&gt;"Yes")</formula>
    </cfRule>
  </conditionalFormatting>
  <conditionalFormatting sqref="B11:I18">
    <cfRule type="expression" dxfId="1707" priority="17">
      <formula>Local_govt_contribution&lt;&gt;"Yes"</formula>
    </cfRule>
  </conditionalFormatting>
  <conditionalFormatting sqref="B12:I18">
    <cfRule type="expression" dxfId="1706" priority="13">
      <formula>$M12=0</formula>
    </cfRule>
  </conditionalFormatting>
  <conditionalFormatting sqref="G12:G15 H13 H18 G17:G18">
    <cfRule type="cellIs" dxfId="1704" priority="15" operator="greaterThan">
      <formula>0</formula>
    </cfRule>
  </conditionalFormatting>
  <conditionalFormatting sqref="J4">
    <cfRule type="cellIs" dxfId="1696" priority="50" operator="notEqual">
      <formula>"&lt;select one&gt;"</formula>
    </cfRule>
  </conditionalFormatting>
  <conditionalFormatting sqref="M4 M12:M18">
    <cfRule type="cellIs" dxfId="1695" priority="83" operator="equal">
      <formula>0</formula>
    </cfRule>
  </conditionalFormatting>
  <dataValidations count="2">
    <dataValidation type="custom" allowBlank="1" showInputMessage="1" showErrorMessage="1" sqref="G15:G16" xr:uid="{A194F3DD-52A7-47BB-90C9-1BFDA27D8914}">
      <formula1>$B15&lt;&gt;"Non-Cash Contributions:"</formula1>
    </dataValidation>
    <dataValidation type="list" allowBlank="1" showInputMessage="1" showErrorMessage="1" sqref="J4" xr:uid="{85156F54-CE3C-4C08-ACEE-0CFA72A5D901}">
      <formula1>"&lt;select one&gt;, Yes, No"</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74" id="{5AD8AB9F-992F-4671-81BD-8DBF11C78BD7}">
            <xm:f>AND(IF(AND(OR(Development_Category="Rehabilitation",Development_Category="Acquisition and Rehabilitation"),IF(AND(Data1!$B$852="Yes",County="Miami-Dade"),FALSE,TRUE)),5,ROUND(5*IF(AND(Data1!$B$851="Face",OR(Data1!$B$852="No",AND(Data1!$B$852="Yes",Data1!$B$853="Face",County="Miami-Dade"))),G20,I20)/IFERROR(VLOOKUP(County,DS_CountyData,3),1),2))&lt;5,Name_of_proposed_Development&lt;&gt;"")</xm:f>
            <x14:dxf>
              <font>
                <b/>
                <i val="0"/>
                <color rgb="FFC00000"/>
              </font>
              <fill>
                <patternFill patternType="none">
                  <bgColor auto="1"/>
                </patternFill>
              </fill>
            </x14:dxf>
          </x14:cfRule>
          <x14:cfRule type="expression" priority="75" id="{5C27F5F4-E728-4541-817C-B340A8C33F9D}">
            <xm:f>IF(AND(OR(Development_Category="Rehabilitation",Development_Category="Acquisition and Rehabilitation"),IF(AND(Data1!$B$852="Yes",County="Miami-Dade"),FALSE,TRUE)),5,ROUND(5*IF(AND(Data1!$B$851="Face",OR(Data1!$B$852="No",AND(Data1!$B$852="Yes",Data1!$B$853="Face",County="Miami-Dade"))),G20,I20)/IFERROR(VLOOKUP(County,DS_CountyData,3),1),2))&gt;=5</xm:f>
            <x14:dxf>
              <font>
                <b val="0"/>
                <i val="0"/>
              </font>
              <fill>
                <patternFill>
                  <bgColor theme="9" tint="0.79998168889431442"/>
                </patternFill>
              </fill>
            </x14:dxf>
          </x14:cfRule>
          <xm:sqref>B23</xm:sqref>
        </x14:conditionalFormatting>
        <x14:conditionalFormatting xmlns:xm="http://schemas.microsoft.com/office/excel/2006/main">
          <x14:cfRule type="expression" priority="2" id="{8137873E-7ABA-4F09-B805-519ED7942517}">
            <xm:f>AND(Data1!$B854="Yes",OR(Data1!$B855="No",AND(Data1!$B855="Yes",County="Miami-Dade")))</xm:f>
            <x14:dxf>
              <font>
                <color theme="0" tint="-0.34998626667073579"/>
              </font>
            </x14:dxf>
          </x14:cfRule>
          <xm:sqref>C17 H17</xm:sqref>
        </x14:conditionalFormatting>
        <x14:conditionalFormatting xmlns:xm="http://schemas.microsoft.com/office/excel/2006/main">
          <x14:cfRule type="expression" priority="5" id="{41A5EA75-BC8E-484A-A1A2-3304BF6DF6D1}">
            <xm:f>OR(AND(Data1!$B$854&lt;&gt;"Yes",N(G15)&gt;0),AND(Data1!$B$855="Yes",County&lt;&gt;"Miami-Dade",County&lt;&gt;"&lt;select one&gt;"))</xm:f>
            <x14:dxf>
              <font>
                <strike/>
                <color rgb="FFC00000"/>
              </font>
              <fill>
                <patternFill>
                  <bgColor theme="0" tint="-4.9989318521683403E-2"/>
                </patternFill>
              </fill>
            </x14:dxf>
          </x14:cfRule>
          <xm:sqref>G15 I15</xm:sqref>
        </x14:conditionalFormatting>
        <x14:conditionalFormatting xmlns:xm="http://schemas.microsoft.com/office/excel/2006/main">
          <x14:cfRule type="expression" priority="3" id="{361CD030-2CB3-4814-97F0-200C9B29FE47}">
            <xm:f>AND(Data1!$B854="Yes",OR(Data1!$B855="No",AND(Data1!$B855="Yes",County="Miami-Dade")))</xm:f>
            <x14:dxf>
              <font>
                <strike/>
                <color rgb="FFC00000"/>
              </font>
              <fill>
                <patternFill>
                  <bgColor theme="0" tint="-4.9989318521683403E-2"/>
                </patternFill>
              </fill>
            </x14:dxf>
          </x14:cfRule>
          <xm:sqref>G17 I17</xm:sqref>
        </x14:conditionalFormatting>
        <x14:conditionalFormatting xmlns:xm="http://schemas.microsoft.com/office/excel/2006/main">
          <x14:cfRule type="expression" priority="34" id="{5E152A3B-2A5B-45F3-82C2-553E01ED312D}">
            <xm:f>OR(AND(Data1!$B$851="Face",County&lt;&gt;"Miami-Dade"),AND(County="Miami-Dade",OR(Data1!$B$853="Face",AND(Data1!$B$853="Δ NPV",Data1!$B$856="Yes"))))</xm:f>
            <x14:dxf>
              <font>
                <strike/>
                <color rgb="FFC00000"/>
              </font>
              <fill>
                <patternFill patternType="darkUp">
                  <fgColor theme="0" tint="-0.24994659260841701"/>
                  <bgColor auto="1"/>
                </patternFill>
              </fill>
              <border>
                <bottom style="hair">
                  <color auto="1"/>
                </bottom>
                <vertical/>
                <horizontal/>
              </border>
            </x14:dxf>
          </x14:cfRule>
          <xm:sqref>G18:H18</xm:sqref>
        </x14:conditionalFormatting>
        <x14:conditionalFormatting xmlns:xm="http://schemas.microsoft.com/office/excel/2006/main">
          <x14:cfRule type="expression" priority="4" id="{D2B3CAD9-EF1F-4949-AC92-A1157AD25069}">
            <xm:f>AND(OR(Data1!$B$851="Face",AND(Data1!$B$853="Face",County="Miami-Dade"),AND(Data1!$B$853="Δ NPV",County="Miami-Dade")=FALSE),N($G13)&gt;0,$H13="")</xm:f>
            <x14:dxf>
              <fill>
                <patternFill>
                  <bgColor rgb="FFFFE6FF"/>
                </patternFill>
              </fill>
            </x14:dxf>
          </x14:cfRule>
          <x14:cfRule type="expression" priority="23" id="{B1737886-6F64-4465-B0BA-817FD2347A10}">
            <xm:f>AND(OR(Data1!$B$851="Face",AND(Data1!$B$853="Face",County="Miami-Dade")),AND(Data1!$B$853="Δ NPV",County="Miami-Dade")=FALSE)</xm:f>
            <x14:dxf>
              <font>
                <strike/>
                <color rgb="FFC00000"/>
              </font>
              <fill>
                <patternFill patternType="darkUp">
                  <fgColor theme="0" tint="-0.24994659260841701"/>
                  <bgColor auto="1"/>
                </patternFill>
              </fill>
              <border>
                <bottom style="hair">
                  <color auto="1"/>
                </bottom>
              </border>
            </x14:dxf>
          </x14:cfRule>
          <xm:sqref>H13 H18</xm:sqref>
        </x14:conditionalFormatting>
        <x14:conditionalFormatting xmlns:xm="http://schemas.microsoft.com/office/excel/2006/main">
          <x14:cfRule type="expression" priority="18" id="{5036D917-3309-4E2F-A013-C336F69A5D4A}">
            <xm:f>AND(OR(Data1!$B$851="Face",AND(Data1!$B$853="Face",County="Miami-Dade")),AND(Data1!$B$853="Δ NPV",County="Miami-Dade")=FALSE,IFERROR(LEFT($B12,3),"")&lt;&gt;"Non")</xm:f>
            <x14:dxf>
              <font>
                <strike val="0"/>
                <color auto="1"/>
              </font>
              <fill>
                <patternFill patternType="darkUp">
                  <fgColor theme="0" tint="-0.24994659260841701"/>
                  <bgColor auto="1"/>
                </patternFill>
              </fill>
            </x14:dxf>
          </x14:cfRule>
          <xm:sqref>I12:I18</xm:sqref>
        </x14:conditionalFormatting>
        <x14:conditionalFormatting xmlns:xm="http://schemas.microsoft.com/office/excel/2006/main">
          <x14:cfRule type="expression" priority="20" id="{9B5FD6A0-9B24-4C2E-9849-950281176CB1}">
            <xm:f>AND(Data1!$B$856="Yes",County="Miami-Dade")</xm:f>
            <x14:dxf>
              <fill>
                <patternFill patternType="darkUp">
                  <fgColor theme="0" tint="-0.24994659260841701"/>
                </patternFill>
              </fill>
            </x14:dxf>
          </x14:cfRule>
          <xm:sqref>I17:I18</xm:sqref>
        </x14:conditionalFormatting>
        <x14:conditionalFormatting xmlns:xm="http://schemas.microsoft.com/office/excel/2006/main">
          <x14:cfRule type="expression" priority="7" stopIfTrue="1" id="{92B2732C-076B-4836-A6B0-CFE4FB8F0DE4}">
            <xm:f>Data1!$E$908="Yes"</xm:f>
            <x14:dxf>
              <font>
                <color theme="0"/>
              </font>
              <fill>
                <patternFill>
                  <bgColor theme="0"/>
                </patternFill>
              </fill>
              <border>
                <left/>
                <right/>
                <top/>
                <bottom/>
              </border>
            </x14:dxf>
          </x14:cfRule>
          <xm:sqref>M3:Q23</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D43"/>
  <sheetViews>
    <sheetView showGridLines="0" zoomScaleNormal="100" zoomScaleSheetLayoutView="100" workbookViewId="0">
      <pane ySplit="2" topLeftCell="A3" activePane="bottomLeft" state="frozen"/>
      <selection activeCell="B8" sqref="B8:J8"/>
      <selection pane="bottomLeft" activeCell="B8" sqref="B8:J8"/>
    </sheetView>
  </sheetViews>
  <sheetFormatPr defaultColWidth="8.54296875" defaultRowHeight="14.5"/>
  <cols>
    <col min="1" max="1" width="3" customWidth="1"/>
    <col min="2" max="3" width="3.54296875" customWidth="1"/>
    <col min="4" max="4" width="4.453125" customWidth="1"/>
    <col min="6" max="6" width="12.54296875" customWidth="1"/>
    <col min="7" max="8" width="18.453125" customWidth="1"/>
    <col min="9" max="9" width="20.7265625" customWidth="1"/>
    <col min="10" max="10" width="18.1796875" customWidth="1"/>
    <col min="11" max="11" width="8.7265625" customWidth="1"/>
    <col min="12" max="15" width="3.54296875" customWidth="1"/>
    <col min="16" max="16" width="35.7265625" customWidth="1"/>
    <col min="17" max="17" width="3.54296875" customWidth="1"/>
    <col min="18" max="18" width="11.26953125" customWidth="1"/>
    <col min="19" max="20" width="11.7265625" customWidth="1"/>
  </cols>
  <sheetData>
    <row r="1" spans="1:20" ht="36" customHeight="1" thickBot="1">
      <c r="A1" s="2582" t="s">
        <v>3191</v>
      </c>
      <c r="B1" s="2583"/>
      <c r="C1" s="2583"/>
      <c r="D1" s="2583"/>
      <c r="E1" s="2583"/>
      <c r="F1" s="2583"/>
      <c r="G1" s="2583"/>
      <c r="H1" s="2583"/>
      <c r="I1" s="2583"/>
      <c r="J1" s="2584"/>
      <c r="K1" s="24"/>
    </row>
    <row r="2" spans="1:20" ht="14.65" customHeight="1">
      <c r="M2" s="2857" t="s">
        <v>845</v>
      </c>
      <c r="N2" s="2614"/>
      <c r="O2" s="2614"/>
      <c r="P2" s="2615"/>
      <c r="Q2" s="15"/>
      <c r="R2" s="15"/>
      <c r="S2" s="15"/>
      <c r="T2" s="15"/>
    </row>
    <row r="3" spans="1:20" ht="30" customHeight="1">
      <c r="A3" s="2434" t="s">
        <v>2845</v>
      </c>
      <c r="B3" s="2544" t="s">
        <v>3192</v>
      </c>
      <c r="C3" s="2544"/>
      <c r="D3" s="2544"/>
      <c r="E3" s="2544"/>
      <c r="F3" s="2544"/>
      <c r="G3" s="2544"/>
      <c r="H3" s="2544"/>
      <c r="I3" s="2544"/>
      <c r="J3" s="2544"/>
      <c r="K3" s="2199"/>
      <c r="M3" s="2644" t="s">
        <v>2737</v>
      </c>
    </row>
    <row r="4" spans="1:20" ht="10.5" customHeight="1">
      <c r="A4" s="1443"/>
      <c r="B4" s="6"/>
      <c r="K4" s="2199"/>
      <c r="M4" s="2645"/>
    </row>
    <row r="5" spans="1:20" ht="35.25" customHeight="1">
      <c r="A5" s="1443"/>
      <c r="B5" s="2544" t="s">
        <v>3244</v>
      </c>
      <c r="C5" s="2544"/>
      <c r="D5" s="2544"/>
      <c r="E5" s="2544"/>
      <c r="F5" s="2544"/>
      <c r="G5" s="2544"/>
      <c r="H5" s="2544"/>
      <c r="I5" s="2544"/>
      <c r="J5" s="2544"/>
      <c r="M5" s="2645"/>
      <c r="N5" s="2194"/>
    </row>
    <row r="6" spans="1:20" ht="40.15" customHeight="1">
      <c r="A6" s="1443"/>
      <c r="B6" s="2866" t="s">
        <v>3193</v>
      </c>
      <c r="C6" s="2866"/>
      <c r="D6" s="2866"/>
      <c r="E6" s="2866"/>
      <c r="F6" s="2866"/>
      <c r="G6" s="2866"/>
      <c r="H6" s="2866"/>
      <c r="I6" s="2866"/>
      <c r="J6" s="2866"/>
      <c r="M6" s="2645"/>
      <c r="N6" s="2194"/>
    </row>
    <row r="7" spans="1:20" ht="17.649999999999999" customHeight="1">
      <c r="A7" s="52"/>
      <c r="B7" s="856" t="s">
        <v>3194</v>
      </c>
      <c r="M7" s="2645"/>
      <c r="N7" s="2194"/>
    </row>
    <row r="8" spans="1:20" ht="17.649999999999999" customHeight="1" thickBot="1">
      <c r="A8" s="1443"/>
      <c r="B8" s="248" t="s">
        <v>1450</v>
      </c>
      <c r="C8" s="249"/>
      <c r="D8" s="249"/>
      <c r="E8" s="249"/>
      <c r="F8" s="249"/>
      <c r="G8" s="253" t="s">
        <v>3195</v>
      </c>
      <c r="H8" s="333"/>
      <c r="I8" s="2861"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J8" s="2861"/>
      <c r="M8" s="2645"/>
      <c r="N8" s="2194"/>
    </row>
    <row r="9" spans="1:20" ht="17.649999999999999" customHeight="1">
      <c r="A9" s="1443"/>
      <c r="B9" s="1077" t="s">
        <v>1701</v>
      </c>
      <c r="C9" s="1078"/>
      <c r="D9" s="1078"/>
      <c r="E9" s="1078"/>
      <c r="F9" s="1078"/>
      <c r="G9" s="1080"/>
      <c r="H9" s="2177"/>
      <c r="I9" s="2861"/>
      <c r="J9" s="2861"/>
      <c r="M9" s="2646"/>
      <c r="N9" s="2194"/>
    </row>
    <row r="10" spans="1:20" ht="17.649999999999999" customHeight="1">
      <c r="A10" s="1443"/>
      <c r="B10" s="1076"/>
      <c r="C10" s="272" t="s">
        <v>3196</v>
      </c>
      <c r="D10" s="267"/>
      <c r="E10" s="267"/>
      <c r="F10" s="267"/>
      <c r="G10" s="2178"/>
      <c r="H10" s="1682"/>
      <c r="I10" s="2861"/>
      <c r="J10" s="2861"/>
      <c r="M10" s="2002">
        <v>1</v>
      </c>
      <c r="N10" s="2194"/>
    </row>
    <row r="11" spans="1:20" ht="17.649999999999999" hidden="1" customHeight="1">
      <c r="A11" s="1443"/>
      <c r="B11" s="1076"/>
      <c r="C11" s="272" t="s">
        <v>3196</v>
      </c>
      <c r="D11" s="267"/>
      <c r="E11" s="267"/>
      <c r="F11" s="267"/>
      <c r="G11" s="2178"/>
      <c r="H11" s="1682"/>
      <c r="I11" s="2861"/>
      <c r="J11" s="2861"/>
      <c r="M11" s="2002">
        <v>0</v>
      </c>
      <c r="N11" s="2194"/>
    </row>
    <row r="12" spans="1:20" ht="17.649999999999999" customHeight="1">
      <c r="A12" s="1443"/>
      <c r="B12" s="250"/>
      <c r="C12" s="273" t="s">
        <v>114</v>
      </c>
      <c r="D12" s="251"/>
      <c r="E12" s="251"/>
      <c r="F12" s="251"/>
      <c r="G12" s="2179"/>
      <c r="H12" s="1682"/>
      <c r="I12" s="2861"/>
      <c r="J12" s="2861"/>
      <c r="M12" s="2002">
        <v>1</v>
      </c>
      <c r="N12" s="2194"/>
    </row>
    <row r="13" spans="1:20" ht="5.25" customHeight="1" thickBot="1">
      <c r="A13" s="1443"/>
      <c r="B13" s="247"/>
      <c r="G13" s="2180"/>
      <c r="H13" s="2183"/>
      <c r="I13" s="2861"/>
      <c r="J13" s="2861"/>
      <c r="M13" s="2852" t="s">
        <v>2737</v>
      </c>
      <c r="N13" s="2194"/>
    </row>
    <row r="14" spans="1:20" ht="17.649999999999999" customHeight="1" thickTop="1">
      <c r="A14" s="1443"/>
      <c r="B14" s="254" t="s">
        <v>1042</v>
      </c>
      <c r="C14" s="255"/>
      <c r="D14" s="255"/>
      <c r="E14" s="255"/>
      <c r="F14" s="255"/>
      <c r="G14" s="1143">
        <f>SUM(G10:G13)</f>
        <v>0</v>
      </c>
      <c r="H14" s="2183"/>
      <c r="I14" s="2861"/>
      <c r="J14" s="2861"/>
      <c r="M14" s="2853"/>
      <c r="N14" s="2194"/>
    </row>
    <row r="15" spans="1:20" ht="10.5" customHeight="1">
      <c r="A15" s="52"/>
      <c r="M15" s="2853"/>
      <c r="N15" s="2194"/>
    </row>
    <row r="16" spans="1:20" ht="95.25" customHeight="1">
      <c r="A16" s="52"/>
      <c r="B16" s="2579" t="s">
        <v>2475</v>
      </c>
      <c r="C16" s="2579"/>
      <c r="D16" s="2579"/>
      <c r="E16" s="2579"/>
      <c r="F16" s="2579"/>
      <c r="G16" s="2579"/>
      <c r="H16" s="2579"/>
      <c r="I16" s="2579"/>
      <c r="J16" s="2579"/>
      <c r="M16" s="2853"/>
      <c r="N16" s="2194"/>
      <c r="R16" s="1098"/>
      <c r="S16" s="6"/>
    </row>
    <row r="17" spans="1:30" ht="17.649999999999999" customHeight="1">
      <c r="A17" s="1443"/>
      <c r="J17" s="989" t="s">
        <v>2367</v>
      </c>
      <c r="M17" s="2853"/>
      <c r="N17" s="2194"/>
    </row>
    <row r="18" spans="1:30" ht="15" customHeight="1" thickBot="1">
      <c r="A18" s="1443"/>
      <c r="B18" s="2867" t="s">
        <v>1455</v>
      </c>
      <c r="C18" s="2868"/>
      <c r="D18" s="2868"/>
      <c r="E18" s="2868"/>
      <c r="F18" s="2868"/>
      <c r="G18" s="2868"/>
      <c r="H18" s="252"/>
      <c r="I18" s="252"/>
      <c r="J18" s="253" t="s">
        <v>2368</v>
      </c>
      <c r="M18" s="2853"/>
      <c r="N18" s="2194"/>
    </row>
    <row r="19" spans="1:30" ht="15" customHeight="1">
      <c r="A19" s="1443"/>
      <c r="B19" s="2869"/>
      <c r="C19" s="2870"/>
      <c r="D19" s="2870"/>
      <c r="E19" s="2870"/>
      <c r="F19" s="2870"/>
      <c r="G19" s="2870"/>
      <c r="H19" s="2870"/>
      <c r="I19" s="2870"/>
      <c r="J19" s="2184" t="s">
        <v>2841</v>
      </c>
      <c r="M19" s="2853"/>
      <c r="N19" s="2194"/>
      <c r="AD19" s="43"/>
    </row>
    <row r="20" spans="1:30" ht="15" customHeight="1">
      <c r="A20" s="1443"/>
      <c r="B20" s="2871"/>
      <c r="C20" s="2872"/>
      <c r="D20" s="2872"/>
      <c r="E20" s="2872"/>
      <c r="F20" s="2872"/>
      <c r="G20" s="2872"/>
      <c r="H20" s="2872"/>
      <c r="I20" s="2872"/>
      <c r="J20" s="2185" t="s">
        <v>41</v>
      </c>
      <c r="M20" s="2853"/>
      <c r="N20" s="2194"/>
    </row>
    <row r="21" spans="1:30" ht="15" customHeight="1">
      <c r="A21" s="1443"/>
      <c r="B21" s="2871"/>
      <c r="C21" s="2872"/>
      <c r="D21" s="2872"/>
      <c r="E21" s="2872"/>
      <c r="F21" s="2872"/>
      <c r="G21" s="2872"/>
      <c r="H21" s="2872"/>
      <c r="I21" s="2872"/>
      <c r="J21" s="2185" t="s">
        <v>41</v>
      </c>
      <c r="M21" s="2853"/>
      <c r="N21" s="2194"/>
    </row>
    <row r="22" spans="1:30" ht="15" customHeight="1">
      <c r="A22" s="1443"/>
      <c r="B22" s="2871"/>
      <c r="C22" s="2872"/>
      <c r="D22" s="2872"/>
      <c r="E22" s="2872"/>
      <c r="F22" s="2872"/>
      <c r="G22" s="2872"/>
      <c r="H22" s="2872"/>
      <c r="I22" s="2872"/>
      <c r="J22" s="2185" t="s">
        <v>41</v>
      </c>
      <c r="M22" s="2853"/>
      <c r="N22" s="2194"/>
    </row>
    <row r="23" spans="1:30" ht="15" customHeight="1">
      <c r="A23" s="1443"/>
      <c r="B23" s="2871"/>
      <c r="C23" s="2872"/>
      <c r="D23" s="2872"/>
      <c r="E23" s="2872"/>
      <c r="F23" s="2872"/>
      <c r="G23" s="2872"/>
      <c r="H23" s="2872"/>
      <c r="I23" s="2872"/>
      <c r="J23" s="2185" t="s">
        <v>41</v>
      </c>
      <c r="M23" s="2853"/>
      <c r="N23" s="2194"/>
    </row>
    <row r="24" spans="1:30" ht="5.25" customHeight="1" thickBot="1">
      <c r="A24" s="1443"/>
      <c r="B24" s="1081"/>
      <c r="C24" s="1082"/>
      <c r="D24" s="1082"/>
      <c r="E24" s="1082"/>
      <c r="F24" s="1082"/>
      <c r="G24" s="1082"/>
      <c r="H24" s="1082"/>
      <c r="I24" s="1082"/>
      <c r="J24" s="1084"/>
      <c r="M24" s="2853"/>
      <c r="N24" s="2194"/>
    </row>
    <row r="25" spans="1:30" ht="15" customHeight="1" thickTop="1">
      <c r="A25" s="1443"/>
      <c r="B25" s="2864"/>
      <c r="C25" s="2865"/>
      <c r="D25" s="2865"/>
      <c r="E25" s="2865"/>
      <c r="F25" s="2865"/>
      <c r="G25" s="2865"/>
      <c r="H25" s="2865"/>
      <c r="I25" s="2865"/>
      <c r="J25" s="256"/>
      <c r="M25" s="2853"/>
      <c r="N25" s="2194"/>
    </row>
    <row r="26" spans="1:30" ht="10.5" customHeight="1">
      <c r="A26" s="52"/>
      <c r="M26" s="2854"/>
    </row>
    <row r="27" spans="1:30" ht="35.25" customHeight="1">
      <c r="A27" s="1443"/>
      <c r="B27" s="2577" t="str">
        <f>"Based on the above information, it appears the Applicant would receive a total of "&amp;TEXT(LGAO_Points_Earned,"0.00")&amp;" points towards the 5-point Local Government Contribution Points."</f>
        <v>Based on the above information, it appears the Applicant would receive a total of 0.00 points towards the 5-point Local Government Contribution Points.</v>
      </c>
      <c r="C27" s="2577"/>
      <c r="D27" s="2577"/>
      <c r="E27" s="2577"/>
      <c r="F27" s="2577"/>
      <c r="G27" s="2577"/>
      <c r="H27" s="2577"/>
      <c r="I27" s="2577"/>
      <c r="J27" s="2577"/>
      <c r="K27" s="2193"/>
      <c r="M27" s="2862">
        <v>0</v>
      </c>
    </row>
    <row r="28" spans="1:30" ht="10.5" customHeight="1">
      <c r="A28" s="1443"/>
      <c r="K28" s="2193"/>
      <c r="M28" s="2863"/>
    </row>
    <row r="29" spans="1:30" ht="50.25" customHeight="1">
      <c r="A29" s="2434" t="s">
        <v>2844</v>
      </c>
      <c r="B29" s="2544" t="s">
        <v>3197</v>
      </c>
      <c r="C29" s="2544"/>
      <c r="D29" s="2544"/>
      <c r="E29" s="2544"/>
      <c r="F29" s="2544"/>
      <c r="G29" s="2544"/>
      <c r="H29" s="2544"/>
      <c r="I29" s="2544"/>
      <c r="J29" s="801" t="s">
        <v>41</v>
      </c>
      <c r="K29" s="2193"/>
      <c r="M29" s="2459" t="s">
        <v>2737</v>
      </c>
      <c r="N29" s="2194"/>
      <c r="O29" s="349"/>
      <c r="P29" s="24"/>
    </row>
    <row r="30" spans="1:30">
      <c r="A30" s="1443"/>
      <c r="B30" s="25" t="s">
        <v>1454</v>
      </c>
      <c r="M30" s="2858">
        <v>0</v>
      </c>
      <c r="N30" s="2194"/>
      <c r="O30" s="349"/>
      <c r="P30" s="24"/>
    </row>
    <row r="31" spans="1:30" ht="10.5" customHeight="1">
      <c r="A31" s="1443"/>
      <c r="B31" s="25"/>
      <c r="M31" s="2859"/>
      <c r="N31" s="2194"/>
      <c r="O31" s="24"/>
      <c r="P31" s="2198"/>
    </row>
    <row r="32" spans="1:30" ht="110.25" customHeight="1">
      <c r="A32" s="1443"/>
      <c r="B32" s="2544" t="str">
        <f>"Qualifications for the Local Government Areas of Opportunity Designation include a demonstration of a high level of interest in the development"&amp;" via an increased amont of Local Government contributions in the form of cash loans"&amp;IF(AND(Data1!$B$854="Yes",OR(Data1!$B$856="No",AND(Data1!$B$856="Yes",County="Miami-Dade"))),", cash grants and/or Fee Waivers"," and/or cash grants")&amp;" with a minium total amount of "&amp;IF(OR(LGAO_Min_Amt="TBD",LGAO_Min_Amt="NA"),"(TBD)",TEXT(LGAO_Min_Amt,"$#,##0"))&amp;"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loans"&amp;IF(AND(Data1!$B$854="Yes",OR(Data1!$B$856="No",AND(Data1!$B$856="Yes",County="Miami-Dade"))),",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(TBD)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2" s="2544"/>
      <c r="D32" s="2544"/>
      <c r="E32" s="2544"/>
      <c r="F32" s="2544"/>
      <c r="G32" s="2544"/>
      <c r="H32" s="2544"/>
      <c r="I32" s="2544"/>
      <c r="J32" s="2544"/>
      <c r="M32" s="2859"/>
      <c r="N32" s="2194"/>
      <c r="O32" s="24"/>
      <c r="P32" s="24"/>
      <c r="Q32" s="15"/>
      <c r="R32" s="457"/>
    </row>
    <row r="33" spans="1:16" ht="10.5" customHeight="1">
      <c r="A33" s="1443"/>
      <c r="M33" s="2860"/>
      <c r="N33" s="2194"/>
      <c r="O33" s="24"/>
      <c r="P33" s="24"/>
    </row>
    <row r="34" spans="1:16">
      <c r="A34" s="2435" t="s">
        <v>927</v>
      </c>
      <c r="B34" t="s">
        <v>1456</v>
      </c>
      <c r="M34" s="2569">
        <v>1</v>
      </c>
      <c r="N34" s="2194"/>
      <c r="O34" s="2194"/>
      <c r="P34" s="24"/>
    </row>
    <row r="35" spans="1:16" ht="10.5" customHeight="1">
      <c r="A35" s="1443"/>
      <c r="M35" s="2570"/>
      <c r="N35" s="2194"/>
      <c r="O35" s="2194"/>
      <c r="P35" s="24"/>
    </row>
    <row r="36" spans="1:16" ht="45" customHeight="1">
      <c r="B36" s="2544" t="s">
        <v>1457</v>
      </c>
      <c r="C36" s="2544"/>
      <c r="D36" s="2544"/>
      <c r="E36" s="2544"/>
      <c r="F36" s="2544"/>
      <c r="G36" s="2544"/>
      <c r="H36" s="2544"/>
      <c r="I36" s="2544"/>
      <c r="J36" s="2544"/>
      <c r="M36" s="2570"/>
      <c r="N36" s="2194"/>
      <c r="O36" s="2194"/>
      <c r="P36" s="24"/>
    </row>
    <row r="37" spans="1:16" ht="65.25" customHeight="1">
      <c r="A37" s="758" t="str">
        <f>IF(Data1!B863=TRUE,"Yes","No")</f>
        <v>No</v>
      </c>
      <c r="B37" s="36"/>
      <c r="D37" s="2544" t="str">
        <f>"(1) The Application has received multiple years of continuous Local Government Areas of Opportunity support since 2024 or"&amp;" earlier and the Application Numbers for the Applications submitted in RFA 2024-201 and RFA 2025-201 "&amp;"that qualified for the Local Government Area of Opportunity Designation "&amp;IF(Data1!$B$863=FALSE,"is to be",IF($J$37="","needs to be","is"))&amp;" entered to the right."</f>
        <v>(1) The Application has received multiple years of continuous Local Government Areas of Opportunity support since 2024 or earlier and the Application Numbers for the Applications submitted in RFA 2024-201 and RFA 2025-201 that qualified for the Local Government Area of Opportunity Designation is to be entered to the right.</v>
      </c>
      <c r="E37" s="2544"/>
      <c r="F37" s="2544"/>
      <c r="G37" s="2544"/>
      <c r="H37" s="2544"/>
      <c r="I37" s="2544"/>
      <c r="J37" s="1279"/>
      <c r="M37" s="2570"/>
      <c r="N37" s="2569">
        <v>1</v>
      </c>
      <c r="O37" s="2194"/>
      <c r="P37" s="24"/>
    </row>
    <row r="38" spans="1:16" ht="7.5" customHeight="1">
      <c r="A38" s="758"/>
      <c r="D38" s="826"/>
      <c r="E38" s="826"/>
      <c r="F38" s="826"/>
      <c r="G38" s="826"/>
      <c r="H38" s="826"/>
      <c r="I38" s="826"/>
      <c r="J38" s="875"/>
      <c r="M38" s="2570"/>
      <c r="N38" s="2571"/>
      <c r="O38" s="2194"/>
      <c r="P38" s="24"/>
    </row>
    <row r="39" spans="1:16" ht="65.25" customHeight="1">
      <c r="A39" s="758" t="str">
        <f>IF(Data1!B864=TRUE,"Yes","No")</f>
        <v>No</v>
      </c>
      <c r="B39" s="36"/>
      <c r="D39" s="2848" t="str">
        <f>_xlfn._LONGTEXT("(2) The Application has received multiple years of continuous Local Government Area of Opportunity support since 2025 and the Application Number for the Application submitted in RFA 2025-201 that qualified for the Local Government Area of Opportunity Desi","gnation ")&amp;IF(Data1!$B$864=FALSE,"is to be",IF($J$39="","needs to be","is"))&amp;" entered to the right."</f>
        <v>(2) The Application has received multiple years of continuous Local Government Area of Opportunity support since 2025 and the Application Number for the Application submitted in RFA 2025-201 that qualified for the Local Government Area of Opportunity Designation is to be entered to the right.</v>
      </c>
      <c r="E39" s="2848"/>
      <c r="F39" s="2848"/>
      <c r="G39" s="2848"/>
      <c r="H39" s="2848"/>
      <c r="I39" s="2848"/>
      <c r="J39" s="917"/>
      <c r="M39" s="2570"/>
      <c r="N39" s="2569">
        <v>1</v>
      </c>
      <c r="O39" s="2194"/>
    </row>
    <row r="40" spans="1:16" ht="7.5" customHeight="1">
      <c r="A40" s="758"/>
      <c r="D40" s="826"/>
      <c r="E40" s="826"/>
      <c r="F40" s="826"/>
      <c r="G40" s="826"/>
      <c r="H40" s="826"/>
      <c r="I40" s="826"/>
      <c r="J40" s="1326"/>
      <c r="M40" s="2570"/>
      <c r="N40" s="2571"/>
      <c r="O40" s="2194"/>
      <c r="P40" s="24"/>
    </row>
    <row r="41" spans="1:16" ht="35.25" customHeight="1">
      <c r="A41" s="758" t="str">
        <f>IF(Data1!B865=TRUE,"Yes","No")</f>
        <v>No</v>
      </c>
      <c r="B41" s="36"/>
      <c r="D41" s="2544" t="s">
        <v>1458</v>
      </c>
      <c r="E41" s="2544"/>
      <c r="F41" s="2544"/>
      <c r="G41" s="2544"/>
      <c r="H41" s="2544"/>
      <c r="I41" s="2544"/>
      <c r="J41" s="2544"/>
      <c r="M41" s="2570"/>
      <c r="N41" s="2002">
        <v>1</v>
      </c>
      <c r="O41" s="2194"/>
      <c r="P41" s="24"/>
    </row>
    <row r="42" spans="1:16">
      <c r="B42" s="829" t="s">
        <v>1459</v>
      </c>
      <c r="M42" s="2571"/>
      <c r="N42" s="2212">
        <f>IF(OR(N37=0,N39=0),0,1)</f>
        <v>1</v>
      </c>
      <c r="O42" s="2194"/>
      <c r="P42" s="24"/>
    </row>
    <row r="43" spans="1:16" ht="10.5" customHeight="1">
      <c r="N43" s="2194"/>
      <c r="O43" s="2194"/>
      <c r="P43" s="24"/>
    </row>
  </sheetData>
  <sheetProtection selectLockedCells="1"/>
  <mergeCells count="28">
    <mergeCell ref="D37:I37"/>
    <mergeCell ref="D39:I39"/>
    <mergeCell ref="D41:J41"/>
    <mergeCell ref="B29:I29"/>
    <mergeCell ref="B27:J27"/>
    <mergeCell ref="B32:J32"/>
    <mergeCell ref="B36:J36"/>
    <mergeCell ref="I8:J14"/>
    <mergeCell ref="M27:M28"/>
    <mergeCell ref="B16:J16"/>
    <mergeCell ref="A1:J1"/>
    <mergeCell ref="B3:J3"/>
    <mergeCell ref="B5:J5"/>
    <mergeCell ref="B25:I25"/>
    <mergeCell ref="B6:J6"/>
    <mergeCell ref="B18:G18"/>
    <mergeCell ref="B19:I19"/>
    <mergeCell ref="B20:I20"/>
    <mergeCell ref="B21:I21"/>
    <mergeCell ref="B22:I22"/>
    <mergeCell ref="B23:I23"/>
    <mergeCell ref="M3:M9"/>
    <mergeCell ref="M13:M26"/>
    <mergeCell ref="M34:M42"/>
    <mergeCell ref="N37:N38"/>
    <mergeCell ref="N39:N40"/>
    <mergeCell ref="M2:P2"/>
    <mergeCell ref="M30:M33"/>
  </mergeCells>
  <conditionalFormatting sqref="A34:J42">
    <cfRule type="expression" dxfId="1693" priority="3">
      <formula>$M$34=0</formula>
    </cfRule>
  </conditionalFormatting>
  <conditionalFormatting sqref="A37:J38">
    <cfRule type="expression" dxfId="1692" priority="4">
      <formula>$N$37=0</formula>
    </cfRule>
    <cfRule type="expression" dxfId="1691" priority="5">
      <formula>$N$39=0</formula>
    </cfRule>
    <cfRule type="expression" dxfId="1690" priority="6">
      <formula>$N$41=0</formula>
    </cfRule>
  </conditionalFormatting>
  <conditionalFormatting sqref="A42:J42">
    <cfRule type="expression" dxfId="1689" priority="2">
      <formula>$N$42=0</formula>
    </cfRule>
  </conditionalFormatting>
  <conditionalFormatting sqref="B27">
    <cfRule type="expression" dxfId="1688" priority="3278">
      <formula>AND(LGAO_Points_Earned&lt;5,Name_of_proposed_Development&lt;&gt;"")</formula>
    </cfRule>
    <cfRule type="expression" dxfId="1687" priority="3294">
      <formula>LGAO_Points_Earned=5</formula>
    </cfRule>
  </conditionalFormatting>
  <conditionalFormatting sqref="B19:I23">
    <cfRule type="cellIs" dxfId="1686" priority="105" operator="notEqual">
      <formula>""</formula>
    </cfRule>
  </conditionalFormatting>
  <conditionalFormatting sqref="B37:I37">
    <cfRule type="expression" dxfId="1685" priority="3295">
      <formula>DS_ExcelCheckbox_LGAO_Prior_App_2YR=TRUE</formula>
    </cfRule>
  </conditionalFormatting>
  <conditionalFormatting sqref="B39:I39">
    <cfRule type="expression" dxfId="1684" priority="3761">
      <formula>DS_ExcelCheckbox_LGAO_Prior_App_1YR=TRUE</formula>
    </cfRule>
  </conditionalFormatting>
  <conditionalFormatting sqref="B20:J23">
    <cfRule type="expression" dxfId="1683" priority="3276">
      <formula>$B19=""</formula>
    </cfRule>
  </conditionalFormatting>
  <conditionalFormatting sqref="B27:J28">
    <cfRule type="expression" dxfId="1682" priority="8">
      <formula>$M$27=0</formula>
    </cfRule>
  </conditionalFormatting>
  <conditionalFormatting sqref="B30:J33">
    <cfRule type="expression" dxfId="1681" priority="1">
      <formula>$M$30=0</formula>
    </cfRule>
  </conditionalFormatting>
  <conditionalFormatting sqref="B41:J41">
    <cfRule type="expression" dxfId="1680" priority="11585">
      <formula>AND(DS_ExcelCheckbox_LGAO_NoPref=TRUE,OR(DS_ExcelCheckbox_LGAO_Prior_App_2YR=TRUE,DS_ExcelCheckbox_LGAO_Prior_App_1YR=TRUE))</formula>
    </cfRule>
    <cfRule type="expression" dxfId="1679" priority="13821">
      <formula>DS_ExcelCheckbox_LGAO_NoPref=TRUE</formula>
    </cfRule>
  </conditionalFormatting>
  <conditionalFormatting sqref="G10:G12">
    <cfRule type="cellIs" dxfId="1678" priority="16" operator="greaterThan">
      <formula>0</formula>
    </cfRule>
  </conditionalFormatting>
  <conditionalFormatting sqref="J19:J23">
    <cfRule type="expression" dxfId="1677" priority="3261">
      <formula>$B19=""</formula>
    </cfRule>
    <cfRule type="expression" dxfId="1676" priority="3277">
      <formula>AND(J19&lt;&gt;"&lt;select one&gt;",J19&lt;&gt;"")</formula>
    </cfRule>
  </conditionalFormatting>
  <conditionalFormatting sqref="J29">
    <cfRule type="cellIs" dxfId="1675" priority="1868" operator="notEqual">
      <formula>"&lt;select one&gt;"</formula>
    </cfRule>
  </conditionalFormatting>
  <conditionalFormatting sqref="J37">
    <cfRule type="cellIs" dxfId="1674" priority="111" operator="notEqual">
      <formula>""</formula>
    </cfRule>
    <cfRule type="expression" dxfId="1673" priority="3738">
      <formula>AND(DS_ExcelCheckbox_LGAO_Prior_App_2YR=TRUE,$J$37="")</formula>
    </cfRule>
  </conditionalFormatting>
  <conditionalFormatting sqref="J39">
    <cfRule type="cellIs" dxfId="1672" priority="557" operator="notEqual">
      <formula>""</formula>
    </cfRule>
    <cfRule type="expression" dxfId="1671" priority="11578">
      <formula>AND(DS_ExcelCheckbox_LGAO_Prior_App_1YR=TRUE,$J$39="")</formula>
    </cfRule>
  </conditionalFormatting>
  <conditionalFormatting sqref="M10:M12 M27 M30 M34 N37:N41">
    <cfRule type="cellIs" dxfId="1670" priority="4304" operator="equal">
      <formula>0</formula>
    </cfRule>
  </conditionalFormatting>
  <dataValidations count="3">
    <dataValidation type="list" allowBlank="1" showInputMessage="1" showErrorMessage="1" sqref="J29" xr:uid="{D09B4B7F-58DF-4CE5-B181-B03E123C6EC4}">
      <formula1>"&lt;select one&gt;, Yes, No"</formula1>
    </dataValidation>
    <dataValidation type="list" allowBlank="1" showInputMessage="1" showErrorMessage="1" sqref="J19:J23" xr:uid="{9D34A89C-F028-4C4F-97C8-3E0F3946D64D}">
      <formula1>DS_LGC_Type_DDMenu</formula1>
    </dataValidation>
    <dataValidation type="custom" showInputMessage="1" showErrorMessage="1" error="An entry is required for the Name of the Local Government above prior to entry in this cell" sqref="B20:I23" xr:uid="{D8F3C2AA-01A1-4B80-B93B-64EADECBCB74}">
      <formula1>$B19&lt;&gt;""</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19050</xdr:colOff>
                    <xdr:row>35</xdr:row>
                    <xdr:rowOff>552450</xdr:rowOff>
                  </from>
                  <to>
                    <xdr:col>4</xdr:col>
                    <xdr:colOff>95250</xdr:colOff>
                    <xdr:row>36</xdr:row>
                    <xdr:rowOff>190500</xdr:rowOff>
                  </to>
                </anchor>
              </controlPr>
            </control>
          </mc:Choice>
        </mc:AlternateContent>
        <mc:AlternateContent xmlns:mc="http://schemas.openxmlformats.org/markup-compatibility/2006">
          <mc:Choice Requires="x14">
            <control shapeId="128007" r:id="rId5" name="Check Box 7">
              <controlPr locked="0" defaultSize="0" autoFill="0" autoLine="0" autoPict="0">
                <anchor moveWithCells="1">
                  <from>
                    <xdr:col>1</xdr:col>
                    <xdr:colOff>19050</xdr:colOff>
                    <xdr:row>40</xdr:row>
                    <xdr:rowOff>0</xdr:rowOff>
                  </from>
                  <to>
                    <xdr:col>4</xdr:col>
                    <xdr:colOff>95250</xdr:colOff>
                    <xdr:row>40</xdr:row>
                    <xdr:rowOff>228600</xdr:rowOff>
                  </to>
                </anchor>
              </controlPr>
            </control>
          </mc:Choice>
        </mc:AlternateContent>
        <mc:AlternateContent xmlns:mc="http://schemas.openxmlformats.org/markup-compatibility/2006">
          <mc:Choice Requires="x14">
            <control shapeId="128010" r:id="rId6" name="Check Box 10">
              <controlPr locked="0" defaultSize="0" autoFill="0" autoLine="0" autoPict="0" altText="">
                <anchor moveWithCells="1">
                  <from>
                    <xdr:col>1</xdr:col>
                    <xdr:colOff>19050</xdr:colOff>
                    <xdr:row>38</xdr:row>
                    <xdr:rowOff>19050</xdr:rowOff>
                  </from>
                  <to>
                    <xdr:col>4</xdr:col>
                    <xdr:colOff>114300</xdr:colOff>
                    <xdr:row>38</xdr:row>
                    <xdr:rowOff>247650</xdr:rowOff>
                  </to>
                </anchor>
              </controlPr>
            </control>
          </mc:Choice>
        </mc:AlternateContent>
        <mc:AlternateContent xmlns:mc="http://schemas.openxmlformats.org/markup-compatibility/2006">
          <mc:Choice Requires="x14">
            <control shapeId="128011" r:id="rId7" name="Check Box 11">
              <controlPr locked="0" defaultSize="0" autoFill="0" autoLine="0" autoPict="0" altText="">
                <anchor moveWithCells="1">
                  <from>
                    <xdr:col>1</xdr:col>
                    <xdr:colOff>19050</xdr:colOff>
                    <xdr:row>40</xdr:row>
                    <xdr:rowOff>0</xdr:rowOff>
                  </from>
                  <to>
                    <xdr:col>4</xdr:col>
                    <xdr:colOff>114300</xdr:colOff>
                    <xdr:row>40</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9" stopIfTrue="1" id="{4E7FF59A-6E04-4917-B5BA-36790A69BCF4}">
            <xm:f>Data1!$E$909="Yes"</xm:f>
            <x14:dxf>
              <font>
                <color theme="0"/>
              </font>
              <fill>
                <patternFill>
                  <bgColor theme="0"/>
                </patternFill>
              </fill>
              <border>
                <left/>
                <right/>
                <top/>
                <bottom/>
              </border>
            </x14:dxf>
          </x14:cfRule>
          <xm:sqref>M3:P30 N31:P33 M34:P38 M39:O39 M40:P42</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B8" sqref="B8:J8"/>
      <selection pane="bottomLeft" activeCell="B8" sqref="B8:J8"/>
    </sheetView>
  </sheetViews>
  <sheetFormatPr defaultColWidth="8.54296875" defaultRowHeight="14.5"/>
  <cols>
    <col min="1" max="1" width="3" customWidth="1"/>
    <col min="2" max="3" width="3.54296875" customWidth="1"/>
    <col min="4" max="4" width="4.453125" customWidth="1"/>
    <col min="6" max="6" width="12.54296875" customWidth="1"/>
    <col min="7" max="8" width="18.453125" customWidth="1"/>
    <col min="9" max="9" width="20.7265625" customWidth="1"/>
    <col min="10" max="10" width="18.1796875" customWidth="1"/>
    <col min="11" max="11" width="8.7265625" customWidth="1"/>
    <col min="12" max="14" width="3.54296875" customWidth="1"/>
    <col min="15" max="15" width="35.7265625" customWidth="1"/>
    <col min="16" max="16" width="3.54296875" customWidth="1"/>
    <col min="17" max="17" width="11.26953125" customWidth="1"/>
    <col min="18" max="19" width="11.7265625" customWidth="1"/>
  </cols>
  <sheetData>
    <row r="1" spans="1:16" ht="36" customHeight="1" thickBot="1">
      <c r="A1" s="2582" t="s">
        <v>2136</v>
      </c>
      <c r="B1" s="2583"/>
      <c r="C1" s="2583"/>
      <c r="D1" s="2583"/>
      <c r="E1" s="2583"/>
      <c r="F1" s="2583"/>
      <c r="G1" s="2583"/>
      <c r="H1" s="2583"/>
      <c r="I1" s="2583"/>
      <c r="J1" s="2584"/>
      <c r="K1" s="24"/>
    </row>
    <row r="2" spans="1:16" ht="14.65" customHeight="1">
      <c r="M2" s="2613" t="s">
        <v>845</v>
      </c>
      <c r="N2" s="2614"/>
      <c r="O2" s="2615"/>
    </row>
    <row r="3" spans="1:16" ht="14.65" customHeight="1">
      <c r="A3" s="87" t="s">
        <v>858</v>
      </c>
      <c r="B3" s="87" t="s">
        <v>2137</v>
      </c>
      <c r="C3" s="87"/>
      <c r="D3" s="87"/>
      <c r="E3" s="87"/>
      <c r="F3" s="865"/>
      <c r="G3" s="865"/>
      <c r="H3" s="865"/>
      <c r="I3" s="865"/>
      <c r="J3" s="865"/>
      <c r="M3" s="2874">
        <f>IF(RIGHT(Excel_RFA_Number,3)="213",1,0)</f>
        <v>0</v>
      </c>
      <c r="N3" s="587"/>
      <c r="O3" s="2849" t="s">
        <v>2832</v>
      </c>
      <c r="P3" s="587"/>
    </row>
    <row r="4" spans="1:16" ht="10.5" customHeight="1">
      <c r="M4" s="2874"/>
      <c r="O4" s="2849"/>
    </row>
    <row r="5" spans="1:16" ht="35.25" customHeight="1">
      <c r="B5" s="2544" t="s">
        <v>2476</v>
      </c>
      <c r="C5" s="2544"/>
      <c r="D5" s="2544"/>
      <c r="E5" s="2544"/>
      <c r="F5" s="2544"/>
      <c r="G5" s="2544"/>
      <c r="H5" s="2544"/>
      <c r="I5" s="2544"/>
      <c r="J5" s="2544"/>
      <c r="M5" s="2874"/>
      <c r="O5" s="2849"/>
    </row>
    <row r="6" spans="1:16" ht="10.5" customHeight="1">
      <c r="M6" s="2874"/>
    </row>
    <row r="7" spans="1:16" ht="17.649999999999999" customHeight="1">
      <c r="A7" s="1443" t="str">
        <f>IF(DS_ExcelCheckbox_MixedUse_Comm=TRUE,"Yes","No")</f>
        <v>No</v>
      </c>
      <c r="B7" s="1444"/>
      <c r="C7" s="2597" t="s">
        <v>2139</v>
      </c>
      <c r="D7" s="2597"/>
      <c r="E7" s="2597"/>
      <c r="F7" s="2597"/>
      <c r="M7" s="2874"/>
      <c r="O7" s="2873"/>
    </row>
    <row r="8" spans="1:16" ht="17.649999999999999" customHeight="1">
      <c r="A8" s="1443" t="str">
        <f>IF(DS_ExcelCheckbox_MixedUse_Inst=TRUE,"Yes","No")</f>
        <v>No</v>
      </c>
      <c r="B8" s="943"/>
      <c r="C8" s="2597" t="s">
        <v>2138</v>
      </c>
      <c r="D8" s="2597"/>
      <c r="E8" s="2597"/>
      <c r="F8" s="2597"/>
      <c r="M8" s="2874"/>
      <c r="O8" s="2873"/>
    </row>
    <row r="9" spans="1:16" ht="10.5" customHeight="1">
      <c r="B9" s="6"/>
      <c r="C9" s="6"/>
      <c r="M9" s="2874"/>
    </row>
    <row r="10" spans="1:16" ht="35.25" customHeight="1">
      <c r="B10" s="2544" t="s">
        <v>2140</v>
      </c>
      <c r="C10" s="2544"/>
      <c r="D10" s="2544"/>
      <c r="E10" s="2544"/>
      <c r="F10" s="2544"/>
      <c r="G10" s="2544"/>
      <c r="H10" s="2544"/>
      <c r="I10" s="2544"/>
      <c r="J10" s="2544"/>
      <c r="M10" s="2874"/>
    </row>
    <row r="11" spans="1:16" ht="350.25" customHeight="1">
      <c r="B11" s="2875"/>
      <c r="C11" s="2875"/>
      <c r="D11" s="2875"/>
      <c r="E11" s="2875"/>
      <c r="F11" s="2875"/>
      <c r="G11" s="2875"/>
      <c r="H11" s="2875"/>
      <c r="I11" s="2875"/>
      <c r="J11" s="2875"/>
      <c r="M11" s="2874"/>
    </row>
    <row r="12" spans="1:16">
      <c r="M12" s="2626"/>
    </row>
    <row r="13" spans="1:16">
      <c r="A13" s="25" t="str">
        <f>IF(M3=0,"a.","b.")</f>
        <v>a.</v>
      </c>
      <c r="B13" s="25" t="s">
        <v>2143</v>
      </c>
      <c r="M13" s="2624">
        <f>M3</f>
        <v>0</v>
      </c>
      <c r="O13" t="str">
        <f>"Controls Rows "&amp;TEXT(ROW(A13),"0")&amp;":"&amp;TEXT(ROW(A18),"0")&amp;"."</f>
        <v>Controls Rows 13:18.</v>
      </c>
    </row>
    <row r="14" spans="1:16" ht="10.5" customHeight="1">
      <c r="M14" s="2625"/>
    </row>
    <row r="15" spans="1:16" ht="35.25" customHeight="1">
      <c r="B15" s="2544" t="s">
        <v>2145</v>
      </c>
      <c r="C15" s="2544"/>
      <c r="D15" s="2544"/>
      <c r="E15" s="2544"/>
      <c r="F15" s="2544"/>
      <c r="G15" s="2544"/>
      <c r="H15" s="2544"/>
      <c r="I15" s="2544"/>
      <c r="J15" s="2544"/>
      <c r="M15" s="2625"/>
    </row>
    <row r="16" spans="1:16">
      <c r="M16" s="2625"/>
    </row>
    <row r="17" spans="1:13" ht="17.649999999999999" customHeight="1">
      <c r="A17" s="1443" t="str">
        <f>IF(DS_ExcelCheckbox_UrbanInfill=TRUE,"Yes","No")</f>
        <v>No</v>
      </c>
      <c r="B17" s="1444"/>
      <c r="C17" s="2597" t="s">
        <v>2144</v>
      </c>
      <c r="D17" s="2597"/>
      <c r="E17" s="2597"/>
      <c r="F17" s="2597"/>
      <c r="J17" s="1452" t="str">
        <f>IF(AND(DS_ExcelCheckbox_UrbanInfill=TRUE,Demographic&lt;&gt;"Family"),"Verify Demographic Commitment","")</f>
        <v/>
      </c>
      <c r="M17" s="2625"/>
    </row>
    <row r="18" spans="1:13" ht="10.5" customHeight="1">
      <c r="M18" s="2626"/>
    </row>
  </sheetData>
  <sheetProtection selectLockedCells="1"/>
  <mergeCells count="13">
    <mergeCell ref="C17:F17"/>
    <mergeCell ref="A1:J1"/>
    <mergeCell ref="B11:J11"/>
    <mergeCell ref="B15:J15"/>
    <mergeCell ref="B5:J5"/>
    <mergeCell ref="B10:J10"/>
    <mergeCell ref="C7:F7"/>
    <mergeCell ref="C8:F8"/>
    <mergeCell ref="O7:O8"/>
    <mergeCell ref="M3:M12"/>
    <mergeCell ref="O3:O5"/>
    <mergeCell ref="M13:M18"/>
    <mergeCell ref="M2:O2"/>
  </mergeCells>
  <conditionalFormatting sqref="A3:J12">
    <cfRule type="expression" dxfId="1668" priority="13620">
      <formula>$M$3=0</formula>
    </cfRule>
  </conditionalFormatting>
  <conditionalFormatting sqref="A13:J18">
    <cfRule type="expression" dxfId="1667" priority="13656">
      <formula>$M$13=0</formula>
    </cfRule>
  </conditionalFormatting>
  <conditionalFormatting sqref="B11">
    <cfRule type="cellIs" dxfId="1666" priority="13" operator="notEqual">
      <formula>""</formula>
    </cfRule>
  </conditionalFormatting>
  <conditionalFormatting sqref="B7:J7">
    <cfRule type="expression" dxfId="1665" priority="11">
      <formula>DS_ExcelCheckbox_MixedUse_Comm=TRUE</formula>
    </cfRule>
  </conditionalFormatting>
  <conditionalFormatting sqref="B7:J8">
    <cfRule type="expression" dxfId="1664" priority="9">
      <formula>AND(DS_ExcelCheckbox_MixedUse_Comm=TRUE,DS_ExcelCheckbox_MixedUse_Inst=TRUE)</formula>
    </cfRule>
  </conditionalFormatting>
  <conditionalFormatting sqref="B8:J8">
    <cfRule type="expression" dxfId="1663" priority="10">
      <formula>DS_ExcelCheckbox_MixedUse_Inst=TRUE</formula>
    </cfRule>
  </conditionalFormatting>
  <conditionalFormatting sqref="B17:J17">
    <cfRule type="expression" dxfId="1662" priority="8">
      <formula>$J$17&lt;&gt;""</formula>
    </cfRule>
    <cfRule type="expression" dxfId="1661" priority="12">
      <formula>DS_ExcelCheckbox_UrbanInfill=TRUE</formula>
    </cfRule>
  </conditionalFormatting>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61" r:id="rId4" name="Check Box 9">
              <controlPr locked="0" defaultSize="0" autoFill="0" autoLine="0" autoPict="0" altText="">
                <anchor moveWithCells="1">
                  <from>
                    <xdr:col>1</xdr:col>
                    <xdr:colOff>38100</xdr:colOff>
                    <xdr:row>6</xdr:row>
                    <xdr:rowOff>0</xdr:rowOff>
                  </from>
                  <to>
                    <xdr:col>4</xdr:col>
                    <xdr:colOff>152400</xdr:colOff>
                    <xdr:row>7</xdr:row>
                    <xdr:rowOff>19050</xdr:rowOff>
                  </to>
                </anchor>
              </controlPr>
            </control>
          </mc:Choice>
        </mc:AlternateContent>
        <mc:AlternateContent xmlns:mc="http://schemas.openxmlformats.org/markup-compatibility/2006">
          <mc:Choice Requires="x14">
            <control shapeId="177162" r:id="rId5" name="Check Box 10">
              <controlPr locked="0" defaultSize="0" autoFill="0" autoLine="0" autoPict="0" altText="">
                <anchor moveWithCells="1">
                  <from>
                    <xdr:col>1</xdr:col>
                    <xdr:colOff>38100</xdr:colOff>
                    <xdr:row>7</xdr:row>
                    <xdr:rowOff>0</xdr:rowOff>
                  </from>
                  <to>
                    <xdr:col>4</xdr:col>
                    <xdr:colOff>152400</xdr:colOff>
                    <xdr:row>8</xdr:row>
                    <xdr:rowOff>19050</xdr:rowOff>
                  </to>
                </anchor>
              </controlPr>
            </control>
          </mc:Choice>
        </mc:AlternateContent>
        <mc:AlternateContent xmlns:mc="http://schemas.openxmlformats.org/markup-compatibility/2006">
          <mc:Choice Requires="x14">
            <control shapeId="177163" r:id="rId6" name="Check Box 11">
              <controlPr locked="0" defaultSize="0" autoFill="0" autoLine="0" autoPict="0" altText="">
                <anchor moveWithCells="1">
                  <from>
                    <xdr:col>1</xdr:col>
                    <xdr:colOff>38100</xdr:colOff>
                    <xdr:row>16</xdr:row>
                    <xdr:rowOff>0</xdr:rowOff>
                  </from>
                  <to>
                    <xdr:col>4</xdr:col>
                    <xdr:colOff>152400</xdr:colOff>
                    <xdr:row>17</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5" stopIfTrue="1" id="{9CB8F2D9-96B7-4C81-8F2B-AC26DCE6FC40}">
            <xm:f>Data1!$E$910="Yes"</xm:f>
            <x14:dxf>
              <font>
                <color theme="0"/>
              </font>
              <fill>
                <patternFill>
                  <bgColor theme="0"/>
                </patternFill>
              </fill>
              <border>
                <left/>
                <right/>
                <top/>
                <bottom/>
              </border>
            </x14:dxf>
          </x14:cfRule>
          <xm:sqref>M3:O18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K38"/>
  <sheetViews>
    <sheetView showGridLines="0" zoomScaleNormal="100" zoomScaleSheetLayoutView="100" workbookViewId="0">
      <pane ySplit="2" topLeftCell="A3" activePane="bottomLeft" state="frozen"/>
      <selection activeCell="B8" sqref="B8:J8"/>
      <selection pane="bottomLeft" activeCell="B8" sqref="B8:J8"/>
    </sheetView>
  </sheetViews>
  <sheetFormatPr defaultColWidth="8.81640625" defaultRowHeight="14.5"/>
  <cols>
    <col min="1" max="1" width="3" style="443" customWidth="1"/>
    <col min="2" max="3" width="3.54296875" style="443" customWidth="1"/>
    <col min="4" max="4" width="29.453125" style="443" customWidth="1"/>
    <col min="5" max="8" width="15" style="443" customWidth="1"/>
    <col min="9" max="9" width="11.81640625" style="443" customWidth="1"/>
    <col min="10" max="10" width="8.7265625" style="443" customWidth="1"/>
    <col min="11" max="11" width="3.54296875" style="443" customWidth="1"/>
    <col min="12" max="13" width="3.7265625" style="443" customWidth="1"/>
    <col min="14" max="14" width="35.7265625" style="443" customWidth="1"/>
    <col min="15" max="15" width="3.54296875" style="443" customWidth="1"/>
    <col min="16" max="16384" width="8.81640625" style="443"/>
  </cols>
  <sheetData>
    <row r="1" spans="1:11" ht="36" customHeight="1" thickBot="1">
      <c r="A1" s="2582" t="s">
        <v>1933</v>
      </c>
      <c r="B1" s="2583"/>
      <c r="C1" s="2583"/>
      <c r="D1" s="2583"/>
      <c r="E1" s="2583"/>
      <c r="F1" s="2583"/>
      <c r="G1" s="2583"/>
      <c r="H1" s="2583"/>
      <c r="I1" s="2584"/>
    </row>
    <row r="3" spans="1:11" ht="17.649999999999999" customHeight="1">
      <c r="A3" s="450" t="s">
        <v>858</v>
      </c>
      <c r="B3" s="521" t="s">
        <v>1430</v>
      </c>
      <c r="E3" s="801" t="s">
        <v>41</v>
      </c>
    </row>
    <row r="4" spans="1:11" ht="14.65" customHeight="1">
      <c r="C4" s="1056" t="s">
        <v>1696</v>
      </c>
      <c r="D4" s="24"/>
      <c r="E4" s="1057" t="s">
        <v>1697</v>
      </c>
      <c r="F4" s="375"/>
      <c r="G4" s="577"/>
      <c r="H4" s="607"/>
      <c r="I4" s="607"/>
      <c r="J4" s="608"/>
      <c r="K4" s="608"/>
    </row>
    <row r="5" spans="1:11" ht="14.65" customHeight="1">
      <c r="C5" s="607"/>
      <c r="D5" s="609"/>
      <c r="E5" s="607"/>
      <c r="F5" s="607"/>
      <c r="G5" s="1099"/>
      <c r="H5" s="721"/>
      <c r="I5" s="721"/>
      <c r="J5" s="608"/>
      <c r="K5" s="608"/>
    </row>
    <row r="6" spans="1:11" ht="17.649999999999999" customHeight="1">
      <c r="A6" s="787" t="s">
        <v>927</v>
      </c>
      <c r="B6" s="449" t="s">
        <v>1431</v>
      </c>
      <c r="C6" s="607"/>
      <c r="D6" s="607"/>
      <c r="E6" s="607"/>
      <c r="G6" s="721"/>
      <c r="H6" s="721"/>
      <c r="I6" s="721"/>
    </row>
    <row r="7" spans="1:11" ht="17.649999999999999" customHeight="1">
      <c r="B7" s="521" t="str">
        <f>"(1)"</f>
        <v>(1)</v>
      </c>
      <c r="C7" s="521" t="s">
        <v>1432</v>
      </c>
      <c r="D7" s="521"/>
      <c r="E7" s="521"/>
      <c r="F7" s="801"/>
      <c r="G7" s="521"/>
      <c r="H7" s="521"/>
      <c r="I7" s="521"/>
      <c r="J7" s="521"/>
      <c r="K7" s="521"/>
    </row>
    <row r="8" spans="1:11" ht="17.649999999999999" customHeight="1">
      <c r="B8" s="521" t="str">
        <f>"(2)"</f>
        <v>(2)</v>
      </c>
      <c r="C8" s="521" t="s">
        <v>1433</v>
      </c>
      <c r="D8" s="521"/>
      <c r="E8" s="801"/>
      <c r="F8" s="521"/>
      <c r="G8" s="521"/>
      <c r="H8" s="521"/>
      <c r="I8" s="521"/>
      <c r="J8" s="521"/>
      <c r="K8" s="521"/>
    </row>
    <row r="9" spans="1:11" ht="14.65" customHeight="1">
      <c r="B9" s="521" t="str">
        <f>"(3)"</f>
        <v>(3)</v>
      </c>
      <c r="C9" s="2877" t="s">
        <v>1434</v>
      </c>
      <c r="D9" s="2877"/>
      <c r="E9" s="2877"/>
      <c r="F9" s="2877"/>
      <c r="G9" s="2877"/>
      <c r="H9" s="2878" t="s">
        <v>41</v>
      </c>
      <c r="I9" s="521"/>
      <c r="J9" s="612"/>
      <c r="K9" s="612"/>
    </row>
    <row r="10" spans="1:11" ht="14.65" customHeight="1">
      <c r="B10" s="611"/>
      <c r="C10" s="2877"/>
      <c r="D10" s="2877"/>
      <c r="E10" s="2877"/>
      <c r="F10" s="2877"/>
      <c r="G10" s="2877"/>
      <c r="H10" s="2878"/>
      <c r="I10" s="521"/>
      <c r="J10" s="611"/>
      <c r="K10" s="611"/>
    </row>
    <row r="11" spans="1:11" ht="17.649999999999999" customHeight="1">
      <c r="B11" s="521"/>
      <c r="C11" s="521"/>
      <c r="D11" s="521" t="s">
        <v>1435</v>
      </c>
      <c r="E11" s="521"/>
      <c r="F11" s="801"/>
      <c r="G11" s="521"/>
      <c r="H11" s="521"/>
      <c r="I11" s="521"/>
      <c r="J11" s="521"/>
      <c r="K11" s="521"/>
    </row>
    <row r="12" spans="1:11" ht="17.649999999999999" customHeight="1">
      <c r="B12" s="521" t="str">
        <f>"(4)"</f>
        <v>(4)</v>
      </c>
      <c r="C12" s="521" t="s">
        <v>1436</v>
      </c>
      <c r="D12" s="521"/>
      <c r="E12" s="521"/>
      <c r="F12" s="521"/>
      <c r="G12" s="801" t="s">
        <v>41</v>
      </c>
      <c r="I12" s="521"/>
      <c r="J12" s="521"/>
      <c r="K12" s="521"/>
    </row>
    <row r="13" spans="1:11" ht="17.649999999999999" customHeight="1">
      <c r="B13" s="521"/>
      <c r="D13" s="521" t="s">
        <v>1437</v>
      </c>
      <c r="E13" s="521"/>
      <c r="F13" s="521"/>
      <c r="G13" s="801"/>
      <c r="H13" s="521"/>
      <c r="I13" s="521"/>
      <c r="J13" s="521"/>
      <c r="K13" s="521"/>
    </row>
    <row r="14" spans="1:11" ht="14.65" customHeight="1">
      <c r="B14" s="521"/>
      <c r="C14" s="521"/>
      <c r="D14" s="521"/>
      <c r="E14" s="521"/>
      <c r="F14" s="521"/>
      <c r="G14" s="521"/>
      <c r="H14" s="521"/>
      <c r="I14" s="521"/>
      <c r="J14" s="521"/>
      <c r="K14" s="521"/>
    </row>
    <row r="15" spans="1:11" ht="17.649999999999999" customHeight="1">
      <c r="A15" s="450" t="s">
        <v>1059</v>
      </c>
      <c r="B15" s="610" t="s">
        <v>1438</v>
      </c>
      <c r="C15" s="521"/>
      <c r="D15" s="521"/>
      <c r="E15" s="521"/>
      <c r="F15" s="521"/>
      <c r="G15" s="521"/>
      <c r="H15" s="521"/>
      <c r="I15" s="521"/>
      <c r="J15" s="521"/>
      <c r="K15" s="521"/>
    </row>
    <row r="16" spans="1:11" ht="17.649999999999999" customHeight="1">
      <c r="B16" s="521" t="s">
        <v>1439</v>
      </c>
      <c r="C16" s="521"/>
      <c r="D16" s="521"/>
      <c r="E16" s="521"/>
      <c r="F16" s="801" t="s">
        <v>41</v>
      </c>
      <c r="G16" s="521"/>
      <c r="I16" s="2876" t="str">
        <f>IF(F16="Yes","(Questions (2) through (4) can be skipped based on the response in "&amp;RIGHT(LEFT(A1,FIND(".A.",A1)+4),2)&amp;".c.(1))","")</f>
        <v/>
      </c>
      <c r="J16" s="521"/>
      <c r="K16" s="521"/>
    </row>
    <row r="17" spans="2:11" ht="14.65" customHeight="1">
      <c r="B17" s="521"/>
      <c r="D17" s="521" t="s">
        <v>1440</v>
      </c>
      <c r="E17" s="521"/>
      <c r="F17" s="521"/>
      <c r="G17" s="521"/>
      <c r="H17" s="521"/>
      <c r="I17" s="2876"/>
      <c r="J17" s="521"/>
      <c r="K17" s="521"/>
    </row>
    <row r="18" spans="2:11" ht="14.65" customHeight="1">
      <c r="B18" s="521"/>
      <c r="D18" s="521" t="s">
        <v>1441</v>
      </c>
      <c r="E18" s="521"/>
      <c r="F18" s="521"/>
      <c r="G18" s="521"/>
      <c r="H18" s="521"/>
      <c r="I18" s="2876"/>
      <c r="J18" s="521"/>
      <c r="K18" s="521"/>
    </row>
    <row r="19" spans="2:11" ht="17.649999999999999" customHeight="1">
      <c r="B19" s="521" t="s">
        <v>1442</v>
      </c>
      <c r="C19" s="521"/>
      <c r="D19" s="521"/>
      <c r="E19" s="521"/>
      <c r="F19" s="801" t="s">
        <v>41</v>
      </c>
      <c r="H19" s="2876" t="str">
        <f>IF(F19="Yes","(Questions (3) and (4) can be skipped based on the response in "&amp;RIGHT(LEFT(A1,FIND(".A.",A1)+4),2)&amp;".c.(2))","")</f>
        <v/>
      </c>
      <c r="I19" s="2876"/>
      <c r="J19" s="521"/>
      <c r="K19" s="521"/>
    </row>
    <row r="20" spans="2:11">
      <c r="B20" s="521"/>
      <c r="D20" s="521" t="s">
        <v>1443</v>
      </c>
      <c r="E20" s="521"/>
      <c r="F20" s="521"/>
      <c r="G20" s="2876" t="str">
        <f>IF(F22="No","(Question (4) can be skipped based on the response in "&amp;RIGHT(LEFT(A1,FIND(".A.",A1)+4),2)&amp;".c.(3))","")</f>
        <v/>
      </c>
      <c r="H20" s="2876"/>
      <c r="I20" s="2876"/>
      <c r="J20" s="521"/>
      <c r="K20" s="521"/>
    </row>
    <row r="21" spans="2:11">
      <c r="B21" s="521"/>
      <c r="D21" s="521" t="s">
        <v>1444</v>
      </c>
      <c r="E21" s="521"/>
      <c r="F21" s="521"/>
      <c r="G21" s="2876"/>
      <c r="H21" s="2876"/>
      <c r="I21" s="2876"/>
      <c r="J21" s="521"/>
      <c r="K21" s="521"/>
    </row>
    <row r="22" spans="2:11" ht="17.649999999999999" customHeight="1">
      <c r="B22" s="521" t="s">
        <v>1445</v>
      </c>
      <c r="C22" s="521"/>
      <c r="D22" s="521"/>
      <c r="E22" s="521"/>
      <c r="F22" s="801" t="s">
        <v>41</v>
      </c>
      <c r="G22" s="2876"/>
      <c r="H22" s="2876"/>
      <c r="I22" s="2876"/>
      <c r="J22" s="521"/>
      <c r="K22" s="521"/>
    </row>
    <row r="23" spans="2:11" ht="14.65" customHeight="1">
      <c r="B23" s="521"/>
      <c r="D23" s="521" t="s">
        <v>1446</v>
      </c>
      <c r="E23" s="521"/>
      <c r="F23" s="521"/>
      <c r="G23" s="2876"/>
      <c r="H23" s="2876"/>
      <c r="I23" s="2876"/>
      <c r="J23" s="521"/>
      <c r="K23" s="521"/>
    </row>
    <row r="24" spans="2:11" ht="14.65" customHeight="1">
      <c r="B24" s="521"/>
      <c r="D24" s="521" t="s">
        <v>1447</v>
      </c>
      <c r="E24" s="521"/>
      <c r="F24" s="521"/>
      <c r="G24" s="2876"/>
      <c r="H24" s="2876"/>
      <c r="I24" s="2876"/>
      <c r="J24" s="521"/>
      <c r="K24" s="521"/>
    </row>
    <row r="25" spans="2:11" ht="17.649999999999999" customHeight="1">
      <c r="B25" s="521" t="s">
        <v>1448</v>
      </c>
      <c r="C25" s="521"/>
      <c r="D25" s="521"/>
      <c r="E25" s="521"/>
      <c r="F25" s="801" t="s">
        <v>41</v>
      </c>
      <c r="G25" s="2876"/>
      <c r="H25" s="2876"/>
      <c r="I25" s="2876"/>
      <c r="J25" s="521"/>
      <c r="K25" s="521"/>
    </row>
    <row r="26" spans="2:11" ht="14.65" customHeight="1">
      <c r="B26" s="521"/>
      <c r="D26" s="577"/>
      <c r="E26" s="521"/>
      <c r="F26" s="521"/>
      <c r="J26" s="521"/>
      <c r="K26" s="521"/>
    </row>
    <row r="27" spans="2:11" ht="14.65" customHeight="1">
      <c r="B27" s="521"/>
      <c r="D27" s="577"/>
      <c r="E27" s="521"/>
      <c r="F27" s="521"/>
      <c r="J27" s="521"/>
      <c r="K27" s="521"/>
    </row>
    <row r="28" spans="2:11" ht="15.75" customHeight="1"/>
    <row r="29" spans="2:11" ht="15.75" customHeight="1"/>
    <row r="30" spans="2:11" ht="15.75" customHeight="1"/>
    <row r="31" spans="2:11" ht="15.75" customHeight="1"/>
    <row r="32" spans="2:11" ht="15.75" customHeight="1"/>
    <row r="33" ht="15.75" customHeight="1"/>
    <row r="34" ht="15.75" customHeight="1"/>
    <row r="35" ht="15.75" customHeight="1"/>
    <row r="36" ht="15.75" customHeight="1"/>
    <row r="37" ht="15.75" customHeight="1"/>
    <row r="38" ht="15.75" customHeight="1"/>
  </sheetData>
  <sheetProtection selectLockedCells="1"/>
  <mergeCells count="6">
    <mergeCell ref="H19:H25"/>
    <mergeCell ref="I16:I25"/>
    <mergeCell ref="G20:G25"/>
    <mergeCell ref="A1:I1"/>
    <mergeCell ref="C9:G10"/>
    <mergeCell ref="H9:H10"/>
  </mergeCells>
  <conditionalFormatting sqref="B19:F25">
    <cfRule type="expression" dxfId="1659" priority="23">
      <formula>$F$16="Yes"</formula>
    </cfRule>
  </conditionalFormatting>
  <conditionalFormatting sqref="B22:F25">
    <cfRule type="expression" dxfId="1658" priority="32">
      <formula>$F$19="Yes"</formula>
    </cfRule>
  </conditionalFormatting>
  <conditionalFormatting sqref="B25:F25">
    <cfRule type="expression" dxfId="1657" priority="37">
      <formula>$F$22="No"</formula>
    </cfRule>
  </conditionalFormatting>
  <conditionalFormatting sqref="B7:H13 A6:E6">
    <cfRule type="expression" dxfId="1656" priority="11">
      <formula>$E$3="No"</formula>
    </cfRule>
  </conditionalFormatting>
  <conditionalFormatting sqref="C4">
    <cfRule type="expression" dxfId="1655" priority="9">
      <formula>$E$3="Yes"</formula>
    </cfRule>
  </conditionalFormatting>
  <conditionalFormatting sqref="D17:E17 D20:E20 D23:E23">
    <cfRule type="expression" dxfId="1654" priority="20">
      <formula>$F16="No"</formula>
    </cfRule>
  </conditionalFormatting>
  <conditionalFormatting sqref="D17:E18">
    <cfRule type="expression" dxfId="1653" priority="21">
      <formula>$F$16="&lt;select one&gt;"</formula>
    </cfRule>
  </conditionalFormatting>
  <conditionalFormatting sqref="D18:E18 D21:E21 D24:E24">
    <cfRule type="expression" dxfId="1652" priority="22">
      <formula>$F16="Yes"</formula>
    </cfRule>
  </conditionalFormatting>
  <conditionalFormatting sqref="D20:E21">
    <cfRule type="expression" dxfId="1651" priority="31">
      <formula>$F$19="&lt;select one&gt;"</formula>
    </cfRule>
  </conditionalFormatting>
  <conditionalFormatting sqref="D23:E24">
    <cfRule type="expression" dxfId="1650" priority="36">
      <formula>$F$22="&lt;select one&gt;"</formula>
    </cfRule>
  </conditionalFormatting>
  <conditionalFormatting sqref="D11:F11">
    <cfRule type="expression" dxfId="1649" priority="13">
      <formula>$H$9&lt;&gt;"Yes"</formula>
    </cfRule>
  </conditionalFormatting>
  <conditionalFormatting sqref="D13:F13">
    <cfRule type="expression" dxfId="1648" priority="16">
      <formula>$G$12&lt;&gt;"Yes"</formula>
    </cfRule>
  </conditionalFormatting>
  <conditionalFormatting sqref="E3 H9 G12 F16 F19 F22 F25">
    <cfRule type="cellIs" dxfId="1647" priority="6" operator="notEqual">
      <formula>"&lt;select one&gt;"</formula>
    </cfRule>
  </conditionalFormatting>
  <conditionalFormatting sqref="E4">
    <cfRule type="expression" dxfId="1646" priority="10">
      <formula>$E$3="No"</formula>
    </cfRule>
  </conditionalFormatting>
  <conditionalFormatting sqref="F7 E8 F11 G13">
    <cfRule type="cellIs" dxfId="1645" priority="12" operator="notEqual">
      <formula>""</formula>
    </cfRule>
  </conditionalFormatting>
  <conditionalFormatting sqref="F7 E8 H9:H10 F11 G12:G13">
    <cfRule type="expression" dxfId="1644" priority="4">
      <formula>$E$3="No"</formula>
    </cfRule>
  </conditionalFormatting>
  <conditionalFormatting sqref="F11">
    <cfRule type="expression" dxfId="1643" priority="15">
      <formula>perm_relocation&lt;&gt;"Yes"</formula>
    </cfRule>
  </conditionalFormatting>
  <conditionalFormatting sqref="F19 F22 F25">
    <cfRule type="expression" dxfId="1642" priority="25">
      <formula>$F$16="Yes"</formula>
    </cfRule>
  </conditionalFormatting>
  <conditionalFormatting sqref="F22 F25">
    <cfRule type="expression" dxfId="1641" priority="34">
      <formula>$F$19="Yes"</formula>
    </cfRule>
  </conditionalFormatting>
  <conditionalFormatting sqref="F25">
    <cfRule type="expression" dxfId="1640" priority="40">
      <formula>$F$22="No"</formula>
    </cfRule>
  </conditionalFormatting>
  <conditionalFormatting sqref="G13">
    <cfRule type="expression" dxfId="1639" priority="18">
      <formula>temp_relocated&lt;&gt;"Yes"</formula>
    </cfRule>
  </conditionalFormatting>
  <conditionalFormatting sqref="H9:H10 G12 E3 F16 F19 F22 F25">
    <cfRule type="cellIs" dxfId="1638" priority="5" operator="equal">
      <formula>""</formula>
    </cfRule>
  </conditionalFormatting>
  <dataValidations count="2">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s>
  <pageMargins left="0.7" right="0.7" top="0.75" bottom="0.75" header="0.3" footer="0.3"/>
  <pageSetup scale="80" orientation="portrait" cellComments="atEnd" r:id="rId1"/>
  <headerFooter>
    <oddHeader>&amp;C&amp;B&amp;14&amp;K7030A0RFA 2026-204 SAIL FINANCING FOR THE PRESERVATION OF ELDERLY DEVELOPMENTS</oddHeader>
    <oddFooter>&amp;LRFA 2026-204&amp;R&amp;K000000'&amp;A' worksheet tab: 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R14"/>
  <sheetViews>
    <sheetView showGridLines="0" zoomScaleNormal="100" zoomScaleSheetLayoutView="100" workbookViewId="0">
      <pane ySplit="2" topLeftCell="A3" activePane="bottomLeft" state="frozen"/>
      <selection activeCell="B8" sqref="B8:J8"/>
      <selection pane="bottomLeft" activeCell="B8" sqref="B8:J8"/>
    </sheetView>
  </sheetViews>
  <sheetFormatPr defaultColWidth="8.54296875" defaultRowHeight="14.5"/>
  <cols>
    <col min="1" max="1" width="3" customWidth="1"/>
    <col min="2" max="3" width="3.54296875" customWidth="1"/>
    <col min="4" max="6" width="4.453125" customWidth="1"/>
    <col min="7" max="7" width="25.54296875" customWidth="1"/>
    <col min="8" max="9" width="24.7265625" customWidth="1"/>
    <col min="10" max="10" width="8.81640625" customWidth="1"/>
    <col min="11" max="11" width="5.54296875" customWidth="1"/>
    <col min="12" max="12" width="8.7265625" customWidth="1"/>
    <col min="13" max="15" width="3.54296875" customWidth="1"/>
    <col min="16" max="16" width="35.7265625" customWidth="1"/>
    <col min="17" max="18" width="3.54296875" customWidth="1"/>
  </cols>
  <sheetData>
    <row r="1" spans="1:18" ht="36" customHeight="1" thickBot="1">
      <c r="A1" s="2582" t="str">
        <f>"Section 5.B.1
Goals in "&amp;Excel_RFA_Number</f>
        <v>Section 5.B.1
Goals in RFA 2026-204</v>
      </c>
      <c r="B1" s="2583"/>
      <c r="C1" s="2583"/>
      <c r="D1" s="2583"/>
      <c r="E1" s="2583"/>
      <c r="F1" s="2583"/>
      <c r="G1" s="2583"/>
      <c r="H1" s="2583"/>
      <c r="I1" s="2583"/>
      <c r="J1" s="2583"/>
      <c r="K1" s="2584"/>
      <c r="L1" s="24"/>
    </row>
    <row r="2" spans="1:18" ht="14.65" customHeight="1">
      <c r="N2" s="2613" t="s">
        <v>845</v>
      </c>
      <c r="O2" s="2614"/>
      <c r="P2" s="2615"/>
    </row>
    <row r="3" spans="1:18" ht="15" customHeight="1">
      <c r="A3" s="848" t="s">
        <v>1822</v>
      </c>
      <c r="B3" s="87"/>
      <c r="C3" s="87"/>
      <c r="D3" s="87"/>
      <c r="E3" s="87"/>
      <c r="F3" s="87"/>
      <c r="G3" s="87"/>
      <c r="H3" s="87"/>
      <c r="I3" s="87"/>
      <c r="J3" s="87"/>
      <c r="K3" s="87"/>
      <c r="N3" s="2880" t="s">
        <v>2737</v>
      </c>
      <c r="O3" s="2881"/>
      <c r="P3" s="2882"/>
      <c r="Q3" s="332"/>
      <c r="R3" s="332"/>
    </row>
    <row r="4" spans="1:18" ht="15" customHeight="1">
      <c r="A4" s="865"/>
      <c r="B4" s="848" t="s">
        <v>1823</v>
      </c>
      <c r="D4" s="826"/>
      <c r="E4" s="826"/>
      <c r="F4" s="826"/>
      <c r="G4" s="826"/>
      <c r="H4" s="826"/>
      <c r="I4" s="826"/>
      <c r="N4" s="2879">
        <v>1</v>
      </c>
      <c r="P4" t="str">
        <f>"Controls Rows "&amp;TEXT(ROW(A4),"0")&amp;":"&amp;TEXT(ROW(A7),"0")&amp;"."</f>
        <v>Controls Rows 4:7.</v>
      </c>
    </row>
    <row r="5" spans="1:18" ht="35.25" customHeight="1">
      <c r="C5" s="2579" t="s">
        <v>1824</v>
      </c>
      <c r="D5" s="2579"/>
      <c r="E5" s="2579"/>
      <c r="F5" s="2579"/>
      <c r="G5" s="2579"/>
      <c r="H5" s="2579"/>
      <c r="I5" s="2579"/>
      <c r="J5" s="2579"/>
      <c r="K5" s="2579"/>
      <c r="N5" s="2879"/>
    </row>
    <row r="6" spans="1:18" ht="17.649999999999999" customHeight="1">
      <c r="B6" s="2573" t="s">
        <v>41</v>
      </c>
      <c r="C6" s="2573"/>
      <c r="D6" s="2573"/>
      <c r="E6" s="2573"/>
      <c r="F6" s="2573"/>
      <c r="G6" s="2573"/>
      <c r="H6" s="2573"/>
      <c r="I6" s="2573"/>
      <c r="J6" s="2573"/>
      <c r="K6" s="2573"/>
      <c r="N6" s="2879"/>
    </row>
    <row r="7" spans="1:18" ht="17.649999999999999" customHeight="1">
      <c r="N7" s="2707"/>
    </row>
    <row r="8" spans="1:18" ht="17.649999999999999" customHeight="1">
      <c r="B8" s="6" t="s">
        <v>1854</v>
      </c>
      <c r="N8" s="2705">
        <v>1</v>
      </c>
      <c r="P8" t="str">
        <f>"Controls Rows "&amp;TEXT(ROW(A8),"0")&amp;":"&amp;TEXT(ROW(A14),"0")&amp;"."</f>
        <v>Controls Rows 8:14.</v>
      </c>
    </row>
    <row r="9" spans="1:18" ht="10.5" customHeight="1">
      <c r="D9" s="2883"/>
      <c r="E9" s="2883"/>
      <c r="F9" s="2883"/>
      <c r="G9" s="2883"/>
      <c r="H9" s="2883"/>
      <c r="I9" s="2883"/>
      <c r="J9" s="2883"/>
      <c r="N9" s="2706"/>
    </row>
    <row r="10" spans="1:18" ht="20.25" customHeight="1">
      <c r="A10" s="758" t="str">
        <f>IF(DS_ExcelCheckBox_Goal_1=TRUE,"Yes","No")</f>
        <v>No</v>
      </c>
      <c r="C10" s="36"/>
      <c r="D10" s="2579" t="s">
        <v>2167</v>
      </c>
      <c r="E10" s="2579"/>
      <c r="F10" s="2579"/>
      <c r="G10" s="2579"/>
      <c r="H10" s="2579"/>
      <c r="I10" s="875"/>
      <c r="J10" s="875"/>
      <c r="K10" s="1451"/>
      <c r="N10" s="2706"/>
      <c r="P10" s="331"/>
    </row>
    <row r="11" spans="1:18" ht="20.25" customHeight="1">
      <c r="A11" s="758" t="str">
        <f>IF(DS_ExcelCheckBox_Goal_2=TRUE,"Yes","No")</f>
        <v>No</v>
      </c>
      <c r="C11" s="36"/>
      <c r="D11" s="2579" t="s">
        <v>2168</v>
      </c>
      <c r="E11" s="2579"/>
      <c r="F11" s="2579"/>
      <c r="G11" s="2579"/>
      <c r="H11" s="2579"/>
      <c r="I11" s="875"/>
      <c r="J11" s="875"/>
      <c r="K11" s="1453"/>
      <c r="M11" s="6"/>
      <c r="N11" s="2706"/>
      <c r="P11" s="331"/>
    </row>
    <row r="12" spans="1:18" ht="20.25" customHeight="1">
      <c r="A12" s="758" t="str">
        <f>IF(DS_ExcelCheckBox_Goal_3=TRUE,"Yes","No")</f>
        <v>No</v>
      </c>
      <c r="C12" s="36"/>
      <c r="D12" s="2579" t="s">
        <v>2169</v>
      </c>
      <c r="E12" s="2579"/>
      <c r="F12" s="2579"/>
      <c r="G12" s="2579"/>
      <c r="H12" s="2579"/>
      <c r="I12" s="875"/>
      <c r="J12" s="875"/>
      <c r="K12" s="1453"/>
      <c r="M12" s="6"/>
      <c r="N12" s="2706"/>
    </row>
    <row r="13" spans="1:18" ht="20.25" customHeight="1">
      <c r="C13" s="36"/>
      <c r="D13" s="2579" t="s">
        <v>2170</v>
      </c>
      <c r="E13" s="2579"/>
      <c r="F13" s="2579"/>
      <c r="G13" s="2579"/>
      <c r="H13" s="2579"/>
      <c r="I13" s="875"/>
      <c r="J13" s="875"/>
      <c r="K13" s="336"/>
      <c r="M13" s="6"/>
      <c r="N13" s="2706"/>
    </row>
    <row r="14" spans="1:18" ht="10.5" customHeight="1">
      <c r="N14" s="2707"/>
    </row>
  </sheetData>
  <mergeCells count="12">
    <mergeCell ref="A1:K1"/>
    <mergeCell ref="C5:K5"/>
    <mergeCell ref="B6:K6"/>
    <mergeCell ref="D9:J9"/>
    <mergeCell ref="D10:H10"/>
    <mergeCell ref="N4:N7"/>
    <mergeCell ref="N8:N14"/>
    <mergeCell ref="N2:P2"/>
    <mergeCell ref="N3:P3"/>
    <mergeCell ref="D12:H12"/>
    <mergeCell ref="D13:H13"/>
    <mergeCell ref="D11:H11"/>
  </mergeCells>
  <conditionalFormatting sqref="A4:K7">
    <cfRule type="expression" dxfId="1637" priority="13697">
      <formula>$N$4=0</formula>
    </cfRule>
  </conditionalFormatting>
  <conditionalFormatting sqref="A8:K14">
    <cfRule type="expression" dxfId="1636" priority="13739">
      <formula>$N$8=0</formula>
    </cfRule>
  </conditionalFormatting>
  <conditionalFormatting sqref="B6:K6">
    <cfRule type="cellIs" dxfId="1635" priority="1" operator="notEqual">
      <formula>"&lt;select one&gt;"</formula>
    </cfRule>
  </conditionalFormatting>
  <conditionalFormatting sqref="C10:D10 I10:K10">
    <cfRule type="expression" dxfId="1634" priority="11">
      <formula>DS_ExcelCheckBox_Goal_1=TRUE</formula>
    </cfRule>
  </conditionalFormatting>
  <conditionalFormatting sqref="C11:D11 I11:K11">
    <cfRule type="expression" dxfId="1633" priority="14">
      <formula>DS_ExcelCheckBox_Goal_2=TRUE</formula>
    </cfRule>
  </conditionalFormatting>
  <conditionalFormatting sqref="C12:D12 I12:K12">
    <cfRule type="expression" dxfId="1632" priority="2">
      <formula>AND(DS_ExcelCheckBox_Goal_3=TRUE,Demographic&lt;&gt;"Family")</formula>
    </cfRule>
    <cfRule type="expression" dxfId="1631" priority="15">
      <formula>DS_ExcelCheckBox_Goal_3=TRUE</formula>
    </cfRule>
  </conditionalFormatting>
  <conditionalFormatting sqref="C13:D13 I13:K13">
    <cfRule type="expression" dxfId="1630" priority="6">
      <formula>DS_ExcelCheckBox_Goal_4=TRUE</formula>
    </cfRule>
  </conditionalFormatting>
  <conditionalFormatting sqref="K10">
    <cfRule type="expression" dxfId="1629" priority="3">
      <formula>AND(Youth_Aging_Out_Goal="Yes",DS_ExcelCheckBox_Goal_1=FALSE)</formula>
    </cfRule>
  </conditionalFormatting>
  <conditionalFormatting sqref="N4 N8">
    <cfRule type="cellIs" dxfId="1628" priority="7" operator="equal">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19050</xdr:rowOff>
                  </from>
                  <to>
                    <xdr:col>5</xdr:col>
                    <xdr:colOff>95250</xdr:colOff>
                    <xdr:row>9</xdr:row>
                    <xdr:rowOff>247650</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19050</xdr:rowOff>
                  </from>
                  <to>
                    <xdr:col>5</xdr:col>
                    <xdr:colOff>95250</xdr:colOff>
                    <xdr:row>10</xdr:row>
                    <xdr:rowOff>247650</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95250</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95250</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Data1!$E$913="Yes"</xm:f>
            <x14:dxf>
              <font>
                <color theme="0"/>
              </font>
              <fill>
                <patternFill>
                  <bgColor theme="0"/>
                </patternFill>
              </fill>
              <border>
                <left/>
                <right/>
                <top/>
                <bottom/>
              </border>
            </x14:dxf>
          </x14:cfRule>
          <xm:sqref>N3:P14</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W175"/>
  <sheetViews>
    <sheetView showGridLines="0" zoomScale="90" zoomScaleNormal="90" zoomScaleSheetLayoutView="100" workbookViewId="0">
      <pane ySplit="2" topLeftCell="A3" activePane="bottomLeft" state="frozen"/>
      <selection pane="bottomLeft" activeCell="P17" sqref="P17"/>
    </sheetView>
  </sheetViews>
  <sheetFormatPr defaultRowHeight="14.5"/>
  <cols>
    <col min="1" max="1" width="3" customWidth="1"/>
    <col min="2" max="3" width="3.54296875" customWidth="1"/>
    <col min="4" max="4" width="4.453125" customWidth="1"/>
    <col min="5" max="5" width="23.7265625" customWidth="1"/>
    <col min="6" max="6" width="20.7265625" customWidth="1"/>
    <col min="7" max="7" width="6.7265625" customWidth="1"/>
    <col min="8" max="8" width="3.54296875" customWidth="1"/>
    <col min="9" max="9" width="12.7265625" customWidth="1"/>
    <col min="10" max="10" width="16.7265625" customWidth="1"/>
    <col min="11" max="11" width="9.453125" customWidth="1"/>
    <col min="12" max="12" width="3.26953125" customWidth="1"/>
    <col min="14" max="15" width="3.54296875" customWidth="1"/>
    <col min="16" max="16" width="42.54296875" customWidth="1"/>
    <col min="17" max="17" width="9.1796875" customWidth="1"/>
    <col min="18" max="18" width="10.54296875" customWidth="1"/>
    <col min="19" max="19" width="9.1796875" customWidth="1"/>
  </cols>
  <sheetData>
    <row r="1" spans="1:23" ht="36" customHeight="1" thickBot="1">
      <c r="A1" s="2582" t="s">
        <v>3198</v>
      </c>
      <c r="B1" s="2583"/>
      <c r="C1" s="2583"/>
      <c r="D1" s="2583"/>
      <c r="E1" s="2583"/>
      <c r="F1" s="2583"/>
      <c r="G1" s="2583"/>
      <c r="H1" s="2583"/>
      <c r="I1" s="2583"/>
      <c r="J1" s="2583"/>
      <c r="K1" s="2583"/>
      <c r="L1" s="2584"/>
      <c r="M1" s="8"/>
      <c r="N1" s="24"/>
      <c r="O1" s="24"/>
      <c r="P1" s="24"/>
      <c r="Q1" s="24"/>
      <c r="R1" s="875"/>
      <c r="S1" s="875"/>
      <c r="T1" s="875"/>
      <c r="U1" s="875"/>
      <c r="V1" s="875"/>
      <c r="W1" s="875"/>
    </row>
    <row r="2" spans="1:23" ht="15" customHeight="1">
      <c r="N2" s="2613" t="s">
        <v>845</v>
      </c>
      <c r="O2" s="2614"/>
      <c r="P2" s="2614"/>
      <c r="Q2" s="2614"/>
      <c r="R2" s="2615"/>
      <c r="S2" s="332"/>
      <c r="T2" s="332"/>
      <c r="U2" s="332"/>
      <c r="V2" s="875"/>
      <c r="W2" s="875"/>
    </row>
    <row r="3" spans="1:23" s="6" customFormat="1" ht="65.25" customHeight="1">
      <c r="A3" s="2900" t="s">
        <v>3238</v>
      </c>
      <c r="B3" s="2900"/>
      <c r="C3" s="2900"/>
      <c r="D3" s="2900"/>
      <c r="E3" s="2900"/>
      <c r="F3" s="2900"/>
      <c r="G3" s="2900"/>
      <c r="H3" s="2900"/>
      <c r="I3" s="2900"/>
      <c r="J3" s="2900"/>
      <c r="K3" s="2900"/>
      <c r="L3" s="2900"/>
      <c r="N3" s="2440">
        <v>1</v>
      </c>
      <c r="O3" s="1750"/>
      <c r="P3"/>
      <c r="Q3"/>
      <c r="R3"/>
      <c r="S3"/>
    </row>
    <row r="4" spans="1:23" ht="17.649999999999999" customHeight="1">
      <c r="A4" s="848"/>
      <c r="B4" s="2444" t="s">
        <v>3233</v>
      </c>
      <c r="C4" s="848"/>
      <c r="D4" s="848"/>
      <c r="E4" s="848"/>
      <c r="F4" s="848"/>
      <c r="G4" s="848"/>
      <c r="H4" s="848"/>
      <c r="I4" s="848"/>
      <c r="J4" s="848"/>
      <c r="K4" s="848"/>
      <c r="L4" s="848"/>
      <c r="N4" s="2885">
        <v>1</v>
      </c>
      <c r="O4" s="1750"/>
    </row>
    <row r="5" spans="1:23" ht="35.25" customHeight="1">
      <c r="B5" s="50"/>
      <c r="C5" s="2579" t="s">
        <v>882</v>
      </c>
      <c r="D5" s="2579"/>
      <c r="E5" s="2579"/>
      <c r="F5" s="2579"/>
      <c r="G5" s="50"/>
      <c r="H5" s="2897" t="str">
        <f>IF('General Information'!G123="","(transferred from General Information tab)",'General Information'!G123)</f>
        <v>(transferred from General Information tab)</v>
      </c>
      <c r="I5" s="2898"/>
      <c r="J5" s="2898"/>
      <c r="K5" s="2898"/>
      <c r="N5" s="2886"/>
    </row>
    <row r="6" spans="1:23" ht="35.25" customHeight="1">
      <c r="B6" s="241"/>
      <c r="C6" s="2888" t="s">
        <v>883</v>
      </c>
      <c r="D6" s="2888"/>
      <c r="E6" s="2888"/>
      <c r="F6" s="2888"/>
      <c r="H6" s="2897" t="str">
        <f>IF('General Information'!G124="","(transferred from General Information tab)",'General Information'!G124)</f>
        <v>(transferred from General Information tab)</v>
      </c>
      <c r="I6" s="2898"/>
      <c r="J6" s="2898"/>
      <c r="K6" s="2898"/>
      <c r="N6" s="2886"/>
      <c r="O6" s="1750"/>
      <c r="P6" s="50"/>
      <c r="Q6" s="50"/>
      <c r="R6" s="50"/>
    </row>
    <row r="7" spans="1:23" ht="17.649999999999999" customHeight="1">
      <c r="B7" s="2444" t="s">
        <v>3234</v>
      </c>
      <c r="C7" s="851"/>
      <c r="D7" s="851"/>
      <c r="E7" s="851"/>
      <c r="F7" s="851"/>
      <c r="H7" s="11"/>
      <c r="I7" s="11"/>
      <c r="J7" s="11"/>
      <c r="K7" s="11"/>
      <c r="N7" s="2886"/>
      <c r="O7" s="1750"/>
      <c r="P7" s="50"/>
      <c r="Q7" s="50"/>
      <c r="R7" s="50"/>
    </row>
    <row r="8" spans="1:23" ht="35.25" customHeight="1">
      <c r="B8" s="875"/>
      <c r="C8" s="2579" t="s">
        <v>2560</v>
      </c>
      <c r="D8" s="2579"/>
      <c r="E8" s="2579"/>
      <c r="F8" s="2579"/>
      <c r="H8" s="2894"/>
      <c r="I8" s="2894"/>
      <c r="J8" s="2894"/>
      <c r="K8" s="2894"/>
      <c r="N8" s="2886"/>
      <c r="O8" s="1750"/>
    </row>
    <row r="9" spans="1:23" ht="35.25" customHeight="1">
      <c r="B9" s="875"/>
      <c r="C9" s="2579" t="s">
        <v>2561</v>
      </c>
      <c r="D9" s="2579"/>
      <c r="E9" s="2579"/>
      <c r="F9" s="2579"/>
      <c r="H9" s="2894"/>
      <c r="I9" s="2894"/>
      <c r="J9" s="2894"/>
      <c r="K9" s="2894"/>
      <c r="N9" s="2886"/>
      <c r="O9" s="1750"/>
      <c r="Q9" s="2438"/>
    </row>
    <row r="10" spans="1:23" ht="10.5" customHeight="1">
      <c r="N10" s="2886"/>
      <c r="R10" s="457"/>
    </row>
    <row r="11" spans="1:23" ht="35.25" customHeight="1">
      <c r="A11" s="2585" t="s">
        <v>3205</v>
      </c>
      <c r="B11" s="2585"/>
      <c r="C11" s="2585"/>
      <c r="D11" s="2585"/>
      <c r="E11" s="2585"/>
      <c r="F11" s="2585"/>
      <c r="G11" s="2585"/>
      <c r="H11" s="2585"/>
      <c r="I11" s="2585"/>
      <c r="J11" s="2585"/>
      <c r="K11" s="2585"/>
      <c r="L11" s="2585"/>
      <c r="N11" s="2885">
        <v>1</v>
      </c>
      <c r="P11" s="2824" t="s">
        <v>3200</v>
      </c>
      <c r="Q11" s="2825"/>
      <c r="R11" s="2889" t="s">
        <v>3217</v>
      </c>
    </row>
    <row r="12" spans="1:23">
      <c r="B12" s="5" t="s">
        <v>3221</v>
      </c>
      <c r="N12" s="2886"/>
      <c r="O12" s="2885">
        <v>1</v>
      </c>
      <c r="P12" s="2452" t="s">
        <v>3216</v>
      </c>
      <c r="Q12" s="2453"/>
      <c r="R12" s="2890"/>
    </row>
    <row r="13" spans="1:23" ht="35.25" customHeight="1">
      <c r="B13" s="50"/>
      <c r="C13" s="2579" t="s">
        <v>885</v>
      </c>
      <c r="D13" s="2579"/>
      <c r="E13" s="2579"/>
      <c r="F13" s="2579"/>
      <c r="H13" s="2894"/>
      <c r="I13" s="2894"/>
      <c r="J13" s="2894"/>
      <c r="K13" s="2894"/>
      <c r="N13" s="2886"/>
      <c r="O13" s="2886"/>
      <c r="P13" s="2454" t="s">
        <v>2544</v>
      </c>
      <c r="Q13" s="2455" t="b">
        <v>0</v>
      </c>
      <c r="R13" s="2450" t="b">
        <f>IF(H13&lt;&gt;"",TRUE,FALSE)</f>
        <v>0</v>
      </c>
    </row>
    <row r="14" spans="1:23" ht="35.25" customHeight="1">
      <c r="B14" s="50"/>
      <c r="C14" s="2579" t="s">
        <v>886</v>
      </c>
      <c r="D14" s="2579"/>
      <c r="E14" s="2579"/>
      <c r="F14" s="2579"/>
      <c r="H14" s="2884"/>
      <c r="I14" s="2884"/>
      <c r="J14" s="2884"/>
      <c r="K14" s="2884"/>
      <c r="N14" s="2886"/>
      <c r="O14" s="2886"/>
      <c r="P14" s="2454" t="s">
        <v>2545</v>
      </c>
      <c r="Q14" s="2455" t="b">
        <v>0</v>
      </c>
      <c r="R14" s="825" t="b">
        <f>IF(H14&lt;&gt;"",TRUE,FALSE)</f>
        <v>0</v>
      </c>
    </row>
    <row r="15" spans="1:23" ht="35.25" customHeight="1">
      <c r="B15" s="50"/>
      <c r="C15" s="2579" t="s">
        <v>887</v>
      </c>
      <c r="D15" s="2579"/>
      <c r="E15" s="2579"/>
      <c r="F15" s="2579"/>
      <c r="H15" s="2884" t="s">
        <v>41</v>
      </c>
      <c r="I15" s="2884"/>
      <c r="J15" s="2884"/>
      <c r="K15" s="2884"/>
      <c r="N15" s="2886"/>
      <c r="O15" s="2886"/>
      <c r="P15" s="2454" t="s">
        <v>2546</v>
      </c>
      <c r="Q15" s="2455" t="b">
        <v>0</v>
      </c>
      <c r="R15" s="825" t="b">
        <f>IF(AND(H15&lt;&gt;"",H15&lt;&gt;"&lt;select one&gt;"),TRUE,FALSE)</f>
        <v>0</v>
      </c>
    </row>
    <row r="16" spans="1:23" ht="35.25" customHeight="1">
      <c r="B16" s="50"/>
      <c r="C16" s="2579" t="s">
        <v>888</v>
      </c>
      <c r="D16" s="2579"/>
      <c r="E16" s="2579"/>
      <c r="F16" s="2579"/>
      <c r="H16" s="2884"/>
      <c r="I16" s="2884"/>
      <c r="J16" s="2884"/>
      <c r="K16" s="2884"/>
      <c r="N16" s="2886"/>
      <c r="O16" s="2886"/>
      <c r="P16" s="2448" t="s">
        <v>2547</v>
      </c>
      <c r="Q16" s="2456" t="b">
        <v>0</v>
      </c>
      <c r="R16" s="825" t="b">
        <f>IF(N(H16)&gt;0,TRUE,FALSE)</f>
        <v>0</v>
      </c>
    </row>
    <row r="17" spans="1:18" ht="35.25" customHeight="1">
      <c r="B17" s="50"/>
      <c r="C17" s="2579" t="str">
        <f>"Year Completed:
(can be no earlier than "&amp;TEXT(IF(AND(DS_DevExp_PrgmMinDevs&gt;0,DevExp_first_Dev_program=DS_DevExp_PrgmReq),DS_DevExp_PrgmSinceDate,DS_DevExp_SinceDate),"yyyy")&amp;")"</f>
        <v>Year Completed:
(can be no earlier than 2006)</v>
      </c>
      <c r="D17" s="2579"/>
      <c r="E17" s="2579"/>
      <c r="F17" s="2579"/>
      <c r="H17" s="2899"/>
      <c r="I17" s="2899"/>
      <c r="J17" s="2899"/>
      <c r="K17" s="2899"/>
      <c r="N17" s="2886"/>
      <c r="O17" s="2886"/>
      <c r="P17" s="2454" t="s">
        <v>2548</v>
      </c>
      <c r="Q17" s="2455" t="b">
        <v>0</v>
      </c>
      <c r="R17" s="825" t="b">
        <f ca="1">IF(AND(VALUE(H17)&lt;YEAR(NOW())+1,VALUE(H17)&gt;=YEAR(DS_DevExp_SinceDate)),TRUE,FALSE)</f>
        <v>0</v>
      </c>
    </row>
    <row r="18" spans="1:18" ht="35.25" customHeight="1">
      <c r="B18" s="50"/>
      <c r="C18" s="2579" t="s">
        <v>3232</v>
      </c>
      <c r="D18" s="2579"/>
      <c r="E18" s="2579"/>
      <c r="F18" s="2579"/>
      <c r="H18" s="2884" t="s">
        <v>3235</v>
      </c>
      <c r="I18" s="2884"/>
      <c r="J18" s="2884"/>
      <c r="K18" s="2884"/>
      <c r="N18" s="2886"/>
      <c r="O18" s="2886"/>
      <c r="P18" s="2454" t="s">
        <v>2549</v>
      </c>
      <c r="Q18" s="2455" t="b">
        <v>0</v>
      </c>
      <c r="R18" s="2451" t="b">
        <f>AND(H18&lt;&gt;"&lt;select one&gt;",H18&lt;&gt;"")</f>
        <v>1</v>
      </c>
    </row>
    <row r="19" spans="1:18" ht="10.5" customHeight="1">
      <c r="B19" s="846"/>
      <c r="C19" s="846"/>
      <c r="D19" s="846"/>
      <c r="E19" s="846"/>
      <c r="F19" s="846"/>
      <c r="H19" s="1751"/>
      <c r="I19" s="1751"/>
      <c r="J19" s="1751"/>
      <c r="K19" s="1751"/>
      <c r="N19" s="2886"/>
      <c r="O19" s="2887"/>
      <c r="P19" s="2454" t="s">
        <v>2550</v>
      </c>
      <c r="Q19" s="2455" t="b">
        <v>0</v>
      </c>
    </row>
    <row r="20" spans="1:18">
      <c r="B20" t="s">
        <v>2562</v>
      </c>
      <c r="N20" s="2886"/>
      <c r="O20" s="2885">
        <v>0</v>
      </c>
      <c r="P20" s="2449" t="s">
        <v>2551</v>
      </c>
      <c r="Q20" s="2457" t="b">
        <v>0</v>
      </c>
    </row>
    <row r="21" spans="1:18">
      <c r="A21" s="1443" t="str">
        <f>IF(DS_ExcelCheckBox_Op1_Dev1_50=TRUE,"Yes","No")</f>
        <v>No</v>
      </c>
      <c r="B21" s="36"/>
      <c r="C21" t="s">
        <v>2563</v>
      </c>
      <c r="G21" s="1443" t="str">
        <f>IF(DS_ExcelCheckBox_Op1_Dev1_MI=TRUE,"Yes","No")</f>
        <v>No</v>
      </c>
      <c r="H21" s="36"/>
      <c r="I21" t="s">
        <v>2564</v>
      </c>
      <c r="N21" s="2886"/>
      <c r="O21" s="2886"/>
      <c r="P21" s="2454" t="s">
        <v>2552</v>
      </c>
      <c r="Q21" s="2455" t="b">
        <v>0</v>
      </c>
    </row>
    <row r="22" spans="1:18">
      <c r="A22" s="1443" t="str">
        <f>IF(DS_ExcelCheckBox_Op1_Dev1_MU=TRUE,"Yes","No")</f>
        <v>No</v>
      </c>
      <c r="B22" s="36"/>
      <c r="C22" t="s">
        <v>2565</v>
      </c>
      <c r="G22" s="1443" t="str">
        <f>IF(DS_ExcelCheckBox_Op1_Dev1_Complex=TRUE,"Yes","No")</f>
        <v>No</v>
      </c>
      <c r="H22" s="36"/>
      <c r="I22" t="s">
        <v>2566</v>
      </c>
      <c r="N22" s="2886"/>
      <c r="O22" s="2886"/>
      <c r="P22" s="2454" t="s">
        <v>2553</v>
      </c>
      <c r="Q22" s="2455" t="b">
        <v>0</v>
      </c>
    </row>
    <row r="23" spans="1:18">
      <c r="N23" s="2886"/>
      <c r="O23" s="2887"/>
      <c r="P23" s="2454" t="s">
        <v>2554</v>
      </c>
      <c r="Q23" s="2455" t="b">
        <v>0</v>
      </c>
    </row>
    <row r="24" spans="1:18">
      <c r="B24" s="5" t="s">
        <v>3222</v>
      </c>
      <c r="N24" s="2886"/>
      <c r="O24" s="2885">
        <v>1</v>
      </c>
      <c r="P24" s="2448" t="s">
        <v>2555</v>
      </c>
      <c r="Q24" s="2456" t="b">
        <v>0</v>
      </c>
    </row>
    <row r="25" spans="1:18" ht="35.25" customHeight="1">
      <c r="B25" s="50"/>
      <c r="C25" s="2579" t="s">
        <v>885</v>
      </c>
      <c r="D25" s="2579"/>
      <c r="E25" s="2579"/>
      <c r="F25" s="2579"/>
      <c r="H25" s="2894"/>
      <c r="I25" s="2894"/>
      <c r="J25" s="2894"/>
      <c r="K25" s="2894"/>
      <c r="N25" s="2886"/>
      <c r="O25" s="2886"/>
      <c r="P25" s="2454" t="s">
        <v>2556</v>
      </c>
      <c r="Q25" s="2455" t="b">
        <v>0</v>
      </c>
      <c r="R25" s="2450" t="b">
        <f>IF(H25&lt;&gt;"",TRUE,FALSE)</f>
        <v>0</v>
      </c>
    </row>
    <row r="26" spans="1:18" ht="35.25" customHeight="1">
      <c r="B26" s="50"/>
      <c r="C26" s="2579" t="s">
        <v>886</v>
      </c>
      <c r="D26" s="2579"/>
      <c r="E26" s="2579"/>
      <c r="F26" s="2579"/>
      <c r="H26" s="2884"/>
      <c r="I26" s="2884"/>
      <c r="J26" s="2884"/>
      <c r="K26" s="2884"/>
      <c r="N26" s="2886"/>
      <c r="O26" s="2886"/>
      <c r="P26" s="2454" t="s">
        <v>2557</v>
      </c>
      <c r="Q26" s="2455" t="b">
        <v>0</v>
      </c>
      <c r="R26" s="825" t="b">
        <f>IF(H26&lt;&gt;"",TRUE,FALSE)</f>
        <v>0</v>
      </c>
    </row>
    <row r="27" spans="1:18" ht="35.25" customHeight="1">
      <c r="B27" s="50"/>
      <c r="C27" s="2579" t="s">
        <v>887</v>
      </c>
      <c r="D27" s="2579"/>
      <c r="E27" s="2579"/>
      <c r="F27" s="2579"/>
      <c r="H27" s="2884" t="s">
        <v>41</v>
      </c>
      <c r="I27" s="2884"/>
      <c r="J27" s="2884"/>
      <c r="K27" s="2884"/>
      <c r="N27" s="2886"/>
      <c r="O27" s="2886"/>
      <c r="P27" s="2454" t="s">
        <v>2558</v>
      </c>
      <c r="Q27" s="2455" t="b">
        <v>0</v>
      </c>
      <c r="R27" s="825" t="b">
        <f>IF(AND(H27&lt;&gt;"",H27&lt;&gt;"&lt;select one&gt;"),TRUE,FALSE)</f>
        <v>0</v>
      </c>
    </row>
    <row r="28" spans="1:18" ht="35.25" customHeight="1">
      <c r="B28" s="50"/>
      <c r="C28" s="2579" t="s">
        <v>888</v>
      </c>
      <c r="D28" s="2579"/>
      <c r="E28" s="2579"/>
      <c r="F28" s="2579"/>
      <c r="H28" s="2884"/>
      <c r="I28" s="2884"/>
      <c r="J28" s="2884"/>
      <c r="K28" s="2884"/>
      <c r="N28" s="2886"/>
      <c r="O28" s="2886"/>
      <c r="P28" s="2449" t="s">
        <v>2559</v>
      </c>
      <c r="Q28" s="2457" t="b">
        <v>0</v>
      </c>
      <c r="R28" s="825" t="b">
        <f>IF(N(H28)&gt;0,TRUE,FALSE)</f>
        <v>0</v>
      </c>
    </row>
    <row r="29" spans="1:18" ht="35.25" customHeight="1">
      <c r="B29" s="50"/>
      <c r="C29" s="2581" t="str">
        <f>"Year Completed:
(can be no earlier than "&amp;TEXT(IF(AND(DS_DevExp_PrgmMinDevs&gt;0,DevExp_first_Dev_program=DS_DevExp_PrgmReq),DS_DevExp_PrgmSinceDate,DS_DevExp_SinceDate),"yyyy")&amp;")"</f>
        <v>Year Completed:
(can be no earlier than 2006)</v>
      </c>
      <c r="D29" s="2579"/>
      <c r="E29" s="2579"/>
      <c r="F29" s="2579"/>
      <c r="H29" s="2884"/>
      <c r="I29" s="2884"/>
      <c r="J29" s="2884"/>
      <c r="K29" s="2884"/>
      <c r="N29" s="2886"/>
      <c r="O29" s="2886"/>
      <c r="P29" s="2454" t="s">
        <v>3201</v>
      </c>
      <c r="Q29" s="2455" t="b">
        <v>0</v>
      </c>
      <c r="R29" s="825" t="b">
        <f ca="1">IF(AND(VALUE(H29)&lt;YEAR(NOW())+1,VALUE(H29)&gt;=YEAR(DS_DevExp_SinceDate)),TRUE,FALSE)</f>
        <v>0</v>
      </c>
    </row>
    <row r="30" spans="1:18" ht="35.25" customHeight="1">
      <c r="B30" s="50"/>
      <c r="C30" s="2579" t="s">
        <v>3232</v>
      </c>
      <c r="D30" s="2579"/>
      <c r="E30" s="2579"/>
      <c r="F30" s="2579"/>
      <c r="H30" s="2884" t="s">
        <v>3235</v>
      </c>
      <c r="I30" s="2884"/>
      <c r="J30" s="2884"/>
      <c r="K30" s="2884"/>
      <c r="N30" s="2886"/>
      <c r="O30" s="2886"/>
      <c r="P30" s="2454" t="s">
        <v>3202</v>
      </c>
      <c r="Q30" s="2455" t="b">
        <v>0</v>
      </c>
      <c r="R30" s="2451" t="b">
        <f>AND(H30&lt;&gt;"&lt;select one&gt;",H30&lt;&gt;"")</f>
        <v>1</v>
      </c>
    </row>
    <row r="31" spans="1:18" ht="10.5" customHeight="1">
      <c r="B31" s="846"/>
      <c r="C31" s="846"/>
      <c r="D31" s="846"/>
      <c r="E31" s="846"/>
      <c r="F31" s="846"/>
      <c r="H31" s="1751"/>
      <c r="I31" s="1751"/>
      <c r="J31" s="1751"/>
      <c r="K31" s="1751"/>
      <c r="N31" s="2886"/>
      <c r="O31" s="2887"/>
      <c r="P31" s="2454" t="s">
        <v>3203</v>
      </c>
      <c r="Q31" s="2455" t="b">
        <v>0</v>
      </c>
    </row>
    <row r="32" spans="1:18">
      <c r="B32" t="s">
        <v>2562</v>
      </c>
      <c r="N32" s="2886"/>
      <c r="O32" s="2885">
        <v>0</v>
      </c>
      <c r="P32" s="2448" t="s">
        <v>3204</v>
      </c>
      <c r="Q32" s="2456" t="b">
        <v>0</v>
      </c>
    </row>
    <row r="33" spans="1:18">
      <c r="A33" s="1443" t="str">
        <f>IF(DS_ExcelCheckBox_Op1_Dev2_50=TRUE,"Yes","No")</f>
        <v>No</v>
      </c>
      <c r="B33" s="36"/>
      <c r="C33" t="s">
        <v>2563</v>
      </c>
      <c r="G33" s="1443" t="str">
        <f>IF(DS_ExcelCheckBox_Op1_Dev2_MI=TRUE,"Yes","No")</f>
        <v>No</v>
      </c>
      <c r="H33" s="36"/>
      <c r="I33" t="s">
        <v>2564</v>
      </c>
      <c r="N33" s="2886"/>
      <c r="O33" s="2886"/>
    </row>
    <row r="34" spans="1:18">
      <c r="A34" s="1443" t="str">
        <f>IF(DS_ExcelCheckBox_Op1_Dev2_MU=TRUE,"Yes","No")</f>
        <v>No</v>
      </c>
      <c r="B34" s="36"/>
      <c r="C34" t="s">
        <v>2565</v>
      </c>
      <c r="G34" s="1443" t="str">
        <f>IF(DS_ExcelCheckBox_Op1_Dev2_Complex=TRUE,"Yes","No")</f>
        <v>No</v>
      </c>
      <c r="H34" s="36"/>
      <c r="I34" t="s">
        <v>2566</v>
      </c>
      <c r="N34" s="2886"/>
      <c r="O34" s="2886"/>
    </row>
    <row r="35" spans="1:18">
      <c r="N35" s="2886"/>
      <c r="O35" s="2887"/>
    </row>
    <row r="36" spans="1:18">
      <c r="B36" s="5" t="s">
        <v>3223</v>
      </c>
      <c r="N36" s="2886"/>
      <c r="O36" s="2885">
        <v>1</v>
      </c>
    </row>
    <row r="37" spans="1:18" ht="35.25" customHeight="1">
      <c r="B37" s="50"/>
      <c r="C37" s="2579" t="s">
        <v>885</v>
      </c>
      <c r="D37" s="2579"/>
      <c r="E37" s="2579"/>
      <c r="F37" s="2579"/>
      <c r="H37" s="2894"/>
      <c r="I37" s="2894"/>
      <c r="J37" s="2894"/>
      <c r="K37" s="2894"/>
      <c r="N37" s="2886"/>
      <c r="O37" s="2886"/>
      <c r="P37" s="2446" t="s">
        <v>41</v>
      </c>
      <c r="R37" s="2210" t="b">
        <f>IF(H37&lt;&gt;"",TRUE,FALSE)</f>
        <v>0</v>
      </c>
    </row>
    <row r="38" spans="1:18" ht="35.25" customHeight="1">
      <c r="B38" s="50"/>
      <c r="C38" s="2579" t="s">
        <v>886</v>
      </c>
      <c r="D38" s="2579"/>
      <c r="E38" s="2579"/>
      <c r="F38" s="2579"/>
      <c r="H38" s="2884"/>
      <c r="I38" s="2884"/>
      <c r="J38" s="2884"/>
      <c r="K38" s="2884"/>
      <c r="N38" s="2886"/>
      <c r="O38" s="2886"/>
      <c r="P38" s="2446" t="s">
        <v>3235</v>
      </c>
      <c r="R38" s="1941" t="b">
        <f>IF(H38&lt;&gt;"",TRUE,FALSE)</f>
        <v>0</v>
      </c>
    </row>
    <row r="39" spans="1:18" ht="35.25" customHeight="1">
      <c r="B39" s="50"/>
      <c r="C39" s="2579" t="s">
        <v>887</v>
      </c>
      <c r="D39" s="2579"/>
      <c r="E39" s="2579"/>
      <c r="F39" s="2579"/>
      <c r="H39" s="2884" t="s">
        <v>41</v>
      </c>
      <c r="I39" s="2884"/>
      <c r="J39" s="2884"/>
      <c r="K39" s="2884"/>
      <c r="N39" s="2886"/>
      <c r="O39" s="2886"/>
      <c r="P39" s="2446" t="s">
        <v>3236</v>
      </c>
      <c r="R39" s="1941" t="b">
        <f>IF(AND(H39&lt;&gt;"",H39&lt;&gt;"&lt;select one&gt;"),TRUE,FALSE)</f>
        <v>0</v>
      </c>
    </row>
    <row r="40" spans="1:18" ht="35.25" customHeight="1">
      <c r="B40" s="50"/>
      <c r="C40" s="2579" t="s">
        <v>888</v>
      </c>
      <c r="D40" s="2579"/>
      <c r="E40" s="2579"/>
      <c r="F40" s="2579"/>
      <c r="H40" s="2884"/>
      <c r="I40" s="2884"/>
      <c r="J40" s="2884"/>
      <c r="K40" s="2884"/>
      <c r="N40" s="2886"/>
      <c r="O40" s="2886"/>
      <c r="P40" s="2446" t="s">
        <v>3237</v>
      </c>
      <c r="R40" s="1941" t="b">
        <f>IF(N(H40)&gt;0,TRUE,FALSE)</f>
        <v>0</v>
      </c>
    </row>
    <row r="41" spans="1:18" ht="35.25" customHeight="1">
      <c r="B41" s="50"/>
      <c r="C41" s="2581" t="str">
        <f>"Year Completed:
(can be no earlier than "&amp;TEXT(IF(AND(DS_DevExp_PrgmMinDevs&gt;0,DevExp_first_Dev_program=DS_DevExp_PrgmReq),DS_DevExp_PrgmSinceDate,DS_DevExp_SinceDate),"yyyy")&amp;")"</f>
        <v>Year Completed:
(can be no earlier than 2006)</v>
      </c>
      <c r="D41" s="2579"/>
      <c r="E41" s="2579"/>
      <c r="F41" s="2579"/>
      <c r="H41" s="2884"/>
      <c r="I41" s="2884"/>
      <c r="J41" s="2884"/>
      <c r="K41" s="2884"/>
      <c r="N41" s="2886"/>
      <c r="O41" s="2886"/>
      <c r="R41" s="1941" t="b">
        <f ca="1">IF(AND(VALUE(H41)&lt;YEAR(NOW())+1,VALUE(H41)&gt;=YEAR(DS_DevExp_SinceDate)),TRUE,FALSE)</f>
        <v>0</v>
      </c>
    </row>
    <row r="42" spans="1:18" ht="35.25" customHeight="1">
      <c r="B42" s="50"/>
      <c r="C42" s="2579" t="s">
        <v>3232</v>
      </c>
      <c r="D42" s="2579"/>
      <c r="E42" s="2579"/>
      <c r="F42" s="2579"/>
      <c r="H42" s="2884" t="s">
        <v>3235</v>
      </c>
      <c r="I42" s="2884"/>
      <c r="J42" s="2884"/>
      <c r="K42" s="2884"/>
      <c r="N42" s="2886"/>
      <c r="O42" s="2886"/>
      <c r="R42" s="2439" t="b">
        <f>AND(H42&lt;&gt;"&lt;select one&gt;",H42&lt;&gt;"")</f>
        <v>1</v>
      </c>
    </row>
    <row r="43" spans="1:18" ht="10.5" customHeight="1">
      <c r="B43" s="846"/>
      <c r="C43" s="846"/>
      <c r="D43" s="846"/>
      <c r="E43" s="846"/>
      <c r="F43" s="846"/>
      <c r="H43" s="1751"/>
      <c r="I43" s="1751"/>
      <c r="J43" s="1751"/>
      <c r="K43" s="1751"/>
      <c r="N43" s="2886"/>
      <c r="O43" s="2887"/>
    </row>
    <row r="44" spans="1:18">
      <c r="B44" t="s">
        <v>2562</v>
      </c>
      <c r="N44" s="2886"/>
      <c r="O44" s="2885">
        <v>0</v>
      </c>
    </row>
    <row r="45" spans="1:18">
      <c r="A45" s="1443" t="str">
        <f>IF(DS_ExcelCheckBox_Op1_Dev3_50=TRUE,"Yes","No")</f>
        <v>No</v>
      </c>
      <c r="B45" s="36"/>
      <c r="C45" t="s">
        <v>2563</v>
      </c>
      <c r="G45" s="1443" t="str">
        <f>IF(DS_ExcelCheckBox_Op1_Dev3_MI=TRUE,"Yes","No")</f>
        <v>No</v>
      </c>
      <c r="H45" s="36"/>
      <c r="I45" t="s">
        <v>2564</v>
      </c>
      <c r="N45" s="2886"/>
      <c r="O45" s="2886"/>
    </row>
    <row r="46" spans="1:18">
      <c r="A46" s="1443" t="str">
        <f>IF(DS_ExcelCheckBox_Op1_Dev3_MU=TRUE,"Yes","No")</f>
        <v>No</v>
      </c>
      <c r="B46" s="36"/>
      <c r="C46" t="s">
        <v>2565</v>
      </c>
      <c r="G46" s="1443" t="str">
        <f>IF(DS_ExcelCheckBox_Op1_Dev3_Complex=TRUE,"Yes","No")</f>
        <v>No</v>
      </c>
      <c r="H46" s="36"/>
      <c r="I46" t="s">
        <v>2566</v>
      </c>
      <c r="N46" s="2886"/>
      <c r="O46" s="2886"/>
    </row>
    <row r="47" spans="1:18">
      <c r="N47" s="2886"/>
      <c r="O47" s="2887"/>
    </row>
    <row r="48" spans="1:18">
      <c r="B48" s="5" t="s">
        <v>3224</v>
      </c>
      <c r="N48" s="2886"/>
      <c r="O48" s="2885">
        <v>1</v>
      </c>
      <c r="P48" s="2447" t="s">
        <v>2166</v>
      </c>
    </row>
    <row r="49" spans="1:18" ht="35.25" customHeight="1">
      <c r="B49" s="50"/>
      <c r="C49" s="2579" t="s">
        <v>885</v>
      </c>
      <c r="D49" s="2579"/>
      <c r="E49" s="2579"/>
      <c r="F49" s="2579"/>
      <c r="H49" s="2894"/>
      <c r="I49" s="2894"/>
      <c r="J49" s="2894"/>
      <c r="K49" s="2894"/>
      <c r="N49" s="2886"/>
      <c r="O49" s="2886"/>
      <c r="P49" s="65" t="s">
        <v>41</v>
      </c>
      <c r="R49" s="2210" t="b">
        <f>IF(H49&lt;&gt;"",TRUE,FALSE)</f>
        <v>0</v>
      </c>
    </row>
    <row r="50" spans="1:18" ht="35.25" customHeight="1">
      <c r="B50" s="50"/>
      <c r="C50" s="2579" t="s">
        <v>886</v>
      </c>
      <c r="D50" s="2579"/>
      <c r="E50" s="2579"/>
      <c r="F50" s="2579"/>
      <c r="H50" s="2884"/>
      <c r="I50" s="2884"/>
      <c r="J50" s="2884"/>
      <c r="K50" s="2884"/>
      <c r="N50" s="2886"/>
      <c r="O50" s="2886"/>
      <c r="P50" s="65" t="s">
        <v>887</v>
      </c>
      <c r="R50" s="1941" t="b">
        <f>IF(H50&lt;&gt;"",TRUE,FALSE)</f>
        <v>0</v>
      </c>
    </row>
    <row r="51" spans="1:18" ht="35.25" customHeight="1">
      <c r="B51" s="50"/>
      <c r="C51" s="2579" t="s">
        <v>887</v>
      </c>
      <c r="D51" s="2579"/>
      <c r="E51" s="2579"/>
      <c r="F51" s="2579"/>
      <c r="H51" s="2884" t="s">
        <v>41</v>
      </c>
      <c r="I51" s="2884"/>
      <c r="J51" s="2884"/>
      <c r="K51" s="2884"/>
      <c r="N51" s="2886"/>
      <c r="O51" s="2886"/>
      <c r="P51" s="65" t="s">
        <v>2123</v>
      </c>
      <c r="R51" s="1941" t="b">
        <f>IF(AND(H51&lt;&gt;"",H51&lt;&gt;"&lt;select one&gt;"),TRUE,FALSE)</f>
        <v>0</v>
      </c>
    </row>
    <row r="52" spans="1:18" ht="35.25" customHeight="1">
      <c r="B52" s="50"/>
      <c r="C52" s="2579" t="s">
        <v>888</v>
      </c>
      <c r="D52" s="2579"/>
      <c r="E52" s="2579"/>
      <c r="F52" s="2579"/>
      <c r="H52" s="2884"/>
      <c r="I52" s="2884"/>
      <c r="J52" s="2884"/>
      <c r="K52" s="2884"/>
      <c r="N52" s="2886"/>
      <c r="O52" s="2886"/>
      <c r="P52" s="65"/>
      <c r="R52" s="1941" t="b">
        <f>IF(N(H52)&gt;0,TRUE,FALSE)</f>
        <v>0</v>
      </c>
    </row>
    <row r="53" spans="1:18" ht="35.25" customHeight="1">
      <c r="B53" s="50"/>
      <c r="C53" s="2581" t="str">
        <f>"Year Completed:
(can be no earlier than "&amp;TEXT(IF(AND(DS_DevExp_PrgmMinDevs&gt;0,DevExp_first_Dev_program=DS_DevExp_PrgmReq),DS_DevExp_PrgmSinceDate,DS_DevExp_SinceDate),"yyyy")&amp;")"</f>
        <v>Year Completed:
(can be no earlier than 2006)</v>
      </c>
      <c r="D53" s="2579"/>
      <c r="E53" s="2579"/>
      <c r="F53" s="2579"/>
      <c r="H53" s="2884"/>
      <c r="I53" s="2884"/>
      <c r="J53" s="2884"/>
      <c r="K53" s="2884"/>
      <c r="N53" s="2886"/>
      <c r="O53" s="2886"/>
      <c r="R53" s="1941" t="b">
        <f ca="1">IF(AND(VALUE(H53)&lt;YEAR(NOW())+1,VALUE(H53)&gt;=YEAR(DS_DevExp_SinceDate)),TRUE,FALSE)</f>
        <v>0</v>
      </c>
    </row>
    <row r="54" spans="1:18" ht="35.25" customHeight="1">
      <c r="B54" s="50"/>
      <c r="C54" s="2579" t="s">
        <v>3232</v>
      </c>
      <c r="D54" s="2579"/>
      <c r="E54" s="2579"/>
      <c r="F54" s="2579"/>
      <c r="H54" s="2884" t="s">
        <v>3235</v>
      </c>
      <c r="I54" s="2884"/>
      <c r="J54" s="2884"/>
      <c r="K54" s="2884"/>
      <c r="N54" s="2886"/>
      <c r="O54" s="2886"/>
      <c r="R54" s="2439" t="b">
        <f>AND(H54&lt;&gt;"&lt;select one&gt;",H54&lt;&gt;"")</f>
        <v>1</v>
      </c>
    </row>
    <row r="55" spans="1:18" ht="10.5" customHeight="1">
      <c r="B55" s="846"/>
      <c r="C55" s="846"/>
      <c r="D55" s="846"/>
      <c r="E55" s="846"/>
      <c r="F55" s="846"/>
      <c r="H55" s="1751"/>
      <c r="I55" s="1751"/>
      <c r="J55" s="1751"/>
      <c r="K55" s="1751"/>
      <c r="N55" s="2886"/>
      <c r="O55" s="2887"/>
    </row>
    <row r="56" spans="1:18">
      <c r="B56" t="s">
        <v>2562</v>
      </c>
      <c r="N56" s="2886"/>
      <c r="O56" s="2885">
        <v>0</v>
      </c>
    </row>
    <row r="57" spans="1:18">
      <c r="A57" s="1443" t="str">
        <f>IF(DS_ExcelCheckBox_Op1_Dev4_50=TRUE,"Yes","No")</f>
        <v>No</v>
      </c>
      <c r="B57" s="36"/>
      <c r="C57" t="s">
        <v>2563</v>
      </c>
      <c r="G57" s="1443" t="str">
        <f>IF(DS_ExcelCheckBox_Op1_Dev4_MI=TRUE,"Yes","No")</f>
        <v>No</v>
      </c>
      <c r="H57" s="36"/>
      <c r="I57" t="s">
        <v>2564</v>
      </c>
      <c r="N57" s="2886"/>
      <c r="O57" s="2886"/>
    </row>
    <row r="58" spans="1:18">
      <c r="A58" s="1443" t="str">
        <f>IF(DS_ExcelCheckBox_Op1_Dev4_MU=TRUE,"Yes","No")</f>
        <v>No</v>
      </c>
      <c r="B58" s="36"/>
      <c r="C58" t="s">
        <v>2565</v>
      </c>
      <c r="G58" s="1443" t="str">
        <f>IF(DS_ExcelCheckBox_Op1_Dev4_Complex=TRUE,"Yes","No")</f>
        <v>No</v>
      </c>
      <c r="H58" s="36"/>
      <c r="I58" t="s">
        <v>2566</v>
      </c>
      <c r="N58" s="2886"/>
      <c r="O58" s="2886"/>
    </row>
    <row r="59" spans="1:18">
      <c r="N59" s="2886"/>
      <c r="O59" s="2887"/>
    </row>
    <row r="60" spans="1:18">
      <c r="B60" s="5" t="s">
        <v>3225</v>
      </c>
      <c r="N60" s="2886"/>
      <c r="O60" s="2885">
        <v>1</v>
      </c>
    </row>
    <row r="61" spans="1:18" ht="35.25" customHeight="1">
      <c r="B61" s="50"/>
      <c r="C61" s="2579" t="s">
        <v>885</v>
      </c>
      <c r="D61" s="2579"/>
      <c r="E61" s="2579"/>
      <c r="F61" s="2579"/>
      <c r="H61" s="2894"/>
      <c r="I61" s="2894"/>
      <c r="J61" s="2894"/>
      <c r="K61" s="2894"/>
      <c r="N61" s="2886"/>
      <c r="O61" s="2886"/>
      <c r="R61" s="2210" t="b">
        <f>IF(H61&lt;&gt;"",TRUE,FALSE)</f>
        <v>0</v>
      </c>
    </row>
    <row r="62" spans="1:18" ht="35.25" customHeight="1">
      <c r="B62" s="50"/>
      <c r="C62" s="2579" t="s">
        <v>886</v>
      </c>
      <c r="D62" s="2579"/>
      <c r="E62" s="2579"/>
      <c r="F62" s="2579"/>
      <c r="H62" s="2884"/>
      <c r="I62" s="2884"/>
      <c r="J62" s="2884"/>
      <c r="K62" s="2884"/>
      <c r="N62" s="2886"/>
      <c r="O62" s="2886"/>
      <c r="R62" s="1941" t="b">
        <f>IF(H62&lt;&gt;"",TRUE,FALSE)</f>
        <v>0</v>
      </c>
    </row>
    <row r="63" spans="1:18" ht="35.25" customHeight="1">
      <c r="B63" s="50"/>
      <c r="C63" s="2579" t="s">
        <v>887</v>
      </c>
      <c r="D63" s="2579"/>
      <c r="E63" s="2579"/>
      <c r="F63" s="2579"/>
      <c r="H63" s="2884" t="s">
        <v>41</v>
      </c>
      <c r="I63" s="2884"/>
      <c r="J63" s="2884"/>
      <c r="K63" s="2884"/>
      <c r="N63" s="2886"/>
      <c r="O63" s="2886"/>
      <c r="R63" s="1941" t="b">
        <f>IF(AND(H63&lt;&gt;"",H63&lt;&gt;"&lt;select one&gt;"),TRUE,FALSE)</f>
        <v>0</v>
      </c>
    </row>
    <row r="64" spans="1:18" ht="35.25" customHeight="1">
      <c r="B64" s="50"/>
      <c r="C64" s="2579" t="s">
        <v>888</v>
      </c>
      <c r="D64" s="2579"/>
      <c r="E64" s="2579"/>
      <c r="F64" s="2579"/>
      <c r="H64" s="2884"/>
      <c r="I64" s="2884"/>
      <c r="J64" s="2884"/>
      <c r="K64" s="2884"/>
      <c r="N64" s="2886"/>
      <c r="O64" s="2886"/>
      <c r="R64" s="1941" t="b">
        <f>IF(N(H64)&gt;0,TRUE,FALSE)</f>
        <v>0</v>
      </c>
    </row>
    <row r="65" spans="1:18" ht="35.25" customHeight="1">
      <c r="B65" s="50"/>
      <c r="C65" s="2581" t="str">
        <f>"Year Completed:
(can be no earlier than "&amp;TEXT(IF(AND(DS_DevExp_PrgmMinDevs&gt;0,DevExp_first_Dev_program=DS_DevExp_PrgmReq),DS_DevExp_PrgmSinceDate,DS_DevExp_SinceDate),"yyyy")&amp;")"</f>
        <v>Year Completed:
(can be no earlier than 2006)</v>
      </c>
      <c r="D65" s="2579"/>
      <c r="E65" s="2579"/>
      <c r="F65" s="2579"/>
      <c r="H65" s="2884"/>
      <c r="I65" s="2884"/>
      <c r="J65" s="2884"/>
      <c r="K65" s="2884"/>
      <c r="N65" s="2886"/>
      <c r="O65" s="2886"/>
      <c r="R65" s="1941" t="b">
        <f ca="1">IF(AND(VALUE(H65)&lt;YEAR(NOW())+1,VALUE(H65)&gt;=YEAR(DS_DevExp_SinceDate)),TRUE,FALSE)</f>
        <v>0</v>
      </c>
    </row>
    <row r="66" spans="1:18" ht="35.25" customHeight="1">
      <c r="B66" s="50"/>
      <c r="C66" s="2579" t="s">
        <v>3232</v>
      </c>
      <c r="D66" s="2579"/>
      <c r="E66" s="2579"/>
      <c r="F66" s="2579"/>
      <c r="H66" s="2884" t="s">
        <v>3235</v>
      </c>
      <c r="I66" s="2884"/>
      <c r="J66" s="2884"/>
      <c r="K66" s="2884"/>
      <c r="N66" s="2886"/>
      <c r="O66" s="2886"/>
      <c r="R66" s="2439" t="b">
        <f>AND(H66&lt;&gt;"&lt;select one&gt;",H66&lt;&gt;"")</f>
        <v>1</v>
      </c>
    </row>
    <row r="67" spans="1:18">
      <c r="B67" s="846"/>
      <c r="C67" s="846"/>
      <c r="D67" s="846"/>
      <c r="E67" s="846"/>
      <c r="F67" s="846"/>
      <c r="H67" s="1751"/>
      <c r="I67" s="1751"/>
      <c r="J67" s="1751"/>
      <c r="K67" s="1751"/>
      <c r="N67" s="2886"/>
      <c r="O67" s="2887"/>
    </row>
    <row r="68" spans="1:18">
      <c r="B68" t="s">
        <v>2562</v>
      </c>
      <c r="N68" s="2886"/>
      <c r="O68" s="2885">
        <v>0</v>
      </c>
    </row>
    <row r="69" spans="1:18">
      <c r="A69" s="1443" t="str">
        <f>IF(DS_ExcelCheckBox_Op1_Dev5_50=TRUE,"Yes","No")</f>
        <v>No</v>
      </c>
      <c r="B69" s="36"/>
      <c r="C69" t="s">
        <v>2563</v>
      </c>
      <c r="G69" s="1443" t="str">
        <f>IF(DS_ExcelCheckBox_Op1_Dev5_MI=TRUE,"Yes","No")</f>
        <v>No</v>
      </c>
      <c r="H69" s="36"/>
      <c r="I69" t="s">
        <v>2564</v>
      </c>
      <c r="N69" s="2886"/>
      <c r="O69" s="2886"/>
    </row>
    <row r="70" spans="1:18">
      <c r="A70" s="1443" t="str">
        <f>IF(DS_ExcelCheckBox_Op1_Dev5_MU=TRUE,"Yes","No")</f>
        <v>No</v>
      </c>
      <c r="B70" s="36"/>
      <c r="C70" t="s">
        <v>2565</v>
      </c>
      <c r="G70" s="1443" t="str">
        <f>IF(DS_ExcelCheckBox_Op1_Dev5_Complex=TRUE,"Yes","No")</f>
        <v>No</v>
      </c>
      <c r="H70" s="36"/>
      <c r="I70" t="s">
        <v>2566</v>
      </c>
      <c r="N70" s="2886"/>
      <c r="O70" s="2886"/>
    </row>
    <row r="71" spans="1:18">
      <c r="N71" s="2887"/>
      <c r="O71" s="2887"/>
    </row>
    <row r="72" spans="1:18" ht="35.25" customHeight="1">
      <c r="A72" s="2586" t="s">
        <v>3206</v>
      </c>
      <c r="B72" s="2586"/>
      <c r="C72" s="2586"/>
      <c r="D72" s="2586"/>
      <c r="E72" s="2586"/>
      <c r="F72" s="2586"/>
      <c r="G72" s="2586"/>
      <c r="H72" s="2586"/>
      <c r="I72" s="2586"/>
      <c r="J72" s="2586"/>
      <c r="K72" s="2586"/>
      <c r="N72" s="2885">
        <v>1</v>
      </c>
      <c r="P72" s="2824" t="s">
        <v>3200</v>
      </c>
      <c r="Q72" s="2825"/>
      <c r="R72" s="2889" t="s">
        <v>3214</v>
      </c>
    </row>
    <row r="73" spans="1:18">
      <c r="B73" s="1749" t="s">
        <v>3226</v>
      </c>
      <c r="N73" s="2886"/>
      <c r="O73" s="2885">
        <v>1</v>
      </c>
      <c r="P73" s="2452" t="s">
        <v>3215</v>
      </c>
      <c r="Q73" s="2453"/>
      <c r="R73" s="2890"/>
    </row>
    <row r="74" spans="1:18" ht="35.25" customHeight="1">
      <c r="B74" s="50"/>
      <c r="C74" s="2579" t="s">
        <v>885</v>
      </c>
      <c r="D74" s="2579"/>
      <c r="E74" s="2579"/>
      <c r="F74" s="2579"/>
      <c r="H74" s="2894"/>
      <c r="I74" s="2894"/>
      <c r="J74" s="2894"/>
      <c r="K74" s="2894"/>
      <c r="N74" s="2886"/>
      <c r="O74" s="2886"/>
      <c r="P74" s="2454" t="s">
        <v>2544</v>
      </c>
      <c r="Q74" s="2455" t="b">
        <v>0</v>
      </c>
      <c r="R74" s="2450" t="b">
        <f>IF(H74&lt;&gt;"",TRUE,FALSE)</f>
        <v>0</v>
      </c>
    </row>
    <row r="75" spans="1:18" ht="35.25" customHeight="1">
      <c r="B75" s="50"/>
      <c r="C75" s="2579" t="s">
        <v>886</v>
      </c>
      <c r="D75" s="2579"/>
      <c r="E75" s="2579"/>
      <c r="F75" s="2579"/>
      <c r="H75" s="2894"/>
      <c r="I75" s="2894"/>
      <c r="J75" s="2894"/>
      <c r="K75" s="2894"/>
      <c r="N75" s="2886"/>
      <c r="O75" s="2886"/>
      <c r="P75" s="2448" t="s">
        <v>2545</v>
      </c>
      <c r="Q75" s="2456" t="b">
        <v>0</v>
      </c>
      <c r="R75" s="825" t="b">
        <f>IF(H75&lt;&gt;"",TRUE,FALSE)</f>
        <v>0</v>
      </c>
    </row>
    <row r="76" spans="1:18" ht="35.25" customHeight="1">
      <c r="B76" s="50"/>
      <c r="C76" s="2579" t="s">
        <v>888</v>
      </c>
      <c r="D76" s="2579"/>
      <c r="E76" s="2579"/>
      <c r="F76" s="2579"/>
      <c r="H76" s="2894"/>
      <c r="I76" s="2894"/>
      <c r="J76" s="2894"/>
      <c r="K76" s="2894"/>
      <c r="N76" s="2886"/>
      <c r="O76" s="2886"/>
      <c r="P76" s="2454" t="s">
        <v>2548</v>
      </c>
      <c r="Q76" s="2455" t="b">
        <v>0</v>
      </c>
      <c r="R76" s="825" t="b">
        <f>IF(N(H76)&gt;0,TRUE,FALSE)</f>
        <v>0</v>
      </c>
    </row>
    <row r="77" spans="1:18" ht="35.25" customHeight="1">
      <c r="B77" s="50"/>
      <c r="C77" s="2581" t="str">
        <f>"Year Completed:
(can be no earlier than "&amp;TEXT(IF(AND(DS_DevExp_PrgmMinDevs&gt;0,DevExp_first_Dev_program=DS_DevExp_PrgmReq),DS_DevExp_PrgmSinceDate,DS_DevExp_SinceDate),"yyyy")&amp;")"</f>
        <v>Year Completed:
(can be no earlier than 2006)</v>
      </c>
      <c r="D77" s="2579"/>
      <c r="E77" s="2579"/>
      <c r="F77" s="2579"/>
      <c r="H77" s="2894"/>
      <c r="I77" s="2894"/>
      <c r="J77" s="2894"/>
      <c r="K77" s="2894"/>
      <c r="N77" s="2886"/>
      <c r="O77" s="2886"/>
      <c r="P77" s="2449" t="s">
        <v>2549</v>
      </c>
      <c r="Q77" s="2457" t="b">
        <v>0</v>
      </c>
      <c r="R77" s="825" t="b">
        <f ca="1">IF(AND(VALUE(H77)&lt;YEAR(NOW())+1,VALUE(H77)&gt;=YEAR(DS_DevExp_SinceDate)),TRUE,FALSE)</f>
        <v>0</v>
      </c>
    </row>
    <row r="78" spans="1:18" ht="35.25" customHeight="1">
      <c r="B78" s="50"/>
      <c r="C78" s="2579" t="s">
        <v>3232</v>
      </c>
      <c r="D78" s="2579"/>
      <c r="E78" s="2579"/>
      <c r="F78" s="2579"/>
      <c r="H78" s="2884" t="s">
        <v>3235</v>
      </c>
      <c r="I78" s="2884"/>
      <c r="J78" s="2884"/>
      <c r="K78" s="2884"/>
      <c r="N78" s="2886"/>
      <c r="O78" s="2886"/>
      <c r="P78" s="2454" t="s">
        <v>2552</v>
      </c>
      <c r="Q78" s="2455" t="b">
        <v>0</v>
      </c>
      <c r="R78" s="2451" t="b">
        <f>AND(H78&lt;&gt;"&lt;select one&gt;",H78&lt;&gt;"")</f>
        <v>1</v>
      </c>
    </row>
    <row r="79" spans="1:18" ht="10.5" customHeight="1">
      <c r="B79" s="6"/>
      <c r="N79" s="2886"/>
      <c r="O79" s="2887"/>
      <c r="P79" s="2448" t="s">
        <v>2553</v>
      </c>
      <c r="Q79" s="2456" t="b">
        <v>0</v>
      </c>
    </row>
    <row r="80" spans="1:18">
      <c r="B80" s="6" t="s">
        <v>2562</v>
      </c>
      <c r="N80" s="2886"/>
      <c r="O80" s="2885">
        <v>0</v>
      </c>
      <c r="P80" s="2454" t="s">
        <v>2556</v>
      </c>
      <c r="Q80" s="2455" t="b">
        <v>0</v>
      </c>
    </row>
    <row r="81" spans="1:18">
      <c r="A81" s="1443" t="str">
        <f>IF(DS_ExcelCheckBox_Op2_Dev1_50=TRUE,"Yes","No")</f>
        <v>No</v>
      </c>
      <c r="B81" s="36"/>
      <c r="C81" t="s">
        <v>2563</v>
      </c>
      <c r="G81" s="1443" t="str">
        <f>IF(DS_ExcelCheckBox_Op2_Dev1_MI=TRUE,"Yes","No")</f>
        <v>No</v>
      </c>
      <c r="H81" s="36"/>
      <c r="I81" t="s">
        <v>2065</v>
      </c>
      <c r="N81" s="2886"/>
      <c r="O81" s="2886"/>
      <c r="P81" s="2449" t="s">
        <v>2557</v>
      </c>
      <c r="Q81" s="2457" t="b">
        <v>0</v>
      </c>
    </row>
    <row r="82" spans="1:18">
      <c r="B82" s="6"/>
      <c r="N82" s="2886"/>
      <c r="O82" s="2887"/>
      <c r="P82" s="2454" t="s">
        <v>3201</v>
      </c>
      <c r="Q82" s="2455" t="b">
        <v>0</v>
      </c>
    </row>
    <row r="83" spans="1:18">
      <c r="B83" s="1749" t="s">
        <v>3227</v>
      </c>
      <c r="N83" s="2886"/>
      <c r="O83" s="2885">
        <v>1</v>
      </c>
      <c r="P83" s="2448" t="s">
        <v>3202</v>
      </c>
      <c r="Q83" s="2456" t="b">
        <v>0</v>
      </c>
    </row>
    <row r="84" spans="1:18" ht="35.25" customHeight="1">
      <c r="B84" s="50"/>
      <c r="C84" s="2579" t="s">
        <v>885</v>
      </c>
      <c r="D84" s="2579"/>
      <c r="E84" s="2579"/>
      <c r="F84" s="2579"/>
      <c r="H84" s="2894"/>
      <c r="I84" s="2894"/>
      <c r="J84" s="2894"/>
      <c r="K84" s="2894"/>
      <c r="N84" s="2886"/>
      <c r="O84" s="2886"/>
      <c r="R84" s="2210" t="b">
        <f>IF(H84&lt;&gt;"",TRUE,FALSE)</f>
        <v>0</v>
      </c>
    </row>
    <row r="85" spans="1:18" ht="35.25" customHeight="1">
      <c r="B85" s="50"/>
      <c r="C85" s="2579" t="s">
        <v>886</v>
      </c>
      <c r="D85" s="2579"/>
      <c r="E85" s="2579"/>
      <c r="F85" s="2579"/>
      <c r="H85" s="2894"/>
      <c r="I85" s="2894"/>
      <c r="J85" s="2894"/>
      <c r="K85" s="2894"/>
      <c r="N85" s="2886"/>
      <c r="O85" s="2886"/>
      <c r="R85" s="1941" t="b">
        <f>IF(H85&lt;&gt;"",TRUE,FALSE)</f>
        <v>0</v>
      </c>
    </row>
    <row r="86" spans="1:18" ht="35.25" customHeight="1">
      <c r="B86" s="50"/>
      <c r="C86" s="2579" t="s">
        <v>888</v>
      </c>
      <c r="D86" s="2579"/>
      <c r="E86" s="2579"/>
      <c r="F86" s="2579"/>
      <c r="H86" s="2894"/>
      <c r="I86" s="2894"/>
      <c r="J86" s="2894"/>
      <c r="K86" s="2894"/>
      <c r="N86" s="2886"/>
      <c r="O86" s="2886"/>
      <c r="R86" s="1941" t="b">
        <f>IF(N(H86)&gt;0,TRUE,FALSE)</f>
        <v>0</v>
      </c>
    </row>
    <row r="87" spans="1:18" ht="35.25" customHeight="1">
      <c r="B87" s="50"/>
      <c r="C87" s="2581" t="str">
        <f>"Year Completed:
(can be no earlier than "&amp;TEXT(IF(AND(DS_DevExp_PrgmMinDevs&gt;0,DevExp_first_Dev_program=DS_DevExp_PrgmReq),DS_DevExp_PrgmSinceDate,DS_DevExp_SinceDate),"yyyy")&amp;")"</f>
        <v>Year Completed:
(can be no earlier than 2006)</v>
      </c>
      <c r="D87" s="2579"/>
      <c r="E87" s="2579"/>
      <c r="F87" s="2579"/>
      <c r="H87" s="2894"/>
      <c r="I87" s="2894"/>
      <c r="J87" s="2894"/>
      <c r="K87" s="2894"/>
      <c r="N87" s="2886"/>
      <c r="O87" s="2886"/>
      <c r="R87" s="1941" t="b">
        <f ca="1">IF(AND(VALUE(H87)&lt;YEAR(NOW())+1,VALUE(H87)&gt;=YEAR(DS_DevExp_SinceDate)),TRUE,FALSE)</f>
        <v>0</v>
      </c>
    </row>
    <row r="88" spans="1:18" ht="35.25" customHeight="1">
      <c r="B88" s="50"/>
      <c r="C88" s="2579" t="s">
        <v>3232</v>
      </c>
      <c r="D88" s="2579"/>
      <c r="E88" s="2579"/>
      <c r="F88" s="2579"/>
      <c r="H88" s="2884" t="s">
        <v>3235</v>
      </c>
      <c r="I88" s="2884"/>
      <c r="J88" s="2884"/>
      <c r="K88" s="2884"/>
      <c r="N88" s="2886"/>
      <c r="O88" s="2886"/>
      <c r="R88" s="2439" t="b">
        <f>AND(H88&lt;&gt;"&lt;select one&gt;",H88&lt;&gt;"")</f>
        <v>1</v>
      </c>
    </row>
    <row r="89" spans="1:18" ht="10.5" customHeight="1">
      <c r="B89" s="6"/>
      <c r="N89" s="2886"/>
      <c r="O89" s="2887"/>
    </row>
    <row r="90" spans="1:18">
      <c r="B90" s="6" t="s">
        <v>2562</v>
      </c>
      <c r="N90" s="2886"/>
      <c r="O90" s="2885">
        <v>0</v>
      </c>
    </row>
    <row r="91" spans="1:18">
      <c r="A91" s="1443" t="str">
        <f>IF(DS_ExcelCheckBox_Op2_Dev2_50=TRUE,"Yes","No")</f>
        <v>No</v>
      </c>
      <c r="B91" s="36"/>
      <c r="C91" t="s">
        <v>2563</v>
      </c>
      <c r="G91" s="1443" t="str">
        <f>IF(DS_ExcelCheckBox_Op2_Dev2_MI=TRUE,"Yes","No")</f>
        <v>No</v>
      </c>
      <c r="H91" s="36"/>
      <c r="I91" t="s">
        <v>2065</v>
      </c>
      <c r="N91" s="2886"/>
      <c r="O91" s="2886"/>
    </row>
    <row r="92" spans="1:18">
      <c r="B92" s="6"/>
      <c r="N92" s="2886"/>
      <c r="O92" s="2887"/>
    </row>
    <row r="93" spans="1:18">
      <c r="B93" s="1749" t="s">
        <v>3228</v>
      </c>
      <c r="N93" s="2886"/>
      <c r="O93" s="2885">
        <v>1</v>
      </c>
    </row>
    <row r="94" spans="1:18" ht="35.25" customHeight="1">
      <c r="B94" s="50"/>
      <c r="C94" s="2579" t="s">
        <v>885</v>
      </c>
      <c r="D94" s="2579"/>
      <c r="E94" s="2579"/>
      <c r="F94" s="2579"/>
      <c r="H94" s="2894"/>
      <c r="I94" s="2894"/>
      <c r="J94" s="2894"/>
      <c r="K94" s="2894"/>
      <c r="N94" s="2886"/>
      <c r="O94" s="2886"/>
      <c r="R94" s="2210" t="b">
        <f>IF(H94&lt;&gt;"",TRUE,FALSE)</f>
        <v>0</v>
      </c>
    </row>
    <row r="95" spans="1:18" ht="35.25" customHeight="1">
      <c r="B95" s="50"/>
      <c r="C95" s="2579" t="s">
        <v>886</v>
      </c>
      <c r="D95" s="2579"/>
      <c r="E95" s="2579"/>
      <c r="F95" s="2579"/>
      <c r="H95" s="2894"/>
      <c r="I95" s="2894"/>
      <c r="J95" s="2894"/>
      <c r="K95" s="2894"/>
      <c r="N95" s="2886"/>
      <c r="O95" s="2886"/>
      <c r="R95" s="1941" t="b">
        <f>IF(H95&lt;&gt;"",TRUE,FALSE)</f>
        <v>0</v>
      </c>
    </row>
    <row r="96" spans="1:18" ht="35.25" customHeight="1">
      <c r="B96" s="50"/>
      <c r="C96" s="2579" t="s">
        <v>888</v>
      </c>
      <c r="D96" s="2579"/>
      <c r="E96" s="2579"/>
      <c r="F96" s="2579"/>
      <c r="H96" s="2894"/>
      <c r="I96" s="2894"/>
      <c r="J96" s="2894"/>
      <c r="K96" s="2894"/>
      <c r="N96" s="2886"/>
      <c r="O96" s="2886"/>
      <c r="R96" s="1941" t="b">
        <f>IF(N(H96)&gt;0,TRUE,FALSE)</f>
        <v>0</v>
      </c>
    </row>
    <row r="97" spans="1:18" ht="35.25" customHeight="1">
      <c r="B97" s="50"/>
      <c r="C97" s="2581" t="str">
        <f>"Year Completed:
(can be no earlier than "&amp;TEXT(IF(AND(DS_DevExp_PrgmMinDevs&gt;0,DevExp_first_Dev_program=DS_DevExp_PrgmReq),DS_DevExp_PrgmSinceDate,DS_DevExp_SinceDate),"yyyy")&amp;")"</f>
        <v>Year Completed:
(can be no earlier than 2006)</v>
      </c>
      <c r="D97" s="2579"/>
      <c r="E97" s="2579"/>
      <c r="F97" s="2579"/>
      <c r="H97" s="2894"/>
      <c r="I97" s="2894"/>
      <c r="J97" s="2894"/>
      <c r="K97" s="2894"/>
      <c r="N97" s="2886"/>
      <c r="O97" s="2886"/>
      <c r="R97" s="1941" t="b">
        <f ca="1">IF(AND(VALUE(H97)&lt;YEAR(NOW())+1,VALUE(H97)&gt;=YEAR(DS_DevExp_SinceDate)),TRUE,FALSE)</f>
        <v>0</v>
      </c>
    </row>
    <row r="98" spans="1:18" ht="35.25" customHeight="1">
      <c r="B98" s="50"/>
      <c r="C98" s="2579" t="s">
        <v>3232</v>
      </c>
      <c r="D98" s="2579"/>
      <c r="E98" s="2579"/>
      <c r="F98" s="2579"/>
      <c r="H98" s="2884" t="s">
        <v>3235</v>
      </c>
      <c r="I98" s="2884"/>
      <c r="J98" s="2884"/>
      <c r="K98" s="2884"/>
      <c r="N98" s="2886"/>
      <c r="O98" s="2886"/>
      <c r="R98" s="2439" t="b">
        <f>AND(H98&lt;&gt;"&lt;select one&gt;",H98&lt;&gt;"")</f>
        <v>1</v>
      </c>
    </row>
    <row r="99" spans="1:18">
      <c r="B99" s="6"/>
      <c r="N99" s="2886"/>
      <c r="O99" s="2887"/>
    </row>
    <row r="100" spans="1:18">
      <c r="B100" s="6" t="s">
        <v>2562</v>
      </c>
      <c r="N100" s="2886"/>
      <c r="O100" s="2885">
        <v>0</v>
      </c>
    </row>
    <row r="101" spans="1:18">
      <c r="A101" s="1443" t="str">
        <f>IF(DS_ExcelCheckBox_Op2_Dev3_50=TRUE,"Yes","No")</f>
        <v>No</v>
      </c>
      <c r="B101" s="36"/>
      <c r="C101" t="s">
        <v>2563</v>
      </c>
      <c r="G101" s="1443" t="str">
        <f>IF(DS_ExcelCheckBox_Op2_Dev3_MI=TRUE,"Yes","No")</f>
        <v>No</v>
      </c>
      <c r="H101" s="36"/>
      <c r="I101" t="s">
        <v>2065</v>
      </c>
      <c r="N101" s="2886"/>
      <c r="O101" s="2886"/>
    </row>
    <row r="102" spans="1:18">
      <c r="B102" s="6"/>
      <c r="N102" s="2886"/>
      <c r="O102" s="2887"/>
    </row>
    <row r="103" spans="1:18">
      <c r="B103" s="1749" t="s">
        <v>3229</v>
      </c>
      <c r="N103" s="2886"/>
      <c r="O103" s="2885">
        <v>1</v>
      </c>
    </row>
    <row r="104" spans="1:18" ht="35.25" customHeight="1">
      <c r="B104" s="50"/>
      <c r="C104" s="2579" t="s">
        <v>885</v>
      </c>
      <c r="D104" s="2579"/>
      <c r="E104" s="2579"/>
      <c r="F104" s="2579"/>
      <c r="H104" s="2894"/>
      <c r="I104" s="2894"/>
      <c r="J104" s="2894"/>
      <c r="K104" s="2894"/>
      <c r="N104" s="2886"/>
      <c r="O104" s="2886"/>
      <c r="R104" s="2210" t="b">
        <f>IF(H104&lt;&gt;"",TRUE,FALSE)</f>
        <v>0</v>
      </c>
    </row>
    <row r="105" spans="1:18" ht="35.25" customHeight="1">
      <c r="B105" s="50"/>
      <c r="C105" s="2579" t="s">
        <v>886</v>
      </c>
      <c r="D105" s="2579"/>
      <c r="E105" s="2579"/>
      <c r="F105" s="2579"/>
      <c r="H105" s="2894"/>
      <c r="I105" s="2894"/>
      <c r="J105" s="2894"/>
      <c r="K105" s="2894"/>
      <c r="N105" s="2886"/>
      <c r="O105" s="2886"/>
      <c r="R105" s="1941" t="b">
        <f>IF(H105&lt;&gt;"",TRUE,FALSE)</f>
        <v>0</v>
      </c>
    </row>
    <row r="106" spans="1:18" ht="35.25" customHeight="1">
      <c r="B106" s="50"/>
      <c r="C106" s="2579" t="s">
        <v>888</v>
      </c>
      <c r="D106" s="2579"/>
      <c r="E106" s="2579"/>
      <c r="F106" s="2579"/>
      <c r="H106" s="2894"/>
      <c r="I106" s="2894"/>
      <c r="J106" s="2894"/>
      <c r="K106" s="2894"/>
      <c r="N106" s="2886"/>
      <c r="O106" s="2886"/>
      <c r="R106" s="1941" t="b">
        <f>IF(N(H106)&gt;0,TRUE,FALSE)</f>
        <v>0</v>
      </c>
    </row>
    <row r="107" spans="1:18" ht="35.25" customHeight="1">
      <c r="B107" s="50"/>
      <c r="C107" s="2581" t="str">
        <f>"Year Completed:
(can be no earlier than "&amp;TEXT(IF(AND(DS_DevExp_PrgmMinDevs&gt;0,DevExp_first_Dev_program=DS_DevExp_PrgmReq),DS_DevExp_PrgmSinceDate,DS_DevExp_SinceDate),"yyyy")&amp;")"</f>
        <v>Year Completed:
(can be no earlier than 2006)</v>
      </c>
      <c r="D107" s="2579"/>
      <c r="E107" s="2579"/>
      <c r="F107" s="2579"/>
      <c r="H107" s="2894"/>
      <c r="I107" s="2894"/>
      <c r="J107" s="2894"/>
      <c r="K107" s="2894"/>
      <c r="N107" s="2886"/>
      <c r="O107" s="2886"/>
      <c r="R107" s="1941" t="b">
        <f ca="1">IF(AND(VALUE(H107)&lt;YEAR(NOW())+1,VALUE(H107)&gt;=YEAR(DS_DevExp_SinceDate)),TRUE,FALSE)</f>
        <v>0</v>
      </c>
    </row>
    <row r="108" spans="1:18" ht="35.25" customHeight="1">
      <c r="B108" s="50"/>
      <c r="C108" s="2579" t="s">
        <v>3232</v>
      </c>
      <c r="D108" s="2579"/>
      <c r="E108" s="2579"/>
      <c r="F108" s="2579"/>
      <c r="H108" s="2884" t="s">
        <v>3235</v>
      </c>
      <c r="I108" s="2884"/>
      <c r="J108" s="2884"/>
      <c r="K108" s="2884"/>
      <c r="N108" s="2886"/>
      <c r="O108" s="2886"/>
      <c r="R108" s="2439" t="b">
        <f>AND(H108&lt;&gt;"&lt;select one&gt;",H108&lt;&gt;"")</f>
        <v>1</v>
      </c>
    </row>
    <row r="109" spans="1:18">
      <c r="B109" s="6"/>
      <c r="N109" s="2886"/>
      <c r="O109" s="2887"/>
    </row>
    <row r="110" spans="1:18">
      <c r="B110" s="6" t="s">
        <v>2562</v>
      </c>
      <c r="N110" s="2886"/>
      <c r="O110" s="2885">
        <v>0</v>
      </c>
    </row>
    <row r="111" spans="1:18">
      <c r="A111" s="1443" t="str">
        <f>IF(DS_ExcelCheckBox_Op2_Dev4_50=TRUE,"Yes","No")</f>
        <v>No</v>
      </c>
      <c r="B111" s="36"/>
      <c r="C111" t="s">
        <v>2563</v>
      </c>
      <c r="G111" s="1443" t="str">
        <f>IF(DS_ExcelCheckBox_Op2_Dev4_MI=TRUE,"Yes","No")</f>
        <v>No</v>
      </c>
      <c r="H111" s="36"/>
      <c r="I111" t="s">
        <v>2065</v>
      </c>
      <c r="N111" s="2886"/>
      <c r="O111" s="2886"/>
    </row>
    <row r="112" spans="1:18">
      <c r="B112" s="6"/>
      <c r="N112" s="2886"/>
      <c r="O112" s="2887"/>
    </row>
    <row r="113" spans="1:18">
      <c r="B113" s="1749" t="s">
        <v>3230</v>
      </c>
      <c r="N113" s="2886"/>
      <c r="O113" s="2885">
        <v>1</v>
      </c>
    </row>
    <row r="114" spans="1:18" ht="35.25" customHeight="1">
      <c r="B114" s="50"/>
      <c r="C114" s="2579" t="s">
        <v>885</v>
      </c>
      <c r="D114" s="2579"/>
      <c r="E114" s="2579"/>
      <c r="F114" s="2579"/>
      <c r="H114" s="2894"/>
      <c r="I114" s="2894"/>
      <c r="J114" s="2894"/>
      <c r="K114" s="2894"/>
      <c r="N114" s="2886"/>
      <c r="O114" s="2886"/>
      <c r="R114" s="2210" t="b">
        <f>IF(H114&lt;&gt;"",TRUE,FALSE)</f>
        <v>0</v>
      </c>
    </row>
    <row r="115" spans="1:18" ht="35.25" customHeight="1">
      <c r="B115" s="50"/>
      <c r="C115" s="2579" t="s">
        <v>886</v>
      </c>
      <c r="D115" s="2579"/>
      <c r="E115" s="2579"/>
      <c r="F115" s="2579"/>
      <c r="H115" s="2894"/>
      <c r="I115" s="2894"/>
      <c r="J115" s="2894"/>
      <c r="K115" s="2894"/>
      <c r="N115" s="2886"/>
      <c r="O115" s="2886"/>
      <c r="R115" s="1941" t="b">
        <f>IF(H115&lt;&gt;"",TRUE,FALSE)</f>
        <v>0</v>
      </c>
    </row>
    <row r="116" spans="1:18" ht="35.25" customHeight="1">
      <c r="B116" s="50"/>
      <c r="C116" s="2579" t="s">
        <v>888</v>
      </c>
      <c r="D116" s="2579"/>
      <c r="E116" s="2579"/>
      <c r="F116" s="2579"/>
      <c r="H116" s="2894"/>
      <c r="I116" s="2894"/>
      <c r="J116" s="2894"/>
      <c r="K116" s="2894"/>
      <c r="N116" s="2886"/>
      <c r="O116" s="2886"/>
      <c r="R116" s="1941" t="b">
        <f>IF(N(H116)&gt;0,TRUE,FALSE)</f>
        <v>0</v>
      </c>
    </row>
    <row r="117" spans="1:18" ht="35.25" customHeight="1">
      <c r="B117" s="50"/>
      <c r="C117" s="2581" t="str">
        <f>"Year Completed:
(can be no earlier than "&amp;TEXT(IF(AND(DS_DevExp_PrgmMinDevs&gt;0,DevExp_first_Dev_program=DS_DevExp_PrgmReq),DS_DevExp_PrgmSinceDate,DS_DevExp_SinceDate),"yyyy")&amp;")"</f>
        <v>Year Completed:
(can be no earlier than 2006)</v>
      </c>
      <c r="D117" s="2579"/>
      <c r="E117" s="2579"/>
      <c r="F117" s="2579"/>
      <c r="H117" s="2894"/>
      <c r="I117" s="2894"/>
      <c r="J117" s="2894"/>
      <c r="K117" s="2894"/>
      <c r="N117" s="2886"/>
      <c r="O117" s="2886"/>
      <c r="R117" s="1941" t="b">
        <f ca="1">IF(AND(VALUE(H117)&lt;YEAR(NOW())+1,VALUE(H117)&gt;=YEAR(DS_DevExp_SinceDate)),TRUE,FALSE)</f>
        <v>0</v>
      </c>
    </row>
    <row r="118" spans="1:18" ht="35.25" customHeight="1">
      <c r="B118" s="50"/>
      <c r="C118" s="2579" t="s">
        <v>3232</v>
      </c>
      <c r="D118" s="2579"/>
      <c r="E118" s="2579"/>
      <c r="F118" s="2579"/>
      <c r="H118" s="2884" t="s">
        <v>3235</v>
      </c>
      <c r="I118" s="2884"/>
      <c r="J118" s="2884"/>
      <c r="K118" s="2884"/>
      <c r="N118" s="2886"/>
      <c r="O118" s="2886"/>
      <c r="R118" s="2439" t="b">
        <f>AND(H118&lt;&gt;"&lt;select one&gt;",H118&lt;&gt;"")</f>
        <v>1</v>
      </c>
    </row>
    <row r="119" spans="1:18">
      <c r="B119" s="6"/>
      <c r="N119" s="2886"/>
      <c r="O119" s="2887"/>
    </row>
    <row r="120" spans="1:18">
      <c r="B120" s="6" t="s">
        <v>2562</v>
      </c>
      <c r="N120" s="2886"/>
      <c r="O120" s="2885">
        <v>0</v>
      </c>
    </row>
    <row r="121" spans="1:18">
      <c r="A121" s="1443" t="str">
        <f>IF(DS_ExcelCheckBox_Op2_Dev5_50=TRUE,"Yes","No")</f>
        <v>No</v>
      </c>
      <c r="B121" s="36"/>
      <c r="C121" t="s">
        <v>2563</v>
      </c>
      <c r="G121" s="1443" t="str">
        <f>IF(DS_ExcelCheckBox_Op2_Dev5_MI=TRUE,"Yes","No")</f>
        <v>No</v>
      </c>
      <c r="H121" s="36"/>
      <c r="I121" t="s">
        <v>2065</v>
      </c>
      <c r="N121" s="2886"/>
      <c r="O121" s="2886"/>
    </row>
    <row r="122" spans="1:18">
      <c r="B122" s="6"/>
      <c r="N122" s="2887"/>
      <c r="O122" s="2887"/>
    </row>
    <row r="123" spans="1:18">
      <c r="B123" s="5" t="s">
        <v>2567</v>
      </c>
      <c r="N123" s="2885">
        <v>0</v>
      </c>
    </row>
    <row r="124" spans="1:18" ht="10.5" customHeight="1">
      <c r="B124" s="6"/>
      <c r="N124" s="2886"/>
    </row>
    <row r="125" spans="1:18">
      <c r="C125" s="25" t="s">
        <v>2568</v>
      </c>
      <c r="N125" s="2886"/>
    </row>
    <row r="126" spans="1:18" ht="10.5" customHeight="1">
      <c r="B126" s="6"/>
      <c r="N126" s="2886"/>
    </row>
    <row r="127" spans="1:18">
      <c r="C127" s="2896" t="s">
        <v>2569</v>
      </c>
      <c r="D127" s="2896"/>
      <c r="E127" s="2896"/>
      <c r="F127" s="2896"/>
      <c r="G127" s="380"/>
      <c r="H127" s="2896" t="s">
        <v>2570</v>
      </c>
      <c r="I127" s="2896"/>
      <c r="J127" s="2896"/>
      <c r="K127" s="2896"/>
      <c r="N127" s="2886"/>
    </row>
    <row r="128" spans="1:18" ht="35.25" customHeight="1">
      <c r="B128" s="106" t="str">
        <f>IF(O128=0,"",TEXT(SUM($O$128:$O128),"0"))</f>
        <v>1</v>
      </c>
      <c r="C128" s="2895"/>
      <c r="D128" s="2895"/>
      <c r="E128" s="2895"/>
      <c r="F128" s="2895"/>
      <c r="G128" s="106"/>
      <c r="H128" s="2895"/>
      <c r="I128" s="2895"/>
      <c r="J128" s="2895"/>
      <c r="K128" s="2895"/>
      <c r="N128" s="2886"/>
      <c r="O128" s="2440">
        <v>1</v>
      </c>
    </row>
    <row r="129" spans="2:15" ht="35.25" customHeight="1">
      <c r="B129" s="106" t="str">
        <f>IF(O129=0,"",TEXT(SUM($O$128:$O129),"0"))</f>
        <v>2</v>
      </c>
      <c r="C129" s="2895"/>
      <c r="D129" s="2895"/>
      <c r="E129" s="2895"/>
      <c r="F129" s="2895"/>
      <c r="G129" s="106"/>
      <c r="H129" s="2895"/>
      <c r="I129" s="2895"/>
      <c r="J129" s="2895"/>
      <c r="K129" s="2895"/>
      <c r="N129" s="2886"/>
      <c r="O129" s="2440">
        <v>1</v>
      </c>
    </row>
    <row r="130" spans="2:15" ht="35.25" customHeight="1">
      <c r="B130" s="106" t="str">
        <f>IF(O130=0,"",TEXT(SUM($O$128:$O130),"0"))</f>
        <v>3</v>
      </c>
      <c r="C130" s="2895"/>
      <c r="D130" s="2895"/>
      <c r="E130" s="2895"/>
      <c r="F130" s="2895"/>
      <c r="G130" s="106"/>
      <c r="H130" s="2895"/>
      <c r="I130" s="2895"/>
      <c r="J130" s="2895"/>
      <c r="K130" s="2895"/>
      <c r="N130" s="2886"/>
      <c r="O130" s="2440">
        <v>1</v>
      </c>
    </row>
    <row r="131" spans="2:15" ht="35.25" customHeight="1">
      <c r="B131" s="106" t="str">
        <f>IF(O131=0,"",TEXT(SUM($O$128:$O131),"0"))</f>
        <v>4</v>
      </c>
      <c r="C131" s="2895"/>
      <c r="D131" s="2895"/>
      <c r="E131" s="2895"/>
      <c r="F131" s="2895"/>
      <c r="G131" s="106"/>
      <c r="H131" s="2895"/>
      <c r="I131" s="2895"/>
      <c r="J131" s="2895"/>
      <c r="K131" s="2895"/>
      <c r="N131" s="2886"/>
      <c r="O131" s="2440">
        <v>1</v>
      </c>
    </row>
    <row r="132" spans="2:15" ht="35.25" customHeight="1">
      <c r="B132" s="106" t="str">
        <f>IF(O132=0,"",TEXT(SUM($O$128:$O132),"0"))</f>
        <v>5</v>
      </c>
      <c r="C132" s="2895"/>
      <c r="D132" s="2895"/>
      <c r="E132" s="2895"/>
      <c r="F132" s="2895"/>
      <c r="G132" s="106"/>
      <c r="H132" s="2895"/>
      <c r="I132" s="2895"/>
      <c r="J132" s="2895"/>
      <c r="K132" s="2895"/>
      <c r="N132" s="2886"/>
      <c r="O132" s="2440">
        <v>1</v>
      </c>
    </row>
    <row r="133" spans="2:15" ht="35.25" customHeight="1">
      <c r="B133" s="106" t="str">
        <f>IF(O133=0,"",TEXT(SUM($O$128:$O133),"0"))</f>
        <v>6</v>
      </c>
      <c r="C133" s="2895"/>
      <c r="D133" s="2895"/>
      <c r="E133" s="2895"/>
      <c r="F133" s="2895"/>
      <c r="G133" s="106"/>
      <c r="H133" s="2895"/>
      <c r="I133" s="2895"/>
      <c r="J133" s="2895"/>
      <c r="K133" s="2895"/>
      <c r="N133" s="2886"/>
      <c r="O133" s="2440">
        <v>1</v>
      </c>
    </row>
    <row r="134" spans="2:15" ht="35.25" customHeight="1">
      <c r="B134" s="106" t="str">
        <f>IF(O134=0,"",TEXT(SUM($O$128:$O134),"0"))</f>
        <v>7</v>
      </c>
      <c r="C134" s="2895"/>
      <c r="D134" s="2895"/>
      <c r="E134" s="2895"/>
      <c r="F134" s="2895"/>
      <c r="G134" s="106"/>
      <c r="H134" s="2895"/>
      <c r="I134" s="2895"/>
      <c r="J134" s="2895"/>
      <c r="K134" s="2895"/>
      <c r="N134" s="2886"/>
      <c r="O134" s="2440">
        <v>1</v>
      </c>
    </row>
    <row r="135" spans="2:15" ht="35.25" customHeight="1">
      <c r="B135" s="106" t="str">
        <f>IF(O135=0,"",TEXT(SUM($O$128:$O135),"0"))</f>
        <v>8</v>
      </c>
      <c r="C135" s="2895"/>
      <c r="D135" s="2895"/>
      <c r="E135" s="2895"/>
      <c r="F135" s="2895"/>
      <c r="G135" s="106"/>
      <c r="H135" s="2895"/>
      <c r="I135" s="2895"/>
      <c r="J135" s="2895"/>
      <c r="K135" s="2895"/>
      <c r="N135" s="2886"/>
      <c r="O135" s="2440">
        <v>1</v>
      </c>
    </row>
    <row r="136" spans="2:15" ht="35.25" customHeight="1">
      <c r="B136" s="106" t="str">
        <f>IF(O136=0,"",TEXT(SUM($O$128:$O136),"0"))</f>
        <v>9</v>
      </c>
      <c r="C136" s="2895"/>
      <c r="D136" s="2895"/>
      <c r="E136" s="2895"/>
      <c r="F136" s="2895"/>
      <c r="G136" s="106"/>
      <c r="H136" s="2895"/>
      <c r="I136" s="2895"/>
      <c r="J136" s="2895"/>
      <c r="K136" s="2895"/>
      <c r="N136" s="2886"/>
      <c r="O136" s="2440">
        <v>1</v>
      </c>
    </row>
    <row r="137" spans="2:15" ht="35.25" customHeight="1">
      <c r="B137" s="106" t="str">
        <f>IF(O137=0,"",TEXT(SUM($O$128:$O137),"0"))</f>
        <v>10</v>
      </c>
      <c r="C137" s="2895"/>
      <c r="D137" s="2895"/>
      <c r="E137" s="2895"/>
      <c r="F137" s="2895"/>
      <c r="G137" s="106"/>
      <c r="H137" s="2895"/>
      <c r="I137" s="2895"/>
      <c r="J137" s="2895"/>
      <c r="K137" s="2895"/>
      <c r="N137" s="2886"/>
      <c r="O137" s="2440">
        <v>1</v>
      </c>
    </row>
    <row r="138" spans="2:15" ht="35.25" customHeight="1">
      <c r="B138" s="106" t="str">
        <f>IF(O138=0,"",TEXT(SUM($O$128:$O138),"0"))</f>
        <v>11</v>
      </c>
      <c r="C138" s="2895"/>
      <c r="D138" s="2895"/>
      <c r="E138" s="2895"/>
      <c r="F138" s="2895"/>
      <c r="G138" s="106"/>
      <c r="H138" s="2895"/>
      <c r="I138" s="2895"/>
      <c r="J138" s="2895"/>
      <c r="K138" s="2895"/>
      <c r="N138" s="2886"/>
      <c r="O138" s="2440">
        <v>1</v>
      </c>
    </row>
    <row r="139" spans="2:15" ht="10.5" customHeight="1">
      <c r="B139" s="6"/>
      <c r="N139" s="2887"/>
    </row>
    <row r="140" spans="2:15" ht="35.25" customHeight="1">
      <c r="C140" s="2586" t="s">
        <v>2571</v>
      </c>
      <c r="D140" s="2586"/>
      <c r="E140" s="2586"/>
      <c r="F140" s="2586"/>
      <c r="G140" s="2586"/>
      <c r="H140" s="2586"/>
      <c r="I140" s="2586"/>
      <c r="J140" s="2586"/>
      <c r="K140" s="2586"/>
      <c r="N140" s="2885">
        <v>0</v>
      </c>
    </row>
    <row r="141" spans="2:15" ht="10.5" customHeight="1">
      <c r="B141" s="6"/>
      <c r="N141" s="2886"/>
    </row>
    <row r="142" spans="2:15">
      <c r="C142" s="2896" t="s">
        <v>2569</v>
      </c>
      <c r="D142" s="2896"/>
      <c r="E142" s="2896"/>
      <c r="F142" s="2896"/>
      <c r="G142" s="380"/>
      <c r="H142" s="2896" t="s">
        <v>2570</v>
      </c>
      <c r="I142" s="2896"/>
      <c r="J142" s="2896"/>
      <c r="K142" s="2896"/>
      <c r="N142" s="2886"/>
    </row>
    <row r="143" spans="2:15" ht="35.25" customHeight="1">
      <c r="B143" s="106" t="str">
        <f>IF(O143=0,"",TEXT(SUM($O$143:$O143),"0"))</f>
        <v>1</v>
      </c>
      <c r="C143" s="2895"/>
      <c r="D143" s="2895"/>
      <c r="E143" s="2895"/>
      <c r="F143" s="2895"/>
      <c r="G143" s="106"/>
      <c r="H143" s="2895"/>
      <c r="I143" s="2895"/>
      <c r="J143" s="2895"/>
      <c r="K143" s="2895"/>
      <c r="N143" s="2886"/>
      <c r="O143" s="2440">
        <v>1</v>
      </c>
    </row>
    <row r="144" spans="2:15" ht="35.25" customHeight="1">
      <c r="B144" s="106" t="str">
        <f>IF(O144=0,"",TEXT(SUM($O$143:$O144),"0"))</f>
        <v>2</v>
      </c>
      <c r="C144" s="2895"/>
      <c r="D144" s="2895"/>
      <c r="E144" s="2895"/>
      <c r="F144" s="2895"/>
      <c r="G144" s="106"/>
      <c r="H144" s="2895"/>
      <c r="I144" s="2895"/>
      <c r="J144" s="2895"/>
      <c r="K144" s="2895"/>
      <c r="N144" s="2886"/>
      <c r="O144" s="2440">
        <v>1</v>
      </c>
    </row>
    <row r="145" spans="1:18" ht="35.25" customHeight="1">
      <c r="B145" s="106" t="str">
        <f>IF(O145=0,"",TEXT(SUM($O$143:$O145),"0"))</f>
        <v>3</v>
      </c>
      <c r="C145" s="2895"/>
      <c r="D145" s="2895"/>
      <c r="E145" s="2895"/>
      <c r="F145" s="2895"/>
      <c r="G145" s="106"/>
      <c r="H145" s="2895"/>
      <c r="I145" s="2895"/>
      <c r="J145" s="2895"/>
      <c r="K145" s="2895"/>
      <c r="N145" s="2886"/>
      <c r="O145" s="2440">
        <v>1</v>
      </c>
    </row>
    <row r="146" spans="1:18" ht="35.25" customHeight="1">
      <c r="B146" s="106" t="str">
        <f>IF(O146=0,"",TEXT(SUM($O$143:$O146),"0"))</f>
        <v>4</v>
      </c>
      <c r="C146" s="2895"/>
      <c r="D146" s="2895"/>
      <c r="E146" s="2895"/>
      <c r="F146" s="2895"/>
      <c r="G146" s="106"/>
      <c r="H146" s="2895"/>
      <c r="I146" s="2895"/>
      <c r="J146" s="2895"/>
      <c r="K146" s="2895"/>
      <c r="N146" s="2886"/>
      <c r="O146" s="2440">
        <v>1</v>
      </c>
    </row>
    <row r="147" spans="1:18" ht="35.25" customHeight="1">
      <c r="B147" s="106" t="str">
        <f>IF(O147=0,"",TEXT(SUM($O$143:$O147),"0"))</f>
        <v>5</v>
      </c>
      <c r="C147" s="2895"/>
      <c r="D147" s="2895"/>
      <c r="E147" s="2895"/>
      <c r="F147" s="2895"/>
      <c r="G147" s="106"/>
      <c r="H147" s="2895"/>
      <c r="I147" s="2895"/>
      <c r="J147" s="2895"/>
      <c r="K147" s="2895"/>
      <c r="N147" s="2886"/>
      <c r="O147" s="2440">
        <v>1</v>
      </c>
    </row>
    <row r="148" spans="1:18" ht="35.25" customHeight="1">
      <c r="B148" s="106" t="str">
        <f>IF(O148=0,"",TEXT(SUM($O$143:$O148),"0"))</f>
        <v>6</v>
      </c>
      <c r="C148" s="2895"/>
      <c r="D148" s="2895"/>
      <c r="E148" s="2895"/>
      <c r="F148" s="2895"/>
      <c r="G148" s="106"/>
      <c r="H148" s="2895"/>
      <c r="I148" s="2895"/>
      <c r="J148" s="2895"/>
      <c r="K148" s="2895"/>
      <c r="N148" s="2886"/>
      <c r="O148" s="2440">
        <v>1</v>
      </c>
    </row>
    <row r="149" spans="1:18" ht="35.25" customHeight="1">
      <c r="B149" s="106" t="str">
        <f>IF(O149=0,"",TEXT(SUM($O$143:$O149),"0"))</f>
        <v>7</v>
      </c>
      <c r="C149" s="2895"/>
      <c r="D149" s="2895"/>
      <c r="E149" s="2895"/>
      <c r="F149" s="2895"/>
      <c r="G149" s="106"/>
      <c r="H149" s="2895"/>
      <c r="I149" s="2895"/>
      <c r="J149" s="2895"/>
      <c r="K149" s="2895"/>
      <c r="N149" s="2886"/>
      <c r="O149" s="2440">
        <v>1</v>
      </c>
    </row>
    <row r="150" spans="1:18" ht="35.25" customHeight="1">
      <c r="B150" s="106" t="str">
        <f>IF(O150=0,"",TEXT(SUM($O$143:$O150),"0"))</f>
        <v>8</v>
      </c>
      <c r="C150" s="2895"/>
      <c r="D150" s="2895"/>
      <c r="E150" s="2895"/>
      <c r="F150" s="2895"/>
      <c r="G150" s="106"/>
      <c r="H150" s="2895"/>
      <c r="I150" s="2895"/>
      <c r="J150" s="2895"/>
      <c r="K150" s="2895"/>
      <c r="N150" s="2886"/>
      <c r="O150" s="2440">
        <v>1</v>
      </c>
    </row>
    <row r="151" spans="1:18" ht="35.25" customHeight="1">
      <c r="B151" s="106" t="str">
        <f>IF(O151=0,"",TEXT(SUM($O$143:$O151),"0"))</f>
        <v>9</v>
      </c>
      <c r="C151" s="2895"/>
      <c r="D151" s="2895"/>
      <c r="E151" s="2895"/>
      <c r="F151" s="2895"/>
      <c r="G151" s="106"/>
      <c r="H151" s="2895"/>
      <c r="I151" s="2895"/>
      <c r="J151" s="2895"/>
      <c r="K151" s="2895"/>
      <c r="N151" s="2886"/>
      <c r="O151" s="2440">
        <v>1</v>
      </c>
    </row>
    <row r="152" spans="1:18" ht="35.25" customHeight="1">
      <c r="B152" s="106" t="str">
        <f>IF(O152=0,"",TEXT(SUM($O$143:$O152),"0"))</f>
        <v>10</v>
      </c>
      <c r="C152" s="2895"/>
      <c r="D152" s="2895"/>
      <c r="E152" s="2895"/>
      <c r="F152" s="2895"/>
      <c r="G152" s="106"/>
      <c r="H152" s="2895"/>
      <c r="I152" s="2895"/>
      <c r="J152" s="2895"/>
      <c r="K152" s="2895"/>
      <c r="N152" s="2886"/>
      <c r="O152" s="2440">
        <v>1</v>
      </c>
    </row>
    <row r="153" spans="1:18" ht="35.25" customHeight="1">
      <c r="B153" s="106" t="str">
        <f>IF(O153=0,"",TEXT(SUM($O$143:$O153),"0"))</f>
        <v>11</v>
      </c>
      <c r="C153" s="2895"/>
      <c r="D153" s="2895"/>
      <c r="E153" s="2895"/>
      <c r="F153" s="2895"/>
      <c r="G153" s="106"/>
      <c r="H153" s="2895"/>
      <c r="I153" s="2895"/>
      <c r="J153" s="2895"/>
      <c r="K153" s="2895"/>
      <c r="N153" s="2886"/>
      <c r="O153" s="2440">
        <v>1</v>
      </c>
    </row>
    <row r="154" spans="1:18" ht="10.5" customHeight="1">
      <c r="B154" s="6"/>
      <c r="N154" s="2887"/>
    </row>
    <row r="155" spans="1:18" ht="35.25" customHeight="1">
      <c r="A155" s="2586" t="s">
        <v>3207</v>
      </c>
      <c r="B155" s="2586"/>
      <c r="C155" s="2586"/>
      <c r="D155" s="2586"/>
      <c r="E155" s="2586"/>
      <c r="F155" s="2586"/>
      <c r="G155" s="2586"/>
      <c r="H155" s="2586"/>
      <c r="I155" s="2586"/>
      <c r="J155" s="2586"/>
      <c r="N155" s="2885">
        <v>1</v>
      </c>
    </row>
    <row r="156" spans="1:18" ht="30" customHeight="1">
      <c r="C156" s="2579" t="s">
        <v>3199</v>
      </c>
      <c r="D156" s="2579"/>
      <c r="E156" s="2579"/>
      <c r="F156" s="2579"/>
      <c r="G156" s="2579"/>
      <c r="H156" s="2579"/>
      <c r="I156" s="2579"/>
      <c r="J156" s="2437" t="s">
        <v>280</v>
      </c>
      <c r="N156" s="2886"/>
      <c r="O156" s="2885">
        <v>1</v>
      </c>
    </row>
    <row r="157" spans="1:18" ht="12" customHeight="1">
      <c r="N157" s="2886"/>
      <c r="O157" s="2887"/>
    </row>
    <row r="158" spans="1:18" ht="35.25" customHeight="1">
      <c r="B158" s="50"/>
      <c r="C158" s="2579" t="s">
        <v>3232</v>
      </c>
      <c r="D158" s="2579"/>
      <c r="E158" s="2579"/>
      <c r="F158" s="2579"/>
      <c r="H158" s="2884" t="s">
        <v>3235</v>
      </c>
      <c r="I158" s="2884"/>
      <c r="J158" s="2884"/>
      <c r="K158" s="2884"/>
      <c r="N158" s="2886"/>
      <c r="O158" s="2885">
        <v>1</v>
      </c>
      <c r="R158" s="1053" t="b">
        <f>AND(H158&lt;&gt;"&lt;select one&gt;",H158&lt;&gt;"")</f>
        <v>1</v>
      </c>
    </row>
    <row r="159" spans="1:18" ht="9.75" customHeight="1">
      <c r="N159" s="2886"/>
      <c r="O159" s="2887"/>
    </row>
    <row r="160" spans="1:18">
      <c r="C160" t="s">
        <v>2916</v>
      </c>
      <c r="N160" s="2886"/>
      <c r="O160" s="2885">
        <v>1</v>
      </c>
    </row>
    <row r="161" spans="1:16">
      <c r="N161" s="2887"/>
      <c r="O161" s="2887"/>
    </row>
    <row r="162" spans="1:16" ht="14.65" customHeight="1">
      <c r="A162" s="25" t="s">
        <v>3208</v>
      </c>
      <c r="C162" s="25"/>
      <c r="N162" s="2891">
        <v>1</v>
      </c>
    </row>
    <row r="163" spans="1:16" ht="20.25" customHeight="1">
      <c r="B163" s="25" t="s">
        <v>3209</v>
      </c>
      <c r="N163" s="2892"/>
      <c r="O163" s="106" t="s">
        <v>3213</v>
      </c>
      <c r="P163" s="106" t="s">
        <v>3212</v>
      </c>
    </row>
    <row r="164" spans="1:16" ht="20.25" customHeight="1">
      <c r="C164" s="2579" t="str">
        <f ca="1">"There are "&amp;TEXT(P164,"0")&amp;" Developments in Option (i) above that have all six entry fields completed for a total of "&amp;TEXT(O164,"0")&amp;" points."</f>
        <v>There are 0 Developments in Option (i) above that have all six entry fields completed for a total of 0 points.</v>
      </c>
      <c r="D164" s="2579"/>
      <c r="E164" s="2579"/>
      <c r="F164" s="2579"/>
      <c r="G164" s="2579"/>
      <c r="H164" s="2579"/>
      <c r="I164" s="2579"/>
      <c r="J164" s="2579"/>
      <c r="K164" s="2579"/>
      <c r="L164" s="2579"/>
      <c r="N164" s="2892"/>
      <c r="O164" s="2442">
        <f ca="1">IF(P164&lt;1,0,IF(P164&lt;3,5,IF(P164&lt;5,10,IF(P164&gt;=5,15,0))))</f>
        <v>0</v>
      </c>
      <c r="P164" s="1053">
        <f ca="1">IF(COUNTIF(R13:R18,TRUE)=6,1,0)+IF(COUNTIF(R25:R30,TRUE)=6,1,0)+IF(COUNTIF(R37:R42,TRUE)=6,1,0)+IF(COUNTIF(R49:R54,TRUE)=6,1,0)+IF(COUNTIF(R61:R66,TRUE)=6,1,0)</f>
        <v>0</v>
      </c>
    </row>
    <row r="165" spans="1:16" ht="20.25" customHeight="1">
      <c r="C165" s="2579" t="str">
        <f ca="1">"The Applicant did"&amp;IF(O164&gt;=5,""," NOT")&amp;" achieve the minimum of 5 points in criteria (i)."</f>
        <v>The Applicant did NOT achieve the minimum of 5 points in criteria (i).</v>
      </c>
      <c r="D165" s="2579"/>
      <c r="E165" s="2579"/>
      <c r="F165" s="2579"/>
      <c r="G165" s="2579"/>
      <c r="H165" s="2579"/>
      <c r="I165" s="2579"/>
      <c r="J165" s="2579"/>
      <c r="K165" s="2579"/>
      <c r="L165" s="2579"/>
      <c r="N165" s="2892"/>
    </row>
    <row r="166" spans="1:16" ht="20.25" customHeight="1">
      <c r="B166" s="25" t="s">
        <v>3210</v>
      </c>
      <c r="N166" s="2892"/>
      <c r="O166" s="106" t="s">
        <v>3213</v>
      </c>
      <c r="P166" s="106" t="s">
        <v>3212</v>
      </c>
    </row>
    <row r="167" spans="1:16" ht="20.25" customHeight="1">
      <c r="C167" s="2579" t="str">
        <f ca="1">"There are "&amp;TEXT(P167,"0")&amp;" Developments in Option (ii) above that have all five entry fields completed for a total of "&amp;TEXT(O167,"0")&amp;" points."</f>
        <v>There are 0 Developments in Option (ii) above that have all five entry fields completed for a total of 0 points.</v>
      </c>
      <c r="D167" s="2579"/>
      <c r="E167" s="2579"/>
      <c r="F167" s="2579"/>
      <c r="G167" s="2579"/>
      <c r="H167" s="2579"/>
      <c r="I167" s="2579"/>
      <c r="J167" s="2579"/>
      <c r="K167" s="2579"/>
      <c r="L167" s="2579"/>
      <c r="N167" s="2892"/>
      <c r="O167" s="2442">
        <f ca="1">IF(P167&lt;1,0,IF(P167&lt;3,5,IF(P167&lt;5,10,IF(P167&gt;=5,15,0))))</f>
        <v>0</v>
      </c>
      <c r="P167" s="1053">
        <f ca="1">IF(COUNTIF(R74:R78,TRUE)=5,1,0)+IF(COUNTIF(R84:R88,TRUE)=5,1,0)+IF(COUNTIF(R94:R98,TRUE)=5,1,0)+IF(COUNTIF(R104:R108,TRUE)=5,1,0)+IF(COUNTIF(R114:R118,TRUE)=5,1,0)</f>
        <v>0</v>
      </c>
    </row>
    <row r="168" spans="1:16" ht="20.25" customHeight="1">
      <c r="C168" s="2579" t="str">
        <f ca="1">"The Applicant did"&amp;IF(O167&gt;=5,""," NOT")&amp;" achieve the minimum of 5 points in criteria (ii)."</f>
        <v>The Applicant did NOT achieve the minimum of 5 points in criteria (ii).</v>
      </c>
      <c r="D168" s="2579"/>
      <c r="E168" s="2579"/>
      <c r="F168" s="2579"/>
      <c r="G168" s="2579"/>
      <c r="H168" s="2579"/>
      <c r="I168" s="2579"/>
      <c r="J168" s="2579"/>
      <c r="K168" s="2579"/>
      <c r="L168" s="2579"/>
      <c r="N168" s="2892"/>
    </row>
    <row r="169" spans="1:16" ht="20.25" customHeight="1">
      <c r="B169" s="25" t="s">
        <v>3211</v>
      </c>
      <c r="N169" s="2892"/>
      <c r="O169" s="106" t="s">
        <v>3213</v>
      </c>
    </row>
    <row r="170" spans="1:16" ht="35.25" customHeight="1">
      <c r="C170" s="2579" t="str">
        <f>"The Applicant has "&amp;IF(Dev_Fin_Liquidity="Yes","","NOT ")&amp;"indicated it meets the liquidity criteria related to the Developer Experience Funding Preference and has earned "&amp;TEXT(O170,"0")&amp;" points."</f>
        <v>The Applicant has indicated it meets the liquidity criteria related to the Developer Experience Funding Preference and has earned 5 points.</v>
      </c>
      <c r="D170" s="2579"/>
      <c r="E170" s="2579"/>
      <c r="F170" s="2579"/>
      <c r="G170" s="2579"/>
      <c r="H170" s="2579"/>
      <c r="I170" s="2579"/>
      <c r="J170" s="2579"/>
      <c r="K170" s="2579"/>
      <c r="L170" s="2579"/>
      <c r="N170" s="2892"/>
      <c r="O170" s="2442">
        <f>IF(AND(Op3_Dev1_Principal&lt;&gt;"&lt;select one&gt;",Op3_Dev1_Principal&lt;&gt;"",Dev_Fin_Liquidity="Yes"),5,0)</f>
        <v>5</v>
      </c>
    </row>
    <row r="171" spans="1:16" ht="20.25" customHeight="1">
      <c r="F171" s="849"/>
      <c r="H171" s="849" t="s">
        <v>3218</v>
      </c>
      <c r="I171" s="2445">
        <f ca="1">O164+O167+O170</f>
        <v>5</v>
      </c>
      <c r="N171" s="2892"/>
    </row>
    <row r="172" spans="1:16" ht="20.25" customHeight="1">
      <c r="F172" s="849"/>
      <c r="H172" s="849" t="s">
        <v>3219</v>
      </c>
      <c r="I172" s="287" t="str">
        <f ca="1">IF(AND(O164&gt;=5,O167&gt;=5,O164+O167+O170&gt;=20),"Yes","No")</f>
        <v>No</v>
      </c>
      <c r="N172" s="2892"/>
    </row>
    <row r="173" spans="1:16" ht="5.25" customHeight="1">
      <c r="N173" s="2893"/>
    </row>
    <row r="174" spans="1:16">
      <c r="D174" s="43"/>
    </row>
    <row r="175" spans="1:16">
      <c r="D175" s="43"/>
    </row>
  </sheetData>
  <sheetProtection formatRows="0" selectLockedCells="1"/>
  <sortState xmlns:xlrd2="http://schemas.microsoft.com/office/spreadsheetml/2017/richdata2" ref="P61:R67">
    <sortCondition ref="Q61:Q67"/>
  </sortState>
  <mergeCells count="215">
    <mergeCell ref="C156:I156"/>
    <mergeCell ref="O158:O159"/>
    <mergeCell ref="O156:O157"/>
    <mergeCell ref="A3:L3"/>
    <mergeCell ref="N2:R2"/>
    <mergeCell ref="C164:L164"/>
    <mergeCell ref="N123:N139"/>
    <mergeCell ref="N140:N154"/>
    <mergeCell ref="N155:N161"/>
    <mergeCell ref="O20:O23"/>
    <mergeCell ref="O32:O35"/>
    <mergeCell ref="O44:O47"/>
    <mergeCell ref="O56:O59"/>
    <mergeCell ref="O80:O82"/>
    <mergeCell ref="O90:O92"/>
    <mergeCell ref="O160:O161"/>
    <mergeCell ref="O48:O55"/>
    <mergeCell ref="O36:O43"/>
    <mergeCell ref="O24:O31"/>
    <mergeCell ref="O12:O19"/>
    <mergeCell ref="O60:O67"/>
    <mergeCell ref="O68:O71"/>
    <mergeCell ref="O73:O79"/>
    <mergeCell ref="O83:O89"/>
    <mergeCell ref="C16:F16"/>
    <mergeCell ref="C17:F17"/>
    <mergeCell ref="C25:F25"/>
    <mergeCell ref="C26:F26"/>
    <mergeCell ref="C27:F27"/>
    <mergeCell ref="C28:F28"/>
    <mergeCell ref="C165:L165"/>
    <mergeCell ref="C167:L167"/>
    <mergeCell ref="C168:L168"/>
    <mergeCell ref="C29:F29"/>
    <mergeCell ref="C37:F37"/>
    <mergeCell ref="C38:F38"/>
    <mergeCell ref="C39:F39"/>
    <mergeCell ref="C40:F40"/>
    <mergeCell ref="C41:F41"/>
    <mergeCell ref="H63:K63"/>
    <mergeCell ref="H64:K64"/>
    <mergeCell ref="H65:K65"/>
    <mergeCell ref="H30:K30"/>
    <mergeCell ref="H42:K42"/>
    <mergeCell ref="H39:K39"/>
    <mergeCell ref="H40:K40"/>
    <mergeCell ref="H41:K41"/>
    <mergeCell ref="H29:K29"/>
    <mergeCell ref="H37:K37"/>
    <mergeCell ref="H38:K38"/>
    <mergeCell ref="C49:F49"/>
    <mergeCell ref="O120:O122"/>
    <mergeCell ref="A1:L1"/>
    <mergeCell ref="H5:K5"/>
    <mergeCell ref="H13:K13"/>
    <mergeCell ref="H14:K14"/>
    <mergeCell ref="H15:K15"/>
    <mergeCell ref="H6:K6"/>
    <mergeCell ref="H8:K8"/>
    <mergeCell ref="H9:K9"/>
    <mergeCell ref="C13:F13"/>
    <mergeCell ref="C14:F14"/>
    <mergeCell ref="C15:F15"/>
    <mergeCell ref="H26:K26"/>
    <mergeCell ref="H27:K27"/>
    <mergeCell ref="H28:K28"/>
    <mergeCell ref="H16:K16"/>
    <mergeCell ref="H17:K17"/>
    <mergeCell ref="H25:K25"/>
    <mergeCell ref="H18:K18"/>
    <mergeCell ref="H49:K49"/>
    <mergeCell ref="H50:K50"/>
    <mergeCell ref="H51:K51"/>
    <mergeCell ref="H61:K61"/>
    <mergeCell ref="H62:K62"/>
    <mergeCell ref="C50:F50"/>
    <mergeCell ref="C51:F51"/>
    <mergeCell ref="C52:F52"/>
    <mergeCell ref="C53:F53"/>
    <mergeCell ref="C61:F61"/>
    <mergeCell ref="C62:F62"/>
    <mergeCell ref="H52:K52"/>
    <mergeCell ref="H53:K53"/>
    <mergeCell ref="C63:F63"/>
    <mergeCell ref="C64:F64"/>
    <mergeCell ref="C65:F65"/>
    <mergeCell ref="H54:K54"/>
    <mergeCell ref="H74:K74"/>
    <mergeCell ref="H75:K75"/>
    <mergeCell ref="H76:K76"/>
    <mergeCell ref="C74:F74"/>
    <mergeCell ref="C75:F75"/>
    <mergeCell ref="C76:F76"/>
    <mergeCell ref="A72:K72"/>
    <mergeCell ref="H86:K86"/>
    <mergeCell ref="H87:K87"/>
    <mergeCell ref="C127:F127"/>
    <mergeCell ref="H127:K127"/>
    <mergeCell ref="H77:K77"/>
    <mergeCell ref="H84:K84"/>
    <mergeCell ref="H85:K85"/>
    <mergeCell ref="C77:F77"/>
    <mergeCell ref="C84:F84"/>
    <mergeCell ref="C85:F85"/>
    <mergeCell ref="C86:F86"/>
    <mergeCell ref="C87:F87"/>
    <mergeCell ref="C94:F94"/>
    <mergeCell ref="H94:K94"/>
    <mergeCell ref="C95:F95"/>
    <mergeCell ref="H95:K95"/>
    <mergeCell ref="C96:F96"/>
    <mergeCell ref="H96:K96"/>
    <mergeCell ref="C97:F97"/>
    <mergeCell ref="C114:F114"/>
    <mergeCell ref="H114:K114"/>
    <mergeCell ref="C115:F115"/>
    <mergeCell ref="H115:K115"/>
    <mergeCell ref="C116:F116"/>
    <mergeCell ref="C131:F131"/>
    <mergeCell ref="H131:K131"/>
    <mergeCell ref="C132:F132"/>
    <mergeCell ref="H132:K132"/>
    <mergeCell ref="C133:F133"/>
    <mergeCell ref="H133:K133"/>
    <mergeCell ref="C128:F128"/>
    <mergeCell ref="H128:K128"/>
    <mergeCell ref="C129:F129"/>
    <mergeCell ref="H129:K129"/>
    <mergeCell ref="C130:F130"/>
    <mergeCell ref="H130:K130"/>
    <mergeCell ref="C137:F137"/>
    <mergeCell ref="H137:K137"/>
    <mergeCell ref="C138:F138"/>
    <mergeCell ref="H138:K138"/>
    <mergeCell ref="C140:K140"/>
    <mergeCell ref="C142:F142"/>
    <mergeCell ref="H142:K142"/>
    <mergeCell ref="C134:F134"/>
    <mergeCell ref="H134:K134"/>
    <mergeCell ref="C135:F135"/>
    <mergeCell ref="H135:K135"/>
    <mergeCell ref="C136:F136"/>
    <mergeCell ref="H136:K136"/>
    <mergeCell ref="H107:K107"/>
    <mergeCell ref="C152:F152"/>
    <mergeCell ref="H152:K152"/>
    <mergeCell ref="C153:F153"/>
    <mergeCell ref="H153:K153"/>
    <mergeCell ref="A155:J155"/>
    <mergeCell ref="C149:F149"/>
    <mergeCell ref="H149:K149"/>
    <mergeCell ref="C150:F150"/>
    <mergeCell ref="H150:K150"/>
    <mergeCell ref="C151:F151"/>
    <mergeCell ref="H151:K151"/>
    <mergeCell ref="C146:F146"/>
    <mergeCell ref="H146:K146"/>
    <mergeCell ref="C147:F147"/>
    <mergeCell ref="H147:K147"/>
    <mergeCell ref="C148:F148"/>
    <mergeCell ref="H148:K148"/>
    <mergeCell ref="C143:F143"/>
    <mergeCell ref="H143:K143"/>
    <mergeCell ref="C144:F144"/>
    <mergeCell ref="H144:K144"/>
    <mergeCell ref="C145:F145"/>
    <mergeCell ref="H145:K145"/>
    <mergeCell ref="C30:F30"/>
    <mergeCell ref="C42:F42"/>
    <mergeCell ref="C170:L170"/>
    <mergeCell ref="R72:R73"/>
    <mergeCell ref="N162:N173"/>
    <mergeCell ref="A11:L11"/>
    <mergeCell ref="N72:N122"/>
    <mergeCell ref="H116:K116"/>
    <mergeCell ref="C117:F117"/>
    <mergeCell ref="H117:K117"/>
    <mergeCell ref="O93:O99"/>
    <mergeCell ref="O100:O102"/>
    <mergeCell ref="O103:O109"/>
    <mergeCell ref="O110:O112"/>
    <mergeCell ref="O113:O119"/>
    <mergeCell ref="H97:K97"/>
    <mergeCell ref="C104:F104"/>
    <mergeCell ref="H104:K104"/>
    <mergeCell ref="C105:F105"/>
    <mergeCell ref="H105:K105"/>
    <mergeCell ref="C106:F106"/>
    <mergeCell ref="H106:K106"/>
    <mergeCell ref="C107:F107"/>
    <mergeCell ref="R11:R12"/>
    <mergeCell ref="C158:F158"/>
    <mergeCell ref="H158:K158"/>
    <mergeCell ref="N4:N10"/>
    <mergeCell ref="N11:N71"/>
    <mergeCell ref="P11:Q11"/>
    <mergeCell ref="C98:F98"/>
    <mergeCell ref="C108:F108"/>
    <mergeCell ref="C118:F118"/>
    <mergeCell ref="H78:K78"/>
    <mergeCell ref="H88:K88"/>
    <mergeCell ref="H98:K98"/>
    <mergeCell ref="H108:K108"/>
    <mergeCell ref="H118:K118"/>
    <mergeCell ref="P72:Q72"/>
    <mergeCell ref="C54:F54"/>
    <mergeCell ref="C66:F66"/>
    <mergeCell ref="H66:K66"/>
    <mergeCell ref="C78:F78"/>
    <mergeCell ref="C88:F88"/>
    <mergeCell ref="C5:F5"/>
    <mergeCell ref="C6:F6"/>
    <mergeCell ref="C8:F8"/>
    <mergeCell ref="C9:F9"/>
    <mergeCell ref="C18:F18"/>
  </mergeCells>
  <conditionalFormatting sqref="A3:L3">
    <cfRule type="expression" dxfId="1626" priority="25">
      <formula>$N3=0</formula>
    </cfRule>
  </conditionalFormatting>
  <conditionalFormatting sqref="A4:L10">
    <cfRule type="expression" dxfId="1625" priority="20">
      <formula>$N$4=0</formula>
    </cfRule>
  </conditionalFormatting>
  <conditionalFormatting sqref="A11:L71">
    <cfRule type="expression" dxfId="1624" priority="16717">
      <formula>$N$11=0</formula>
    </cfRule>
  </conditionalFormatting>
  <conditionalFormatting sqref="A12:L19">
    <cfRule type="expression" dxfId="1623" priority="10">
      <formula>$O$12=0</formula>
    </cfRule>
  </conditionalFormatting>
  <conditionalFormatting sqref="A20:L23">
    <cfRule type="expression" dxfId="1622" priority="73">
      <formula>$O$20=0</formula>
    </cfRule>
  </conditionalFormatting>
  <conditionalFormatting sqref="A24:L31">
    <cfRule type="expression" dxfId="1621" priority="9">
      <formula>$O$24=0</formula>
    </cfRule>
  </conditionalFormatting>
  <conditionalFormatting sqref="A32:L35">
    <cfRule type="expression" dxfId="1620" priority="72">
      <formula>$O$32=0</formula>
    </cfRule>
  </conditionalFormatting>
  <conditionalFormatting sqref="A36:L43">
    <cfRule type="expression" dxfId="1619" priority="8">
      <formula>$O$36=0</formula>
    </cfRule>
  </conditionalFormatting>
  <conditionalFormatting sqref="A44:L47">
    <cfRule type="expression" dxfId="1618" priority="71">
      <formula>$O$44=0</formula>
    </cfRule>
  </conditionalFormatting>
  <conditionalFormatting sqref="A48:L55">
    <cfRule type="expression" dxfId="1617" priority="7">
      <formula>$O$48=0</formula>
    </cfRule>
  </conditionalFormatting>
  <conditionalFormatting sqref="A56:L59">
    <cfRule type="expression" dxfId="1616" priority="70">
      <formula>$O$56=0</formula>
    </cfRule>
  </conditionalFormatting>
  <conditionalFormatting sqref="A60:L67">
    <cfRule type="expression" dxfId="1615" priority="6">
      <formula>$O$60=0</formula>
    </cfRule>
  </conditionalFormatting>
  <conditionalFormatting sqref="A68:L71">
    <cfRule type="expression" dxfId="1614" priority="57">
      <formula>$O$68=0</formula>
    </cfRule>
  </conditionalFormatting>
  <conditionalFormatting sqref="A72:L122">
    <cfRule type="expression" dxfId="1613" priority="51">
      <formula>$N$72=0</formula>
    </cfRule>
  </conditionalFormatting>
  <conditionalFormatting sqref="A73:L79">
    <cfRule type="expression" dxfId="1612" priority="48">
      <formula>$O$73=0</formula>
    </cfRule>
  </conditionalFormatting>
  <conditionalFormatting sqref="A80:L82">
    <cfRule type="expression" dxfId="1611" priority="69">
      <formula>$O$80=0</formula>
    </cfRule>
  </conditionalFormatting>
  <conditionalFormatting sqref="A83:L89">
    <cfRule type="expression" dxfId="1610" priority="47">
      <formula>$O$83=0</formula>
    </cfRule>
  </conditionalFormatting>
  <conditionalFormatting sqref="A90:L92">
    <cfRule type="expression" dxfId="1609" priority="68">
      <formula>$O$90=0</formula>
    </cfRule>
  </conditionalFormatting>
  <conditionalFormatting sqref="A93:L99">
    <cfRule type="expression" dxfId="1608" priority="42">
      <formula>$O$93=0</formula>
    </cfRule>
  </conditionalFormatting>
  <conditionalFormatting sqref="A100:L102">
    <cfRule type="expression" dxfId="1607" priority="43">
      <formula>$O$100=0</formula>
    </cfRule>
  </conditionalFormatting>
  <conditionalFormatting sqref="A103:L109">
    <cfRule type="expression" dxfId="1606" priority="37">
      <formula>$O$103=0</formula>
    </cfRule>
  </conditionalFormatting>
  <conditionalFormatting sqref="A110:L112">
    <cfRule type="expression" dxfId="1605" priority="38">
      <formula>$O$110=0</formula>
    </cfRule>
  </conditionalFormatting>
  <conditionalFormatting sqref="A113:L119">
    <cfRule type="expression" dxfId="1604" priority="33">
      <formula>$O$113=0</formula>
    </cfRule>
  </conditionalFormatting>
  <conditionalFormatting sqref="A120:L122">
    <cfRule type="expression" dxfId="1603" priority="32">
      <formula>$O$120=0</formula>
    </cfRule>
  </conditionalFormatting>
  <conditionalFormatting sqref="A123:L139">
    <cfRule type="expression" dxfId="1602" priority="31">
      <formula>$N$123=0</formula>
    </cfRule>
  </conditionalFormatting>
  <conditionalFormatting sqref="A140:L154">
    <cfRule type="expression" dxfId="1601" priority="30">
      <formula>$N$140=0</formula>
    </cfRule>
  </conditionalFormatting>
  <conditionalFormatting sqref="A155:L161">
    <cfRule type="expression" dxfId="1600" priority="65">
      <formula>$N$155=0</formula>
    </cfRule>
  </conditionalFormatting>
  <conditionalFormatting sqref="A158:L159">
    <cfRule type="expression" dxfId="1599" priority="3">
      <formula>$O$158=0</formula>
    </cfRule>
  </conditionalFormatting>
  <conditionalFormatting sqref="A160:L161">
    <cfRule type="expression" dxfId="1598" priority="28">
      <formula>$O$160=0</formula>
    </cfRule>
  </conditionalFormatting>
  <conditionalFormatting sqref="A162:L173">
    <cfRule type="expression" dxfId="1597" priority="26">
      <formula>$N$162=0</formula>
    </cfRule>
  </conditionalFormatting>
  <conditionalFormatting sqref="B21:E21">
    <cfRule type="expression" dxfId="1596" priority="102">
      <formula>ExcelCheckBox_Op1_Dev1_50="Yes"</formula>
    </cfRule>
  </conditionalFormatting>
  <conditionalFormatting sqref="B22:E22">
    <cfRule type="expression" dxfId="1595" priority="100">
      <formula>ExcelCheckBox_Op1_Dev1_MU="Yes"</formula>
    </cfRule>
  </conditionalFormatting>
  <conditionalFormatting sqref="B33:E33">
    <cfRule type="expression" dxfId="1594" priority="98">
      <formula>ExcelCheckBox_Op1_Dev2_50="Yes"</formula>
    </cfRule>
  </conditionalFormatting>
  <conditionalFormatting sqref="B34:E34">
    <cfRule type="expression" dxfId="1593" priority="97">
      <formula>ExcelCheckBox_Op1_Dev2_MU="Yes"</formula>
    </cfRule>
  </conditionalFormatting>
  <conditionalFormatting sqref="B45:E45">
    <cfRule type="expression" dxfId="1592" priority="94">
      <formula>ExcelCheckBox_Op1_Dev3_50="Yes"</formula>
    </cfRule>
  </conditionalFormatting>
  <conditionalFormatting sqref="B46:E46">
    <cfRule type="expression" dxfId="1591" priority="93">
      <formula>ExcelCheckBox_Op1_Dev3_MU="Yes"</formula>
    </cfRule>
  </conditionalFormatting>
  <conditionalFormatting sqref="B57:E57">
    <cfRule type="expression" dxfId="1590" priority="90">
      <formula>ExcelCheckBox_Op1_Dev4_50="Yes"</formula>
    </cfRule>
  </conditionalFormatting>
  <conditionalFormatting sqref="B58:E58">
    <cfRule type="expression" dxfId="1589" priority="89">
      <formula>ExcelCheckBox_Op1_Dev4_MU="Yes"</formula>
    </cfRule>
  </conditionalFormatting>
  <conditionalFormatting sqref="B69:E69">
    <cfRule type="expression" dxfId="1588" priority="63">
      <formula>ExcelCheckBox_Op1_Dev5_50="Yes"</formula>
    </cfRule>
  </conditionalFormatting>
  <conditionalFormatting sqref="B70:E70">
    <cfRule type="expression" dxfId="1587" priority="61">
      <formula>ExcelCheckBox_Op1_Dev5_MU="Yes"</formula>
    </cfRule>
  </conditionalFormatting>
  <conditionalFormatting sqref="B81:E81">
    <cfRule type="expression" dxfId="1586" priority="86">
      <formula>ExcelCheckBox_Op2_Dev1_50="Yes"</formula>
    </cfRule>
  </conditionalFormatting>
  <conditionalFormatting sqref="B91:E91">
    <cfRule type="expression" dxfId="1585" priority="84">
      <formula>ExcelCheckBox_Op2_Dev2_50="Yes"</formula>
    </cfRule>
  </conditionalFormatting>
  <conditionalFormatting sqref="B101:E101">
    <cfRule type="expression" dxfId="1584" priority="45">
      <formula>ExcelCheckBox_Op2_Dev3_50="Yes"</formula>
    </cfRule>
  </conditionalFormatting>
  <conditionalFormatting sqref="B111:E111">
    <cfRule type="expression" dxfId="1583" priority="40">
      <formula>ExcelCheckBox_Op2_Dev4_50="Yes"</formula>
    </cfRule>
  </conditionalFormatting>
  <conditionalFormatting sqref="B121:E121">
    <cfRule type="expression" dxfId="1582" priority="35">
      <formula>ExcelCheckBox_Op2_Dev5_50="Yes"</formula>
    </cfRule>
  </conditionalFormatting>
  <conditionalFormatting sqref="B128:L138">
    <cfRule type="expression" dxfId="1581" priority="67">
      <formula>$O128=0</formula>
    </cfRule>
  </conditionalFormatting>
  <conditionalFormatting sqref="B143:L153">
    <cfRule type="expression" dxfId="1580" priority="66">
      <formula>$O143=0</formula>
    </cfRule>
  </conditionalFormatting>
  <conditionalFormatting sqref="H158">
    <cfRule type="expression" dxfId="1579" priority="1">
      <formula>AND($H158&lt;&gt;"",$R158=TRUE)</formula>
    </cfRule>
  </conditionalFormatting>
  <conditionalFormatting sqref="H21:J21">
    <cfRule type="expression" dxfId="1578" priority="101">
      <formula>ExcelCheckBox_Op1_Dev1_MI="Yes"</formula>
    </cfRule>
  </conditionalFormatting>
  <conditionalFormatting sqref="H22:J22">
    <cfRule type="expression" dxfId="1577" priority="99">
      <formula>ExcelCheckBox_Op1_Dev1_Complex="Yes"</formula>
    </cfRule>
  </conditionalFormatting>
  <conditionalFormatting sqref="H33:J33">
    <cfRule type="expression" dxfId="1576" priority="96">
      <formula>ExcelCheckBox_Op1_Dev2_MI="Yes"</formula>
    </cfRule>
  </conditionalFormatting>
  <conditionalFormatting sqref="H34:J34">
    <cfRule type="expression" dxfId="1575" priority="95">
      <formula>ExcelCheckBox_Op1_Dev2_Complex="Yes"</formula>
    </cfRule>
  </conditionalFormatting>
  <conditionalFormatting sqref="H45:J45">
    <cfRule type="expression" dxfId="1574" priority="92">
      <formula>ExcelCheckBox_Op1_Dev3_MI="Yes"</formula>
    </cfRule>
  </conditionalFormatting>
  <conditionalFormatting sqref="H46:J46">
    <cfRule type="expression" dxfId="1573" priority="91">
      <formula>ExcelCheckBox_Op1_Dev3_Complex="Yes"</formula>
    </cfRule>
  </conditionalFormatting>
  <conditionalFormatting sqref="H57:J57">
    <cfRule type="expression" dxfId="1572" priority="88">
      <formula>ExcelCheckBox_Op1_Dev4_MI="Yes"</formula>
    </cfRule>
  </conditionalFormatting>
  <conditionalFormatting sqref="H58:J58">
    <cfRule type="expression" dxfId="1571" priority="87">
      <formula>ExcelCheckBox_Op1_Dev4_Complex="Yes"</formula>
    </cfRule>
  </conditionalFormatting>
  <conditionalFormatting sqref="H69:J69">
    <cfRule type="expression" dxfId="1570" priority="62">
      <formula>ExcelCheckBox_Op1_Dev5_MI="Yes"</formula>
    </cfRule>
  </conditionalFormatting>
  <conditionalFormatting sqref="H70:J70">
    <cfRule type="expression" dxfId="1569" priority="60">
      <formula>ExcelCheckBox_Op1_Dev5_Complex="Yes"</formula>
    </cfRule>
  </conditionalFormatting>
  <conditionalFormatting sqref="H81:J81">
    <cfRule type="expression" dxfId="1568" priority="85">
      <formula>ExcelCheckBox_Op2_Dev1_MI="Yes"</formula>
    </cfRule>
  </conditionalFormatting>
  <conditionalFormatting sqref="H91:J91">
    <cfRule type="expression" dxfId="1567" priority="83">
      <formula>ExcelCheckBox_Op2_Dev2_MI="Yes"</formula>
    </cfRule>
  </conditionalFormatting>
  <conditionalFormatting sqref="H101:J101">
    <cfRule type="expression" dxfId="1566" priority="44">
      <formula>ExcelCheckBox_Op2_Dev3_MI="Yes"</formula>
    </cfRule>
  </conditionalFormatting>
  <conditionalFormatting sqref="H111:J111">
    <cfRule type="expression" dxfId="1565" priority="39">
      <formula>ExcelCheckBox_Op2_Dev4_MI="Yes"</formula>
    </cfRule>
  </conditionalFormatting>
  <conditionalFormatting sqref="H121:J121">
    <cfRule type="expression" dxfId="1564" priority="34">
      <formula>ExcelCheckBox_Op2_Dev5_MI="Yes"</formula>
    </cfRule>
  </conditionalFormatting>
  <conditionalFormatting sqref="H8:K9 H13:K14 H16:K16 H25:K26 H28:K28 H37:K38 H40:K40 H49:K50 H52:K52 H74:K76 H84:K86 C128:F138 H128:K138 C143:F153 H143:K153">
    <cfRule type="cellIs" dxfId="1563" priority="105" operator="notEqual">
      <formula>""</formula>
    </cfRule>
  </conditionalFormatting>
  <conditionalFormatting sqref="H15:K15">
    <cfRule type="cellIs" dxfId="1562" priority="81" operator="equal">
      <formula>""</formula>
    </cfRule>
    <cfRule type="expression" dxfId="1561" priority="82">
      <formula>AND(H15&lt;&gt;"&lt;select one&gt;",H15&lt;&gt;"")</formula>
    </cfRule>
  </conditionalFormatting>
  <conditionalFormatting sqref="H17:K17 H18 H29:K29 H30 H41:K41 H42 H53:K53 H54 H65:K65 H66 H77:K77 H78 H87:K87 H88 H97:K97 H98 H107:K107 H108 H117:K117 H118">
    <cfRule type="expression" dxfId="1560" priority="21">
      <formula>AND($H17&lt;&gt;"",$R17=TRUE)</formula>
    </cfRule>
  </conditionalFormatting>
  <conditionalFormatting sqref="H17:K17 H29:K29 H41:K41 H53:K53 H65:K65 H77:K77 H87:K87 H97:K97 H107:K107 H117:K117">
    <cfRule type="expression" dxfId="1559" priority="22">
      <formula>AND($H17&lt;&gt;"",$R17=FALSE)</formula>
    </cfRule>
  </conditionalFormatting>
  <conditionalFormatting sqref="H27:K27">
    <cfRule type="cellIs" dxfId="1558" priority="79" operator="equal">
      <formula>""</formula>
    </cfRule>
    <cfRule type="expression" dxfId="1557" priority="80">
      <formula>AND(H27&lt;&gt;"&lt;select one&gt;",H27&lt;&gt;"")</formula>
    </cfRule>
  </conditionalFormatting>
  <conditionalFormatting sqref="H39:K39">
    <cfRule type="cellIs" dxfId="1556" priority="77" operator="equal">
      <formula>""</formula>
    </cfRule>
    <cfRule type="expression" dxfId="1555" priority="78">
      <formula>AND(H39&lt;&gt;"&lt;select one&gt;",H39&lt;&gt;"")</formula>
    </cfRule>
  </conditionalFormatting>
  <conditionalFormatting sqref="H51:K51">
    <cfRule type="cellIs" dxfId="1554" priority="75" operator="equal">
      <formula>""</formula>
    </cfRule>
    <cfRule type="expression" dxfId="1553" priority="76">
      <formula>AND(H51&lt;&gt;"&lt;select one&gt;",H51&lt;&gt;"")</formula>
    </cfRule>
  </conditionalFormatting>
  <conditionalFormatting sqref="H61:K62 H64:K64">
    <cfRule type="cellIs" dxfId="1552" priority="64" operator="notEqual">
      <formula>""</formula>
    </cfRule>
  </conditionalFormatting>
  <conditionalFormatting sqref="H63:K63">
    <cfRule type="expression" dxfId="1551" priority="59">
      <formula>AND(H63&lt;&gt;"&lt;select one&gt;",H63&lt;&gt;"")</formula>
    </cfRule>
    <cfRule type="cellIs" dxfId="1550" priority="58" operator="equal">
      <formula>""</formula>
    </cfRule>
  </conditionalFormatting>
  <conditionalFormatting sqref="H94:K96">
    <cfRule type="cellIs" dxfId="1549" priority="46" operator="notEqual">
      <formula>""</formula>
    </cfRule>
  </conditionalFormatting>
  <conditionalFormatting sqref="H104:K106">
    <cfRule type="cellIs" dxfId="1548" priority="41" operator="notEqual">
      <formula>""</formula>
    </cfRule>
  </conditionalFormatting>
  <conditionalFormatting sqref="H114:K116">
    <cfRule type="cellIs" dxfId="1547" priority="36" operator="notEqual">
      <formula>""</formula>
    </cfRule>
  </conditionalFormatting>
  <conditionalFormatting sqref="J156">
    <cfRule type="cellIs" dxfId="1546" priority="104" operator="notEqual">
      <formula>"&lt;select one&gt;"</formula>
    </cfRule>
  </conditionalFormatting>
  <conditionalFormatting sqref="N3:N4 O12:O71 N72 O73:O122 N123:N157 O128:O138 O143:O153 O156:O161 N159:N162">
    <cfRule type="cellIs" dxfId="1545" priority="27" operator="equal">
      <formula>0</formula>
    </cfRule>
  </conditionalFormatting>
  <conditionalFormatting sqref="P13:P32 P74:P83">
    <cfRule type="expression" dxfId="1543" priority="55">
      <formula>$Q13=TRUE</formula>
    </cfRule>
  </conditionalFormatting>
  <conditionalFormatting sqref="P155:Z155">
    <cfRule type="expression" dxfId="1542" priority="29">
      <formula>$N$72=0</formula>
    </cfRule>
  </conditionalFormatting>
  <conditionalFormatting sqref="Q13:Q32 Q74:Q83">
    <cfRule type="cellIs" dxfId="1541" priority="56" operator="equal">
      <formula>TRUE</formula>
    </cfRule>
  </conditionalFormatting>
  <dataValidations disablePrompts="1" count="5">
    <dataValidation type="list" allowBlank="1" showInputMessage="1" showErrorMessage="1" sqref="H15:K15 H63:K63 H39:K39 H51:K51 H27:K27" xr:uid="{20A31403-714C-41C3-8867-7091DA1ECBBA}">
      <formula1>DS_DevExpProgs_DDMenu</formula1>
    </dataValidation>
    <dataValidation type="list" allowBlank="1" showInputMessage="1" showErrorMessage="1" sqref="C51 C39 C15 C27 C63" xr:uid="{E2871651-8F62-440D-AE25-76D56E2CAF54}">
      <formula1>DS_DevExpDescription_DDMenu</formula1>
    </dataValidation>
    <dataValidation type="list" allowBlank="1" showInputMessage="1" showErrorMessage="1" sqref="J156" xr:uid="{2249E84D-66C4-4111-80FB-D4C23DD872D8}">
      <formula1>"&lt;select one&gt;,Yes,No"</formula1>
    </dataValidation>
    <dataValidation type="whole" allowBlank="1" showInputMessage="1" showErrorMessage="1" error="Please enter an eligible 4-digit year." sqref="H17:K17 H107:K107 H29:K29 H41:K41 H53:K53 H65:K65 H77:K77 H87:K87 H97:K97 H117:K117" xr:uid="{8E72C799-A6AC-43F6-9E0A-40C163763339}">
      <formula1>2006</formula1>
      <formula2>2026</formula2>
    </dataValidation>
    <dataValidation type="list" allowBlank="1" showInputMessage="1" showErrorMessage="1" sqref="H18:K18 H66:K66 H54:K54 H42:K42 H30:K30 H78:K78 H88:K88 H98:K98 H108:K108 H118:K118 H158:K158" xr:uid="{CEEC385C-6EF1-4081-A600-BA8B9A88BE0F}">
      <formula1>$P$37:$P$40</formula1>
    </dataValidation>
  </dataValidations>
  <pageMargins left="0.7" right="0.7" top="0.75" bottom="0.75" header="0.3" footer="0.3"/>
  <pageSetup scale="80" orientation="portrait" cellComments="atEnd" verticalDpi="360" r:id="rId1"/>
  <headerFooter>
    <oddHeader>&amp;C&amp;B&amp;14&amp;K7030A0RFA 2026-204 SAIL FINANCING FOR THE PRESERVATION OF ELDERLY DEVELOPMENTS</oddHeader>
    <oddFooter>&amp;LRFA 2026-204&amp;R&amp;K000000'&amp;A' worksheet tab: Page &amp;P of &amp;N</oddFooter>
  </headerFooter>
  <rowBreaks count="1" manualBreakCount="1">
    <brk id="7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38100</xdr:colOff>
                    <xdr:row>19</xdr:row>
                    <xdr:rowOff>171450</xdr:rowOff>
                  </from>
                  <to>
                    <xdr:col>4</xdr:col>
                    <xdr:colOff>38100</xdr:colOff>
                    <xdr:row>21</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38100</xdr:colOff>
                    <xdr:row>20</xdr:row>
                    <xdr:rowOff>190500</xdr:rowOff>
                  </from>
                  <to>
                    <xdr:col>4</xdr:col>
                    <xdr:colOff>38100</xdr:colOff>
                    <xdr:row>22</xdr:row>
                    <xdr:rowOff>19050</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19050</xdr:colOff>
                    <xdr:row>19</xdr:row>
                    <xdr:rowOff>190500</xdr:rowOff>
                  </from>
                  <to>
                    <xdr:col>8</xdr:col>
                    <xdr:colOff>552450</xdr:colOff>
                    <xdr:row>21</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19050</xdr:colOff>
                    <xdr:row>20</xdr:row>
                    <xdr:rowOff>190500</xdr:rowOff>
                  </from>
                  <to>
                    <xdr:col>8</xdr:col>
                    <xdr:colOff>552450</xdr:colOff>
                    <xdr:row>22</xdr:row>
                    <xdr:rowOff>19050</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38100</xdr:colOff>
                    <xdr:row>31</xdr:row>
                    <xdr:rowOff>190500</xdr:rowOff>
                  </from>
                  <to>
                    <xdr:col>4</xdr:col>
                    <xdr:colOff>38100</xdr:colOff>
                    <xdr:row>33</xdr:row>
                    <xdr:rowOff>19050</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38100</xdr:colOff>
                    <xdr:row>32</xdr:row>
                    <xdr:rowOff>190500</xdr:rowOff>
                  </from>
                  <to>
                    <xdr:col>4</xdr:col>
                    <xdr:colOff>38100</xdr:colOff>
                    <xdr:row>34</xdr:row>
                    <xdr:rowOff>19050</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38100</xdr:colOff>
                    <xdr:row>31</xdr:row>
                    <xdr:rowOff>190500</xdr:rowOff>
                  </from>
                  <to>
                    <xdr:col>8</xdr:col>
                    <xdr:colOff>571500</xdr:colOff>
                    <xdr:row>33</xdr:row>
                    <xdr:rowOff>19050</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38100</xdr:colOff>
                    <xdr:row>32</xdr:row>
                    <xdr:rowOff>190500</xdr:rowOff>
                  </from>
                  <to>
                    <xdr:col>8</xdr:col>
                    <xdr:colOff>571500</xdr:colOff>
                    <xdr:row>34</xdr:row>
                    <xdr:rowOff>19050</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38100</xdr:colOff>
                    <xdr:row>43</xdr:row>
                    <xdr:rowOff>190500</xdr:rowOff>
                  </from>
                  <to>
                    <xdr:col>4</xdr:col>
                    <xdr:colOff>38100</xdr:colOff>
                    <xdr:row>45</xdr:row>
                    <xdr:rowOff>19050</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38100</xdr:colOff>
                    <xdr:row>44</xdr:row>
                    <xdr:rowOff>190500</xdr:rowOff>
                  </from>
                  <to>
                    <xdr:col>4</xdr:col>
                    <xdr:colOff>38100</xdr:colOff>
                    <xdr:row>46</xdr:row>
                    <xdr:rowOff>19050</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38100</xdr:colOff>
                    <xdr:row>43</xdr:row>
                    <xdr:rowOff>190500</xdr:rowOff>
                  </from>
                  <to>
                    <xdr:col>8</xdr:col>
                    <xdr:colOff>571500</xdr:colOff>
                    <xdr:row>45</xdr:row>
                    <xdr:rowOff>19050</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38100</xdr:colOff>
                    <xdr:row>44</xdr:row>
                    <xdr:rowOff>190500</xdr:rowOff>
                  </from>
                  <to>
                    <xdr:col>8</xdr:col>
                    <xdr:colOff>571500</xdr:colOff>
                    <xdr:row>46</xdr:row>
                    <xdr:rowOff>19050</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38100</xdr:colOff>
                    <xdr:row>55</xdr:row>
                    <xdr:rowOff>190500</xdr:rowOff>
                  </from>
                  <to>
                    <xdr:col>4</xdr:col>
                    <xdr:colOff>38100</xdr:colOff>
                    <xdr:row>57</xdr:row>
                    <xdr:rowOff>19050</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38100</xdr:colOff>
                    <xdr:row>56</xdr:row>
                    <xdr:rowOff>171450</xdr:rowOff>
                  </from>
                  <to>
                    <xdr:col>4</xdr:col>
                    <xdr:colOff>38100</xdr:colOff>
                    <xdr:row>58</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38100</xdr:colOff>
                    <xdr:row>55</xdr:row>
                    <xdr:rowOff>190500</xdr:rowOff>
                  </from>
                  <to>
                    <xdr:col>8</xdr:col>
                    <xdr:colOff>571500</xdr:colOff>
                    <xdr:row>57</xdr:row>
                    <xdr:rowOff>19050</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38100</xdr:colOff>
                    <xdr:row>56</xdr:row>
                    <xdr:rowOff>171450</xdr:rowOff>
                  </from>
                  <to>
                    <xdr:col>8</xdr:col>
                    <xdr:colOff>571500</xdr:colOff>
                    <xdr:row>58</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38100</xdr:colOff>
                    <xdr:row>79</xdr:row>
                    <xdr:rowOff>171450</xdr:rowOff>
                  </from>
                  <to>
                    <xdr:col>4</xdr:col>
                    <xdr:colOff>38100</xdr:colOff>
                    <xdr:row>81</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38100</xdr:colOff>
                    <xdr:row>79</xdr:row>
                    <xdr:rowOff>171450</xdr:rowOff>
                  </from>
                  <to>
                    <xdr:col>8</xdr:col>
                    <xdr:colOff>571500</xdr:colOff>
                    <xdr:row>81</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38100</xdr:colOff>
                    <xdr:row>89</xdr:row>
                    <xdr:rowOff>171450</xdr:rowOff>
                  </from>
                  <to>
                    <xdr:col>4</xdr:col>
                    <xdr:colOff>38100</xdr:colOff>
                    <xdr:row>91</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38100</xdr:colOff>
                    <xdr:row>89</xdr:row>
                    <xdr:rowOff>171450</xdr:rowOff>
                  </from>
                  <to>
                    <xdr:col>8</xdr:col>
                    <xdr:colOff>571500</xdr:colOff>
                    <xdr:row>91</xdr:row>
                    <xdr:rowOff>0</xdr:rowOff>
                  </to>
                </anchor>
              </controlPr>
            </control>
          </mc:Choice>
        </mc:AlternateContent>
        <mc:AlternateContent xmlns:mc="http://schemas.openxmlformats.org/markup-compatibility/2006">
          <mc:Choice Requires="x14">
            <control shapeId="202776" r:id="rId24" name="Check Box 24">
              <controlPr locked="0" defaultSize="0" autoFill="0" autoLine="0" autoPict="0" altText="">
                <anchor moveWithCells="1">
                  <from>
                    <xdr:col>1</xdr:col>
                    <xdr:colOff>38100</xdr:colOff>
                    <xdr:row>67</xdr:row>
                    <xdr:rowOff>171450</xdr:rowOff>
                  </from>
                  <to>
                    <xdr:col>4</xdr:col>
                    <xdr:colOff>38100</xdr:colOff>
                    <xdr:row>69</xdr:row>
                    <xdr:rowOff>0</xdr:rowOff>
                  </to>
                </anchor>
              </controlPr>
            </control>
          </mc:Choice>
        </mc:AlternateContent>
        <mc:AlternateContent xmlns:mc="http://schemas.openxmlformats.org/markup-compatibility/2006">
          <mc:Choice Requires="x14">
            <control shapeId="202777" r:id="rId25" name="Check Box 25">
              <controlPr locked="0" defaultSize="0" autoFill="0" autoLine="0" autoPict="0">
                <anchor moveWithCells="1">
                  <from>
                    <xdr:col>1</xdr:col>
                    <xdr:colOff>38100</xdr:colOff>
                    <xdr:row>68</xdr:row>
                    <xdr:rowOff>190500</xdr:rowOff>
                  </from>
                  <to>
                    <xdr:col>4</xdr:col>
                    <xdr:colOff>38100</xdr:colOff>
                    <xdr:row>70</xdr:row>
                    <xdr:rowOff>19050</xdr:rowOff>
                  </to>
                </anchor>
              </controlPr>
            </control>
          </mc:Choice>
        </mc:AlternateContent>
        <mc:AlternateContent xmlns:mc="http://schemas.openxmlformats.org/markup-compatibility/2006">
          <mc:Choice Requires="x14">
            <control shapeId="202778" r:id="rId26" name="Check Box 26">
              <controlPr locked="0" defaultSize="0" autoFill="0" autoLine="0" autoPict="0">
                <anchor moveWithCells="1">
                  <from>
                    <xdr:col>7</xdr:col>
                    <xdr:colOff>19050</xdr:colOff>
                    <xdr:row>67</xdr:row>
                    <xdr:rowOff>190500</xdr:rowOff>
                  </from>
                  <to>
                    <xdr:col>8</xdr:col>
                    <xdr:colOff>552450</xdr:colOff>
                    <xdr:row>69</xdr:row>
                    <xdr:rowOff>19050</xdr:rowOff>
                  </to>
                </anchor>
              </controlPr>
            </control>
          </mc:Choice>
        </mc:AlternateContent>
        <mc:AlternateContent xmlns:mc="http://schemas.openxmlformats.org/markup-compatibility/2006">
          <mc:Choice Requires="x14">
            <control shapeId="202779" r:id="rId27" name="Check Box 27">
              <controlPr locked="0" defaultSize="0" autoFill="0" autoLine="0" autoPict="0">
                <anchor moveWithCells="1">
                  <from>
                    <xdr:col>7</xdr:col>
                    <xdr:colOff>19050</xdr:colOff>
                    <xdr:row>68</xdr:row>
                    <xdr:rowOff>190500</xdr:rowOff>
                  </from>
                  <to>
                    <xdr:col>8</xdr:col>
                    <xdr:colOff>552450</xdr:colOff>
                    <xdr:row>70</xdr:row>
                    <xdr:rowOff>19050</xdr:rowOff>
                  </to>
                </anchor>
              </controlPr>
            </control>
          </mc:Choice>
        </mc:AlternateContent>
        <mc:AlternateContent xmlns:mc="http://schemas.openxmlformats.org/markup-compatibility/2006">
          <mc:Choice Requires="x14">
            <control shapeId="202781" r:id="rId28" name="Check Box 29">
              <controlPr locked="0" defaultSize="0" autoFill="0" autoLine="0" autoPict="0" altText="">
                <anchor moveWithCells="1">
                  <from>
                    <xdr:col>1</xdr:col>
                    <xdr:colOff>38100</xdr:colOff>
                    <xdr:row>99</xdr:row>
                    <xdr:rowOff>171450</xdr:rowOff>
                  </from>
                  <to>
                    <xdr:col>4</xdr:col>
                    <xdr:colOff>38100</xdr:colOff>
                    <xdr:row>101</xdr:row>
                    <xdr:rowOff>0</xdr:rowOff>
                  </to>
                </anchor>
              </controlPr>
            </control>
          </mc:Choice>
        </mc:AlternateContent>
        <mc:AlternateContent xmlns:mc="http://schemas.openxmlformats.org/markup-compatibility/2006">
          <mc:Choice Requires="x14">
            <control shapeId="202782" r:id="rId29" name="Check Box 30">
              <controlPr locked="0" defaultSize="0" autoFill="0" autoLine="0" autoPict="0" altText="">
                <anchor moveWithCells="1">
                  <from>
                    <xdr:col>7</xdr:col>
                    <xdr:colOff>38100</xdr:colOff>
                    <xdr:row>99</xdr:row>
                    <xdr:rowOff>171450</xdr:rowOff>
                  </from>
                  <to>
                    <xdr:col>8</xdr:col>
                    <xdr:colOff>571500</xdr:colOff>
                    <xdr:row>101</xdr:row>
                    <xdr:rowOff>0</xdr:rowOff>
                  </to>
                </anchor>
              </controlPr>
            </control>
          </mc:Choice>
        </mc:AlternateContent>
        <mc:AlternateContent xmlns:mc="http://schemas.openxmlformats.org/markup-compatibility/2006">
          <mc:Choice Requires="x14">
            <control shapeId="202783" r:id="rId30" name="Check Box 31">
              <controlPr locked="0" defaultSize="0" autoFill="0" autoLine="0" autoPict="0" altText="">
                <anchor moveWithCells="1">
                  <from>
                    <xdr:col>1</xdr:col>
                    <xdr:colOff>38100</xdr:colOff>
                    <xdr:row>109</xdr:row>
                    <xdr:rowOff>171450</xdr:rowOff>
                  </from>
                  <to>
                    <xdr:col>4</xdr:col>
                    <xdr:colOff>38100</xdr:colOff>
                    <xdr:row>111</xdr:row>
                    <xdr:rowOff>0</xdr:rowOff>
                  </to>
                </anchor>
              </controlPr>
            </control>
          </mc:Choice>
        </mc:AlternateContent>
        <mc:AlternateContent xmlns:mc="http://schemas.openxmlformats.org/markup-compatibility/2006">
          <mc:Choice Requires="x14">
            <control shapeId="202784" r:id="rId31" name="Check Box 32">
              <controlPr locked="0" defaultSize="0" autoFill="0" autoLine="0" autoPict="0" altText="">
                <anchor moveWithCells="1">
                  <from>
                    <xdr:col>7</xdr:col>
                    <xdr:colOff>38100</xdr:colOff>
                    <xdr:row>109</xdr:row>
                    <xdr:rowOff>171450</xdr:rowOff>
                  </from>
                  <to>
                    <xdr:col>8</xdr:col>
                    <xdr:colOff>571500</xdr:colOff>
                    <xdr:row>111</xdr:row>
                    <xdr:rowOff>0</xdr:rowOff>
                  </to>
                </anchor>
              </controlPr>
            </control>
          </mc:Choice>
        </mc:AlternateContent>
        <mc:AlternateContent xmlns:mc="http://schemas.openxmlformats.org/markup-compatibility/2006">
          <mc:Choice Requires="x14">
            <control shapeId="202785" r:id="rId32" name="Check Box 33">
              <controlPr locked="0" defaultSize="0" autoFill="0" autoLine="0" autoPict="0" altText="">
                <anchor moveWithCells="1">
                  <from>
                    <xdr:col>1</xdr:col>
                    <xdr:colOff>38100</xdr:colOff>
                    <xdr:row>119</xdr:row>
                    <xdr:rowOff>171450</xdr:rowOff>
                  </from>
                  <to>
                    <xdr:col>4</xdr:col>
                    <xdr:colOff>38100</xdr:colOff>
                    <xdr:row>121</xdr:row>
                    <xdr:rowOff>0</xdr:rowOff>
                  </to>
                </anchor>
              </controlPr>
            </control>
          </mc:Choice>
        </mc:AlternateContent>
        <mc:AlternateContent xmlns:mc="http://schemas.openxmlformats.org/markup-compatibility/2006">
          <mc:Choice Requires="x14">
            <control shapeId="202786" r:id="rId33" name="Check Box 34">
              <controlPr locked="0" defaultSize="0" autoFill="0" autoLine="0" autoPict="0" altText="">
                <anchor moveWithCells="1">
                  <from>
                    <xdr:col>7</xdr:col>
                    <xdr:colOff>38100</xdr:colOff>
                    <xdr:row>119</xdr:row>
                    <xdr:rowOff>171450</xdr:rowOff>
                  </from>
                  <to>
                    <xdr:col>8</xdr:col>
                    <xdr:colOff>571500</xdr:colOff>
                    <xdr:row>121</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4" id="{37B5DD01-41D3-4CF2-B105-14C29F95FC34}">
            <xm:f>Data1!$E$896="Yes"</xm:f>
            <x14:dxf>
              <font>
                <color theme="0"/>
              </font>
              <fill>
                <patternFill>
                  <bgColor theme="0"/>
                </patternFill>
              </fill>
              <border>
                <left/>
                <right/>
                <top/>
                <bottom/>
                <vertical/>
                <horizontal/>
              </border>
            </x14:dxf>
          </x14:cfRule>
          <xm:sqref>N3:R173</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Z44"/>
  <sheetViews>
    <sheetView showGridLines="0" zoomScaleNormal="100" zoomScaleSheetLayoutView="100" workbookViewId="0">
      <pane ySplit="2" topLeftCell="A3" activePane="bottomLeft" state="frozen"/>
      <selection activeCell="P17" sqref="P17"/>
      <selection pane="bottomLeft" activeCell="P17" sqref="P17"/>
    </sheetView>
  </sheetViews>
  <sheetFormatPr defaultColWidth="8.54296875" defaultRowHeight="14.5"/>
  <cols>
    <col min="1" max="1" width="3" customWidth="1"/>
    <col min="2" max="3" width="3.54296875" customWidth="1"/>
    <col min="4" max="4" width="18.453125" customWidth="1"/>
    <col min="5" max="5" width="35.54296875" customWidth="1"/>
    <col min="6" max="6" width="24.54296875" customWidth="1"/>
    <col min="7" max="7" width="14.26953125" customWidth="1"/>
    <col min="8" max="8" width="8.453125" customWidth="1"/>
    <col min="9" max="9" width="8.7265625" customWidth="1"/>
    <col min="10" max="12" width="3.54296875" customWidth="1"/>
    <col min="13" max="13" width="35.7265625" customWidth="1"/>
    <col min="14" max="14" width="3.54296875" customWidth="1"/>
  </cols>
  <sheetData>
    <row r="1" spans="1:26" ht="36" customHeight="1" thickBot="1">
      <c r="A1" s="2582" t="s">
        <v>1084</v>
      </c>
      <c r="B1" s="2583"/>
      <c r="C1" s="2583"/>
      <c r="D1" s="2583"/>
      <c r="E1" s="2583"/>
      <c r="F1" s="2583"/>
      <c r="G1" s="2583"/>
      <c r="H1" s="2584"/>
      <c r="I1" s="24"/>
    </row>
    <row r="2" spans="1:26" ht="14.65" customHeight="1">
      <c r="A2" s="600"/>
      <c r="B2" s="601"/>
      <c r="C2" s="601"/>
      <c r="D2" s="601"/>
      <c r="E2" s="601"/>
      <c r="F2" s="601"/>
      <c r="G2" s="601"/>
      <c r="H2" s="601"/>
      <c r="I2" s="601"/>
      <c r="K2" s="2613" t="s">
        <v>845</v>
      </c>
      <c r="L2" s="2614"/>
      <c r="M2" s="2614"/>
      <c r="N2" s="2615"/>
    </row>
    <row r="3" spans="1:26" ht="17.649999999999999" customHeight="1">
      <c r="A3" s="2544" t="s">
        <v>1085</v>
      </c>
      <c r="B3" s="2544"/>
      <c r="C3" s="2544"/>
      <c r="D3" s="2544"/>
      <c r="E3" s="2544"/>
      <c r="F3" s="2544"/>
      <c r="G3" s="2544"/>
      <c r="H3" s="2544"/>
      <c r="K3" s="2852" t="s">
        <v>2737</v>
      </c>
      <c r="O3" s="826"/>
      <c r="P3" s="826"/>
      <c r="Q3" s="826"/>
      <c r="R3" s="826"/>
      <c r="S3" s="826"/>
      <c r="T3" s="875"/>
      <c r="U3" s="875"/>
      <c r="V3" s="875"/>
      <c r="W3" s="875"/>
      <c r="X3" s="875"/>
      <c r="Y3" s="875"/>
      <c r="Z3" s="875"/>
    </row>
    <row r="4" spans="1:26" ht="17.649999999999999" customHeight="1">
      <c r="A4" s="2544"/>
      <c r="B4" s="2544"/>
      <c r="C4" s="2544"/>
      <c r="D4" s="2544"/>
      <c r="E4" s="2544"/>
      <c r="F4" s="2544"/>
      <c r="G4" s="2544"/>
      <c r="H4" s="2544"/>
      <c r="I4" s="600"/>
      <c r="J4" s="600"/>
      <c r="K4" s="2853"/>
      <c r="L4" s="6"/>
      <c r="M4" s="6"/>
      <c r="N4" s="826"/>
      <c r="O4" s="826"/>
      <c r="P4" s="826"/>
      <c r="Q4" s="826"/>
      <c r="R4" s="826"/>
      <c r="S4" s="826"/>
      <c r="T4" s="875"/>
      <c r="U4" s="875"/>
      <c r="V4" s="875"/>
      <c r="W4" s="875"/>
      <c r="X4" s="875"/>
      <c r="Y4" s="875"/>
      <c r="Z4" s="875"/>
    </row>
    <row r="5" spans="1:26" ht="17.649999999999999" customHeight="1">
      <c r="A5" s="2544"/>
      <c r="B5" s="2544"/>
      <c r="C5" s="2544"/>
      <c r="D5" s="2544"/>
      <c r="E5" s="2544"/>
      <c r="F5" s="2544"/>
      <c r="G5" s="2544"/>
      <c r="H5" s="2544"/>
      <c r="I5" s="443"/>
      <c r="J5" s="443"/>
      <c r="K5" s="2853"/>
      <c r="L5" s="6"/>
      <c r="N5" s="826"/>
      <c r="O5" s="826"/>
      <c r="P5" s="826"/>
      <c r="Q5" s="826"/>
      <c r="R5" s="826"/>
      <c r="S5" s="826"/>
      <c r="T5" s="875"/>
      <c r="U5" s="875"/>
      <c r="V5" s="875"/>
      <c r="W5" s="875"/>
      <c r="X5" s="875"/>
      <c r="Y5" s="875"/>
      <c r="Z5" s="875"/>
    </row>
    <row r="6" spans="1:26" s="6" customFormat="1" ht="10.5" customHeight="1">
      <c r="A6" s="600"/>
      <c r="B6" s="601"/>
      <c r="C6" s="601"/>
      <c r="D6" s="601"/>
      <c r="E6" s="601"/>
      <c r="F6" s="601"/>
      <c r="G6" s="601"/>
      <c r="H6" s="601"/>
      <c r="I6" s="601"/>
      <c r="K6" s="2854"/>
    </row>
    <row r="7" spans="1:26" ht="85.15" customHeight="1">
      <c r="A7" s="723" t="str">
        <f>IF(Data1!$B796=TRUE,"Yes","No")</f>
        <v>No</v>
      </c>
      <c r="B7" s="97"/>
      <c r="C7" s="865" t="s">
        <v>858</v>
      </c>
      <c r="D7" s="2544" t="s">
        <v>2538</v>
      </c>
      <c r="E7" s="2544"/>
      <c r="F7" s="2544"/>
      <c r="G7" s="2544"/>
      <c r="H7" s="2544"/>
      <c r="K7" s="2658">
        <v>1</v>
      </c>
      <c r="L7" s="6"/>
      <c r="M7" s="2024" t="str">
        <f>"Controls Rows "&amp;TEXT(ROW(A7),"0")&amp;":"&amp;TEXT(ROW(A8),"0")&amp;"."</f>
        <v>Controls Rows 7:8.</v>
      </c>
    </row>
    <row r="8" spans="1:26" ht="34.9" customHeight="1">
      <c r="A8" s="723" t="str">
        <f>IF(Data1!$B797=TRUE,"Yes","No")</f>
        <v>No</v>
      </c>
      <c r="B8" s="97"/>
      <c r="C8" s="865" t="s">
        <v>927</v>
      </c>
      <c r="D8" s="2544" t="s">
        <v>2539</v>
      </c>
      <c r="E8" s="2544"/>
      <c r="F8" s="2544"/>
      <c r="G8" s="2544"/>
      <c r="H8" s="2544"/>
      <c r="K8" s="2571"/>
      <c r="L8" s="6"/>
      <c r="M8" s="6"/>
    </row>
    <row r="9" spans="1:26" ht="10.5" customHeight="1">
      <c r="B9" s="858"/>
      <c r="C9" s="2579"/>
      <c r="D9" s="2579"/>
      <c r="E9" s="2579"/>
      <c r="F9" s="2579"/>
      <c r="I9" s="98"/>
      <c r="J9" s="98"/>
      <c r="K9" s="2852" t="s">
        <v>2737</v>
      </c>
      <c r="M9" s="2905"/>
    </row>
    <row r="10" spans="1:26" ht="19.899999999999999" customHeight="1">
      <c r="B10" s="2544" t="s">
        <v>2435</v>
      </c>
      <c r="C10" s="2544"/>
      <c r="D10" s="2544"/>
      <c r="E10" s="2544"/>
      <c r="F10" s="2544"/>
      <c r="G10" s="2544"/>
      <c r="H10" s="2544"/>
      <c r="K10" s="2853"/>
      <c r="M10" s="2905"/>
    </row>
    <row r="11" spans="1:26" ht="19.899999999999999" customHeight="1">
      <c r="B11" s="2544"/>
      <c r="C11" s="2544"/>
      <c r="D11" s="2544"/>
      <c r="E11" s="2544"/>
      <c r="F11" s="2544"/>
      <c r="G11" s="2544"/>
      <c r="H11" s="2544"/>
      <c r="K11" s="2853"/>
      <c r="M11" s="2905"/>
    </row>
    <row r="12" spans="1:26" ht="19.899999999999999" customHeight="1">
      <c r="B12" s="2544"/>
      <c r="C12" s="2544"/>
      <c r="D12" s="2544"/>
      <c r="E12" s="2544"/>
      <c r="F12" s="2544"/>
      <c r="G12" s="2544"/>
      <c r="H12" s="2544"/>
      <c r="K12" s="2853"/>
      <c r="M12" s="2905"/>
    </row>
    <row r="13" spans="1:26" ht="10.5" customHeight="1">
      <c r="B13" s="826"/>
      <c r="C13" s="826"/>
      <c r="D13" s="826"/>
      <c r="E13" s="826"/>
      <c r="F13" s="826"/>
      <c r="G13" s="826"/>
      <c r="H13" s="826"/>
      <c r="K13" s="2854"/>
    </row>
    <row r="14" spans="1:26" ht="19.899999999999999" customHeight="1">
      <c r="B14" s="2902" t="str">
        <f>CHOOSE(K$14+K$20*0+K$26*0+K$32*0+1,"No","First","Second","Third","Fourth")&amp;" completed development that meets the experience requirement outlined in Section Four, A.9.b. of the RFA (if needed):"</f>
        <v>First completed development that meets the experience requirement outlined in Section Four, A.9.b. of the RFA (if needed):</v>
      </c>
      <c r="C14" s="2902"/>
      <c r="D14" s="2902"/>
      <c r="E14" s="2902"/>
      <c r="F14" s="2902"/>
      <c r="G14" s="2902"/>
      <c r="H14" s="2902"/>
      <c r="K14" s="2658">
        <v>1</v>
      </c>
      <c r="M14" s="2024" t="str">
        <f>"Controls Rows "&amp;TEXT(ROW(A14),"0")&amp;":"&amp;TEXT(ROW(A19),"0")&amp;"."</f>
        <v>Controls Rows 14:19.</v>
      </c>
    </row>
    <row r="15" spans="1:26" ht="19.899999999999999" customHeight="1">
      <c r="B15" s="2544"/>
      <c r="C15" s="2544"/>
      <c r="D15" s="2544"/>
      <c r="E15" s="2544"/>
      <c r="F15" s="2544"/>
      <c r="G15" s="2544"/>
      <c r="H15" s="2544"/>
      <c r="K15" s="2659"/>
      <c r="M15" s="6"/>
    </row>
    <row r="16" spans="1:26" ht="17.649999999999999" customHeight="1">
      <c r="B16" s="602"/>
      <c r="C16" s="602"/>
      <c r="D16" s="603" t="s">
        <v>885</v>
      </c>
      <c r="E16" s="2547"/>
      <c r="F16" s="2547"/>
      <c r="G16" s="2547"/>
      <c r="H16" s="2547"/>
      <c r="K16" s="2659"/>
      <c r="L16" s="6"/>
      <c r="M16" s="6"/>
    </row>
    <row r="17" spans="2:13" ht="45" customHeight="1">
      <c r="D17" s="603" t="s">
        <v>886</v>
      </c>
      <c r="E17" s="2547"/>
      <c r="F17" s="2547"/>
      <c r="G17" s="2547"/>
      <c r="H17" s="2547"/>
      <c r="K17" s="2659"/>
      <c r="L17" s="6"/>
      <c r="M17" s="6"/>
    </row>
    <row r="18" spans="2:13" ht="17.649999999999999" customHeight="1">
      <c r="B18" s="602"/>
      <c r="D18" s="849" t="s">
        <v>888</v>
      </c>
      <c r="E18" s="604"/>
      <c r="K18" s="2659"/>
      <c r="L18" s="6"/>
      <c r="M18" s="6"/>
    </row>
    <row r="19" spans="2:13" ht="10.5" customHeight="1">
      <c r="K19" s="2571"/>
    </row>
    <row r="20" spans="2:13" ht="19.899999999999999" customHeight="1">
      <c r="B20" s="2902" t="str">
        <f>CHOOSE(K$14+K$20+K$26*0+K$32*0+1,"No","First","Second","Third","Fourth")&amp;" completed development that meets the experience requirement outlined in Section Four, A.9.b. of the RFA (if needed):"</f>
        <v>Second completed development that meets the experience requirement outlined in Section Four, A.9.b. of the RFA (if needed):</v>
      </c>
      <c r="C20" s="2902"/>
      <c r="D20" s="2902"/>
      <c r="E20" s="2902"/>
      <c r="F20" s="2902"/>
      <c r="G20" s="2902"/>
      <c r="H20" s="2902"/>
      <c r="K20" s="2569">
        <v>1</v>
      </c>
      <c r="M20" s="2024" t="str">
        <f>"Controls Rows "&amp;TEXT(ROW(A20),"0")&amp;":"&amp;TEXT(ROW(A25),"0")&amp;"."</f>
        <v>Controls Rows 20:25.</v>
      </c>
    </row>
    <row r="21" spans="2:13" ht="19.899999999999999" customHeight="1">
      <c r="B21" s="2544"/>
      <c r="C21" s="2544"/>
      <c r="D21" s="2544"/>
      <c r="E21" s="2544"/>
      <c r="F21" s="2544"/>
      <c r="G21" s="2544"/>
      <c r="H21" s="2544"/>
      <c r="K21" s="2570"/>
    </row>
    <row r="22" spans="2:13" ht="17.649999999999999" customHeight="1">
      <c r="B22" s="602"/>
      <c r="C22" s="602"/>
      <c r="D22" s="603" t="s">
        <v>885</v>
      </c>
      <c r="E22" s="2547"/>
      <c r="F22" s="2547"/>
      <c r="G22" s="2547"/>
      <c r="H22" s="2547"/>
      <c r="K22" s="2570"/>
    </row>
    <row r="23" spans="2:13" ht="45" customHeight="1">
      <c r="D23" s="603" t="s">
        <v>886</v>
      </c>
      <c r="E23" s="2547"/>
      <c r="F23" s="2547"/>
      <c r="G23" s="2547"/>
      <c r="H23" s="2547"/>
      <c r="K23" s="2570"/>
    </row>
    <row r="24" spans="2:13" ht="17.649999999999999" customHeight="1">
      <c r="B24" s="602"/>
      <c r="D24" s="849" t="s">
        <v>888</v>
      </c>
      <c r="E24" s="604"/>
      <c r="K24" s="2570"/>
    </row>
    <row r="25" spans="2:13" ht="10.5" customHeight="1">
      <c r="K25" s="2571"/>
    </row>
    <row r="26" spans="2:13" ht="19.899999999999999" customHeight="1">
      <c r="B26" s="2902" t="str">
        <f>CHOOSE(K$14+K$20+K$26+K$32*0+1,"No","First","Second","Third","Fourth")&amp;" completed development that meets the experience requirement outlined in Section Four, A.9.b. of the RFA (if needed):"</f>
        <v>Third completed development that meets the experience requirement outlined in Section Four, A.9.b. of the RFA (if needed):</v>
      </c>
      <c r="C26" s="2902"/>
      <c r="D26" s="2902"/>
      <c r="E26" s="2902"/>
      <c r="F26" s="2902"/>
      <c r="G26" s="2902"/>
      <c r="H26" s="2902"/>
      <c r="K26" s="2569">
        <v>1</v>
      </c>
      <c r="M26" s="2024" t="str">
        <f>"Controls Rows "&amp;TEXT(ROW(A26),"0")&amp;":"&amp;TEXT(ROW(A31),"0")&amp;"."</f>
        <v>Controls Rows 26:31.</v>
      </c>
    </row>
    <row r="27" spans="2:13" ht="19.899999999999999" customHeight="1">
      <c r="B27" s="2544"/>
      <c r="C27" s="2544"/>
      <c r="D27" s="2544"/>
      <c r="E27" s="2544"/>
      <c r="F27" s="2544"/>
      <c r="G27" s="2544"/>
      <c r="H27" s="2544"/>
      <c r="K27" s="2570"/>
    </row>
    <row r="28" spans="2:13" ht="17.649999999999999" customHeight="1">
      <c r="B28" s="602"/>
      <c r="C28" s="602"/>
      <c r="D28" s="603" t="s">
        <v>885</v>
      </c>
      <c r="E28" s="2547"/>
      <c r="F28" s="2547"/>
      <c r="G28" s="2547"/>
      <c r="H28" s="2547"/>
      <c r="K28" s="2570"/>
    </row>
    <row r="29" spans="2:13" ht="45" customHeight="1">
      <c r="D29" s="603" t="s">
        <v>886</v>
      </c>
      <c r="E29" s="2547"/>
      <c r="F29" s="2547"/>
      <c r="G29" s="2547"/>
      <c r="H29" s="2547"/>
      <c r="K29" s="2570"/>
    </row>
    <row r="30" spans="2:13" ht="17.649999999999999" customHeight="1">
      <c r="B30" s="602"/>
      <c r="D30" s="849" t="s">
        <v>888</v>
      </c>
      <c r="E30" s="604"/>
      <c r="K30" s="2570"/>
    </row>
    <row r="31" spans="2:13" ht="10.5" customHeight="1">
      <c r="K31" s="2571"/>
    </row>
    <row r="32" spans="2:13" ht="19.899999999999999" customHeight="1">
      <c r="B32" s="2902" t="str">
        <f>CHOOSE(K$14+K$20+K$26+K$32+1,"No","First","Second","Third","Fourth")&amp;" completed development that meets the experience requirement outlined in Section Four, A.9.b. of the RFA (if needed):"</f>
        <v>Fourth completed development that meets the experience requirement outlined in Section Four, A.9.b. of the RFA (if needed):</v>
      </c>
      <c r="C32" s="2902"/>
      <c r="D32" s="2902"/>
      <c r="E32" s="2902"/>
      <c r="F32" s="2902"/>
      <c r="G32" s="2902"/>
      <c r="H32" s="2902"/>
      <c r="K32" s="2569">
        <v>1</v>
      </c>
      <c r="M32" s="2024" t="str">
        <f>"Controls Rows "&amp;TEXT(ROW(A32),"0")&amp;":"&amp;TEXT(ROW(A37),"0")&amp;"."</f>
        <v>Controls Rows 32:37.</v>
      </c>
    </row>
    <row r="33" spans="2:13" ht="19.899999999999999" customHeight="1">
      <c r="B33" s="2544"/>
      <c r="C33" s="2544"/>
      <c r="D33" s="2544"/>
      <c r="E33" s="2544"/>
      <c r="F33" s="2544"/>
      <c r="G33" s="2544"/>
      <c r="H33" s="2544"/>
      <c r="K33" s="2570"/>
    </row>
    <row r="34" spans="2:13" ht="17.649999999999999" customHeight="1">
      <c r="B34" s="602"/>
      <c r="C34" s="602"/>
      <c r="D34" s="603" t="s">
        <v>885</v>
      </c>
      <c r="E34" s="2547"/>
      <c r="F34" s="2547"/>
      <c r="G34" s="2547"/>
      <c r="H34" s="2547"/>
      <c r="K34" s="2570"/>
    </row>
    <row r="35" spans="2:13" ht="45" customHeight="1">
      <c r="D35" s="603" t="s">
        <v>886</v>
      </c>
      <c r="E35" s="2547"/>
      <c r="F35" s="2547"/>
      <c r="G35" s="2547"/>
      <c r="H35" s="2547"/>
      <c r="K35" s="2570"/>
    </row>
    <row r="36" spans="2:13" ht="17.649999999999999" customHeight="1">
      <c r="B36" s="602"/>
      <c r="D36" s="849" t="s">
        <v>888</v>
      </c>
      <c r="E36" s="604"/>
      <c r="K36" s="2570"/>
    </row>
    <row r="37" spans="2:13" ht="10.5" customHeight="1">
      <c r="K37" s="2571"/>
    </row>
    <row r="38" spans="2:13" ht="19.899999999999999" customHeight="1">
      <c r="B38" s="2904" t="s">
        <v>2540</v>
      </c>
      <c r="C38" s="2904"/>
      <c r="D38" s="2904"/>
      <c r="E38" s="2904"/>
      <c r="F38" s="2904"/>
      <c r="G38" s="2904"/>
      <c r="H38" s="2904"/>
      <c r="K38" s="2852" t="s">
        <v>2737</v>
      </c>
      <c r="L38" s="6"/>
      <c r="M38" s="6"/>
    </row>
    <row r="39" spans="2:13" ht="19.899999999999999" customHeight="1">
      <c r="B39" s="2544"/>
      <c r="C39" s="2544"/>
      <c r="D39" s="2544"/>
      <c r="E39" s="2544"/>
      <c r="F39" s="2544"/>
      <c r="G39" s="2544"/>
      <c r="H39" s="2544"/>
      <c r="K39" s="2853"/>
      <c r="L39" s="6"/>
      <c r="M39" s="6"/>
    </row>
    <row r="40" spans="2:13" ht="17.649999999999999" customHeight="1">
      <c r="B40" s="2903" t="str">
        <f>"Total Number of Units from the above "&amp;CHOOSE(K$14+K$20+K$26+K$32+1,"no","one","two","three","four")&amp;" development"&amp;IF(K$14+K$20+K$26+K$32=1,"","s")&amp;":"</f>
        <v>Total Number of Units from the above four developments:</v>
      </c>
      <c r="C40" s="2903"/>
      <c r="D40" s="2903"/>
      <c r="E40" s="2903"/>
      <c r="F40" s="894">
        <f>N(E18)+N(E24)+N(E30)+N(E36)</f>
        <v>0</v>
      </c>
      <c r="G40" s="605"/>
      <c r="H40" s="605"/>
      <c r="K40" s="2853"/>
    </row>
    <row r="41" spans="2:13" ht="10.5" customHeight="1">
      <c r="K41" s="2853"/>
    </row>
    <row r="42" spans="2:13" ht="17.649999999999999" customHeight="1">
      <c r="B42" s="2901" t="str">
        <f>IF(AND(N(Total_Units)&gt;0,N(Owner_operator_Exp_total_Dev_units)&gt;0),IF(N(Owner_operator_Exp_total_Dev_units)&gt;=50%*N(Total_Units),"","The combined Total Number of Units above is not at least 50% of Total Units of the Proposed Development."),"")</f>
        <v/>
      </c>
      <c r="C42" s="2901"/>
      <c r="D42" s="2901"/>
      <c r="E42" s="2901"/>
      <c r="F42" s="2901"/>
      <c r="G42" s="2901"/>
      <c r="H42" s="2901"/>
      <c r="K42" s="2854"/>
    </row>
    <row r="43" spans="2:13" ht="17.649999999999999" customHeight="1"/>
    <row r="44" spans="2:13" ht="17.649999999999999" customHeight="1"/>
  </sheetData>
  <mergeCells count="31">
    <mergeCell ref="K38:K42"/>
    <mergeCell ref="K26:K31"/>
    <mergeCell ref="K32:K37"/>
    <mergeCell ref="K9:K13"/>
    <mergeCell ref="M9:M12"/>
    <mergeCell ref="K2:N2"/>
    <mergeCell ref="K7:K8"/>
    <mergeCell ref="K3:K6"/>
    <mergeCell ref="K14:K19"/>
    <mergeCell ref="K20:K25"/>
    <mergeCell ref="E22:H22"/>
    <mergeCell ref="A1:H1"/>
    <mergeCell ref="A3:H5"/>
    <mergeCell ref="B20:H21"/>
    <mergeCell ref="C9:F9"/>
    <mergeCell ref="B10:H12"/>
    <mergeCell ref="B14:H15"/>
    <mergeCell ref="E16:H16"/>
    <mergeCell ref="E17:H17"/>
    <mergeCell ref="D7:H7"/>
    <mergeCell ref="D8:H8"/>
    <mergeCell ref="B42:H42"/>
    <mergeCell ref="E23:H23"/>
    <mergeCell ref="B26:H27"/>
    <mergeCell ref="E28:H28"/>
    <mergeCell ref="E29:H29"/>
    <mergeCell ref="B32:H33"/>
    <mergeCell ref="E34:H34"/>
    <mergeCell ref="B40:E40"/>
    <mergeCell ref="E35:H35"/>
    <mergeCell ref="B38:H39"/>
  </mergeCells>
  <conditionalFormatting sqref="A7:H8">
    <cfRule type="expression" dxfId="1540" priority="13347">
      <formula>$K$7=0</formula>
    </cfRule>
  </conditionalFormatting>
  <conditionalFormatting sqref="A14:H19">
    <cfRule type="expression" dxfId="1539" priority="13379">
      <formula>$K$14=0</formula>
    </cfRule>
  </conditionalFormatting>
  <conditionalFormatting sqref="A20:H25">
    <cfRule type="expression" dxfId="1538" priority="13411">
      <formula>$K$20=0</formula>
    </cfRule>
  </conditionalFormatting>
  <conditionalFormatting sqref="A26:H31">
    <cfRule type="expression" dxfId="1537" priority="13443">
      <formula>$K$26=0</formula>
    </cfRule>
  </conditionalFormatting>
  <conditionalFormatting sqref="A32:H37">
    <cfRule type="expression" dxfId="1536" priority="13475">
      <formula>$K$32=0</formula>
    </cfRule>
  </conditionalFormatting>
  <conditionalFormatting sqref="B42">
    <cfRule type="cellIs" dxfId="1535" priority="30" operator="notEqual">
      <formula>""</formula>
    </cfRule>
  </conditionalFormatting>
  <conditionalFormatting sqref="B7:D7">
    <cfRule type="expression" dxfId="1534" priority="18">
      <formula>DS_ExcelCheckbox_Coordination_Exp_3rd_party=TRUE</formula>
    </cfRule>
  </conditionalFormatting>
  <conditionalFormatting sqref="B8:D8">
    <cfRule type="expression" dxfId="1533" priority="19">
      <formula>DS_ExcelCheckbox_ExpApplicant=TRUE</formula>
    </cfRule>
  </conditionalFormatting>
  <conditionalFormatting sqref="B7:H8">
    <cfRule type="expression" dxfId="1532" priority="7">
      <formula>AND(DS_ExcelCheckbox_Coordination_Exp_3rd_party=TRUE,DS_ExcelCheckbox_ExpApplicant=TRUE)</formula>
    </cfRule>
  </conditionalFormatting>
  <conditionalFormatting sqref="C9">
    <cfRule type="cellIs" dxfId="1531" priority="20" operator="equal">
      <formula>"The above programs are not applicable to the selected Demographic Commitment"</formula>
    </cfRule>
    <cfRule type="expression" dxfId="1530" priority="21" stopIfTrue="1">
      <formula>AND($C9="Please select at least three of the above resident programs before proceeding",OR(Demographic="Family",Demographic="Workforce"))</formula>
    </cfRule>
    <cfRule type="expression" dxfId="1529" priority="22"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1528" priority="25" operator="notEqual">
      <formula>""</formula>
    </cfRule>
  </conditionalFormatting>
  <conditionalFormatting sqref="F40">
    <cfRule type="cellIs" dxfId="1527" priority="29" operator="equal">
      <formula>0</formula>
    </cfRule>
  </conditionalFormatting>
  <conditionalFormatting sqref="K7 K14 K20 K26 K32">
    <cfRule type="cellIs" dxfId="1526" priority="6" operator="equal">
      <formula>0</formula>
    </cfRule>
  </conditionalFormatting>
  <conditionalFormatting sqref="M9:M12">
    <cfRule type="cellIs" dxfId="1524" priority="9" operator="greaterThan">
      <formula>0</formula>
    </cfRule>
  </conditionalFormatting>
  <dataValidations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K32" xr:uid="{A66BF120-B656-403D-ABCD-818101040F45}">
      <formula1>AND(K32&gt;=0,K32&lt;3,K32=ROUND(K32,0))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457200</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457200</xdr:colOff>
                    <xdr:row>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 stopIfTrue="1" id="{D6B5D169-5D55-490C-987D-CE4EB41A5E77}">
            <xm:f>Data1!$E$903="Yes"</xm:f>
            <x14:dxf>
              <font>
                <color theme="0"/>
              </font>
              <fill>
                <patternFill>
                  <bgColor theme="0"/>
                </patternFill>
              </fill>
              <border>
                <left/>
                <right/>
                <top/>
                <bottom/>
                <vertical/>
                <horizontal/>
              </border>
            </x14:dxf>
          </x14:cfRule>
          <xm:sqref>K3:N37</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A574-5FCF-4C47-884F-130054D2F5B8}">
  <sheetPr codeName="Sheet24">
    <tabColor rgb="FF00B0F0"/>
  </sheetPr>
  <dimension ref="A1:AD696"/>
  <sheetViews>
    <sheetView zoomScale="110" zoomScaleNormal="110" workbookViewId="0">
      <selection activeCell="B8" sqref="B8:J8"/>
    </sheetView>
  </sheetViews>
  <sheetFormatPr defaultColWidth="8.7265625" defaultRowHeight="12.5"/>
  <cols>
    <col min="1" max="1" width="3" style="2071" customWidth="1"/>
    <col min="2" max="2" width="7" style="2071" customWidth="1"/>
    <col min="3" max="3" width="16.7265625" style="2071" customWidth="1"/>
    <col min="4" max="4" width="13.453125" style="2071" bestFit="1" customWidth="1"/>
    <col min="5" max="5" width="13.453125" style="2071" customWidth="1"/>
    <col min="6" max="6" width="11.7265625" style="2071" customWidth="1"/>
    <col min="7" max="7" width="3" style="2071" customWidth="1"/>
    <col min="8" max="8" width="7" style="2071" customWidth="1"/>
    <col min="9" max="9" width="16.7265625" style="2071" customWidth="1"/>
    <col min="10" max="10" width="13.453125" style="2071" customWidth="1"/>
    <col min="11" max="11" width="13.26953125" style="2071" customWidth="1"/>
    <col min="12" max="12" width="11.7265625" style="2071" customWidth="1"/>
    <col min="13" max="13" width="3" style="2071" customWidth="1"/>
    <col min="14" max="14" width="11.1796875" style="2071" bestFit="1" customWidth="1"/>
    <col min="15" max="15" width="10.26953125" style="2071" customWidth="1"/>
    <col min="16" max="18" width="13.81640625" style="2071" customWidth="1"/>
    <col min="19" max="19" width="10.453125" style="2071" customWidth="1"/>
    <col min="20" max="21" width="13.81640625" style="2071" customWidth="1"/>
    <col min="22" max="23" width="8.7265625" style="2071"/>
    <col min="24" max="24" width="11.54296875" style="2071" bestFit="1" customWidth="1"/>
    <col min="25" max="16384" width="8.7265625" style="2071"/>
  </cols>
  <sheetData>
    <row r="1" spans="1:22" ht="13" thickBot="1"/>
    <row r="2" spans="1:22" ht="17.25" customHeight="1" thickBot="1">
      <c r="B2" s="2906" t="s">
        <v>2789</v>
      </c>
      <c r="C2" s="2907"/>
      <c r="D2" s="2907"/>
      <c r="E2" s="2907"/>
      <c r="F2" s="2908"/>
      <c r="H2" s="2909" t="s">
        <v>2790</v>
      </c>
      <c r="I2" s="2910"/>
      <c r="J2" s="2910"/>
      <c r="K2" s="2910"/>
      <c r="L2" s="2911"/>
      <c r="O2" s="2072" t="s">
        <v>2791</v>
      </c>
    </row>
    <row r="3" spans="1:22" ht="18" customHeight="1">
      <c r="B3" s="2073"/>
      <c r="C3" s="2074">
        <v>50000</v>
      </c>
      <c r="D3" s="2912" t="s">
        <v>2792</v>
      </c>
      <c r="E3" s="2912"/>
      <c r="F3" s="2913"/>
      <c r="H3" s="2075"/>
      <c r="I3" s="2076">
        <f>C3</f>
        <v>50000</v>
      </c>
      <c r="J3" s="2912" t="s">
        <v>2792</v>
      </c>
      <c r="K3" s="2912"/>
      <c r="L3" s="2914"/>
      <c r="O3" s="2077"/>
      <c r="P3" s="2078"/>
      <c r="Q3" s="2078"/>
      <c r="R3" s="2078"/>
      <c r="S3" s="2079"/>
    </row>
    <row r="4" spans="1:22" ht="18" customHeight="1">
      <c r="B4" s="2073"/>
      <c r="C4" s="2080">
        <v>15</v>
      </c>
      <c r="D4" s="2915" t="s">
        <v>2793</v>
      </c>
      <c r="E4" s="2915"/>
      <c r="F4" s="2916"/>
      <c r="H4" s="2075"/>
      <c r="I4" s="2080">
        <f>C4</f>
        <v>15</v>
      </c>
      <c r="J4" s="2915" t="s">
        <v>2794</v>
      </c>
      <c r="K4" s="2915"/>
      <c r="L4" s="2917"/>
      <c r="N4" s="2081"/>
      <c r="O4" s="2082"/>
      <c r="P4" s="2083"/>
      <c r="Q4" s="2084" t="s">
        <v>2795</v>
      </c>
      <c r="R4" s="2085">
        <v>45792</v>
      </c>
      <c r="S4" s="2086"/>
    </row>
    <row r="5" spans="1:22" ht="18" customHeight="1">
      <c r="B5" s="2073"/>
      <c r="C5" s="2080">
        <v>12</v>
      </c>
      <c r="D5" s="2915" t="s">
        <v>2796</v>
      </c>
      <c r="E5" s="2915"/>
      <c r="F5" s="2916"/>
      <c r="H5" s="2075"/>
      <c r="I5" s="2080">
        <f>C5</f>
        <v>12</v>
      </c>
      <c r="J5" s="2915" t="s">
        <v>2796</v>
      </c>
      <c r="K5" s="2915"/>
      <c r="L5" s="2917"/>
      <c r="O5" s="2082"/>
      <c r="P5" s="2083"/>
      <c r="Q5" s="2084" t="s">
        <v>2797</v>
      </c>
      <c r="R5" s="2087">
        <f>VLOOKUP(R4,C685:D696,2)</f>
        <v>4.4549999999999999E-2</v>
      </c>
      <c r="S5" s="2086"/>
    </row>
    <row r="6" spans="1:22" ht="18" customHeight="1">
      <c r="B6" s="2073"/>
      <c r="C6" s="2088">
        <f>C4*C5</f>
        <v>180</v>
      </c>
      <c r="D6" s="2915" t="s">
        <v>2798</v>
      </c>
      <c r="E6" s="2915"/>
      <c r="F6" s="2916"/>
      <c r="H6" s="2075"/>
      <c r="I6" s="2088">
        <f>I4*I5</f>
        <v>180</v>
      </c>
      <c r="J6" s="2915" t="s">
        <v>2798</v>
      </c>
      <c r="K6" s="2915"/>
      <c r="L6" s="2917"/>
      <c r="O6" s="2082"/>
      <c r="P6" s="2083"/>
      <c r="Q6" s="2084" t="s">
        <v>2799</v>
      </c>
      <c r="R6" s="2089">
        <v>3.2500000000000001E-2</v>
      </c>
      <c r="S6" s="2086"/>
    </row>
    <row r="7" spans="1:22" ht="30" customHeight="1">
      <c r="B7" s="2073"/>
      <c r="C7" s="2090">
        <f>C6</f>
        <v>180</v>
      </c>
      <c r="D7" s="2915" t="s">
        <v>2800</v>
      </c>
      <c r="E7" s="2915"/>
      <c r="F7" s="2916"/>
      <c r="H7" s="2075"/>
      <c r="I7" s="2091"/>
      <c r="J7" s="2918"/>
      <c r="K7" s="2918"/>
      <c r="L7" s="2919"/>
      <c r="O7" s="2082"/>
      <c r="P7" s="2083"/>
      <c r="Q7" s="2084" t="s">
        <v>2801</v>
      </c>
      <c r="R7" s="2092">
        <f>ROUND(R5+R6,4)</f>
        <v>7.7100000000000002E-2</v>
      </c>
      <c r="S7" s="2086"/>
    </row>
    <row r="8" spans="1:22" ht="30" customHeight="1">
      <c r="B8" s="2073"/>
      <c r="C8" s="2093">
        <v>0.03</v>
      </c>
      <c r="D8" s="2915" t="s">
        <v>2802</v>
      </c>
      <c r="E8" s="2915"/>
      <c r="F8" s="2916"/>
      <c r="H8" s="2075"/>
      <c r="I8" s="2093">
        <f>C8</f>
        <v>0.03</v>
      </c>
      <c r="J8" s="2915" t="s">
        <v>2802</v>
      </c>
      <c r="K8" s="2915"/>
      <c r="L8" s="2917"/>
      <c r="O8" s="2082"/>
      <c r="P8" s="2083"/>
      <c r="Q8" s="2084" t="s">
        <v>2803</v>
      </c>
      <c r="R8" s="2089">
        <v>5.5E-2</v>
      </c>
      <c r="S8" s="2086"/>
    </row>
    <row r="9" spans="1:22" ht="18" customHeight="1">
      <c r="B9" s="2073"/>
      <c r="C9" s="2094">
        <f>PMT(C8/C5,C4*C5,C3)</f>
        <v>-345.29082013899506</v>
      </c>
      <c r="D9" s="2920" t="s">
        <v>2804</v>
      </c>
      <c r="E9" s="2920"/>
      <c r="F9" s="2921"/>
      <c r="H9" s="2075"/>
      <c r="I9" s="2094">
        <f>-I3*I8/I5</f>
        <v>-125</v>
      </c>
      <c r="J9" s="2920" t="s">
        <v>2804</v>
      </c>
      <c r="K9" s="2920"/>
      <c r="L9" s="2922"/>
      <c r="O9" s="2082"/>
      <c r="P9" s="2083"/>
      <c r="Q9" s="2084" t="s">
        <v>2805</v>
      </c>
      <c r="R9" s="2092">
        <f>MAX(R7:R8)</f>
        <v>7.7100000000000002E-2</v>
      </c>
      <c r="S9" s="2086"/>
    </row>
    <row r="10" spans="1:22" ht="18" customHeight="1" thickBot="1">
      <c r="B10" s="2073"/>
      <c r="C10" s="2095">
        <f>ROUND(C9,2)</f>
        <v>-345.29</v>
      </c>
      <c r="D10" s="2096" t="s">
        <v>2806</v>
      </c>
      <c r="E10" s="2097"/>
      <c r="F10" s="2098"/>
      <c r="H10" s="2075"/>
      <c r="I10" s="2095">
        <f>ROUND(I9,2)</f>
        <v>-125</v>
      </c>
      <c r="J10" s="2096" t="s">
        <v>2806</v>
      </c>
      <c r="K10" s="2097"/>
      <c r="L10" s="2099"/>
      <c r="O10" s="2100"/>
      <c r="P10" s="2101"/>
      <c r="Q10" s="2101"/>
      <c r="R10" s="2101"/>
      <c r="S10" s="2102"/>
    </row>
    <row r="11" spans="1:22" ht="18" customHeight="1">
      <c r="B11" s="2073"/>
      <c r="C11" s="2103">
        <f>R9</f>
        <v>7.7100000000000002E-2</v>
      </c>
      <c r="D11" s="2912" t="s">
        <v>2807</v>
      </c>
      <c r="E11" s="2912"/>
      <c r="F11" s="2913"/>
      <c r="H11" s="2075"/>
      <c r="I11" s="2103">
        <f>C11</f>
        <v>7.7100000000000002E-2</v>
      </c>
      <c r="J11" s="2912" t="s">
        <v>2807</v>
      </c>
      <c r="K11" s="2912"/>
      <c r="L11" s="2914"/>
    </row>
    <row r="12" spans="1:22" ht="18" customHeight="1" thickBot="1">
      <c r="B12" s="2073"/>
      <c r="C12" s="2104">
        <f>C16+NPV(C11/C5,C17:C640)</f>
        <v>-36772.705206199142</v>
      </c>
      <c r="D12" s="2083" t="s">
        <v>2808</v>
      </c>
      <c r="E12" s="2083"/>
      <c r="F12" s="2105"/>
      <c r="H12" s="2075"/>
      <c r="I12" s="2104">
        <f>I16+NPV(I11/I5,I17:I640)</f>
        <v>-28875.03478273263</v>
      </c>
      <c r="J12" s="2083" t="s">
        <v>2808</v>
      </c>
      <c r="K12" s="2083"/>
      <c r="L12" s="2106"/>
      <c r="N12" s="2931" t="s">
        <v>2809</v>
      </c>
      <c r="O12" s="2932"/>
      <c r="P12" s="2932"/>
      <c r="Q12" s="2932"/>
      <c r="R12" s="2932"/>
      <c r="S12" s="2932"/>
      <c r="T12" s="2932"/>
      <c r="U12" s="2932"/>
      <c r="V12" s="2932"/>
    </row>
    <row r="13" spans="1:22" ht="24" customHeight="1" thickBot="1">
      <c r="B13" s="2073"/>
      <c r="C13" s="2107">
        <f>C3+C12</f>
        <v>13227.294793800858</v>
      </c>
      <c r="D13" s="2108" t="s">
        <v>1453</v>
      </c>
      <c r="E13" s="2109"/>
      <c r="F13" s="2105"/>
      <c r="H13" s="2075"/>
      <c r="I13" s="2110">
        <f>I3+I12</f>
        <v>21124.96521726737</v>
      </c>
      <c r="J13" s="2111" t="s">
        <v>1453</v>
      </c>
      <c r="K13" s="2112"/>
      <c r="L13" s="2106"/>
      <c r="N13" s="2931"/>
      <c r="O13" s="2932"/>
      <c r="P13" s="2932"/>
      <c r="Q13" s="2932"/>
      <c r="R13" s="2932"/>
      <c r="S13" s="2932"/>
      <c r="T13" s="2932"/>
      <c r="U13" s="2932"/>
      <c r="V13" s="2932"/>
    </row>
    <row r="14" spans="1:22" ht="13.15" customHeight="1">
      <c r="B14" s="2073"/>
      <c r="C14" s="2083"/>
      <c r="D14" s="2083"/>
      <c r="E14" s="2083"/>
      <c r="F14" s="2105"/>
      <c r="H14" s="2075"/>
      <c r="I14" s="2104"/>
      <c r="J14" s="2104"/>
      <c r="K14" s="2083"/>
      <c r="L14" s="2113"/>
      <c r="N14" s="2931"/>
      <c r="O14" s="2932"/>
      <c r="P14" s="2932"/>
      <c r="Q14" s="2932"/>
      <c r="R14" s="2932"/>
      <c r="S14" s="2932"/>
      <c r="T14" s="2932"/>
      <c r="U14" s="2932"/>
      <c r="V14" s="2932"/>
    </row>
    <row r="15" spans="1:22" ht="38.5" thickBot="1">
      <c r="A15" s="2114" t="s">
        <v>2810</v>
      </c>
      <c r="B15" s="2115" t="s">
        <v>2811</v>
      </c>
      <c r="C15" s="2116" t="s">
        <v>2812</v>
      </c>
      <c r="D15" s="2117" t="s">
        <v>2813</v>
      </c>
      <c r="E15" s="2116" t="s">
        <v>2814</v>
      </c>
      <c r="F15" s="2118"/>
      <c r="G15" s="2114" t="s">
        <v>2810</v>
      </c>
      <c r="H15" s="2119" t="s">
        <v>2811</v>
      </c>
      <c r="I15" s="2116" t="s">
        <v>2812</v>
      </c>
      <c r="J15" s="2117" t="s">
        <v>2813</v>
      </c>
      <c r="K15" s="2120"/>
      <c r="L15" s="2121"/>
      <c r="N15" s="2122" t="s">
        <v>2811</v>
      </c>
      <c r="O15" s="2122" t="s">
        <v>2815</v>
      </c>
      <c r="P15" s="2122" t="s">
        <v>2816</v>
      </c>
      <c r="Q15" s="2122" t="s">
        <v>2817</v>
      </c>
      <c r="R15" s="2122" t="s">
        <v>2818</v>
      </c>
      <c r="S15" s="2123" t="s">
        <v>2815</v>
      </c>
      <c r="T15" s="2123" t="s">
        <v>2819</v>
      </c>
      <c r="U15" s="2123" t="s">
        <v>2820</v>
      </c>
      <c r="V15" s="2123" t="s">
        <v>2811</v>
      </c>
    </row>
    <row r="16" spans="1:22" ht="15" thickBot="1">
      <c r="A16" s="2124">
        <v>1</v>
      </c>
      <c r="B16" s="2073">
        <v>0</v>
      </c>
      <c r="C16" s="2104"/>
      <c r="D16" s="2125">
        <f>J16</f>
        <v>0.03</v>
      </c>
      <c r="E16" s="2104">
        <f>C3</f>
        <v>50000</v>
      </c>
      <c r="F16" s="2126"/>
      <c r="G16" s="2127">
        <v>1</v>
      </c>
      <c r="H16" s="2075">
        <v>0</v>
      </c>
      <c r="I16" s="2104"/>
      <c r="J16" s="2125">
        <f>I8</f>
        <v>0.03</v>
      </c>
      <c r="K16" s="2128"/>
      <c r="L16" s="2129"/>
      <c r="N16" s="2071">
        <f>H16</f>
        <v>0</v>
      </c>
      <c r="O16" s="2130">
        <v>0</v>
      </c>
      <c r="P16" s="2131"/>
      <c r="Q16" s="2132">
        <f>NPV(C11/C5,Q17:Q640)</f>
        <v>13227.294793800927</v>
      </c>
      <c r="R16" s="2131">
        <f>C3</f>
        <v>50000</v>
      </c>
      <c r="S16" s="2130">
        <v>0</v>
      </c>
      <c r="T16" s="2131"/>
      <c r="U16" s="2133">
        <f>NPV(I11/I5,U17:U640)</f>
        <v>21124.965217267891</v>
      </c>
      <c r="V16" s="2071">
        <f>P16</f>
        <v>0</v>
      </c>
    </row>
    <row r="17" spans="1:22" ht="14.5">
      <c r="A17" s="2124">
        <f t="shared" ref="A17" si="0">ROUND(A16+IF(D17&lt;&gt;D16,1,0),0)</f>
        <v>1</v>
      </c>
      <c r="B17" s="2073">
        <v>1</v>
      </c>
      <c r="C17" s="2104">
        <f>IF(B17&gt;IF(N(C$7)=0,C$4*C$5,C$7),0,IF(B17=IF(N(C$7)=0,C$4*C$5,C$7),-E16*(1+D16/C$5),C$10))</f>
        <v>-345.29</v>
      </c>
      <c r="D17" s="2125">
        <f t="shared" ref="D17:D80" si="1">D16</f>
        <v>0.03</v>
      </c>
      <c r="E17" s="2104">
        <f>E16*(1+D16/C$5)+C17</f>
        <v>49779.71</v>
      </c>
      <c r="F17" s="2126"/>
      <c r="G17" s="2127">
        <f t="shared" ref="G17" si="2">ROUND(G16+IF(J17&lt;&gt;J16,1,0),0)</f>
        <v>1</v>
      </c>
      <c r="H17" s="2075">
        <v>1</v>
      </c>
      <c r="I17" s="2104">
        <f>IF(I$4*I$5=H17,-I$3*(1+J16/I$5),IF(I$4*I$5&lt;H17,0,-I$3*J16/I$5))</f>
        <v>-125</v>
      </c>
      <c r="J17" s="2125">
        <f>J16</f>
        <v>0.03</v>
      </c>
      <c r="K17" s="2128"/>
      <c r="L17" s="2129"/>
      <c r="N17" s="2071">
        <f>B17</f>
        <v>1</v>
      </c>
      <c r="O17" s="2130">
        <f>IF(D16=D17,O16+0.00001,ROUNDDOWN(MAX($O$16:$O16),0)+1)</f>
        <v>1.0000000000000001E-5</v>
      </c>
      <c r="P17" s="2131">
        <f t="shared" ref="P17:P80" si="3">IF($B17&gt;IF(N($C$7)=0,$C$4*$C$5,$C$7),0,IF(B17=IF(N($C$7)=0,$C$4*$C$5,$C$7),-$R16*(1+$C$11/$C$5),ROUND(PMT($C$11/$C$5,$C$4*$C$5,$C$3),2)))</f>
        <v>-469.49</v>
      </c>
      <c r="Q17" s="2131">
        <f t="shared" ref="Q17:Q80" si="4">C17-P17</f>
        <v>124.19999999999999</v>
      </c>
      <c r="R17" s="2131">
        <f t="shared" ref="R17:R80" si="5">R16*(1+$C$11/$C$5)+P17</f>
        <v>49851.759999999995</v>
      </c>
      <c r="S17" s="2130">
        <f>IF(J16=J17,S16+0.00001,ROUNDDOWN(MAX($S$16:$S16),0)+1)</f>
        <v>1.0000000000000001E-5</v>
      </c>
      <c r="T17" s="2131">
        <f t="shared" ref="T17:T80" si="6">IF(I$4*I$5=H17,-I$3*(1+$I$11/I$5),IF(I$4*I$5&lt;H17,0,-I$3*$I$11/I$5))</f>
        <v>-321.25</v>
      </c>
      <c r="U17" s="2131">
        <f t="shared" ref="U17:U80" si="7">I17-T17</f>
        <v>196.25</v>
      </c>
      <c r="V17" s="2071">
        <f>H17</f>
        <v>1</v>
      </c>
    </row>
    <row r="18" spans="1:22" ht="14.5">
      <c r="A18" s="2124">
        <f>ROUND(A17+IF(D18&lt;&gt;D17,1,0),0)</f>
        <v>1</v>
      </c>
      <c r="B18" s="2073">
        <v>2</v>
      </c>
      <c r="C18" s="2104">
        <f>IF(B18&gt;IF(N(C$7)=0,C$4*C$5,C$7),0,IF(B18=IF(N(C$7)=0,C$4*C$5,C$7),-E17*(1+D17/C$5),IF(D17=D16,C17,ROUND(PMT(D17/C$5,C$4*C$5-B17,E17),2))))</f>
        <v>-345.29</v>
      </c>
      <c r="D18" s="2125">
        <f t="shared" si="1"/>
        <v>0.03</v>
      </c>
      <c r="E18" s="2104">
        <f t="shared" ref="E18:E81" si="8">E17*(1+D17/C$5)+C18</f>
        <v>49558.869274999997</v>
      </c>
      <c r="F18" s="2126"/>
      <c r="G18" s="2127">
        <f>ROUND(G17+IF(J18&lt;&gt;J17,1,0),0)</f>
        <v>1</v>
      </c>
      <c r="H18" s="2075">
        <v>2</v>
      </c>
      <c r="I18" s="2104">
        <f t="shared" ref="I18:I81" si="9">IF(I$4*I$5=H18,-I$3*(1+J17/I$5),IF(I$4*I$5&lt;H18,0,-I$3*J17/I$5))</f>
        <v>-125</v>
      </c>
      <c r="J18" s="2125">
        <f t="shared" ref="J18:J81" si="10">J17</f>
        <v>0.03</v>
      </c>
      <c r="K18" s="2128"/>
      <c r="L18" s="2129"/>
      <c r="N18" s="2071">
        <f t="shared" ref="N18:N81" si="11">B18</f>
        <v>2</v>
      </c>
      <c r="O18" s="2130">
        <f>IF(D17=D18,O17+0.00001,ROUNDDOWN(MAX($O$16:$O17),0)+1)</f>
        <v>2.0000000000000002E-5</v>
      </c>
      <c r="P18" s="2131">
        <f t="shared" si="3"/>
        <v>-469.49</v>
      </c>
      <c r="Q18" s="2131">
        <f t="shared" si="4"/>
        <v>124.19999999999999</v>
      </c>
      <c r="R18" s="2131">
        <f t="shared" si="5"/>
        <v>49702.567557999995</v>
      </c>
      <c r="S18" s="2130">
        <f>IF(J17=J18,S17+0.00001,ROUNDDOWN(MAX($S$16:$S17),0)+1)</f>
        <v>2.0000000000000002E-5</v>
      </c>
      <c r="T18" s="2131">
        <f t="shared" si="6"/>
        <v>-321.25</v>
      </c>
      <c r="U18" s="2131">
        <f t="shared" si="7"/>
        <v>196.25</v>
      </c>
      <c r="V18" s="2071">
        <f t="shared" ref="V18:V81" si="12">H18</f>
        <v>2</v>
      </c>
    </row>
    <row r="19" spans="1:22" ht="14.5">
      <c r="A19" s="2124">
        <f t="shared" ref="A19:A82" si="13">ROUND(A18+IF(D19&lt;&gt;D18,1,0),0)</f>
        <v>1</v>
      </c>
      <c r="B19" s="2073">
        <v>3</v>
      </c>
      <c r="C19" s="2104">
        <f t="shared" ref="C19:C82" si="14">IF(B19&gt;IF(N(C$7)=0,C$4*C$5,C$7),0,IF(B19=IF(N(C$7)=0,C$4*C$5,C$7),-E18*(1+D18/C$5),IF(D18=D17,C18,ROUND(PMT(D18/C$5,C$4*C$5-B18,E18),2))))</f>
        <v>-345.29</v>
      </c>
      <c r="D19" s="2125">
        <f t="shared" si="1"/>
        <v>0.03</v>
      </c>
      <c r="E19" s="2104">
        <f t="shared" si="8"/>
        <v>49337.476448187495</v>
      </c>
      <c r="F19" s="2126"/>
      <c r="G19" s="2127">
        <f t="shared" ref="G19:G82" si="15">ROUND(G18+IF(J19&lt;&gt;J18,1,0),0)</f>
        <v>1</v>
      </c>
      <c r="H19" s="2075">
        <v>3</v>
      </c>
      <c r="I19" s="2104">
        <f t="shared" si="9"/>
        <v>-125</v>
      </c>
      <c r="J19" s="2125">
        <f t="shared" si="10"/>
        <v>0.03</v>
      </c>
      <c r="K19" s="2128"/>
      <c r="L19" s="2129"/>
      <c r="N19" s="2071">
        <f t="shared" si="11"/>
        <v>3</v>
      </c>
      <c r="O19" s="2130">
        <f>IF(D18=D19,O18+0.00001,ROUNDDOWN(MAX($O$16:$O18),0)+1)</f>
        <v>3.0000000000000004E-5</v>
      </c>
      <c r="P19" s="2131">
        <f t="shared" si="3"/>
        <v>-469.49</v>
      </c>
      <c r="Q19" s="2131">
        <f t="shared" si="4"/>
        <v>124.19999999999999</v>
      </c>
      <c r="R19" s="2131">
        <f t="shared" si="5"/>
        <v>49552.416554560143</v>
      </c>
      <c r="S19" s="2130">
        <f>IF(J18=J19,S18+0.00001,ROUNDDOWN(MAX($S$16:$S18),0)+1)</f>
        <v>3.0000000000000004E-5</v>
      </c>
      <c r="T19" s="2131">
        <f t="shared" si="6"/>
        <v>-321.25</v>
      </c>
      <c r="U19" s="2131">
        <f t="shared" si="7"/>
        <v>196.25</v>
      </c>
      <c r="V19" s="2071">
        <f t="shared" si="12"/>
        <v>3</v>
      </c>
    </row>
    <row r="20" spans="1:22" ht="14.5">
      <c r="A20" s="2124">
        <f t="shared" si="13"/>
        <v>1</v>
      </c>
      <c r="B20" s="2073">
        <v>4</v>
      </c>
      <c r="C20" s="2104">
        <f t="shared" si="14"/>
        <v>-345.29</v>
      </c>
      <c r="D20" s="2125">
        <f t="shared" si="1"/>
        <v>0.03</v>
      </c>
      <c r="E20" s="2104">
        <f t="shared" si="8"/>
        <v>49115.530139307957</v>
      </c>
      <c r="F20" s="2126"/>
      <c r="G20" s="2127">
        <f t="shared" si="15"/>
        <v>1</v>
      </c>
      <c r="H20" s="2075">
        <v>4</v>
      </c>
      <c r="I20" s="2104">
        <f t="shared" si="9"/>
        <v>-125</v>
      </c>
      <c r="J20" s="2125">
        <f t="shared" si="10"/>
        <v>0.03</v>
      </c>
      <c r="K20" s="2128"/>
      <c r="L20" s="2129"/>
      <c r="N20" s="2071">
        <f t="shared" si="11"/>
        <v>4</v>
      </c>
      <c r="O20" s="2130">
        <f>IF(D19=D20,O19+0.00001,ROUNDDOWN(MAX($O$16:$O19),0)+1)</f>
        <v>4.0000000000000003E-5</v>
      </c>
      <c r="P20" s="2131">
        <f t="shared" si="3"/>
        <v>-469.49</v>
      </c>
      <c r="Q20" s="2131">
        <f t="shared" si="4"/>
        <v>124.19999999999999</v>
      </c>
      <c r="R20" s="2131">
        <f t="shared" si="5"/>
        <v>49401.300830923188</v>
      </c>
      <c r="S20" s="2130">
        <f>IF(J19=J20,S19+0.00001,ROUNDDOWN(MAX($S$16:$S19),0)+1)</f>
        <v>4.0000000000000003E-5</v>
      </c>
      <c r="T20" s="2131">
        <f t="shared" si="6"/>
        <v>-321.25</v>
      </c>
      <c r="U20" s="2131">
        <f t="shared" si="7"/>
        <v>196.25</v>
      </c>
      <c r="V20" s="2071">
        <f t="shared" si="12"/>
        <v>4</v>
      </c>
    </row>
    <row r="21" spans="1:22" ht="14.5">
      <c r="A21" s="2124">
        <f t="shared" si="13"/>
        <v>1</v>
      </c>
      <c r="B21" s="2073">
        <v>5</v>
      </c>
      <c r="C21" s="2104">
        <f t="shared" si="14"/>
        <v>-345.29</v>
      </c>
      <c r="D21" s="2125">
        <f t="shared" si="1"/>
        <v>0.03</v>
      </c>
      <c r="E21" s="2104">
        <f t="shared" si="8"/>
        <v>48893.028964656223</v>
      </c>
      <c r="F21" s="2126"/>
      <c r="G21" s="2127">
        <f t="shared" si="15"/>
        <v>1</v>
      </c>
      <c r="H21" s="2075">
        <v>5</v>
      </c>
      <c r="I21" s="2104">
        <f t="shared" si="9"/>
        <v>-125</v>
      </c>
      <c r="J21" s="2125">
        <f t="shared" si="10"/>
        <v>0.03</v>
      </c>
      <c r="K21" s="2128"/>
      <c r="L21" s="2129"/>
      <c r="N21" s="2071">
        <f t="shared" si="11"/>
        <v>5</v>
      </c>
      <c r="O21" s="2130">
        <f>IF(D20=D21,O20+0.00001,ROUNDDOWN(MAX($O$16:$O20),0)+1)</f>
        <v>5.0000000000000002E-5</v>
      </c>
      <c r="P21" s="2131">
        <f t="shared" si="3"/>
        <v>-469.49</v>
      </c>
      <c r="Q21" s="2131">
        <f t="shared" si="4"/>
        <v>124.19999999999999</v>
      </c>
      <c r="R21" s="2131">
        <f t="shared" si="5"/>
        <v>49249.214188761864</v>
      </c>
      <c r="S21" s="2130">
        <f>IF(J20=J21,S20+0.00001,ROUNDDOWN(MAX($S$16:$S20),0)+1)</f>
        <v>5.0000000000000002E-5</v>
      </c>
      <c r="T21" s="2131">
        <f t="shared" si="6"/>
        <v>-321.25</v>
      </c>
      <c r="U21" s="2131">
        <f t="shared" si="7"/>
        <v>196.25</v>
      </c>
      <c r="V21" s="2071">
        <f t="shared" si="12"/>
        <v>5</v>
      </c>
    </row>
    <row r="22" spans="1:22" ht="14.5">
      <c r="A22" s="2124">
        <f t="shared" si="13"/>
        <v>1</v>
      </c>
      <c r="B22" s="2073">
        <v>6</v>
      </c>
      <c r="C22" s="2104">
        <f t="shared" si="14"/>
        <v>-345.29</v>
      </c>
      <c r="D22" s="2125">
        <f t="shared" si="1"/>
        <v>0.03</v>
      </c>
      <c r="E22" s="2104">
        <f t="shared" si="8"/>
        <v>48669.97153706786</v>
      </c>
      <c r="F22" s="2126"/>
      <c r="G22" s="2127">
        <f t="shared" si="15"/>
        <v>1</v>
      </c>
      <c r="H22" s="2075">
        <v>6</v>
      </c>
      <c r="I22" s="2104">
        <f t="shared" si="9"/>
        <v>-125</v>
      </c>
      <c r="J22" s="2125">
        <f t="shared" si="10"/>
        <v>0.03</v>
      </c>
      <c r="K22" s="2128"/>
      <c r="L22" s="2129"/>
      <c r="N22" s="2071">
        <f t="shared" si="11"/>
        <v>6</v>
      </c>
      <c r="O22" s="2130">
        <f>IF(D21=D22,O21+0.00001,ROUNDDOWN(MAX($O$16:$O21),0)+1)</f>
        <v>6.0000000000000002E-5</v>
      </c>
      <c r="P22" s="2131">
        <f t="shared" si="3"/>
        <v>-469.49</v>
      </c>
      <c r="Q22" s="2131">
        <f t="shared" si="4"/>
        <v>124.19999999999999</v>
      </c>
      <c r="R22" s="2131">
        <f t="shared" si="5"/>
        <v>49096.150389924653</v>
      </c>
      <c r="S22" s="2130">
        <f>IF(J21=J22,S21+0.00001,ROUNDDOWN(MAX($S$16:$S21),0)+1)</f>
        <v>6.0000000000000002E-5</v>
      </c>
      <c r="T22" s="2131">
        <f t="shared" si="6"/>
        <v>-321.25</v>
      </c>
      <c r="U22" s="2131">
        <f t="shared" si="7"/>
        <v>196.25</v>
      </c>
      <c r="V22" s="2071">
        <f t="shared" si="12"/>
        <v>6</v>
      </c>
    </row>
    <row r="23" spans="1:22" ht="14.5">
      <c r="A23" s="2124">
        <f t="shared" si="13"/>
        <v>1</v>
      </c>
      <c r="B23" s="2073">
        <v>7</v>
      </c>
      <c r="C23" s="2104">
        <f t="shared" si="14"/>
        <v>-345.29</v>
      </c>
      <c r="D23" s="2125">
        <f t="shared" si="1"/>
        <v>0.03</v>
      </c>
      <c r="E23" s="2104">
        <f t="shared" si="8"/>
        <v>48446.356465910525</v>
      </c>
      <c r="F23" s="2126"/>
      <c r="G23" s="2127">
        <f t="shared" si="15"/>
        <v>1</v>
      </c>
      <c r="H23" s="2075">
        <v>7</v>
      </c>
      <c r="I23" s="2104">
        <f t="shared" si="9"/>
        <v>-125</v>
      </c>
      <c r="J23" s="2125">
        <f t="shared" si="10"/>
        <v>0.03</v>
      </c>
      <c r="K23" s="2128"/>
      <c r="L23" s="2129"/>
      <c r="N23" s="2071">
        <f t="shared" si="11"/>
        <v>7</v>
      </c>
      <c r="O23" s="2130">
        <f>IF(D22=D23,O22+0.00001,ROUNDDOWN(MAX($O$16:$O22),0)+1)</f>
        <v>7.0000000000000007E-5</v>
      </c>
      <c r="P23" s="2131">
        <f t="shared" si="3"/>
        <v>-469.49</v>
      </c>
      <c r="Q23" s="2131">
        <f t="shared" si="4"/>
        <v>124.19999999999999</v>
      </c>
      <c r="R23" s="2131">
        <f t="shared" si="5"/>
        <v>48942.103156179917</v>
      </c>
      <c r="S23" s="2130">
        <f>IF(J22=J23,S22+0.00001,ROUNDDOWN(MAX($S$16:$S22),0)+1)</f>
        <v>7.0000000000000007E-5</v>
      </c>
      <c r="T23" s="2131">
        <f t="shared" si="6"/>
        <v>-321.25</v>
      </c>
      <c r="U23" s="2131">
        <f t="shared" si="7"/>
        <v>196.25</v>
      </c>
      <c r="V23" s="2071">
        <f t="shared" si="12"/>
        <v>7</v>
      </c>
    </row>
    <row r="24" spans="1:22">
      <c r="A24" s="2124">
        <f t="shared" si="13"/>
        <v>1</v>
      </c>
      <c r="B24" s="2073">
        <v>8</v>
      </c>
      <c r="C24" s="2104">
        <f t="shared" si="14"/>
        <v>-345.29</v>
      </c>
      <c r="D24" s="2125">
        <f t="shared" si="1"/>
        <v>0.03</v>
      </c>
      <c r="E24" s="2104">
        <f t="shared" si="8"/>
        <v>48222.182357075297</v>
      </c>
      <c r="F24" s="2126"/>
      <c r="G24" s="2127">
        <f t="shared" si="15"/>
        <v>1</v>
      </c>
      <c r="H24" s="2075">
        <v>8</v>
      </c>
      <c r="I24" s="2104">
        <f t="shared" si="9"/>
        <v>-125</v>
      </c>
      <c r="J24" s="2125">
        <f t="shared" si="10"/>
        <v>0.03</v>
      </c>
      <c r="K24" s="2083"/>
      <c r="L24" s="2106"/>
      <c r="N24" s="2071">
        <f t="shared" si="11"/>
        <v>8</v>
      </c>
      <c r="O24" s="2130">
        <f>IF(D23=D24,O23+0.00001,ROUNDDOWN(MAX($O$16:$O23),0)+1)</f>
        <v>8.0000000000000007E-5</v>
      </c>
      <c r="P24" s="2131">
        <f t="shared" si="3"/>
        <v>-469.49</v>
      </c>
      <c r="Q24" s="2131">
        <f t="shared" si="4"/>
        <v>124.19999999999999</v>
      </c>
      <c r="R24" s="2131">
        <f t="shared" si="5"/>
        <v>48787.066168958372</v>
      </c>
      <c r="S24" s="2130">
        <f>IF(J23=J24,S23+0.00001,ROUNDDOWN(MAX($S$16:$S23),0)+1)</f>
        <v>8.0000000000000007E-5</v>
      </c>
      <c r="T24" s="2131">
        <f t="shared" si="6"/>
        <v>-321.25</v>
      </c>
      <c r="U24" s="2131">
        <f t="shared" si="7"/>
        <v>196.25</v>
      </c>
      <c r="V24" s="2071">
        <f t="shared" si="12"/>
        <v>8</v>
      </c>
    </row>
    <row r="25" spans="1:22">
      <c r="A25" s="2124">
        <f t="shared" si="13"/>
        <v>1</v>
      </c>
      <c r="B25" s="2073">
        <v>9</v>
      </c>
      <c r="C25" s="2104">
        <f t="shared" si="14"/>
        <v>-345.29</v>
      </c>
      <c r="D25" s="2125">
        <f t="shared" si="1"/>
        <v>0.03</v>
      </c>
      <c r="E25" s="2104">
        <f t="shared" si="8"/>
        <v>47997.447812967985</v>
      </c>
      <c r="F25" s="2126"/>
      <c r="G25" s="2127">
        <f t="shared" si="15"/>
        <v>1</v>
      </c>
      <c r="H25" s="2075">
        <v>9</v>
      </c>
      <c r="I25" s="2104">
        <f t="shared" si="9"/>
        <v>-125</v>
      </c>
      <c r="J25" s="2125">
        <f t="shared" si="10"/>
        <v>0.03</v>
      </c>
      <c r="K25" s="2134"/>
      <c r="L25" s="2106"/>
      <c r="N25" s="2071">
        <f t="shared" si="11"/>
        <v>9</v>
      </c>
      <c r="O25" s="2130">
        <f>IF(D24=D25,O24+0.00001,ROUNDDOWN(MAX($O$16:$O24),0)+1)</f>
        <v>9.0000000000000006E-5</v>
      </c>
      <c r="P25" s="2131">
        <f t="shared" si="3"/>
        <v>-469.49</v>
      </c>
      <c r="Q25" s="2131">
        <f t="shared" si="4"/>
        <v>124.19999999999999</v>
      </c>
      <c r="R25" s="2131">
        <f t="shared" si="5"/>
        <v>48631.03306909393</v>
      </c>
      <c r="S25" s="2130">
        <f>IF(J24=J25,S24+0.00001,ROUNDDOWN(MAX($S$16:$S24),0)+1)</f>
        <v>9.0000000000000006E-5</v>
      </c>
      <c r="T25" s="2131">
        <f t="shared" si="6"/>
        <v>-321.25</v>
      </c>
      <c r="U25" s="2131">
        <f t="shared" si="7"/>
        <v>196.25</v>
      </c>
      <c r="V25" s="2071">
        <f t="shared" si="12"/>
        <v>9</v>
      </c>
    </row>
    <row r="26" spans="1:22">
      <c r="A26" s="2124">
        <f t="shared" si="13"/>
        <v>1</v>
      </c>
      <c r="B26" s="2073">
        <v>10</v>
      </c>
      <c r="C26" s="2104">
        <f t="shared" si="14"/>
        <v>-345.29</v>
      </c>
      <c r="D26" s="2125">
        <f t="shared" si="1"/>
        <v>0.03</v>
      </c>
      <c r="E26" s="2104">
        <f t="shared" si="8"/>
        <v>47772.151432500403</v>
      </c>
      <c r="F26" s="2126"/>
      <c r="G26" s="2127">
        <f t="shared" si="15"/>
        <v>1</v>
      </c>
      <c r="H26" s="2075">
        <v>10</v>
      </c>
      <c r="I26" s="2104">
        <f t="shared" si="9"/>
        <v>-125</v>
      </c>
      <c r="J26" s="2125">
        <f t="shared" si="10"/>
        <v>0.03</v>
      </c>
      <c r="K26" s="2134"/>
      <c r="L26" s="2106"/>
      <c r="N26" s="2071">
        <f t="shared" si="11"/>
        <v>10</v>
      </c>
      <c r="O26" s="2130">
        <f>IF(D25=D26,O25+0.00001,ROUNDDOWN(MAX($O$16:$O25),0)+1)</f>
        <v>1E-4</v>
      </c>
      <c r="P26" s="2131">
        <f t="shared" si="3"/>
        <v>-469.49</v>
      </c>
      <c r="Q26" s="2131">
        <f t="shared" si="4"/>
        <v>124.19999999999999</v>
      </c>
      <c r="R26" s="2131">
        <f t="shared" si="5"/>
        <v>48473.997456562858</v>
      </c>
      <c r="S26" s="2130">
        <f>IF(J25=J26,S25+0.00001,ROUNDDOWN(MAX($S$16:$S25),0)+1)</f>
        <v>1E-4</v>
      </c>
      <c r="T26" s="2131">
        <f t="shared" si="6"/>
        <v>-321.25</v>
      </c>
      <c r="U26" s="2131">
        <f t="shared" si="7"/>
        <v>196.25</v>
      </c>
      <c r="V26" s="2071">
        <f t="shared" si="12"/>
        <v>10</v>
      </c>
    </row>
    <row r="27" spans="1:22">
      <c r="A27" s="2124">
        <f t="shared" si="13"/>
        <v>1</v>
      </c>
      <c r="B27" s="2073">
        <v>11</v>
      </c>
      <c r="C27" s="2104">
        <f t="shared" si="14"/>
        <v>-345.29</v>
      </c>
      <c r="D27" s="2125">
        <f t="shared" si="1"/>
        <v>0.03</v>
      </c>
      <c r="E27" s="2104">
        <f t="shared" si="8"/>
        <v>47546.291811081654</v>
      </c>
      <c r="F27" s="2126"/>
      <c r="G27" s="2127">
        <f t="shared" si="15"/>
        <v>1</v>
      </c>
      <c r="H27" s="2075">
        <v>11</v>
      </c>
      <c r="I27" s="2104">
        <f t="shared" si="9"/>
        <v>-125</v>
      </c>
      <c r="J27" s="2125">
        <f t="shared" si="10"/>
        <v>0.03</v>
      </c>
      <c r="K27" s="2134"/>
      <c r="L27" s="2106"/>
      <c r="N27" s="2071">
        <f t="shared" si="11"/>
        <v>11</v>
      </c>
      <c r="O27" s="2130">
        <f>IF(D26=D27,O26+0.00001,ROUNDDOWN(MAX($O$16:$O26),0)+1)</f>
        <v>1.1E-4</v>
      </c>
      <c r="P27" s="2131">
        <f t="shared" si="3"/>
        <v>-469.49</v>
      </c>
      <c r="Q27" s="2131">
        <f t="shared" si="4"/>
        <v>124.19999999999999</v>
      </c>
      <c r="R27" s="2131">
        <f t="shared" si="5"/>
        <v>48315.95289022127</v>
      </c>
      <c r="S27" s="2130">
        <f>IF(J26=J27,S26+0.00001,ROUNDDOWN(MAX($S$16:$S26),0)+1)</f>
        <v>1.1E-4</v>
      </c>
      <c r="T27" s="2131">
        <f t="shared" si="6"/>
        <v>-321.25</v>
      </c>
      <c r="U27" s="2131">
        <f t="shared" si="7"/>
        <v>196.25</v>
      </c>
      <c r="V27" s="2071">
        <f t="shared" si="12"/>
        <v>11</v>
      </c>
    </row>
    <row r="28" spans="1:22">
      <c r="A28" s="2124">
        <f t="shared" si="13"/>
        <v>1</v>
      </c>
      <c r="B28" s="2073">
        <v>12</v>
      </c>
      <c r="C28" s="2104">
        <f t="shared" si="14"/>
        <v>-345.29</v>
      </c>
      <c r="D28" s="2125">
        <f t="shared" si="1"/>
        <v>0.03</v>
      </c>
      <c r="E28" s="2104">
        <f t="shared" si="8"/>
        <v>47319.867540609353</v>
      </c>
      <c r="F28" s="2126"/>
      <c r="G28" s="2127">
        <f t="shared" si="15"/>
        <v>1</v>
      </c>
      <c r="H28" s="2075">
        <v>12</v>
      </c>
      <c r="I28" s="2104">
        <f t="shared" si="9"/>
        <v>-125</v>
      </c>
      <c r="J28" s="2125">
        <f t="shared" si="10"/>
        <v>0.03</v>
      </c>
      <c r="K28" s="2083"/>
      <c r="L28" s="2106"/>
      <c r="N28" s="2071">
        <f t="shared" si="11"/>
        <v>12</v>
      </c>
      <c r="O28" s="2130">
        <f>IF(D27=D28,O27+0.00001,ROUNDDOWN(MAX($O$16:$O27),0)+1)</f>
        <v>1.2E-4</v>
      </c>
      <c r="P28" s="2131">
        <f t="shared" si="3"/>
        <v>-469.49</v>
      </c>
      <c r="Q28" s="2131">
        <f t="shared" si="4"/>
        <v>124.19999999999999</v>
      </c>
      <c r="R28" s="2131">
        <f t="shared" si="5"/>
        <v>48156.89288754094</v>
      </c>
      <c r="S28" s="2130">
        <f>IF(J27=J28,S27+0.00001,ROUNDDOWN(MAX($S$16:$S27),0)+1)</f>
        <v>1.2E-4</v>
      </c>
      <c r="T28" s="2131">
        <f t="shared" si="6"/>
        <v>-321.25</v>
      </c>
      <c r="U28" s="2131">
        <f t="shared" si="7"/>
        <v>196.25</v>
      </c>
      <c r="V28" s="2071">
        <f t="shared" si="12"/>
        <v>12</v>
      </c>
    </row>
    <row r="29" spans="1:22">
      <c r="A29" s="2124">
        <f t="shared" si="13"/>
        <v>1</v>
      </c>
      <c r="B29" s="2073">
        <v>13</v>
      </c>
      <c r="C29" s="2104">
        <f t="shared" si="14"/>
        <v>-345.29</v>
      </c>
      <c r="D29" s="2125">
        <f t="shared" si="1"/>
        <v>0.03</v>
      </c>
      <c r="E29" s="2104">
        <f t="shared" si="8"/>
        <v>47092.877209460872</v>
      </c>
      <c r="F29" s="2126"/>
      <c r="G29" s="2127">
        <f t="shared" si="15"/>
        <v>1</v>
      </c>
      <c r="H29" s="2075">
        <v>13</v>
      </c>
      <c r="I29" s="2104">
        <f t="shared" si="9"/>
        <v>-125</v>
      </c>
      <c r="J29" s="2125">
        <f t="shared" si="10"/>
        <v>0.03</v>
      </c>
      <c r="K29" s="2083"/>
      <c r="L29" s="2106"/>
      <c r="N29" s="2071">
        <f t="shared" si="11"/>
        <v>13</v>
      </c>
      <c r="O29" s="2130">
        <f>IF(D28=D29,O28+0.00001,ROUNDDOWN(MAX($O$16:$O28),0)+1)</f>
        <v>1.3000000000000002E-4</v>
      </c>
      <c r="P29" s="2131">
        <f t="shared" si="3"/>
        <v>-469.49</v>
      </c>
      <c r="Q29" s="2131">
        <f t="shared" si="4"/>
        <v>124.19999999999999</v>
      </c>
      <c r="R29" s="2131">
        <f t="shared" si="5"/>
        <v>47996.810924343386</v>
      </c>
      <c r="S29" s="2130">
        <f>IF(J28=J29,S28+0.00001,ROUNDDOWN(MAX($S$16:$S28),0)+1)</f>
        <v>1.3000000000000002E-4</v>
      </c>
      <c r="T29" s="2131">
        <f t="shared" si="6"/>
        <v>-321.25</v>
      </c>
      <c r="U29" s="2131">
        <f t="shared" si="7"/>
        <v>196.25</v>
      </c>
      <c r="V29" s="2071">
        <f t="shared" si="12"/>
        <v>13</v>
      </c>
    </row>
    <row r="30" spans="1:22">
      <c r="A30" s="2124">
        <f t="shared" si="13"/>
        <v>1</v>
      </c>
      <c r="B30" s="2073">
        <v>14</v>
      </c>
      <c r="C30" s="2104">
        <f>IF(B30&gt;IF(N(C$7)=0,C$4*C$5,C$7),0,IF(B30=IF(N(C$7)=0,C$4*C$5,C$7),-E29*(1+D29/C$5),IF(D29=D28,C29,ROUND(PMT(D29/C$5,C$4*C$5-B29,E29),2))))</f>
        <v>-345.29</v>
      </c>
      <c r="D30" s="2125">
        <f t="shared" si="1"/>
        <v>0.03</v>
      </c>
      <c r="E30" s="2104">
        <f>E29*(1+D29/C$5)+C30</f>
        <v>46865.319402484522</v>
      </c>
      <c r="F30" s="2126"/>
      <c r="G30" s="2127">
        <f t="shared" si="15"/>
        <v>1</v>
      </c>
      <c r="H30" s="2075">
        <v>14</v>
      </c>
      <c r="I30" s="2104">
        <f>IF(I$4*I$5=H30,-I$3*(1+J29/I$5),IF(I$4*I$5&lt;H30,0,-I$3*J29/I$5))</f>
        <v>-125</v>
      </c>
      <c r="J30" s="2125">
        <f t="shared" si="10"/>
        <v>0.03</v>
      </c>
      <c r="K30" s="2083"/>
      <c r="L30" s="2106"/>
      <c r="N30" s="2071">
        <f t="shared" si="11"/>
        <v>14</v>
      </c>
      <c r="O30" s="2130">
        <f>IF(D29=D30,O29+0.00001,ROUNDDOWN(MAX($O$16:$O29),0)+1)</f>
        <v>1.4000000000000001E-4</v>
      </c>
      <c r="P30" s="2131">
        <f t="shared" si="3"/>
        <v>-469.49</v>
      </c>
      <c r="Q30" s="2131">
        <f t="shared" si="4"/>
        <v>124.19999999999999</v>
      </c>
      <c r="R30" s="2131">
        <f t="shared" si="5"/>
        <v>47835.700434532293</v>
      </c>
      <c r="S30" s="2130">
        <f>IF(J29=J30,S29+0.00001,ROUNDDOWN(MAX($S$16:$S29),0)+1)</f>
        <v>1.4000000000000001E-4</v>
      </c>
      <c r="T30" s="2131">
        <f t="shared" si="6"/>
        <v>-321.25</v>
      </c>
      <c r="U30" s="2131">
        <f t="shared" si="7"/>
        <v>196.25</v>
      </c>
      <c r="V30" s="2071">
        <f t="shared" si="12"/>
        <v>14</v>
      </c>
    </row>
    <row r="31" spans="1:22">
      <c r="A31" s="2124">
        <f t="shared" si="13"/>
        <v>1</v>
      </c>
      <c r="B31" s="2073">
        <v>15</v>
      </c>
      <c r="C31" s="2104">
        <f>IF(B31&gt;IF(N(C$7)=0,C$4*C$5,C$7),0,IF(B31=IF(N(C$7)=0,C$4*C$5,C$7),-E30*(1+D30/C$5),IF(D30=D29,C30,ROUND(PMT(D30/C$5,C$4*C$5-B30,E30),2))))</f>
        <v>-345.29</v>
      </c>
      <c r="D31" s="2125">
        <f t="shared" si="1"/>
        <v>0.03</v>
      </c>
      <c r="E31" s="2104">
        <f t="shared" si="8"/>
        <v>46637.19270099073</v>
      </c>
      <c r="F31" s="2126"/>
      <c r="G31" s="2127">
        <f t="shared" si="15"/>
        <v>1</v>
      </c>
      <c r="H31" s="2075">
        <v>15</v>
      </c>
      <c r="I31" s="2104">
        <f t="shared" si="9"/>
        <v>-125</v>
      </c>
      <c r="J31" s="2125">
        <f t="shared" si="10"/>
        <v>0.03</v>
      </c>
      <c r="K31" s="2083"/>
      <c r="L31" s="2106"/>
      <c r="N31" s="2071">
        <f t="shared" si="11"/>
        <v>15</v>
      </c>
      <c r="O31" s="2130">
        <f>IF(D30=D31,O30+0.00001,ROUNDDOWN(MAX($O$16:$O30),0)+1)</f>
        <v>1.5000000000000001E-4</v>
      </c>
      <c r="P31" s="2131">
        <f t="shared" si="3"/>
        <v>-469.49</v>
      </c>
      <c r="Q31" s="2131">
        <f t="shared" si="4"/>
        <v>124.19999999999999</v>
      </c>
      <c r="R31" s="2131">
        <f t="shared" si="5"/>
        <v>47673.554809824163</v>
      </c>
      <c r="S31" s="2130">
        <f>IF(J30=J31,S30+0.00001,ROUNDDOWN(MAX($S$16:$S30),0)+1)</f>
        <v>1.5000000000000001E-4</v>
      </c>
      <c r="T31" s="2131">
        <f t="shared" si="6"/>
        <v>-321.25</v>
      </c>
      <c r="U31" s="2131">
        <f t="shared" si="7"/>
        <v>196.25</v>
      </c>
      <c r="V31" s="2071">
        <f t="shared" si="12"/>
        <v>15</v>
      </c>
    </row>
    <row r="32" spans="1:22">
      <c r="A32" s="2124">
        <f t="shared" si="13"/>
        <v>1</v>
      </c>
      <c r="B32" s="2073">
        <v>16</v>
      </c>
      <c r="C32" s="2104">
        <f t="shared" si="14"/>
        <v>-345.29</v>
      </c>
      <c r="D32" s="2125">
        <f t="shared" si="1"/>
        <v>0.03</v>
      </c>
      <c r="E32" s="2104">
        <f t="shared" si="8"/>
        <v>46408.495682743203</v>
      </c>
      <c r="F32" s="2126"/>
      <c r="G32" s="2127">
        <f t="shared" si="15"/>
        <v>1</v>
      </c>
      <c r="H32" s="2075">
        <v>16</v>
      </c>
      <c r="I32" s="2104">
        <f t="shared" si="9"/>
        <v>-125</v>
      </c>
      <c r="J32" s="2125">
        <f t="shared" si="10"/>
        <v>0.03</v>
      </c>
      <c r="K32" s="2083"/>
      <c r="L32" s="2106"/>
      <c r="N32" s="2071">
        <f t="shared" si="11"/>
        <v>16</v>
      </c>
      <c r="O32" s="2130">
        <f>IF(D31=D32,O31+0.00001,ROUNDDOWN(MAX($O$16:$O31),0)+1)</f>
        <v>1.6000000000000001E-4</v>
      </c>
      <c r="P32" s="2131">
        <f t="shared" si="3"/>
        <v>-469.49</v>
      </c>
      <c r="Q32" s="2131">
        <f t="shared" si="4"/>
        <v>124.19999999999999</v>
      </c>
      <c r="R32" s="2131">
        <f t="shared" si="5"/>
        <v>47510.367399477283</v>
      </c>
      <c r="S32" s="2130">
        <f>IF(J31=J32,S31+0.00001,ROUNDDOWN(MAX($S$16:$S31),0)+1)</f>
        <v>1.6000000000000001E-4</v>
      </c>
      <c r="T32" s="2131">
        <f t="shared" si="6"/>
        <v>-321.25</v>
      </c>
      <c r="U32" s="2131">
        <f t="shared" si="7"/>
        <v>196.25</v>
      </c>
      <c r="V32" s="2071">
        <f t="shared" si="12"/>
        <v>16</v>
      </c>
    </row>
    <row r="33" spans="1:22">
      <c r="A33" s="2124">
        <f t="shared" si="13"/>
        <v>1</v>
      </c>
      <c r="B33" s="2073">
        <v>17</v>
      </c>
      <c r="C33" s="2104">
        <f t="shared" si="14"/>
        <v>-345.29</v>
      </c>
      <c r="D33" s="2125">
        <f t="shared" si="1"/>
        <v>0.03</v>
      </c>
      <c r="E33" s="2104">
        <f t="shared" si="8"/>
        <v>46179.226921950059</v>
      </c>
      <c r="F33" s="2135"/>
      <c r="G33" s="2127">
        <f t="shared" si="15"/>
        <v>1</v>
      </c>
      <c r="H33" s="2075">
        <v>17</v>
      </c>
      <c r="I33" s="2104">
        <f t="shared" si="9"/>
        <v>-125</v>
      </c>
      <c r="J33" s="2125">
        <f t="shared" si="10"/>
        <v>0.03</v>
      </c>
      <c r="K33" s="2083"/>
      <c r="L33" s="2106"/>
      <c r="N33" s="2071">
        <f t="shared" si="11"/>
        <v>17</v>
      </c>
      <c r="O33" s="2130">
        <f>IF(D32=D33,O32+0.00001,ROUNDDOWN(MAX($O$16:$O32),0)+1)</f>
        <v>1.7000000000000001E-4</v>
      </c>
      <c r="P33" s="2131">
        <f t="shared" si="3"/>
        <v>-469.49</v>
      </c>
      <c r="Q33" s="2131">
        <f t="shared" si="4"/>
        <v>124.19999999999999</v>
      </c>
      <c r="R33" s="2131">
        <f t="shared" si="5"/>
        <v>47346.131510018924</v>
      </c>
      <c r="S33" s="2130">
        <f>IF(J32=J33,S32+0.00001,ROUNDDOWN(MAX($S$16:$S32),0)+1)</f>
        <v>1.7000000000000001E-4</v>
      </c>
      <c r="T33" s="2131">
        <f t="shared" si="6"/>
        <v>-321.25</v>
      </c>
      <c r="U33" s="2131">
        <f t="shared" si="7"/>
        <v>196.25</v>
      </c>
      <c r="V33" s="2071">
        <f t="shared" si="12"/>
        <v>17</v>
      </c>
    </row>
    <row r="34" spans="1:22">
      <c r="A34" s="2124">
        <f t="shared" si="13"/>
        <v>1</v>
      </c>
      <c r="B34" s="2073">
        <v>18</v>
      </c>
      <c r="C34" s="2104">
        <f t="shared" si="14"/>
        <v>-345.29</v>
      </c>
      <c r="D34" s="2125">
        <f t="shared" si="1"/>
        <v>0.03</v>
      </c>
      <c r="E34" s="2104">
        <f t="shared" si="8"/>
        <v>45949.384989254933</v>
      </c>
      <c r="F34" s="2135"/>
      <c r="G34" s="2127">
        <f t="shared" si="15"/>
        <v>1</v>
      </c>
      <c r="H34" s="2075">
        <v>18</v>
      </c>
      <c r="I34" s="2104">
        <f t="shared" si="9"/>
        <v>-125</v>
      </c>
      <c r="J34" s="2125">
        <f t="shared" si="10"/>
        <v>0.03</v>
      </c>
      <c r="K34" s="2083"/>
      <c r="L34" s="2106"/>
      <c r="N34" s="2071">
        <f t="shared" si="11"/>
        <v>18</v>
      </c>
      <c r="O34" s="2130">
        <f>IF(D33=D34,O33+0.00001,ROUNDDOWN(MAX($O$16:$O33),0)+1)</f>
        <v>1.8000000000000001E-4</v>
      </c>
      <c r="P34" s="2131">
        <f t="shared" si="3"/>
        <v>-469.49</v>
      </c>
      <c r="Q34" s="2131">
        <f t="shared" si="4"/>
        <v>124.19999999999999</v>
      </c>
      <c r="R34" s="2131">
        <f t="shared" si="5"/>
        <v>47180.84040497079</v>
      </c>
      <c r="S34" s="2130">
        <f>IF(J33=J34,S33+0.00001,ROUNDDOWN(MAX($S$16:$S33),0)+1)</f>
        <v>1.8000000000000001E-4</v>
      </c>
      <c r="T34" s="2131">
        <f t="shared" si="6"/>
        <v>-321.25</v>
      </c>
      <c r="U34" s="2131">
        <f t="shared" si="7"/>
        <v>196.25</v>
      </c>
      <c r="V34" s="2071">
        <f t="shared" si="12"/>
        <v>18</v>
      </c>
    </row>
    <row r="35" spans="1:22">
      <c r="A35" s="2124">
        <f t="shared" si="13"/>
        <v>1</v>
      </c>
      <c r="B35" s="2073">
        <v>19</v>
      </c>
      <c r="C35" s="2104">
        <f t="shared" si="14"/>
        <v>-345.29</v>
      </c>
      <c r="D35" s="2125">
        <f t="shared" si="1"/>
        <v>0.03</v>
      </c>
      <c r="E35" s="2104">
        <f t="shared" si="8"/>
        <v>45718.968451728069</v>
      </c>
      <c r="F35" s="2135"/>
      <c r="G35" s="2127">
        <f t="shared" si="15"/>
        <v>1</v>
      </c>
      <c r="H35" s="2075">
        <v>19</v>
      </c>
      <c r="I35" s="2104">
        <f t="shared" si="9"/>
        <v>-125</v>
      </c>
      <c r="J35" s="2125">
        <f t="shared" si="10"/>
        <v>0.03</v>
      </c>
      <c r="K35" s="2083"/>
      <c r="L35" s="2106"/>
      <c r="N35" s="2071">
        <f t="shared" si="11"/>
        <v>19</v>
      </c>
      <c r="O35" s="2130">
        <f>IF(D34=D35,O34+0.00001,ROUNDDOWN(MAX($O$16:$O34),0)+1)</f>
        <v>1.9000000000000001E-4</v>
      </c>
      <c r="P35" s="2131">
        <f t="shared" si="3"/>
        <v>-469.49</v>
      </c>
      <c r="Q35" s="2131">
        <f t="shared" si="4"/>
        <v>124.19999999999999</v>
      </c>
      <c r="R35" s="2131">
        <f t="shared" si="5"/>
        <v>47014.487304572722</v>
      </c>
      <c r="S35" s="2130">
        <f>IF(J34=J35,S34+0.00001,ROUNDDOWN(MAX($S$16:$S34),0)+1)</f>
        <v>1.9000000000000001E-4</v>
      </c>
      <c r="T35" s="2131">
        <f t="shared" si="6"/>
        <v>-321.25</v>
      </c>
      <c r="U35" s="2131">
        <f t="shared" si="7"/>
        <v>196.25</v>
      </c>
      <c r="V35" s="2071">
        <f t="shared" si="12"/>
        <v>19</v>
      </c>
    </row>
    <row r="36" spans="1:22">
      <c r="A36" s="2124">
        <f t="shared" si="13"/>
        <v>1</v>
      </c>
      <c r="B36" s="2073">
        <v>20</v>
      </c>
      <c r="C36" s="2104">
        <f t="shared" si="14"/>
        <v>-345.29</v>
      </c>
      <c r="D36" s="2125">
        <f t="shared" si="1"/>
        <v>0.03</v>
      </c>
      <c r="E36" s="2104">
        <f t="shared" si="8"/>
        <v>45487.975872857387</v>
      </c>
      <c r="F36" s="2135"/>
      <c r="G36" s="2127">
        <f t="shared" si="15"/>
        <v>1</v>
      </c>
      <c r="H36" s="2075">
        <v>20</v>
      </c>
      <c r="I36" s="2104">
        <f t="shared" si="9"/>
        <v>-125</v>
      </c>
      <c r="J36" s="2125">
        <f t="shared" si="10"/>
        <v>0.03</v>
      </c>
      <c r="K36" s="2083"/>
      <c r="L36" s="2106"/>
      <c r="N36" s="2071">
        <f t="shared" si="11"/>
        <v>20</v>
      </c>
      <c r="O36" s="2130">
        <f>IF(D35=D36,O35+0.00001,ROUNDDOWN(MAX($O$16:$O35),0)+1)</f>
        <v>2.0000000000000001E-4</v>
      </c>
      <c r="P36" s="2131">
        <f t="shared" si="3"/>
        <v>-469.49</v>
      </c>
      <c r="Q36" s="2131">
        <f t="shared" si="4"/>
        <v>124.19999999999999</v>
      </c>
      <c r="R36" s="2131">
        <f t="shared" si="5"/>
        <v>46847.065385504597</v>
      </c>
      <c r="S36" s="2130">
        <f>IF(J35=J36,S35+0.00001,ROUNDDOWN(MAX($S$16:$S35),0)+1)</f>
        <v>2.0000000000000001E-4</v>
      </c>
      <c r="T36" s="2131">
        <f t="shared" si="6"/>
        <v>-321.25</v>
      </c>
      <c r="U36" s="2131">
        <f t="shared" si="7"/>
        <v>196.25</v>
      </c>
      <c r="V36" s="2071">
        <f t="shared" si="12"/>
        <v>20</v>
      </c>
    </row>
    <row r="37" spans="1:22">
      <c r="A37" s="2124">
        <f t="shared" si="13"/>
        <v>1</v>
      </c>
      <c r="B37" s="2073">
        <v>21</v>
      </c>
      <c r="C37" s="2104">
        <f t="shared" si="14"/>
        <v>-345.29</v>
      </c>
      <c r="D37" s="2125">
        <f t="shared" si="1"/>
        <v>0.03</v>
      </c>
      <c r="E37" s="2104">
        <f t="shared" si="8"/>
        <v>45256.405812539524</v>
      </c>
      <c r="F37" s="2135"/>
      <c r="G37" s="2127">
        <f t="shared" si="15"/>
        <v>1</v>
      </c>
      <c r="H37" s="2075">
        <v>21</v>
      </c>
      <c r="I37" s="2104">
        <f t="shared" si="9"/>
        <v>-125</v>
      </c>
      <c r="J37" s="2125">
        <f t="shared" si="10"/>
        <v>0.03</v>
      </c>
      <c r="K37" s="2083"/>
      <c r="L37" s="2106"/>
      <c r="N37" s="2071">
        <f t="shared" si="11"/>
        <v>21</v>
      </c>
      <c r="O37" s="2130">
        <f>IF(D36=D37,O36+0.00001,ROUNDDOWN(MAX($O$16:$O36),0)+1)</f>
        <v>2.1000000000000001E-4</v>
      </c>
      <c r="P37" s="2131">
        <f t="shared" si="3"/>
        <v>-469.49</v>
      </c>
      <c r="Q37" s="2131">
        <f t="shared" si="4"/>
        <v>124.19999999999999</v>
      </c>
      <c r="R37" s="2131">
        <f t="shared" si="5"/>
        <v>46678.567780606463</v>
      </c>
      <c r="S37" s="2130">
        <f>IF(J36=J37,S36+0.00001,ROUNDDOWN(MAX($S$16:$S36),0)+1)</f>
        <v>2.1000000000000001E-4</v>
      </c>
      <c r="T37" s="2131">
        <f t="shared" si="6"/>
        <v>-321.25</v>
      </c>
      <c r="U37" s="2131">
        <f t="shared" si="7"/>
        <v>196.25</v>
      </c>
      <c r="V37" s="2071">
        <f t="shared" si="12"/>
        <v>21</v>
      </c>
    </row>
    <row r="38" spans="1:22">
      <c r="A38" s="2124">
        <f t="shared" si="13"/>
        <v>1</v>
      </c>
      <c r="B38" s="2073">
        <v>22</v>
      </c>
      <c r="C38" s="2104">
        <f t="shared" si="14"/>
        <v>-345.29</v>
      </c>
      <c r="D38" s="2125">
        <f t="shared" si="1"/>
        <v>0.03</v>
      </c>
      <c r="E38" s="2104">
        <f t="shared" si="8"/>
        <v>45024.256827070873</v>
      </c>
      <c r="F38" s="2135"/>
      <c r="G38" s="2127">
        <f t="shared" si="15"/>
        <v>1</v>
      </c>
      <c r="H38" s="2075">
        <v>22</v>
      </c>
      <c r="I38" s="2104">
        <f t="shared" si="9"/>
        <v>-125</v>
      </c>
      <c r="J38" s="2125">
        <f t="shared" si="10"/>
        <v>0.03</v>
      </c>
      <c r="K38" s="2083"/>
      <c r="L38" s="2106"/>
      <c r="N38" s="2071">
        <f t="shared" si="11"/>
        <v>22</v>
      </c>
      <c r="O38" s="2130">
        <f>IF(D37=D38,O37+0.00001,ROUNDDOWN(MAX($O$16:$O37),0)+1)</f>
        <v>2.2000000000000001E-4</v>
      </c>
      <c r="P38" s="2131">
        <f t="shared" si="3"/>
        <v>-469.49</v>
      </c>
      <c r="Q38" s="2131">
        <f t="shared" si="4"/>
        <v>124.19999999999999</v>
      </c>
      <c r="R38" s="2131">
        <f t="shared" si="5"/>
        <v>46508.987578596854</v>
      </c>
      <c r="S38" s="2130">
        <f>IF(J37=J38,S37+0.00001,ROUNDDOWN(MAX($S$16:$S37),0)+1)</f>
        <v>2.2000000000000001E-4</v>
      </c>
      <c r="T38" s="2131">
        <f t="shared" si="6"/>
        <v>-321.25</v>
      </c>
      <c r="U38" s="2131">
        <f t="shared" si="7"/>
        <v>196.25</v>
      </c>
      <c r="V38" s="2071">
        <f t="shared" si="12"/>
        <v>22</v>
      </c>
    </row>
    <row r="39" spans="1:22">
      <c r="A39" s="2124">
        <f t="shared" si="13"/>
        <v>1</v>
      </c>
      <c r="B39" s="2073">
        <v>23</v>
      </c>
      <c r="C39" s="2104">
        <f t="shared" si="14"/>
        <v>-345.29</v>
      </c>
      <c r="D39" s="2125">
        <f t="shared" si="1"/>
        <v>0.03</v>
      </c>
      <c r="E39" s="2104">
        <f t="shared" si="8"/>
        <v>44791.527469138549</v>
      </c>
      <c r="F39" s="2135"/>
      <c r="G39" s="2127">
        <f t="shared" si="15"/>
        <v>1</v>
      </c>
      <c r="H39" s="2075">
        <v>23</v>
      </c>
      <c r="I39" s="2104">
        <f t="shared" si="9"/>
        <v>-125</v>
      </c>
      <c r="J39" s="2125">
        <f t="shared" si="10"/>
        <v>0.03</v>
      </c>
      <c r="K39" s="2083"/>
      <c r="L39" s="2106"/>
      <c r="N39" s="2071">
        <f t="shared" si="11"/>
        <v>23</v>
      </c>
      <c r="O39" s="2130">
        <f>IF(D38=D39,O38+0.00001,ROUNDDOWN(MAX($O$16:$O38),0)+1)</f>
        <v>2.3000000000000001E-4</v>
      </c>
      <c r="P39" s="2131">
        <f t="shared" si="3"/>
        <v>-469.49</v>
      </c>
      <c r="Q39" s="2131">
        <f t="shared" si="4"/>
        <v>124.19999999999999</v>
      </c>
      <c r="R39" s="2131">
        <f t="shared" si="5"/>
        <v>46338.317823789337</v>
      </c>
      <c r="S39" s="2130">
        <f>IF(J38=J39,S38+0.00001,ROUNDDOWN(MAX($S$16:$S38),0)+1)</f>
        <v>2.3000000000000001E-4</v>
      </c>
      <c r="T39" s="2131">
        <f t="shared" si="6"/>
        <v>-321.25</v>
      </c>
      <c r="U39" s="2131">
        <f t="shared" si="7"/>
        <v>196.25</v>
      </c>
      <c r="V39" s="2071">
        <f t="shared" si="12"/>
        <v>23</v>
      </c>
    </row>
    <row r="40" spans="1:22">
      <c r="A40" s="2124">
        <f t="shared" si="13"/>
        <v>1</v>
      </c>
      <c r="B40" s="2073">
        <v>24</v>
      </c>
      <c r="C40" s="2104">
        <f t="shared" si="14"/>
        <v>-345.29</v>
      </c>
      <c r="D40" s="2125">
        <f t="shared" si="1"/>
        <v>0.03</v>
      </c>
      <c r="E40" s="2104">
        <f t="shared" si="8"/>
        <v>44558.216287811396</v>
      </c>
      <c r="F40" s="2135"/>
      <c r="G40" s="2127">
        <f t="shared" si="15"/>
        <v>1</v>
      </c>
      <c r="H40" s="2075">
        <v>24</v>
      </c>
      <c r="I40" s="2104">
        <f t="shared" si="9"/>
        <v>-125</v>
      </c>
      <c r="J40" s="2125">
        <f t="shared" si="10"/>
        <v>0.03</v>
      </c>
      <c r="K40" s="2083"/>
      <c r="L40" s="2106"/>
      <c r="N40" s="2071">
        <f t="shared" si="11"/>
        <v>24</v>
      </c>
      <c r="O40" s="2130">
        <f>IF(D39=D40,O39+0.00001,ROUNDDOWN(MAX($O$16:$O39),0)+1)</f>
        <v>2.4000000000000001E-4</v>
      </c>
      <c r="P40" s="2131">
        <f t="shared" si="3"/>
        <v>-469.49</v>
      </c>
      <c r="Q40" s="2131">
        <f t="shared" si="4"/>
        <v>124.19999999999999</v>
      </c>
      <c r="R40" s="2131">
        <f t="shared" si="5"/>
        <v>46166.551515807179</v>
      </c>
      <c r="S40" s="2130">
        <f>IF(J39=J40,S39+0.00001,ROUNDDOWN(MAX($S$16:$S39),0)+1)</f>
        <v>2.4000000000000001E-4</v>
      </c>
      <c r="T40" s="2131">
        <f t="shared" si="6"/>
        <v>-321.25</v>
      </c>
      <c r="U40" s="2131">
        <f t="shared" si="7"/>
        <v>196.25</v>
      </c>
      <c r="V40" s="2071">
        <f t="shared" si="12"/>
        <v>24</v>
      </c>
    </row>
    <row r="41" spans="1:22">
      <c r="A41" s="2124">
        <f t="shared" si="13"/>
        <v>1</v>
      </c>
      <c r="B41" s="2073">
        <v>25</v>
      </c>
      <c r="C41" s="2104">
        <f t="shared" si="14"/>
        <v>-345.29</v>
      </c>
      <c r="D41" s="2125">
        <f t="shared" si="1"/>
        <v>0.03</v>
      </c>
      <c r="E41" s="2104">
        <f t="shared" si="8"/>
        <v>44324.321828530919</v>
      </c>
      <c r="F41" s="2135"/>
      <c r="G41" s="2127">
        <f t="shared" si="15"/>
        <v>1</v>
      </c>
      <c r="H41" s="2075">
        <v>25</v>
      </c>
      <c r="I41" s="2104">
        <f t="shared" si="9"/>
        <v>-125</v>
      </c>
      <c r="J41" s="2125">
        <f t="shared" si="10"/>
        <v>0.03</v>
      </c>
      <c r="K41" s="2083"/>
      <c r="L41" s="2106"/>
      <c r="N41" s="2071">
        <f t="shared" si="11"/>
        <v>25</v>
      </c>
      <c r="O41" s="2130">
        <f>IF(D40=D41,O40+0.00001,ROUNDDOWN(MAX($O$16:$O40),0)+1)</f>
        <v>2.5000000000000001E-4</v>
      </c>
      <c r="P41" s="2131">
        <f t="shared" si="3"/>
        <v>-469.49</v>
      </c>
      <c r="Q41" s="2131">
        <f t="shared" si="4"/>
        <v>124.19999999999999</v>
      </c>
      <c r="R41" s="2131">
        <f t="shared" si="5"/>
        <v>45993.68160929624</v>
      </c>
      <c r="S41" s="2130">
        <f>IF(J40=J41,S40+0.00001,ROUNDDOWN(MAX($S$16:$S40),0)+1)</f>
        <v>2.5000000000000001E-4</v>
      </c>
      <c r="T41" s="2131">
        <f t="shared" si="6"/>
        <v>-321.25</v>
      </c>
      <c r="U41" s="2131">
        <f t="shared" si="7"/>
        <v>196.25</v>
      </c>
      <c r="V41" s="2071">
        <f t="shared" si="12"/>
        <v>25</v>
      </c>
    </row>
    <row r="42" spans="1:22">
      <c r="A42" s="2124">
        <f t="shared" si="13"/>
        <v>1</v>
      </c>
      <c r="B42" s="2073">
        <v>26</v>
      </c>
      <c r="C42" s="2104">
        <f t="shared" si="14"/>
        <v>-345.29</v>
      </c>
      <c r="D42" s="2125">
        <f t="shared" si="1"/>
        <v>0.03</v>
      </c>
      <c r="E42" s="2104">
        <f t="shared" si="8"/>
        <v>44089.842633102242</v>
      </c>
      <c r="F42" s="2135"/>
      <c r="G42" s="2127">
        <f t="shared" si="15"/>
        <v>1</v>
      </c>
      <c r="H42" s="2075">
        <v>26</v>
      </c>
      <c r="I42" s="2104">
        <f t="shared" si="9"/>
        <v>-125</v>
      </c>
      <c r="J42" s="2125">
        <f t="shared" si="10"/>
        <v>0.03</v>
      </c>
      <c r="K42" s="2083"/>
      <c r="L42" s="2106"/>
      <c r="N42" s="2071">
        <f t="shared" si="11"/>
        <v>26</v>
      </c>
      <c r="O42" s="2130">
        <f>IF(D41=D42,O41+0.00001,ROUNDDOWN(MAX($O$16:$O41),0)+1)</f>
        <v>2.6000000000000003E-4</v>
      </c>
      <c r="P42" s="2131">
        <f t="shared" si="3"/>
        <v>-469.49</v>
      </c>
      <c r="Q42" s="2131">
        <f t="shared" si="4"/>
        <v>124.19999999999999</v>
      </c>
      <c r="R42" s="2131">
        <f t="shared" si="5"/>
        <v>45819.701013635968</v>
      </c>
      <c r="S42" s="2130">
        <f>IF(J41=J42,S41+0.00001,ROUNDDOWN(MAX($S$16:$S41),0)+1)</f>
        <v>2.6000000000000003E-4</v>
      </c>
      <c r="T42" s="2131">
        <f t="shared" si="6"/>
        <v>-321.25</v>
      </c>
      <c r="U42" s="2131">
        <f t="shared" si="7"/>
        <v>196.25</v>
      </c>
      <c r="V42" s="2071">
        <f t="shared" si="12"/>
        <v>26</v>
      </c>
    </row>
    <row r="43" spans="1:22">
      <c r="A43" s="2124">
        <f t="shared" si="13"/>
        <v>1</v>
      </c>
      <c r="B43" s="2073">
        <v>27</v>
      </c>
      <c r="C43" s="2104">
        <f t="shared" si="14"/>
        <v>-345.29</v>
      </c>
      <c r="D43" s="2125">
        <f t="shared" si="1"/>
        <v>0.03</v>
      </c>
      <c r="E43" s="2104">
        <f t="shared" si="8"/>
        <v>43854.777239684998</v>
      </c>
      <c r="F43" s="2135"/>
      <c r="G43" s="2127">
        <f t="shared" si="15"/>
        <v>1</v>
      </c>
      <c r="H43" s="2075">
        <v>27</v>
      </c>
      <c r="I43" s="2104">
        <f t="shared" si="9"/>
        <v>-125</v>
      </c>
      <c r="J43" s="2125">
        <f t="shared" si="10"/>
        <v>0.03</v>
      </c>
      <c r="K43" s="2083"/>
      <c r="L43" s="2106"/>
      <c r="N43" s="2071">
        <f t="shared" si="11"/>
        <v>27</v>
      </c>
      <c r="O43" s="2130">
        <f>IF(D42=D43,O42+0.00001,ROUNDDOWN(MAX($O$16:$O42),0)+1)</f>
        <v>2.7000000000000006E-4</v>
      </c>
      <c r="P43" s="2131">
        <f t="shared" si="3"/>
        <v>-469.49</v>
      </c>
      <c r="Q43" s="2131">
        <f t="shared" si="4"/>
        <v>124.19999999999999</v>
      </c>
      <c r="R43" s="2131">
        <f t="shared" si="5"/>
        <v>45644.602592648575</v>
      </c>
      <c r="S43" s="2130">
        <f>IF(J42=J43,S42+0.00001,ROUNDDOWN(MAX($S$16:$S42),0)+1)</f>
        <v>2.7000000000000006E-4</v>
      </c>
      <c r="T43" s="2131">
        <f t="shared" si="6"/>
        <v>-321.25</v>
      </c>
      <c r="U43" s="2131">
        <f t="shared" si="7"/>
        <v>196.25</v>
      </c>
      <c r="V43" s="2071">
        <f t="shared" si="12"/>
        <v>27</v>
      </c>
    </row>
    <row r="44" spans="1:22">
      <c r="A44" s="2124">
        <f t="shared" si="13"/>
        <v>1</v>
      </c>
      <c r="B44" s="2073">
        <v>28</v>
      </c>
      <c r="C44" s="2104">
        <f t="shared" si="14"/>
        <v>-345.29</v>
      </c>
      <c r="D44" s="2125">
        <f t="shared" si="1"/>
        <v>0.03</v>
      </c>
      <c r="E44" s="2104">
        <f t="shared" si="8"/>
        <v>43619.12418278421</v>
      </c>
      <c r="F44" s="2135"/>
      <c r="G44" s="2127">
        <f t="shared" si="15"/>
        <v>1</v>
      </c>
      <c r="H44" s="2075">
        <v>28</v>
      </c>
      <c r="I44" s="2104">
        <f t="shared" si="9"/>
        <v>-125</v>
      </c>
      <c r="J44" s="2125">
        <f t="shared" si="10"/>
        <v>0.03</v>
      </c>
      <c r="K44" s="2083"/>
      <c r="L44" s="2106"/>
      <c r="N44" s="2071">
        <f t="shared" si="11"/>
        <v>28</v>
      </c>
      <c r="O44" s="2130">
        <f>IF(D43=D44,O43+0.00001,ROUNDDOWN(MAX($O$16:$O43),0)+1)</f>
        <v>2.8000000000000008E-4</v>
      </c>
      <c r="P44" s="2131">
        <f t="shared" si="3"/>
        <v>-469.49</v>
      </c>
      <c r="Q44" s="2131">
        <f t="shared" si="4"/>
        <v>124.19999999999999</v>
      </c>
      <c r="R44" s="2131">
        <f t="shared" si="5"/>
        <v>45468.379164306338</v>
      </c>
      <c r="S44" s="2130">
        <f>IF(J43=J44,S43+0.00001,ROUNDDOWN(MAX($S$16:$S43),0)+1)</f>
        <v>2.8000000000000008E-4</v>
      </c>
      <c r="T44" s="2131">
        <f t="shared" si="6"/>
        <v>-321.25</v>
      </c>
      <c r="U44" s="2131">
        <f t="shared" si="7"/>
        <v>196.25</v>
      </c>
      <c r="V44" s="2071">
        <f t="shared" si="12"/>
        <v>28</v>
      </c>
    </row>
    <row r="45" spans="1:22">
      <c r="A45" s="2124">
        <f t="shared" si="13"/>
        <v>1</v>
      </c>
      <c r="B45" s="2073">
        <v>29</v>
      </c>
      <c r="C45" s="2104">
        <f t="shared" si="14"/>
        <v>-345.29</v>
      </c>
      <c r="D45" s="2125">
        <f t="shared" si="1"/>
        <v>0.03</v>
      </c>
      <c r="E45" s="2104">
        <f t="shared" si="8"/>
        <v>43382.881993241164</v>
      </c>
      <c r="F45" s="2135"/>
      <c r="G45" s="2127">
        <f t="shared" si="15"/>
        <v>1</v>
      </c>
      <c r="H45" s="2075">
        <v>29</v>
      </c>
      <c r="I45" s="2104">
        <f t="shared" si="9"/>
        <v>-125</v>
      </c>
      <c r="J45" s="2125">
        <f t="shared" si="10"/>
        <v>0.03</v>
      </c>
      <c r="K45" s="2083"/>
      <c r="L45" s="2106"/>
      <c r="N45" s="2071">
        <f t="shared" si="11"/>
        <v>29</v>
      </c>
      <c r="O45" s="2130">
        <f>IF(D44=D45,O44+0.00001,ROUNDDOWN(MAX($O$16:$O44),0)+1)</f>
        <v>2.9000000000000011E-4</v>
      </c>
      <c r="P45" s="2131">
        <f t="shared" si="3"/>
        <v>-469.49</v>
      </c>
      <c r="Q45" s="2131">
        <f t="shared" si="4"/>
        <v>124.19999999999999</v>
      </c>
      <c r="R45" s="2131">
        <f t="shared" si="5"/>
        <v>45291.023500437004</v>
      </c>
      <c r="S45" s="2130">
        <f>IF(J44=J45,S44+0.00001,ROUNDDOWN(MAX($S$16:$S44),0)+1)</f>
        <v>2.9000000000000011E-4</v>
      </c>
      <c r="T45" s="2131">
        <f t="shared" si="6"/>
        <v>-321.25</v>
      </c>
      <c r="U45" s="2131">
        <f t="shared" si="7"/>
        <v>196.25</v>
      </c>
      <c r="V45" s="2071">
        <f t="shared" si="12"/>
        <v>29</v>
      </c>
    </row>
    <row r="46" spans="1:22">
      <c r="A46" s="2124">
        <f t="shared" si="13"/>
        <v>1</v>
      </c>
      <c r="B46" s="2073">
        <v>30</v>
      </c>
      <c r="C46" s="2104">
        <f t="shared" si="14"/>
        <v>-345.29</v>
      </c>
      <c r="D46" s="2125">
        <f t="shared" si="1"/>
        <v>0.03</v>
      </c>
      <c r="E46" s="2104">
        <f t="shared" si="8"/>
        <v>43146.049198224267</v>
      </c>
      <c r="F46" s="2135"/>
      <c r="G46" s="2127">
        <f t="shared" si="15"/>
        <v>1</v>
      </c>
      <c r="H46" s="2075">
        <v>30</v>
      </c>
      <c r="I46" s="2104">
        <f t="shared" si="9"/>
        <v>-125</v>
      </c>
      <c r="J46" s="2125">
        <f t="shared" si="10"/>
        <v>0.03</v>
      </c>
      <c r="K46" s="2083"/>
      <c r="L46" s="2106"/>
      <c r="N46" s="2071">
        <f t="shared" si="11"/>
        <v>30</v>
      </c>
      <c r="O46" s="2130">
        <f>IF(D45=D46,O45+0.00001,ROUNDDOWN(MAX($O$16:$O45),0)+1)</f>
        <v>3.0000000000000014E-4</v>
      </c>
      <c r="P46" s="2131">
        <f t="shared" si="3"/>
        <v>-469.49</v>
      </c>
      <c r="Q46" s="2131">
        <f t="shared" si="4"/>
        <v>124.19999999999999</v>
      </c>
      <c r="R46" s="2131">
        <f t="shared" si="5"/>
        <v>45112.528326427309</v>
      </c>
      <c r="S46" s="2130">
        <f>IF(J45=J46,S45+0.00001,ROUNDDOWN(MAX($S$16:$S45),0)+1)</f>
        <v>3.0000000000000014E-4</v>
      </c>
      <c r="T46" s="2131">
        <f t="shared" si="6"/>
        <v>-321.25</v>
      </c>
      <c r="U46" s="2131">
        <f t="shared" si="7"/>
        <v>196.25</v>
      </c>
      <c r="V46" s="2071">
        <f t="shared" si="12"/>
        <v>30</v>
      </c>
    </row>
    <row r="47" spans="1:22">
      <c r="A47" s="2124">
        <f t="shared" si="13"/>
        <v>1</v>
      </c>
      <c r="B47" s="2073">
        <v>31</v>
      </c>
      <c r="C47" s="2104">
        <f t="shared" si="14"/>
        <v>-345.29</v>
      </c>
      <c r="D47" s="2125">
        <f t="shared" si="1"/>
        <v>0.03</v>
      </c>
      <c r="E47" s="2104">
        <f t="shared" si="8"/>
        <v>42908.624321219824</v>
      </c>
      <c r="F47" s="2135"/>
      <c r="G47" s="2127">
        <f t="shared" si="15"/>
        <v>1</v>
      </c>
      <c r="H47" s="2075">
        <v>31</v>
      </c>
      <c r="I47" s="2104">
        <f t="shared" si="9"/>
        <v>-125</v>
      </c>
      <c r="J47" s="2125">
        <f t="shared" si="10"/>
        <v>0.03</v>
      </c>
      <c r="K47" s="2083"/>
      <c r="L47" s="2106"/>
      <c r="N47" s="2071">
        <f t="shared" si="11"/>
        <v>31</v>
      </c>
      <c r="O47" s="2130">
        <f>IF(D46=D47,O46+0.00001,ROUNDDOWN(MAX($O$16:$O46),0)+1)</f>
        <v>3.1000000000000016E-4</v>
      </c>
      <c r="P47" s="2131">
        <f t="shared" si="3"/>
        <v>-469.49</v>
      </c>
      <c r="Q47" s="2131">
        <f t="shared" si="4"/>
        <v>124.19999999999999</v>
      </c>
      <c r="R47" s="2131">
        <f t="shared" si="5"/>
        <v>44932.886320924605</v>
      </c>
      <c r="S47" s="2130">
        <f>IF(J46=J47,S46+0.00001,ROUNDDOWN(MAX($S$16:$S46),0)+1)</f>
        <v>3.1000000000000016E-4</v>
      </c>
      <c r="T47" s="2131">
        <f t="shared" si="6"/>
        <v>-321.25</v>
      </c>
      <c r="U47" s="2131">
        <f t="shared" si="7"/>
        <v>196.25</v>
      </c>
      <c r="V47" s="2071">
        <f t="shared" si="12"/>
        <v>31</v>
      </c>
    </row>
    <row r="48" spans="1:22">
      <c r="A48" s="2124">
        <f t="shared" si="13"/>
        <v>1</v>
      </c>
      <c r="B48" s="2073">
        <v>32</v>
      </c>
      <c r="C48" s="2104">
        <f t="shared" si="14"/>
        <v>-345.29</v>
      </c>
      <c r="D48" s="2125">
        <f t="shared" si="1"/>
        <v>0.03</v>
      </c>
      <c r="E48" s="2104">
        <f t="shared" si="8"/>
        <v>42670.605882022872</v>
      </c>
      <c r="F48" s="2135"/>
      <c r="G48" s="2127">
        <f t="shared" si="15"/>
        <v>1</v>
      </c>
      <c r="H48" s="2075">
        <v>32</v>
      </c>
      <c r="I48" s="2104">
        <f t="shared" si="9"/>
        <v>-125</v>
      </c>
      <c r="J48" s="2125">
        <f t="shared" si="10"/>
        <v>0.03</v>
      </c>
      <c r="K48" s="2083"/>
      <c r="L48" s="2106"/>
      <c r="N48" s="2071">
        <f t="shared" si="11"/>
        <v>32</v>
      </c>
      <c r="O48" s="2130">
        <f>IF(D47=D48,O47+0.00001,ROUNDDOWN(MAX($O$16:$O47),0)+1)</f>
        <v>3.2000000000000019E-4</v>
      </c>
      <c r="P48" s="2131">
        <f t="shared" si="3"/>
        <v>-469.49</v>
      </c>
      <c r="Q48" s="2131">
        <f t="shared" si="4"/>
        <v>124.19999999999999</v>
      </c>
      <c r="R48" s="2131">
        <f t="shared" si="5"/>
        <v>44752.090115536543</v>
      </c>
      <c r="S48" s="2130">
        <f>IF(J47=J48,S47+0.00001,ROUNDDOWN(MAX($S$16:$S47),0)+1)</f>
        <v>3.2000000000000019E-4</v>
      </c>
      <c r="T48" s="2131">
        <f t="shared" si="6"/>
        <v>-321.25</v>
      </c>
      <c r="U48" s="2131">
        <f t="shared" si="7"/>
        <v>196.25</v>
      </c>
      <c r="V48" s="2071">
        <f t="shared" si="12"/>
        <v>32</v>
      </c>
    </row>
    <row r="49" spans="1:22">
      <c r="A49" s="2124">
        <f t="shared" si="13"/>
        <v>1</v>
      </c>
      <c r="B49" s="2073">
        <v>33</v>
      </c>
      <c r="C49" s="2104">
        <f t="shared" si="14"/>
        <v>-345.29</v>
      </c>
      <c r="D49" s="2125">
        <f t="shared" si="1"/>
        <v>0.03</v>
      </c>
      <c r="E49" s="2104">
        <f t="shared" si="8"/>
        <v>42431.992396727925</v>
      </c>
      <c r="F49" s="2135"/>
      <c r="G49" s="2127">
        <f t="shared" si="15"/>
        <v>1</v>
      </c>
      <c r="H49" s="2075">
        <v>33</v>
      </c>
      <c r="I49" s="2104">
        <f t="shared" si="9"/>
        <v>-125</v>
      </c>
      <c r="J49" s="2125">
        <f t="shared" si="10"/>
        <v>0.03</v>
      </c>
      <c r="K49" s="2083"/>
      <c r="L49" s="2106"/>
      <c r="N49" s="2071">
        <f t="shared" si="11"/>
        <v>33</v>
      </c>
      <c r="O49" s="2130">
        <f>IF(D48=D49,O48+0.00001,ROUNDDOWN(MAX($O$16:$O48),0)+1)</f>
        <v>3.3000000000000022E-4</v>
      </c>
      <c r="P49" s="2131">
        <f t="shared" si="3"/>
        <v>-469.49</v>
      </c>
      <c r="Q49" s="2131">
        <f t="shared" si="4"/>
        <v>124.19999999999999</v>
      </c>
      <c r="R49" s="2131">
        <f t="shared" si="5"/>
        <v>44570.132294528863</v>
      </c>
      <c r="S49" s="2130">
        <f>IF(J48=J49,S48+0.00001,ROUNDDOWN(MAX($S$16:$S48),0)+1)</f>
        <v>3.3000000000000022E-4</v>
      </c>
      <c r="T49" s="2131">
        <f t="shared" si="6"/>
        <v>-321.25</v>
      </c>
      <c r="U49" s="2131">
        <f t="shared" si="7"/>
        <v>196.25</v>
      </c>
      <c r="V49" s="2071">
        <f t="shared" si="12"/>
        <v>33</v>
      </c>
    </row>
    <row r="50" spans="1:22">
      <c r="A50" s="2124">
        <f t="shared" si="13"/>
        <v>1</v>
      </c>
      <c r="B50" s="2073">
        <v>34</v>
      </c>
      <c r="C50" s="2104">
        <f t="shared" si="14"/>
        <v>-345.29</v>
      </c>
      <c r="D50" s="2125">
        <f t="shared" si="1"/>
        <v>0.03</v>
      </c>
      <c r="E50" s="2104">
        <f t="shared" si="8"/>
        <v>42192.782377719741</v>
      </c>
      <c r="F50" s="2135"/>
      <c r="G50" s="2127">
        <f t="shared" si="15"/>
        <v>1</v>
      </c>
      <c r="H50" s="2075">
        <v>34</v>
      </c>
      <c r="I50" s="2104">
        <f t="shared" si="9"/>
        <v>-125</v>
      </c>
      <c r="J50" s="2125">
        <f t="shared" si="10"/>
        <v>0.03</v>
      </c>
      <c r="K50" s="2083"/>
      <c r="L50" s="2106"/>
      <c r="N50" s="2071">
        <f t="shared" si="11"/>
        <v>34</v>
      </c>
      <c r="O50" s="2130">
        <f>IF(D49=D50,O49+0.00001,ROUNDDOWN(MAX($O$16:$O49),0)+1)</f>
        <v>3.4000000000000024E-4</v>
      </c>
      <c r="P50" s="2131">
        <f t="shared" si="3"/>
        <v>-469.49</v>
      </c>
      <c r="Q50" s="2131">
        <f t="shared" si="4"/>
        <v>124.19999999999999</v>
      </c>
      <c r="R50" s="2131">
        <f t="shared" si="5"/>
        <v>44387.005394521206</v>
      </c>
      <c r="S50" s="2130">
        <f>IF(J49=J50,S49+0.00001,ROUNDDOWN(MAX($S$16:$S49),0)+1)</f>
        <v>3.4000000000000024E-4</v>
      </c>
      <c r="T50" s="2131">
        <f t="shared" si="6"/>
        <v>-321.25</v>
      </c>
      <c r="U50" s="2131">
        <f t="shared" si="7"/>
        <v>196.25</v>
      </c>
      <c r="V50" s="2071">
        <f t="shared" si="12"/>
        <v>34</v>
      </c>
    </row>
    <row r="51" spans="1:22">
      <c r="A51" s="2124">
        <f t="shared" si="13"/>
        <v>1</v>
      </c>
      <c r="B51" s="2073">
        <v>35</v>
      </c>
      <c r="C51" s="2104">
        <f t="shared" si="14"/>
        <v>-345.29</v>
      </c>
      <c r="D51" s="2125">
        <f t="shared" si="1"/>
        <v>0.03</v>
      </c>
      <c r="E51" s="2104">
        <f t="shared" si="8"/>
        <v>41952.974333664039</v>
      </c>
      <c r="F51" s="2135"/>
      <c r="G51" s="2127">
        <f t="shared" si="15"/>
        <v>1</v>
      </c>
      <c r="H51" s="2075">
        <v>35</v>
      </c>
      <c r="I51" s="2104">
        <f t="shared" si="9"/>
        <v>-125</v>
      </c>
      <c r="J51" s="2125">
        <f t="shared" si="10"/>
        <v>0.03</v>
      </c>
      <c r="K51" s="2083"/>
      <c r="L51" s="2106"/>
      <c r="N51" s="2071">
        <f t="shared" si="11"/>
        <v>35</v>
      </c>
      <c r="O51" s="2130">
        <f>IF(D50=D51,O50+0.00001,ROUNDDOWN(MAX($O$16:$O50),0)+1)</f>
        <v>3.5000000000000027E-4</v>
      </c>
      <c r="P51" s="2131">
        <f t="shared" si="3"/>
        <v>-469.49</v>
      </c>
      <c r="Q51" s="2131">
        <f t="shared" si="4"/>
        <v>124.19999999999999</v>
      </c>
      <c r="R51" s="2131">
        <f t="shared" si="5"/>
        <v>44202.701904181005</v>
      </c>
      <c r="S51" s="2130">
        <f>IF(J50=J51,S50+0.00001,ROUNDDOWN(MAX($S$16:$S50),0)+1)</f>
        <v>3.5000000000000027E-4</v>
      </c>
      <c r="T51" s="2131">
        <f t="shared" si="6"/>
        <v>-321.25</v>
      </c>
      <c r="U51" s="2131">
        <f t="shared" si="7"/>
        <v>196.25</v>
      </c>
      <c r="V51" s="2071">
        <f t="shared" si="12"/>
        <v>35</v>
      </c>
    </row>
    <row r="52" spans="1:22">
      <c r="A52" s="2124">
        <f t="shared" si="13"/>
        <v>1</v>
      </c>
      <c r="B52" s="2073">
        <v>36</v>
      </c>
      <c r="C52" s="2104">
        <f t="shared" si="14"/>
        <v>-345.29</v>
      </c>
      <c r="D52" s="2125">
        <f t="shared" si="1"/>
        <v>0.03</v>
      </c>
      <c r="E52" s="2104">
        <f t="shared" si="8"/>
        <v>41712.566769498197</v>
      </c>
      <c r="F52" s="2135"/>
      <c r="G52" s="2127">
        <f t="shared" si="15"/>
        <v>1</v>
      </c>
      <c r="H52" s="2075">
        <v>36</v>
      </c>
      <c r="I52" s="2104">
        <f t="shared" si="9"/>
        <v>-125</v>
      </c>
      <c r="J52" s="2125">
        <f t="shared" si="10"/>
        <v>0.03</v>
      </c>
      <c r="K52" s="2083"/>
      <c r="L52" s="2106"/>
      <c r="N52" s="2071">
        <f t="shared" si="11"/>
        <v>36</v>
      </c>
      <c r="O52" s="2130">
        <f>IF(D51=D52,O51+0.00001,ROUNDDOWN(MAX($O$16:$O51),0)+1)</f>
        <v>3.6000000000000029E-4</v>
      </c>
      <c r="P52" s="2131">
        <f t="shared" si="3"/>
        <v>-469.49</v>
      </c>
      <c r="Q52" s="2131">
        <f t="shared" si="4"/>
        <v>124.19999999999999</v>
      </c>
      <c r="R52" s="2131">
        <f t="shared" si="5"/>
        <v>44017.214263915368</v>
      </c>
      <c r="S52" s="2130">
        <f>IF(J51=J52,S51+0.00001,ROUNDDOWN(MAX($S$16:$S51),0)+1)</f>
        <v>3.6000000000000029E-4</v>
      </c>
      <c r="T52" s="2131">
        <f t="shared" si="6"/>
        <v>-321.25</v>
      </c>
      <c r="U52" s="2131">
        <f t="shared" si="7"/>
        <v>196.25</v>
      </c>
      <c r="V52" s="2071">
        <f t="shared" si="12"/>
        <v>36</v>
      </c>
    </row>
    <row r="53" spans="1:22">
      <c r="A53" s="2124">
        <f t="shared" si="13"/>
        <v>1</v>
      </c>
      <c r="B53" s="2073">
        <v>37</v>
      </c>
      <c r="C53" s="2104">
        <f t="shared" si="14"/>
        <v>-345.29</v>
      </c>
      <c r="D53" s="2125">
        <f t="shared" si="1"/>
        <v>0.03</v>
      </c>
      <c r="E53" s="2104">
        <f t="shared" si="8"/>
        <v>41471.558186421942</v>
      </c>
      <c r="F53" s="2135"/>
      <c r="G53" s="2127">
        <f t="shared" si="15"/>
        <v>1</v>
      </c>
      <c r="H53" s="2075">
        <v>37</v>
      </c>
      <c r="I53" s="2104">
        <f t="shared" si="9"/>
        <v>-125</v>
      </c>
      <c r="J53" s="2125">
        <f t="shared" si="10"/>
        <v>0.03</v>
      </c>
      <c r="K53" s="2083"/>
      <c r="L53" s="2106"/>
      <c r="N53" s="2071">
        <f t="shared" si="11"/>
        <v>37</v>
      </c>
      <c r="O53" s="2130">
        <f>IF(D52=D53,O52+0.00001,ROUNDDOWN(MAX($O$16:$O52),0)+1)</f>
        <v>3.7000000000000032E-4</v>
      </c>
      <c r="P53" s="2131">
        <f t="shared" si="3"/>
        <v>-469.49</v>
      </c>
      <c r="Q53" s="2131">
        <f t="shared" si="4"/>
        <v>124.19999999999999</v>
      </c>
      <c r="R53" s="2131">
        <f t="shared" si="5"/>
        <v>43830.534865561021</v>
      </c>
      <c r="S53" s="2130">
        <f>IF(J52=J53,S52+0.00001,ROUNDDOWN(MAX($S$16:$S52),0)+1)</f>
        <v>3.7000000000000032E-4</v>
      </c>
      <c r="T53" s="2131">
        <f t="shared" si="6"/>
        <v>-321.25</v>
      </c>
      <c r="U53" s="2131">
        <f t="shared" si="7"/>
        <v>196.25</v>
      </c>
      <c r="V53" s="2071">
        <f t="shared" si="12"/>
        <v>37</v>
      </c>
    </row>
    <row r="54" spans="1:22">
      <c r="A54" s="2124">
        <f t="shared" si="13"/>
        <v>1</v>
      </c>
      <c r="B54" s="2073">
        <v>38</v>
      </c>
      <c r="C54" s="2104">
        <f t="shared" si="14"/>
        <v>-345.29</v>
      </c>
      <c r="D54" s="2125">
        <f t="shared" si="1"/>
        <v>0.03</v>
      </c>
      <c r="E54" s="2104">
        <f t="shared" si="8"/>
        <v>41229.947081887993</v>
      </c>
      <c r="F54" s="2135"/>
      <c r="G54" s="2127">
        <f t="shared" si="15"/>
        <v>1</v>
      </c>
      <c r="H54" s="2075">
        <v>38</v>
      </c>
      <c r="I54" s="2104">
        <f t="shared" si="9"/>
        <v>-125</v>
      </c>
      <c r="J54" s="2125">
        <f t="shared" si="10"/>
        <v>0.03</v>
      </c>
      <c r="K54" s="2083"/>
      <c r="L54" s="2106"/>
      <c r="N54" s="2071">
        <f t="shared" si="11"/>
        <v>38</v>
      </c>
      <c r="O54" s="2130">
        <f>IF(D53=D54,O53+0.00001,ROUNDDOWN(MAX($O$16:$O53),0)+1)</f>
        <v>3.8000000000000035E-4</v>
      </c>
      <c r="P54" s="2131">
        <f t="shared" si="3"/>
        <v>-469.49</v>
      </c>
      <c r="Q54" s="2131">
        <f t="shared" si="4"/>
        <v>124.19999999999999</v>
      </c>
      <c r="R54" s="2131">
        <f t="shared" si="5"/>
        <v>43642.656052072249</v>
      </c>
      <c r="S54" s="2130">
        <f>IF(J53=J54,S53+0.00001,ROUNDDOWN(MAX($S$16:$S53),0)+1)</f>
        <v>3.8000000000000035E-4</v>
      </c>
      <c r="T54" s="2131">
        <f t="shared" si="6"/>
        <v>-321.25</v>
      </c>
      <c r="U54" s="2131">
        <f t="shared" si="7"/>
        <v>196.25</v>
      </c>
      <c r="V54" s="2071">
        <f t="shared" si="12"/>
        <v>38</v>
      </c>
    </row>
    <row r="55" spans="1:22">
      <c r="A55" s="2124">
        <f t="shared" si="13"/>
        <v>1</v>
      </c>
      <c r="B55" s="2073">
        <v>39</v>
      </c>
      <c r="C55" s="2104">
        <f t="shared" si="14"/>
        <v>-345.29</v>
      </c>
      <c r="D55" s="2125">
        <f t="shared" si="1"/>
        <v>0.03</v>
      </c>
      <c r="E55" s="2104">
        <f t="shared" si="8"/>
        <v>40987.731949592708</v>
      </c>
      <c r="F55" s="2135"/>
      <c r="G55" s="2127">
        <f t="shared" si="15"/>
        <v>1</v>
      </c>
      <c r="H55" s="2075">
        <v>39</v>
      </c>
      <c r="I55" s="2104">
        <f t="shared" si="9"/>
        <v>-125</v>
      </c>
      <c r="J55" s="2125">
        <f t="shared" si="10"/>
        <v>0.03</v>
      </c>
      <c r="K55" s="2083"/>
      <c r="L55" s="2106"/>
      <c r="N55" s="2071">
        <f t="shared" si="11"/>
        <v>39</v>
      </c>
      <c r="O55" s="2130">
        <f>IF(D54=D55,O54+0.00001,ROUNDDOWN(MAX($O$16:$O54),0)+1)</f>
        <v>3.9000000000000037E-4</v>
      </c>
      <c r="P55" s="2131">
        <f t="shared" si="3"/>
        <v>-469.49</v>
      </c>
      <c r="Q55" s="2131">
        <f t="shared" si="4"/>
        <v>124.19999999999999</v>
      </c>
      <c r="R55" s="2131">
        <f t="shared" si="5"/>
        <v>43453.570117206807</v>
      </c>
      <c r="S55" s="2130">
        <f>IF(J54=J55,S54+0.00001,ROUNDDOWN(MAX($S$16:$S54),0)+1)</f>
        <v>3.9000000000000037E-4</v>
      </c>
      <c r="T55" s="2131">
        <f t="shared" si="6"/>
        <v>-321.25</v>
      </c>
      <c r="U55" s="2131">
        <f t="shared" si="7"/>
        <v>196.25</v>
      </c>
      <c r="V55" s="2071">
        <f t="shared" si="12"/>
        <v>39</v>
      </c>
    </row>
    <row r="56" spans="1:22">
      <c r="A56" s="2124">
        <f t="shared" si="13"/>
        <v>1</v>
      </c>
      <c r="B56" s="2073">
        <v>40</v>
      </c>
      <c r="C56" s="2104">
        <f t="shared" si="14"/>
        <v>-345.29</v>
      </c>
      <c r="D56" s="2125">
        <f t="shared" si="1"/>
        <v>0.03</v>
      </c>
      <c r="E56" s="2104">
        <f t="shared" si="8"/>
        <v>40744.911279466687</v>
      </c>
      <c r="F56" s="2135"/>
      <c r="G56" s="2127">
        <f t="shared" si="15"/>
        <v>1</v>
      </c>
      <c r="H56" s="2075">
        <v>40</v>
      </c>
      <c r="I56" s="2104">
        <f t="shared" si="9"/>
        <v>-125</v>
      </c>
      <c r="J56" s="2125">
        <f t="shared" si="10"/>
        <v>0.03</v>
      </c>
      <c r="K56" s="2083"/>
      <c r="L56" s="2106"/>
      <c r="N56" s="2071">
        <f t="shared" si="11"/>
        <v>40</v>
      </c>
      <c r="O56" s="2130">
        <f>IF(D55=D56,O55+0.00001,ROUNDDOWN(MAX($O$16:$O55),0)+1)</f>
        <v>4.000000000000004E-4</v>
      </c>
      <c r="P56" s="2131">
        <f t="shared" si="3"/>
        <v>-469.49</v>
      </c>
      <c r="Q56" s="2131">
        <f t="shared" si="4"/>
        <v>124.19999999999999</v>
      </c>
      <c r="R56" s="2131">
        <f t="shared" si="5"/>
        <v>43263.269305209862</v>
      </c>
      <c r="S56" s="2130">
        <f>IF(J55=J56,S55+0.00001,ROUNDDOWN(MAX($S$16:$S55),0)+1)</f>
        <v>4.000000000000004E-4</v>
      </c>
      <c r="T56" s="2131">
        <f t="shared" si="6"/>
        <v>-321.25</v>
      </c>
      <c r="U56" s="2131">
        <f t="shared" si="7"/>
        <v>196.25</v>
      </c>
      <c r="V56" s="2071">
        <f t="shared" si="12"/>
        <v>40</v>
      </c>
    </row>
    <row r="57" spans="1:22">
      <c r="A57" s="2124">
        <f t="shared" si="13"/>
        <v>1</v>
      </c>
      <c r="B57" s="2073">
        <v>41</v>
      </c>
      <c r="C57" s="2104">
        <f t="shared" si="14"/>
        <v>-345.29</v>
      </c>
      <c r="D57" s="2125">
        <f t="shared" si="1"/>
        <v>0.03</v>
      </c>
      <c r="E57" s="2104">
        <f t="shared" si="8"/>
        <v>40501.48355766535</v>
      </c>
      <c r="F57" s="2135"/>
      <c r="G57" s="2127">
        <f t="shared" si="15"/>
        <v>1</v>
      </c>
      <c r="H57" s="2075">
        <v>41</v>
      </c>
      <c r="I57" s="2104">
        <f t="shared" si="9"/>
        <v>-125</v>
      </c>
      <c r="J57" s="2125">
        <f t="shared" si="10"/>
        <v>0.03</v>
      </c>
      <c r="K57" s="2083"/>
      <c r="L57" s="2106"/>
      <c r="N57" s="2071">
        <f t="shared" si="11"/>
        <v>41</v>
      </c>
      <c r="O57" s="2130">
        <f>IF(D56=D57,O56+0.00001,ROUNDDOWN(MAX($O$16:$O56),0)+1)</f>
        <v>4.1000000000000042E-4</v>
      </c>
      <c r="P57" s="2131">
        <f t="shared" si="3"/>
        <v>-469.49</v>
      </c>
      <c r="Q57" s="2131">
        <f t="shared" si="4"/>
        <v>124.19999999999999</v>
      </c>
      <c r="R57" s="2131">
        <f t="shared" si="5"/>
        <v>43071.745810495835</v>
      </c>
      <c r="S57" s="2130">
        <f>IF(J56=J57,S56+0.00001,ROUNDDOWN(MAX($S$16:$S56),0)+1)</f>
        <v>4.1000000000000042E-4</v>
      </c>
      <c r="T57" s="2131">
        <f t="shared" si="6"/>
        <v>-321.25</v>
      </c>
      <c r="U57" s="2131">
        <f t="shared" si="7"/>
        <v>196.25</v>
      </c>
      <c r="V57" s="2071">
        <f t="shared" si="12"/>
        <v>41</v>
      </c>
    </row>
    <row r="58" spans="1:22">
      <c r="A58" s="2124">
        <f t="shared" si="13"/>
        <v>1</v>
      </c>
      <c r="B58" s="2073">
        <v>42</v>
      </c>
      <c r="C58" s="2104">
        <f t="shared" si="14"/>
        <v>-345.29</v>
      </c>
      <c r="D58" s="2125">
        <f t="shared" si="1"/>
        <v>0.03</v>
      </c>
      <c r="E58" s="2104">
        <f t="shared" si="8"/>
        <v>40257.447266559509</v>
      </c>
      <c r="F58" s="2135"/>
      <c r="G58" s="2127">
        <f t="shared" si="15"/>
        <v>1</v>
      </c>
      <c r="H58" s="2075">
        <v>42</v>
      </c>
      <c r="I58" s="2104">
        <f t="shared" si="9"/>
        <v>-125</v>
      </c>
      <c r="J58" s="2125">
        <f t="shared" si="10"/>
        <v>0.03</v>
      </c>
      <c r="K58" s="2083"/>
      <c r="L58" s="2106"/>
      <c r="N58" s="2071">
        <f t="shared" si="11"/>
        <v>42</v>
      </c>
      <c r="O58" s="2130">
        <f>IF(D57=D58,O57+0.00001,ROUNDDOWN(MAX($O$16:$O57),0)+1)</f>
        <v>4.2000000000000045E-4</v>
      </c>
      <c r="P58" s="2131">
        <f t="shared" si="3"/>
        <v>-469.49</v>
      </c>
      <c r="Q58" s="2131">
        <f t="shared" si="4"/>
        <v>124.19999999999999</v>
      </c>
      <c r="R58" s="2131">
        <f t="shared" si="5"/>
        <v>42878.991777328265</v>
      </c>
      <c r="S58" s="2130">
        <f>IF(J57=J58,S57+0.00001,ROUNDDOWN(MAX($S$16:$S57),0)+1)</f>
        <v>4.2000000000000045E-4</v>
      </c>
      <c r="T58" s="2131">
        <f t="shared" si="6"/>
        <v>-321.25</v>
      </c>
      <c r="U58" s="2131">
        <f t="shared" si="7"/>
        <v>196.25</v>
      </c>
      <c r="V58" s="2071">
        <f t="shared" si="12"/>
        <v>42</v>
      </c>
    </row>
    <row r="59" spans="1:22">
      <c r="A59" s="2124">
        <f t="shared" si="13"/>
        <v>1</v>
      </c>
      <c r="B59" s="2073">
        <v>43</v>
      </c>
      <c r="C59" s="2104">
        <f t="shared" si="14"/>
        <v>-345.29</v>
      </c>
      <c r="D59" s="2125">
        <f t="shared" si="1"/>
        <v>0.03</v>
      </c>
      <c r="E59" s="2104">
        <f t="shared" si="8"/>
        <v>40012.800884725904</v>
      </c>
      <c r="F59" s="2135"/>
      <c r="G59" s="2127">
        <f t="shared" si="15"/>
        <v>1</v>
      </c>
      <c r="H59" s="2075">
        <v>43</v>
      </c>
      <c r="I59" s="2104">
        <f t="shared" si="9"/>
        <v>-125</v>
      </c>
      <c r="J59" s="2125">
        <f t="shared" si="10"/>
        <v>0.03</v>
      </c>
      <c r="K59" s="2083"/>
      <c r="L59" s="2106"/>
      <c r="N59" s="2071">
        <f t="shared" si="11"/>
        <v>43</v>
      </c>
      <c r="O59" s="2130">
        <f>IF(D58=D59,O58+0.00001,ROUNDDOWN(MAX($O$16:$O58),0)+1)</f>
        <v>4.3000000000000048E-4</v>
      </c>
      <c r="P59" s="2131">
        <f t="shared" si="3"/>
        <v>-469.49</v>
      </c>
      <c r="Q59" s="2131">
        <f t="shared" si="4"/>
        <v>124.19999999999999</v>
      </c>
      <c r="R59" s="2131">
        <f t="shared" si="5"/>
        <v>42684.999299497598</v>
      </c>
      <c r="S59" s="2130">
        <f>IF(J58=J59,S58+0.00001,ROUNDDOWN(MAX($S$16:$S58),0)+1)</f>
        <v>4.3000000000000048E-4</v>
      </c>
      <c r="T59" s="2131">
        <f t="shared" si="6"/>
        <v>-321.25</v>
      </c>
      <c r="U59" s="2131">
        <f t="shared" si="7"/>
        <v>196.25</v>
      </c>
      <c r="V59" s="2071">
        <f t="shared" si="12"/>
        <v>43</v>
      </c>
    </row>
    <row r="60" spans="1:22">
      <c r="A60" s="2124">
        <f t="shared" si="13"/>
        <v>1</v>
      </c>
      <c r="B60" s="2073">
        <v>44</v>
      </c>
      <c r="C60" s="2104">
        <f t="shared" si="14"/>
        <v>-345.29</v>
      </c>
      <c r="D60" s="2125">
        <f t="shared" si="1"/>
        <v>0.03</v>
      </c>
      <c r="E60" s="2104">
        <f t="shared" si="8"/>
        <v>39767.542886937714</v>
      </c>
      <c r="F60" s="2135"/>
      <c r="G60" s="2127">
        <f t="shared" si="15"/>
        <v>1</v>
      </c>
      <c r="H60" s="2075">
        <v>44</v>
      </c>
      <c r="I60" s="2104">
        <f t="shared" si="9"/>
        <v>-125</v>
      </c>
      <c r="J60" s="2125">
        <f t="shared" si="10"/>
        <v>0.03</v>
      </c>
      <c r="K60" s="2083"/>
      <c r="L60" s="2106"/>
      <c r="N60" s="2071">
        <f t="shared" si="11"/>
        <v>44</v>
      </c>
      <c r="O60" s="2130">
        <f>IF(D59=D60,O59+0.00001,ROUNDDOWN(MAX($O$16:$O59),0)+1)</f>
        <v>4.400000000000005E-4</v>
      </c>
      <c r="P60" s="2131">
        <f t="shared" si="3"/>
        <v>-469.49</v>
      </c>
      <c r="Q60" s="2131">
        <f t="shared" si="4"/>
        <v>124.19999999999999</v>
      </c>
      <c r="R60" s="2131">
        <f t="shared" si="5"/>
        <v>42489.76041999687</v>
      </c>
      <c r="S60" s="2130">
        <f>IF(J59=J60,S59+0.00001,ROUNDDOWN(MAX($S$16:$S59),0)+1)</f>
        <v>4.400000000000005E-4</v>
      </c>
      <c r="T60" s="2131">
        <f t="shared" si="6"/>
        <v>-321.25</v>
      </c>
      <c r="U60" s="2131">
        <f t="shared" si="7"/>
        <v>196.25</v>
      </c>
      <c r="V60" s="2071">
        <f t="shared" si="12"/>
        <v>44</v>
      </c>
    </row>
    <row r="61" spans="1:22">
      <c r="A61" s="2124">
        <f t="shared" si="13"/>
        <v>1</v>
      </c>
      <c r="B61" s="2073">
        <v>45</v>
      </c>
      <c r="C61" s="2104">
        <f t="shared" si="14"/>
        <v>-345.29</v>
      </c>
      <c r="D61" s="2125">
        <f t="shared" si="1"/>
        <v>0.03</v>
      </c>
      <c r="E61" s="2104">
        <f t="shared" si="8"/>
        <v>39521.671744155057</v>
      </c>
      <c r="F61" s="2135"/>
      <c r="G61" s="2127">
        <f t="shared" si="15"/>
        <v>1</v>
      </c>
      <c r="H61" s="2075">
        <v>45</v>
      </c>
      <c r="I61" s="2104">
        <f t="shared" si="9"/>
        <v>-125</v>
      </c>
      <c r="J61" s="2125">
        <f t="shared" si="10"/>
        <v>0.03</v>
      </c>
      <c r="K61" s="2083"/>
      <c r="L61" s="2106"/>
      <c r="N61" s="2071">
        <f t="shared" si="11"/>
        <v>45</v>
      </c>
      <c r="O61" s="2130">
        <f>IF(D60=D61,O60+0.00001,ROUNDDOWN(MAX($O$16:$O60),0)+1)</f>
        <v>4.5000000000000053E-4</v>
      </c>
      <c r="P61" s="2131">
        <f t="shared" si="3"/>
        <v>-469.49</v>
      </c>
      <c r="Q61" s="2131">
        <f t="shared" si="4"/>
        <v>124.19999999999999</v>
      </c>
      <c r="R61" s="2131">
        <f t="shared" si="5"/>
        <v>42293.267130695349</v>
      </c>
      <c r="S61" s="2130">
        <f>IF(J60=J61,S60+0.00001,ROUNDDOWN(MAX($S$16:$S60),0)+1)</f>
        <v>4.5000000000000053E-4</v>
      </c>
      <c r="T61" s="2131">
        <f t="shared" si="6"/>
        <v>-321.25</v>
      </c>
      <c r="U61" s="2131">
        <f t="shared" si="7"/>
        <v>196.25</v>
      </c>
      <c r="V61" s="2071">
        <f t="shared" si="12"/>
        <v>45</v>
      </c>
    </row>
    <row r="62" spans="1:22">
      <c r="A62" s="2124">
        <f t="shared" si="13"/>
        <v>1</v>
      </c>
      <c r="B62" s="2073">
        <v>46</v>
      </c>
      <c r="C62" s="2104">
        <f t="shared" si="14"/>
        <v>-345.29</v>
      </c>
      <c r="D62" s="2125">
        <f t="shared" si="1"/>
        <v>0.03</v>
      </c>
      <c r="E62" s="2104">
        <f t="shared" si="8"/>
        <v>39275.185923515441</v>
      </c>
      <c r="F62" s="2135"/>
      <c r="G62" s="2127">
        <f t="shared" si="15"/>
        <v>1</v>
      </c>
      <c r="H62" s="2075">
        <v>46</v>
      </c>
      <c r="I62" s="2104">
        <f t="shared" si="9"/>
        <v>-125</v>
      </c>
      <c r="J62" s="2125">
        <f t="shared" si="10"/>
        <v>0.03</v>
      </c>
      <c r="K62" s="2083"/>
      <c r="L62" s="2106"/>
      <c r="N62" s="2071">
        <f t="shared" si="11"/>
        <v>46</v>
      </c>
      <c r="O62" s="2130">
        <f>IF(D61=D62,O61+0.00001,ROUNDDOWN(MAX($O$16:$O61),0)+1)</f>
        <v>4.6000000000000056E-4</v>
      </c>
      <c r="P62" s="2131">
        <f t="shared" si="3"/>
        <v>-469.49</v>
      </c>
      <c r="Q62" s="2131">
        <f t="shared" si="4"/>
        <v>124.19999999999999</v>
      </c>
      <c r="R62" s="2131">
        <f t="shared" si="5"/>
        <v>42095.511372010063</v>
      </c>
      <c r="S62" s="2130">
        <f>IF(J61=J62,S61+0.00001,ROUNDDOWN(MAX($S$16:$S61),0)+1)</f>
        <v>4.6000000000000056E-4</v>
      </c>
      <c r="T62" s="2131">
        <f t="shared" si="6"/>
        <v>-321.25</v>
      </c>
      <c r="U62" s="2131">
        <f t="shared" si="7"/>
        <v>196.25</v>
      </c>
      <c r="V62" s="2071">
        <f t="shared" si="12"/>
        <v>46</v>
      </c>
    </row>
    <row r="63" spans="1:22">
      <c r="A63" s="2124">
        <f t="shared" si="13"/>
        <v>1</v>
      </c>
      <c r="B63" s="2073">
        <v>47</v>
      </c>
      <c r="C63" s="2104">
        <f t="shared" si="14"/>
        <v>-345.29</v>
      </c>
      <c r="D63" s="2125">
        <f t="shared" si="1"/>
        <v>0.03</v>
      </c>
      <c r="E63" s="2104">
        <f t="shared" si="8"/>
        <v>39028.083888324225</v>
      </c>
      <c r="F63" s="2135"/>
      <c r="G63" s="2127">
        <f t="shared" si="15"/>
        <v>1</v>
      </c>
      <c r="H63" s="2075">
        <v>47</v>
      </c>
      <c r="I63" s="2104">
        <f t="shared" si="9"/>
        <v>-125</v>
      </c>
      <c r="J63" s="2125">
        <f t="shared" si="10"/>
        <v>0.03</v>
      </c>
      <c r="K63" s="2083"/>
      <c r="L63" s="2106"/>
      <c r="N63" s="2071">
        <f t="shared" si="11"/>
        <v>47</v>
      </c>
      <c r="O63" s="2130">
        <f>IF(D62=D63,O62+0.00001,ROUNDDOWN(MAX($O$16:$O62),0)+1)</f>
        <v>4.7000000000000058E-4</v>
      </c>
      <c r="P63" s="2131">
        <f t="shared" si="3"/>
        <v>-469.49</v>
      </c>
      <c r="Q63" s="2131">
        <f t="shared" si="4"/>
        <v>124.19999999999999</v>
      </c>
      <c r="R63" s="2131">
        <f t="shared" si="5"/>
        <v>41896.485032575227</v>
      </c>
      <c r="S63" s="2130">
        <f>IF(J62=J63,S62+0.00001,ROUNDDOWN(MAX($S$16:$S62),0)+1)</f>
        <v>4.7000000000000058E-4</v>
      </c>
      <c r="T63" s="2131">
        <f t="shared" si="6"/>
        <v>-321.25</v>
      </c>
      <c r="U63" s="2131">
        <f t="shared" si="7"/>
        <v>196.25</v>
      </c>
      <c r="V63" s="2071">
        <f t="shared" si="12"/>
        <v>47</v>
      </c>
    </row>
    <row r="64" spans="1:22">
      <c r="A64" s="2124">
        <f t="shared" si="13"/>
        <v>1</v>
      </c>
      <c r="B64" s="2073">
        <v>48</v>
      </c>
      <c r="C64" s="2104">
        <f t="shared" si="14"/>
        <v>-345.29</v>
      </c>
      <c r="D64" s="2125">
        <f t="shared" si="1"/>
        <v>0.03</v>
      </c>
      <c r="E64" s="2104">
        <f t="shared" si="8"/>
        <v>38780.364098045029</v>
      </c>
      <c r="F64" s="2135"/>
      <c r="G64" s="2127">
        <f t="shared" si="15"/>
        <v>1</v>
      </c>
      <c r="H64" s="2075">
        <v>48</v>
      </c>
      <c r="I64" s="2104">
        <f t="shared" si="9"/>
        <v>-125</v>
      </c>
      <c r="J64" s="2125">
        <f t="shared" si="10"/>
        <v>0.03</v>
      </c>
      <c r="K64" s="2083"/>
      <c r="L64" s="2106"/>
      <c r="N64" s="2071">
        <f t="shared" si="11"/>
        <v>48</v>
      </c>
      <c r="O64" s="2130">
        <f>IF(D63=D64,O63+0.00001,ROUNDDOWN(MAX($O$16:$O63),0)+1)</f>
        <v>4.8000000000000061E-4</v>
      </c>
      <c r="P64" s="2131">
        <f t="shared" si="3"/>
        <v>-469.49</v>
      </c>
      <c r="Q64" s="2131">
        <f t="shared" si="4"/>
        <v>124.19999999999999</v>
      </c>
      <c r="R64" s="2131">
        <f t="shared" si="5"/>
        <v>41696.179948909521</v>
      </c>
      <c r="S64" s="2130">
        <f>IF(J63=J64,S63+0.00001,ROUNDDOWN(MAX($S$16:$S63),0)+1)</f>
        <v>4.8000000000000061E-4</v>
      </c>
      <c r="T64" s="2131">
        <f t="shared" si="6"/>
        <v>-321.25</v>
      </c>
      <c r="U64" s="2131">
        <f t="shared" si="7"/>
        <v>196.25</v>
      </c>
      <c r="V64" s="2071">
        <f t="shared" si="12"/>
        <v>48</v>
      </c>
    </row>
    <row r="65" spans="1:22">
      <c r="A65" s="2124">
        <f t="shared" si="13"/>
        <v>1</v>
      </c>
      <c r="B65" s="2073">
        <v>49</v>
      </c>
      <c r="C65" s="2104">
        <f t="shared" si="14"/>
        <v>-345.29</v>
      </c>
      <c r="D65" s="2125">
        <f t="shared" si="1"/>
        <v>0.03</v>
      </c>
      <c r="E65" s="2104">
        <f t="shared" si="8"/>
        <v>38532.02500829014</v>
      </c>
      <c r="F65" s="2135"/>
      <c r="G65" s="2127">
        <f t="shared" si="15"/>
        <v>1</v>
      </c>
      <c r="H65" s="2075">
        <v>49</v>
      </c>
      <c r="I65" s="2104">
        <f t="shared" si="9"/>
        <v>-125</v>
      </c>
      <c r="J65" s="2125">
        <f t="shared" si="10"/>
        <v>0.03</v>
      </c>
      <c r="K65" s="2083"/>
      <c r="L65" s="2106"/>
      <c r="N65" s="2071">
        <f t="shared" si="11"/>
        <v>49</v>
      </c>
      <c r="O65" s="2130">
        <f>IF(D64=D65,O64+0.00001,ROUNDDOWN(MAX($O$16:$O64),0)+1)</f>
        <v>4.9000000000000063E-4</v>
      </c>
      <c r="P65" s="2131">
        <f t="shared" si="3"/>
        <v>-469.49</v>
      </c>
      <c r="Q65" s="2131">
        <f t="shared" si="4"/>
        <v>124.19999999999999</v>
      </c>
      <c r="R65" s="2131">
        <f t="shared" si="5"/>
        <v>41494.587905081265</v>
      </c>
      <c r="S65" s="2130">
        <f>IF(J64=J65,S64+0.00001,ROUNDDOWN(MAX($S$16:$S64),0)+1)</f>
        <v>4.9000000000000063E-4</v>
      </c>
      <c r="T65" s="2131">
        <f t="shared" si="6"/>
        <v>-321.25</v>
      </c>
      <c r="U65" s="2131">
        <f t="shared" si="7"/>
        <v>196.25</v>
      </c>
      <c r="V65" s="2071">
        <f t="shared" si="12"/>
        <v>49</v>
      </c>
    </row>
    <row r="66" spans="1:22">
      <c r="A66" s="2124">
        <f t="shared" si="13"/>
        <v>1</v>
      </c>
      <c r="B66" s="2073">
        <v>50</v>
      </c>
      <c r="C66" s="2104">
        <f t="shared" si="14"/>
        <v>-345.29</v>
      </c>
      <c r="D66" s="2125">
        <f t="shared" si="1"/>
        <v>0.03</v>
      </c>
      <c r="E66" s="2104">
        <f t="shared" si="8"/>
        <v>38283.065070810866</v>
      </c>
      <c r="F66" s="2135"/>
      <c r="G66" s="2127">
        <f t="shared" si="15"/>
        <v>1</v>
      </c>
      <c r="H66" s="2075">
        <v>50</v>
      </c>
      <c r="I66" s="2104">
        <f t="shared" si="9"/>
        <v>-125</v>
      </c>
      <c r="J66" s="2125">
        <f t="shared" si="10"/>
        <v>0.03</v>
      </c>
      <c r="K66" s="2083"/>
      <c r="L66" s="2106"/>
      <c r="N66" s="2071">
        <f t="shared" si="11"/>
        <v>50</v>
      </c>
      <c r="O66" s="2130">
        <f>IF(D65=D66,O65+0.00001,ROUNDDOWN(MAX($O$16:$O65),0)+1)</f>
        <v>5.0000000000000066E-4</v>
      </c>
      <c r="P66" s="2131">
        <f t="shared" si="3"/>
        <v>-469.49</v>
      </c>
      <c r="Q66" s="2131">
        <f t="shared" si="4"/>
        <v>124.19999999999999</v>
      </c>
      <c r="R66" s="2131">
        <f t="shared" si="5"/>
        <v>41291.700632371409</v>
      </c>
      <c r="S66" s="2130">
        <f>IF(J65=J66,S65+0.00001,ROUNDDOWN(MAX($S$16:$S65),0)+1)</f>
        <v>5.0000000000000066E-4</v>
      </c>
      <c r="T66" s="2131">
        <f t="shared" si="6"/>
        <v>-321.25</v>
      </c>
      <c r="U66" s="2131">
        <f t="shared" si="7"/>
        <v>196.25</v>
      </c>
      <c r="V66" s="2071">
        <f t="shared" si="12"/>
        <v>50</v>
      </c>
    </row>
    <row r="67" spans="1:22">
      <c r="A67" s="2124">
        <f t="shared" si="13"/>
        <v>1</v>
      </c>
      <c r="B67" s="2073">
        <v>51</v>
      </c>
      <c r="C67" s="2104">
        <f t="shared" si="14"/>
        <v>-345.29</v>
      </c>
      <c r="D67" s="2125">
        <f t="shared" si="1"/>
        <v>0.03</v>
      </c>
      <c r="E67" s="2104">
        <f t="shared" si="8"/>
        <v>38033.482733487894</v>
      </c>
      <c r="F67" s="2135"/>
      <c r="G67" s="2127">
        <f t="shared" si="15"/>
        <v>1</v>
      </c>
      <c r="H67" s="2075">
        <v>51</v>
      </c>
      <c r="I67" s="2104">
        <f t="shared" si="9"/>
        <v>-125</v>
      </c>
      <c r="J67" s="2125">
        <f t="shared" si="10"/>
        <v>0.03</v>
      </c>
      <c r="K67" s="2083"/>
      <c r="L67" s="2106"/>
      <c r="N67" s="2071">
        <f t="shared" si="11"/>
        <v>51</v>
      </c>
      <c r="O67" s="2130">
        <f>IF(D66=D67,O66+0.00001,ROUNDDOWN(MAX($O$16:$O66),0)+1)</f>
        <v>5.1000000000000069E-4</v>
      </c>
      <c r="P67" s="2131">
        <f t="shared" si="3"/>
        <v>-469.49</v>
      </c>
      <c r="Q67" s="2131">
        <f t="shared" si="4"/>
        <v>124.19999999999999</v>
      </c>
      <c r="R67" s="2131">
        <f t="shared" si="5"/>
        <v>41087.509808934396</v>
      </c>
      <c r="S67" s="2130">
        <f>IF(J66=J67,S66+0.00001,ROUNDDOWN(MAX($S$16:$S66),0)+1)</f>
        <v>5.1000000000000069E-4</v>
      </c>
      <c r="T67" s="2131">
        <f t="shared" si="6"/>
        <v>-321.25</v>
      </c>
      <c r="U67" s="2131">
        <f t="shared" si="7"/>
        <v>196.25</v>
      </c>
      <c r="V67" s="2071">
        <f t="shared" si="12"/>
        <v>51</v>
      </c>
    </row>
    <row r="68" spans="1:22">
      <c r="A68" s="2124">
        <f t="shared" si="13"/>
        <v>1</v>
      </c>
      <c r="B68" s="2073">
        <v>52</v>
      </c>
      <c r="C68" s="2104">
        <f t="shared" si="14"/>
        <v>-345.29</v>
      </c>
      <c r="D68" s="2125">
        <f t="shared" si="1"/>
        <v>0.03</v>
      </c>
      <c r="E68" s="2104">
        <f t="shared" si="8"/>
        <v>37783.276440321613</v>
      </c>
      <c r="F68" s="2135"/>
      <c r="G68" s="2127">
        <f t="shared" si="15"/>
        <v>1</v>
      </c>
      <c r="H68" s="2075">
        <v>52</v>
      </c>
      <c r="I68" s="2104">
        <f t="shared" si="9"/>
        <v>-125</v>
      </c>
      <c r="J68" s="2125">
        <f t="shared" si="10"/>
        <v>0.03</v>
      </c>
      <c r="K68" s="2083"/>
      <c r="L68" s="2106"/>
      <c r="N68" s="2071">
        <f t="shared" si="11"/>
        <v>52</v>
      </c>
      <c r="O68" s="2130">
        <f>IF(D67=D68,O67+0.00001,ROUNDDOWN(MAX($O$16:$O67),0)+1)</f>
        <v>5.2000000000000071E-4</v>
      </c>
      <c r="P68" s="2131">
        <f t="shared" si="3"/>
        <v>-469.49</v>
      </c>
      <c r="Q68" s="2131">
        <f t="shared" si="4"/>
        <v>124.19999999999999</v>
      </c>
      <c r="R68" s="2131">
        <f t="shared" si="5"/>
        <v>40882.007059456795</v>
      </c>
      <c r="S68" s="2130">
        <f>IF(J67=J68,S67+0.00001,ROUNDDOWN(MAX($S$16:$S67),0)+1)</f>
        <v>5.2000000000000071E-4</v>
      </c>
      <c r="T68" s="2131">
        <f t="shared" si="6"/>
        <v>-321.25</v>
      </c>
      <c r="U68" s="2131">
        <f t="shared" si="7"/>
        <v>196.25</v>
      </c>
      <c r="V68" s="2071">
        <f t="shared" si="12"/>
        <v>52</v>
      </c>
    </row>
    <row r="69" spans="1:22">
      <c r="A69" s="2124">
        <f t="shared" si="13"/>
        <v>1</v>
      </c>
      <c r="B69" s="2073">
        <v>53</v>
      </c>
      <c r="C69" s="2104">
        <f t="shared" si="14"/>
        <v>-345.29</v>
      </c>
      <c r="D69" s="2125">
        <f t="shared" si="1"/>
        <v>0.03</v>
      </c>
      <c r="E69" s="2104">
        <f t="shared" si="8"/>
        <v>37532.444631422411</v>
      </c>
      <c r="F69" s="2135"/>
      <c r="G69" s="2127">
        <f t="shared" si="15"/>
        <v>1</v>
      </c>
      <c r="H69" s="2075">
        <v>53</v>
      </c>
      <c r="I69" s="2104">
        <f t="shared" si="9"/>
        <v>-125</v>
      </c>
      <c r="J69" s="2125">
        <f t="shared" si="10"/>
        <v>0.03</v>
      </c>
      <c r="K69" s="2083"/>
      <c r="L69" s="2106"/>
      <c r="N69" s="2071">
        <f t="shared" si="11"/>
        <v>53</v>
      </c>
      <c r="O69" s="2130">
        <f>IF(D68=D69,O68+0.00001,ROUNDDOWN(MAX($O$16:$O68),0)+1)</f>
        <v>5.3000000000000074E-4</v>
      </c>
      <c r="P69" s="2131">
        <f t="shared" si="3"/>
        <v>-469.49</v>
      </c>
      <c r="Q69" s="2131">
        <f t="shared" si="4"/>
        <v>124.19999999999999</v>
      </c>
      <c r="R69" s="2131">
        <f t="shared" si="5"/>
        <v>40675.183954813801</v>
      </c>
      <c r="S69" s="2130">
        <f>IF(J68=J69,S68+0.00001,ROUNDDOWN(MAX($S$16:$S68),0)+1)</f>
        <v>5.3000000000000074E-4</v>
      </c>
      <c r="T69" s="2131">
        <f t="shared" si="6"/>
        <v>-321.25</v>
      </c>
      <c r="U69" s="2131">
        <f t="shared" si="7"/>
        <v>196.25</v>
      </c>
      <c r="V69" s="2071">
        <f t="shared" si="12"/>
        <v>53</v>
      </c>
    </row>
    <row r="70" spans="1:22">
      <c r="A70" s="2124">
        <f t="shared" si="13"/>
        <v>1</v>
      </c>
      <c r="B70" s="2073">
        <v>54</v>
      </c>
      <c r="C70" s="2104">
        <f t="shared" si="14"/>
        <v>-345.29</v>
      </c>
      <c r="D70" s="2125">
        <f t="shared" si="1"/>
        <v>0.03</v>
      </c>
      <c r="E70" s="2104">
        <f t="shared" si="8"/>
        <v>37280.985743000965</v>
      </c>
      <c r="F70" s="2135"/>
      <c r="G70" s="2127">
        <f t="shared" si="15"/>
        <v>1</v>
      </c>
      <c r="H70" s="2075">
        <v>54</v>
      </c>
      <c r="I70" s="2104">
        <f t="shared" si="9"/>
        <v>-125</v>
      </c>
      <c r="J70" s="2125">
        <f t="shared" si="10"/>
        <v>0.03</v>
      </c>
      <c r="K70" s="2083"/>
      <c r="L70" s="2106"/>
      <c r="N70" s="2071">
        <f t="shared" si="11"/>
        <v>54</v>
      </c>
      <c r="O70" s="2130">
        <f>IF(D69=D70,O69+0.00001,ROUNDDOWN(MAX($O$16:$O69),0)+1)</f>
        <v>5.4000000000000077E-4</v>
      </c>
      <c r="P70" s="2131">
        <f t="shared" si="3"/>
        <v>-469.49</v>
      </c>
      <c r="Q70" s="2131">
        <f t="shared" si="4"/>
        <v>124.19999999999999</v>
      </c>
      <c r="R70" s="2131">
        <f t="shared" si="5"/>
        <v>40467.032011723481</v>
      </c>
      <c r="S70" s="2130">
        <f>IF(J69=J70,S69+0.00001,ROUNDDOWN(MAX($S$16:$S69),0)+1)</f>
        <v>5.4000000000000077E-4</v>
      </c>
      <c r="T70" s="2131">
        <f t="shared" si="6"/>
        <v>-321.25</v>
      </c>
      <c r="U70" s="2131">
        <f t="shared" si="7"/>
        <v>196.25</v>
      </c>
      <c r="V70" s="2071">
        <f t="shared" si="12"/>
        <v>54</v>
      </c>
    </row>
    <row r="71" spans="1:22">
      <c r="A71" s="2124">
        <f t="shared" si="13"/>
        <v>1</v>
      </c>
      <c r="B71" s="2073">
        <v>55</v>
      </c>
      <c r="C71" s="2104">
        <f t="shared" si="14"/>
        <v>-345.29</v>
      </c>
      <c r="D71" s="2125">
        <f t="shared" si="1"/>
        <v>0.03</v>
      </c>
      <c r="E71" s="2104">
        <f t="shared" si="8"/>
        <v>37028.898207358463</v>
      </c>
      <c r="F71" s="2135"/>
      <c r="G71" s="2127">
        <f t="shared" si="15"/>
        <v>1</v>
      </c>
      <c r="H71" s="2075">
        <v>55</v>
      </c>
      <c r="I71" s="2104">
        <f t="shared" si="9"/>
        <v>-125</v>
      </c>
      <c r="J71" s="2125">
        <f t="shared" si="10"/>
        <v>0.03</v>
      </c>
      <c r="K71" s="2083"/>
      <c r="L71" s="2106"/>
      <c r="N71" s="2071">
        <f t="shared" si="11"/>
        <v>55</v>
      </c>
      <c r="O71" s="2130">
        <f>IF(D70=D71,O70+0.00001,ROUNDDOWN(MAX($O$16:$O70),0)+1)</f>
        <v>5.5000000000000079E-4</v>
      </c>
      <c r="P71" s="2131">
        <f t="shared" si="3"/>
        <v>-469.49</v>
      </c>
      <c r="Q71" s="2131">
        <f t="shared" si="4"/>
        <v>124.19999999999999</v>
      </c>
      <c r="R71" s="2131">
        <f t="shared" si="5"/>
        <v>40257.542692398805</v>
      </c>
      <c r="S71" s="2130">
        <f>IF(J70=J71,S70+0.00001,ROUNDDOWN(MAX($S$16:$S70),0)+1)</f>
        <v>5.5000000000000079E-4</v>
      </c>
      <c r="T71" s="2131">
        <f t="shared" si="6"/>
        <v>-321.25</v>
      </c>
      <c r="U71" s="2131">
        <f t="shared" si="7"/>
        <v>196.25</v>
      </c>
      <c r="V71" s="2071">
        <f t="shared" si="12"/>
        <v>55</v>
      </c>
    </row>
    <row r="72" spans="1:22">
      <c r="A72" s="2124">
        <f t="shared" si="13"/>
        <v>1</v>
      </c>
      <c r="B72" s="2073">
        <v>56</v>
      </c>
      <c r="C72" s="2104">
        <f t="shared" si="14"/>
        <v>-345.29</v>
      </c>
      <c r="D72" s="2125">
        <f t="shared" si="1"/>
        <v>0.03</v>
      </c>
      <c r="E72" s="2104">
        <f t="shared" si="8"/>
        <v>36776.180452876855</v>
      </c>
      <c r="F72" s="2135"/>
      <c r="G72" s="2127">
        <f t="shared" si="15"/>
        <v>1</v>
      </c>
      <c r="H72" s="2075">
        <v>56</v>
      </c>
      <c r="I72" s="2104">
        <f t="shared" si="9"/>
        <v>-125</v>
      </c>
      <c r="J72" s="2125">
        <f t="shared" si="10"/>
        <v>0.03</v>
      </c>
      <c r="K72" s="2083"/>
      <c r="L72" s="2106"/>
      <c r="N72" s="2071">
        <f t="shared" si="11"/>
        <v>56</v>
      </c>
      <c r="O72" s="2130">
        <f>IF(D71=D72,O71+0.00001,ROUNDDOWN(MAX($O$16:$O71),0)+1)</f>
        <v>5.6000000000000082E-4</v>
      </c>
      <c r="P72" s="2131">
        <f t="shared" si="3"/>
        <v>-469.49</v>
      </c>
      <c r="Q72" s="2131">
        <f t="shared" si="4"/>
        <v>124.19999999999999</v>
      </c>
      <c r="R72" s="2131">
        <f t="shared" si="5"/>
        <v>40046.707404197463</v>
      </c>
      <c r="S72" s="2130">
        <f>IF(J71=J72,S71+0.00001,ROUNDDOWN(MAX($S$16:$S71),0)+1)</f>
        <v>5.6000000000000082E-4</v>
      </c>
      <c r="T72" s="2131">
        <f t="shared" si="6"/>
        <v>-321.25</v>
      </c>
      <c r="U72" s="2131">
        <f t="shared" si="7"/>
        <v>196.25</v>
      </c>
      <c r="V72" s="2071">
        <f t="shared" si="12"/>
        <v>56</v>
      </c>
    </row>
    <row r="73" spans="1:22">
      <c r="A73" s="2124">
        <f t="shared" si="13"/>
        <v>1</v>
      </c>
      <c r="B73" s="2073">
        <v>57</v>
      </c>
      <c r="C73" s="2104">
        <f t="shared" si="14"/>
        <v>-345.29</v>
      </c>
      <c r="D73" s="2125">
        <f t="shared" si="1"/>
        <v>0.03</v>
      </c>
      <c r="E73" s="2104">
        <f t="shared" si="8"/>
        <v>36522.830904009046</v>
      </c>
      <c r="F73" s="2135"/>
      <c r="G73" s="2127">
        <f t="shared" si="15"/>
        <v>1</v>
      </c>
      <c r="H73" s="2075">
        <v>57</v>
      </c>
      <c r="I73" s="2104">
        <f t="shared" si="9"/>
        <v>-125</v>
      </c>
      <c r="J73" s="2125">
        <f t="shared" si="10"/>
        <v>0.03</v>
      </c>
      <c r="K73" s="2083"/>
      <c r="L73" s="2106"/>
      <c r="N73" s="2071">
        <f t="shared" si="11"/>
        <v>57</v>
      </c>
      <c r="O73" s="2130">
        <f>IF(D72=D73,O72+0.00001,ROUNDDOWN(MAX($O$16:$O72),0)+1)</f>
        <v>5.7000000000000084E-4</v>
      </c>
      <c r="P73" s="2131">
        <f t="shared" si="3"/>
        <v>-469.49</v>
      </c>
      <c r="Q73" s="2131">
        <f t="shared" si="4"/>
        <v>124.19999999999999</v>
      </c>
      <c r="R73" s="2131">
        <f t="shared" si="5"/>
        <v>39834.51749926943</v>
      </c>
      <c r="S73" s="2130">
        <f>IF(J72=J73,S72+0.00001,ROUNDDOWN(MAX($S$16:$S72),0)+1)</f>
        <v>5.7000000000000084E-4</v>
      </c>
      <c r="T73" s="2131">
        <f t="shared" si="6"/>
        <v>-321.25</v>
      </c>
      <c r="U73" s="2131">
        <f t="shared" si="7"/>
        <v>196.25</v>
      </c>
      <c r="V73" s="2071">
        <f t="shared" si="12"/>
        <v>57</v>
      </c>
    </row>
    <row r="74" spans="1:22">
      <c r="A74" s="2124">
        <f t="shared" si="13"/>
        <v>1</v>
      </c>
      <c r="B74" s="2073">
        <v>58</v>
      </c>
      <c r="C74" s="2104">
        <f t="shared" si="14"/>
        <v>-345.29</v>
      </c>
      <c r="D74" s="2125">
        <f t="shared" si="1"/>
        <v>0.03</v>
      </c>
      <c r="E74" s="2104">
        <f t="shared" si="8"/>
        <v>36268.847981269064</v>
      </c>
      <c r="F74" s="2135"/>
      <c r="G74" s="2127">
        <f t="shared" si="15"/>
        <v>1</v>
      </c>
      <c r="H74" s="2075">
        <v>58</v>
      </c>
      <c r="I74" s="2104">
        <f t="shared" si="9"/>
        <v>-125</v>
      </c>
      <c r="J74" s="2125">
        <f t="shared" si="10"/>
        <v>0.03</v>
      </c>
      <c r="K74" s="2083"/>
      <c r="L74" s="2106"/>
      <c r="N74" s="2071">
        <f t="shared" si="11"/>
        <v>58</v>
      </c>
      <c r="O74" s="2130">
        <f>IF(D73=D74,O73+0.00001,ROUNDDOWN(MAX($O$16:$O73),0)+1)</f>
        <v>5.8000000000000087E-4</v>
      </c>
      <c r="P74" s="2131">
        <f t="shared" si="3"/>
        <v>-469.49</v>
      </c>
      <c r="Q74" s="2131">
        <f t="shared" si="4"/>
        <v>124.19999999999999</v>
      </c>
      <c r="R74" s="2131">
        <f t="shared" si="5"/>
        <v>39620.964274202233</v>
      </c>
      <c r="S74" s="2130">
        <f>IF(J73=J74,S73+0.00001,ROUNDDOWN(MAX($S$16:$S73),0)+1)</f>
        <v>5.8000000000000087E-4</v>
      </c>
      <c r="T74" s="2131">
        <f t="shared" si="6"/>
        <v>-321.25</v>
      </c>
      <c r="U74" s="2131">
        <f t="shared" si="7"/>
        <v>196.25</v>
      </c>
      <c r="V74" s="2071">
        <f t="shared" si="12"/>
        <v>58</v>
      </c>
    </row>
    <row r="75" spans="1:22">
      <c r="A75" s="2124">
        <f t="shared" si="13"/>
        <v>1</v>
      </c>
      <c r="B75" s="2073">
        <v>59</v>
      </c>
      <c r="C75" s="2104">
        <f t="shared" si="14"/>
        <v>-345.29</v>
      </c>
      <c r="D75" s="2125">
        <f t="shared" si="1"/>
        <v>0.03</v>
      </c>
      <c r="E75" s="2104">
        <f t="shared" si="8"/>
        <v>36014.230101222231</v>
      </c>
      <c r="F75" s="2135"/>
      <c r="G75" s="2127">
        <f t="shared" si="15"/>
        <v>1</v>
      </c>
      <c r="H75" s="2075">
        <v>59</v>
      </c>
      <c r="I75" s="2104">
        <f t="shared" si="9"/>
        <v>-125</v>
      </c>
      <c r="J75" s="2125">
        <f t="shared" si="10"/>
        <v>0.03</v>
      </c>
      <c r="K75" s="2083"/>
      <c r="L75" s="2106"/>
      <c r="N75" s="2071">
        <f t="shared" si="11"/>
        <v>59</v>
      </c>
      <c r="O75" s="2130">
        <f>IF(D74=D75,O74+0.00001,ROUNDDOWN(MAX($O$16:$O74),0)+1)</f>
        <v>5.900000000000009E-4</v>
      </c>
      <c r="P75" s="2131">
        <f t="shared" si="3"/>
        <v>-469.49</v>
      </c>
      <c r="Q75" s="2131">
        <f t="shared" si="4"/>
        <v>124.19999999999999</v>
      </c>
      <c r="R75" s="2131">
        <f t="shared" si="5"/>
        <v>39406.038969663983</v>
      </c>
      <c r="S75" s="2130">
        <f>IF(J74=J75,S74+0.00001,ROUNDDOWN(MAX($S$16:$S74),0)+1)</f>
        <v>5.900000000000009E-4</v>
      </c>
      <c r="T75" s="2131">
        <f t="shared" si="6"/>
        <v>-321.25</v>
      </c>
      <c r="U75" s="2131">
        <f t="shared" si="7"/>
        <v>196.25</v>
      </c>
      <c r="V75" s="2071">
        <f t="shared" si="12"/>
        <v>59</v>
      </c>
    </row>
    <row r="76" spans="1:22">
      <c r="A76" s="2124">
        <f t="shared" si="13"/>
        <v>1</v>
      </c>
      <c r="B76" s="2073">
        <v>60</v>
      </c>
      <c r="C76" s="2104">
        <f t="shared" si="14"/>
        <v>-345.29</v>
      </c>
      <c r="D76" s="2125">
        <f t="shared" si="1"/>
        <v>0.03</v>
      </c>
      <c r="E76" s="2104">
        <f t="shared" si="8"/>
        <v>35758.975676475282</v>
      </c>
      <c r="F76" s="2135"/>
      <c r="G76" s="2127">
        <f t="shared" si="15"/>
        <v>2</v>
      </c>
      <c r="H76" s="2075">
        <v>60</v>
      </c>
      <c r="I76" s="2104">
        <f t="shared" si="9"/>
        <v>-125</v>
      </c>
      <c r="J76" s="2125">
        <v>2.5000000000000001E-2</v>
      </c>
      <c r="K76" s="2083"/>
      <c r="L76" s="2106"/>
      <c r="N76" s="2071">
        <f t="shared" si="11"/>
        <v>60</v>
      </c>
      <c r="O76" s="2130">
        <f>IF(D75=D76,O75+0.00001,ROUNDDOWN(MAX($O$16:$O75),0)+1)</f>
        <v>6.0000000000000092E-4</v>
      </c>
      <c r="P76" s="2131">
        <f t="shared" si="3"/>
        <v>-469.49</v>
      </c>
      <c r="Q76" s="2131">
        <f t="shared" si="4"/>
        <v>124.19999999999999</v>
      </c>
      <c r="R76" s="2131">
        <f t="shared" si="5"/>
        <v>39189.732770044073</v>
      </c>
      <c r="S76" s="2130">
        <f>IF(J75=J76,S75+0.00001,ROUNDDOWN(MAX($S$16:$S75),0)+1)</f>
        <v>1</v>
      </c>
      <c r="T76" s="2131">
        <f t="shared" si="6"/>
        <v>-321.25</v>
      </c>
      <c r="U76" s="2131">
        <f t="shared" si="7"/>
        <v>196.25</v>
      </c>
      <c r="V76" s="2071">
        <f t="shared" si="12"/>
        <v>60</v>
      </c>
    </row>
    <row r="77" spans="1:22">
      <c r="A77" s="2124">
        <f t="shared" si="13"/>
        <v>1</v>
      </c>
      <c r="B77" s="2073">
        <v>61</v>
      </c>
      <c r="C77" s="2104">
        <f t="shared" si="14"/>
        <v>-345.29</v>
      </c>
      <c r="D77" s="2125">
        <f t="shared" si="1"/>
        <v>0.03</v>
      </c>
      <c r="E77" s="2104">
        <f t="shared" si="8"/>
        <v>35503.083115666464</v>
      </c>
      <c r="F77" s="2135"/>
      <c r="G77" s="2127">
        <f t="shared" si="15"/>
        <v>2</v>
      </c>
      <c r="H77" s="2075">
        <v>61</v>
      </c>
      <c r="I77" s="2104">
        <f t="shared" si="9"/>
        <v>-104.16666666666667</v>
      </c>
      <c r="J77" s="2125">
        <f t="shared" si="10"/>
        <v>2.5000000000000001E-2</v>
      </c>
      <c r="K77" s="2083"/>
      <c r="L77" s="2106"/>
      <c r="N77" s="2071">
        <f t="shared" si="11"/>
        <v>61</v>
      </c>
      <c r="O77" s="2130">
        <f>IF(D76=D77,O76+0.00001,ROUNDDOWN(MAX($O$16:$O76),0)+1)</f>
        <v>6.1000000000000095E-4</v>
      </c>
      <c r="P77" s="2131">
        <f t="shared" si="3"/>
        <v>-469.49</v>
      </c>
      <c r="Q77" s="2131">
        <f t="shared" si="4"/>
        <v>124.19999999999999</v>
      </c>
      <c r="R77" s="2131">
        <f t="shared" si="5"/>
        <v>38972.036803091607</v>
      </c>
      <c r="S77" s="2130">
        <f>IF(J76=J77,S76+0.00001,ROUNDDOWN(MAX($S$16:$S76),0)+1)</f>
        <v>1.0000100000000001</v>
      </c>
      <c r="T77" s="2131">
        <f t="shared" si="6"/>
        <v>-321.25</v>
      </c>
      <c r="U77" s="2131">
        <f t="shared" si="7"/>
        <v>217.08333333333331</v>
      </c>
      <c r="V77" s="2071">
        <f t="shared" si="12"/>
        <v>61</v>
      </c>
    </row>
    <row r="78" spans="1:22">
      <c r="A78" s="2124">
        <f t="shared" si="13"/>
        <v>1</v>
      </c>
      <c r="B78" s="2073">
        <v>62</v>
      </c>
      <c r="C78" s="2104">
        <f t="shared" si="14"/>
        <v>-345.29</v>
      </c>
      <c r="D78" s="2125">
        <f t="shared" si="1"/>
        <v>0.03</v>
      </c>
      <c r="E78" s="2104">
        <f t="shared" si="8"/>
        <v>35246.550823455626</v>
      </c>
      <c r="F78" s="2135"/>
      <c r="G78" s="2127">
        <f t="shared" si="15"/>
        <v>2</v>
      </c>
      <c r="H78" s="2075">
        <v>62</v>
      </c>
      <c r="I78" s="2104">
        <f t="shared" si="9"/>
        <v>-104.16666666666667</v>
      </c>
      <c r="J78" s="2125">
        <f t="shared" si="10"/>
        <v>2.5000000000000001E-2</v>
      </c>
      <c r="K78" s="2083"/>
      <c r="L78" s="2106"/>
      <c r="N78" s="2071">
        <f t="shared" si="11"/>
        <v>62</v>
      </c>
      <c r="O78" s="2130">
        <f>IF(D77=D78,O77+0.00001,ROUNDDOWN(MAX($O$16:$O77),0)+1)</f>
        <v>6.2000000000000098E-4</v>
      </c>
      <c r="P78" s="2131">
        <f t="shared" si="3"/>
        <v>-469.49</v>
      </c>
      <c r="Q78" s="2131">
        <f t="shared" si="4"/>
        <v>124.19999999999999</v>
      </c>
      <c r="R78" s="2131">
        <f t="shared" si="5"/>
        <v>38752.942139551466</v>
      </c>
      <c r="S78" s="2130">
        <f>IF(J77=J78,S77+0.00001,ROUNDDOWN(MAX($S$16:$S77),0)+1)</f>
        <v>1.0000200000000001</v>
      </c>
      <c r="T78" s="2131">
        <f t="shared" si="6"/>
        <v>-321.25</v>
      </c>
      <c r="U78" s="2131">
        <f t="shared" si="7"/>
        <v>217.08333333333331</v>
      </c>
      <c r="V78" s="2071">
        <f t="shared" si="12"/>
        <v>62</v>
      </c>
    </row>
    <row r="79" spans="1:22">
      <c r="A79" s="2124">
        <f t="shared" si="13"/>
        <v>1</v>
      </c>
      <c r="B79" s="2073">
        <v>63</v>
      </c>
      <c r="C79" s="2104">
        <f t="shared" si="14"/>
        <v>-345.29</v>
      </c>
      <c r="D79" s="2125">
        <f t="shared" si="1"/>
        <v>0.03</v>
      </c>
      <c r="E79" s="2104">
        <f t="shared" si="8"/>
        <v>34989.37720051426</v>
      </c>
      <c r="F79" s="2135"/>
      <c r="G79" s="2127">
        <f t="shared" si="15"/>
        <v>2</v>
      </c>
      <c r="H79" s="2075">
        <v>63</v>
      </c>
      <c r="I79" s="2104">
        <f t="shared" si="9"/>
        <v>-104.16666666666667</v>
      </c>
      <c r="J79" s="2125">
        <f t="shared" si="10"/>
        <v>2.5000000000000001E-2</v>
      </c>
      <c r="K79" s="2083"/>
      <c r="L79" s="2106"/>
      <c r="N79" s="2071">
        <f t="shared" si="11"/>
        <v>63</v>
      </c>
      <c r="O79" s="2130">
        <f>IF(D78=D79,O78+0.00001,ROUNDDOWN(MAX($O$16:$O78),0)+1)</f>
        <v>6.30000000000001E-4</v>
      </c>
      <c r="P79" s="2131">
        <f t="shared" si="3"/>
        <v>-469.49</v>
      </c>
      <c r="Q79" s="2131">
        <f t="shared" si="4"/>
        <v>124.19999999999999</v>
      </c>
      <c r="R79" s="2131">
        <f t="shared" si="5"/>
        <v>38532.439792798083</v>
      </c>
      <c r="S79" s="2130">
        <f>IF(J78=J79,S78+0.00001,ROUNDDOWN(MAX($S$16:$S78),0)+1)</f>
        <v>1.0000300000000002</v>
      </c>
      <c r="T79" s="2131">
        <f t="shared" si="6"/>
        <v>-321.25</v>
      </c>
      <c r="U79" s="2131">
        <f t="shared" si="7"/>
        <v>217.08333333333331</v>
      </c>
      <c r="V79" s="2071">
        <f t="shared" si="12"/>
        <v>63</v>
      </c>
    </row>
    <row r="80" spans="1:22">
      <c r="A80" s="2124">
        <f t="shared" si="13"/>
        <v>1</v>
      </c>
      <c r="B80" s="2073">
        <v>64</v>
      </c>
      <c r="C80" s="2104">
        <f t="shared" si="14"/>
        <v>-345.29</v>
      </c>
      <c r="D80" s="2125">
        <f t="shared" si="1"/>
        <v>0.03</v>
      </c>
      <c r="E80" s="2104">
        <f t="shared" si="8"/>
        <v>34731.560643515542</v>
      </c>
      <c r="F80" s="2135"/>
      <c r="G80" s="2127">
        <f t="shared" si="15"/>
        <v>2</v>
      </c>
      <c r="H80" s="2075">
        <v>64</v>
      </c>
      <c r="I80" s="2104">
        <f t="shared" si="9"/>
        <v>-104.16666666666667</v>
      </c>
      <c r="J80" s="2125">
        <f t="shared" si="10"/>
        <v>2.5000000000000001E-2</v>
      </c>
      <c r="K80" s="2083"/>
      <c r="L80" s="2106"/>
      <c r="N80" s="2071">
        <f t="shared" si="11"/>
        <v>64</v>
      </c>
      <c r="O80" s="2130">
        <f>IF(D79=D80,O79+0.00001,ROUNDDOWN(MAX($O$16:$O79),0)+1)</f>
        <v>6.4000000000000103E-4</v>
      </c>
      <c r="P80" s="2131">
        <f t="shared" si="3"/>
        <v>-469.49</v>
      </c>
      <c r="Q80" s="2131">
        <f t="shared" si="4"/>
        <v>124.19999999999999</v>
      </c>
      <c r="R80" s="2131">
        <f t="shared" si="5"/>
        <v>38310.520718466811</v>
      </c>
      <c r="S80" s="2130">
        <f>IF(J79=J80,S79+0.00001,ROUNDDOWN(MAX($S$16:$S79),0)+1)</f>
        <v>1.0000400000000003</v>
      </c>
      <c r="T80" s="2131">
        <f t="shared" si="6"/>
        <v>-321.25</v>
      </c>
      <c r="U80" s="2131">
        <f t="shared" si="7"/>
        <v>217.08333333333331</v>
      </c>
      <c r="V80" s="2071">
        <f t="shared" si="12"/>
        <v>64</v>
      </c>
    </row>
    <row r="81" spans="1:22">
      <c r="A81" s="2124">
        <f t="shared" si="13"/>
        <v>1</v>
      </c>
      <c r="B81" s="2073">
        <v>65</v>
      </c>
      <c r="C81" s="2104">
        <f t="shared" si="14"/>
        <v>-345.29</v>
      </c>
      <c r="D81" s="2125">
        <f t="shared" ref="D81:D144" si="16">D80</f>
        <v>0.03</v>
      </c>
      <c r="E81" s="2104">
        <f t="shared" si="8"/>
        <v>34473.099545124329</v>
      </c>
      <c r="F81" s="2135"/>
      <c r="G81" s="2127">
        <f t="shared" si="15"/>
        <v>2</v>
      </c>
      <c r="H81" s="2075">
        <v>65</v>
      </c>
      <c r="I81" s="2104">
        <f t="shared" si="9"/>
        <v>-104.16666666666667</v>
      </c>
      <c r="J81" s="2125">
        <f t="shared" si="10"/>
        <v>2.5000000000000001E-2</v>
      </c>
      <c r="K81" s="2083"/>
      <c r="L81" s="2106"/>
      <c r="N81" s="2071">
        <f t="shared" si="11"/>
        <v>65</v>
      </c>
      <c r="O81" s="2130">
        <f>IF(D80=D81,O80+0.00001,ROUNDDOWN(MAX($O$16:$O80),0)+1)</f>
        <v>6.5000000000000105E-4</v>
      </c>
      <c r="P81" s="2131">
        <f t="shared" ref="P81:P144" si="17">IF($B81&gt;IF(N($C$7)=0,$C$4*$C$5,$C$7),0,IF(B81=IF(N($C$7)=0,$C$4*$C$5,$C$7),-$R80*(1+$C$11/$C$5),ROUND(PMT($C$11/$C$5,$C$4*$C$5,$C$3),2)))</f>
        <v>-469.49</v>
      </c>
      <c r="Q81" s="2131">
        <f t="shared" ref="Q81:Q144" si="18">C81-P81</f>
        <v>124.19999999999999</v>
      </c>
      <c r="R81" s="2131">
        <f t="shared" ref="R81:R144" si="19">R80*(1+$C$11/$C$5)+P81</f>
        <v>38087.175814082955</v>
      </c>
      <c r="S81" s="2130">
        <f>IF(J80=J81,S80+0.00001,ROUNDDOWN(MAX($S$16:$S80),0)+1)</f>
        <v>1.0000500000000003</v>
      </c>
      <c r="T81" s="2131">
        <f t="shared" ref="T81:T144" si="20">IF(I$4*I$5=H81,-I$3*(1+$I$11/I$5),IF(I$4*I$5&lt;H81,0,-I$3*$I$11/I$5))</f>
        <v>-321.25</v>
      </c>
      <c r="U81" s="2131">
        <f t="shared" ref="U81:U144" si="21">I81-T81</f>
        <v>217.08333333333331</v>
      </c>
      <c r="V81" s="2071">
        <f t="shared" si="12"/>
        <v>65</v>
      </c>
    </row>
    <row r="82" spans="1:22">
      <c r="A82" s="2124">
        <f t="shared" si="13"/>
        <v>1</v>
      </c>
      <c r="B82" s="2073">
        <v>66</v>
      </c>
      <c r="C82" s="2104">
        <f t="shared" si="14"/>
        <v>-345.29</v>
      </c>
      <c r="D82" s="2125">
        <f t="shared" si="16"/>
        <v>0.03</v>
      </c>
      <c r="E82" s="2104">
        <f t="shared" ref="E82:E145" si="22">E81*(1+D81/C$5)+C82</f>
        <v>34213.992293987139</v>
      </c>
      <c r="F82" s="2135"/>
      <c r="G82" s="2127">
        <f t="shared" si="15"/>
        <v>2</v>
      </c>
      <c r="H82" s="2075">
        <v>66</v>
      </c>
      <c r="I82" s="2104">
        <f t="shared" ref="I82:I145" si="23">IF(I$4*I$5=H82,-I$3*(1+J81/I$5),IF(I$4*I$5&lt;H82,0,-I$3*J81/I$5))</f>
        <v>-104.16666666666667</v>
      </c>
      <c r="J82" s="2125">
        <f t="shared" ref="J82:J145" si="24">J81</f>
        <v>2.5000000000000001E-2</v>
      </c>
      <c r="K82" s="2083"/>
      <c r="L82" s="2106"/>
      <c r="N82" s="2071">
        <f t="shared" ref="N82:N145" si="25">B82</f>
        <v>66</v>
      </c>
      <c r="O82" s="2130">
        <f>IF(D81=D82,O81+0.00001,ROUNDDOWN(MAX($O$16:$O81),0)+1)</f>
        <v>6.6000000000000108E-4</v>
      </c>
      <c r="P82" s="2131">
        <f t="shared" si="17"/>
        <v>-469.49</v>
      </c>
      <c r="Q82" s="2131">
        <f t="shared" si="18"/>
        <v>124.19999999999999</v>
      </c>
      <c r="R82" s="2131">
        <f t="shared" si="19"/>
        <v>37862.395918688439</v>
      </c>
      <c r="S82" s="2130">
        <f>IF(J81=J82,S81+0.00001,ROUNDDOWN(MAX($S$16:$S81),0)+1)</f>
        <v>1.0000600000000004</v>
      </c>
      <c r="T82" s="2131">
        <f t="shared" si="20"/>
        <v>-321.25</v>
      </c>
      <c r="U82" s="2131">
        <f t="shared" si="21"/>
        <v>217.08333333333331</v>
      </c>
      <c r="V82" s="2071">
        <f t="shared" ref="V82:V145" si="26">H82</f>
        <v>66</v>
      </c>
    </row>
    <row r="83" spans="1:22">
      <c r="A83" s="2124">
        <f t="shared" ref="A83:A146" si="27">ROUND(A82+IF(D83&lt;&gt;D82,1,0),0)</f>
        <v>1</v>
      </c>
      <c r="B83" s="2073">
        <v>67</v>
      </c>
      <c r="C83" s="2104">
        <f t="shared" ref="C83:C146" si="28">IF(B83&gt;IF(N(C$7)=0,C$4*C$5,C$7),0,IF(B83=IF(N(C$7)=0,C$4*C$5,C$7),-E82*(1+D82/C$5),IF(D82=D81,C82,ROUND(PMT(D82/C$5,C$4*C$5-B82,E82),2))))</f>
        <v>-345.29</v>
      </c>
      <c r="D83" s="2125">
        <f t="shared" si="16"/>
        <v>0.03</v>
      </c>
      <c r="E83" s="2104">
        <f t="shared" si="22"/>
        <v>33954.237274722102</v>
      </c>
      <c r="F83" s="2135"/>
      <c r="G83" s="2127">
        <f t="shared" ref="G83:G146" si="29">ROUND(G82+IF(J83&lt;&gt;J82,1,0),0)</f>
        <v>2</v>
      </c>
      <c r="H83" s="2075">
        <v>67</v>
      </c>
      <c r="I83" s="2104">
        <f t="shared" si="23"/>
        <v>-104.16666666666667</v>
      </c>
      <c r="J83" s="2125">
        <f t="shared" si="24"/>
        <v>2.5000000000000001E-2</v>
      </c>
      <c r="K83" s="2083"/>
      <c r="L83" s="2106"/>
      <c r="N83" s="2071">
        <f t="shared" si="25"/>
        <v>67</v>
      </c>
      <c r="O83" s="2130">
        <f>IF(D82=D83,O82+0.00001,ROUNDDOWN(MAX($O$16:$O82),0)+1)</f>
        <v>6.7000000000000111E-4</v>
      </c>
      <c r="P83" s="2131">
        <f t="shared" si="17"/>
        <v>-469.49</v>
      </c>
      <c r="Q83" s="2131">
        <f t="shared" si="18"/>
        <v>124.19999999999999</v>
      </c>
      <c r="R83" s="2131">
        <f t="shared" si="19"/>
        <v>37636.171812466011</v>
      </c>
      <c r="S83" s="2130">
        <f>IF(J82=J83,S82+0.00001,ROUNDDOWN(MAX($S$16:$S82),0)+1)</f>
        <v>1.0000700000000005</v>
      </c>
      <c r="T83" s="2131">
        <f t="shared" si="20"/>
        <v>-321.25</v>
      </c>
      <c r="U83" s="2131">
        <f t="shared" si="21"/>
        <v>217.08333333333331</v>
      </c>
      <c r="V83" s="2071">
        <f t="shared" si="26"/>
        <v>67</v>
      </c>
    </row>
    <row r="84" spans="1:22">
      <c r="A84" s="2124">
        <f t="shared" si="27"/>
        <v>1</v>
      </c>
      <c r="B84" s="2073">
        <v>68</v>
      </c>
      <c r="C84" s="2104">
        <f t="shared" si="28"/>
        <v>-345.29</v>
      </c>
      <c r="D84" s="2125">
        <f t="shared" si="16"/>
        <v>0.03</v>
      </c>
      <c r="E84" s="2104">
        <f t="shared" si="22"/>
        <v>33693.832867908903</v>
      </c>
      <c r="F84" s="2135"/>
      <c r="G84" s="2127">
        <f t="shared" si="29"/>
        <v>2</v>
      </c>
      <c r="H84" s="2075">
        <v>68</v>
      </c>
      <c r="I84" s="2104">
        <f t="shared" si="23"/>
        <v>-104.16666666666667</v>
      </c>
      <c r="J84" s="2125">
        <f t="shared" si="24"/>
        <v>2.5000000000000001E-2</v>
      </c>
      <c r="K84" s="2083"/>
      <c r="L84" s="2106"/>
      <c r="N84" s="2071">
        <f t="shared" si="25"/>
        <v>68</v>
      </c>
      <c r="O84" s="2130">
        <f>IF(D83=D84,O83+0.00001,ROUNDDOWN(MAX($O$16:$O83),0)+1)</f>
        <v>6.8000000000000113E-4</v>
      </c>
      <c r="P84" s="2131">
        <f t="shared" si="17"/>
        <v>-469.49</v>
      </c>
      <c r="Q84" s="2131">
        <f t="shared" si="18"/>
        <v>124.19999999999999</v>
      </c>
      <c r="R84" s="2131">
        <f t="shared" si="19"/>
        <v>37408.494216361105</v>
      </c>
      <c r="S84" s="2130">
        <f>IF(J83=J84,S83+0.00001,ROUNDDOWN(MAX($S$16:$S83),0)+1)</f>
        <v>1.0000800000000005</v>
      </c>
      <c r="T84" s="2131">
        <f t="shared" si="20"/>
        <v>-321.25</v>
      </c>
      <c r="U84" s="2131">
        <f t="shared" si="21"/>
        <v>217.08333333333331</v>
      </c>
      <c r="V84" s="2071">
        <f t="shared" si="26"/>
        <v>68</v>
      </c>
    </row>
    <row r="85" spans="1:22">
      <c r="A85" s="2124">
        <f t="shared" si="27"/>
        <v>1</v>
      </c>
      <c r="B85" s="2073">
        <v>69</v>
      </c>
      <c r="C85" s="2104">
        <f t="shared" si="28"/>
        <v>-345.29</v>
      </c>
      <c r="D85" s="2125">
        <f t="shared" si="16"/>
        <v>0.03</v>
      </c>
      <c r="E85" s="2104">
        <f t="shared" si="22"/>
        <v>33432.777450078669</v>
      </c>
      <c r="F85" s="2135"/>
      <c r="G85" s="2127">
        <f t="shared" si="29"/>
        <v>2</v>
      </c>
      <c r="H85" s="2075">
        <v>69</v>
      </c>
      <c r="I85" s="2104">
        <f t="shared" si="23"/>
        <v>-104.16666666666667</v>
      </c>
      <c r="J85" s="2125">
        <f t="shared" si="24"/>
        <v>2.5000000000000001E-2</v>
      </c>
      <c r="K85" s="2083"/>
      <c r="L85" s="2106"/>
      <c r="N85" s="2071">
        <f t="shared" si="25"/>
        <v>69</v>
      </c>
      <c r="O85" s="2130">
        <f>IF(D84=D85,O84+0.00001,ROUNDDOWN(MAX($O$16:$O84),0)+1)</f>
        <v>6.9000000000000116E-4</v>
      </c>
      <c r="P85" s="2131">
        <f t="shared" si="17"/>
        <v>-469.49</v>
      </c>
      <c r="Q85" s="2131">
        <f t="shared" si="18"/>
        <v>124.19999999999999</v>
      </c>
      <c r="R85" s="2131">
        <f t="shared" si="19"/>
        <v>37179.353791701222</v>
      </c>
      <c r="S85" s="2130">
        <f>IF(J84=J85,S84+0.00001,ROUNDDOWN(MAX($S$16:$S84),0)+1)</f>
        <v>1.0000900000000006</v>
      </c>
      <c r="T85" s="2131">
        <f t="shared" si="20"/>
        <v>-321.25</v>
      </c>
      <c r="U85" s="2131">
        <f t="shared" si="21"/>
        <v>217.08333333333331</v>
      </c>
      <c r="V85" s="2071">
        <f t="shared" si="26"/>
        <v>69</v>
      </c>
    </row>
    <row r="86" spans="1:22">
      <c r="A86" s="2124">
        <f t="shared" si="27"/>
        <v>1</v>
      </c>
      <c r="B86" s="2073">
        <v>70</v>
      </c>
      <c r="C86" s="2104">
        <f t="shared" si="28"/>
        <v>-345.29</v>
      </c>
      <c r="D86" s="2125">
        <f t="shared" si="16"/>
        <v>0.03</v>
      </c>
      <c r="E86" s="2104">
        <f t="shared" si="22"/>
        <v>33171.06939370386</v>
      </c>
      <c r="F86" s="2135"/>
      <c r="G86" s="2127">
        <f t="shared" si="29"/>
        <v>2</v>
      </c>
      <c r="H86" s="2075">
        <v>70</v>
      </c>
      <c r="I86" s="2104">
        <f t="shared" si="23"/>
        <v>-104.16666666666667</v>
      </c>
      <c r="J86" s="2125">
        <f t="shared" si="24"/>
        <v>2.5000000000000001E-2</v>
      </c>
      <c r="K86" s="2083"/>
      <c r="L86" s="2106"/>
      <c r="N86" s="2071">
        <f t="shared" si="25"/>
        <v>70</v>
      </c>
      <c r="O86" s="2130">
        <f>IF(D85=D86,O85+0.00001,ROUNDDOWN(MAX($O$16:$O85),0)+1)</f>
        <v>7.0000000000000119E-4</v>
      </c>
      <c r="P86" s="2131">
        <f t="shared" si="17"/>
        <v>-469.49</v>
      </c>
      <c r="Q86" s="2131">
        <f t="shared" si="18"/>
        <v>124.19999999999999</v>
      </c>
      <c r="R86" s="2131">
        <f t="shared" si="19"/>
        <v>36948.741139812897</v>
      </c>
      <c r="S86" s="2130">
        <f>IF(J85=J86,S85+0.00001,ROUNDDOWN(MAX($S$16:$S85),0)+1)</f>
        <v>1.0001000000000007</v>
      </c>
      <c r="T86" s="2131">
        <f t="shared" si="20"/>
        <v>-321.25</v>
      </c>
      <c r="U86" s="2131">
        <f t="shared" si="21"/>
        <v>217.08333333333331</v>
      </c>
      <c r="V86" s="2071">
        <f t="shared" si="26"/>
        <v>70</v>
      </c>
    </row>
    <row r="87" spans="1:22">
      <c r="A87" s="2124">
        <f t="shared" si="27"/>
        <v>1</v>
      </c>
      <c r="B87" s="2073">
        <v>71</v>
      </c>
      <c r="C87" s="2104">
        <f t="shared" si="28"/>
        <v>-345.29</v>
      </c>
      <c r="D87" s="2125">
        <f t="shared" si="16"/>
        <v>0.03</v>
      </c>
      <c r="E87" s="2104">
        <f t="shared" si="22"/>
        <v>32908.707067188116</v>
      </c>
      <c r="F87" s="2135"/>
      <c r="G87" s="2127">
        <f t="shared" si="29"/>
        <v>2</v>
      </c>
      <c r="H87" s="2075">
        <v>71</v>
      </c>
      <c r="I87" s="2104">
        <f t="shared" si="23"/>
        <v>-104.16666666666667</v>
      </c>
      <c r="J87" s="2125">
        <f t="shared" si="24"/>
        <v>2.5000000000000001E-2</v>
      </c>
      <c r="K87" s="2083"/>
      <c r="L87" s="2106"/>
      <c r="N87" s="2071">
        <f t="shared" si="25"/>
        <v>71</v>
      </c>
      <c r="O87" s="2130">
        <f>IF(D86=D87,O86+0.00001,ROUNDDOWN(MAX($O$16:$O86),0)+1)</f>
        <v>7.1000000000000121E-4</v>
      </c>
      <c r="P87" s="2131">
        <f t="shared" si="17"/>
        <v>-469.49</v>
      </c>
      <c r="Q87" s="2131">
        <f t="shared" si="18"/>
        <v>124.19999999999999</v>
      </c>
      <c r="R87" s="2131">
        <f t="shared" si="19"/>
        <v>36716.646801636191</v>
      </c>
      <c r="S87" s="2130">
        <f>IF(J86=J87,S86+0.00001,ROUNDDOWN(MAX($S$16:$S86),0)+1)</f>
        <v>1.0001100000000007</v>
      </c>
      <c r="T87" s="2131">
        <f t="shared" si="20"/>
        <v>-321.25</v>
      </c>
      <c r="U87" s="2131">
        <f t="shared" si="21"/>
        <v>217.08333333333331</v>
      </c>
      <c r="V87" s="2071">
        <f t="shared" si="26"/>
        <v>71</v>
      </c>
    </row>
    <row r="88" spans="1:22">
      <c r="A88" s="2124">
        <f t="shared" si="27"/>
        <v>1</v>
      </c>
      <c r="B88" s="2073">
        <v>72</v>
      </c>
      <c r="C88" s="2104">
        <f t="shared" si="28"/>
        <v>-345.29</v>
      </c>
      <c r="D88" s="2125">
        <f t="shared" si="16"/>
        <v>0.03</v>
      </c>
      <c r="E88" s="2104">
        <f t="shared" si="22"/>
        <v>32645.688834856082</v>
      </c>
      <c r="F88" s="2135"/>
      <c r="G88" s="2127">
        <f t="shared" si="29"/>
        <v>2</v>
      </c>
      <c r="H88" s="2075">
        <v>72</v>
      </c>
      <c r="I88" s="2104">
        <f t="shared" si="23"/>
        <v>-104.16666666666667</v>
      </c>
      <c r="J88" s="2125">
        <f t="shared" si="24"/>
        <v>2.5000000000000001E-2</v>
      </c>
      <c r="K88" s="2083"/>
      <c r="L88" s="2106"/>
      <c r="N88" s="2071">
        <f t="shared" si="25"/>
        <v>72</v>
      </c>
      <c r="O88" s="2130">
        <f>IF(D87=D88,O87+0.00001,ROUNDDOWN(MAX($O$16:$O87),0)+1)</f>
        <v>7.2000000000000124E-4</v>
      </c>
      <c r="P88" s="2131">
        <f t="shared" si="17"/>
        <v>-469.49</v>
      </c>
      <c r="Q88" s="2131">
        <f t="shared" si="18"/>
        <v>124.19999999999999</v>
      </c>
      <c r="R88" s="2131">
        <f t="shared" si="19"/>
        <v>36483.061257336703</v>
      </c>
      <c r="S88" s="2130">
        <f>IF(J87=J88,S87+0.00001,ROUNDDOWN(MAX($S$16:$S87),0)+1)</f>
        <v>1.0001200000000008</v>
      </c>
      <c r="T88" s="2131">
        <f t="shared" si="20"/>
        <v>-321.25</v>
      </c>
      <c r="U88" s="2131">
        <f t="shared" si="21"/>
        <v>217.08333333333331</v>
      </c>
      <c r="V88" s="2071">
        <f t="shared" si="26"/>
        <v>72</v>
      </c>
    </row>
    <row r="89" spans="1:22">
      <c r="A89" s="2124">
        <f t="shared" si="27"/>
        <v>1</v>
      </c>
      <c r="B89" s="2073">
        <v>73</v>
      </c>
      <c r="C89" s="2104">
        <f t="shared" si="28"/>
        <v>-345.29</v>
      </c>
      <c r="D89" s="2125">
        <f t="shared" si="16"/>
        <v>0.03</v>
      </c>
      <c r="E89" s="2104">
        <f t="shared" si="22"/>
        <v>32382.013056943219</v>
      </c>
      <c r="F89" s="2135"/>
      <c r="G89" s="2127">
        <f t="shared" si="29"/>
        <v>2</v>
      </c>
      <c r="H89" s="2075">
        <v>73</v>
      </c>
      <c r="I89" s="2104">
        <f t="shared" si="23"/>
        <v>-104.16666666666667</v>
      </c>
      <c r="J89" s="2125">
        <f t="shared" si="24"/>
        <v>2.5000000000000001E-2</v>
      </c>
      <c r="K89" s="2083"/>
      <c r="L89" s="2106"/>
      <c r="N89" s="2071">
        <f t="shared" si="25"/>
        <v>73</v>
      </c>
      <c r="O89" s="2130">
        <f>IF(D88=D89,O88+0.00001,ROUNDDOWN(MAX($O$16:$O88),0)+1)</f>
        <v>7.3000000000000126E-4</v>
      </c>
      <c r="P89" s="2131">
        <f t="shared" si="17"/>
        <v>-469.49</v>
      </c>
      <c r="Q89" s="2131">
        <f t="shared" si="18"/>
        <v>124.19999999999999</v>
      </c>
      <c r="R89" s="2131">
        <f t="shared" si="19"/>
        <v>36247.974925915092</v>
      </c>
      <c r="S89" s="2130">
        <f>IF(J88=J89,S88+0.00001,ROUNDDOWN(MAX($S$16:$S88),0)+1)</f>
        <v>1.0001300000000009</v>
      </c>
      <c r="T89" s="2131">
        <f t="shared" si="20"/>
        <v>-321.25</v>
      </c>
      <c r="U89" s="2131">
        <f t="shared" si="21"/>
        <v>217.08333333333331</v>
      </c>
      <c r="V89" s="2071">
        <f t="shared" si="26"/>
        <v>73</v>
      </c>
    </row>
    <row r="90" spans="1:22">
      <c r="A90" s="2124">
        <f t="shared" si="27"/>
        <v>1</v>
      </c>
      <c r="B90" s="2073">
        <v>74</v>
      </c>
      <c r="C90" s="2104">
        <f t="shared" si="28"/>
        <v>-345.29</v>
      </c>
      <c r="D90" s="2125">
        <f t="shared" si="16"/>
        <v>0.03</v>
      </c>
      <c r="E90" s="2104">
        <f t="shared" si="22"/>
        <v>32117.678089585574</v>
      </c>
      <c r="F90" s="2135"/>
      <c r="G90" s="2127">
        <f t="shared" si="29"/>
        <v>2</v>
      </c>
      <c r="H90" s="2075">
        <v>74</v>
      </c>
      <c r="I90" s="2104">
        <f t="shared" si="23"/>
        <v>-104.16666666666667</v>
      </c>
      <c r="J90" s="2125">
        <f t="shared" si="24"/>
        <v>2.5000000000000001E-2</v>
      </c>
      <c r="K90" s="2083"/>
      <c r="L90" s="2106"/>
      <c r="N90" s="2071">
        <f t="shared" si="25"/>
        <v>74</v>
      </c>
      <c r="O90" s="2130">
        <f>IF(D89=D90,O89+0.00001,ROUNDDOWN(MAX($O$16:$O89),0)+1)</f>
        <v>7.4000000000000129E-4</v>
      </c>
      <c r="P90" s="2131">
        <f t="shared" si="17"/>
        <v>-469.49</v>
      </c>
      <c r="Q90" s="2131">
        <f t="shared" si="18"/>
        <v>124.19999999999999</v>
      </c>
      <c r="R90" s="2131">
        <f t="shared" si="19"/>
        <v>36011.378164814094</v>
      </c>
      <c r="S90" s="2130">
        <f>IF(J89=J90,S89+0.00001,ROUNDDOWN(MAX($S$16:$S89),0)+1)</f>
        <v>1.0001400000000009</v>
      </c>
      <c r="T90" s="2131">
        <f t="shared" si="20"/>
        <v>-321.25</v>
      </c>
      <c r="U90" s="2131">
        <f t="shared" si="21"/>
        <v>217.08333333333331</v>
      </c>
      <c r="V90" s="2071">
        <f t="shared" si="26"/>
        <v>74</v>
      </c>
    </row>
    <row r="91" spans="1:22">
      <c r="A91" s="2124">
        <f t="shared" si="27"/>
        <v>1</v>
      </c>
      <c r="B91" s="2073">
        <v>75</v>
      </c>
      <c r="C91" s="2104">
        <f t="shared" si="28"/>
        <v>-345.29</v>
      </c>
      <c r="D91" s="2125">
        <f t="shared" si="16"/>
        <v>0.03</v>
      </c>
      <c r="E91" s="2104">
        <f t="shared" si="22"/>
        <v>31852.682284809536</v>
      </c>
      <c r="F91" s="2135"/>
      <c r="G91" s="2127">
        <f t="shared" si="29"/>
        <v>2</v>
      </c>
      <c r="H91" s="2075">
        <v>75</v>
      </c>
      <c r="I91" s="2104">
        <f t="shared" si="23"/>
        <v>-104.16666666666667</v>
      </c>
      <c r="J91" s="2125">
        <f t="shared" si="24"/>
        <v>2.5000000000000001E-2</v>
      </c>
      <c r="K91" s="2083"/>
      <c r="L91" s="2106"/>
      <c r="N91" s="2071">
        <f t="shared" si="25"/>
        <v>75</v>
      </c>
      <c r="O91" s="2130">
        <f>IF(D90=D91,O90+0.00001,ROUNDDOWN(MAX($O$16:$O90),0)+1)</f>
        <v>7.5000000000000132E-4</v>
      </c>
      <c r="P91" s="2131">
        <f t="shared" si="17"/>
        <v>-469.49</v>
      </c>
      <c r="Q91" s="2131">
        <f t="shared" si="18"/>
        <v>124.19999999999999</v>
      </c>
      <c r="R91" s="2131">
        <f t="shared" si="19"/>
        <v>35773.26126952302</v>
      </c>
      <c r="S91" s="2130">
        <f>IF(J90=J91,S90+0.00001,ROUNDDOWN(MAX($S$16:$S90),0)+1)</f>
        <v>1.000150000000001</v>
      </c>
      <c r="T91" s="2131">
        <f t="shared" si="20"/>
        <v>-321.25</v>
      </c>
      <c r="U91" s="2131">
        <f t="shared" si="21"/>
        <v>217.08333333333331</v>
      </c>
      <c r="V91" s="2071">
        <f t="shared" si="26"/>
        <v>75</v>
      </c>
    </row>
    <row r="92" spans="1:22">
      <c r="A92" s="2124">
        <f t="shared" si="27"/>
        <v>1</v>
      </c>
      <c r="B92" s="2073">
        <v>76</v>
      </c>
      <c r="C92" s="2104">
        <f t="shared" si="28"/>
        <v>-345.29</v>
      </c>
      <c r="D92" s="2125">
        <f t="shared" si="16"/>
        <v>0.03</v>
      </c>
      <c r="E92" s="2104">
        <f t="shared" si="22"/>
        <v>31587.023990521557</v>
      </c>
      <c r="F92" s="2135"/>
      <c r="G92" s="2127">
        <f t="shared" si="29"/>
        <v>2</v>
      </c>
      <c r="H92" s="2075">
        <v>76</v>
      </c>
      <c r="I92" s="2104">
        <f t="shared" si="23"/>
        <v>-104.16666666666667</v>
      </c>
      <c r="J92" s="2125">
        <f t="shared" si="24"/>
        <v>2.5000000000000001E-2</v>
      </c>
      <c r="K92" s="2083"/>
      <c r="L92" s="2106"/>
      <c r="N92" s="2071">
        <f t="shared" si="25"/>
        <v>76</v>
      </c>
      <c r="O92" s="2130">
        <f>IF(D91=D92,O91+0.00001,ROUNDDOWN(MAX($O$16:$O91),0)+1)</f>
        <v>7.6000000000000134E-4</v>
      </c>
      <c r="P92" s="2131">
        <f t="shared" si="17"/>
        <v>-469.49</v>
      </c>
      <c r="Q92" s="2131">
        <f t="shared" si="18"/>
        <v>124.19999999999999</v>
      </c>
      <c r="R92" s="2131">
        <f t="shared" si="19"/>
        <v>35533.614473179703</v>
      </c>
      <c r="S92" s="2130">
        <f>IF(J91=J92,S91+0.00001,ROUNDDOWN(MAX($S$16:$S91),0)+1)</f>
        <v>1.000160000000001</v>
      </c>
      <c r="T92" s="2131">
        <f t="shared" si="20"/>
        <v>-321.25</v>
      </c>
      <c r="U92" s="2131">
        <f t="shared" si="21"/>
        <v>217.08333333333331</v>
      </c>
      <c r="V92" s="2071">
        <f t="shared" si="26"/>
        <v>76</v>
      </c>
    </row>
    <row r="93" spans="1:22">
      <c r="A93" s="2124">
        <f t="shared" si="27"/>
        <v>1</v>
      </c>
      <c r="B93" s="2073">
        <v>77</v>
      </c>
      <c r="C93" s="2104">
        <f t="shared" si="28"/>
        <v>-345.29</v>
      </c>
      <c r="D93" s="2125">
        <f t="shared" si="16"/>
        <v>0.03</v>
      </c>
      <c r="E93" s="2104">
        <f t="shared" si="22"/>
        <v>31320.701550497859</v>
      </c>
      <c r="F93" s="2135"/>
      <c r="G93" s="2127">
        <f t="shared" si="29"/>
        <v>2</v>
      </c>
      <c r="H93" s="2075">
        <v>77</v>
      </c>
      <c r="I93" s="2104">
        <f t="shared" si="23"/>
        <v>-104.16666666666667</v>
      </c>
      <c r="J93" s="2125">
        <f t="shared" si="24"/>
        <v>2.5000000000000001E-2</v>
      </c>
      <c r="K93" s="2083"/>
      <c r="L93" s="2106"/>
      <c r="N93" s="2071">
        <f t="shared" si="25"/>
        <v>77</v>
      </c>
      <c r="O93" s="2130">
        <f>IF(D92=D93,O92+0.00001,ROUNDDOWN(MAX($O$16:$O92),0)+1)</f>
        <v>7.7000000000000137E-4</v>
      </c>
      <c r="P93" s="2131">
        <f t="shared" si="17"/>
        <v>-469.49</v>
      </c>
      <c r="Q93" s="2131">
        <f t="shared" si="18"/>
        <v>124.19999999999999</v>
      </c>
      <c r="R93" s="2131">
        <f t="shared" si="19"/>
        <v>35292.427946169882</v>
      </c>
      <c r="S93" s="2130">
        <f>IF(J92=J93,S92+0.00001,ROUNDDOWN(MAX($S$16:$S92),0)+1)</f>
        <v>1.0001700000000011</v>
      </c>
      <c r="T93" s="2131">
        <f t="shared" si="20"/>
        <v>-321.25</v>
      </c>
      <c r="U93" s="2131">
        <f t="shared" si="21"/>
        <v>217.08333333333331</v>
      </c>
      <c r="V93" s="2071">
        <f t="shared" si="26"/>
        <v>77</v>
      </c>
    </row>
    <row r="94" spans="1:22">
      <c r="A94" s="2124">
        <f t="shared" si="27"/>
        <v>1</v>
      </c>
      <c r="B94" s="2073">
        <v>78</v>
      </c>
      <c r="C94" s="2104">
        <f t="shared" si="28"/>
        <v>-345.29</v>
      </c>
      <c r="D94" s="2125">
        <f t="shared" si="16"/>
        <v>0.03</v>
      </c>
      <c r="E94" s="2104">
        <f t="shared" si="22"/>
        <v>31053.713304374101</v>
      </c>
      <c r="F94" s="2135"/>
      <c r="G94" s="2127">
        <f t="shared" si="29"/>
        <v>2</v>
      </c>
      <c r="H94" s="2075">
        <v>78</v>
      </c>
      <c r="I94" s="2104">
        <f t="shared" si="23"/>
        <v>-104.16666666666667</v>
      </c>
      <c r="J94" s="2125">
        <f t="shared" si="24"/>
        <v>2.5000000000000001E-2</v>
      </c>
      <c r="K94" s="2083"/>
      <c r="L94" s="2106"/>
      <c r="N94" s="2071">
        <f t="shared" si="25"/>
        <v>78</v>
      </c>
      <c r="O94" s="2130">
        <f>IF(D93=D94,O93+0.00001,ROUNDDOWN(MAX($O$16:$O93),0)+1)</f>
        <v>7.800000000000014E-4</v>
      </c>
      <c r="P94" s="2131">
        <f t="shared" si="17"/>
        <v>-469.49</v>
      </c>
      <c r="Q94" s="2131">
        <f t="shared" si="18"/>
        <v>124.19999999999999</v>
      </c>
      <c r="R94" s="2131">
        <f t="shared" si="19"/>
        <v>35049.691795724022</v>
      </c>
      <c r="S94" s="2130">
        <f>IF(J93=J94,S93+0.00001,ROUNDDOWN(MAX($S$16:$S93),0)+1)</f>
        <v>1.0001800000000012</v>
      </c>
      <c r="T94" s="2131">
        <f t="shared" si="20"/>
        <v>-321.25</v>
      </c>
      <c r="U94" s="2131">
        <f t="shared" si="21"/>
        <v>217.08333333333331</v>
      </c>
      <c r="V94" s="2071">
        <f t="shared" si="26"/>
        <v>78</v>
      </c>
    </row>
    <row r="95" spans="1:22">
      <c r="A95" s="2124">
        <f t="shared" si="27"/>
        <v>1</v>
      </c>
      <c r="B95" s="2073">
        <v>79</v>
      </c>
      <c r="C95" s="2104">
        <f t="shared" si="28"/>
        <v>-345.29</v>
      </c>
      <c r="D95" s="2125">
        <f t="shared" si="16"/>
        <v>0.03</v>
      </c>
      <c r="E95" s="2104">
        <f t="shared" si="22"/>
        <v>30786.057587635034</v>
      </c>
      <c r="F95" s="2135"/>
      <c r="G95" s="2127">
        <f t="shared" si="29"/>
        <v>2</v>
      </c>
      <c r="H95" s="2075">
        <v>79</v>
      </c>
      <c r="I95" s="2104">
        <f t="shared" si="23"/>
        <v>-104.16666666666667</v>
      </c>
      <c r="J95" s="2125">
        <f t="shared" si="24"/>
        <v>2.5000000000000001E-2</v>
      </c>
      <c r="K95" s="2083"/>
      <c r="L95" s="2106"/>
      <c r="N95" s="2071">
        <f t="shared" si="25"/>
        <v>79</v>
      </c>
      <c r="O95" s="2130">
        <f>IF(D94=D95,O94+0.00001,ROUNDDOWN(MAX($O$16:$O94),0)+1)</f>
        <v>7.9000000000000142E-4</v>
      </c>
      <c r="P95" s="2131">
        <f t="shared" si="17"/>
        <v>-469.49</v>
      </c>
      <c r="Q95" s="2131">
        <f t="shared" si="18"/>
        <v>124.19999999999999</v>
      </c>
      <c r="R95" s="2131">
        <f t="shared" si="19"/>
        <v>34805.396065511544</v>
      </c>
      <c r="S95" s="2130">
        <f>IF(J94=J95,S94+0.00001,ROUNDDOWN(MAX($S$16:$S94),0)+1)</f>
        <v>1.0001900000000012</v>
      </c>
      <c r="T95" s="2131">
        <f t="shared" si="20"/>
        <v>-321.25</v>
      </c>
      <c r="U95" s="2131">
        <f t="shared" si="21"/>
        <v>217.08333333333331</v>
      </c>
      <c r="V95" s="2071">
        <f t="shared" si="26"/>
        <v>79</v>
      </c>
    </row>
    <row r="96" spans="1:22">
      <c r="A96" s="2124">
        <f t="shared" si="27"/>
        <v>1</v>
      </c>
      <c r="B96" s="2073">
        <v>80</v>
      </c>
      <c r="C96" s="2104">
        <f t="shared" si="28"/>
        <v>-345.29</v>
      </c>
      <c r="D96" s="2125">
        <f t="shared" si="16"/>
        <v>0.03</v>
      </c>
      <c r="E96" s="2104">
        <f t="shared" si="22"/>
        <v>30517.732731604119</v>
      </c>
      <c r="F96" s="2135"/>
      <c r="G96" s="2127">
        <f t="shared" si="29"/>
        <v>2</v>
      </c>
      <c r="H96" s="2075">
        <v>80</v>
      </c>
      <c r="I96" s="2104">
        <f t="shared" si="23"/>
        <v>-104.16666666666667</v>
      </c>
      <c r="J96" s="2125">
        <f t="shared" si="24"/>
        <v>2.5000000000000001E-2</v>
      </c>
      <c r="K96" s="2083"/>
      <c r="L96" s="2106"/>
      <c r="N96" s="2071">
        <f t="shared" si="25"/>
        <v>80</v>
      </c>
      <c r="O96" s="2130">
        <f>IF(D95=D96,O95+0.00001,ROUNDDOWN(MAX($O$16:$O95),0)+1)</f>
        <v>8.0000000000000145E-4</v>
      </c>
      <c r="P96" s="2131">
        <f t="shared" si="17"/>
        <v>-469.49</v>
      </c>
      <c r="Q96" s="2131">
        <f t="shared" si="18"/>
        <v>124.19999999999999</v>
      </c>
      <c r="R96" s="2131">
        <f t="shared" si="19"/>
        <v>34559.530735232453</v>
      </c>
      <c r="S96" s="2130">
        <f>IF(J95=J96,S95+0.00001,ROUNDDOWN(MAX($S$16:$S95),0)+1)</f>
        <v>1.0002000000000013</v>
      </c>
      <c r="T96" s="2131">
        <f t="shared" si="20"/>
        <v>-321.25</v>
      </c>
      <c r="U96" s="2131">
        <f t="shared" si="21"/>
        <v>217.08333333333331</v>
      </c>
      <c r="V96" s="2071">
        <f t="shared" si="26"/>
        <v>80</v>
      </c>
    </row>
    <row r="97" spans="1:22">
      <c r="A97" s="2124">
        <f t="shared" si="27"/>
        <v>1</v>
      </c>
      <c r="B97" s="2073">
        <v>81</v>
      </c>
      <c r="C97" s="2104">
        <f t="shared" si="28"/>
        <v>-345.29</v>
      </c>
      <c r="D97" s="2125">
        <f t="shared" si="16"/>
        <v>0.03</v>
      </c>
      <c r="E97" s="2104">
        <f t="shared" si="22"/>
        <v>30248.737063433127</v>
      </c>
      <c r="F97" s="2135"/>
      <c r="G97" s="2127">
        <f t="shared" si="29"/>
        <v>2</v>
      </c>
      <c r="H97" s="2075">
        <v>81</v>
      </c>
      <c r="I97" s="2104">
        <f t="shared" si="23"/>
        <v>-104.16666666666667</v>
      </c>
      <c r="J97" s="2125">
        <f t="shared" si="24"/>
        <v>2.5000000000000001E-2</v>
      </c>
      <c r="K97" s="2083"/>
      <c r="L97" s="2106"/>
      <c r="N97" s="2071">
        <f t="shared" si="25"/>
        <v>81</v>
      </c>
      <c r="O97" s="2130">
        <f>IF(D96=D97,O96+0.00001,ROUNDDOWN(MAX($O$16:$O96),0)+1)</f>
        <v>8.1000000000000147E-4</v>
      </c>
      <c r="P97" s="2131">
        <f t="shared" si="17"/>
        <v>-469.49</v>
      </c>
      <c r="Q97" s="2131">
        <f t="shared" si="18"/>
        <v>124.19999999999999</v>
      </c>
      <c r="R97" s="2131">
        <f t="shared" si="19"/>
        <v>34312.08572020632</v>
      </c>
      <c r="S97" s="2130">
        <f>IF(J96=J97,S96+0.00001,ROUNDDOWN(MAX($S$16:$S96),0)+1)</f>
        <v>1.0002100000000014</v>
      </c>
      <c r="T97" s="2131">
        <f t="shared" si="20"/>
        <v>-321.25</v>
      </c>
      <c r="U97" s="2131">
        <f t="shared" si="21"/>
        <v>217.08333333333331</v>
      </c>
      <c r="V97" s="2071">
        <f t="shared" si="26"/>
        <v>81</v>
      </c>
    </row>
    <row r="98" spans="1:22">
      <c r="A98" s="2124">
        <f t="shared" si="27"/>
        <v>1</v>
      </c>
      <c r="B98" s="2073">
        <v>82</v>
      </c>
      <c r="C98" s="2104">
        <f t="shared" si="28"/>
        <v>-345.29</v>
      </c>
      <c r="D98" s="2125">
        <f t="shared" si="16"/>
        <v>0.03</v>
      </c>
      <c r="E98" s="2104">
        <f t="shared" si="22"/>
        <v>29979.068906091707</v>
      </c>
      <c r="F98" s="2135"/>
      <c r="G98" s="2127">
        <f t="shared" si="29"/>
        <v>2</v>
      </c>
      <c r="H98" s="2075">
        <v>82</v>
      </c>
      <c r="I98" s="2104">
        <f t="shared" si="23"/>
        <v>-104.16666666666667</v>
      </c>
      <c r="J98" s="2125">
        <f t="shared" si="24"/>
        <v>2.5000000000000001E-2</v>
      </c>
      <c r="K98" s="2083"/>
      <c r="L98" s="2106"/>
      <c r="N98" s="2071">
        <f t="shared" si="25"/>
        <v>82</v>
      </c>
      <c r="O98" s="2130">
        <f>IF(D97=D98,O97+0.00001,ROUNDDOWN(MAX($O$16:$O97),0)+1)</f>
        <v>8.200000000000015E-4</v>
      </c>
      <c r="P98" s="2131">
        <f t="shared" si="17"/>
        <v>-469.49</v>
      </c>
      <c r="Q98" s="2131">
        <f t="shared" si="18"/>
        <v>124.19999999999999</v>
      </c>
      <c r="R98" s="2131">
        <f t="shared" si="19"/>
        <v>34063.050870958643</v>
      </c>
      <c r="S98" s="2130">
        <f>IF(J97=J98,S97+0.00001,ROUNDDOWN(MAX($S$16:$S97),0)+1)</f>
        <v>1.0002200000000014</v>
      </c>
      <c r="T98" s="2131">
        <f t="shared" si="20"/>
        <v>-321.25</v>
      </c>
      <c r="U98" s="2131">
        <f t="shared" si="21"/>
        <v>217.08333333333331</v>
      </c>
      <c r="V98" s="2071">
        <f t="shared" si="26"/>
        <v>82</v>
      </c>
    </row>
    <row r="99" spans="1:22">
      <c r="A99" s="2124">
        <f t="shared" si="27"/>
        <v>1</v>
      </c>
      <c r="B99" s="2073">
        <v>83</v>
      </c>
      <c r="C99" s="2104">
        <f t="shared" si="28"/>
        <v>-345.29</v>
      </c>
      <c r="D99" s="2125">
        <f t="shared" si="16"/>
        <v>0.03</v>
      </c>
      <c r="E99" s="2104">
        <f t="shared" si="22"/>
        <v>29708.726578356935</v>
      </c>
      <c r="F99" s="2135"/>
      <c r="G99" s="2127">
        <f t="shared" si="29"/>
        <v>2</v>
      </c>
      <c r="H99" s="2075">
        <v>83</v>
      </c>
      <c r="I99" s="2104">
        <f t="shared" si="23"/>
        <v>-104.16666666666667</v>
      </c>
      <c r="J99" s="2125">
        <f t="shared" si="24"/>
        <v>2.5000000000000001E-2</v>
      </c>
      <c r="K99" s="2083"/>
      <c r="L99" s="2106"/>
      <c r="N99" s="2071">
        <f t="shared" si="25"/>
        <v>83</v>
      </c>
      <c r="O99" s="2130">
        <f>IF(D98=D99,O98+0.00001,ROUNDDOWN(MAX($O$16:$O98),0)+1)</f>
        <v>8.3000000000000153E-4</v>
      </c>
      <c r="P99" s="2131">
        <f t="shared" si="17"/>
        <v>-469.49</v>
      </c>
      <c r="Q99" s="2131">
        <f t="shared" si="18"/>
        <v>124.19999999999999</v>
      </c>
      <c r="R99" s="2131">
        <f t="shared" si="19"/>
        <v>33812.415972804549</v>
      </c>
      <c r="S99" s="2130">
        <f>IF(J98=J99,S98+0.00001,ROUNDDOWN(MAX($S$16:$S98),0)+1)</f>
        <v>1.0002300000000015</v>
      </c>
      <c r="T99" s="2131">
        <f t="shared" si="20"/>
        <v>-321.25</v>
      </c>
      <c r="U99" s="2131">
        <f t="shared" si="21"/>
        <v>217.08333333333331</v>
      </c>
      <c r="V99" s="2071">
        <f t="shared" si="26"/>
        <v>83</v>
      </c>
    </row>
    <row r="100" spans="1:22">
      <c r="A100" s="2124">
        <f t="shared" si="27"/>
        <v>1</v>
      </c>
      <c r="B100" s="2073">
        <v>84</v>
      </c>
      <c r="C100" s="2104">
        <f t="shared" si="28"/>
        <v>-345.29</v>
      </c>
      <c r="D100" s="2125">
        <f t="shared" si="16"/>
        <v>0.03</v>
      </c>
      <c r="E100" s="2104">
        <f t="shared" si="22"/>
        <v>29437.708394802823</v>
      </c>
      <c r="F100" s="2135"/>
      <c r="G100" s="2127">
        <f t="shared" si="29"/>
        <v>2</v>
      </c>
      <c r="H100" s="2075">
        <v>84</v>
      </c>
      <c r="I100" s="2104">
        <f t="shared" si="23"/>
        <v>-104.16666666666667</v>
      </c>
      <c r="J100" s="2125">
        <f t="shared" si="24"/>
        <v>2.5000000000000001E-2</v>
      </c>
      <c r="K100" s="2083"/>
      <c r="L100" s="2106"/>
      <c r="N100" s="2071">
        <f t="shared" si="25"/>
        <v>84</v>
      </c>
      <c r="O100" s="2130">
        <f>IF(D99=D100,O99+0.00001,ROUNDDOWN(MAX($O$16:$O99),0)+1)</f>
        <v>8.4000000000000155E-4</v>
      </c>
      <c r="P100" s="2131">
        <f t="shared" si="17"/>
        <v>-469.49</v>
      </c>
      <c r="Q100" s="2131">
        <f t="shared" si="18"/>
        <v>124.19999999999999</v>
      </c>
      <c r="R100" s="2131">
        <f t="shared" si="19"/>
        <v>33560.170745429816</v>
      </c>
      <c r="S100" s="2130">
        <f>IF(J99=J100,S99+0.00001,ROUNDDOWN(MAX($S$16:$S99),0)+1)</f>
        <v>1.0002400000000016</v>
      </c>
      <c r="T100" s="2131">
        <f t="shared" si="20"/>
        <v>-321.25</v>
      </c>
      <c r="U100" s="2131">
        <f t="shared" si="21"/>
        <v>217.08333333333331</v>
      </c>
      <c r="V100" s="2071">
        <f t="shared" si="26"/>
        <v>84</v>
      </c>
    </row>
    <row r="101" spans="1:22">
      <c r="A101" s="2124">
        <f t="shared" si="27"/>
        <v>1</v>
      </c>
      <c r="B101" s="2073">
        <v>85</v>
      </c>
      <c r="C101" s="2104">
        <f t="shared" si="28"/>
        <v>-345.29</v>
      </c>
      <c r="D101" s="2125">
        <f t="shared" si="16"/>
        <v>0.03</v>
      </c>
      <c r="E101" s="2104">
        <f t="shared" si="22"/>
        <v>29166.012665789829</v>
      </c>
      <c r="F101" s="2135"/>
      <c r="G101" s="2127">
        <f t="shared" si="29"/>
        <v>2</v>
      </c>
      <c r="H101" s="2075">
        <v>85</v>
      </c>
      <c r="I101" s="2104">
        <f t="shared" si="23"/>
        <v>-104.16666666666667</v>
      </c>
      <c r="J101" s="2125">
        <f t="shared" si="24"/>
        <v>2.5000000000000001E-2</v>
      </c>
      <c r="K101" s="2083"/>
      <c r="L101" s="2106"/>
      <c r="N101" s="2071">
        <f t="shared" si="25"/>
        <v>85</v>
      </c>
      <c r="O101" s="2130">
        <f>IF(D100=D101,O100+0.00001,ROUNDDOWN(MAX($O$16:$O100),0)+1)</f>
        <v>8.5000000000000158E-4</v>
      </c>
      <c r="P101" s="2131">
        <f t="shared" si="17"/>
        <v>-469.49</v>
      </c>
      <c r="Q101" s="2131">
        <f t="shared" si="18"/>
        <v>124.19999999999999</v>
      </c>
      <c r="R101" s="2131">
        <f t="shared" si="19"/>
        <v>33306.304842469202</v>
      </c>
      <c r="S101" s="2130">
        <f>IF(J100=J101,S100+0.00001,ROUNDDOWN(MAX($S$16:$S100),0)+1)</f>
        <v>1.0002500000000016</v>
      </c>
      <c r="T101" s="2131">
        <f t="shared" si="20"/>
        <v>-321.25</v>
      </c>
      <c r="U101" s="2131">
        <f t="shared" si="21"/>
        <v>217.08333333333331</v>
      </c>
      <c r="V101" s="2071">
        <f t="shared" si="26"/>
        <v>85</v>
      </c>
    </row>
    <row r="102" spans="1:22">
      <c r="A102" s="2124">
        <f t="shared" si="27"/>
        <v>1</v>
      </c>
      <c r="B102" s="2073">
        <v>86</v>
      </c>
      <c r="C102" s="2104">
        <f t="shared" si="28"/>
        <v>-345.29</v>
      </c>
      <c r="D102" s="2125">
        <f t="shared" si="16"/>
        <v>0.03</v>
      </c>
      <c r="E102" s="2104">
        <f t="shared" si="22"/>
        <v>28893.637697454302</v>
      </c>
      <c r="F102" s="2135"/>
      <c r="G102" s="2127">
        <f t="shared" si="29"/>
        <v>2</v>
      </c>
      <c r="H102" s="2075">
        <v>86</v>
      </c>
      <c r="I102" s="2104">
        <f t="shared" si="23"/>
        <v>-104.16666666666667</v>
      </c>
      <c r="J102" s="2125">
        <f t="shared" si="24"/>
        <v>2.5000000000000001E-2</v>
      </c>
      <c r="K102" s="2083"/>
      <c r="L102" s="2106"/>
      <c r="N102" s="2071">
        <f t="shared" si="25"/>
        <v>86</v>
      </c>
      <c r="O102" s="2130">
        <f>IF(D101=D102,O101+0.00001,ROUNDDOWN(MAX($O$16:$O101),0)+1)</f>
        <v>8.6000000000000161E-4</v>
      </c>
      <c r="P102" s="2131">
        <f t="shared" si="17"/>
        <v>-469.49</v>
      </c>
      <c r="Q102" s="2131">
        <f t="shared" si="18"/>
        <v>124.19999999999999</v>
      </c>
      <c r="R102" s="2131">
        <f t="shared" si="19"/>
        <v>33050.807851082063</v>
      </c>
      <c r="S102" s="2130">
        <f>IF(J101=J102,S101+0.00001,ROUNDDOWN(MAX($S$16:$S101),0)+1)</f>
        <v>1.0002600000000017</v>
      </c>
      <c r="T102" s="2131">
        <f t="shared" si="20"/>
        <v>-321.25</v>
      </c>
      <c r="U102" s="2131">
        <f t="shared" si="21"/>
        <v>217.08333333333331</v>
      </c>
      <c r="V102" s="2071">
        <f t="shared" si="26"/>
        <v>86</v>
      </c>
    </row>
    <row r="103" spans="1:22">
      <c r="A103" s="2124">
        <f t="shared" si="27"/>
        <v>1</v>
      </c>
      <c r="B103" s="2073">
        <v>87</v>
      </c>
      <c r="C103" s="2104">
        <f t="shared" si="28"/>
        <v>-345.29</v>
      </c>
      <c r="D103" s="2125">
        <f t="shared" si="16"/>
        <v>0.03</v>
      </c>
      <c r="E103" s="2104">
        <f t="shared" si="22"/>
        <v>28620.581791697936</v>
      </c>
      <c r="F103" s="2135"/>
      <c r="G103" s="2127">
        <f t="shared" si="29"/>
        <v>2</v>
      </c>
      <c r="H103" s="2075">
        <v>87</v>
      </c>
      <c r="I103" s="2104">
        <f t="shared" si="23"/>
        <v>-104.16666666666667</v>
      </c>
      <c r="J103" s="2125">
        <f t="shared" si="24"/>
        <v>2.5000000000000001E-2</v>
      </c>
      <c r="K103" s="2083"/>
      <c r="L103" s="2106"/>
      <c r="N103" s="2071">
        <f t="shared" si="25"/>
        <v>87</v>
      </c>
      <c r="O103" s="2130">
        <f>IF(D102=D103,O102+0.00001,ROUNDDOWN(MAX($O$16:$O102),0)+1)</f>
        <v>8.7000000000000163E-4</v>
      </c>
      <c r="P103" s="2131">
        <f t="shared" si="17"/>
        <v>-469.49</v>
      </c>
      <c r="Q103" s="2131">
        <f t="shared" si="18"/>
        <v>124.19999999999999</v>
      </c>
      <c r="R103" s="2131">
        <f t="shared" si="19"/>
        <v>32793.669291525264</v>
      </c>
      <c r="S103" s="2130">
        <f>IF(J102=J103,S102+0.00001,ROUNDDOWN(MAX($S$16:$S102),0)+1)</f>
        <v>1.0002700000000018</v>
      </c>
      <c r="T103" s="2131">
        <f t="shared" si="20"/>
        <v>-321.25</v>
      </c>
      <c r="U103" s="2131">
        <f t="shared" si="21"/>
        <v>217.08333333333331</v>
      </c>
      <c r="V103" s="2071">
        <f t="shared" si="26"/>
        <v>87</v>
      </c>
    </row>
    <row r="104" spans="1:22">
      <c r="A104" s="2124">
        <f t="shared" si="27"/>
        <v>1</v>
      </c>
      <c r="B104" s="2073">
        <v>88</v>
      </c>
      <c r="C104" s="2104">
        <f t="shared" si="28"/>
        <v>-345.29</v>
      </c>
      <c r="D104" s="2125">
        <f t="shared" si="16"/>
        <v>0.03</v>
      </c>
      <c r="E104" s="2104">
        <f t="shared" si="22"/>
        <v>28346.843246177177</v>
      </c>
      <c r="F104" s="2135"/>
      <c r="G104" s="2127">
        <f t="shared" si="29"/>
        <v>2</v>
      </c>
      <c r="H104" s="2075">
        <v>88</v>
      </c>
      <c r="I104" s="2104">
        <f t="shared" si="23"/>
        <v>-104.16666666666667</v>
      </c>
      <c r="J104" s="2125">
        <f t="shared" si="24"/>
        <v>2.5000000000000001E-2</v>
      </c>
      <c r="K104" s="2083"/>
      <c r="L104" s="2106"/>
      <c r="N104" s="2071">
        <f t="shared" si="25"/>
        <v>88</v>
      </c>
      <c r="O104" s="2130">
        <f>IF(D103=D104,O103+0.00001,ROUNDDOWN(MAX($O$16:$O103),0)+1)</f>
        <v>8.8000000000000166E-4</v>
      </c>
      <c r="P104" s="2131">
        <f t="shared" si="17"/>
        <v>-469.49</v>
      </c>
      <c r="Q104" s="2131">
        <f t="shared" si="18"/>
        <v>124.19999999999999</v>
      </c>
      <c r="R104" s="2131">
        <f t="shared" si="19"/>
        <v>32534.878616723308</v>
      </c>
      <c r="S104" s="2130">
        <f>IF(J103=J104,S103+0.00001,ROUNDDOWN(MAX($S$16:$S103),0)+1)</f>
        <v>1.0002800000000018</v>
      </c>
      <c r="T104" s="2131">
        <f t="shared" si="20"/>
        <v>-321.25</v>
      </c>
      <c r="U104" s="2131">
        <f t="shared" si="21"/>
        <v>217.08333333333331</v>
      </c>
      <c r="V104" s="2071">
        <f t="shared" si="26"/>
        <v>88</v>
      </c>
    </row>
    <row r="105" spans="1:22">
      <c r="A105" s="2124">
        <f t="shared" si="27"/>
        <v>1</v>
      </c>
      <c r="B105" s="2073">
        <v>89</v>
      </c>
      <c r="C105" s="2104">
        <f t="shared" si="28"/>
        <v>-345.29</v>
      </c>
      <c r="D105" s="2125">
        <f t="shared" si="16"/>
        <v>0.03</v>
      </c>
      <c r="E105" s="2104">
        <f t="shared" si="22"/>
        <v>28072.420354292619</v>
      </c>
      <c r="F105" s="2135"/>
      <c r="G105" s="2127">
        <f t="shared" si="29"/>
        <v>2</v>
      </c>
      <c r="H105" s="2075">
        <v>89</v>
      </c>
      <c r="I105" s="2104">
        <f t="shared" si="23"/>
        <v>-104.16666666666667</v>
      </c>
      <c r="J105" s="2125">
        <f t="shared" si="24"/>
        <v>2.5000000000000001E-2</v>
      </c>
      <c r="K105" s="2083"/>
      <c r="L105" s="2106"/>
      <c r="N105" s="2071">
        <f t="shared" si="25"/>
        <v>89</v>
      </c>
      <c r="O105" s="2130">
        <f>IF(D104=D105,O104+0.00001,ROUNDDOWN(MAX($O$16:$O104),0)+1)</f>
        <v>8.9000000000000168E-4</v>
      </c>
      <c r="P105" s="2131">
        <f t="shared" si="17"/>
        <v>-469.49</v>
      </c>
      <c r="Q105" s="2131">
        <f t="shared" si="18"/>
        <v>124.19999999999999</v>
      </c>
      <c r="R105" s="2131">
        <f t="shared" si="19"/>
        <v>32274.425211835751</v>
      </c>
      <c r="S105" s="2130">
        <f>IF(J104=J105,S104+0.00001,ROUNDDOWN(MAX($S$16:$S104),0)+1)</f>
        <v>1.0002900000000019</v>
      </c>
      <c r="T105" s="2131">
        <f t="shared" si="20"/>
        <v>-321.25</v>
      </c>
      <c r="U105" s="2131">
        <f t="shared" si="21"/>
        <v>217.08333333333331</v>
      </c>
      <c r="V105" s="2071">
        <f t="shared" si="26"/>
        <v>89</v>
      </c>
    </row>
    <row r="106" spans="1:22">
      <c r="A106" s="2124">
        <f t="shared" si="27"/>
        <v>1</v>
      </c>
      <c r="B106" s="2073">
        <v>90</v>
      </c>
      <c r="C106" s="2104">
        <f t="shared" si="28"/>
        <v>-345.29</v>
      </c>
      <c r="D106" s="2125">
        <f t="shared" si="16"/>
        <v>0.03</v>
      </c>
      <c r="E106" s="2104">
        <f t="shared" si="22"/>
        <v>27797.311405178349</v>
      </c>
      <c r="F106" s="2135"/>
      <c r="G106" s="2127">
        <f t="shared" si="29"/>
        <v>2</v>
      </c>
      <c r="H106" s="2075">
        <v>90</v>
      </c>
      <c r="I106" s="2104">
        <f t="shared" si="23"/>
        <v>-104.16666666666667</v>
      </c>
      <c r="J106" s="2125">
        <f t="shared" si="24"/>
        <v>2.5000000000000001E-2</v>
      </c>
      <c r="K106" s="2083"/>
      <c r="L106" s="2106"/>
      <c r="N106" s="2071">
        <f t="shared" si="25"/>
        <v>90</v>
      </c>
      <c r="O106" s="2130">
        <f>IF(D105=D106,O105+0.00001,ROUNDDOWN(MAX($O$16:$O105),0)+1)</f>
        <v>9.0000000000000171E-4</v>
      </c>
      <c r="P106" s="2131">
        <f t="shared" si="17"/>
        <v>-469.49</v>
      </c>
      <c r="Q106" s="2131">
        <f t="shared" si="18"/>
        <v>124.19999999999999</v>
      </c>
      <c r="R106" s="2131">
        <f t="shared" si="19"/>
        <v>32012.298393821791</v>
      </c>
      <c r="S106" s="2130">
        <f>IF(J105=J106,S105+0.00001,ROUNDDOWN(MAX($S$16:$S105),0)+1)</f>
        <v>1.000300000000002</v>
      </c>
      <c r="T106" s="2131">
        <f t="shared" si="20"/>
        <v>-321.25</v>
      </c>
      <c r="U106" s="2131">
        <f t="shared" si="21"/>
        <v>217.08333333333331</v>
      </c>
      <c r="V106" s="2071">
        <f t="shared" si="26"/>
        <v>90</v>
      </c>
    </row>
    <row r="107" spans="1:22">
      <c r="A107" s="2124">
        <f t="shared" si="27"/>
        <v>1</v>
      </c>
      <c r="B107" s="2073">
        <v>91</v>
      </c>
      <c r="C107" s="2104">
        <f t="shared" si="28"/>
        <v>-345.29</v>
      </c>
      <c r="D107" s="2125">
        <f t="shared" si="16"/>
        <v>0.03</v>
      </c>
      <c r="E107" s="2104">
        <f t="shared" si="22"/>
        <v>27521.514683691294</v>
      </c>
      <c r="F107" s="2135"/>
      <c r="G107" s="2127">
        <f t="shared" si="29"/>
        <v>2</v>
      </c>
      <c r="H107" s="2075">
        <v>91</v>
      </c>
      <c r="I107" s="2104">
        <f t="shared" si="23"/>
        <v>-104.16666666666667</v>
      </c>
      <c r="J107" s="2125">
        <f t="shared" si="24"/>
        <v>2.5000000000000001E-2</v>
      </c>
      <c r="K107" s="2083"/>
      <c r="L107" s="2106"/>
      <c r="N107" s="2071">
        <f t="shared" si="25"/>
        <v>91</v>
      </c>
      <c r="O107" s="2130">
        <f>IF(D106=D107,O106+0.00001,ROUNDDOWN(MAX($O$16:$O106),0)+1)</f>
        <v>9.1000000000000174E-4</v>
      </c>
      <c r="P107" s="2131">
        <f t="shared" si="17"/>
        <v>-469.49</v>
      </c>
      <c r="Q107" s="2131">
        <f t="shared" si="18"/>
        <v>124.19999999999999</v>
      </c>
      <c r="R107" s="2131">
        <f t="shared" si="19"/>
        <v>31748.48741100209</v>
      </c>
      <c r="S107" s="2130">
        <f>IF(J106=J107,S106+0.00001,ROUNDDOWN(MAX($S$16:$S106),0)+1)</f>
        <v>1.000310000000002</v>
      </c>
      <c r="T107" s="2131">
        <f t="shared" si="20"/>
        <v>-321.25</v>
      </c>
      <c r="U107" s="2131">
        <f t="shared" si="21"/>
        <v>217.08333333333331</v>
      </c>
      <c r="V107" s="2071">
        <f t="shared" si="26"/>
        <v>91</v>
      </c>
    </row>
    <row r="108" spans="1:22">
      <c r="A108" s="2124">
        <f t="shared" si="27"/>
        <v>1</v>
      </c>
      <c r="B108" s="2073">
        <v>92</v>
      </c>
      <c r="C108" s="2104">
        <f t="shared" si="28"/>
        <v>-345.29</v>
      </c>
      <c r="D108" s="2125">
        <f t="shared" si="16"/>
        <v>0.03</v>
      </c>
      <c r="E108" s="2104">
        <f t="shared" si="22"/>
        <v>27245.028470400521</v>
      </c>
      <c r="F108" s="2135"/>
      <c r="G108" s="2127">
        <f t="shared" si="29"/>
        <v>2</v>
      </c>
      <c r="H108" s="2075">
        <v>92</v>
      </c>
      <c r="I108" s="2104">
        <f t="shared" si="23"/>
        <v>-104.16666666666667</v>
      </c>
      <c r="J108" s="2125">
        <f t="shared" si="24"/>
        <v>2.5000000000000001E-2</v>
      </c>
      <c r="K108" s="2083"/>
      <c r="L108" s="2106"/>
      <c r="N108" s="2071">
        <f t="shared" si="25"/>
        <v>92</v>
      </c>
      <c r="O108" s="2130">
        <f>IF(D107=D108,O107+0.00001,ROUNDDOWN(MAX($O$16:$O107),0)+1)</f>
        <v>9.2000000000000176E-4</v>
      </c>
      <c r="P108" s="2131">
        <f t="shared" si="17"/>
        <v>-469.49</v>
      </c>
      <c r="Q108" s="2131">
        <f t="shared" si="18"/>
        <v>124.19999999999999</v>
      </c>
      <c r="R108" s="2131">
        <f t="shared" si="19"/>
        <v>31482.981442617773</v>
      </c>
      <c r="S108" s="2130">
        <f>IF(J107=J108,S107+0.00001,ROUNDDOWN(MAX($S$16:$S107),0)+1)</f>
        <v>1.0003200000000021</v>
      </c>
      <c r="T108" s="2131">
        <f t="shared" si="20"/>
        <v>-321.25</v>
      </c>
      <c r="U108" s="2131">
        <f t="shared" si="21"/>
        <v>217.08333333333331</v>
      </c>
      <c r="V108" s="2071">
        <f t="shared" si="26"/>
        <v>92</v>
      </c>
    </row>
    <row r="109" spans="1:22">
      <c r="A109" s="2124">
        <f t="shared" si="27"/>
        <v>1</v>
      </c>
      <c r="B109" s="2073">
        <v>93</v>
      </c>
      <c r="C109" s="2104">
        <f t="shared" si="28"/>
        <v>-345.29</v>
      </c>
      <c r="D109" s="2125">
        <f t="shared" si="16"/>
        <v>0.03</v>
      </c>
      <c r="E109" s="2104">
        <f t="shared" si="22"/>
        <v>26967.851041576519</v>
      </c>
      <c r="F109" s="2135"/>
      <c r="G109" s="2127">
        <f t="shared" si="29"/>
        <v>2</v>
      </c>
      <c r="H109" s="2075">
        <v>93</v>
      </c>
      <c r="I109" s="2104">
        <f t="shared" si="23"/>
        <v>-104.16666666666667</v>
      </c>
      <c r="J109" s="2125">
        <f t="shared" si="24"/>
        <v>2.5000000000000001E-2</v>
      </c>
      <c r="K109" s="2083"/>
      <c r="L109" s="2106"/>
      <c r="N109" s="2071">
        <f t="shared" si="25"/>
        <v>93</v>
      </c>
      <c r="O109" s="2130">
        <f>IF(D108=D109,O108+0.00001,ROUNDDOWN(MAX($O$16:$O108),0)+1)</f>
        <v>9.3000000000000179E-4</v>
      </c>
      <c r="P109" s="2131">
        <f t="shared" si="17"/>
        <v>-469.49</v>
      </c>
      <c r="Q109" s="2131">
        <f t="shared" si="18"/>
        <v>124.19999999999999</v>
      </c>
      <c r="R109" s="2131">
        <f t="shared" si="19"/>
        <v>31215.769598386589</v>
      </c>
      <c r="S109" s="2130">
        <f>IF(J108=J109,S108+0.00001,ROUNDDOWN(MAX($S$16:$S108),0)+1)</f>
        <v>1.0003300000000022</v>
      </c>
      <c r="T109" s="2131">
        <f t="shared" si="20"/>
        <v>-321.25</v>
      </c>
      <c r="U109" s="2131">
        <f t="shared" si="21"/>
        <v>217.08333333333331</v>
      </c>
      <c r="V109" s="2071">
        <f t="shared" si="26"/>
        <v>93</v>
      </c>
    </row>
    <row r="110" spans="1:22">
      <c r="A110" s="2124">
        <f t="shared" si="27"/>
        <v>1</v>
      </c>
      <c r="B110" s="2073">
        <v>94</v>
      </c>
      <c r="C110" s="2104">
        <f t="shared" si="28"/>
        <v>-345.29</v>
      </c>
      <c r="D110" s="2125">
        <f t="shared" si="16"/>
        <v>0.03</v>
      </c>
      <c r="E110" s="2104">
        <f t="shared" si="22"/>
        <v>26689.980669180459</v>
      </c>
      <c r="F110" s="2135"/>
      <c r="G110" s="2127">
        <f t="shared" si="29"/>
        <v>2</v>
      </c>
      <c r="H110" s="2075">
        <v>94</v>
      </c>
      <c r="I110" s="2104">
        <f t="shared" si="23"/>
        <v>-104.16666666666667</v>
      </c>
      <c r="J110" s="2125">
        <f t="shared" si="24"/>
        <v>2.5000000000000001E-2</v>
      </c>
      <c r="K110" s="2083"/>
      <c r="L110" s="2106"/>
      <c r="N110" s="2071">
        <f t="shared" si="25"/>
        <v>94</v>
      </c>
      <c r="O110" s="2130">
        <f>IF(D109=D110,O109+0.00001,ROUNDDOWN(MAX($O$16:$O109),0)+1)</f>
        <v>9.4000000000000182E-4</v>
      </c>
      <c r="P110" s="2131">
        <f t="shared" si="17"/>
        <v>-469.49</v>
      </c>
      <c r="Q110" s="2131">
        <f t="shared" si="18"/>
        <v>124.19999999999999</v>
      </c>
      <c r="R110" s="2131">
        <f t="shared" si="19"/>
        <v>30946.840918056219</v>
      </c>
      <c r="S110" s="2130">
        <f>IF(J109=J110,S109+0.00001,ROUNDDOWN(MAX($S$16:$S109),0)+1)</f>
        <v>1.0003400000000022</v>
      </c>
      <c r="T110" s="2131">
        <f t="shared" si="20"/>
        <v>-321.25</v>
      </c>
      <c r="U110" s="2131">
        <f t="shared" si="21"/>
        <v>217.08333333333331</v>
      </c>
      <c r="V110" s="2071">
        <f t="shared" si="26"/>
        <v>94</v>
      </c>
    </row>
    <row r="111" spans="1:22">
      <c r="A111" s="2124">
        <f t="shared" si="27"/>
        <v>1</v>
      </c>
      <c r="B111" s="2073">
        <v>95</v>
      </c>
      <c r="C111" s="2104">
        <f t="shared" si="28"/>
        <v>-345.29</v>
      </c>
      <c r="D111" s="2125">
        <f t="shared" si="16"/>
        <v>0.03</v>
      </c>
      <c r="E111" s="2104">
        <f t="shared" si="22"/>
        <v>26411.415620853408</v>
      </c>
      <c r="F111" s="2135"/>
      <c r="G111" s="2127">
        <f t="shared" si="29"/>
        <v>2</v>
      </c>
      <c r="H111" s="2075">
        <v>95</v>
      </c>
      <c r="I111" s="2104">
        <f t="shared" si="23"/>
        <v>-104.16666666666667</v>
      </c>
      <c r="J111" s="2125">
        <f t="shared" si="24"/>
        <v>2.5000000000000001E-2</v>
      </c>
      <c r="K111" s="2083"/>
      <c r="L111" s="2106"/>
      <c r="N111" s="2071">
        <f t="shared" si="25"/>
        <v>95</v>
      </c>
      <c r="O111" s="2130">
        <f>IF(D110=D111,O110+0.00001,ROUNDDOWN(MAX($O$16:$O110),0)+1)</f>
        <v>9.5000000000000184E-4</v>
      </c>
      <c r="P111" s="2131">
        <f t="shared" si="17"/>
        <v>-469.49</v>
      </c>
      <c r="Q111" s="2131">
        <f t="shared" si="18"/>
        <v>124.19999999999999</v>
      </c>
      <c r="R111" s="2131">
        <f t="shared" si="19"/>
        <v>30676.184370954725</v>
      </c>
      <c r="S111" s="2130">
        <f>IF(J110=J111,S110+0.00001,ROUNDDOWN(MAX($S$16:$S110),0)+1)</f>
        <v>1.0003500000000023</v>
      </c>
      <c r="T111" s="2131">
        <f t="shared" si="20"/>
        <v>-321.25</v>
      </c>
      <c r="U111" s="2131">
        <f t="shared" si="21"/>
        <v>217.08333333333331</v>
      </c>
      <c r="V111" s="2071">
        <f t="shared" si="26"/>
        <v>95</v>
      </c>
    </row>
    <row r="112" spans="1:22">
      <c r="A112" s="2124">
        <f t="shared" si="27"/>
        <v>1</v>
      </c>
      <c r="B112" s="2073">
        <v>96</v>
      </c>
      <c r="C112" s="2104">
        <f t="shared" si="28"/>
        <v>-345.29</v>
      </c>
      <c r="D112" s="2125">
        <f t="shared" si="16"/>
        <v>0.03</v>
      </c>
      <c r="E112" s="2104">
        <f t="shared" si="22"/>
        <v>26132.154159905538</v>
      </c>
      <c r="F112" s="2135"/>
      <c r="G112" s="2127">
        <f t="shared" si="29"/>
        <v>2</v>
      </c>
      <c r="H112" s="2075">
        <v>96</v>
      </c>
      <c r="I112" s="2104">
        <f t="shared" si="23"/>
        <v>-104.16666666666667</v>
      </c>
      <c r="J112" s="2125">
        <f t="shared" si="24"/>
        <v>2.5000000000000001E-2</v>
      </c>
      <c r="K112" s="2083"/>
      <c r="L112" s="2106"/>
      <c r="N112" s="2071">
        <f t="shared" si="25"/>
        <v>96</v>
      </c>
      <c r="O112" s="2130">
        <f>IF(D111=D112,O111+0.00001,ROUNDDOWN(MAX($O$16:$O111),0)+1)</f>
        <v>9.6000000000000187E-4</v>
      </c>
      <c r="P112" s="2131">
        <f t="shared" si="17"/>
        <v>-469.49</v>
      </c>
      <c r="Q112" s="2131">
        <f t="shared" si="18"/>
        <v>124.19999999999999</v>
      </c>
      <c r="R112" s="2131">
        <f t="shared" si="19"/>
        <v>30403.788855538103</v>
      </c>
      <c r="S112" s="2130">
        <f>IF(J111=J112,S111+0.00001,ROUNDDOWN(MAX($S$16:$S111),0)+1)</f>
        <v>1.0003600000000024</v>
      </c>
      <c r="T112" s="2131">
        <f t="shared" si="20"/>
        <v>-321.25</v>
      </c>
      <c r="U112" s="2131">
        <f t="shared" si="21"/>
        <v>217.08333333333331</v>
      </c>
      <c r="V112" s="2071">
        <f t="shared" si="26"/>
        <v>96</v>
      </c>
    </row>
    <row r="113" spans="1:22">
      <c r="A113" s="2124">
        <f t="shared" si="27"/>
        <v>1</v>
      </c>
      <c r="B113" s="2073">
        <v>97</v>
      </c>
      <c r="C113" s="2104">
        <f t="shared" si="28"/>
        <v>-345.29</v>
      </c>
      <c r="D113" s="2125">
        <f t="shared" si="16"/>
        <v>0.03</v>
      </c>
      <c r="E113" s="2104">
        <f t="shared" si="22"/>
        <v>25852.194545305301</v>
      </c>
      <c r="F113" s="2135"/>
      <c r="G113" s="2127">
        <f t="shared" si="29"/>
        <v>2</v>
      </c>
      <c r="H113" s="2075">
        <v>97</v>
      </c>
      <c r="I113" s="2104">
        <f t="shared" si="23"/>
        <v>-104.16666666666667</v>
      </c>
      <c r="J113" s="2125">
        <f t="shared" si="24"/>
        <v>2.5000000000000001E-2</v>
      </c>
      <c r="K113" s="2083"/>
      <c r="L113" s="2106"/>
      <c r="N113" s="2071">
        <f t="shared" si="25"/>
        <v>97</v>
      </c>
      <c r="O113" s="2130">
        <f>IF(D112=D113,O112+0.00001,ROUNDDOWN(MAX($O$16:$O112),0)+1)</f>
        <v>9.7000000000000189E-4</v>
      </c>
      <c r="P113" s="2131">
        <f t="shared" si="17"/>
        <v>-469.49</v>
      </c>
      <c r="Q113" s="2131">
        <f t="shared" si="18"/>
        <v>124.19999999999999</v>
      </c>
      <c r="R113" s="2131">
        <f t="shared" si="19"/>
        <v>30129.643198934929</v>
      </c>
      <c r="S113" s="2130">
        <f>IF(J112=J113,S112+0.00001,ROUNDDOWN(MAX($S$16:$S112),0)+1)</f>
        <v>1.0003700000000024</v>
      </c>
      <c r="T113" s="2131">
        <f t="shared" si="20"/>
        <v>-321.25</v>
      </c>
      <c r="U113" s="2131">
        <f t="shared" si="21"/>
        <v>217.08333333333331</v>
      </c>
      <c r="V113" s="2071">
        <f t="shared" si="26"/>
        <v>97</v>
      </c>
    </row>
    <row r="114" spans="1:22">
      <c r="A114" s="2124">
        <f t="shared" si="27"/>
        <v>1</v>
      </c>
      <c r="B114" s="2073">
        <v>98</v>
      </c>
      <c r="C114" s="2104">
        <f t="shared" si="28"/>
        <v>-345.29</v>
      </c>
      <c r="D114" s="2125">
        <f t="shared" si="16"/>
        <v>0.03</v>
      </c>
      <c r="E114" s="2104">
        <f t="shared" si="22"/>
        <v>25571.535031668562</v>
      </c>
      <c r="F114" s="2135"/>
      <c r="G114" s="2127">
        <f t="shared" si="29"/>
        <v>2</v>
      </c>
      <c r="H114" s="2075">
        <v>98</v>
      </c>
      <c r="I114" s="2104">
        <f t="shared" si="23"/>
        <v>-104.16666666666667</v>
      </c>
      <c r="J114" s="2125">
        <f t="shared" si="24"/>
        <v>2.5000000000000001E-2</v>
      </c>
      <c r="K114" s="2083"/>
      <c r="L114" s="2106"/>
      <c r="N114" s="2071">
        <f t="shared" si="25"/>
        <v>98</v>
      </c>
      <c r="O114" s="2130">
        <f>IF(D113=D114,O113+0.00001,ROUNDDOWN(MAX($O$16:$O113),0)+1)</f>
        <v>9.8000000000000192E-4</v>
      </c>
      <c r="P114" s="2131">
        <f t="shared" si="17"/>
        <v>-469.49</v>
      </c>
      <c r="Q114" s="2131">
        <f t="shared" si="18"/>
        <v>124.19999999999999</v>
      </c>
      <c r="R114" s="2131">
        <f t="shared" si="19"/>
        <v>29853.736156488081</v>
      </c>
      <c r="S114" s="2130">
        <f>IF(J113=J114,S113+0.00001,ROUNDDOWN(MAX($S$16:$S113),0)+1)</f>
        <v>1.0003800000000025</v>
      </c>
      <c r="T114" s="2131">
        <f t="shared" si="20"/>
        <v>-321.25</v>
      </c>
      <c r="U114" s="2131">
        <f t="shared" si="21"/>
        <v>217.08333333333331</v>
      </c>
      <c r="V114" s="2071">
        <f t="shared" si="26"/>
        <v>98</v>
      </c>
    </row>
    <row r="115" spans="1:22">
      <c r="A115" s="2124">
        <f t="shared" si="27"/>
        <v>1</v>
      </c>
      <c r="B115" s="2073">
        <v>99</v>
      </c>
      <c r="C115" s="2104">
        <f t="shared" si="28"/>
        <v>-345.29</v>
      </c>
      <c r="D115" s="2125">
        <f t="shared" si="16"/>
        <v>0.03</v>
      </c>
      <c r="E115" s="2104">
        <f t="shared" si="22"/>
        <v>25290.17386924773</v>
      </c>
      <c r="F115" s="2135"/>
      <c r="G115" s="2127">
        <f t="shared" si="29"/>
        <v>2</v>
      </c>
      <c r="H115" s="2075">
        <v>99</v>
      </c>
      <c r="I115" s="2104">
        <f t="shared" si="23"/>
        <v>-104.16666666666667</v>
      </c>
      <c r="J115" s="2125">
        <f t="shared" si="24"/>
        <v>2.5000000000000001E-2</v>
      </c>
      <c r="K115" s="2083"/>
      <c r="L115" s="2106"/>
      <c r="N115" s="2071">
        <f t="shared" si="25"/>
        <v>99</v>
      </c>
      <c r="O115" s="2130">
        <f>IF(D114=D115,O114+0.00001,ROUNDDOWN(MAX($O$16:$O114),0)+1)</f>
        <v>9.9000000000000195E-4</v>
      </c>
      <c r="P115" s="2131">
        <f t="shared" si="17"/>
        <v>-469.49</v>
      </c>
      <c r="Q115" s="2131">
        <f t="shared" si="18"/>
        <v>124.19999999999999</v>
      </c>
      <c r="R115" s="2131">
        <f t="shared" si="19"/>
        <v>29576.056411293514</v>
      </c>
      <c r="S115" s="2130">
        <f>IF(J114=J115,S114+0.00001,ROUNDDOWN(MAX($S$16:$S114),0)+1)</f>
        <v>1.0003900000000026</v>
      </c>
      <c r="T115" s="2131">
        <f t="shared" si="20"/>
        <v>-321.25</v>
      </c>
      <c r="U115" s="2131">
        <f t="shared" si="21"/>
        <v>217.08333333333331</v>
      </c>
      <c r="V115" s="2071">
        <f t="shared" si="26"/>
        <v>99</v>
      </c>
    </row>
    <row r="116" spans="1:22">
      <c r="A116" s="2124">
        <f t="shared" si="27"/>
        <v>1</v>
      </c>
      <c r="B116" s="2073">
        <v>100</v>
      </c>
      <c r="C116" s="2104">
        <f t="shared" si="28"/>
        <v>-345.29</v>
      </c>
      <c r="D116" s="2125">
        <f t="shared" si="16"/>
        <v>0.03</v>
      </c>
      <c r="E116" s="2104">
        <f t="shared" si="22"/>
        <v>25008.109303920846</v>
      </c>
      <c r="F116" s="2135"/>
      <c r="G116" s="2127">
        <f t="shared" si="29"/>
        <v>2</v>
      </c>
      <c r="H116" s="2075">
        <v>100</v>
      </c>
      <c r="I116" s="2104">
        <f t="shared" si="23"/>
        <v>-104.16666666666667</v>
      </c>
      <c r="J116" s="2125">
        <f t="shared" si="24"/>
        <v>2.5000000000000001E-2</v>
      </c>
      <c r="K116" s="2083"/>
      <c r="L116" s="2106"/>
      <c r="N116" s="2071">
        <f t="shared" si="25"/>
        <v>100</v>
      </c>
      <c r="O116" s="2130">
        <f>IF(D115=D116,O115+0.00001,ROUNDDOWN(MAX($O$16:$O115),0)+1)</f>
        <v>1.000000000000002E-3</v>
      </c>
      <c r="P116" s="2131">
        <f t="shared" si="17"/>
        <v>-469.49</v>
      </c>
      <c r="Q116" s="2131">
        <f t="shared" si="18"/>
        <v>124.19999999999999</v>
      </c>
      <c r="R116" s="2131">
        <f t="shared" si="19"/>
        <v>29296.59257373607</v>
      </c>
      <c r="S116" s="2130">
        <f>IF(J115=J116,S115+0.00001,ROUNDDOWN(MAX($S$16:$S115),0)+1)</f>
        <v>1.0004000000000026</v>
      </c>
      <c r="T116" s="2131">
        <f t="shared" si="20"/>
        <v>-321.25</v>
      </c>
      <c r="U116" s="2131">
        <f t="shared" si="21"/>
        <v>217.08333333333331</v>
      </c>
      <c r="V116" s="2071">
        <f t="shared" si="26"/>
        <v>100</v>
      </c>
    </row>
    <row r="117" spans="1:22">
      <c r="A117" s="2124">
        <f t="shared" si="27"/>
        <v>1</v>
      </c>
      <c r="B117" s="2073">
        <v>101</v>
      </c>
      <c r="C117" s="2104">
        <f t="shared" si="28"/>
        <v>-345.29</v>
      </c>
      <c r="D117" s="2125">
        <f t="shared" si="16"/>
        <v>0.03</v>
      </c>
      <c r="E117" s="2104">
        <f t="shared" si="22"/>
        <v>24725.339577180646</v>
      </c>
      <c r="F117" s="2135"/>
      <c r="G117" s="2127">
        <f t="shared" si="29"/>
        <v>2</v>
      </c>
      <c r="H117" s="2075">
        <v>101</v>
      </c>
      <c r="I117" s="2104">
        <f t="shared" si="23"/>
        <v>-104.16666666666667</v>
      </c>
      <c r="J117" s="2125">
        <f t="shared" si="24"/>
        <v>2.5000000000000001E-2</v>
      </c>
      <c r="K117" s="2083"/>
      <c r="L117" s="2106"/>
      <c r="N117" s="2071">
        <f t="shared" si="25"/>
        <v>101</v>
      </c>
      <c r="O117" s="2130">
        <f>IF(D116=D117,O116+0.00001,ROUNDDOWN(MAX($O$16:$O116),0)+1)</f>
        <v>1.010000000000002E-3</v>
      </c>
      <c r="P117" s="2131">
        <f t="shared" si="17"/>
        <v>-469.49</v>
      </c>
      <c r="Q117" s="2131">
        <f t="shared" si="18"/>
        <v>124.19999999999999</v>
      </c>
      <c r="R117" s="2131">
        <f t="shared" si="19"/>
        <v>29015.333181022321</v>
      </c>
      <c r="S117" s="2130">
        <f>IF(J116=J117,S116+0.00001,ROUNDDOWN(MAX($S$16:$S116),0)+1)</f>
        <v>1.0004100000000027</v>
      </c>
      <c r="T117" s="2131">
        <f t="shared" si="20"/>
        <v>-321.25</v>
      </c>
      <c r="U117" s="2131">
        <f t="shared" si="21"/>
        <v>217.08333333333331</v>
      </c>
      <c r="V117" s="2071">
        <f t="shared" si="26"/>
        <v>101</v>
      </c>
    </row>
    <row r="118" spans="1:22">
      <c r="A118" s="2124">
        <f t="shared" si="27"/>
        <v>1</v>
      </c>
      <c r="B118" s="2073">
        <v>102</v>
      </c>
      <c r="C118" s="2104">
        <f t="shared" si="28"/>
        <v>-345.29</v>
      </c>
      <c r="D118" s="2125">
        <f t="shared" si="16"/>
        <v>0.03</v>
      </c>
      <c r="E118" s="2104">
        <f t="shared" si="22"/>
        <v>24441.862926123595</v>
      </c>
      <c r="F118" s="2135"/>
      <c r="G118" s="2127">
        <f t="shared" si="29"/>
        <v>2</v>
      </c>
      <c r="H118" s="2075">
        <v>102</v>
      </c>
      <c r="I118" s="2104">
        <f t="shared" si="23"/>
        <v>-104.16666666666667</v>
      </c>
      <c r="J118" s="2125">
        <f t="shared" si="24"/>
        <v>2.5000000000000001E-2</v>
      </c>
      <c r="K118" s="2083"/>
      <c r="L118" s="2106"/>
      <c r="N118" s="2071">
        <f t="shared" si="25"/>
        <v>102</v>
      </c>
      <c r="O118" s="2130">
        <f>IF(D117=D118,O117+0.00001,ROUNDDOWN(MAX($O$16:$O117),0)+1)</f>
        <v>1.020000000000002E-3</v>
      </c>
      <c r="P118" s="2131">
        <f t="shared" si="17"/>
        <v>-469.49</v>
      </c>
      <c r="Q118" s="2131">
        <f t="shared" si="18"/>
        <v>124.19999999999999</v>
      </c>
      <c r="R118" s="2131">
        <f t="shared" si="19"/>
        <v>28732.266696710383</v>
      </c>
      <c r="S118" s="2130">
        <f>IF(J117=J118,S117+0.00001,ROUNDDOWN(MAX($S$16:$S117),0)+1)</f>
        <v>1.0004200000000028</v>
      </c>
      <c r="T118" s="2131">
        <f t="shared" si="20"/>
        <v>-321.25</v>
      </c>
      <c r="U118" s="2131">
        <f t="shared" si="21"/>
        <v>217.08333333333331</v>
      </c>
      <c r="V118" s="2071">
        <f t="shared" si="26"/>
        <v>102</v>
      </c>
    </row>
    <row r="119" spans="1:22">
      <c r="A119" s="2124">
        <f t="shared" si="27"/>
        <v>1</v>
      </c>
      <c r="B119" s="2073">
        <v>103</v>
      </c>
      <c r="C119" s="2104">
        <f t="shared" si="28"/>
        <v>-345.29</v>
      </c>
      <c r="D119" s="2125">
        <f t="shared" si="16"/>
        <v>0.03</v>
      </c>
      <c r="E119" s="2104">
        <f t="shared" si="22"/>
        <v>24157.677583438901</v>
      </c>
      <c r="F119" s="2135"/>
      <c r="G119" s="2127">
        <f t="shared" si="29"/>
        <v>2</v>
      </c>
      <c r="H119" s="2075">
        <v>103</v>
      </c>
      <c r="I119" s="2104">
        <f t="shared" si="23"/>
        <v>-104.16666666666667</v>
      </c>
      <c r="J119" s="2125">
        <f t="shared" si="24"/>
        <v>2.5000000000000001E-2</v>
      </c>
      <c r="K119" s="2083"/>
      <c r="L119" s="2106"/>
      <c r="N119" s="2071">
        <f t="shared" si="25"/>
        <v>103</v>
      </c>
      <c r="O119" s="2130">
        <f>IF(D118=D119,O118+0.00001,ROUNDDOWN(MAX($O$16:$O118),0)+1)</f>
        <v>1.0300000000000021E-3</v>
      </c>
      <c r="P119" s="2131">
        <f t="shared" si="17"/>
        <v>-469.49</v>
      </c>
      <c r="Q119" s="2131">
        <f t="shared" si="18"/>
        <v>124.19999999999999</v>
      </c>
      <c r="R119" s="2131">
        <f t="shared" si="19"/>
        <v>28447.381510236744</v>
      </c>
      <c r="S119" s="2130">
        <f>IF(J118=J119,S118+0.00001,ROUNDDOWN(MAX($S$16:$S118),0)+1)</f>
        <v>1.0004300000000028</v>
      </c>
      <c r="T119" s="2131">
        <f t="shared" si="20"/>
        <v>-321.25</v>
      </c>
      <c r="U119" s="2131">
        <f t="shared" si="21"/>
        <v>217.08333333333331</v>
      </c>
      <c r="V119" s="2071">
        <f t="shared" si="26"/>
        <v>103</v>
      </c>
    </row>
    <row r="120" spans="1:22">
      <c r="A120" s="2124">
        <f t="shared" si="27"/>
        <v>1</v>
      </c>
      <c r="B120" s="2073">
        <v>104</v>
      </c>
      <c r="C120" s="2104">
        <f t="shared" si="28"/>
        <v>-345.29</v>
      </c>
      <c r="D120" s="2125">
        <f t="shared" si="16"/>
        <v>0.03</v>
      </c>
      <c r="E120" s="2104">
        <f t="shared" si="22"/>
        <v>23872.781777397497</v>
      </c>
      <c r="F120" s="2135"/>
      <c r="G120" s="2127">
        <f t="shared" si="29"/>
        <v>2</v>
      </c>
      <c r="H120" s="2075">
        <v>104</v>
      </c>
      <c r="I120" s="2104">
        <f t="shared" si="23"/>
        <v>-104.16666666666667</v>
      </c>
      <c r="J120" s="2125">
        <f t="shared" si="24"/>
        <v>2.5000000000000001E-2</v>
      </c>
      <c r="K120" s="2083"/>
      <c r="L120" s="2106"/>
      <c r="N120" s="2071">
        <f t="shared" si="25"/>
        <v>104</v>
      </c>
      <c r="O120" s="2130">
        <f>IF(D119=D120,O119+0.00001,ROUNDDOWN(MAX($O$16:$O119),0)+1)</f>
        <v>1.0400000000000021E-3</v>
      </c>
      <c r="P120" s="2131">
        <f t="shared" si="17"/>
        <v>-469.49</v>
      </c>
      <c r="Q120" s="2131">
        <f t="shared" si="18"/>
        <v>124.19999999999999</v>
      </c>
      <c r="R120" s="2131">
        <f t="shared" si="19"/>
        <v>28160.665936440011</v>
      </c>
      <c r="S120" s="2130">
        <f>IF(J119=J120,S119+0.00001,ROUNDDOWN(MAX($S$16:$S119),0)+1)</f>
        <v>1.0004400000000029</v>
      </c>
      <c r="T120" s="2131">
        <f t="shared" si="20"/>
        <v>-321.25</v>
      </c>
      <c r="U120" s="2131">
        <f t="shared" si="21"/>
        <v>217.08333333333331</v>
      </c>
      <c r="V120" s="2071">
        <f t="shared" si="26"/>
        <v>104</v>
      </c>
    </row>
    <row r="121" spans="1:22">
      <c r="A121" s="2124">
        <f t="shared" si="27"/>
        <v>1</v>
      </c>
      <c r="B121" s="2073">
        <v>105</v>
      </c>
      <c r="C121" s="2104">
        <f t="shared" si="28"/>
        <v>-345.29</v>
      </c>
      <c r="D121" s="2125">
        <f t="shared" si="16"/>
        <v>0.03</v>
      </c>
      <c r="E121" s="2104">
        <f t="shared" si="22"/>
        <v>23587.173731840987</v>
      </c>
      <c r="F121" s="2135"/>
      <c r="G121" s="2127">
        <f t="shared" si="29"/>
        <v>2</v>
      </c>
      <c r="H121" s="2075">
        <v>105</v>
      </c>
      <c r="I121" s="2104">
        <f t="shared" si="23"/>
        <v>-104.16666666666667</v>
      </c>
      <c r="J121" s="2125">
        <f t="shared" si="24"/>
        <v>2.5000000000000001E-2</v>
      </c>
      <c r="K121" s="2083"/>
      <c r="L121" s="2106"/>
      <c r="N121" s="2071">
        <f t="shared" si="25"/>
        <v>105</v>
      </c>
      <c r="O121" s="2130">
        <f>IF(D120=D121,O120+0.00001,ROUNDDOWN(MAX($O$16:$O120),0)+1)</f>
        <v>1.0500000000000021E-3</v>
      </c>
      <c r="P121" s="2131">
        <f t="shared" si="17"/>
        <v>-469.49</v>
      </c>
      <c r="Q121" s="2131">
        <f t="shared" si="18"/>
        <v>124.19999999999999</v>
      </c>
      <c r="R121" s="2131">
        <f t="shared" si="19"/>
        <v>27872.108215081633</v>
      </c>
      <c r="S121" s="2130">
        <f>IF(J120=J121,S120+0.00001,ROUNDDOWN(MAX($S$16:$S120),0)+1)</f>
        <v>1.0004500000000029</v>
      </c>
      <c r="T121" s="2131">
        <f t="shared" si="20"/>
        <v>-321.25</v>
      </c>
      <c r="U121" s="2131">
        <f t="shared" si="21"/>
        <v>217.08333333333331</v>
      </c>
      <c r="V121" s="2071">
        <f t="shared" si="26"/>
        <v>105</v>
      </c>
    </row>
    <row r="122" spans="1:22">
      <c r="A122" s="2124">
        <f t="shared" si="27"/>
        <v>1</v>
      </c>
      <c r="B122" s="2073">
        <v>106</v>
      </c>
      <c r="C122" s="2104">
        <f t="shared" si="28"/>
        <v>-345.29</v>
      </c>
      <c r="D122" s="2125">
        <f t="shared" si="16"/>
        <v>0.03</v>
      </c>
      <c r="E122" s="2104">
        <f t="shared" si="22"/>
        <v>23300.851666170587</v>
      </c>
      <c r="F122" s="2135"/>
      <c r="G122" s="2127">
        <f t="shared" si="29"/>
        <v>2</v>
      </c>
      <c r="H122" s="2075">
        <v>106</v>
      </c>
      <c r="I122" s="2104">
        <f t="shared" si="23"/>
        <v>-104.16666666666667</v>
      </c>
      <c r="J122" s="2125">
        <f t="shared" si="24"/>
        <v>2.5000000000000001E-2</v>
      </c>
      <c r="K122" s="2083"/>
      <c r="L122" s="2106"/>
      <c r="N122" s="2071">
        <f t="shared" si="25"/>
        <v>106</v>
      </c>
      <c r="O122" s="2130">
        <f>IF(D121=D122,O121+0.00001,ROUNDDOWN(MAX($O$16:$O121),0)+1)</f>
        <v>1.0600000000000021E-3</v>
      </c>
      <c r="P122" s="2131">
        <f t="shared" si="17"/>
        <v>-469.49</v>
      </c>
      <c r="Q122" s="2131">
        <f t="shared" si="18"/>
        <v>124.19999999999999</v>
      </c>
      <c r="R122" s="2131">
        <f t="shared" si="19"/>
        <v>27581.696510363527</v>
      </c>
      <c r="S122" s="2130">
        <f>IF(J121=J122,S121+0.00001,ROUNDDOWN(MAX($S$16:$S121),0)+1)</f>
        <v>1.000460000000003</v>
      </c>
      <c r="T122" s="2131">
        <f t="shared" si="20"/>
        <v>-321.25</v>
      </c>
      <c r="U122" s="2131">
        <f t="shared" si="21"/>
        <v>217.08333333333331</v>
      </c>
      <c r="V122" s="2071">
        <f t="shared" si="26"/>
        <v>106</v>
      </c>
    </row>
    <row r="123" spans="1:22">
      <c r="A123" s="2124">
        <f t="shared" si="27"/>
        <v>1</v>
      </c>
      <c r="B123" s="2073">
        <v>107</v>
      </c>
      <c r="C123" s="2104">
        <f t="shared" si="28"/>
        <v>-345.29</v>
      </c>
      <c r="D123" s="2125">
        <f t="shared" si="16"/>
        <v>0.03</v>
      </c>
      <c r="E123" s="2104">
        <f t="shared" si="22"/>
        <v>23013.813795336013</v>
      </c>
      <c r="F123" s="2135"/>
      <c r="G123" s="2127">
        <f t="shared" si="29"/>
        <v>2</v>
      </c>
      <c r="H123" s="2075">
        <v>107</v>
      </c>
      <c r="I123" s="2104">
        <f t="shared" si="23"/>
        <v>-104.16666666666667</v>
      </c>
      <c r="J123" s="2125">
        <f t="shared" si="24"/>
        <v>2.5000000000000001E-2</v>
      </c>
      <c r="K123" s="2083"/>
      <c r="L123" s="2106"/>
      <c r="N123" s="2071">
        <f t="shared" si="25"/>
        <v>107</v>
      </c>
      <c r="O123" s="2130">
        <f>IF(D122=D123,O122+0.00001,ROUNDDOWN(MAX($O$16:$O122),0)+1)</f>
        <v>1.0700000000000022E-3</v>
      </c>
      <c r="P123" s="2131">
        <f t="shared" si="17"/>
        <v>-469.49</v>
      </c>
      <c r="Q123" s="2131">
        <f t="shared" si="18"/>
        <v>124.19999999999999</v>
      </c>
      <c r="R123" s="2131">
        <f t="shared" si="19"/>
        <v>27289.418910442608</v>
      </c>
      <c r="S123" s="2130">
        <f>IF(J122=J123,S122+0.00001,ROUNDDOWN(MAX($S$16:$S122),0)+1)</f>
        <v>1.0004700000000031</v>
      </c>
      <c r="T123" s="2131">
        <f t="shared" si="20"/>
        <v>-321.25</v>
      </c>
      <c r="U123" s="2131">
        <f t="shared" si="21"/>
        <v>217.08333333333331</v>
      </c>
      <c r="V123" s="2071">
        <f t="shared" si="26"/>
        <v>107</v>
      </c>
    </row>
    <row r="124" spans="1:22">
      <c r="A124" s="2124">
        <f t="shared" si="27"/>
        <v>1</v>
      </c>
      <c r="B124" s="2073">
        <v>108</v>
      </c>
      <c r="C124" s="2104">
        <f t="shared" si="28"/>
        <v>-345.29</v>
      </c>
      <c r="D124" s="2125">
        <f t="shared" si="16"/>
        <v>0.03</v>
      </c>
      <c r="E124" s="2104">
        <f t="shared" si="22"/>
        <v>22726.058329824351</v>
      </c>
      <c r="F124" s="2135"/>
      <c r="G124" s="2127">
        <f t="shared" si="29"/>
        <v>2</v>
      </c>
      <c r="H124" s="2075">
        <v>108</v>
      </c>
      <c r="I124" s="2104">
        <f t="shared" si="23"/>
        <v>-104.16666666666667</v>
      </c>
      <c r="J124" s="2125">
        <f t="shared" si="24"/>
        <v>2.5000000000000001E-2</v>
      </c>
      <c r="K124" s="2083"/>
      <c r="L124" s="2106"/>
      <c r="N124" s="2071">
        <f t="shared" si="25"/>
        <v>108</v>
      </c>
      <c r="O124" s="2130">
        <f>IF(D123=D124,O123+0.00001,ROUNDDOWN(MAX($O$16:$O123),0)+1)</f>
        <v>1.0800000000000022E-3</v>
      </c>
      <c r="P124" s="2131">
        <f t="shared" si="17"/>
        <v>-469.49</v>
      </c>
      <c r="Q124" s="2131">
        <f t="shared" si="18"/>
        <v>124.19999999999999</v>
      </c>
      <c r="R124" s="2131">
        <f t="shared" si="19"/>
        <v>26995.263426942198</v>
      </c>
      <c r="S124" s="2130">
        <f>IF(J123=J124,S123+0.00001,ROUNDDOWN(MAX($S$16:$S123),0)+1)</f>
        <v>1.0004800000000031</v>
      </c>
      <c r="T124" s="2131">
        <f t="shared" si="20"/>
        <v>-321.25</v>
      </c>
      <c r="U124" s="2131">
        <f t="shared" si="21"/>
        <v>217.08333333333331</v>
      </c>
      <c r="V124" s="2071">
        <f t="shared" si="26"/>
        <v>108</v>
      </c>
    </row>
    <row r="125" spans="1:22">
      <c r="A125" s="2124">
        <f t="shared" si="27"/>
        <v>1</v>
      </c>
      <c r="B125" s="2073">
        <v>109</v>
      </c>
      <c r="C125" s="2104">
        <f t="shared" si="28"/>
        <v>-345.29</v>
      </c>
      <c r="D125" s="2125">
        <f t="shared" si="16"/>
        <v>0.03</v>
      </c>
      <c r="E125" s="2104">
        <f t="shared" si="22"/>
        <v>22437.583475648909</v>
      </c>
      <c r="F125" s="2135"/>
      <c r="G125" s="2127">
        <f t="shared" si="29"/>
        <v>2</v>
      </c>
      <c r="H125" s="2075">
        <v>109</v>
      </c>
      <c r="I125" s="2104">
        <f t="shared" si="23"/>
        <v>-104.16666666666667</v>
      </c>
      <c r="J125" s="2125">
        <f t="shared" si="24"/>
        <v>2.5000000000000001E-2</v>
      </c>
      <c r="K125" s="2083"/>
      <c r="L125" s="2106"/>
      <c r="N125" s="2071">
        <f t="shared" si="25"/>
        <v>109</v>
      </c>
      <c r="O125" s="2130">
        <f>IF(D124=D125,O124+0.00001,ROUNDDOWN(MAX($O$16:$O124),0)+1)</f>
        <v>1.0900000000000022E-3</v>
      </c>
      <c r="P125" s="2131">
        <f t="shared" si="17"/>
        <v>-469.49</v>
      </c>
      <c r="Q125" s="2131">
        <f t="shared" si="18"/>
        <v>124.19999999999999</v>
      </c>
      <c r="R125" s="2131">
        <f t="shared" si="19"/>
        <v>26699.217994460298</v>
      </c>
      <c r="S125" s="2130">
        <f>IF(J124=J125,S124+0.00001,ROUNDDOWN(MAX($S$16:$S124),0)+1)</f>
        <v>1.0004900000000032</v>
      </c>
      <c r="T125" s="2131">
        <f t="shared" si="20"/>
        <v>-321.25</v>
      </c>
      <c r="U125" s="2131">
        <f t="shared" si="21"/>
        <v>217.08333333333331</v>
      </c>
      <c r="V125" s="2071">
        <f t="shared" si="26"/>
        <v>109</v>
      </c>
    </row>
    <row r="126" spans="1:22">
      <c r="A126" s="2124">
        <f t="shared" si="27"/>
        <v>1</v>
      </c>
      <c r="B126" s="2073">
        <v>110</v>
      </c>
      <c r="C126" s="2104">
        <f t="shared" si="28"/>
        <v>-345.29</v>
      </c>
      <c r="D126" s="2125">
        <f t="shared" si="16"/>
        <v>0.03</v>
      </c>
      <c r="E126" s="2104">
        <f t="shared" si="22"/>
        <v>22148.38743433803</v>
      </c>
      <c r="F126" s="2135"/>
      <c r="G126" s="2127">
        <f t="shared" si="29"/>
        <v>2</v>
      </c>
      <c r="H126" s="2075">
        <v>110</v>
      </c>
      <c r="I126" s="2104">
        <f t="shared" si="23"/>
        <v>-104.16666666666667</v>
      </c>
      <c r="J126" s="2125">
        <f t="shared" si="24"/>
        <v>2.5000000000000001E-2</v>
      </c>
      <c r="K126" s="2083"/>
      <c r="L126" s="2106"/>
      <c r="N126" s="2071">
        <f t="shared" si="25"/>
        <v>110</v>
      </c>
      <c r="O126" s="2130">
        <f>IF(D125=D126,O125+0.00001,ROUNDDOWN(MAX($O$16:$O125),0)+1)</f>
        <v>1.1000000000000022E-3</v>
      </c>
      <c r="P126" s="2131">
        <f t="shared" si="17"/>
        <v>-469.49</v>
      </c>
      <c r="Q126" s="2131">
        <f t="shared" si="18"/>
        <v>124.19999999999999</v>
      </c>
      <c r="R126" s="2131">
        <f t="shared" si="19"/>
        <v>26401.270470074702</v>
      </c>
      <c r="S126" s="2130">
        <f>IF(J125=J126,S125+0.00001,ROUNDDOWN(MAX($S$16:$S125),0)+1)</f>
        <v>1.0005000000000033</v>
      </c>
      <c r="T126" s="2131">
        <f t="shared" si="20"/>
        <v>-321.25</v>
      </c>
      <c r="U126" s="2131">
        <f t="shared" si="21"/>
        <v>217.08333333333331</v>
      </c>
      <c r="V126" s="2071">
        <f t="shared" si="26"/>
        <v>110</v>
      </c>
    </row>
    <row r="127" spans="1:22">
      <c r="A127" s="2124">
        <f t="shared" si="27"/>
        <v>1</v>
      </c>
      <c r="B127" s="2073">
        <v>111</v>
      </c>
      <c r="C127" s="2104">
        <f t="shared" si="28"/>
        <v>-345.29</v>
      </c>
      <c r="D127" s="2125">
        <f t="shared" si="16"/>
        <v>0.03</v>
      </c>
      <c r="E127" s="2104">
        <f t="shared" si="22"/>
        <v>21858.468402923874</v>
      </c>
      <c r="F127" s="2135"/>
      <c r="G127" s="2127">
        <f t="shared" si="29"/>
        <v>2</v>
      </c>
      <c r="H127" s="2075">
        <v>111</v>
      </c>
      <c r="I127" s="2104">
        <f t="shared" si="23"/>
        <v>-104.16666666666667</v>
      </c>
      <c r="J127" s="2125">
        <f t="shared" si="24"/>
        <v>2.5000000000000001E-2</v>
      </c>
      <c r="K127" s="2083"/>
      <c r="L127" s="2106"/>
      <c r="N127" s="2071">
        <f t="shared" si="25"/>
        <v>111</v>
      </c>
      <c r="O127" s="2130">
        <f>IF(D126=D127,O126+0.00001,ROUNDDOWN(MAX($O$16:$O126),0)+1)</f>
        <v>1.1100000000000023E-3</v>
      </c>
      <c r="P127" s="2131">
        <f t="shared" si="17"/>
        <v>-469.49</v>
      </c>
      <c r="Q127" s="2131">
        <f t="shared" si="18"/>
        <v>124.19999999999999</v>
      </c>
      <c r="R127" s="2131">
        <f t="shared" si="19"/>
        <v>26101.408632844927</v>
      </c>
      <c r="S127" s="2130">
        <f>IF(J126=J127,S126+0.00001,ROUNDDOWN(MAX($S$16:$S126),0)+1)</f>
        <v>1.0005100000000033</v>
      </c>
      <c r="T127" s="2131">
        <f t="shared" si="20"/>
        <v>-321.25</v>
      </c>
      <c r="U127" s="2131">
        <f t="shared" si="21"/>
        <v>217.08333333333331</v>
      </c>
      <c r="V127" s="2071">
        <f t="shared" si="26"/>
        <v>111</v>
      </c>
    </row>
    <row r="128" spans="1:22">
      <c r="A128" s="2124">
        <f t="shared" si="27"/>
        <v>1</v>
      </c>
      <c r="B128" s="2073">
        <v>112</v>
      </c>
      <c r="C128" s="2104">
        <f t="shared" si="28"/>
        <v>-345.29</v>
      </c>
      <c r="D128" s="2125">
        <f t="shared" si="16"/>
        <v>0.03</v>
      </c>
      <c r="E128" s="2104">
        <f t="shared" si="22"/>
        <v>21567.824573931182</v>
      </c>
      <c r="F128" s="2135"/>
      <c r="G128" s="2127">
        <f t="shared" si="29"/>
        <v>2</v>
      </c>
      <c r="H128" s="2075">
        <v>112</v>
      </c>
      <c r="I128" s="2104">
        <f t="shared" si="23"/>
        <v>-104.16666666666667</v>
      </c>
      <c r="J128" s="2125">
        <f t="shared" si="24"/>
        <v>2.5000000000000001E-2</v>
      </c>
      <c r="K128" s="2083"/>
      <c r="L128" s="2106"/>
      <c r="N128" s="2071">
        <f t="shared" si="25"/>
        <v>112</v>
      </c>
      <c r="O128" s="2130">
        <f>IF(D127=D128,O127+0.00001,ROUNDDOWN(MAX($O$16:$O127),0)+1)</f>
        <v>1.1200000000000023E-3</v>
      </c>
      <c r="P128" s="2131">
        <f t="shared" si="17"/>
        <v>-469.49</v>
      </c>
      <c r="Q128" s="2131">
        <f t="shared" si="18"/>
        <v>124.19999999999999</v>
      </c>
      <c r="R128" s="2131">
        <f t="shared" si="19"/>
        <v>25799.620183310952</v>
      </c>
      <c r="S128" s="2130">
        <f>IF(J127=J128,S127+0.00001,ROUNDDOWN(MAX($S$16:$S127),0)+1)</f>
        <v>1.0005200000000034</v>
      </c>
      <c r="T128" s="2131">
        <f t="shared" si="20"/>
        <v>-321.25</v>
      </c>
      <c r="U128" s="2131">
        <f t="shared" si="21"/>
        <v>217.08333333333331</v>
      </c>
      <c r="V128" s="2071">
        <f t="shared" si="26"/>
        <v>112</v>
      </c>
    </row>
    <row r="129" spans="1:22">
      <c r="A129" s="2124">
        <f t="shared" si="27"/>
        <v>1</v>
      </c>
      <c r="B129" s="2073">
        <v>113</v>
      </c>
      <c r="C129" s="2104">
        <f t="shared" si="28"/>
        <v>-345.29</v>
      </c>
      <c r="D129" s="2125">
        <f t="shared" si="16"/>
        <v>0.03</v>
      </c>
      <c r="E129" s="2104">
        <f t="shared" si="22"/>
        <v>21276.45413536601</v>
      </c>
      <c r="F129" s="2135"/>
      <c r="G129" s="2127">
        <f t="shared" si="29"/>
        <v>2</v>
      </c>
      <c r="H129" s="2075">
        <v>113</v>
      </c>
      <c r="I129" s="2104">
        <f t="shared" si="23"/>
        <v>-104.16666666666667</v>
      </c>
      <c r="J129" s="2125">
        <f t="shared" si="24"/>
        <v>2.5000000000000001E-2</v>
      </c>
      <c r="K129" s="2083"/>
      <c r="L129" s="2106"/>
      <c r="N129" s="2071">
        <f t="shared" si="25"/>
        <v>113</v>
      </c>
      <c r="O129" s="2130">
        <f>IF(D128=D129,O128+0.00001,ROUNDDOWN(MAX($O$16:$O128),0)+1)</f>
        <v>1.1300000000000023E-3</v>
      </c>
      <c r="P129" s="2131">
        <f t="shared" si="17"/>
        <v>-469.49</v>
      </c>
      <c r="Q129" s="2131">
        <f t="shared" si="18"/>
        <v>124.19999999999999</v>
      </c>
      <c r="R129" s="2131">
        <f t="shared" si="19"/>
        <v>25495.892742988719</v>
      </c>
      <c r="S129" s="2130">
        <f>IF(J128=J129,S128+0.00001,ROUNDDOWN(MAX($S$16:$S128),0)+1)</f>
        <v>1.0005300000000035</v>
      </c>
      <c r="T129" s="2131">
        <f t="shared" si="20"/>
        <v>-321.25</v>
      </c>
      <c r="U129" s="2131">
        <f t="shared" si="21"/>
        <v>217.08333333333331</v>
      </c>
      <c r="V129" s="2071">
        <f t="shared" si="26"/>
        <v>113</v>
      </c>
    </row>
    <row r="130" spans="1:22">
      <c r="A130" s="2124">
        <f t="shared" si="27"/>
        <v>1</v>
      </c>
      <c r="B130" s="2073">
        <v>114</v>
      </c>
      <c r="C130" s="2104">
        <f t="shared" si="28"/>
        <v>-345.29</v>
      </c>
      <c r="D130" s="2125">
        <f t="shared" si="16"/>
        <v>0.03</v>
      </c>
      <c r="E130" s="2104">
        <f t="shared" si="22"/>
        <v>20984.355270704422</v>
      </c>
      <c r="F130" s="2135"/>
      <c r="G130" s="2127">
        <f t="shared" si="29"/>
        <v>2</v>
      </c>
      <c r="H130" s="2075">
        <v>114</v>
      </c>
      <c r="I130" s="2104">
        <f t="shared" si="23"/>
        <v>-104.16666666666667</v>
      </c>
      <c r="J130" s="2125">
        <f t="shared" si="24"/>
        <v>2.5000000000000001E-2</v>
      </c>
      <c r="K130" s="2083"/>
      <c r="L130" s="2106"/>
      <c r="N130" s="2071">
        <f t="shared" si="25"/>
        <v>114</v>
      </c>
      <c r="O130" s="2130">
        <f>IF(D129=D130,O129+0.00001,ROUNDDOWN(MAX($O$16:$O129),0)+1)</f>
        <v>1.1400000000000023E-3</v>
      </c>
      <c r="P130" s="2131">
        <f t="shared" si="17"/>
        <v>-469.49</v>
      </c>
      <c r="Q130" s="2131">
        <f t="shared" si="18"/>
        <v>124.19999999999999</v>
      </c>
      <c r="R130" s="2131">
        <f t="shared" si="19"/>
        <v>25190.213853862417</v>
      </c>
      <c r="S130" s="2130">
        <f>IF(J129=J130,S129+0.00001,ROUNDDOWN(MAX($S$16:$S129),0)+1)</f>
        <v>1.0005400000000035</v>
      </c>
      <c r="T130" s="2131">
        <f t="shared" si="20"/>
        <v>-321.25</v>
      </c>
      <c r="U130" s="2131">
        <f t="shared" si="21"/>
        <v>217.08333333333331</v>
      </c>
      <c r="V130" s="2071">
        <f t="shared" si="26"/>
        <v>114</v>
      </c>
    </row>
    <row r="131" spans="1:22">
      <c r="A131" s="2124">
        <f t="shared" si="27"/>
        <v>1</v>
      </c>
      <c r="B131" s="2073">
        <v>115</v>
      </c>
      <c r="C131" s="2104">
        <f t="shared" si="28"/>
        <v>-345.29</v>
      </c>
      <c r="D131" s="2125">
        <f t="shared" si="16"/>
        <v>0.03</v>
      </c>
      <c r="E131" s="2104">
        <f t="shared" si="22"/>
        <v>20691.526158881181</v>
      </c>
      <c r="F131" s="2135"/>
      <c r="G131" s="2127">
        <f t="shared" si="29"/>
        <v>2</v>
      </c>
      <c r="H131" s="2075">
        <v>115</v>
      </c>
      <c r="I131" s="2104">
        <f t="shared" si="23"/>
        <v>-104.16666666666667</v>
      </c>
      <c r="J131" s="2125">
        <f t="shared" si="24"/>
        <v>2.5000000000000001E-2</v>
      </c>
      <c r="K131" s="2083"/>
      <c r="L131" s="2106"/>
      <c r="N131" s="2071">
        <f t="shared" si="25"/>
        <v>115</v>
      </c>
      <c r="O131" s="2130">
        <f>IF(D130=D131,O130+0.00001,ROUNDDOWN(MAX($O$16:$O130),0)+1)</f>
        <v>1.1500000000000024E-3</v>
      </c>
      <c r="P131" s="2131">
        <f t="shared" si="17"/>
        <v>-469.49</v>
      </c>
      <c r="Q131" s="2131">
        <f t="shared" si="18"/>
        <v>124.19999999999999</v>
      </c>
      <c r="R131" s="2131">
        <f t="shared" si="19"/>
        <v>24882.570977873478</v>
      </c>
      <c r="S131" s="2130">
        <f>IF(J130=J131,S130+0.00001,ROUNDDOWN(MAX($S$16:$S130),0)+1)</f>
        <v>1.0005500000000036</v>
      </c>
      <c r="T131" s="2131">
        <f t="shared" si="20"/>
        <v>-321.25</v>
      </c>
      <c r="U131" s="2131">
        <f t="shared" si="21"/>
        <v>217.08333333333331</v>
      </c>
      <c r="V131" s="2071">
        <f t="shared" si="26"/>
        <v>115</v>
      </c>
    </row>
    <row r="132" spans="1:22">
      <c r="A132" s="2124">
        <f t="shared" si="27"/>
        <v>1</v>
      </c>
      <c r="B132" s="2073">
        <v>116</v>
      </c>
      <c r="C132" s="2104">
        <f t="shared" si="28"/>
        <v>-345.29</v>
      </c>
      <c r="D132" s="2125">
        <f t="shared" si="16"/>
        <v>0.03</v>
      </c>
      <c r="E132" s="2104">
        <f t="shared" si="22"/>
        <v>20397.96497427838</v>
      </c>
      <c r="F132" s="2135"/>
      <c r="G132" s="2127">
        <f t="shared" si="29"/>
        <v>2</v>
      </c>
      <c r="H132" s="2075">
        <v>116</v>
      </c>
      <c r="I132" s="2104">
        <f t="shared" si="23"/>
        <v>-104.16666666666667</v>
      </c>
      <c r="J132" s="2125">
        <f t="shared" si="24"/>
        <v>2.5000000000000001E-2</v>
      </c>
      <c r="K132" s="2083"/>
      <c r="L132" s="2106"/>
      <c r="N132" s="2071">
        <f t="shared" si="25"/>
        <v>116</v>
      </c>
      <c r="O132" s="2130">
        <f>IF(D131=D132,O131+0.00001,ROUNDDOWN(MAX($O$16:$O131),0)+1)</f>
        <v>1.1600000000000024E-3</v>
      </c>
      <c r="P132" s="2131">
        <f t="shared" si="17"/>
        <v>-469.49</v>
      </c>
      <c r="Q132" s="2131">
        <f t="shared" si="18"/>
        <v>124.19999999999999</v>
      </c>
      <c r="R132" s="2131">
        <f t="shared" si="19"/>
        <v>24572.951496406313</v>
      </c>
      <c r="S132" s="2130">
        <f>IF(J131=J132,S131+0.00001,ROUNDDOWN(MAX($S$16:$S131),0)+1)</f>
        <v>1.0005600000000037</v>
      </c>
      <c r="T132" s="2131">
        <f t="shared" si="20"/>
        <v>-321.25</v>
      </c>
      <c r="U132" s="2131">
        <f t="shared" si="21"/>
        <v>217.08333333333331</v>
      </c>
      <c r="V132" s="2071">
        <f t="shared" si="26"/>
        <v>116</v>
      </c>
    </row>
    <row r="133" spans="1:22">
      <c r="A133" s="2124">
        <f t="shared" si="27"/>
        <v>1</v>
      </c>
      <c r="B133" s="2073">
        <v>117</v>
      </c>
      <c r="C133" s="2104">
        <f t="shared" si="28"/>
        <v>-345.29</v>
      </c>
      <c r="D133" s="2125">
        <f t="shared" si="16"/>
        <v>0.03</v>
      </c>
      <c r="E133" s="2104">
        <f t="shared" si="22"/>
        <v>20103.669886714073</v>
      </c>
      <c r="F133" s="2135"/>
      <c r="G133" s="2127">
        <f t="shared" si="29"/>
        <v>2</v>
      </c>
      <c r="H133" s="2075">
        <v>117</v>
      </c>
      <c r="I133" s="2104">
        <f t="shared" si="23"/>
        <v>-104.16666666666667</v>
      </c>
      <c r="J133" s="2125">
        <f t="shared" si="24"/>
        <v>2.5000000000000001E-2</v>
      </c>
      <c r="K133" s="2083"/>
      <c r="L133" s="2106"/>
      <c r="N133" s="2071">
        <f t="shared" si="25"/>
        <v>117</v>
      </c>
      <c r="O133" s="2130">
        <f>IF(D132=D133,O132+0.00001,ROUNDDOWN(MAX($O$16:$O132),0)+1)</f>
        <v>1.1700000000000024E-3</v>
      </c>
      <c r="P133" s="2131">
        <f t="shared" si="17"/>
        <v>-469.49</v>
      </c>
      <c r="Q133" s="2131">
        <f t="shared" si="18"/>
        <v>124.19999999999999</v>
      </c>
      <c r="R133" s="2131">
        <f t="shared" si="19"/>
        <v>24261.342709770721</v>
      </c>
      <c r="S133" s="2130">
        <f>IF(J132=J133,S132+0.00001,ROUNDDOWN(MAX($S$16:$S132),0)+1)</f>
        <v>1.0005700000000037</v>
      </c>
      <c r="T133" s="2131">
        <f t="shared" si="20"/>
        <v>-321.25</v>
      </c>
      <c r="U133" s="2131">
        <f t="shared" si="21"/>
        <v>217.08333333333331</v>
      </c>
      <c r="V133" s="2071">
        <f t="shared" si="26"/>
        <v>117</v>
      </c>
    </row>
    <row r="134" spans="1:22">
      <c r="A134" s="2124">
        <f t="shared" si="27"/>
        <v>1</v>
      </c>
      <c r="B134" s="2073">
        <v>118</v>
      </c>
      <c r="C134" s="2104">
        <f t="shared" si="28"/>
        <v>-345.29</v>
      </c>
      <c r="D134" s="2125">
        <f t="shared" si="16"/>
        <v>0.03</v>
      </c>
      <c r="E134" s="2104">
        <f t="shared" si="22"/>
        <v>19808.639061430855</v>
      </c>
      <c r="F134" s="2135"/>
      <c r="G134" s="2127">
        <f t="shared" si="29"/>
        <v>2</v>
      </c>
      <c r="H134" s="2075">
        <v>118</v>
      </c>
      <c r="I134" s="2104">
        <f t="shared" si="23"/>
        <v>-104.16666666666667</v>
      </c>
      <c r="J134" s="2125">
        <f t="shared" si="24"/>
        <v>2.5000000000000001E-2</v>
      </c>
      <c r="K134" s="2083"/>
      <c r="L134" s="2106"/>
      <c r="N134" s="2071">
        <f t="shared" si="25"/>
        <v>118</v>
      </c>
      <c r="O134" s="2130">
        <f>IF(D133=D134,O133+0.00001,ROUNDDOWN(MAX($O$16:$O133),0)+1)</f>
        <v>1.1800000000000024E-3</v>
      </c>
      <c r="P134" s="2131">
        <f t="shared" si="17"/>
        <v>-469.49</v>
      </c>
      <c r="Q134" s="2131">
        <f t="shared" si="18"/>
        <v>124.19999999999999</v>
      </c>
      <c r="R134" s="2131">
        <f t="shared" si="19"/>
        <v>23947.731836680992</v>
      </c>
      <c r="S134" s="2130">
        <f>IF(J133=J134,S133+0.00001,ROUNDDOWN(MAX($S$16:$S133),0)+1)</f>
        <v>1.0005800000000038</v>
      </c>
      <c r="T134" s="2131">
        <f t="shared" si="20"/>
        <v>-321.25</v>
      </c>
      <c r="U134" s="2131">
        <f t="shared" si="21"/>
        <v>217.08333333333331</v>
      </c>
      <c r="V134" s="2071">
        <f t="shared" si="26"/>
        <v>118</v>
      </c>
    </row>
    <row r="135" spans="1:22">
      <c r="A135" s="2124">
        <f t="shared" si="27"/>
        <v>1</v>
      </c>
      <c r="B135" s="2073">
        <v>119</v>
      </c>
      <c r="C135" s="2104">
        <f t="shared" si="28"/>
        <v>-345.29</v>
      </c>
      <c r="D135" s="2125">
        <f t="shared" si="16"/>
        <v>0.03</v>
      </c>
      <c r="E135" s="2104">
        <f t="shared" si="22"/>
        <v>19512.87065908443</v>
      </c>
      <c r="F135" s="2135"/>
      <c r="G135" s="2127">
        <f t="shared" si="29"/>
        <v>2</v>
      </c>
      <c r="H135" s="2075">
        <v>119</v>
      </c>
      <c r="I135" s="2104">
        <f t="shared" si="23"/>
        <v>-104.16666666666667</v>
      </c>
      <c r="J135" s="2125">
        <f t="shared" si="24"/>
        <v>2.5000000000000001E-2</v>
      </c>
      <c r="K135" s="2083"/>
      <c r="L135" s="2106"/>
      <c r="N135" s="2071">
        <f t="shared" si="25"/>
        <v>119</v>
      </c>
      <c r="O135" s="2130">
        <f>IF(D134=D135,O134+0.00001,ROUNDDOWN(MAX($O$16:$O134),0)+1)</f>
        <v>1.1900000000000025E-3</v>
      </c>
      <c r="P135" s="2131">
        <f t="shared" si="17"/>
        <v>-469.49</v>
      </c>
      <c r="Q135" s="2131">
        <f t="shared" si="18"/>
        <v>124.19999999999999</v>
      </c>
      <c r="R135" s="2131">
        <f t="shared" si="19"/>
        <v>23632.106013731664</v>
      </c>
      <c r="S135" s="2130">
        <f>IF(J134=J135,S134+0.00001,ROUNDDOWN(MAX($S$16:$S134),0)+1)</f>
        <v>1.0005900000000039</v>
      </c>
      <c r="T135" s="2131">
        <f t="shared" si="20"/>
        <v>-321.25</v>
      </c>
      <c r="U135" s="2131">
        <f t="shared" si="21"/>
        <v>217.08333333333331</v>
      </c>
      <c r="V135" s="2071">
        <f t="shared" si="26"/>
        <v>119</v>
      </c>
    </row>
    <row r="136" spans="1:22">
      <c r="A136" s="2124">
        <f t="shared" si="27"/>
        <v>1</v>
      </c>
      <c r="B136" s="2073">
        <v>120</v>
      </c>
      <c r="C136" s="2104">
        <f t="shared" si="28"/>
        <v>-345.29</v>
      </c>
      <c r="D136" s="2125">
        <f t="shared" si="16"/>
        <v>0.03</v>
      </c>
      <c r="E136" s="2104">
        <f t="shared" si="22"/>
        <v>19216.36283573214</v>
      </c>
      <c r="F136" s="2135"/>
      <c r="G136" s="2127">
        <f t="shared" si="29"/>
        <v>3</v>
      </c>
      <c r="H136" s="2075">
        <v>120</v>
      </c>
      <c r="I136" s="2104">
        <f t="shared" si="23"/>
        <v>-104.16666666666667</v>
      </c>
      <c r="J136" s="2125">
        <v>3.5000000000000003E-2</v>
      </c>
      <c r="K136" s="2083"/>
      <c r="L136" s="2106"/>
      <c r="N136" s="2071">
        <f t="shared" si="25"/>
        <v>120</v>
      </c>
      <c r="O136" s="2130">
        <f>IF(D135=D136,O135+0.00001,ROUNDDOWN(MAX($O$16:$O135),0)+1)</f>
        <v>1.2000000000000025E-3</v>
      </c>
      <c r="P136" s="2131">
        <f t="shared" si="17"/>
        <v>-469.49</v>
      </c>
      <c r="Q136" s="2131">
        <f t="shared" si="18"/>
        <v>124.19999999999999</v>
      </c>
      <c r="R136" s="2131">
        <f t="shared" si="19"/>
        <v>23314.452294869887</v>
      </c>
      <c r="S136" s="2130">
        <f>IF(J135=J136,S135+0.00001,ROUNDDOWN(MAX($S$16:$S135),0)+1)</f>
        <v>2</v>
      </c>
      <c r="T136" s="2131">
        <f t="shared" si="20"/>
        <v>-321.25</v>
      </c>
      <c r="U136" s="2131">
        <f t="shared" si="21"/>
        <v>217.08333333333331</v>
      </c>
      <c r="V136" s="2071">
        <f t="shared" si="26"/>
        <v>120</v>
      </c>
    </row>
    <row r="137" spans="1:22">
      <c r="A137" s="2124">
        <f t="shared" si="27"/>
        <v>1</v>
      </c>
      <c r="B137" s="2073">
        <v>121</v>
      </c>
      <c r="C137" s="2104">
        <f t="shared" si="28"/>
        <v>-345.29</v>
      </c>
      <c r="D137" s="2125">
        <f t="shared" si="16"/>
        <v>0.03</v>
      </c>
      <c r="E137" s="2104">
        <f t="shared" si="22"/>
        <v>18919.113742821468</v>
      </c>
      <c r="F137" s="2135"/>
      <c r="G137" s="2127">
        <f t="shared" si="29"/>
        <v>3</v>
      </c>
      <c r="H137" s="2075">
        <v>121</v>
      </c>
      <c r="I137" s="2104">
        <f t="shared" si="23"/>
        <v>-145.83333333333334</v>
      </c>
      <c r="J137" s="2125">
        <f t="shared" si="24"/>
        <v>3.5000000000000003E-2</v>
      </c>
      <c r="K137" s="2083"/>
      <c r="L137" s="2106"/>
      <c r="N137" s="2071">
        <f t="shared" si="25"/>
        <v>121</v>
      </c>
      <c r="O137" s="2130">
        <f>IF(D136=D137,O136+0.00001,ROUNDDOWN(MAX($O$16:$O136),0)+1)</f>
        <v>1.2100000000000025E-3</v>
      </c>
      <c r="P137" s="2131">
        <f t="shared" si="17"/>
        <v>-469.49</v>
      </c>
      <c r="Q137" s="2131">
        <f t="shared" si="18"/>
        <v>124.19999999999999</v>
      </c>
      <c r="R137" s="2131">
        <f t="shared" si="19"/>
        <v>22994.757650864423</v>
      </c>
      <c r="S137" s="2130">
        <f>IF(J136=J137,S136+0.00001,ROUNDDOWN(MAX($S$16:$S136),0)+1)</f>
        <v>2.0000100000000001</v>
      </c>
      <c r="T137" s="2131">
        <f t="shared" si="20"/>
        <v>-321.25</v>
      </c>
      <c r="U137" s="2131">
        <f t="shared" si="21"/>
        <v>175.41666666666666</v>
      </c>
      <c r="V137" s="2071">
        <f t="shared" si="26"/>
        <v>121</v>
      </c>
    </row>
    <row r="138" spans="1:22">
      <c r="A138" s="2124">
        <f t="shared" si="27"/>
        <v>1</v>
      </c>
      <c r="B138" s="2073">
        <v>122</v>
      </c>
      <c r="C138" s="2104">
        <f t="shared" si="28"/>
        <v>-345.29</v>
      </c>
      <c r="D138" s="2125">
        <f t="shared" si="16"/>
        <v>0.03</v>
      </c>
      <c r="E138" s="2104">
        <f t="shared" si="22"/>
        <v>18621.121527178519</v>
      </c>
      <c r="F138" s="2135"/>
      <c r="G138" s="2127">
        <f t="shared" si="29"/>
        <v>3</v>
      </c>
      <c r="H138" s="2075">
        <v>122</v>
      </c>
      <c r="I138" s="2104">
        <f t="shared" si="23"/>
        <v>-145.83333333333334</v>
      </c>
      <c r="J138" s="2125">
        <f t="shared" si="24"/>
        <v>3.5000000000000003E-2</v>
      </c>
      <c r="K138" s="2083"/>
      <c r="L138" s="2106"/>
      <c r="N138" s="2071">
        <f t="shared" si="25"/>
        <v>122</v>
      </c>
      <c r="O138" s="2130">
        <f>IF(D137=D138,O137+0.00001,ROUNDDOWN(MAX($O$16:$O137),0)+1)</f>
        <v>1.2200000000000025E-3</v>
      </c>
      <c r="P138" s="2131">
        <f t="shared" si="17"/>
        <v>-469.49</v>
      </c>
      <c r="Q138" s="2131">
        <f t="shared" si="18"/>
        <v>124.19999999999999</v>
      </c>
      <c r="R138" s="2131">
        <f t="shared" si="19"/>
        <v>22673.008968771224</v>
      </c>
      <c r="S138" s="2130">
        <f>IF(J137=J138,S137+0.00001,ROUNDDOWN(MAX($S$16:$S137),0)+1)</f>
        <v>2.0000200000000001</v>
      </c>
      <c r="T138" s="2131">
        <f t="shared" si="20"/>
        <v>-321.25</v>
      </c>
      <c r="U138" s="2131">
        <f t="shared" si="21"/>
        <v>175.41666666666666</v>
      </c>
      <c r="V138" s="2071">
        <f t="shared" si="26"/>
        <v>122</v>
      </c>
    </row>
    <row r="139" spans="1:22">
      <c r="A139" s="2124">
        <f t="shared" si="27"/>
        <v>1</v>
      </c>
      <c r="B139" s="2073">
        <v>123</v>
      </c>
      <c r="C139" s="2104">
        <f t="shared" si="28"/>
        <v>-345.29</v>
      </c>
      <c r="D139" s="2125">
        <f t="shared" si="16"/>
        <v>0.03</v>
      </c>
      <c r="E139" s="2104">
        <f t="shared" si="22"/>
        <v>18322.384330996461</v>
      </c>
      <c r="F139" s="2135"/>
      <c r="G139" s="2127">
        <f t="shared" si="29"/>
        <v>3</v>
      </c>
      <c r="H139" s="2075">
        <v>123</v>
      </c>
      <c r="I139" s="2104">
        <f t="shared" si="23"/>
        <v>-145.83333333333334</v>
      </c>
      <c r="J139" s="2125">
        <f t="shared" si="24"/>
        <v>3.5000000000000003E-2</v>
      </c>
      <c r="K139" s="2083"/>
      <c r="L139" s="2106"/>
      <c r="N139" s="2071">
        <f t="shared" si="25"/>
        <v>123</v>
      </c>
      <c r="O139" s="2130">
        <f>IF(D138=D139,O138+0.00001,ROUNDDOWN(MAX($O$16:$O138),0)+1)</f>
        <v>1.2300000000000026E-3</v>
      </c>
      <c r="P139" s="2131">
        <f t="shared" si="17"/>
        <v>-469.49</v>
      </c>
      <c r="Q139" s="2131">
        <f t="shared" si="18"/>
        <v>124.19999999999999</v>
      </c>
      <c r="R139" s="2131">
        <f t="shared" si="19"/>
        <v>22349.193051395574</v>
      </c>
      <c r="S139" s="2130">
        <f>IF(J138=J139,S138+0.00001,ROUNDDOWN(MAX($S$16:$S138),0)+1)</f>
        <v>2.0000300000000002</v>
      </c>
      <c r="T139" s="2131">
        <f t="shared" si="20"/>
        <v>-321.25</v>
      </c>
      <c r="U139" s="2131">
        <f t="shared" si="21"/>
        <v>175.41666666666666</v>
      </c>
      <c r="V139" s="2071">
        <f t="shared" si="26"/>
        <v>123</v>
      </c>
    </row>
    <row r="140" spans="1:22">
      <c r="A140" s="2124">
        <f t="shared" si="27"/>
        <v>1</v>
      </c>
      <c r="B140" s="2073">
        <v>124</v>
      </c>
      <c r="C140" s="2104">
        <f t="shared" si="28"/>
        <v>-345.29</v>
      </c>
      <c r="D140" s="2125">
        <f t="shared" si="16"/>
        <v>0.03</v>
      </c>
      <c r="E140" s="2104">
        <f t="shared" si="22"/>
        <v>18022.900291823949</v>
      </c>
      <c r="F140" s="2135"/>
      <c r="G140" s="2127">
        <f t="shared" si="29"/>
        <v>3</v>
      </c>
      <c r="H140" s="2075">
        <v>124</v>
      </c>
      <c r="I140" s="2104">
        <f t="shared" si="23"/>
        <v>-145.83333333333334</v>
      </c>
      <c r="J140" s="2125">
        <f t="shared" si="24"/>
        <v>3.5000000000000003E-2</v>
      </c>
      <c r="K140" s="2083"/>
      <c r="L140" s="2106"/>
      <c r="N140" s="2071">
        <f t="shared" si="25"/>
        <v>124</v>
      </c>
      <c r="O140" s="2130">
        <f>IF(D139=D140,O139+0.00001,ROUNDDOWN(MAX($O$16:$O139),0)+1)</f>
        <v>1.2400000000000026E-3</v>
      </c>
      <c r="P140" s="2131">
        <f t="shared" si="17"/>
        <v>-469.49</v>
      </c>
      <c r="Q140" s="2131">
        <f t="shared" si="18"/>
        <v>124.19999999999999</v>
      </c>
      <c r="R140" s="2131">
        <f t="shared" si="19"/>
        <v>22023.296616750788</v>
      </c>
      <c r="S140" s="2130">
        <f>IF(J139=J140,S139+0.00001,ROUNDDOWN(MAX($S$16:$S139),0)+1)</f>
        <v>2.0000400000000003</v>
      </c>
      <c r="T140" s="2131">
        <f t="shared" si="20"/>
        <v>-321.25</v>
      </c>
      <c r="U140" s="2131">
        <f t="shared" si="21"/>
        <v>175.41666666666666</v>
      </c>
      <c r="V140" s="2071">
        <f t="shared" si="26"/>
        <v>124</v>
      </c>
    </row>
    <row r="141" spans="1:22">
      <c r="A141" s="2124">
        <f t="shared" si="27"/>
        <v>1</v>
      </c>
      <c r="B141" s="2073">
        <v>125</v>
      </c>
      <c r="C141" s="2104">
        <f t="shared" si="28"/>
        <v>-345.29</v>
      </c>
      <c r="D141" s="2125">
        <f t="shared" si="16"/>
        <v>0.03</v>
      </c>
      <c r="E141" s="2104">
        <f t="shared" si="22"/>
        <v>17722.667542553507</v>
      </c>
      <c r="F141" s="2135"/>
      <c r="G141" s="2127">
        <f t="shared" si="29"/>
        <v>3</v>
      </c>
      <c r="H141" s="2075">
        <v>125</v>
      </c>
      <c r="I141" s="2104">
        <f t="shared" si="23"/>
        <v>-145.83333333333334</v>
      </c>
      <c r="J141" s="2125">
        <f t="shared" si="24"/>
        <v>3.5000000000000003E-2</v>
      </c>
      <c r="K141" s="2083"/>
      <c r="L141" s="2106"/>
      <c r="N141" s="2071">
        <f t="shared" si="25"/>
        <v>125</v>
      </c>
      <c r="O141" s="2130">
        <f>IF(D140=D141,O140+0.00001,ROUNDDOWN(MAX($O$16:$O140),0)+1)</f>
        <v>1.2500000000000026E-3</v>
      </c>
      <c r="P141" s="2131">
        <f t="shared" si="17"/>
        <v>-469.49</v>
      </c>
      <c r="Q141" s="2131">
        <f t="shared" si="18"/>
        <v>124.19999999999999</v>
      </c>
      <c r="R141" s="2131">
        <f t="shared" si="19"/>
        <v>21695.306297513409</v>
      </c>
      <c r="S141" s="2130">
        <f>IF(J140=J141,S140+0.00001,ROUNDDOWN(MAX($S$16:$S140),0)+1)</f>
        <v>2.0000500000000003</v>
      </c>
      <c r="T141" s="2131">
        <f t="shared" si="20"/>
        <v>-321.25</v>
      </c>
      <c r="U141" s="2131">
        <f t="shared" si="21"/>
        <v>175.41666666666666</v>
      </c>
      <c r="V141" s="2071">
        <f t="shared" si="26"/>
        <v>125</v>
      </c>
    </row>
    <row r="142" spans="1:22">
      <c r="A142" s="2124">
        <f t="shared" si="27"/>
        <v>1</v>
      </c>
      <c r="B142" s="2073">
        <v>126</v>
      </c>
      <c r="C142" s="2104">
        <f t="shared" si="28"/>
        <v>-345.29</v>
      </c>
      <c r="D142" s="2125">
        <f t="shared" si="16"/>
        <v>0.03</v>
      </c>
      <c r="E142" s="2104">
        <f t="shared" si="22"/>
        <v>17421.684211409887</v>
      </c>
      <c r="F142" s="2135"/>
      <c r="G142" s="2127">
        <f t="shared" si="29"/>
        <v>3</v>
      </c>
      <c r="H142" s="2075">
        <v>126</v>
      </c>
      <c r="I142" s="2104">
        <f t="shared" si="23"/>
        <v>-145.83333333333334</v>
      </c>
      <c r="J142" s="2125">
        <f t="shared" si="24"/>
        <v>3.5000000000000003E-2</v>
      </c>
      <c r="K142" s="2083"/>
      <c r="L142" s="2106"/>
      <c r="N142" s="2071">
        <f t="shared" si="25"/>
        <v>126</v>
      </c>
      <c r="O142" s="2130">
        <f>IF(D141=D142,O141+0.00001,ROUNDDOWN(MAX($O$16:$O141),0)+1)</f>
        <v>1.2600000000000027E-3</v>
      </c>
      <c r="P142" s="2131">
        <f t="shared" si="17"/>
        <v>-469.49</v>
      </c>
      <c r="Q142" s="2131">
        <f t="shared" si="18"/>
        <v>124.19999999999999</v>
      </c>
      <c r="R142" s="2131">
        <f t="shared" si="19"/>
        <v>21365.208640474928</v>
      </c>
      <c r="S142" s="2130">
        <f>IF(J141=J142,S141+0.00001,ROUNDDOWN(MAX($S$16:$S141),0)+1)</f>
        <v>2.0000600000000004</v>
      </c>
      <c r="T142" s="2131">
        <f t="shared" si="20"/>
        <v>-321.25</v>
      </c>
      <c r="U142" s="2131">
        <f t="shared" si="21"/>
        <v>175.41666666666666</v>
      </c>
      <c r="V142" s="2071">
        <f t="shared" si="26"/>
        <v>126</v>
      </c>
    </row>
    <row r="143" spans="1:22">
      <c r="A143" s="2124">
        <f t="shared" si="27"/>
        <v>1</v>
      </c>
      <c r="B143" s="2073">
        <v>127</v>
      </c>
      <c r="C143" s="2104">
        <f t="shared" si="28"/>
        <v>-345.29</v>
      </c>
      <c r="D143" s="2125">
        <f t="shared" si="16"/>
        <v>0.03</v>
      </c>
      <c r="E143" s="2104">
        <f t="shared" si="22"/>
        <v>17119.94842193841</v>
      </c>
      <c r="F143" s="2135"/>
      <c r="G143" s="2127">
        <f t="shared" si="29"/>
        <v>3</v>
      </c>
      <c r="H143" s="2075">
        <v>127</v>
      </c>
      <c r="I143" s="2104">
        <f t="shared" si="23"/>
        <v>-145.83333333333334</v>
      </c>
      <c r="J143" s="2125">
        <f t="shared" si="24"/>
        <v>3.5000000000000003E-2</v>
      </c>
      <c r="K143" s="2083"/>
      <c r="L143" s="2106"/>
      <c r="N143" s="2071">
        <f t="shared" si="25"/>
        <v>127</v>
      </c>
      <c r="O143" s="2130">
        <f>IF(D142=D143,O142+0.00001,ROUNDDOWN(MAX($O$16:$O142),0)+1)</f>
        <v>1.2700000000000027E-3</v>
      </c>
      <c r="P143" s="2131">
        <f t="shared" si="17"/>
        <v>-469.49</v>
      </c>
      <c r="Q143" s="2131">
        <f t="shared" si="18"/>
        <v>124.19999999999999</v>
      </c>
      <c r="R143" s="2131">
        <f t="shared" si="19"/>
        <v>21032.990105989975</v>
      </c>
      <c r="S143" s="2130">
        <f>IF(J142=J143,S142+0.00001,ROUNDDOWN(MAX($S$16:$S142),0)+1)</f>
        <v>2.0000700000000005</v>
      </c>
      <c r="T143" s="2131">
        <f t="shared" si="20"/>
        <v>-321.25</v>
      </c>
      <c r="U143" s="2131">
        <f t="shared" si="21"/>
        <v>175.41666666666666</v>
      </c>
      <c r="V143" s="2071">
        <f t="shared" si="26"/>
        <v>127</v>
      </c>
    </row>
    <row r="144" spans="1:22">
      <c r="A144" s="2124">
        <f t="shared" si="27"/>
        <v>1</v>
      </c>
      <c r="B144" s="2073">
        <v>128</v>
      </c>
      <c r="C144" s="2104">
        <f t="shared" si="28"/>
        <v>-345.29</v>
      </c>
      <c r="D144" s="2125">
        <f t="shared" si="16"/>
        <v>0.03</v>
      </c>
      <c r="E144" s="2104">
        <f t="shared" si="22"/>
        <v>16817.458292993255</v>
      </c>
      <c r="F144" s="2135"/>
      <c r="G144" s="2127">
        <f t="shared" si="29"/>
        <v>3</v>
      </c>
      <c r="H144" s="2075">
        <v>128</v>
      </c>
      <c r="I144" s="2104">
        <f t="shared" si="23"/>
        <v>-145.83333333333334</v>
      </c>
      <c r="J144" s="2125">
        <f t="shared" si="24"/>
        <v>3.5000000000000003E-2</v>
      </c>
      <c r="K144" s="2083"/>
      <c r="L144" s="2106"/>
      <c r="N144" s="2071">
        <f t="shared" si="25"/>
        <v>128</v>
      </c>
      <c r="O144" s="2130">
        <f>IF(D143=D144,O143+0.00001,ROUNDDOWN(MAX($O$16:$O143),0)+1)</f>
        <v>1.2800000000000027E-3</v>
      </c>
      <c r="P144" s="2131">
        <f t="shared" si="17"/>
        <v>-469.49</v>
      </c>
      <c r="Q144" s="2131">
        <f t="shared" si="18"/>
        <v>124.19999999999999</v>
      </c>
      <c r="R144" s="2131">
        <f t="shared" si="19"/>
        <v>20698.637067420957</v>
      </c>
      <c r="S144" s="2130">
        <f>IF(J143=J144,S143+0.00001,ROUNDDOWN(MAX($S$16:$S143),0)+1)</f>
        <v>2.0000800000000005</v>
      </c>
      <c r="T144" s="2131">
        <f t="shared" si="20"/>
        <v>-321.25</v>
      </c>
      <c r="U144" s="2131">
        <f t="shared" si="21"/>
        <v>175.41666666666666</v>
      </c>
      <c r="V144" s="2071">
        <f t="shared" si="26"/>
        <v>128</v>
      </c>
    </row>
    <row r="145" spans="1:22">
      <c r="A145" s="2124">
        <f t="shared" si="27"/>
        <v>1</v>
      </c>
      <c r="B145" s="2073">
        <v>129</v>
      </c>
      <c r="C145" s="2104">
        <f t="shared" si="28"/>
        <v>-345.29</v>
      </c>
      <c r="D145" s="2125">
        <f t="shared" ref="D145:D208" si="30">D144</f>
        <v>0.03</v>
      </c>
      <c r="E145" s="2104">
        <f t="shared" si="22"/>
        <v>16514.211938725737</v>
      </c>
      <c r="F145" s="2135"/>
      <c r="G145" s="2127">
        <f t="shared" si="29"/>
        <v>3</v>
      </c>
      <c r="H145" s="2075">
        <v>129</v>
      </c>
      <c r="I145" s="2104">
        <f t="shared" si="23"/>
        <v>-145.83333333333334</v>
      </c>
      <c r="J145" s="2125">
        <f t="shared" si="24"/>
        <v>3.5000000000000003E-2</v>
      </c>
      <c r="K145" s="2083"/>
      <c r="L145" s="2106"/>
      <c r="N145" s="2071">
        <f t="shared" si="25"/>
        <v>129</v>
      </c>
      <c r="O145" s="2130">
        <f>IF(D144=D145,O144+0.00001,ROUNDDOWN(MAX($O$16:$O144),0)+1)</f>
        <v>1.2900000000000027E-3</v>
      </c>
      <c r="P145" s="2131">
        <f t="shared" ref="P145:P208" si="31">IF($B145&gt;IF(N($C$7)=0,$C$4*$C$5,$C$7),0,IF(B145=IF(N($C$7)=0,$C$4*$C$5,$C$7),-$R144*(1+$C$11/$C$5),ROUND(PMT($C$11/$C$5,$C$4*$C$5,$C$3),2)))</f>
        <v>-469.49</v>
      </c>
      <c r="Q145" s="2131">
        <f t="shared" ref="Q145:Q208" si="32">C145-P145</f>
        <v>124.19999999999999</v>
      </c>
      <c r="R145" s="2131">
        <f t="shared" ref="R145:R208" si="33">R144*(1+$C$11/$C$5)+P145</f>
        <v>20362.135810579133</v>
      </c>
      <c r="S145" s="2130">
        <f>IF(J144=J145,S144+0.00001,ROUNDDOWN(MAX($S$16:$S144),0)+1)</f>
        <v>2.0000900000000006</v>
      </c>
      <c r="T145" s="2131">
        <f t="shared" ref="T145:T208" si="34">IF(I$4*I$5=H145,-I$3*(1+$I$11/I$5),IF(I$4*I$5&lt;H145,0,-I$3*$I$11/I$5))</f>
        <v>-321.25</v>
      </c>
      <c r="U145" s="2131">
        <f t="shared" ref="U145:U208" si="35">I145-T145</f>
        <v>175.41666666666666</v>
      </c>
      <c r="V145" s="2071">
        <f t="shared" si="26"/>
        <v>129</v>
      </c>
    </row>
    <row r="146" spans="1:22">
      <c r="A146" s="2124">
        <f t="shared" si="27"/>
        <v>1</v>
      </c>
      <c r="B146" s="2073">
        <v>130</v>
      </c>
      <c r="C146" s="2104">
        <f t="shared" si="28"/>
        <v>-345.29</v>
      </c>
      <c r="D146" s="2125">
        <f t="shared" si="30"/>
        <v>0.03</v>
      </c>
      <c r="E146" s="2104">
        <f t="shared" ref="E146:E209" si="36">E145*(1+D145/C$5)+C146</f>
        <v>16210.207468572549</v>
      </c>
      <c r="F146" s="2135"/>
      <c r="G146" s="2127">
        <f t="shared" si="29"/>
        <v>3</v>
      </c>
      <c r="H146" s="2075">
        <v>130</v>
      </c>
      <c r="I146" s="2104">
        <f t="shared" ref="I146:I209" si="37">IF(I$4*I$5=H146,-I$3*(1+J145/I$5),IF(I$4*I$5&lt;H146,0,-I$3*J145/I$5))</f>
        <v>-145.83333333333334</v>
      </c>
      <c r="J146" s="2125">
        <f t="shared" ref="J146:J209" si="38">J145</f>
        <v>3.5000000000000003E-2</v>
      </c>
      <c r="K146" s="2083"/>
      <c r="L146" s="2106"/>
      <c r="N146" s="2071">
        <f t="shared" ref="N146:N209" si="39">B146</f>
        <v>130</v>
      </c>
      <c r="O146" s="2130">
        <f>IF(D145=D146,O145+0.00001,ROUNDDOWN(MAX($O$16:$O145),0)+1)</f>
        <v>1.3000000000000028E-3</v>
      </c>
      <c r="P146" s="2131">
        <f t="shared" si="31"/>
        <v>-469.49</v>
      </c>
      <c r="Q146" s="2131">
        <f t="shared" si="32"/>
        <v>124.19999999999999</v>
      </c>
      <c r="R146" s="2131">
        <f t="shared" si="33"/>
        <v>20023.472533162101</v>
      </c>
      <c r="S146" s="2130">
        <f>IF(J145=J146,S145+0.00001,ROUNDDOWN(MAX($S$16:$S145),0)+1)</f>
        <v>2.0001000000000007</v>
      </c>
      <c r="T146" s="2131">
        <f t="shared" si="34"/>
        <v>-321.25</v>
      </c>
      <c r="U146" s="2131">
        <f t="shared" si="35"/>
        <v>175.41666666666666</v>
      </c>
      <c r="V146" s="2071">
        <f t="shared" ref="V146:V209" si="40">H146</f>
        <v>130</v>
      </c>
    </row>
    <row r="147" spans="1:22">
      <c r="A147" s="2124">
        <f t="shared" ref="A147:A210" si="41">ROUND(A146+IF(D147&lt;&gt;D146,1,0),0)</f>
        <v>1</v>
      </c>
      <c r="B147" s="2073">
        <v>131</v>
      </c>
      <c r="C147" s="2104">
        <f t="shared" ref="C147:C210" si="42">IF(B147&gt;IF(N(C$7)=0,C$4*C$5,C$7),0,IF(B147=IF(N(C$7)=0,C$4*C$5,C$7),-E146*(1+D146/C$5),IF(D146=D145,C146,ROUND(PMT(D146/C$5,C$4*C$5-B146,E146),2))))</f>
        <v>-345.29</v>
      </c>
      <c r="D147" s="2125">
        <f t="shared" si="30"/>
        <v>0.03</v>
      </c>
      <c r="E147" s="2104">
        <f t="shared" si="36"/>
        <v>15905.44298724398</v>
      </c>
      <c r="F147" s="2135"/>
      <c r="G147" s="2127">
        <f t="shared" ref="G147:G210" si="43">ROUND(G146+IF(J147&lt;&gt;J146,1,0),0)</f>
        <v>3</v>
      </c>
      <c r="H147" s="2075">
        <v>131</v>
      </c>
      <c r="I147" s="2104">
        <f t="shared" si="37"/>
        <v>-145.83333333333334</v>
      </c>
      <c r="J147" s="2125">
        <f t="shared" si="38"/>
        <v>3.5000000000000003E-2</v>
      </c>
      <c r="K147" s="2083"/>
      <c r="L147" s="2106"/>
      <c r="N147" s="2071">
        <f t="shared" si="39"/>
        <v>131</v>
      </c>
      <c r="O147" s="2130">
        <f>IF(D146=D147,O146+0.00001,ROUNDDOWN(MAX($O$16:$O146),0)+1)</f>
        <v>1.3100000000000028E-3</v>
      </c>
      <c r="P147" s="2131">
        <f t="shared" si="31"/>
        <v>-469.49</v>
      </c>
      <c r="Q147" s="2131">
        <f t="shared" si="32"/>
        <v>124.19999999999999</v>
      </c>
      <c r="R147" s="2131">
        <f t="shared" si="33"/>
        <v>19682.633344187663</v>
      </c>
      <c r="S147" s="2130">
        <f>IF(J146=J147,S146+0.00001,ROUNDDOWN(MAX($S$16:$S146),0)+1)</f>
        <v>2.0001100000000007</v>
      </c>
      <c r="T147" s="2131">
        <f t="shared" si="34"/>
        <v>-321.25</v>
      </c>
      <c r="U147" s="2131">
        <f t="shared" si="35"/>
        <v>175.41666666666666</v>
      </c>
      <c r="V147" s="2071">
        <f t="shared" si="40"/>
        <v>131</v>
      </c>
    </row>
    <row r="148" spans="1:22">
      <c r="A148" s="2124">
        <f t="shared" si="41"/>
        <v>1</v>
      </c>
      <c r="B148" s="2073">
        <v>132</v>
      </c>
      <c r="C148" s="2104">
        <f t="shared" si="42"/>
        <v>-345.29</v>
      </c>
      <c r="D148" s="2125">
        <f t="shared" si="30"/>
        <v>0.03</v>
      </c>
      <c r="E148" s="2104">
        <f t="shared" si="36"/>
        <v>15599.916594712087</v>
      </c>
      <c r="F148" s="2135"/>
      <c r="G148" s="2127">
        <f t="shared" si="43"/>
        <v>3</v>
      </c>
      <c r="H148" s="2075">
        <v>132</v>
      </c>
      <c r="I148" s="2104">
        <f t="shared" si="37"/>
        <v>-145.83333333333334</v>
      </c>
      <c r="J148" s="2125">
        <f t="shared" si="38"/>
        <v>3.5000000000000003E-2</v>
      </c>
      <c r="K148" s="2083"/>
      <c r="L148" s="2106"/>
      <c r="N148" s="2071">
        <f t="shared" si="39"/>
        <v>132</v>
      </c>
      <c r="O148" s="2130">
        <f>IF(D147=D148,O147+0.00001,ROUNDDOWN(MAX($O$16:$O147),0)+1)</f>
        <v>1.3200000000000028E-3</v>
      </c>
      <c r="P148" s="2131">
        <f t="shared" si="31"/>
        <v>-469.49</v>
      </c>
      <c r="Q148" s="2131">
        <f t="shared" si="32"/>
        <v>124.19999999999999</v>
      </c>
      <c r="R148" s="2131">
        <f t="shared" si="33"/>
        <v>19339.604263424066</v>
      </c>
      <c r="S148" s="2130">
        <f>IF(J147=J148,S147+0.00001,ROUNDDOWN(MAX($S$16:$S147),0)+1)</f>
        <v>2.0001200000000008</v>
      </c>
      <c r="T148" s="2131">
        <f t="shared" si="34"/>
        <v>-321.25</v>
      </c>
      <c r="U148" s="2131">
        <f t="shared" si="35"/>
        <v>175.41666666666666</v>
      </c>
      <c r="V148" s="2071">
        <f t="shared" si="40"/>
        <v>132</v>
      </c>
    </row>
    <row r="149" spans="1:22">
      <c r="A149" s="2124">
        <f t="shared" si="41"/>
        <v>1</v>
      </c>
      <c r="B149" s="2073">
        <v>133</v>
      </c>
      <c r="C149" s="2104">
        <f t="shared" si="42"/>
        <v>-345.29</v>
      </c>
      <c r="D149" s="2125">
        <f t="shared" si="30"/>
        <v>0.03</v>
      </c>
      <c r="E149" s="2104">
        <f t="shared" si="36"/>
        <v>15293.626386198866</v>
      </c>
      <c r="F149" s="2135"/>
      <c r="G149" s="2127">
        <f t="shared" si="43"/>
        <v>3</v>
      </c>
      <c r="H149" s="2075">
        <v>133</v>
      </c>
      <c r="I149" s="2104">
        <f t="shared" si="37"/>
        <v>-145.83333333333334</v>
      </c>
      <c r="J149" s="2125">
        <f t="shared" si="38"/>
        <v>3.5000000000000003E-2</v>
      </c>
      <c r="K149" s="2083"/>
      <c r="L149" s="2106"/>
      <c r="N149" s="2071">
        <f t="shared" si="39"/>
        <v>133</v>
      </c>
      <c r="O149" s="2130">
        <f>IF(D148=D149,O148+0.00001,ROUNDDOWN(MAX($O$16:$O148),0)+1)</f>
        <v>1.3300000000000028E-3</v>
      </c>
      <c r="P149" s="2131">
        <f t="shared" si="31"/>
        <v>-469.49</v>
      </c>
      <c r="Q149" s="2131">
        <f t="shared" si="32"/>
        <v>124.19999999999999</v>
      </c>
      <c r="R149" s="2131">
        <f t="shared" si="33"/>
        <v>18994.371220816563</v>
      </c>
      <c r="S149" s="2130">
        <f>IF(J148=J149,S148+0.00001,ROUNDDOWN(MAX($S$16:$S148),0)+1)</f>
        <v>2.0001300000000009</v>
      </c>
      <c r="T149" s="2131">
        <f t="shared" si="34"/>
        <v>-321.25</v>
      </c>
      <c r="U149" s="2131">
        <f t="shared" si="35"/>
        <v>175.41666666666666</v>
      </c>
      <c r="V149" s="2071">
        <f t="shared" si="40"/>
        <v>133</v>
      </c>
    </row>
    <row r="150" spans="1:22">
      <c r="A150" s="2124">
        <f t="shared" si="41"/>
        <v>1</v>
      </c>
      <c r="B150" s="2073">
        <v>134</v>
      </c>
      <c r="C150" s="2104">
        <f t="shared" si="42"/>
        <v>-345.29</v>
      </c>
      <c r="D150" s="2125">
        <f t="shared" si="30"/>
        <v>0.03</v>
      </c>
      <c r="E150" s="2104">
        <f t="shared" si="36"/>
        <v>14986.570452164362</v>
      </c>
      <c r="F150" s="2135"/>
      <c r="G150" s="2127">
        <f t="shared" si="43"/>
        <v>3</v>
      </c>
      <c r="H150" s="2075">
        <v>134</v>
      </c>
      <c r="I150" s="2104">
        <f t="shared" si="37"/>
        <v>-145.83333333333334</v>
      </c>
      <c r="J150" s="2125">
        <f t="shared" si="38"/>
        <v>3.5000000000000003E-2</v>
      </c>
      <c r="K150" s="2083"/>
      <c r="L150" s="2106"/>
      <c r="N150" s="2071">
        <f t="shared" si="39"/>
        <v>134</v>
      </c>
      <c r="O150" s="2130">
        <f>IF(D149=D150,O149+0.00001,ROUNDDOWN(MAX($O$16:$O149),0)+1)</f>
        <v>1.3400000000000029E-3</v>
      </c>
      <c r="P150" s="2131">
        <f t="shared" si="31"/>
        <v>-469.49</v>
      </c>
      <c r="Q150" s="2131">
        <f t="shared" si="32"/>
        <v>124.19999999999999</v>
      </c>
      <c r="R150" s="2131">
        <f t="shared" si="33"/>
        <v>18646.920055910305</v>
      </c>
      <c r="S150" s="2130">
        <f>IF(J149=J150,S149+0.00001,ROUNDDOWN(MAX($S$16:$S149),0)+1)</f>
        <v>2.0001400000000009</v>
      </c>
      <c r="T150" s="2131">
        <f t="shared" si="34"/>
        <v>-321.25</v>
      </c>
      <c r="U150" s="2131">
        <f t="shared" si="35"/>
        <v>175.41666666666666</v>
      </c>
      <c r="V150" s="2071">
        <f t="shared" si="40"/>
        <v>134</v>
      </c>
    </row>
    <row r="151" spans="1:22">
      <c r="A151" s="2124">
        <f t="shared" si="41"/>
        <v>1</v>
      </c>
      <c r="B151" s="2073">
        <v>135</v>
      </c>
      <c r="C151" s="2104">
        <f t="shared" si="42"/>
        <v>-345.29</v>
      </c>
      <c r="D151" s="2125">
        <f t="shared" si="30"/>
        <v>0.03</v>
      </c>
      <c r="E151" s="2104">
        <f t="shared" si="36"/>
        <v>14678.746878294771</v>
      </c>
      <c r="F151" s="2135"/>
      <c r="G151" s="2127">
        <f t="shared" si="43"/>
        <v>3</v>
      </c>
      <c r="H151" s="2075">
        <v>135</v>
      </c>
      <c r="I151" s="2104">
        <f t="shared" si="37"/>
        <v>-145.83333333333334</v>
      </c>
      <c r="J151" s="2125">
        <f t="shared" si="38"/>
        <v>3.5000000000000003E-2</v>
      </c>
      <c r="K151" s="2083"/>
      <c r="L151" s="2106"/>
      <c r="N151" s="2071">
        <f t="shared" si="39"/>
        <v>135</v>
      </c>
      <c r="O151" s="2130">
        <f>IF(D150=D151,O150+0.00001,ROUNDDOWN(MAX($O$16:$O150),0)+1)</f>
        <v>1.3500000000000029E-3</v>
      </c>
      <c r="P151" s="2131">
        <f t="shared" si="31"/>
        <v>-469.49</v>
      </c>
      <c r="Q151" s="2131">
        <f t="shared" si="32"/>
        <v>124.19999999999999</v>
      </c>
      <c r="R151" s="2131">
        <f t="shared" si="33"/>
        <v>18297.236517269524</v>
      </c>
      <c r="S151" s="2130">
        <f>IF(J150=J151,S150+0.00001,ROUNDDOWN(MAX($S$16:$S150),0)+1)</f>
        <v>2.000150000000001</v>
      </c>
      <c r="T151" s="2131">
        <f t="shared" si="34"/>
        <v>-321.25</v>
      </c>
      <c r="U151" s="2131">
        <f t="shared" si="35"/>
        <v>175.41666666666666</v>
      </c>
      <c r="V151" s="2071">
        <f t="shared" si="40"/>
        <v>135</v>
      </c>
    </row>
    <row r="152" spans="1:22">
      <c r="A152" s="2124">
        <f t="shared" si="41"/>
        <v>1</v>
      </c>
      <c r="B152" s="2073">
        <v>136</v>
      </c>
      <c r="C152" s="2104">
        <f t="shared" si="42"/>
        <v>-345.29</v>
      </c>
      <c r="D152" s="2125">
        <f t="shared" si="30"/>
        <v>0.03</v>
      </c>
      <c r="E152" s="2104">
        <f t="shared" si="36"/>
        <v>14370.153745490506</v>
      </c>
      <c r="F152" s="2135"/>
      <c r="G152" s="2127">
        <f t="shared" si="43"/>
        <v>3</v>
      </c>
      <c r="H152" s="2075">
        <v>136</v>
      </c>
      <c r="I152" s="2104">
        <f t="shared" si="37"/>
        <v>-145.83333333333334</v>
      </c>
      <c r="J152" s="2125">
        <f t="shared" si="38"/>
        <v>3.5000000000000003E-2</v>
      </c>
      <c r="K152" s="2083"/>
      <c r="L152" s="2106"/>
      <c r="N152" s="2071">
        <f t="shared" si="39"/>
        <v>136</v>
      </c>
      <c r="O152" s="2130">
        <f>IF(D151=D152,O151+0.00001,ROUNDDOWN(MAX($O$16:$O151),0)+1)</f>
        <v>1.3600000000000029E-3</v>
      </c>
      <c r="P152" s="2131">
        <f t="shared" si="31"/>
        <v>-469.49</v>
      </c>
      <c r="Q152" s="2131">
        <f t="shared" si="32"/>
        <v>124.19999999999999</v>
      </c>
      <c r="R152" s="2131">
        <f t="shared" si="33"/>
        <v>17945.306261892976</v>
      </c>
      <c r="S152" s="2130">
        <f>IF(J151=J152,S151+0.00001,ROUNDDOWN(MAX($S$16:$S151),0)+1)</f>
        <v>2.000160000000001</v>
      </c>
      <c r="T152" s="2131">
        <f t="shared" si="34"/>
        <v>-321.25</v>
      </c>
      <c r="U152" s="2131">
        <f t="shared" si="35"/>
        <v>175.41666666666666</v>
      </c>
      <c r="V152" s="2071">
        <f t="shared" si="40"/>
        <v>136</v>
      </c>
    </row>
    <row r="153" spans="1:22">
      <c r="A153" s="2124">
        <f t="shared" si="41"/>
        <v>1</v>
      </c>
      <c r="B153" s="2073">
        <v>137</v>
      </c>
      <c r="C153" s="2104">
        <f t="shared" si="42"/>
        <v>-345.29</v>
      </c>
      <c r="D153" s="2125">
        <f t="shared" si="30"/>
        <v>0.03</v>
      </c>
      <c r="E153" s="2104">
        <f t="shared" si="36"/>
        <v>14060.789129854231</v>
      </c>
      <c r="F153" s="2135"/>
      <c r="G153" s="2127">
        <f t="shared" si="43"/>
        <v>3</v>
      </c>
      <c r="H153" s="2075">
        <v>137</v>
      </c>
      <c r="I153" s="2104">
        <f t="shared" si="37"/>
        <v>-145.83333333333334</v>
      </c>
      <c r="J153" s="2125">
        <f t="shared" si="38"/>
        <v>3.5000000000000003E-2</v>
      </c>
      <c r="K153" s="2083"/>
      <c r="L153" s="2106"/>
      <c r="N153" s="2071">
        <f t="shared" si="39"/>
        <v>137</v>
      </c>
      <c r="O153" s="2130">
        <f>IF(D152=D153,O152+0.00001,ROUNDDOWN(MAX($O$16:$O152),0)+1)</f>
        <v>1.3700000000000029E-3</v>
      </c>
      <c r="P153" s="2131">
        <f t="shared" si="31"/>
        <v>-469.49</v>
      </c>
      <c r="Q153" s="2131">
        <f t="shared" si="32"/>
        <v>124.19999999999999</v>
      </c>
      <c r="R153" s="2131">
        <f t="shared" si="33"/>
        <v>17591.114854625634</v>
      </c>
      <c r="S153" s="2130">
        <f>IF(J152=J153,S152+0.00001,ROUNDDOWN(MAX($S$16:$S152),0)+1)</f>
        <v>2.0001700000000011</v>
      </c>
      <c r="T153" s="2131">
        <f t="shared" si="34"/>
        <v>-321.25</v>
      </c>
      <c r="U153" s="2131">
        <f t="shared" si="35"/>
        <v>175.41666666666666</v>
      </c>
      <c r="V153" s="2071">
        <f t="shared" si="40"/>
        <v>137</v>
      </c>
    </row>
    <row r="154" spans="1:22">
      <c r="A154" s="2124">
        <f t="shared" si="41"/>
        <v>1</v>
      </c>
      <c r="B154" s="2073">
        <v>138</v>
      </c>
      <c r="C154" s="2104">
        <f t="shared" si="42"/>
        <v>-345.29</v>
      </c>
      <c r="D154" s="2125">
        <f t="shared" si="30"/>
        <v>0.03</v>
      </c>
      <c r="E154" s="2104">
        <f t="shared" si="36"/>
        <v>13750.651102678865</v>
      </c>
      <c r="F154" s="2135"/>
      <c r="G154" s="2127">
        <f t="shared" si="43"/>
        <v>3</v>
      </c>
      <c r="H154" s="2075">
        <v>138</v>
      </c>
      <c r="I154" s="2104">
        <f t="shared" si="37"/>
        <v>-145.83333333333334</v>
      </c>
      <c r="J154" s="2125">
        <f t="shared" si="38"/>
        <v>3.5000000000000003E-2</v>
      </c>
      <c r="K154" s="2083"/>
      <c r="L154" s="2106"/>
      <c r="N154" s="2071">
        <f t="shared" si="39"/>
        <v>138</v>
      </c>
      <c r="O154" s="2130">
        <f>IF(D153=D154,O153+0.00001,ROUNDDOWN(MAX($O$16:$O153),0)+1)</f>
        <v>1.380000000000003E-3</v>
      </c>
      <c r="P154" s="2131">
        <f t="shared" si="31"/>
        <v>-469.49</v>
      </c>
      <c r="Q154" s="2131">
        <f t="shared" si="32"/>
        <v>124.19999999999999</v>
      </c>
      <c r="R154" s="2131">
        <f t="shared" si="33"/>
        <v>17234.647767566599</v>
      </c>
      <c r="S154" s="2130">
        <f>IF(J153=J154,S153+0.00001,ROUNDDOWN(MAX($S$16:$S153),0)+1)</f>
        <v>2.0001800000000012</v>
      </c>
      <c r="T154" s="2131">
        <f t="shared" si="34"/>
        <v>-321.25</v>
      </c>
      <c r="U154" s="2131">
        <f t="shared" si="35"/>
        <v>175.41666666666666</v>
      </c>
      <c r="V154" s="2071">
        <f t="shared" si="40"/>
        <v>138</v>
      </c>
    </row>
    <row r="155" spans="1:22">
      <c r="A155" s="2124">
        <f t="shared" si="41"/>
        <v>1</v>
      </c>
      <c r="B155" s="2073">
        <v>139</v>
      </c>
      <c r="C155" s="2104">
        <f t="shared" si="42"/>
        <v>-345.29</v>
      </c>
      <c r="D155" s="2125">
        <f t="shared" si="30"/>
        <v>0.03</v>
      </c>
      <c r="E155" s="2104">
        <f t="shared" si="36"/>
        <v>13439.73773043556</v>
      </c>
      <c r="F155" s="2135"/>
      <c r="G155" s="2127">
        <f t="shared" si="43"/>
        <v>3</v>
      </c>
      <c r="H155" s="2075">
        <v>139</v>
      </c>
      <c r="I155" s="2104">
        <f t="shared" si="37"/>
        <v>-145.83333333333334</v>
      </c>
      <c r="J155" s="2125">
        <f t="shared" si="38"/>
        <v>3.5000000000000003E-2</v>
      </c>
      <c r="K155" s="2083"/>
      <c r="L155" s="2106"/>
      <c r="N155" s="2071">
        <f t="shared" si="39"/>
        <v>139</v>
      </c>
      <c r="O155" s="2130">
        <f>IF(D154=D155,O154+0.00001,ROUNDDOWN(MAX($O$16:$O154),0)+1)</f>
        <v>1.390000000000003E-3</v>
      </c>
      <c r="P155" s="2131">
        <f t="shared" si="31"/>
        <v>-469.49</v>
      </c>
      <c r="Q155" s="2131">
        <f t="shared" si="32"/>
        <v>124.19999999999999</v>
      </c>
      <c r="R155" s="2131">
        <f t="shared" si="33"/>
        <v>16875.89037947321</v>
      </c>
      <c r="S155" s="2130">
        <f>IF(J154=J155,S154+0.00001,ROUNDDOWN(MAX($S$16:$S154),0)+1)</f>
        <v>2.0001900000000012</v>
      </c>
      <c r="T155" s="2131">
        <f t="shared" si="34"/>
        <v>-321.25</v>
      </c>
      <c r="U155" s="2131">
        <f t="shared" si="35"/>
        <v>175.41666666666666</v>
      </c>
      <c r="V155" s="2071">
        <f t="shared" si="40"/>
        <v>139</v>
      </c>
    </row>
    <row r="156" spans="1:22">
      <c r="A156" s="2124">
        <f t="shared" si="41"/>
        <v>1</v>
      </c>
      <c r="B156" s="2073">
        <v>140</v>
      </c>
      <c r="C156" s="2104">
        <f t="shared" si="42"/>
        <v>-345.29</v>
      </c>
      <c r="D156" s="2125">
        <f t="shared" si="30"/>
        <v>0.03</v>
      </c>
      <c r="E156" s="2104">
        <f t="shared" si="36"/>
        <v>13128.047074761647</v>
      </c>
      <c r="F156" s="2135"/>
      <c r="G156" s="2127">
        <f t="shared" si="43"/>
        <v>3</v>
      </c>
      <c r="H156" s="2075">
        <v>140</v>
      </c>
      <c r="I156" s="2104">
        <f t="shared" si="37"/>
        <v>-145.83333333333334</v>
      </c>
      <c r="J156" s="2125">
        <f t="shared" si="38"/>
        <v>3.5000000000000003E-2</v>
      </c>
      <c r="K156" s="2083"/>
      <c r="L156" s="2106"/>
      <c r="N156" s="2071">
        <f t="shared" si="39"/>
        <v>140</v>
      </c>
      <c r="O156" s="2130">
        <f>IF(D155=D156,O155+0.00001,ROUNDDOWN(MAX($O$16:$O155),0)+1)</f>
        <v>1.400000000000003E-3</v>
      </c>
      <c r="P156" s="2131">
        <f t="shared" si="31"/>
        <v>-469.49</v>
      </c>
      <c r="Q156" s="2131">
        <f t="shared" si="32"/>
        <v>124.19999999999999</v>
      </c>
      <c r="R156" s="2131">
        <f t="shared" si="33"/>
        <v>16514.827975161323</v>
      </c>
      <c r="S156" s="2130">
        <f>IF(J155=J156,S155+0.00001,ROUNDDOWN(MAX($S$16:$S155),0)+1)</f>
        <v>2.0002000000000013</v>
      </c>
      <c r="T156" s="2131">
        <f t="shared" si="34"/>
        <v>-321.25</v>
      </c>
      <c r="U156" s="2131">
        <f t="shared" si="35"/>
        <v>175.41666666666666</v>
      </c>
      <c r="V156" s="2071">
        <f t="shared" si="40"/>
        <v>140</v>
      </c>
    </row>
    <row r="157" spans="1:22">
      <c r="A157" s="2124">
        <f t="shared" si="41"/>
        <v>1</v>
      </c>
      <c r="B157" s="2073">
        <v>141</v>
      </c>
      <c r="C157" s="2104">
        <f t="shared" si="42"/>
        <v>-345.29</v>
      </c>
      <c r="D157" s="2125">
        <f t="shared" si="30"/>
        <v>0.03</v>
      </c>
      <c r="E157" s="2104">
        <f t="shared" si="36"/>
        <v>12815.577192448551</v>
      </c>
      <c r="F157" s="2135"/>
      <c r="G157" s="2127">
        <f t="shared" si="43"/>
        <v>3</v>
      </c>
      <c r="H157" s="2075">
        <v>141</v>
      </c>
      <c r="I157" s="2104">
        <f t="shared" si="37"/>
        <v>-145.83333333333334</v>
      </c>
      <c r="J157" s="2125">
        <f t="shared" si="38"/>
        <v>3.5000000000000003E-2</v>
      </c>
      <c r="K157" s="2083"/>
      <c r="L157" s="2106"/>
      <c r="N157" s="2071">
        <f t="shared" si="39"/>
        <v>141</v>
      </c>
      <c r="O157" s="2130">
        <f>IF(D156=D157,O156+0.00001,ROUNDDOWN(MAX($O$16:$O156),0)+1)</f>
        <v>1.410000000000003E-3</v>
      </c>
      <c r="P157" s="2131">
        <f t="shared" si="31"/>
        <v>-469.49</v>
      </c>
      <c r="Q157" s="2131">
        <f t="shared" si="32"/>
        <v>124.19999999999999</v>
      </c>
      <c r="R157" s="2131">
        <f t="shared" si="33"/>
        <v>16151.445744901734</v>
      </c>
      <c r="S157" s="2130">
        <f>IF(J156=J157,S156+0.00001,ROUNDDOWN(MAX($S$16:$S156),0)+1)</f>
        <v>2.0002100000000014</v>
      </c>
      <c r="T157" s="2131">
        <f t="shared" si="34"/>
        <v>-321.25</v>
      </c>
      <c r="U157" s="2131">
        <f t="shared" si="35"/>
        <v>175.41666666666666</v>
      </c>
      <c r="V157" s="2071">
        <f t="shared" si="40"/>
        <v>141</v>
      </c>
    </row>
    <row r="158" spans="1:22">
      <c r="A158" s="2124">
        <f t="shared" si="41"/>
        <v>1</v>
      </c>
      <c r="B158" s="2073">
        <v>142</v>
      </c>
      <c r="C158" s="2104">
        <f t="shared" si="42"/>
        <v>-345.29</v>
      </c>
      <c r="D158" s="2125">
        <f t="shared" si="30"/>
        <v>0.03</v>
      </c>
      <c r="E158" s="2104">
        <f t="shared" si="36"/>
        <v>12502.32613542967</v>
      </c>
      <c r="F158" s="2135"/>
      <c r="G158" s="2127">
        <f t="shared" si="43"/>
        <v>3</v>
      </c>
      <c r="H158" s="2075">
        <v>142</v>
      </c>
      <c r="I158" s="2104">
        <f t="shared" si="37"/>
        <v>-145.83333333333334</v>
      </c>
      <c r="J158" s="2125">
        <f t="shared" si="38"/>
        <v>3.5000000000000003E-2</v>
      </c>
      <c r="K158" s="2083"/>
      <c r="L158" s="2106"/>
      <c r="N158" s="2071">
        <f t="shared" si="39"/>
        <v>142</v>
      </c>
      <c r="O158" s="2130">
        <f>IF(D157=D158,O157+0.00001,ROUNDDOWN(MAX($O$16:$O157),0)+1)</f>
        <v>1.4200000000000031E-3</v>
      </c>
      <c r="P158" s="2131">
        <f t="shared" si="31"/>
        <v>-469.49</v>
      </c>
      <c r="Q158" s="2131">
        <f t="shared" si="32"/>
        <v>124.19999999999999</v>
      </c>
      <c r="R158" s="2131">
        <f t="shared" si="33"/>
        <v>15785.728783812727</v>
      </c>
      <c r="S158" s="2130">
        <f>IF(J157=J158,S157+0.00001,ROUNDDOWN(MAX($S$16:$S157),0)+1)</f>
        <v>2.0002200000000014</v>
      </c>
      <c r="T158" s="2131">
        <f t="shared" si="34"/>
        <v>-321.25</v>
      </c>
      <c r="U158" s="2131">
        <f t="shared" si="35"/>
        <v>175.41666666666666</v>
      </c>
      <c r="V158" s="2071">
        <f t="shared" si="40"/>
        <v>142</v>
      </c>
    </row>
    <row r="159" spans="1:22">
      <c r="A159" s="2124">
        <f t="shared" si="41"/>
        <v>1</v>
      </c>
      <c r="B159" s="2073">
        <v>143</v>
      </c>
      <c r="C159" s="2104">
        <f t="shared" si="42"/>
        <v>-345.29</v>
      </c>
      <c r="D159" s="2125">
        <f t="shared" si="30"/>
        <v>0.03</v>
      </c>
      <c r="E159" s="2104">
        <f t="shared" si="36"/>
        <v>12188.291950768244</v>
      </c>
      <c r="F159" s="2135"/>
      <c r="G159" s="2127">
        <f t="shared" si="43"/>
        <v>3</v>
      </c>
      <c r="H159" s="2075">
        <v>143</v>
      </c>
      <c r="I159" s="2104">
        <f t="shared" si="37"/>
        <v>-145.83333333333334</v>
      </c>
      <c r="J159" s="2125">
        <f t="shared" si="38"/>
        <v>3.5000000000000003E-2</v>
      </c>
      <c r="K159" s="2083"/>
      <c r="L159" s="2106"/>
      <c r="N159" s="2071">
        <f t="shared" si="39"/>
        <v>143</v>
      </c>
      <c r="O159" s="2130">
        <f>IF(D158=D159,O158+0.00001,ROUNDDOWN(MAX($O$16:$O158),0)+1)</f>
        <v>1.4300000000000031E-3</v>
      </c>
      <c r="P159" s="2131">
        <f t="shared" si="31"/>
        <v>-469.49</v>
      </c>
      <c r="Q159" s="2131">
        <f t="shared" si="32"/>
        <v>124.19999999999999</v>
      </c>
      <c r="R159" s="2131">
        <f t="shared" si="33"/>
        <v>15417.662091248721</v>
      </c>
      <c r="S159" s="2130">
        <f>IF(J158=J159,S158+0.00001,ROUNDDOWN(MAX($S$16:$S158),0)+1)</f>
        <v>2.0002300000000015</v>
      </c>
      <c r="T159" s="2131">
        <f t="shared" si="34"/>
        <v>-321.25</v>
      </c>
      <c r="U159" s="2131">
        <f t="shared" si="35"/>
        <v>175.41666666666666</v>
      </c>
      <c r="V159" s="2071">
        <f t="shared" si="40"/>
        <v>143</v>
      </c>
    </row>
    <row r="160" spans="1:22">
      <c r="A160" s="2124">
        <f t="shared" si="41"/>
        <v>1</v>
      </c>
      <c r="B160" s="2073">
        <v>144</v>
      </c>
      <c r="C160" s="2104">
        <f t="shared" si="42"/>
        <v>-345.29</v>
      </c>
      <c r="D160" s="2125">
        <f t="shared" si="30"/>
        <v>0.03</v>
      </c>
      <c r="E160" s="2104">
        <f t="shared" si="36"/>
        <v>11873.472680645164</v>
      </c>
      <c r="F160" s="2135"/>
      <c r="G160" s="2127">
        <f t="shared" si="43"/>
        <v>3</v>
      </c>
      <c r="H160" s="2075">
        <v>144</v>
      </c>
      <c r="I160" s="2104">
        <f t="shared" si="37"/>
        <v>-145.83333333333334</v>
      </c>
      <c r="J160" s="2125">
        <f t="shared" si="38"/>
        <v>3.5000000000000003E-2</v>
      </c>
      <c r="K160" s="2083"/>
      <c r="L160" s="2106"/>
      <c r="N160" s="2071">
        <f t="shared" si="39"/>
        <v>144</v>
      </c>
      <c r="O160" s="2130">
        <f>IF(D159=D160,O159+0.00001,ROUNDDOWN(MAX($O$16:$O159),0)+1)</f>
        <v>1.4400000000000031E-3</v>
      </c>
      <c r="P160" s="2131">
        <f t="shared" si="31"/>
        <v>-469.49</v>
      </c>
      <c r="Q160" s="2131">
        <f t="shared" si="32"/>
        <v>124.19999999999999</v>
      </c>
      <c r="R160" s="2131">
        <f t="shared" si="33"/>
        <v>15047.230570184993</v>
      </c>
      <c r="S160" s="2130">
        <f>IF(J159=J160,S159+0.00001,ROUNDDOWN(MAX($S$16:$S159),0)+1)</f>
        <v>2.0002400000000016</v>
      </c>
      <c r="T160" s="2131">
        <f t="shared" si="34"/>
        <v>-321.25</v>
      </c>
      <c r="U160" s="2131">
        <f t="shared" si="35"/>
        <v>175.41666666666666</v>
      </c>
      <c r="V160" s="2071">
        <f t="shared" si="40"/>
        <v>144</v>
      </c>
    </row>
    <row r="161" spans="1:22">
      <c r="A161" s="2124">
        <f t="shared" si="41"/>
        <v>1</v>
      </c>
      <c r="B161" s="2073">
        <v>145</v>
      </c>
      <c r="C161" s="2104">
        <f t="shared" si="42"/>
        <v>-345.29</v>
      </c>
      <c r="D161" s="2125">
        <f t="shared" si="30"/>
        <v>0.03</v>
      </c>
      <c r="E161" s="2104">
        <f t="shared" si="36"/>
        <v>11557.866362346775</v>
      </c>
      <c r="F161" s="2135"/>
      <c r="G161" s="2127">
        <f t="shared" si="43"/>
        <v>3</v>
      </c>
      <c r="H161" s="2075">
        <v>145</v>
      </c>
      <c r="I161" s="2104">
        <f t="shared" si="37"/>
        <v>-145.83333333333334</v>
      </c>
      <c r="J161" s="2125">
        <f t="shared" si="38"/>
        <v>3.5000000000000003E-2</v>
      </c>
      <c r="K161" s="2083"/>
      <c r="L161" s="2106"/>
      <c r="N161" s="2071">
        <f t="shared" si="39"/>
        <v>145</v>
      </c>
      <c r="O161" s="2130">
        <f>IF(D160=D161,O160+0.00001,ROUNDDOWN(MAX($O$16:$O160),0)+1)</f>
        <v>1.4500000000000032E-3</v>
      </c>
      <c r="P161" s="2131">
        <f t="shared" si="31"/>
        <v>-469.49</v>
      </c>
      <c r="Q161" s="2131">
        <f t="shared" si="32"/>
        <v>124.19999999999999</v>
      </c>
      <c r="R161" s="2131">
        <f t="shared" si="33"/>
        <v>14674.419026598431</v>
      </c>
      <c r="S161" s="2130">
        <f>IF(J160=J161,S160+0.00001,ROUNDDOWN(MAX($S$16:$S160),0)+1)</f>
        <v>2.0002500000000016</v>
      </c>
      <c r="T161" s="2131">
        <f t="shared" si="34"/>
        <v>-321.25</v>
      </c>
      <c r="U161" s="2131">
        <f t="shared" si="35"/>
        <v>175.41666666666666</v>
      </c>
      <c r="V161" s="2071">
        <f t="shared" si="40"/>
        <v>145</v>
      </c>
    </row>
    <row r="162" spans="1:22">
      <c r="A162" s="2124">
        <f t="shared" si="41"/>
        <v>1</v>
      </c>
      <c r="B162" s="2073">
        <v>146</v>
      </c>
      <c r="C162" s="2104">
        <f t="shared" si="42"/>
        <v>-345.29</v>
      </c>
      <c r="D162" s="2125">
        <f t="shared" si="30"/>
        <v>0.03</v>
      </c>
      <c r="E162" s="2104">
        <f t="shared" si="36"/>
        <v>11241.471028252639</v>
      </c>
      <c r="F162" s="2135"/>
      <c r="G162" s="2127">
        <f t="shared" si="43"/>
        <v>3</v>
      </c>
      <c r="H162" s="2075">
        <v>146</v>
      </c>
      <c r="I162" s="2104">
        <f t="shared" si="37"/>
        <v>-145.83333333333334</v>
      </c>
      <c r="J162" s="2125">
        <f t="shared" si="38"/>
        <v>3.5000000000000003E-2</v>
      </c>
      <c r="K162" s="2083"/>
      <c r="L162" s="2106"/>
      <c r="N162" s="2071">
        <f t="shared" si="39"/>
        <v>146</v>
      </c>
      <c r="O162" s="2130">
        <f>IF(D161=D162,O161+0.00001,ROUNDDOWN(MAX($O$16:$O161),0)+1)</f>
        <v>1.4600000000000032E-3</v>
      </c>
      <c r="P162" s="2131">
        <f t="shared" si="31"/>
        <v>-469.49</v>
      </c>
      <c r="Q162" s="2131">
        <f t="shared" si="32"/>
        <v>124.19999999999999</v>
      </c>
      <c r="R162" s="2131">
        <f t="shared" si="33"/>
        <v>14299.212168844324</v>
      </c>
      <c r="S162" s="2130">
        <f>IF(J161=J162,S161+0.00001,ROUNDDOWN(MAX($S$16:$S161),0)+1)</f>
        <v>2.0002600000000017</v>
      </c>
      <c r="T162" s="2131">
        <f t="shared" si="34"/>
        <v>-321.25</v>
      </c>
      <c r="U162" s="2131">
        <f t="shared" si="35"/>
        <v>175.41666666666666</v>
      </c>
      <c r="V162" s="2071">
        <f t="shared" si="40"/>
        <v>146</v>
      </c>
    </row>
    <row r="163" spans="1:22">
      <c r="A163" s="2124">
        <f t="shared" si="41"/>
        <v>1</v>
      </c>
      <c r="B163" s="2073">
        <v>147</v>
      </c>
      <c r="C163" s="2104">
        <f t="shared" si="42"/>
        <v>-345.29</v>
      </c>
      <c r="D163" s="2125">
        <f t="shared" si="30"/>
        <v>0.03</v>
      </c>
      <c r="E163" s="2104">
        <f t="shared" si="36"/>
        <v>10924.284705823269</v>
      </c>
      <c r="F163" s="2135"/>
      <c r="G163" s="2127">
        <f t="shared" si="43"/>
        <v>3</v>
      </c>
      <c r="H163" s="2075">
        <v>147</v>
      </c>
      <c r="I163" s="2104">
        <f t="shared" si="37"/>
        <v>-145.83333333333334</v>
      </c>
      <c r="J163" s="2125">
        <f t="shared" si="38"/>
        <v>3.5000000000000003E-2</v>
      </c>
      <c r="K163" s="2083"/>
      <c r="L163" s="2106"/>
      <c r="N163" s="2071">
        <f t="shared" si="39"/>
        <v>147</v>
      </c>
      <c r="O163" s="2130">
        <f>IF(D162=D163,O162+0.00001,ROUNDDOWN(MAX($O$16:$O162),0)+1)</f>
        <v>1.4700000000000032E-3</v>
      </c>
      <c r="P163" s="2131">
        <f t="shared" si="31"/>
        <v>-469.49</v>
      </c>
      <c r="Q163" s="2131">
        <f t="shared" si="32"/>
        <v>124.19999999999999</v>
      </c>
      <c r="R163" s="2131">
        <f t="shared" si="33"/>
        <v>13921.594607029148</v>
      </c>
      <c r="S163" s="2130">
        <f>IF(J162=J163,S162+0.00001,ROUNDDOWN(MAX($S$16:$S162),0)+1)</f>
        <v>2.0002700000000018</v>
      </c>
      <c r="T163" s="2131">
        <f t="shared" si="34"/>
        <v>-321.25</v>
      </c>
      <c r="U163" s="2131">
        <f t="shared" si="35"/>
        <v>175.41666666666666</v>
      </c>
      <c r="V163" s="2071">
        <f t="shared" si="40"/>
        <v>147</v>
      </c>
    </row>
    <row r="164" spans="1:22">
      <c r="A164" s="2124">
        <f t="shared" si="41"/>
        <v>1</v>
      </c>
      <c r="B164" s="2073">
        <v>148</v>
      </c>
      <c r="C164" s="2104">
        <f t="shared" si="42"/>
        <v>-345.29</v>
      </c>
      <c r="D164" s="2125">
        <f t="shared" si="30"/>
        <v>0.03</v>
      </c>
      <c r="E164" s="2104">
        <f t="shared" si="36"/>
        <v>10606.305417587826</v>
      </c>
      <c r="F164" s="2135"/>
      <c r="G164" s="2127">
        <f t="shared" si="43"/>
        <v>3</v>
      </c>
      <c r="H164" s="2075">
        <v>148</v>
      </c>
      <c r="I164" s="2104">
        <f t="shared" si="37"/>
        <v>-145.83333333333334</v>
      </c>
      <c r="J164" s="2125">
        <f t="shared" si="38"/>
        <v>3.5000000000000003E-2</v>
      </c>
      <c r="K164" s="2083"/>
      <c r="L164" s="2106"/>
      <c r="N164" s="2071">
        <f t="shared" si="39"/>
        <v>148</v>
      </c>
      <c r="O164" s="2130">
        <f>IF(D163=D164,O163+0.00001,ROUNDDOWN(MAX($O$16:$O163),0)+1)</f>
        <v>1.4800000000000032E-3</v>
      </c>
      <c r="P164" s="2131">
        <f t="shared" si="31"/>
        <v>-469.49</v>
      </c>
      <c r="Q164" s="2131">
        <f t="shared" si="32"/>
        <v>124.19999999999999</v>
      </c>
      <c r="R164" s="2131">
        <f t="shared" si="33"/>
        <v>13541.550852379309</v>
      </c>
      <c r="S164" s="2130">
        <f>IF(J163=J164,S163+0.00001,ROUNDDOWN(MAX($S$16:$S163),0)+1)</f>
        <v>2.0002800000000018</v>
      </c>
      <c r="T164" s="2131">
        <f t="shared" si="34"/>
        <v>-321.25</v>
      </c>
      <c r="U164" s="2131">
        <f t="shared" si="35"/>
        <v>175.41666666666666</v>
      </c>
      <c r="V164" s="2071">
        <f t="shared" si="40"/>
        <v>148</v>
      </c>
    </row>
    <row r="165" spans="1:22">
      <c r="A165" s="2124">
        <f t="shared" si="41"/>
        <v>1</v>
      </c>
      <c r="B165" s="2073">
        <v>149</v>
      </c>
      <c r="C165" s="2104">
        <f t="shared" si="42"/>
        <v>-345.29</v>
      </c>
      <c r="D165" s="2125">
        <f t="shared" si="30"/>
        <v>0.03</v>
      </c>
      <c r="E165" s="2104">
        <f t="shared" si="36"/>
        <v>10287.531181131793</v>
      </c>
      <c r="F165" s="2135"/>
      <c r="G165" s="2127">
        <f t="shared" si="43"/>
        <v>3</v>
      </c>
      <c r="H165" s="2075">
        <v>149</v>
      </c>
      <c r="I165" s="2104">
        <f t="shared" si="37"/>
        <v>-145.83333333333334</v>
      </c>
      <c r="J165" s="2125">
        <f t="shared" si="38"/>
        <v>3.5000000000000003E-2</v>
      </c>
      <c r="K165" s="2083"/>
      <c r="L165" s="2106"/>
      <c r="N165" s="2071">
        <f t="shared" si="39"/>
        <v>149</v>
      </c>
      <c r="O165" s="2130">
        <f>IF(D164=D165,O164+0.00001,ROUNDDOWN(MAX($O$16:$O164),0)+1)</f>
        <v>1.4900000000000033E-3</v>
      </c>
      <c r="P165" s="2131">
        <f t="shared" si="31"/>
        <v>-469.49</v>
      </c>
      <c r="Q165" s="2131">
        <f t="shared" si="32"/>
        <v>124.19999999999999</v>
      </c>
      <c r="R165" s="2131">
        <f t="shared" si="33"/>
        <v>13159.065316605846</v>
      </c>
      <c r="S165" s="2130">
        <f>IF(J164=J165,S164+0.00001,ROUNDDOWN(MAX($S$16:$S164),0)+1)</f>
        <v>2.0002900000000019</v>
      </c>
      <c r="T165" s="2131">
        <f t="shared" si="34"/>
        <v>-321.25</v>
      </c>
      <c r="U165" s="2131">
        <f t="shared" si="35"/>
        <v>175.41666666666666</v>
      </c>
      <c r="V165" s="2071">
        <f t="shared" si="40"/>
        <v>149</v>
      </c>
    </row>
    <row r="166" spans="1:22">
      <c r="A166" s="2124">
        <f t="shared" si="41"/>
        <v>1</v>
      </c>
      <c r="B166" s="2073">
        <v>150</v>
      </c>
      <c r="C166" s="2104">
        <f t="shared" si="42"/>
        <v>-345.29</v>
      </c>
      <c r="D166" s="2125">
        <f t="shared" si="30"/>
        <v>0.03</v>
      </c>
      <c r="E166" s="2104">
        <f t="shared" si="36"/>
        <v>9967.9600090846216</v>
      </c>
      <c r="F166" s="2135"/>
      <c r="G166" s="2127">
        <f t="shared" si="43"/>
        <v>3</v>
      </c>
      <c r="H166" s="2075">
        <v>150</v>
      </c>
      <c r="I166" s="2104">
        <f t="shared" si="37"/>
        <v>-145.83333333333334</v>
      </c>
      <c r="J166" s="2125">
        <f t="shared" si="38"/>
        <v>3.5000000000000003E-2</v>
      </c>
      <c r="K166" s="2083"/>
      <c r="L166" s="2106"/>
      <c r="N166" s="2071">
        <f t="shared" si="39"/>
        <v>150</v>
      </c>
      <c r="O166" s="2130">
        <f>IF(D165=D166,O165+0.00001,ROUNDDOWN(MAX($O$16:$O165),0)+1)</f>
        <v>1.5000000000000033E-3</v>
      </c>
      <c r="P166" s="2131">
        <f t="shared" si="31"/>
        <v>-469.49</v>
      </c>
      <c r="Q166" s="2131">
        <f t="shared" si="32"/>
        <v>124.19999999999999</v>
      </c>
      <c r="R166" s="2131">
        <f t="shared" si="33"/>
        <v>12774.122311265037</v>
      </c>
      <c r="S166" s="2130">
        <f>IF(J165=J166,S165+0.00001,ROUNDDOWN(MAX($S$16:$S165),0)+1)</f>
        <v>2.000300000000002</v>
      </c>
      <c r="T166" s="2131">
        <f t="shared" si="34"/>
        <v>-321.25</v>
      </c>
      <c r="U166" s="2131">
        <f t="shared" si="35"/>
        <v>175.41666666666666</v>
      </c>
      <c r="V166" s="2071">
        <f t="shared" si="40"/>
        <v>150</v>
      </c>
    </row>
    <row r="167" spans="1:22">
      <c r="A167" s="2124">
        <f t="shared" si="41"/>
        <v>1</v>
      </c>
      <c r="B167" s="2073">
        <v>151</v>
      </c>
      <c r="C167" s="2104">
        <f t="shared" si="42"/>
        <v>-345.29</v>
      </c>
      <c r="D167" s="2125">
        <f t="shared" si="30"/>
        <v>0.03</v>
      </c>
      <c r="E167" s="2104">
        <f t="shared" si="36"/>
        <v>9647.5899091073316</v>
      </c>
      <c r="F167" s="2135"/>
      <c r="G167" s="2127">
        <f t="shared" si="43"/>
        <v>3</v>
      </c>
      <c r="H167" s="2075">
        <v>151</v>
      </c>
      <c r="I167" s="2104">
        <f t="shared" si="37"/>
        <v>-145.83333333333334</v>
      </c>
      <c r="J167" s="2125">
        <f t="shared" si="38"/>
        <v>3.5000000000000003E-2</v>
      </c>
      <c r="K167" s="2083"/>
      <c r="L167" s="2106"/>
      <c r="N167" s="2071">
        <f t="shared" si="39"/>
        <v>151</v>
      </c>
      <c r="O167" s="2130">
        <f>IF(D166=D167,O166+0.00001,ROUNDDOWN(MAX($O$16:$O166),0)+1)</f>
        <v>1.5100000000000033E-3</v>
      </c>
      <c r="P167" s="2131">
        <f t="shared" si="31"/>
        <v>-469.49</v>
      </c>
      <c r="Q167" s="2131">
        <f t="shared" si="32"/>
        <v>124.19999999999999</v>
      </c>
      <c r="R167" s="2131">
        <f t="shared" si="33"/>
        <v>12386.706047114914</v>
      </c>
      <c r="S167" s="2130">
        <f>IF(J166=J167,S166+0.00001,ROUNDDOWN(MAX($S$16:$S166),0)+1)</f>
        <v>2.000310000000002</v>
      </c>
      <c r="T167" s="2131">
        <f t="shared" si="34"/>
        <v>-321.25</v>
      </c>
      <c r="U167" s="2131">
        <f t="shared" si="35"/>
        <v>175.41666666666666</v>
      </c>
      <c r="V167" s="2071">
        <f t="shared" si="40"/>
        <v>151</v>
      </c>
    </row>
    <row r="168" spans="1:22">
      <c r="A168" s="2124">
        <f t="shared" si="41"/>
        <v>1</v>
      </c>
      <c r="B168" s="2073">
        <v>152</v>
      </c>
      <c r="C168" s="2104">
        <f t="shared" si="42"/>
        <v>-345.29</v>
      </c>
      <c r="D168" s="2125">
        <f t="shared" si="30"/>
        <v>0.03</v>
      </c>
      <c r="E168" s="2104">
        <f t="shared" si="36"/>
        <v>9326.4188838800983</v>
      </c>
      <c r="F168" s="2135"/>
      <c r="G168" s="2127">
        <f t="shared" si="43"/>
        <v>3</v>
      </c>
      <c r="H168" s="2075">
        <v>152</v>
      </c>
      <c r="I168" s="2104">
        <f t="shared" si="37"/>
        <v>-145.83333333333334</v>
      </c>
      <c r="J168" s="2125">
        <f t="shared" si="38"/>
        <v>3.5000000000000003E-2</v>
      </c>
      <c r="K168" s="2083"/>
      <c r="L168" s="2106"/>
      <c r="N168" s="2071">
        <f t="shared" si="39"/>
        <v>152</v>
      </c>
      <c r="O168" s="2130">
        <f>IF(D167=D168,O167+0.00001,ROUNDDOWN(MAX($O$16:$O167),0)+1)</f>
        <v>1.5200000000000033E-3</v>
      </c>
      <c r="P168" s="2131">
        <f t="shared" si="31"/>
        <v>-469.49</v>
      </c>
      <c r="Q168" s="2131">
        <f t="shared" si="32"/>
        <v>124.19999999999999</v>
      </c>
      <c r="R168" s="2131">
        <f t="shared" si="33"/>
        <v>11996.800633467627</v>
      </c>
      <c r="S168" s="2130">
        <f>IF(J167=J168,S167+0.00001,ROUNDDOWN(MAX($S$16:$S167),0)+1)</f>
        <v>2.0003200000000021</v>
      </c>
      <c r="T168" s="2131">
        <f t="shared" si="34"/>
        <v>-321.25</v>
      </c>
      <c r="U168" s="2131">
        <f t="shared" si="35"/>
        <v>175.41666666666666</v>
      </c>
      <c r="V168" s="2071">
        <f t="shared" si="40"/>
        <v>152</v>
      </c>
    </row>
    <row r="169" spans="1:22">
      <c r="A169" s="2124">
        <f t="shared" si="41"/>
        <v>1</v>
      </c>
      <c r="B169" s="2073">
        <v>153</v>
      </c>
      <c r="C169" s="2104">
        <f t="shared" si="42"/>
        <v>-345.29</v>
      </c>
      <c r="D169" s="2125">
        <f t="shared" si="30"/>
        <v>0.03</v>
      </c>
      <c r="E169" s="2104">
        <f t="shared" si="36"/>
        <v>9004.444931089798</v>
      </c>
      <c r="F169" s="2135"/>
      <c r="G169" s="2127">
        <f t="shared" si="43"/>
        <v>3</v>
      </c>
      <c r="H169" s="2075">
        <v>153</v>
      </c>
      <c r="I169" s="2104">
        <f t="shared" si="37"/>
        <v>-145.83333333333334</v>
      </c>
      <c r="J169" s="2125">
        <f t="shared" si="38"/>
        <v>3.5000000000000003E-2</v>
      </c>
      <c r="K169" s="2083"/>
      <c r="L169" s="2106"/>
      <c r="N169" s="2071">
        <f t="shared" si="39"/>
        <v>153</v>
      </c>
      <c r="O169" s="2130">
        <f>IF(D168=D169,O168+0.00001,ROUNDDOWN(MAX($O$16:$O168),0)+1)</f>
        <v>1.5300000000000034E-3</v>
      </c>
      <c r="P169" s="2131">
        <f t="shared" si="31"/>
        <v>-469.49</v>
      </c>
      <c r="Q169" s="2131">
        <f t="shared" si="32"/>
        <v>124.19999999999999</v>
      </c>
      <c r="R169" s="2131">
        <f t="shared" si="33"/>
        <v>11604.390077537655</v>
      </c>
      <c r="S169" s="2130">
        <f>IF(J168=J169,S168+0.00001,ROUNDDOWN(MAX($S$16:$S168),0)+1)</f>
        <v>2.0003300000000022</v>
      </c>
      <c r="T169" s="2131">
        <f t="shared" si="34"/>
        <v>-321.25</v>
      </c>
      <c r="U169" s="2131">
        <f t="shared" si="35"/>
        <v>175.41666666666666</v>
      </c>
      <c r="V169" s="2071">
        <f t="shared" si="40"/>
        <v>153</v>
      </c>
    </row>
    <row r="170" spans="1:22">
      <c r="A170" s="2124">
        <f t="shared" si="41"/>
        <v>1</v>
      </c>
      <c r="B170" s="2073">
        <v>154</v>
      </c>
      <c r="C170" s="2104">
        <f t="shared" si="42"/>
        <v>-345.29</v>
      </c>
      <c r="D170" s="2125">
        <f t="shared" si="30"/>
        <v>0.03</v>
      </c>
      <c r="E170" s="2104">
        <f t="shared" si="36"/>
        <v>8681.666043417521</v>
      </c>
      <c r="F170" s="2135"/>
      <c r="G170" s="2127">
        <f t="shared" si="43"/>
        <v>3</v>
      </c>
      <c r="H170" s="2075">
        <v>154</v>
      </c>
      <c r="I170" s="2104">
        <f t="shared" si="37"/>
        <v>-145.83333333333334</v>
      </c>
      <c r="J170" s="2125">
        <f t="shared" si="38"/>
        <v>3.5000000000000003E-2</v>
      </c>
      <c r="K170" s="2083"/>
      <c r="L170" s="2106"/>
      <c r="N170" s="2071">
        <f t="shared" si="39"/>
        <v>154</v>
      </c>
      <c r="O170" s="2130">
        <f>IF(D169=D170,O169+0.00001,ROUNDDOWN(MAX($O$16:$O169),0)+1)</f>
        <v>1.5400000000000034E-3</v>
      </c>
      <c r="P170" s="2131">
        <f t="shared" si="31"/>
        <v>-469.49</v>
      </c>
      <c r="Q170" s="2131">
        <f t="shared" si="32"/>
        <v>124.19999999999999</v>
      </c>
      <c r="R170" s="2131">
        <f t="shared" si="33"/>
        <v>11209.458283785834</v>
      </c>
      <c r="S170" s="2130">
        <f>IF(J169=J170,S169+0.00001,ROUNDDOWN(MAX($S$16:$S169),0)+1)</f>
        <v>2.0003400000000022</v>
      </c>
      <c r="T170" s="2131">
        <f t="shared" si="34"/>
        <v>-321.25</v>
      </c>
      <c r="U170" s="2131">
        <f t="shared" si="35"/>
        <v>175.41666666666666</v>
      </c>
      <c r="V170" s="2071">
        <f t="shared" si="40"/>
        <v>154</v>
      </c>
    </row>
    <row r="171" spans="1:22">
      <c r="A171" s="2124">
        <f t="shared" si="41"/>
        <v>1</v>
      </c>
      <c r="B171" s="2073">
        <v>155</v>
      </c>
      <c r="C171" s="2104">
        <f t="shared" si="42"/>
        <v>-345.29</v>
      </c>
      <c r="D171" s="2125">
        <f t="shared" si="30"/>
        <v>0.03</v>
      </c>
      <c r="E171" s="2104">
        <f t="shared" si="36"/>
        <v>8358.0802085260639</v>
      </c>
      <c r="F171" s="2135"/>
      <c r="G171" s="2127">
        <f t="shared" si="43"/>
        <v>3</v>
      </c>
      <c r="H171" s="2075">
        <v>155</v>
      </c>
      <c r="I171" s="2104">
        <f t="shared" si="37"/>
        <v>-145.83333333333334</v>
      </c>
      <c r="J171" s="2125">
        <f t="shared" si="38"/>
        <v>3.5000000000000003E-2</v>
      </c>
      <c r="K171" s="2083"/>
      <c r="L171" s="2106"/>
      <c r="N171" s="2071">
        <f t="shared" si="39"/>
        <v>155</v>
      </c>
      <c r="O171" s="2130">
        <f>IF(D170=D171,O170+0.00001,ROUNDDOWN(MAX($O$16:$O170),0)+1)</f>
        <v>1.5500000000000034E-3</v>
      </c>
      <c r="P171" s="2131">
        <f t="shared" si="31"/>
        <v>-469.49</v>
      </c>
      <c r="Q171" s="2131">
        <f t="shared" si="32"/>
        <v>124.19999999999999</v>
      </c>
      <c r="R171" s="2131">
        <f t="shared" si="33"/>
        <v>10811.989053259158</v>
      </c>
      <c r="S171" s="2130">
        <f>IF(J170=J171,S170+0.00001,ROUNDDOWN(MAX($S$16:$S170),0)+1)</f>
        <v>2.0003500000000023</v>
      </c>
      <c r="T171" s="2131">
        <f t="shared" si="34"/>
        <v>-321.25</v>
      </c>
      <c r="U171" s="2131">
        <f t="shared" si="35"/>
        <v>175.41666666666666</v>
      </c>
      <c r="V171" s="2071">
        <f t="shared" si="40"/>
        <v>155</v>
      </c>
    </row>
    <row r="172" spans="1:22">
      <c r="A172" s="2124">
        <f t="shared" si="41"/>
        <v>1</v>
      </c>
      <c r="B172" s="2073">
        <v>156</v>
      </c>
      <c r="C172" s="2104">
        <f t="shared" si="42"/>
        <v>-345.29</v>
      </c>
      <c r="D172" s="2125">
        <f t="shared" si="30"/>
        <v>0.03</v>
      </c>
      <c r="E172" s="2104">
        <f t="shared" si="36"/>
        <v>8033.685409047378</v>
      </c>
      <c r="F172" s="2135"/>
      <c r="G172" s="2127">
        <f t="shared" si="43"/>
        <v>3</v>
      </c>
      <c r="H172" s="2075">
        <v>156</v>
      </c>
      <c r="I172" s="2104">
        <f t="shared" si="37"/>
        <v>-145.83333333333334</v>
      </c>
      <c r="J172" s="2125">
        <f t="shared" si="38"/>
        <v>3.5000000000000003E-2</v>
      </c>
      <c r="K172" s="2083"/>
      <c r="L172" s="2106"/>
      <c r="N172" s="2071">
        <f t="shared" si="39"/>
        <v>156</v>
      </c>
      <c r="O172" s="2130">
        <f>IF(D171=D172,O171+0.00001,ROUNDDOWN(MAX($O$16:$O171),0)+1)</f>
        <v>1.5600000000000034E-3</v>
      </c>
      <c r="P172" s="2131">
        <f t="shared" si="31"/>
        <v>-469.49</v>
      </c>
      <c r="Q172" s="2131">
        <f t="shared" si="32"/>
        <v>124.19999999999999</v>
      </c>
      <c r="R172" s="2131">
        <f t="shared" si="33"/>
        <v>10411.966082926347</v>
      </c>
      <c r="S172" s="2130">
        <f>IF(J171=J172,S171+0.00001,ROUNDDOWN(MAX($S$16:$S171),0)+1)</f>
        <v>2.0003600000000024</v>
      </c>
      <c r="T172" s="2131">
        <f t="shared" si="34"/>
        <v>-321.25</v>
      </c>
      <c r="U172" s="2131">
        <f t="shared" si="35"/>
        <v>175.41666666666666</v>
      </c>
      <c r="V172" s="2071">
        <f t="shared" si="40"/>
        <v>156</v>
      </c>
    </row>
    <row r="173" spans="1:22">
      <c r="A173" s="2124">
        <f t="shared" si="41"/>
        <v>1</v>
      </c>
      <c r="B173" s="2073">
        <v>157</v>
      </c>
      <c r="C173" s="2104">
        <f t="shared" si="42"/>
        <v>-345.29</v>
      </c>
      <c r="D173" s="2125">
        <f t="shared" si="30"/>
        <v>0.03</v>
      </c>
      <c r="E173" s="2104">
        <f t="shared" si="36"/>
        <v>7708.4796225699956</v>
      </c>
      <c r="F173" s="2135"/>
      <c r="G173" s="2127">
        <f t="shared" si="43"/>
        <v>3</v>
      </c>
      <c r="H173" s="2075">
        <v>157</v>
      </c>
      <c r="I173" s="2104">
        <f t="shared" si="37"/>
        <v>-145.83333333333334</v>
      </c>
      <c r="J173" s="2125">
        <f t="shared" si="38"/>
        <v>3.5000000000000003E-2</v>
      </c>
      <c r="K173" s="2083"/>
      <c r="L173" s="2106"/>
      <c r="N173" s="2071">
        <f t="shared" si="39"/>
        <v>157</v>
      </c>
      <c r="O173" s="2130">
        <f>IF(D172=D173,O172+0.00001,ROUNDDOWN(MAX($O$16:$O172),0)+1)</f>
        <v>1.5700000000000035E-3</v>
      </c>
      <c r="P173" s="2131">
        <f t="shared" si="31"/>
        <v>-469.49</v>
      </c>
      <c r="Q173" s="2131">
        <f t="shared" si="32"/>
        <v>124.19999999999999</v>
      </c>
      <c r="R173" s="2131">
        <f t="shared" si="33"/>
        <v>10009.372965009148</v>
      </c>
      <c r="S173" s="2130">
        <f>IF(J172=J173,S172+0.00001,ROUNDDOWN(MAX($S$16:$S172),0)+1)</f>
        <v>2.0003700000000024</v>
      </c>
      <c r="T173" s="2131">
        <f t="shared" si="34"/>
        <v>-321.25</v>
      </c>
      <c r="U173" s="2131">
        <f t="shared" si="35"/>
        <v>175.41666666666666</v>
      </c>
      <c r="V173" s="2071">
        <f t="shared" si="40"/>
        <v>157</v>
      </c>
    </row>
    <row r="174" spans="1:22">
      <c r="A174" s="2124">
        <f t="shared" si="41"/>
        <v>1</v>
      </c>
      <c r="B174" s="2073">
        <v>158</v>
      </c>
      <c r="C174" s="2104">
        <f t="shared" si="42"/>
        <v>-345.29</v>
      </c>
      <c r="D174" s="2125">
        <f t="shared" si="30"/>
        <v>0.03</v>
      </c>
      <c r="E174" s="2104">
        <f t="shared" si="36"/>
        <v>7382.4608216264205</v>
      </c>
      <c r="F174" s="2135"/>
      <c r="G174" s="2127">
        <f t="shared" si="43"/>
        <v>3</v>
      </c>
      <c r="H174" s="2075">
        <v>158</v>
      </c>
      <c r="I174" s="2104">
        <f t="shared" si="37"/>
        <v>-145.83333333333334</v>
      </c>
      <c r="J174" s="2125">
        <f t="shared" si="38"/>
        <v>3.5000000000000003E-2</v>
      </c>
      <c r="K174" s="2083"/>
      <c r="L174" s="2106"/>
      <c r="N174" s="2071">
        <f t="shared" si="39"/>
        <v>158</v>
      </c>
      <c r="O174" s="2130">
        <f>IF(D173=D174,O173+0.00001,ROUNDDOWN(MAX($O$16:$O173),0)+1)</f>
        <v>1.5800000000000035E-3</v>
      </c>
      <c r="P174" s="2131">
        <f t="shared" si="31"/>
        <v>-469.49</v>
      </c>
      <c r="Q174" s="2131">
        <f t="shared" si="32"/>
        <v>124.19999999999999</v>
      </c>
      <c r="R174" s="2131">
        <f t="shared" si="33"/>
        <v>9604.1931863093305</v>
      </c>
      <c r="S174" s="2130">
        <f>IF(J173=J174,S173+0.00001,ROUNDDOWN(MAX($S$16:$S173),0)+1)</f>
        <v>2.0003800000000025</v>
      </c>
      <c r="T174" s="2131">
        <f t="shared" si="34"/>
        <v>-321.25</v>
      </c>
      <c r="U174" s="2131">
        <f t="shared" si="35"/>
        <v>175.41666666666666</v>
      </c>
      <c r="V174" s="2071">
        <f t="shared" si="40"/>
        <v>158</v>
      </c>
    </row>
    <row r="175" spans="1:22">
      <c r="A175" s="2124">
        <f t="shared" si="41"/>
        <v>1</v>
      </c>
      <c r="B175" s="2073">
        <v>159</v>
      </c>
      <c r="C175" s="2104">
        <f t="shared" si="42"/>
        <v>-345.29</v>
      </c>
      <c r="D175" s="2125">
        <f t="shared" si="30"/>
        <v>0.03</v>
      </c>
      <c r="E175" s="2104">
        <f t="shared" si="36"/>
        <v>7055.6269736804861</v>
      </c>
      <c r="F175" s="2135"/>
      <c r="G175" s="2127">
        <f t="shared" si="43"/>
        <v>3</v>
      </c>
      <c r="H175" s="2075">
        <v>159</v>
      </c>
      <c r="I175" s="2104">
        <f t="shared" si="37"/>
        <v>-145.83333333333334</v>
      </c>
      <c r="J175" s="2125">
        <f t="shared" si="38"/>
        <v>3.5000000000000003E-2</v>
      </c>
      <c r="K175" s="2083"/>
      <c r="L175" s="2106"/>
      <c r="N175" s="2071">
        <f t="shared" si="39"/>
        <v>159</v>
      </c>
      <c r="O175" s="2130">
        <f>IF(D174=D175,O174+0.00001,ROUNDDOWN(MAX($O$16:$O174),0)+1)</f>
        <v>1.5900000000000035E-3</v>
      </c>
      <c r="P175" s="2131">
        <f t="shared" si="31"/>
        <v>-469.49</v>
      </c>
      <c r="Q175" s="2131">
        <f t="shared" si="32"/>
        <v>124.19999999999999</v>
      </c>
      <c r="R175" s="2131">
        <f t="shared" si="33"/>
        <v>9196.4101275313678</v>
      </c>
      <c r="S175" s="2130">
        <f>IF(J174=J175,S174+0.00001,ROUNDDOWN(MAX($S$16:$S174),0)+1)</f>
        <v>2.0003900000000026</v>
      </c>
      <c r="T175" s="2131">
        <f t="shared" si="34"/>
        <v>-321.25</v>
      </c>
      <c r="U175" s="2131">
        <f t="shared" si="35"/>
        <v>175.41666666666666</v>
      </c>
      <c r="V175" s="2071">
        <f t="shared" si="40"/>
        <v>159</v>
      </c>
    </row>
    <row r="176" spans="1:22">
      <c r="A176" s="2124">
        <f t="shared" si="41"/>
        <v>1</v>
      </c>
      <c r="B176" s="2073">
        <v>160</v>
      </c>
      <c r="C176" s="2104">
        <f t="shared" si="42"/>
        <v>-345.29</v>
      </c>
      <c r="D176" s="2125">
        <f t="shared" si="30"/>
        <v>0.03</v>
      </c>
      <c r="E176" s="2104">
        <f t="shared" si="36"/>
        <v>6727.9760411146872</v>
      </c>
      <c r="F176" s="2135"/>
      <c r="G176" s="2127">
        <f t="shared" si="43"/>
        <v>3</v>
      </c>
      <c r="H176" s="2075">
        <v>160</v>
      </c>
      <c r="I176" s="2104">
        <f t="shared" si="37"/>
        <v>-145.83333333333334</v>
      </c>
      <c r="J176" s="2125">
        <f t="shared" si="38"/>
        <v>3.5000000000000003E-2</v>
      </c>
      <c r="K176" s="2083"/>
      <c r="L176" s="2106"/>
      <c r="N176" s="2071">
        <f t="shared" si="39"/>
        <v>160</v>
      </c>
      <c r="O176" s="2130">
        <f>IF(D175=D176,O175+0.00001,ROUNDDOWN(MAX($O$16:$O175),0)+1)</f>
        <v>1.6000000000000035E-3</v>
      </c>
      <c r="P176" s="2131">
        <f t="shared" si="31"/>
        <v>-469.49</v>
      </c>
      <c r="Q176" s="2131">
        <f t="shared" si="32"/>
        <v>124.19999999999999</v>
      </c>
      <c r="R176" s="2131">
        <f t="shared" si="33"/>
        <v>8786.0070626007564</v>
      </c>
      <c r="S176" s="2130">
        <f>IF(J175=J176,S175+0.00001,ROUNDDOWN(MAX($S$16:$S175),0)+1)</f>
        <v>2.0004000000000026</v>
      </c>
      <c r="T176" s="2131">
        <f t="shared" si="34"/>
        <v>-321.25</v>
      </c>
      <c r="U176" s="2131">
        <f t="shared" si="35"/>
        <v>175.41666666666666</v>
      </c>
      <c r="V176" s="2071">
        <f t="shared" si="40"/>
        <v>160</v>
      </c>
    </row>
    <row r="177" spans="1:22">
      <c r="A177" s="2124">
        <f t="shared" si="41"/>
        <v>1</v>
      </c>
      <c r="B177" s="2073">
        <v>161</v>
      </c>
      <c r="C177" s="2104">
        <f t="shared" si="42"/>
        <v>-345.29</v>
      </c>
      <c r="D177" s="2125">
        <f t="shared" si="30"/>
        <v>0.03</v>
      </c>
      <c r="E177" s="2104">
        <f t="shared" si="36"/>
        <v>6399.5059812174732</v>
      </c>
      <c r="F177" s="2135"/>
      <c r="G177" s="2127">
        <f t="shared" si="43"/>
        <v>3</v>
      </c>
      <c r="H177" s="2075">
        <v>161</v>
      </c>
      <c r="I177" s="2104">
        <f t="shared" si="37"/>
        <v>-145.83333333333334</v>
      </c>
      <c r="J177" s="2125">
        <f t="shared" si="38"/>
        <v>3.5000000000000003E-2</v>
      </c>
      <c r="K177" s="2083"/>
      <c r="L177" s="2106"/>
      <c r="N177" s="2071">
        <f t="shared" si="39"/>
        <v>161</v>
      </c>
      <c r="O177" s="2130">
        <f>IF(D176=D177,O176+0.00001,ROUNDDOWN(MAX($O$16:$O176),0)+1)</f>
        <v>1.6100000000000036E-3</v>
      </c>
      <c r="P177" s="2131">
        <f t="shared" si="31"/>
        <v>-469.49</v>
      </c>
      <c r="Q177" s="2131">
        <f t="shared" si="32"/>
        <v>124.19999999999999</v>
      </c>
      <c r="R177" s="2131">
        <f t="shared" si="33"/>
        <v>8372.9671579779661</v>
      </c>
      <c r="S177" s="2130">
        <f>IF(J176=J177,S176+0.00001,ROUNDDOWN(MAX($S$16:$S176),0)+1)</f>
        <v>2.0004100000000027</v>
      </c>
      <c r="T177" s="2131">
        <f t="shared" si="34"/>
        <v>-321.25</v>
      </c>
      <c r="U177" s="2131">
        <f t="shared" si="35"/>
        <v>175.41666666666666</v>
      </c>
      <c r="V177" s="2071">
        <f t="shared" si="40"/>
        <v>161</v>
      </c>
    </row>
    <row r="178" spans="1:22">
      <c r="A178" s="2124">
        <f t="shared" si="41"/>
        <v>1</v>
      </c>
      <c r="B178" s="2073">
        <v>162</v>
      </c>
      <c r="C178" s="2104">
        <f t="shared" si="42"/>
        <v>-345.29</v>
      </c>
      <c r="D178" s="2125">
        <f t="shared" si="30"/>
        <v>0.03</v>
      </c>
      <c r="E178" s="2104">
        <f t="shared" si="36"/>
        <v>6070.2147461705163</v>
      </c>
      <c r="F178" s="2135"/>
      <c r="G178" s="2127">
        <f t="shared" si="43"/>
        <v>3</v>
      </c>
      <c r="H178" s="2075">
        <v>162</v>
      </c>
      <c r="I178" s="2104">
        <f t="shared" si="37"/>
        <v>-145.83333333333334</v>
      </c>
      <c r="J178" s="2125">
        <f t="shared" si="38"/>
        <v>3.5000000000000003E-2</v>
      </c>
      <c r="K178" s="2083"/>
      <c r="L178" s="2106"/>
      <c r="N178" s="2071">
        <f t="shared" si="39"/>
        <v>162</v>
      </c>
      <c r="O178" s="2130">
        <f>IF(D177=D178,O177+0.00001,ROUNDDOWN(MAX($O$16:$O177),0)+1)</f>
        <v>1.6200000000000036E-3</v>
      </c>
      <c r="P178" s="2131">
        <f t="shared" si="31"/>
        <v>-469.49</v>
      </c>
      <c r="Q178" s="2131">
        <f t="shared" si="32"/>
        <v>124.19999999999999</v>
      </c>
      <c r="R178" s="2131">
        <f t="shared" si="33"/>
        <v>7957.2734719679738</v>
      </c>
      <c r="S178" s="2130">
        <f>IF(J177=J178,S177+0.00001,ROUNDDOWN(MAX($S$16:$S177),0)+1)</f>
        <v>2.0004200000000028</v>
      </c>
      <c r="T178" s="2131">
        <f t="shared" si="34"/>
        <v>-321.25</v>
      </c>
      <c r="U178" s="2131">
        <f t="shared" si="35"/>
        <v>175.41666666666666</v>
      </c>
      <c r="V178" s="2071">
        <f t="shared" si="40"/>
        <v>162</v>
      </c>
    </row>
    <row r="179" spans="1:22">
      <c r="A179" s="2124">
        <f t="shared" si="41"/>
        <v>1</v>
      </c>
      <c r="B179" s="2073">
        <v>163</v>
      </c>
      <c r="C179" s="2104">
        <f t="shared" si="42"/>
        <v>-345.29</v>
      </c>
      <c r="D179" s="2125">
        <f t="shared" si="30"/>
        <v>0.03</v>
      </c>
      <c r="E179" s="2104">
        <f t="shared" si="36"/>
        <v>5740.1002830359421</v>
      </c>
      <c r="F179" s="2135"/>
      <c r="G179" s="2127">
        <f t="shared" si="43"/>
        <v>3</v>
      </c>
      <c r="H179" s="2075">
        <v>163</v>
      </c>
      <c r="I179" s="2104">
        <f t="shared" si="37"/>
        <v>-145.83333333333334</v>
      </c>
      <c r="J179" s="2125">
        <f t="shared" si="38"/>
        <v>3.5000000000000003E-2</v>
      </c>
      <c r="K179" s="2083"/>
      <c r="L179" s="2106"/>
      <c r="N179" s="2071">
        <f t="shared" si="39"/>
        <v>163</v>
      </c>
      <c r="O179" s="2130">
        <f>IF(D178=D179,O178+0.00001,ROUNDDOWN(MAX($O$16:$O178),0)+1)</f>
        <v>1.6300000000000036E-3</v>
      </c>
      <c r="P179" s="2131">
        <f t="shared" si="31"/>
        <v>-469.49</v>
      </c>
      <c r="Q179" s="2131">
        <f t="shared" si="32"/>
        <v>124.19999999999999</v>
      </c>
      <c r="R179" s="2131">
        <f t="shared" si="33"/>
        <v>7538.9089540253672</v>
      </c>
      <c r="S179" s="2130">
        <f>IF(J178=J179,S178+0.00001,ROUNDDOWN(MAX($S$16:$S178),0)+1)</f>
        <v>2.0004300000000028</v>
      </c>
      <c r="T179" s="2131">
        <f t="shared" si="34"/>
        <v>-321.25</v>
      </c>
      <c r="U179" s="2131">
        <f t="shared" si="35"/>
        <v>175.41666666666666</v>
      </c>
      <c r="V179" s="2071">
        <f t="shared" si="40"/>
        <v>163</v>
      </c>
    </row>
    <row r="180" spans="1:22">
      <c r="A180" s="2124">
        <f t="shared" si="41"/>
        <v>1</v>
      </c>
      <c r="B180" s="2073">
        <v>164</v>
      </c>
      <c r="C180" s="2104">
        <f t="shared" si="42"/>
        <v>-345.29</v>
      </c>
      <c r="D180" s="2125">
        <f t="shared" si="30"/>
        <v>0.03</v>
      </c>
      <c r="E180" s="2104">
        <f t="shared" si="36"/>
        <v>5409.1605337435312</v>
      </c>
      <c r="F180" s="2135"/>
      <c r="G180" s="2127">
        <f t="shared" si="43"/>
        <v>3</v>
      </c>
      <c r="H180" s="2075">
        <v>164</v>
      </c>
      <c r="I180" s="2104">
        <f t="shared" si="37"/>
        <v>-145.83333333333334</v>
      </c>
      <c r="J180" s="2125">
        <f t="shared" si="38"/>
        <v>3.5000000000000003E-2</v>
      </c>
      <c r="K180" s="2083"/>
      <c r="L180" s="2106"/>
      <c r="N180" s="2071">
        <f t="shared" si="39"/>
        <v>164</v>
      </c>
      <c r="O180" s="2130">
        <f>IF(D179=D180,O179+0.00001,ROUNDDOWN(MAX($O$16:$O179),0)+1)</f>
        <v>1.6400000000000037E-3</v>
      </c>
      <c r="P180" s="2131">
        <f t="shared" si="31"/>
        <v>-469.49</v>
      </c>
      <c r="Q180" s="2131">
        <f t="shared" si="32"/>
        <v>124.19999999999999</v>
      </c>
      <c r="R180" s="2131">
        <f t="shared" si="33"/>
        <v>7117.8564440549799</v>
      </c>
      <c r="S180" s="2130">
        <f>IF(J179=J180,S179+0.00001,ROUNDDOWN(MAX($S$16:$S179),0)+1)</f>
        <v>2.0004400000000029</v>
      </c>
      <c r="T180" s="2131">
        <f t="shared" si="34"/>
        <v>-321.25</v>
      </c>
      <c r="U180" s="2131">
        <f t="shared" si="35"/>
        <v>175.41666666666666</v>
      </c>
      <c r="V180" s="2071">
        <f t="shared" si="40"/>
        <v>164</v>
      </c>
    </row>
    <row r="181" spans="1:22">
      <c r="A181" s="2124">
        <f t="shared" si="41"/>
        <v>1</v>
      </c>
      <c r="B181" s="2073">
        <v>165</v>
      </c>
      <c r="C181" s="2104">
        <f t="shared" si="42"/>
        <v>-345.29</v>
      </c>
      <c r="D181" s="2125">
        <f t="shared" si="30"/>
        <v>0.03</v>
      </c>
      <c r="E181" s="2104">
        <f t="shared" si="36"/>
        <v>5077.39343507789</v>
      </c>
      <c r="F181" s="2135"/>
      <c r="G181" s="2127">
        <f t="shared" si="43"/>
        <v>3</v>
      </c>
      <c r="H181" s="2075">
        <v>165</v>
      </c>
      <c r="I181" s="2104">
        <f t="shared" si="37"/>
        <v>-145.83333333333334</v>
      </c>
      <c r="J181" s="2125">
        <f t="shared" si="38"/>
        <v>3.5000000000000003E-2</v>
      </c>
      <c r="K181" s="2083"/>
      <c r="L181" s="2106"/>
      <c r="N181" s="2071">
        <f t="shared" si="39"/>
        <v>165</v>
      </c>
      <c r="O181" s="2130">
        <f>IF(D180=D181,O180+0.00001,ROUNDDOWN(MAX($O$16:$O180),0)+1)</f>
        <v>1.6500000000000037E-3</v>
      </c>
      <c r="P181" s="2131">
        <f t="shared" si="31"/>
        <v>-469.49</v>
      </c>
      <c r="Q181" s="2131">
        <f t="shared" si="32"/>
        <v>124.19999999999999</v>
      </c>
      <c r="R181" s="2131">
        <f t="shared" si="33"/>
        <v>6694.0986717080323</v>
      </c>
      <c r="S181" s="2130">
        <f>IF(J180=J181,S180+0.00001,ROUNDDOWN(MAX($S$16:$S180),0)+1)</f>
        <v>2.0004500000000029</v>
      </c>
      <c r="T181" s="2131">
        <f t="shared" si="34"/>
        <v>-321.25</v>
      </c>
      <c r="U181" s="2131">
        <f t="shared" si="35"/>
        <v>175.41666666666666</v>
      </c>
      <c r="V181" s="2071">
        <f t="shared" si="40"/>
        <v>165</v>
      </c>
    </row>
    <row r="182" spans="1:22">
      <c r="A182" s="2124">
        <f t="shared" si="41"/>
        <v>1</v>
      </c>
      <c r="B182" s="2073">
        <v>166</v>
      </c>
      <c r="C182" s="2104">
        <f t="shared" si="42"/>
        <v>-345.29</v>
      </c>
      <c r="D182" s="2125">
        <f t="shared" si="30"/>
        <v>0.03</v>
      </c>
      <c r="E182" s="2104">
        <f t="shared" si="36"/>
        <v>4744.7969186655846</v>
      </c>
      <c r="F182" s="2135"/>
      <c r="G182" s="2127">
        <f t="shared" si="43"/>
        <v>3</v>
      </c>
      <c r="H182" s="2075">
        <v>166</v>
      </c>
      <c r="I182" s="2104">
        <f t="shared" si="37"/>
        <v>-145.83333333333334</v>
      </c>
      <c r="J182" s="2125">
        <f t="shared" si="38"/>
        <v>3.5000000000000003E-2</v>
      </c>
      <c r="K182" s="2083"/>
      <c r="L182" s="2106"/>
      <c r="N182" s="2071">
        <f t="shared" si="39"/>
        <v>166</v>
      </c>
      <c r="O182" s="2130">
        <f>IF(D181=D182,O181+0.00001,ROUNDDOWN(MAX($O$16:$O181),0)+1)</f>
        <v>1.6600000000000037E-3</v>
      </c>
      <c r="P182" s="2131">
        <f t="shared" si="31"/>
        <v>-469.49</v>
      </c>
      <c r="Q182" s="2131">
        <f t="shared" si="32"/>
        <v>124.19999999999999</v>
      </c>
      <c r="R182" s="2131">
        <f t="shared" si="33"/>
        <v>6267.6182556737558</v>
      </c>
      <c r="S182" s="2130">
        <f>IF(J181=J182,S181+0.00001,ROUNDDOWN(MAX($S$16:$S181),0)+1)</f>
        <v>2.000460000000003</v>
      </c>
      <c r="T182" s="2131">
        <f t="shared" si="34"/>
        <v>-321.25</v>
      </c>
      <c r="U182" s="2131">
        <f t="shared" si="35"/>
        <v>175.41666666666666</v>
      </c>
      <c r="V182" s="2071">
        <f t="shared" si="40"/>
        <v>166</v>
      </c>
    </row>
    <row r="183" spans="1:22">
      <c r="A183" s="2124">
        <f t="shared" si="41"/>
        <v>1</v>
      </c>
      <c r="B183" s="2073">
        <v>167</v>
      </c>
      <c r="C183" s="2104">
        <f t="shared" si="42"/>
        <v>-345.29</v>
      </c>
      <c r="D183" s="2125">
        <f t="shared" si="30"/>
        <v>0.03</v>
      </c>
      <c r="E183" s="2104">
        <f t="shared" si="36"/>
        <v>4411.3689109622483</v>
      </c>
      <c r="F183" s="2135"/>
      <c r="G183" s="2127">
        <f t="shared" si="43"/>
        <v>3</v>
      </c>
      <c r="H183" s="2075">
        <v>167</v>
      </c>
      <c r="I183" s="2104">
        <f t="shared" si="37"/>
        <v>-145.83333333333334</v>
      </c>
      <c r="J183" s="2125">
        <f t="shared" si="38"/>
        <v>3.5000000000000003E-2</v>
      </c>
      <c r="K183" s="2083"/>
      <c r="L183" s="2106"/>
      <c r="N183" s="2071">
        <f t="shared" si="39"/>
        <v>167</v>
      </c>
      <c r="O183" s="2130">
        <f>IF(D182=D183,O182+0.00001,ROUNDDOWN(MAX($O$16:$O182),0)+1)</f>
        <v>1.6700000000000037E-3</v>
      </c>
      <c r="P183" s="2131">
        <f t="shared" si="31"/>
        <v>-469.49</v>
      </c>
      <c r="Q183" s="2131">
        <f t="shared" si="32"/>
        <v>124.19999999999999</v>
      </c>
      <c r="R183" s="2131">
        <f t="shared" si="33"/>
        <v>5838.3977029664593</v>
      </c>
      <c r="S183" s="2130">
        <f>IF(J182=J183,S182+0.00001,ROUNDDOWN(MAX($S$16:$S182),0)+1)</f>
        <v>2.0004700000000031</v>
      </c>
      <c r="T183" s="2131">
        <f t="shared" si="34"/>
        <v>-321.25</v>
      </c>
      <c r="U183" s="2131">
        <f t="shared" si="35"/>
        <v>175.41666666666666</v>
      </c>
      <c r="V183" s="2071">
        <f t="shared" si="40"/>
        <v>167</v>
      </c>
    </row>
    <row r="184" spans="1:22">
      <c r="A184" s="2124">
        <f t="shared" si="41"/>
        <v>1</v>
      </c>
      <c r="B184" s="2073">
        <v>168</v>
      </c>
      <c r="C184" s="2104">
        <f t="shared" si="42"/>
        <v>-345.29</v>
      </c>
      <c r="D184" s="2125">
        <f t="shared" si="30"/>
        <v>0.03</v>
      </c>
      <c r="E184" s="2104">
        <f t="shared" si="36"/>
        <v>4077.1073332396536</v>
      </c>
      <c r="F184" s="2135"/>
      <c r="G184" s="2127">
        <f t="shared" si="43"/>
        <v>3</v>
      </c>
      <c r="H184" s="2075">
        <v>168</v>
      </c>
      <c r="I184" s="2104">
        <f t="shared" si="37"/>
        <v>-145.83333333333334</v>
      </c>
      <c r="J184" s="2125">
        <f t="shared" si="38"/>
        <v>3.5000000000000003E-2</v>
      </c>
      <c r="K184" s="2083"/>
      <c r="L184" s="2106"/>
      <c r="N184" s="2071">
        <f t="shared" si="39"/>
        <v>168</v>
      </c>
      <c r="O184" s="2130">
        <f>IF(D183=D184,O183+0.00001,ROUNDDOWN(MAX($O$16:$O183),0)+1)</f>
        <v>1.6800000000000038E-3</v>
      </c>
      <c r="P184" s="2131">
        <f t="shared" si="31"/>
        <v>-469.49</v>
      </c>
      <c r="Q184" s="2131">
        <f t="shared" si="32"/>
        <v>124.19999999999999</v>
      </c>
      <c r="R184" s="2131">
        <f t="shared" si="33"/>
        <v>5406.4194082080185</v>
      </c>
      <c r="S184" s="2130">
        <f>IF(J183=J184,S183+0.00001,ROUNDDOWN(MAX($S$16:$S183),0)+1)</f>
        <v>2.0004800000000031</v>
      </c>
      <c r="T184" s="2131">
        <f t="shared" si="34"/>
        <v>-321.25</v>
      </c>
      <c r="U184" s="2131">
        <f t="shared" si="35"/>
        <v>175.41666666666666</v>
      </c>
      <c r="V184" s="2071">
        <f t="shared" si="40"/>
        <v>168</v>
      </c>
    </row>
    <row r="185" spans="1:22">
      <c r="A185" s="2124">
        <f t="shared" si="41"/>
        <v>1</v>
      </c>
      <c r="B185" s="2073">
        <v>169</v>
      </c>
      <c r="C185" s="2104">
        <f t="shared" si="42"/>
        <v>-345.29</v>
      </c>
      <c r="D185" s="2125">
        <f t="shared" si="30"/>
        <v>0.03</v>
      </c>
      <c r="E185" s="2104">
        <f t="shared" si="36"/>
        <v>3742.0101015727528</v>
      </c>
      <c r="F185" s="2135"/>
      <c r="G185" s="2127">
        <f t="shared" si="43"/>
        <v>3</v>
      </c>
      <c r="H185" s="2075">
        <v>169</v>
      </c>
      <c r="I185" s="2104">
        <f t="shared" si="37"/>
        <v>-145.83333333333334</v>
      </c>
      <c r="J185" s="2125">
        <f t="shared" si="38"/>
        <v>3.5000000000000003E-2</v>
      </c>
      <c r="K185" s="2083"/>
      <c r="L185" s="2106"/>
      <c r="N185" s="2071">
        <f t="shared" si="39"/>
        <v>169</v>
      </c>
      <c r="O185" s="2130">
        <f>IF(D184=D185,O184+0.00001,ROUNDDOWN(MAX($O$16:$O184),0)+1)</f>
        <v>1.6900000000000038E-3</v>
      </c>
      <c r="P185" s="2131">
        <f t="shared" si="31"/>
        <v>-469.49</v>
      </c>
      <c r="Q185" s="2131">
        <f t="shared" si="32"/>
        <v>124.19999999999999</v>
      </c>
      <c r="R185" s="2131">
        <f t="shared" si="33"/>
        <v>4971.6656529057545</v>
      </c>
      <c r="S185" s="2130">
        <f>IF(J184=J185,S184+0.00001,ROUNDDOWN(MAX($S$16:$S184),0)+1)</f>
        <v>2.0004900000000032</v>
      </c>
      <c r="T185" s="2131">
        <f t="shared" si="34"/>
        <v>-321.25</v>
      </c>
      <c r="U185" s="2131">
        <f t="shared" si="35"/>
        <v>175.41666666666666</v>
      </c>
      <c r="V185" s="2071">
        <f t="shared" si="40"/>
        <v>169</v>
      </c>
    </row>
    <row r="186" spans="1:22">
      <c r="A186" s="2124">
        <f t="shared" si="41"/>
        <v>1</v>
      </c>
      <c r="B186" s="2073">
        <v>170</v>
      </c>
      <c r="C186" s="2104">
        <f t="shared" si="42"/>
        <v>-345.29</v>
      </c>
      <c r="D186" s="2125">
        <f t="shared" si="30"/>
        <v>0.03</v>
      </c>
      <c r="E186" s="2104">
        <f t="shared" si="36"/>
        <v>3406.0751268266845</v>
      </c>
      <c r="F186" s="2135"/>
      <c r="G186" s="2127">
        <f t="shared" si="43"/>
        <v>3</v>
      </c>
      <c r="H186" s="2075">
        <v>170</v>
      </c>
      <c r="I186" s="2104">
        <f t="shared" si="37"/>
        <v>-145.83333333333334</v>
      </c>
      <c r="J186" s="2125">
        <f t="shared" si="38"/>
        <v>3.5000000000000003E-2</v>
      </c>
      <c r="K186" s="2083"/>
      <c r="L186" s="2106"/>
      <c r="N186" s="2071">
        <f t="shared" si="39"/>
        <v>170</v>
      </c>
      <c r="O186" s="2130">
        <f>IF(D185=D186,O185+0.00001,ROUNDDOWN(MAX($O$16:$O185),0)+1)</f>
        <v>1.7000000000000038E-3</v>
      </c>
      <c r="P186" s="2131">
        <f t="shared" si="31"/>
        <v>-469.49</v>
      </c>
      <c r="Q186" s="2131">
        <f t="shared" si="32"/>
        <v>124.19999999999999</v>
      </c>
      <c r="R186" s="2131">
        <f t="shared" si="33"/>
        <v>4534.1186047256733</v>
      </c>
      <c r="S186" s="2130">
        <f>IF(J185=J186,S185+0.00001,ROUNDDOWN(MAX($S$16:$S185),0)+1)</f>
        <v>2.0005000000000033</v>
      </c>
      <c r="T186" s="2131">
        <f t="shared" si="34"/>
        <v>-321.25</v>
      </c>
      <c r="U186" s="2131">
        <f t="shared" si="35"/>
        <v>175.41666666666666</v>
      </c>
      <c r="V186" s="2071">
        <f t="shared" si="40"/>
        <v>170</v>
      </c>
    </row>
    <row r="187" spans="1:22">
      <c r="A187" s="2124">
        <f t="shared" si="41"/>
        <v>1</v>
      </c>
      <c r="B187" s="2073">
        <v>171</v>
      </c>
      <c r="C187" s="2104">
        <f t="shared" si="42"/>
        <v>-345.29</v>
      </c>
      <c r="D187" s="2125">
        <f t="shared" si="30"/>
        <v>0.03</v>
      </c>
      <c r="E187" s="2104">
        <f t="shared" si="36"/>
        <v>3069.3003146437509</v>
      </c>
      <c r="F187" s="2135"/>
      <c r="G187" s="2127">
        <f t="shared" si="43"/>
        <v>3</v>
      </c>
      <c r="H187" s="2075">
        <v>171</v>
      </c>
      <c r="I187" s="2104">
        <f t="shared" si="37"/>
        <v>-145.83333333333334</v>
      </c>
      <c r="J187" s="2125">
        <f t="shared" si="38"/>
        <v>3.5000000000000003E-2</v>
      </c>
      <c r="K187" s="2083"/>
      <c r="L187" s="2106"/>
      <c r="N187" s="2071">
        <f t="shared" si="39"/>
        <v>171</v>
      </c>
      <c r="O187" s="2130">
        <f>IF(D186=D187,O186+0.00001,ROUNDDOWN(MAX($O$16:$O186),0)+1)</f>
        <v>1.7100000000000038E-3</v>
      </c>
      <c r="P187" s="2131">
        <f t="shared" si="31"/>
        <v>-469.49</v>
      </c>
      <c r="Q187" s="2131">
        <f t="shared" si="32"/>
        <v>124.19999999999999</v>
      </c>
      <c r="R187" s="2131">
        <f t="shared" si="33"/>
        <v>4093.7603167610359</v>
      </c>
      <c r="S187" s="2130">
        <f>IF(J186=J187,S186+0.00001,ROUNDDOWN(MAX($S$16:$S186),0)+1)</f>
        <v>2.0005100000000033</v>
      </c>
      <c r="T187" s="2131">
        <f t="shared" si="34"/>
        <v>-321.25</v>
      </c>
      <c r="U187" s="2131">
        <f t="shared" si="35"/>
        <v>175.41666666666666</v>
      </c>
      <c r="V187" s="2071">
        <f t="shared" si="40"/>
        <v>171</v>
      </c>
    </row>
    <row r="188" spans="1:22">
      <c r="A188" s="2124">
        <f t="shared" si="41"/>
        <v>1</v>
      </c>
      <c r="B188" s="2073">
        <v>172</v>
      </c>
      <c r="C188" s="2104">
        <f t="shared" si="42"/>
        <v>-345.29</v>
      </c>
      <c r="D188" s="2125">
        <f t="shared" si="30"/>
        <v>0.03</v>
      </c>
      <c r="E188" s="2104">
        <f t="shared" si="36"/>
        <v>2731.68356543036</v>
      </c>
      <c r="F188" s="2135"/>
      <c r="G188" s="2127">
        <f t="shared" si="43"/>
        <v>3</v>
      </c>
      <c r="H188" s="2075">
        <v>172</v>
      </c>
      <c r="I188" s="2104">
        <f t="shared" si="37"/>
        <v>-145.83333333333334</v>
      </c>
      <c r="J188" s="2125">
        <f t="shared" si="38"/>
        <v>3.5000000000000003E-2</v>
      </c>
      <c r="K188" s="2083"/>
      <c r="L188" s="2106"/>
      <c r="N188" s="2071">
        <f t="shared" si="39"/>
        <v>172</v>
      </c>
      <c r="O188" s="2130">
        <f>IF(D187=D188,O187+0.00001,ROUNDDOWN(MAX($O$16:$O187),0)+1)</f>
        <v>1.7200000000000039E-3</v>
      </c>
      <c r="P188" s="2131">
        <f t="shared" si="31"/>
        <v>-469.49</v>
      </c>
      <c r="Q188" s="2131">
        <f t="shared" si="32"/>
        <v>124.19999999999999</v>
      </c>
      <c r="R188" s="2131">
        <f t="shared" si="33"/>
        <v>3650.5727267962257</v>
      </c>
      <c r="S188" s="2130">
        <f>IF(J187=J188,S187+0.00001,ROUNDDOWN(MAX($S$16:$S187),0)+1)</f>
        <v>2.0005200000000034</v>
      </c>
      <c r="T188" s="2131">
        <f t="shared" si="34"/>
        <v>-321.25</v>
      </c>
      <c r="U188" s="2131">
        <f t="shared" si="35"/>
        <v>175.41666666666666</v>
      </c>
      <c r="V188" s="2071">
        <f t="shared" si="40"/>
        <v>172</v>
      </c>
    </row>
    <row r="189" spans="1:22">
      <c r="A189" s="2124">
        <f t="shared" si="41"/>
        <v>1</v>
      </c>
      <c r="B189" s="2073">
        <v>173</v>
      </c>
      <c r="C189" s="2104">
        <f t="shared" si="42"/>
        <v>-345.29</v>
      </c>
      <c r="D189" s="2125">
        <f t="shared" si="30"/>
        <v>0.03</v>
      </c>
      <c r="E189" s="2104">
        <f t="shared" si="36"/>
        <v>2393.2227743439357</v>
      </c>
      <c r="F189" s="2135"/>
      <c r="G189" s="2127">
        <f t="shared" si="43"/>
        <v>3</v>
      </c>
      <c r="H189" s="2075">
        <v>173</v>
      </c>
      <c r="I189" s="2104">
        <f t="shared" si="37"/>
        <v>-145.83333333333334</v>
      </c>
      <c r="J189" s="2125">
        <f t="shared" si="38"/>
        <v>3.5000000000000003E-2</v>
      </c>
      <c r="K189" s="2083"/>
      <c r="L189" s="2106"/>
      <c r="N189" s="2071">
        <f t="shared" si="39"/>
        <v>173</v>
      </c>
      <c r="O189" s="2130">
        <f>IF(D188=D189,O188+0.00001,ROUNDDOWN(MAX($O$16:$O188),0)+1)</f>
        <v>1.7300000000000039E-3</v>
      </c>
      <c r="P189" s="2131">
        <f t="shared" si="31"/>
        <v>-469.49</v>
      </c>
      <c r="Q189" s="2131">
        <f t="shared" si="32"/>
        <v>124.19999999999999</v>
      </c>
      <c r="R189" s="2131">
        <f t="shared" si="33"/>
        <v>3204.5376565658908</v>
      </c>
      <c r="S189" s="2130">
        <f>IF(J188=J189,S188+0.00001,ROUNDDOWN(MAX($S$16:$S188),0)+1)</f>
        <v>2.0005300000000035</v>
      </c>
      <c r="T189" s="2131">
        <f t="shared" si="34"/>
        <v>-321.25</v>
      </c>
      <c r="U189" s="2131">
        <f t="shared" si="35"/>
        <v>175.41666666666666</v>
      </c>
      <c r="V189" s="2071">
        <f t="shared" si="40"/>
        <v>173</v>
      </c>
    </row>
    <row r="190" spans="1:22">
      <c r="A190" s="2124">
        <f t="shared" si="41"/>
        <v>1</v>
      </c>
      <c r="B190" s="2073">
        <v>174</v>
      </c>
      <c r="C190" s="2104">
        <f t="shared" si="42"/>
        <v>-345.29</v>
      </c>
      <c r="D190" s="2125">
        <f t="shared" si="30"/>
        <v>0.03</v>
      </c>
      <c r="E190" s="2104">
        <f t="shared" si="36"/>
        <v>2053.9158312797954</v>
      </c>
      <c r="F190" s="2135"/>
      <c r="G190" s="2127">
        <f t="shared" si="43"/>
        <v>3</v>
      </c>
      <c r="H190" s="2075">
        <v>174</v>
      </c>
      <c r="I190" s="2104">
        <f t="shared" si="37"/>
        <v>-145.83333333333334</v>
      </c>
      <c r="J190" s="2125">
        <f t="shared" si="38"/>
        <v>3.5000000000000003E-2</v>
      </c>
      <c r="K190" s="2083"/>
      <c r="L190" s="2106"/>
      <c r="N190" s="2071">
        <f t="shared" si="39"/>
        <v>174</v>
      </c>
      <c r="O190" s="2130">
        <f>IF(D189=D190,O189+0.00001,ROUNDDOWN(MAX($O$16:$O189),0)+1)</f>
        <v>1.7400000000000039E-3</v>
      </c>
      <c r="P190" s="2131">
        <f t="shared" si="31"/>
        <v>-469.49</v>
      </c>
      <c r="Q190" s="2131">
        <f t="shared" si="32"/>
        <v>124.19999999999999</v>
      </c>
      <c r="R190" s="2131">
        <f t="shared" si="33"/>
        <v>2755.6368110093263</v>
      </c>
      <c r="S190" s="2130">
        <f>IF(J189=J190,S189+0.00001,ROUNDDOWN(MAX($S$16:$S189),0)+1)</f>
        <v>2.0005400000000035</v>
      </c>
      <c r="T190" s="2131">
        <f t="shared" si="34"/>
        <v>-321.25</v>
      </c>
      <c r="U190" s="2131">
        <f t="shared" si="35"/>
        <v>175.41666666666666</v>
      </c>
      <c r="V190" s="2071">
        <f t="shared" si="40"/>
        <v>174</v>
      </c>
    </row>
    <row r="191" spans="1:22">
      <c r="A191" s="2124">
        <f t="shared" si="41"/>
        <v>1</v>
      </c>
      <c r="B191" s="2073">
        <v>175</v>
      </c>
      <c r="C191" s="2104">
        <f t="shared" si="42"/>
        <v>-345.29</v>
      </c>
      <c r="D191" s="2125">
        <f t="shared" si="30"/>
        <v>0.03</v>
      </c>
      <c r="E191" s="2104">
        <f t="shared" si="36"/>
        <v>1713.7606208579946</v>
      </c>
      <c r="F191" s="2135"/>
      <c r="G191" s="2127">
        <f t="shared" si="43"/>
        <v>3</v>
      </c>
      <c r="H191" s="2075">
        <v>175</v>
      </c>
      <c r="I191" s="2104">
        <f t="shared" si="37"/>
        <v>-145.83333333333334</v>
      </c>
      <c r="J191" s="2125">
        <f t="shared" si="38"/>
        <v>3.5000000000000003E-2</v>
      </c>
      <c r="K191" s="2083"/>
      <c r="L191" s="2106"/>
      <c r="N191" s="2071">
        <f t="shared" si="39"/>
        <v>175</v>
      </c>
      <c r="O191" s="2130">
        <f>IF(D190=D191,O190+0.00001,ROUNDDOWN(MAX($O$16:$O190),0)+1)</f>
        <v>1.7500000000000039E-3</v>
      </c>
      <c r="P191" s="2131">
        <f t="shared" si="31"/>
        <v>-469.49</v>
      </c>
      <c r="Q191" s="2131">
        <f t="shared" si="32"/>
        <v>124.19999999999999</v>
      </c>
      <c r="R191" s="2131">
        <f t="shared" si="33"/>
        <v>2303.8517775200608</v>
      </c>
      <c r="S191" s="2130">
        <f>IF(J190=J191,S190+0.00001,ROUNDDOWN(MAX($S$16:$S190),0)+1)</f>
        <v>2.0005500000000036</v>
      </c>
      <c r="T191" s="2131">
        <f t="shared" si="34"/>
        <v>-321.25</v>
      </c>
      <c r="U191" s="2131">
        <f t="shared" si="35"/>
        <v>175.41666666666666</v>
      </c>
      <c r="V191" s="2071">
        <f t="shared" si="40"/>
        <v>175</v>
      </c>
    </row>
    <row r="192" spans="1:22">
      <c r="A192" s="2124">
        <f t="shared" si="41"/>
        <v>1</v>
      </c>
      <c r="B192" s="2073">
        <v>176</v>
      </c>
      <c r="C192" s="2104">
        <f t="shared" si="42"/>
        <v>-345.29</v>
      </c>
      <c r="D192" s="2125">
        <f t="shared" si="30"/>
        <v>0.03</v>
      </c>
      <c r="E192" s="2104">
        <f t="shared" si="36"/>
        <v>1372.7550224101394</v>
      </c>
      <c r="F192" s="2135"/>
      <c r="G192" s="2127">
        <f t="shared" si="43"/>
        <v>3</v>
      </c>
      <c r="H192" s="2075">
        <v>176</v>
      </c>
      <c r="I192" s="2104">
        <f t="shared" si="37"/>
        <v>-145.83333333333334</v>
      </c>
      <c r="J192" s="2125">
        <f t="shared" si="38"/>
        <v>3.5000000000000003E-2</v>
      </c>
      <c r="K192" s="2083"/>
      <c r="L192" s="2106"/>
      <c r="N192" s="2071">
        <f t="shared" si="39"/>
        <v>176</v>
      </c>
      <c r="O192" s="2130">
        <f>IF(D191=D192,O191+0.00001,ROUNDDOWN(MAX($O$16:$O191),0)+1)</f>
        <v>1.760000000000004E-3</v>
      </c>
      <c r="P192" s="2131">
        <f t="shared" si="31"/>
        <v>-469.49</v>
      </c>
      <c r="Q192" s="2131">
        <f t="shared" si="32"/>
        <v>124.19999999999999</v>
      </c>
      <c r="R192" s="2131">
        <f t="shared" si="33"/>
        <v>1849.1640251906267</v>
      </c>
      <c r="S192" s="2130">
        <f>IF(J191=J192,S191+0.00001,ROUNDDOWN(MAX($S$16:$S191),0)+1)</f>
        <v>2.0005600000000037</v>
      </c>
      <c r="T192" s="2131">
        <f t="shared" si="34"/>
        <v>-321.25</v>
      </c>
      <c r="U192" s="2131">
        <f t="shared" si="35"/>
        <v>175.41666666666666</v>
      </c>
      <c r="V192" s="2071">
        <f t="shared" si="40"/>
        <v>176</v>
      </c>
    </row>
    <row r="193" spans="1:22">
      <c r="A193" s="2124">
        <f t="shared" si="41"/>
        <v>1</v>
      </c>
      <c r="B193" s="2073">
        <v>177</v>
      </c>
      <c r="C193" s="2104">
        <f t="shared" si="42"/>
        <v>-345.29</v>
      </c>
      <c r="D193" s="2125">
        <f t="shared" si="30"/>
        <v>0.03</v>
      </c>
      <c r="E193" s="2104">
        <f t="shared" si="36"/>
        <v>1030.8969099661647</v>
      </c>
      <c r="F193" s="2135"/>
      <c r="G193" s="2127">
        <f t="shared" si="43"/>
        <v>3</v>
      </c>
      <c r="H193" s="2075">
        <v>177</v>
      </c>
      <c r="I193" s="2104">
        <f t="shared" si="37"/>
        <v>-145.83333333333334</v>
      </c>
      <c r="J193" s="2125">
        <f t="shared" si="38"/>
        <v>3.5000000000000003E-2</v>
      </c>
      <c r="K193" s="2083"/>
      <c r="L193" s="2106"/>
      <c r="N193" s="2071">
        <f t="shared" si="39"/>
        <v>177</v>
      </c>
      <c r="O193" s="2130">
        <f>IF(D192=D193,O192+0.00001,ROUNDDOWN(MAX($O$16:$O192),0)+1)</f>
        <v>1.770000000000004E-3</v>
      </c>
      <c r="P193" s="2131">
        <f t="shared" si="31"/>
        <v>-469.49</v>
      </c>
      <c r="Q193" s="2131">
        <f t="shared" si="32"/>
        <v>124.19999999999999</v>
      </c>
      <c r="R193" s="2131">
        <f t="shared" si="33"/>
        <v>1391.5549040524763</v>
      </c>
      <c r="S193" s="2130">
        <f>IF(J192=J193,S192+0.00001,ROUNDDOWN(MAX($S$16:$S192),0)+1)</f>
        <v>2.0005700000000037</v>
      </c>
      <c r="T193" s="2131">
        <f t="shared" si="34"/>
        <v>-321.25</v>
      </c>
      <c r="U193" s="2131">
        <f t="shared" si="35"/>
        <v>175.41666666666666</v>
      </c>
      <c r="V193" s="2071">
        <f t="shared" si="40"/>
        <v>177</v>
      </c>
    </row>
    <row r="194" spans="1:22">
      <c r="A194" s="2124">
        <f t="shared" si="41"/>
        <v>1</v>
      </c>
      <c r="B194" s="2073">
        <v>178</v>
      </c>
      <c r="C194" s="2104">
        <f t="shared" si="42"/>
        <v>-345.29</v>
      </c>
      <c r="D194" s="2125">
        <f t="shared" si="30"/>
        <v>0.03</v>
      </c>
      <c r="E194" s="2104">
        <f t="shared" si="36"/>
        <v>688.18415224108003</v>
      </c>
      <c r="F194" s="2135"/>
      <c r="G194" s="2127">
        <f t="shared" si="43"/>
        <v>3</v>
      </c>
      <c r="H194" s="2075">
        <v>178</v>
      </c>
      <c r="I194" s="2104">
        <f t="shared" si="37"/>
        <v>-145.83333333333334</v>
      </c>
      <c r="J194" s="2125">
        <f t="shared" si="38"/>
        <v>3.5000000000000003E-2</v>
      </c>
      <c r="K194" s="2083"/>
      <c r="L194" s="2106"/>
      <c r="N194" s="2071">
        <f t="shared" si="39"/>
        <v>178</v>
      </c>
      <c r="O194" s="2130">
        <f>IF(D193=D194,O193+0.00001,ROUNDDOWN(MAX($O$16:$O193),0)+1)</f>
        <v>1.780000000000004E-3</v>
      </c>
      <c r="P194" s="2131">
        <f t="shared" si="31"/>
        <v>-469.49</v>
      </c>
      <c r="Q194" s="2131">
        <f t="shared" si="32"/>
        <v>124.19999999999999</v>
      </c>
      <c r="R194" s="2131">
        <f t="shared" si="33"/>
        <v>931.00564431101338</v>
      </c>
      <c r="S194" s="2130">
        <f>IF(J193=J194,S193+0.00001,ROUNDDOWN(MAX($S$16:$S193),0)+1)</f>
        <v>2.0005800000000038</v>
      </c>
      <c r="T194" s="2131">
        <f t="shared" si="34"/>
        <v>-321.25</v>
      </c>
      <c r="U194" s="2131">
        <f t="shared" si="35"/>
        <v>175.41666666666666</v>
      </c>
      <c r="V194" s="2071">
        <f t="shared" si="40"/>
        <v>178</v>
      </c>
    </row>
    <row r="195" spans="1:22">
      <c r="A195" s="2124">
        <f t="shared" si="41"/>
        <v>1</v>
      </c>
      <c r="B195" s="2073">
        <v>179</v>
      </c>
      <c r="C195" s="2104">
        <f t="shared" si="42"/>
        <v>-345.29</v>
      </c>
      <c r="D195" s="2125">
        <f t="shared" si="30"/>
        <v>0.03</v>
      </c>
      <c r="E195" s="2104">
        <f t="shared" si="36"/>
        <v>344.61461262168262</v>
      </c>
      <c r="F195" s="2135"/>
      <c r="G195" s="2127">
        <f t="shared" si="43"/>
        <v>3</v>
      </c>
      <c r="H195" s="2075">
        <v>179</v>
      </c>
      <c r="I195" s="2104">
        <f t="shared" si="37"/>
        <v>-145.83333333333334</v>
      </c>
      <c r="J195" s="2125">
        <f t="shared" si="38"/>
        <v>3.5000000000000003E-2</v>
      </c>
      <c r="K195" s="2083"/>
      <c r="L195" s="2106"/>
      <c r="N195" s="2071">
        <f t="shared" si="39"/>
        <v>179</v>
      </c>
      <c r="O195" s="2130">
        <f>IF(D194=D195,O194+0.00001,ROUNDDOWN(MAX($O$16:$O194),0)+1)</f>
        <v>1.790000000000004E-3</v>
      </c>
      <c r="P195" s="2131">
        <f t="shared" si="31"/>
        <v>-469.49</v>
      </c>
      <c r="Q195" s="2131">
        <f t="shared" si="32"/>
        <v>124.19999999999999</v>
      </c>
      <c r="R195" s="2131">
        <f t="shared" si="33"/>
        <v>467.49735557571159</v>
      </c>
      <c r="S195" s="2130">
        <f>IF(J194=J195,S194+0.00001,ROUNDDOWN(MAX($S$16:$S194),0)+1)</f>
        <v>2.0005900000000039</v>
      </c>
      <c r="T195" s="2131">
        <f t="shared" si="34"/>
        <v>-321.25</v>
      </c>
      <c r="U195" s="2131">
        <f t="shared" si="35"/>
        <v>175.41666666666666</v>
      </c>
      <c r="V195" s="2071">
        <f t="shared" si="40"/>
        <v>179</v>
      </c>
    </row>
    <row r="196" spans="1:22">
      <c r="A196" s="2124">
        <f t="shared" si="41"/>
        <v>1</v>
      </c>
      <c r="B196" s="2073">
        <v>180</v>
      </c>
      <c r="C196" s="2104">
        <f t="shared" si="42"/>
        <v>-345.4761491532368</v>
      </c>
      <c r="D196" s="2125">
        <f t="shared" si="30"/>
        <v>0.03</v>
      </c>
      <c r="E196" s="2104">
        <f t="shared" si="36"/>
        <v>0</v>
      </c>
      <c r="F196" s="2135"/>
      <c r="G196" s="2127">
        <f t="shared" si="43"/>
        <v>3</v>
      </c>
      <c r="H196" s="2075">
        <v>180</v>
      </c>
      <c r="I196" s="2104">
        <f t="shared" si="37"/>
        <v>-50145.833333333336</v>
      </c>
      <c r="J196" s="2125">
        <f t="shared" si="38"/>
        <v>3.5000000000000003E-2</v>
      </c>
      <c r="K196" s="2083"/>
      <c r="L196" s="2106"/>
      <c r="N196" s="2071">
        <f t="shared" si="39"/>
        <v>180</v>
      </c>
      <c r="O196" s="2130">
        <f>IF(D195=D196,O195+0.00001,ROUNDDOWN(MAX($O$16:$O195),0)+1)</f>
        <v>1.8000000000000041E-3</v>
      </c>
      <c r="P196" s="2131">
        <f t="shared" si="31"/>
        <v>-470.5010260852855</v>
      </c>
      <c r="Q196" s="2131">
        <f t="shared" si="32"/>
        <v>125.0248769320487</v>
      </c>
      <c r="R196" s="2131">
        <f t="shared" si="33"/>
        <v>0</v>
      </c>
      <c r="S196" s="2130">
        <f>IF(J195=J196,S195+0.00001,ROUNDDOWN(MAX($S$16:$S195),0)+1)</f>
        <v>2.0006000000000039</v>
      </c>
      <c r="T196" s="2131">
        <f t="shared" si="34"/>
        <v>-50321.249999999993</v>
      </c>
      <c r="U196" s="2131">
        <f t="shared" si="35"/>
        <v>175.41666666665697</v>
      </c>
      <c r="V196" s="2071">
        <f t="shared" si="40"/>
        <v>180</v>
      </c>
    </row>
    <row r="197" spans="1:22">
      <c r="A197" s="2124">
        <f t="shared" si="41"/>
        <v>1</v>
      </c>
      <c r="B197" s="2073">
        <v>181</v>
      </c>
      <c r="C197" s="2104">
        <f t="shared" si="42"/>
        <v>0</v>
      </c>
      <c r="D197" s="2125">
        <f>D196</f>
        <v>0.03</v>
      </c>
      <c r="E197" s="2104">
        <f t="shared" si="36"/>
        <v>0</v>
      </c>
      <c r="F197" s="2135"/>
      <c r="G197" s="2127">
        <f t="shared" si="43"/>
        <v>3</v>
      </c>
      <c r="H197" s="2075">
        <v>181</v>
      </c>
      <c r="I197" s="2104">
        <f t="shared" si="37"/>
        <v>0</v>
      </c>
      <c r="J197" s="2125">
        <f t="shared" si="38"/>
        <v>3.5000000000000003E-2</v>
      </c>
      <c r="K197" s="2083"/>
      <c r="L197" s="2106"/>
      <c r="N197" s="2071">
        <f t="shared" si="39"/>
        <v>181</v>
      </c>
      <c r="O197" s="2130">
        <f>IF(D196=D197,O196+0.00001,ROUNDDOWN(MAX($O$16:$O196),0)+1)</f>
        <v>1.8100000000000041E-3</v>
      </c>
      <c r="P197" s="2131">
        <f t="shared" si="31"/>
        <v>0</v>
      </c>
      <c r="Q197" s="2131">
        <f t="shared" si="32"/>
        <v>0</v>
      </c>
      <c r="R197" s="2131">
        <f t="shared" si="33"/>
        <v>0</v>
      </c>
      <c r="S197" s="2130">
        <f>IF(J196=J197,S196+0.00001,ROUNDDOWN(MAX($S$16:$S196),0)+1)</f>
        <v>2.000610000000004</v>
      </c>
      <c r="T197" s="2131">
        <f t="shared" si="34"/>
        <v>0</v>
      </c>
      <c r="U197" s="2131">
        <f t="shared" si="35"/>
        <v>0</v>
      </c>
      <c r="V197" s="2071">
        <f t="shared" si="40"/>
        <v>181</v>
      </c>
    </row>
    <row r="198" spans="1:22" hidden="1">
      <c r="A198" s="2124">
        <f t="shared" si="41"/>
        <v>1</v>
      </c>
      <c r="B198" s="2073">
        <v>182</v>
      </c>
      <c r="C198" s="2104">
        <f t="shared" si="42"/>
        <v>0</v>
      </c>
      <c r="D198" s="2125">
        <f t="shared" si="30"/>
        <v>0.03</v>
      </c>
      <c r="E198" s="2104">
        <f t="shared" si="36"/>
        <v>0</v>
      </c>
      <c r="F198" s="2135"/>
      <c r="G198" s="2127">
        <f t="shared" si="43"/>
        <v>3</v>
      </c>
      <c r="H198" s="2075">
        <v>182</v>
      </c>
      <c r="I198" s="2104">
        <f t="shared" si="37"/>
        <v>0</v>
      </c>
      <c r="J198" s="2125">
        <f t="shared" si="38"/>
        <v>3.5000000000000003E-2</v>
      </c>
      <c r="K198" s="2083"/>
      <c r="L198" s="2106"/>
      <c r="N198" s="2071">
        <f t="shared" si="39"/>
        <v>182</v>
      </c>
      <c r="O198" s="2130">
        <f>IF(D197=D198,O197+0.00001,ROUNDDOWN(MAX($O$16:$O197),0)+1)</f>
        <v>1.8200000000000041E-3</v>
      </c>
      <c r="P198" s="2131">
        <f t="shared" si="31"/>
        <v>0</v>
      </c>
      <c r="Q198" s="2131">
        <f t="shared" si="32"/>
        <v>0</v>
      </c>
      <c r="R198" s="2131">
        <f t="shared" si="33"/>
        <v>0</v>
      </c>
      <c r="S198" s="2130">
        <f>IF(J197=J198,S197+0.00001,ROUNDDOWN(MAX($S$16:$S197),0)+1)</f>
        <v>2.0006200000000041</v>
      </c>
      <c r="T198" s="2131">
        <f t="shared" si="34"/>
        <v>0</v>
      </c>
      <c r="U198" s="2131">
        <f t="shared" si="35"/>
        <v>0</v>
      </c>
      <c r="V198" s="2071">
        <f t="shared" si="40"/>
        <v>182</v>
      </c>
    </row>
    <row r="199" spans="1:22" hidden="1">
      <c r="A199" s="2124">
        <f t="shared" si="41"/>
        <v>1</v>
      </c>
      <c r="B199" s="2073">
        <v>183</v>
      </c>
      <c r="C199" s="2104">
        <f t="shared" si="42"/>
        <v>0</v>
      </c>
      <c r="D199" s="2125">
        <f t="shared" si="30"/>
        <v>0.03</v>
      </c>
      <c r="E199" s="2104">
        <f t="shared" si="36"/>
        <v>0</v>
      </c>
      <c r="F199" s="2135"/>
      <c r="G199" s="2127">
        <f t="shared" si="43"/>
        <v>3</v>
      </c>
      <c r="H199" s="2075">
        <v>183</v>
      </c>
      <c r="I199" s="2104">
        <f t="shared" si="37"/>
        <v>0</v>
      </c>
      <c r="J199" s="2125">
        <f t="shared" si="38"/>
        <v>3.5000000000000003E-2</v>
      </c>
      <c r="K199" s="2083"/>
      <c r="L199" s="2106"/>
      <c r="N199" s="2071">
        <f t="shared" si="39"/>
        <v>183</v>
      </c>
      <c r="O199" s="2130">
        <f>IF(D198=D199,O198+0.00001,ROUNDDOWN(MAX($O$16:$O198),0)+1)</f>
        <v>1.8300000000000041E-3</v>
      </c>
      <c r="P199" s="2131">
        <f t="shared" si="31"/>
        <v>0</v>
      </c>
      <c r="Q199" s="2131">
        <f t="shared" si="32"/>
        <v>0</v>
      </c>
      <c r="R199" s="2131">
        <f t="shared" si="33"/>
        <v>0</v>
      </c>
      <c r="S199" s="2130">
        <f>IF(J198=J199,S198+0.00001,ROUNDDOWN(MAX($S$16:$S198),0)+1)</f>
        <v>2.0006300000000041</v>
      </c>
      <c r="T199" s="2131">
        <f t="shared" si="34"/>
        <v>0</v>
      </c>
      <c r="U199" s="2131">
        <f t="shared" si="35"/>
        <v>0</v>
      </c>
      <c r="V199" s="2071">
        <f t="shared" si="40"/>
        <v>183</v>
      </c>
    </row>
    <row r="200" spans="1:22" hidden="1">
      <c r="A200" s="2124">
        <f t="shared" si="41"/>
        <v>1</v>
      </c>
      <c r="B200" s="2073">
        <v>184</v>
      </c>
      <c r="C200" s="2104">
        <f t="shared" si="42"/>
        <v>0</v>
      </c>
      <c r="D200" s="2125">
        <f t="shared" si="30"/>
        <v>0.03</v>
      </c>
      <c r="E200" s="2104">
        <f t="shared" si="36"/>
        <v>0</v>
      </c>
      <c r="F200" s="2135"/>
      <c r="G200" s="2127">
        <f t="shared" si="43"/>
        <v>3</v>
      </c>
      <c r="H200" s="2075">
        <v>184</v>
      </c>
      <c r="I200" s="2104">
        <f t="shared" si="37"/>
        <v>0</v>
      </c>
      <c r="J200" s="2125">
        <f t="shared" si="38"/>
        <v>3.5000000000000003E-2</v>
      </c>
      <c r="K200" s="2083"/>
      <c r="L200" s="2106"/>
      <c r="N200" s="2071">
        <f t="shared" si="39"/>
        <v>184</v>
      </c>
      <c r="O200" s="2130">
        <f>IF(D199=D200,O199+0.00001,ROUNDDOWN(MAX($O$16:$O199),0)+1)</f>
        <v>1.8400000000000042E-3</v>
      </c>
      <c r="P200" s="2131">
        <f t="shared" si="31"/>
        <v>0</v>
      </c>
      <c r="Q200" s="2131">
        <f t="shared" si="32"/>
        <v>0</v>
      </c>
      <c r="R200" s="2131">
        <f t="shared" si="33"/>
        <v>0</v>
      </c>
      <c r="S200" s="2130">
        <f>IF(J199=J200,S199+0.00001,ROUNDDOWN(MAX($S$16:$S199),0)+1)</f>
        <v>2.0006400000000042</v>
      </c>
      <c r="T200" s="2131">
        <f t="shared" si="34"/>
        <v>0</v>
      </c>
      <c r="U200" s="2131">
        <f t="shared" si="35"/>
        <v>0</v>
      </c>
      <c r="V200" s="2071">
        <f t="shared" si="40"/>
        <v>184</v>
      </c>
    </row>
    <row r="201" spans="1:22" hidden="1">
      <c r="A201" s="2124">
        <f t="shared" si="41"/>
        <v>1</v>
      </c>
      <c r="B201" s="2073">
        <v>185</v>
      </c>
      <c r="C201" s="2104">
        <f t="shared" si="42"/>
        <v>0</v>
      </c>
      <c r="D201" s="2125">
        <f t="shared" si="30"/>
        <v>0.03</v>
      </c>
      <c r="E201" s="2104">
        <f t="shared" si="36"/>
        <v>0</v>
      </c>
      <c r="F201" s="2135"/>
      <c r="G201" s="2127">
        <f t="shared" si="43"/>
        <v>3</v>
      </c>
      <c r="H201" s="2075">
        <v>185</v>
      </c>
      <c r="I201" s="2104">
        <f t="shared" si="37"/>
        <v>0</v>
      </c>
      <c r="J201" s="2125">
        <f t="shared" si="38"/>
        <v>3.5000000000000003E-2</v>
      </c>
      <c r="K201" s="2083"/>
      <c r="L201" s="2106"/>
      <c r="N201" s="2071">
        <f t="shared" si="39"/>
        <v>185</v>
      </c>
      <c r="O201" s="2130">
        <f>IF(D200=D201,O200+0.00001,ROUNDDOWN(MAX($O$16:$O200),0)+1)</f>
        <v>1.8500000000000042E-3</v>
      </c>
      <c r="P201" s="2131">
        <f t="shared" si="31"/>
        <v>0</v>
      </c>
      <c r="Q201" s="2131">
        <f t="shared" si="32"/>
        <v>0</v>
      </c>
      <c r="R201" s="2131">
        <f t="shared" si="33"/>
        <v>0</v>
      </c>
      <c r="S201" s="2130">
        <f>IF(J200=J201,S200+0.00001,ROUNDDOWN(MAX($S$16:$S200),0)+1)</f>
        <v>2.0006500000000043</v>
      </c>
      <c r="T201" s="2131">
        <f t="shared" si="34"/>
        <v>0</v>
      </c>
      <c r="U201" s="2131">
        <f t="shared" si="35"/>
        <v>0</v>
      </c>
      <c r="V201" s="2071">
        <f t="shared" si="40"/>
        <v>185</v>
      </c>
    </row>
    <row r="202" spans="1:22" hidden="1">
      <c r="A202" s="2124">
        <f t="shared" si="41"/>
        <v>1</v>
      </c>
      <c r="B202" s="2073">
        <v>186</v>
      </c>
      <c r="C202" s="2104">
        <f t="shared" si="42"/>
        <v>0</v>
      </c>
      <c r="D202" s="2125">
        <f t="shared" si="30"/>
        <v>0.03</v>
      </c>
      <c r="E202" s="2104">
        <f t="shared" si="36"/>
        <v>0</v>
      </c>
      <c r="F202" s="2135"/>
      <c r="G202" s="2127">
        <f t="shared" si="43"/>
        <v>3</v>
      </c>
      <c r="H202" s="2075">
        <v>186</v>
      </c>
      <c r="I202" s="2104">
        <f t="shared" si="37"/>
        <v>0</v>
      </c>
      <c r="J202" s="2125">
        <f t="shared" si="38"/>
        <v>3.5000000000000003E-2</v>
      </c>
      <c r="K202" s="2083"/>
      <c r="L202" s="2106"/>
      <c r="N202" s="2071">
        <f t="shared" si="39"/>
        <v>186</v>
      </c>
      <c r="O202" s="2130">
        <f>IF(D201=D202,O201+0.00001,ROUNDDOWN(MAX($O$16:$O201),0)+1)</f>
        <v>1.8600000000000042E-3</v>
      </c>
      <c r="P202" s="2131">
        <f t="shared" si="31"/>
        <v>0</v>
      </c>
      <c r="Q202" s="2131">
        <f t="shared" si="32"/>
        <v>0</v>
      </c>
      <c r="R202" s="2131">
        <f t="shared" si="33"/>
        <v>0</v>
      </c>
      <c r="S202" s="2130">
        <f>IF(J201=J202,S201+0.00001,ROUNDDOWN(MAX($S$16:$S201),0)+1)</f>
        <v>2.0006600000000043</v>
      </c>
      <c r="T202" s="2131">
        <f t="shared" si="34"/>
        <v>0</v>
      </c>
      <c r="U202" s="2131">
        <f t="shared" si="35"/>
        <v>0</v>
      </c>
      <c r="V202" s="2071">
        <f t="shared" si="40"/>
        <v>186</v>
      </c>
    </row>
    <row r="203" spans="1:22" hidden="1">
      <c r="A203" s="2124">
        <f t="shared" si="41"/>
        <v>1</v>
      </c>
      <c r="B203" s="2073">
        <v>187</v>
      </c>
      <c r="C203" s="2104">
        <f t="shared" si="42"/>
        <v>0</v>
      </c>
      <c r="D203" s="2125">
        <f t="shared" si="30"/>
        <v>0.03</v>
      </c>
      <c r="E203" s="2104">
        <f t="shared" si="36"/>
        <v>0</v>
      </c>
      <c r="F203" s="2135"/>
      <c r="G203" s="2127">
        <f t="shared" si="43"/>
        <v>3</v>
      </c>
      <c r="H203" s="2075">
        <v>187</v>
      </c>
      <c r="I203" s="2104">
        <f t="shared" si="37"/>
        <v>0</v>
      </c>
      <c r="J203" s="2125">
        <f t="shared" si="38"/>
        <v>3.5000000000000003E-2</v>
      </c>
      <c r="K203" s="2083"/>
      <c r="L203" s="2106"/>
      <c r="N203" s="2071">
        <f t="shared" si="39"/>
        <v>187</v>
      </c>
      <c r="O203" s="2130">
        <f>IF(D202=D203,O202+0.00001,ROUNDDOWN(MAX($O$16:$O202),0)+1)</f>
        <v>1.8700000000000043E-3</v>
      </c>
      <c r="P203" s="2131">
        <f t="shared" si="31"/>
        <v>0</v>
      </c>
      <c r="Q203" s="2131">
        <f t="shared" si="32"/>
        <v>0</v>
      </c>
      <c r="R203" s="2131">
        <f t="shared" si="33"/>
        <v>0</v>
      </c>
      <c r="S203" s="2130">
        <f>IF(J202=J203,S202+0.00001,ROUNDDOWN(MAX($S$16:$S202),0)+1)</f>
        <v>2.0006700000000044</v>
      </c>
      <c r="T203" s="2131">
        <f t="shared" si="34"/>
        <v>0</v>
      </c>
      <c r="U203" s="2131">
        <f t="shared" si="35"/>
        <v>0</v>
      </c>
      <c r="V203" s="2071">
        <f t="shared" si="40"/>
        <v>187</v>
      </c>
    </row>
    <row r="204" spans="1:22" hidden="1">
      <c r="A204" s="2124">
        <f t="shared" si="41"/>
        <v>1</v>
      </c>
      <c r="B204" s="2073">
        <v>188</v>
      </c>
      <c r="C204" s="2104">
        <f t="shared" si="42"/>
        <v>0</v>
      </c>
      <c r="D204" s="2125">
        <f t="shared" si="30"/>
        <v>0.03</v>
      </c>
      <c r="E204" s="2104">
        <f t="shared" si="36"/>
        <v>0</v>
      </c>
      <c r="F204" s="2135"/>
      <c r="G204" s="2127">
        <f t="shared" si="43"/>
        <v>3</v>
      </c>
      <c r="H204" s="2075">
        <v>188</v>
      </c>
      <c r="I204" s="2104">
        <f t="shared" si="37"/>
        <v>0</v>
      </c>
      <c r="J204" s="2125">
        <f t="shared" si="38"/>
        <v>3.5000000000000003E-2</v>
      </c>
      <c r="K204" s="2083"/>
      <c r="L204" s="2106"/>
      <c r="N204" s="2071">
        <f t="shared" si="39"/>
        <v>188</v>
      </c>
      <c r="O204" s="2130">
        <f>IF(D203=D204,O203+0.00001,ROUNDDOWN(MAX($O$16:$O203),0)+1)</f>
        <v>1.8800000000000043E-3</v>
      </c>
      <c r="P204" s="2131">
        <f t="shared" si="31"/>
        <v>0</v>
      </c>
      <c r="Q204" s="2131">
        <f t="shared" si="32"/>
        <v>0</v>
      </c>
      <c r="R204" s="2131">
        <f t="shared" si="33"/>
        <v>0</v>
      </c>
      <c r="S204" s="2130">
        <f>IF(J203=J204,S203+0.00001,ROUNDDOWN(MAX($S$16:$S203),0)+1)</f>
        <v>2.0006800000000045</v>
      </c>
      <c r="T204" s="2131">
        <f t="shared" si="34"/>
        <v>0</v>
      </c>
      <c r="U204" s="2131">
        <f t="shared" si="35"/>
        <v>0</v>
      </c>
      <c r="V204" s="2071">
        <f t="shared" si="40"/>
        <v>188</v>
      </c>
    </row>
    <row r="205" spans="1:22" hidden="1">
      <c r="A205" s="2124">
        <f t="shared" si="41"/>
        <v>1</v>
      </c>
      <c r="B205" s="2073">
        <v>189</v>
      </c>
      <c r="C205" s="2104">
        <f t="shared" si="42"/>
        <v>0</v>
      </c>
      <c r="D205" s="2125">
        <f t="shared" si="30"/>
        <v>0.03</v>
      </c>
      <c r="E205" s="2104">
        <f t="shared" si="36"/>
        <v>0</v>
      </c>
      <c r="F205" s="2135"/>
      <c r="G205" s="2127">
        <f t="shared" si="43"/>
        <v>3</v>
      </c>
      <c r="H205" s="2075">
        <v>189</v>
      </c>
      <c r="I205" s="2104">
        <f t="shared" si="37"/>
        <v>0</v>
      </c>
      <c r="J205" s="2125">
        <f t="shared" si="38"/>
        <v>3.5000000000000003E-2</v>
      </c>
      <c r="K205" s="2083"/>
      <c r="L205" s="2106"/>
      <c r="N205" s="2071">
        <f t="shared" si="39"/>
        <v>189</v>
      </c>
      <c r="O205" s="2130">
        <f>IF(D204=D205,O204+0.00001,ROUNDDOWN(MAX($O$16:$O204),0)+1)</f>
        <v>1.8900000000000043E-3</v>
      </c>
      <c r="P205" s="2131">
        <f t="shared" si="31"/>
        <v>0</v>
      </c>
      <c r="Q205" s="2131">
        <f t="shared" si="32"/>
        <v>0</v>
      </c>
      <c r="R205" s="2131">
        <f t="shared" si="33"/>
        <v>0</v>
      </c>
      <c r="S205" s="2130">
        <f>IF(J204=J205,S204+0.00001,ROUNDDOWN(MAX($S$16:$S204),0)+1)</f>
        <v>2.0006900000000045</v>
      </c>
      <c r="T205" s="2131">
        <f t="shared" si="34"/>
        <v>0</v>
      </c>
      <c r="U205" s="2131">
        <f t="shared" si="35"/>
        <v>0</v>
      </c>
      <c r="V205" s="2071">
        <f t="shared" si="40"/>
        <v>189</v>
      </c>
    </row>
    <row r="206" spans="1:22" hidden="1">
      <c r="A206" s="2124">
        <f t="shared" si="41"/>
        <v>1</v>
      </c>
      <c r="B206" s="2073">
        <v>190</v>
      </c>
      <c r="C206" s="2104">
        <f t="shared" si="42"/>
        <v>0</v>
      </c>
      <c r="D206" s="2125">
        <f t="shared" si="30"/>
        <v>0.03</v>
      </c>
      <c r="E206" s="2104">
        <f t="shared" si="36"/>
        <v>0</v>
      </c>
      <c r="F206" s="2135"/>
      <c r="G206" s="2127">
        <f t="shared" si="43"/>
        <v>3</v>
      </c>
      <c r="H206" s="2075">
        <v>190</v>
      </c>
      <c r="I206" s="2104">
        <f t="shared" si="37"/>
        <v>0</v>
      </c>
      <c r="J206" s="2125">
        <f t="shared" si="38"/>
        <v>3.5000000000000003E-2</v>
      </c>
      <c r="K206" s="2083"/>
      <c r="L206" s="2106"/>
      <c r="N206" s="2071">
        <f t="shared" si="39"/>
        <v>190</v>
      </c>
      <c r="O206" s="2130">
        <f>IF(D205=D206,O205+0.00001,ROUNDDOWN(MAX($O$16:$O205),0)+1)</f>
        <v>1.9000000000000043E-3</v>
      </c>
      <c r="P206" s="2131">
        <f t="shared" si="31"/>
        <v>0</v>
      </c>
      <c r="Q206" s="2131">
        <f t="shared" si="32"/>
        <v>0</v>
      </c>
      <c r="R206" s="2131">
        <f t="shared" si="33"/>
        <v>0</v>
      </c>
      <c r="S206" s="2130">
        <f>IF(J205=J206,S205+0.00001,ROUNDDOWN(MAX($S$16:$S205),0)+1)</f>
        <v>2.0007000000000046</v>
      </c>
      <c r="T206" s="2131">
        <f t="shared" si="34"/>
        <v>0</v>
      </c>
      <c r="U206" s="2131">
        <f t="shared" si="35"/>
        <v>0</v>
      </c>
      <c r="V206" s="2071">
        <f t="shared" si="40"/>
        <v>190</v>
      </c>
    </row>
    <row r="207" spans="1:22" hidden="1">
      <c r="A207" s="2124">
        <f t="shared" si="41"/>
        <v>1</v>
      </c>
      <c r="B207" s="2073">
        <v>191</v>
      </c>
      <c r="C207" s="2104">
        <f t="shared" si="42"/>
        <v>0</v>
      </c>
      <c r="D207" s="2125">
        <f t="shared" si="30"/>
        <v>0.03</v>
      </c>
      <c r="E207" s="2104">
        <f t="shared" si="36"/>
        <v>0</v>
      </c>
      <c r="F207" s="2135"/>
      <c r="G207" s="2127">
        <f t="shared" si="43"/>
        <v>3</v>
      </c>
      <c r="H207" s="2075">
        <v>191</v>
      </c>
      <c r="I207" s="2104">
        <f t="shared" si="37"/>
        <v>0</v>
      </c>
      <c r="J207" s="2125">
        <f t="shared" si="38"/>
        <v>3.5000000000000003E-2</v>
      </c>
      <c r="K207" s="2083"/>
      <c r="L207" s="2106"/>
      <c r="N207" s="2071">
        <f t="shared" si="39"/>
        <v>191</v>
      </c>
      <c r="O207" s="2130">
        <f>IF(D206=D207,O206+0.00001,ROUNDDOWN(MAX($O$16:$O206),0)+1)</f>
        <v>1.9100000000000044E-3</v>
      </c>
      <c r="P207" s="2131">
        <f t="shared" si="31"/>
        <v>0</v>
      </c>
      <c r="Q207" s="2131">
        <f t="shared" si="32"/>
        <v>0</v>
      </c>
      <c r="R207" s="2131">
        <f t="shared" si="33"/>
        <v>0</v>
      </c>
      <c r="S207" s="2130">
        <f>IF(J206=J207,S206+0.00001,ROUNDDOWN(MAX($S$16:$S206),0)+1)</f>
        <v>2.0007100000000047</v>
      </c>
      <c r="T207" s="2131">
        <f t="shared" si="34"/>
        <v>0</v>
      </c>
      <c r="U207" s="2131">
        <f t="shared" si="35"/>
        <v>0</v>
      </c>
      <c r="V207" s="2071">
        <f t="shared" si="40"/>
        <v>191</v>
      </c>
    </row>
    <row r="208" spans="1:22" hidden="1">
      <c r="A208" s="2124">
        <f t="shared" si="41"/>
        <v>1</v>
      </c>
      <c r="B208" s="2073">
        <v>192</v>
      </c>
      <c r="C208" s="2104">
        <f t="shared" si="42"/>
        <v>0</v>
      </c>
      <c r="D208" s="2125">
        <f t="shared" si="30"/>
        <v>0.03</v>
      </c>
      <c r="E208" s="2104">
        <f t="shared" si="36"/>
        <v>0</v>
      </c>
      <c r="F208" s="2135"/>
      <c r="G208" s="2127">
        <f t="shared" si="43"/>
        <v>3</v>
      </c>
      <c r="H208" s="2075">
        <v>192</v>
      </c>
      <c r="I208" s="2104">
        <f t="shared" si="37"/>
        <v>0</v>
      </c>
      <c r="J208" s="2125">
        <f t="shared" si="38"/>
        <v>3.5000000000000003E-2</v>
      </c>
      <c r="K208" s="2083"/>
      <c r="L208" s="2106"/>
      <c r="N208" s="2071">
        <f t="shared" si="39"/>
        <v>192</v>
      </c>
      <c r="O208" s="2130">
        <f>IF(D207=D208,O207+0.00001,ROUNDDOWN(MAX($O$16:$O207),0)+1)</f>
        <v>1.9200000000000044E-3</v>
      </c>
      <c r="P208" s="2131">
        <f t="shared" si="31"/>
        <v>0</v>
      </c>
      <c r="Q208" s="2131">
        <f t="shared" si="32"/>
        <v>0</v>
      </c>
      <c r="R208" s="2131">
        <f t="shared" si="33"/>
        <v>0</v>
      </c>
      <c r="S208" s="2130">
        <f>IF(J207=J208,S207+0.00001,ROUNDDOWN(MAX($S$16:$S207),0)+1)</f>
        <v>2.0007200000000047</v>
      </c>
      <c r="T208" s="2131">
        <f t="shared" si="34"/>
        <v>0</v>
      </c>
      <c r="U208" s="2131">
        <f t="shared" si="35"/>
        <v>0</v>
      </c>
      <c r="V208" s="2071">
        <f t="shared" si="40"/>
        <v>192</v>
      </c>
    </row>
    <row r="209" spans="1:22" hidden="1">
      <c r="A209" s="2124">
        <f t="shared" si="41"/>
        <v>1</v>
      </c>
      <c r="B209" s="2073">
        <v>193</v>
      </c>
      <c r="C209" s="2104">
        <f t="shared" si="42"/>
        <v>0</v>
      </c>
      <c r="D209" s="2125">
        <f t="shared" ref="D209:D272" si="44">D208</f>
        <v>0.03</v>
      </c>
      <c r="E209" s="2104">
        <f t="shared" si="36"/>
        <v>0</v>
      </c>
      <c r="F209" s="2135"/>
      <c r="G209" s="2127">
        <f t="shared" si="43"/>
        <v>3</v>
      </c>
      <c r="H209" s="2075">
        <v>193</v>
      </c>
      <c r="I209" s="2104">
        <f t="shared" si="37"/>
        <v>0</v>
      </c>
      <c r="J209" s="2125">
        <f t="shared" si="38"/>
        <v>3.5000000000000003E-2</v>
      </c>
      <c r="K209" s="2083"/>
      <c r="L209" s="2106"/>
      <c r="N209" s="2071">
        <f t="shared" si="39"/>
        <v>193</v>
      </c>
      <c r="O209" s="2130">
        <f>IF(D208=D209,O208+0.00001,ROUNDDOWN(MAX($O$16:$O208),0)+1)</f>
        <v>1.9300000000000044E-3</v>
      </c>
      <c r="P209" s="2131">
        <f t="shared" ref="P209:P272" si="45">IF($B209&gt;IF(N($C$7)=0,$C$4*$C$5,$C$7),0,IF(B209=IF(N($C$7)=0,$C$4*$C$5,$C$7),-$R208*(1+$C$11/$C$5),ROUND(PMT($C$11/$C$5,$C$4*$C$5,$C$3),2)))</f>
        <v>0</v>
      </c>
      <c r="Q209" s="2131">
        <f t="shared" ref="Q209:Q272" si="46">C209-P209</f>
        <v>0</v>
      </c>
      <c r="R209" s="2131">
        <f t="shared" ref="R209:R272" si="47">R208*(1+$C$11/$C$5)+P209</f>
        <v>0</v>
      </c>
      <c r="S209" s="2130">
        <f>IF(J208=J209,S208+0.00001,ROUNDDOWN(MAX($S$16:$S208),0)+1)</f>
        <v>2.0007300000000048</v>
      </c>
      <c r="T209" s="2131">
        <f t="shared" ref="T209:T272" si="48">IF(I$4*I$5=H209,-I$3*(1+$I$11/I$5),IF(I$4*I$5&lt;H209,0,-I$3*$I$11/I$5))</f>
        <v>0</v>
      </c>
      <c r="U209" s="2131">
        <f t="shared" ref="U209:U272" si="49">I209-T209</f>
        <v>0</v>
      </c>
      <c r="V209" s="2071">
        <f t="shared" si="40"/>
        <v>193</v>
      </c>
    </row>
    <row r="210" spans="1:22" hidden="1">
      <c r="A210" s="2124">
        <f t="shared" si="41"/>
        <v>1</v>
      </c>
      <c r="B210" s="2073">
        <v>194</v>
      </c>
      <c r="C210" s="2104">
        <f t="shared" si="42"/>
        <v>0</v>
      </c>
      <c r="D210" s="2125">
        <f t="shared" si="44"/>
        <v>0.03</v>
      </c>
      <c r="E210" s="2104">
        <f t="shared" ref="E210:E273" si="50">E209*(1+D209/C$5)+C210</f>
        <v>0</v>
      </c>
      <c r="F210" s="2135"/>
      <c r="G210" s="2127">
        <f t="shared" si="43"/>
        <v>3</v>
      </c>
      <c r="H210" s="2075">
        <v>194</v>
      </c>
      <c r="I210" s="2104">
        <f t="shared" ref="I210:I273" si="51">IF(I$4*I$5=H210,-I$3*(1+J209/I$5),IF(I$4*I$5&lt;H210,0,-I$3*J209/I$5))</f>
        <v>0</v>
      </c>
      <c r="J210" s="2125">
        <f t="shared" ref="J210:J273" si="52">J209</f>
        <v>3.5000000000000003E-2</v>
      </c>
      <c r="K210" s="2083"/>
      <c r="L210" s="2106"/>
      <c r="N210" s="2071">
        <f t="shared" ref="N210:N273" si="53">B210</f>
        <v>194</v>
      </c>
      <c r="O210" s="2130">
        <f>IF(D209=D210,O209+0.00001,ROUNDDOWN(MAX($O$16:$O209),0)+1)</f>
        <v>1.9400000000000044E-3</v>
      </c>
      <c r="P210" s="2131">
        <f t="shared" si="45"/>
        <v>0</v>
      </c>
      <c r="Q210" s="2131">
        <f t="shared" si="46"/>
        <v>0</v>
      </c>
      <c r="R210" s="2131">
        <f t="shared" si="47"/>
        <v>0</v>
      </c>
      <c r="S210" s="2130">
        <f>IF(J209=J210,S209+0.00001,ROUNDDOWN(MAX($S$16:$S209),0)+1)</f>
        <v>2.0007400000000048</v>
      </c>
      <c r="T210" s="2131">
        <f t="shared" si="48"/>
        <v>0</v>
      </c>
      <c r="U210" s="2131">
        <f t="shared" si="49"/>
        <v>0</v>
      </c>
      <c r="V210" s="2071">
        <f t="shared" ref="V210:V273" si="54">H210</f>
        <v>194</v>
      </c>
    </row>
    <row r="211" spans="1:22" hidden="1">
      <c r="A211" s="2124">
        <f t="shared" ref="A211:A274" si="55">ROUND(A210+IF(D211&lt;&gt;D210,1,0),0)</f>
        <v>1</v>
      </c>
      <c r="B211" s="2073">
        <v>195</v>
      </c>
      <c r="C211" s="2104">
        <f t="shared" ref="C211:C274" si="56">IF(B211&gt;IF(N(C$7)=0,C$4*C$5,C$7),0,IF(B211=IF(N(C$7)=0,C$4*C$5,C$7),-E210*(1+D210/C$5),IF(D210=D209,C210,ROUND(PMT(D210/C$5,C$4*C$5-B210,E210),2))))</f>
        <v>0</v>
      </c>
      <c r="D211" s="2125">
        <f t="shared" si="44"/>
        <v>0.03</v>
      </c>
      <c r="E211" s="2104">
        <f t="shared" si="50"/>
        <v>0</v>
      </c>
      <c r="F211" s="2135"/>
      <c r="G211" s="2127">
        <f t="shared" ref="G211:G274" si="57">ROUND(G210+IF(J211&lt;&gt;J210,1,0),0)</f>
        <v>3</v>
      </c>
      <c r="H211" s="2075">
        <v>195</v>
      </c>
      <c r="I211" s="2104">
        <f t="shared" si="51"/>
        <v>0</v>
      </c>
      <c r="J211" s="2125">
        <f t="shared" si="52"/>
        <v>3.5000000000000003E-2</v>
      </c>
      <c r="K211" s="2083"/>
      <c r="L211" s="2106"/>
      <c r="N211" s="2071">
        <f t="shared" si="53"/>
        <v>195</v>
      </c>
      <c r="O211" s="2130">
        <f>IF(D210=D211,O210+0.00001,ROUNDDOWN(MAX($O$16:$O210),0)+1)</f>
        <v>1.9500000000000045E-3</v>
      </c>
      <c r="P211" s="2131">
        <f t="shared" si="45"/>
        <v>0</v>
      </c>
      <c r="Q211" s="2131">
        <f t="shared" si="46"/>
        <v>0</v>
      </c>
      <c r="R211" s="2131">
        <f t="shared" si="47"/>
        <v>0</v>
      </c>
      <c r="S211" s="2130">
        <f>IF(J210=J211,S210+0.00001,ROUNDDOWN(MAX($S$16:$S210),0)+1)</f>
        <v>2.0007500000000049</v>
      </c>
      <c r="T211" s="2131">
        <f t="shared" si="48"/>
        <v>0</v>
      </c>
      <c r="U211" s="2131">
        <f t="shared" si="49"/>
        <v>0</v>
      </c>
      <c r="V211" s="2071">
        <f t="shared" si="54"/>
        <v>195</v>
      </c>
    </row>
    <row r="212" spans="1:22" hidden="1">
      <c r="A212" s="2124">
        <f t="shared" si="55"/>
        <v>1</v>
      </c>
      <c r="B212" s="2073">
        <v>196</v>
      </c>
      <c r="C212" s="2104">
        <f t="shared" si="56"/>
        <v>0</v>
      </c>
      <c r="D212" s="2125">
        <f t="shared" si="44"/>
        <v>0.03</v>
      </c>
      <c r="E212" s="2104">
        <f t="shared" si="50"/>
        <v>0</v>
      </c>
      <c r="F212" s="2135"/>
      <c r="G212" s="2127">
        <f t="shared" si="57"/>
        <v>3</v>
      </c>
      <c r="H212" s="2075">
        <v>196</v>
      </c>
      <c r="I212" s="2104">
        <f t="shared" si="51"/>
        <v>0</v>
      </c>
      <c r="J212" s="2125">
        <f t="shared" si="52"/>
        <v>3.5000000000000003E-2</v>
      </c>
      <c r="K212" s="2083"/>
      <c r="L212" s="2106"/>
      <c r="N212" s="2071">
        <f t="shared" si="53"/>
        <v>196</v>
      </c>
      <c r="O212" s="2130">
        <f>IF(D211=D212,O211+0.00001,ROUNDDOWN(MAX($O$16:$O211),0)+1)</f>
        <v>1.9600000000000043E-3</v>
      </c>
      <c r="P212" s="2131">
        <f t="shared" si="45"/>
        <v>0</v>
      </c>
      <c r="Q212" s="2131">
        <f t="shared" si="46"/>
        <v>0</v>
      </c>
      <c r="R212" s="2131">
        <f t="shared" si="47"/>
        <v>0</v>
      </c>
      <c r="S212" s="2130">
        <f>IF(J211=J212,S211+0.00001,ROUNDDOWN(MAX($S$16:$S211),0)+1)</f>
        <v>2.000760000000005</v>
      </c>
      <c r="T212" s="2131">
        <f t="shared" si="48"/>
        <v>0</v>
      </c>
      <c r="U212" s="2131">
        <f t="shared" si="49"/>
        <v>0</v>
      </c>
      <c r="V212" s="2071">
        <f t="shared" si="54"/>
        <v>196</v>
      </c>
    </row>
    <row r="213" spans="1:22" hidden="1">
      <c r="A213" s="2124">
        <f t="shared" si="55"/>
        <v>1</v>
      </c>
      <c r="B213" s="2073">
        <v>197</v>
      </c>
      <c r="C213" s="2104">
        <f t="shared" si="56"/>
        <v>0</v>
      </c>
      <c r="D213" s="2125">
        <f t="shared" si="44"/>
        <v>0.03</v>
      </c>
      <c r="E213" s="2104">
        <f t="shared" si="50"/>
        <v>0</v>
      </c>
      <c r="F213" s="2135"/>
      <c r="G213" s="2127">
        <f t="shared" si="57"/>
        <v>3</v>
      </c>
      <c r="H213" s="2075">
        <v>197</v>
      </c>
      <c r="I213" s="2104">
        <f t="shared" si="51"/>
        <v>0</v>
      </c>
      <c r="J213" s="2125">
        <f t="shared" si="52"/>
        <v>3.5000000000000003E-2</v>
      </c>
      <c r="K213" s="2083"/>
      <c r="L213" s="2106"/>
      <c r="N213" s="2071">
        <f t="shared" si="53"/>
        <v>197</v>
      </c>
      <c r="O213" s="2130">
        <f>IF(D212=D213,O212+0.00001,ROUNDDOWN(MAX($O$16:$O212),0)+1)</f>
        <v>1.9700000000000043E-3</v>
      </c>
      <c r="P213" s="2131">
        <f t="shared" si="45"/>
        <v>0</v>
      </c>
      <c r="Q213" s="2131">
        <f t="shared" si="46"/>
        <v>0</v>
      </c>
      <c r="R213" s="2131">
        <f t="shared" si="47"/>
        <v>0</v>
      </c>
      <c r="S213" s="2130">
        <f>IF(J212=J213,S212+0.00001,ROUNDDOWN(MAX($S$16:$S212),0)+1)</f>
        <v>2.000770000000005</v>
      </c>
      <c r="T213" s="2131">
        <f t="shared" si="48"/>
        <v>0</v>
      </c>
      <c r="U213" s="2131">
        <f t="shared" si="49"/>
        <v>0</v>
      </c>
      <c r="V213" s="2071">
        <f t="shared" si="54"/>
        <v>197</v>
      </c>
    </row>
    <row r="214" spans="1:22" hidden="1">
      <c r="A214" s="2124">
        <f t="shared" si="55"/>
        <v>1</v>
      </c>
      <c r="B214" s="2073">
        <v>198</v>
      </c>
      <c r="C214" s="2104">
        <f t="shared" si="56"/>
        <v>0</v>
      </c>
      <c r="D214" s="2125">
        <f t="shared" si="44"/>
        <v>0.03</v>
      </c>
      <c r="E214" s="2104">
        <f t="shared" si="50"/>
        <v>0</v>
      </c>
      <c r="F214" s="2135"/>
      <c r="G214" s="2127">
        <f t="shared" si="57"/>
        <v>3</v>
      </c>
      <c r="H214" s="2075">
        <v>198</v>
      </c>
      <c r="I214" s="2104">
        <f t="shared" si="51"/>
        <v>0</v>
      </c>
      <c r="J214" s="2125">
        <f t="shared" si="52"/>
        <v>3.5000000000000003E-2</v>
      </c>
      <c r="K214" s="2083"/>
      <c r="L214" s="2106"/>
      <c r="N214" s="2071">
        <f t="shared" si="53"/>
        <v>198</v>
      </c>
      <c r="O214" s="2130">
        <f>IF(D213=D214,O213+0.00001,ROUNDDOWN(MAX($O$16:$O213),0)+1)</f>
        <v>1.9800000000000043E-3</v>
      </c>
      <c r="P214" s="2131">
        <f t="shared" si="45"/>
        <v>0</v>
      </c>
      <c r="Q214" s="2131">
        <f t="shared" si="46"/>
        <v>0</v>
      </c>
      <c r="R214" s="2131">
        <f t="shared" si="47"/>
        <v>0</v>
      </c>
      <c r="S214" s="2130">
        <f>IF(J213=J214,S213+0.00001,ROUNDDOWN(MAX($S$16:$S213),0)+1)</f>
        <v>2.0007800000000051</v>
      </c>
      <c r="T214" s="2131">
        <f t="shared" si="48"/>
        <v>0</v>
      </c>
      <c r="U214" s="2131">
        <f t="shared" si="49"/>
        <v>0</v>
      </c>
      <c r="V214" s="2071">
        <f t="shared" si="54"/>
        <v>198</v>
      </c>
    </row>
    <row r="215" spans="1:22" hidden="1">
      <c r="A215" s="2124">
        <f t="shared" si="55"/>
        <v>1</v>
      </c>
      <c r="B215" s="2073">
        <v>199</v>
      </c>
      <c r="C215" s="2104">
        <f t="shared" si="56"/>
        <v>0</v>
      </c>
      <c r="D215" s="2125">
        <f t="shared" si="44"/>
        <v>0.03</v>
      </c>
      <c r="E215" s="2104">
        <f t="shared" si="50"/>
        <v>0</v>
      </c>
      <c r="F215" s="2135"/>
      <c r="G215" s="2127">
        <f t="shared" si="57"/>
        <v>3</v>
      </c>
      <c r="H215" s="2075">
        <v>199</v>
      </c>
      <c r="I215" s="2104">
        <f t="shared" si="51"/>
        <v>0</v>
      </c>
      <c r="J215" s="2125">
        <f t="shared" si="52"/>
        <v>3.5000000000000003E-2</v>
      </c>
      <c r="K215" s="2083"/>
      <c r="L215" s="2106"/>
      <c r="N215" s="2071">
        <f t="shared" si="53"/>
        <v>199</v>
      </c>
      <c r="O215" s="2130">
        <f>IF(D214=D215,O214+0.00001,ROUNDDOWN(MAX($O$16:$O214),0)+1)</f>
        <v>1.9900000000000044E-3</v>
      </c>
      <c r="P215" s="2131">
        <f t="shared" si="45"/>
        <v>0</v>
      </c>
      <c r="Q215" s="2131">
        <f t="shared" si="46"/>
        <v>0</v>
      </c>
      <c r="R215" s="2131">
        <f t="shared" si="47"/>
        <v>0</v>
      </c>
      <c r="S215" s="2130">
        <f>IF(J214=J215,S214+0.00001,ROUNDDOWN(MAX($S$16:$S214),0)+1)</f>
        <v>2.0007900000000052</v>
      </c>
      <c r="T215" s="2131">
        <f t="shared" si="48"/>
        <v>0</v>
      </c>
      <c r="U215" s="2131">
        <f t="shared" si="49"/>
        <v>0</v>
      </c>
      <c r="V215" s="2071">
        <f t="shared" si="54"/>
        <v>199</v>
      </c>
    </row>
    <row r="216" spans="1:22" hidden="1">
      <c r="A216" s="2124">
        <f t="shared" si="55"/>
        <v>1</v>
      </c>
      <c r="B216" s="2073">
        <v>200</v>
      </c>
      <c r="C216" s="2104">
        <f t="shared" si="56"/>
        <v>0</v>
      </c>
      <c r="D216" s="2125">
        <f t="shared" si="44"/>
        <v>0.03</v>
      </c>
      <c r="E216" s="2104">
        <f t="shared" si="50"/>
        <v>0</v>
      </c>
      <c r="F216" s="2135"/>
      <c r="G216" s="2127">
        <f t="shared" si="57"/>
        <v>3</v>
      </c>
      <c r="H216" s="2075">
        <v>200</v>
      </c>
      <c r="I216" s="2104">
        <f t="shared" si="51"/>
        <v>0</v>
      </c>
      <c r="J216" s="2125">
        <f t="shared" si="52"/>
        <v>3.5000000000000003E-2</v>
      </c>
      <c r="K216" s="2083"/>
      <c r="L216" s="2106"/>
      <c r="N216" s="2071">
        <f t="shared" si="53"/>
        <v>200</v>
      </c>
      <c r="O216" s="2130">
        <f>IF(D215=D216,O215+0.00001,ROUNDDOWN(MAX($O$16:$O215),0)+1)</f>
        <v>2.0000000000000044E-3</v>
      </c>
      <c r="P216" s="2131">
        <f t="shared" si="45"/>
        <v>0</v>
      </c>
      <c r="Q216" s="2131">
        <f t="shared" si="46"/>
        <v>0</v>
      </c>
      <c r="R216" s="2131">
        <f t="shared" si="47"/>
        <v>0</v>
      </c>
      <c r="S216" s="2130">
        <f>IF(J215=J216,S215+0.00001,ROUNDDOWN(MAX($S$16:$S215),0)+1)</f>
        <v>2.0008000000000052</v>
      </c>
      <c r="T216" s="2131">
        <f t="shared" si="48"/>
        <v>0</v>
      </c>
      <c r="U216" s="2131">
        <f t="shared" si="49"/>
        <v>0</v>
      </c>
      <c r="V216" s="2071">
        <f t="shared" si="54"/>
        <v>200</v>
      </c>
    </row>
    <row r="217" spans="1:22" hidden="1">
      <c r="A217" s="2124">
        <f t="shared" si="55"/>
        <v>1</v>
      </c>
      <c r="B217" s="2073">
        <v>201</v>
      </c>
      <c r="C217" s="2104">
        <f t="shared" si="56"/>
        <v>0</v>
      </c>
      <c r="D217" s="2125">
        <f t="shared" si="44"/>
        <v>0.03</v>
      </c>
      <c r="E217" s="2104">
        <f t="shared" si="50"/>
        <v>0</v>
      </c>
      <c r="F217" s="2135"/>
      <c r="G217" s="2127">
        <f t="shared" si="57"/>
        <v>3</v>
      </c>
      <c r="H217" s="2075">
        <v>201</v>
      </c>
      <c r="I217" s="2104">
        <f t="shared" si="51"/>
        <v>0</v>
      </c>
      <c r="J217" s="2125">
        <f t="shared" si="52"/>
        <v>3.5000000000000003E-2</v>
      </c>
      <c r="K217" s="2083"/>
      <c r="L217" s="2106"/>
      <c r="N217" s="2071">
        <f t="shared" si="53"/>
        <v>201</v>
      </c>
      <c r="O217" s="2130">
        <f>IF(D216=D217,O216+0.00001,ROUNDDOWN(MAX($O$16:$O216),0)+1)</f>
        <v>2.0100000000000044E-3</v>
      </c>
      <c r="P217" s="2131">
        <f t="shared" si="45"/>
        <v>0</v>
      </c>
      <c r="Q217" s="2131">
        <f t="shared" si="46"/>
        <v>0</v>
      </c>
      <c r="R217" s="2131">
        <f t="shared" si="47"/>
        <v>0</v>
      </c>
      <c r="S217" s="2130">
        <f>IF(J216=J217,S216+0.00001,ROUNDDOWN(MAX($S$16:$S216),0)+1)</f>
        <v>2.0008100000000053</v>
      </c>
      <c r="T217" s="2131">
        <f t="shared" si="48"/>
        <v>0</v>
      </c>
      <c r="U217" s="2131">
        <f t="shared" si="49"/>
        <v>0</v>
      </c>
      <c r="V217" s="2071">
        <f t="shared" si="54"/>
        <v>201</v>
      </c>
    </row>
    <row r="218" spans="1:22" hidden="1">
      <c r="A218" s="2124">
        <f t="shared" si="55"/>
        <v>1</v>
      </c>
      <c r="B218" s="2073">
        <v>202</v>
      </c>
      <c r="C218" s="2104">
        <f t="shared" si="56"/>
        <v>0</v>
      </c>
      <c r="D218" s="2125">
        <f t="shared" si="44"/>
        <v>0.03</v>
      </c>
      <c r="E218" s="2104">
        <f t="shared" si="50"/>
        <v>0</v>
      </c>
      <c r="F218" s="2135"/>
      <c r="G218" s="2127">
        <f t="shared" si="57"/>
        <v>3</v>
      </c>
      <c r="H218" s="2075">
        <v>202</v>
      </c>
      <c r="I218" s="2104">
        <f t="shared" si="51"/>
        <v>0</v>
      </c>
      <c r="J218" s="2125">
        <f t="shared" si="52"/>
        <v>3.5000000000000003E-2</v>
      </c>
      <c r="K218" s="2083"/>
      <c r="L218" s="2106"/>
      <c r="N218" s="2071">
        <f t="shared" si="53"/>
        <v>202</v>
      </c>
      <c r="O218" s="2130">
        <f>IF(D217=D218,O217+0.00001,ROUNDDOWN(MAX($O$16:$O217),0)+1)</f>
        <v>2.0200000000000044E-3</v>
      </c>
      <c r="P218" s="2131">
        <f t="shared" si="45"/>
        <v>0</v>
      </c>
      <c r="Q218" s="2131">
        <f t="shared" si="46"/>
        <v>0</v>
      </c>
      <c r="R218" s="2131">
        <f t="shared" si="47"/>
        <v>0</v>
      </c>
      <c r="S218" s="2130">
        <f>IF(J217=J218,S217+0.00001,ROUNDDOWN(MAX($S$16:$S217),0)+1)</f>
        <v>2.0008200000000054</v>
      </c>
      <c r="T218" s="2131">
        <f t="shared" si="48"/>
        <v>0</v>
      </c>
      <c r="U218" s="2131">
        <f t="shared" si="49"/>
        <v>0</v>
      </c>
      <c r="V218" s="2071">
        <f t="shared" si="54"/>
        <v>202</v>
      </c>
    </row>
    <row r="219" spans="1:22" hidden="1">
      <c r="A219" s="2124">
        <f t="shared" si="55"/>
        <v>1</v>
      </c>
      <c r="B219" s="2073">
        <v>203</v>
      </c>
      <c r="C219" s="2104">
        <f t="shared" si="56"/>
        <v>0</v>
      </c>
      <c r="D219" s="2125">
        <f t="shared" si="44"/>
        <v>0.03</v>
      </c>
      <c r="E219" s="2104">
        <f t="shared" si="50"/>
        <v>0</v>
      </c>
      <c r="F219" s="2135"/>
      <c r="G219" s="2127">
        <f t="shared" si="57"/>
        <v>3</v>
      </c>
      <c r="H219" s="2075">
        <v>203</v>
      </c>
      <c r="I219" s="2104">
        <f t="shared" si="51"/>
        <v>0</v>
      </c>
      <c r="J219" s="2125">
        <f t="shared" si="52"/>
        <v>3.5000000000000003E-2</v>
      </c>
      <c r="K219" s="2083"/>
      <c r="L219" s="2106"/>
      <c r="N219" s="2071">
        <f t="shared" si="53"/>
        <v>203</v>
      </c>
      <c r="O219" s="2130">
        <f>IF(D218=D219,O218+0.00001,ROUNDDOWN(MAX($O$16:$O218),0)+1)</f>
        <v>2.0300000000000045E-3</v>
      </c>
      <c r="P219" s="2131">
        <f t="shared" si="45"/>
        <v>0</v>
      </c>
      <c r="Q219" s="2131">
        <f t="shared" si="46"/>
        <v>0</v>
      </c>
      <c r="R219" s="2131">
        <f t="shared" si="47"/>
        <v>0</v>
      </c>
      <c r="S219" s="2130">
        <f>IF(J218=J219,S218+0.00001,ROUNDDOWN(MAX($S$16:$S218),0)+1)</f>
        <v>2.0008300000000054</v>
      </c>
      <c r="T219" s="2131">
        <f t="shared" si="48"/>
        <v>0</v>
      </c>
      <c r="U219" s="2131">
        <f t="shared" si="49"/>
        <v>0</v>
      </c>
      <c r="V219" s="2071">
        <f t="shared" si="54"/>
        <v>203</v>
      </c>
    </row>
    <row r="220" spans="1:22" hidden="1">
      <c r="A220" s="2124">
        <f t="shared" si="55"/>
        <v>1</v>
      </c>
      <c r="B220" s="2073">
        <v>204</v>
      </c>
      <c r="C220" s="2104">
        <f t="shared" si="56"/>
        <v>0</v>
      </c>
      <c r="D220" s="2125">
        <f t="shared" si="44"/>
        <v>0.03</v>
      </c>
      <c r="E220" s="2104">
        <f t="shared" si="50"/>
        <v>0</v>
      </c>
      <c r="F220" s="2135"/>
      <c r="G220" s="2127">
        <f t="shared" si="57"/>
        <v>3</v>
      </c>
      <c r="H220" s="2075">
        <v>204</v>
      </c>
      <c r="I220" s="2104">
        <f t="shared" si="51"/>
        <v>0</v>
      </c>
      <c r="J220" s="2125">
        <f t="shared" si="52"/>
        <v>3.5000000000000003E-2</v>
      </c>
      <c r="K220" s="2083"/>
      <c r="L220" s="2106"/>
      <c r="N220" s="2071">
        <f t="shared" si="53"/>
        <v>204</v>
      </c>
      <c r="O220" s="2130">
        <f>IF(D219=D220,O219+0.00001,ROUNDDOWN(MAX($O$16:$O219),0)+1)</f>
        <v>2.0400000000000045E-3</v>
      </c>
      <c r="P220" s="2131">
        <f t="shared" si="45"/>
        <v>0</v>
      </c>
      <c r="Q220" s="2131">
        <f t="shared" si="46"/>
        <v>0</v>
      </c>
      <c r="R220" s="2131">
        <f t="shared" si="47"/>
        <v>0</v>
      </c>
      <c r="S220" s="2130">
        <f>IF(J219=J220,S219+0.00001,ROUNDDOWN(MAX($S$16:$S219),0)+1)</f>
        <v>2.0008400000000055</v>
      </c>
      <c r="T220" s="2131">
        <f t="shared" si="48"/>
        <v>0</v>
      </c>
      <c r="U220" s="2131">
        <f t="shared" si="49"/>
        <v>0</v>
      </c>
      <c r="V220" s="2071">
        <f t="shared" si="54"/>
        <v>204</v>
      </c>
    </row>
    <row r="221" spans="1:22" hidden="1">
      <c r="A221" s="2124">
        <f t="shared" si="55"/>
        <v>1</v>
      </c>
      <c r="B221" s="2073">
        <v>205</v>
      </c>
      <c r="C221" s="2104">
        <f t="shared" si="56"/>
        <v>0</v>
      </c>
      <c r="D221" s="2125">
        <f t="shared" si="44"/>
        <v>0.03</v>
      </c>
      <c r="E221" s="2104">
        <f t="shared" si="50"/>
        <v>0</v>
      </c>
      <c r="F221" s="2135"/>
      <c r="G221" s="2127">
        <f t="shared" si="57"/>
        <v>3</v>
      </c>
      <c r="H221" s="2075">
        <v>205</v>
      </c>
      <c r="I221" s="2104">
        <f t="shared" si="51"/>
        <v>0</v>
      </c>
      <c r="J221" s="2125">
        <f t="shared" si="52"/>
        <v>3.5000000000000003E-2</v>
      </c>
      <c r="K221" s="2083"/>
      <c r="L221" s="2106"/>
      <c r="N221" s="2071">
        <f t="shared" si="53"/>
        <v>205</v>
      </c>
      <c r="O221" s="2130">
        <f>IF(D220=D221,O220+0.00001,ROUNDDOWN(MAX($O$16:$O220),0)+1)</f>
        <v>2.0500000000000045E-3</v>
      </c>
      <c r="P221" s="2131">
        <f t="shared" si="45"/>
        <v>0</v>
      </c>
      <c r="Q221" s="2131">
        <f t="shared" si="46"/>
        <v>0</v>
      </c>
      <c r="R221" s="2131">
        <f t="shared" si="47"/>
        <v>0</v>
      </c>
      <c r="S221" s="2130">
        <f>IF(J220=J221,S220+0.00001,ROUNDDOWN(MAX($S$16:$S220),0)+1)</f>
        <v>2.0008500000000056</v>
      </c>
      <c r="T221" s="2131">
        <f t="shared" si="48"/>
        <v>0</v>
      </c>
      <c r="U221" s="2131">
        <f t="shared" si="49"/>
        <v>0</v>
      </c>
      <c r="V221" s="2071">
        <f t="shared" si="54"/>
        <v>205</v>
      </c>
    </row>
    <row r="222" spans="1:22" hidden="1">
      <c r="A222" s="2124">
        <f t="shared" si="55"/>
        <v>1</v>
      </c>
      <c r="B222" s="2073">
        <v>206</v>
      </c>
      <c r="C222" s="2104">
        <f t="shared" si="56"/>
        <v>0</v>
      </c>
      <c r="D222" s="2125">
        <f t="shared" si="44"/>
        <v>0.03</v>
      </c>
      <c r="E222" s="2104">
        <f t="shared" si="50"/>
        <v>0</v>
      </c>
      <c r="F222" s="2135"/>
      <c r="G222" s="2127">
        <f t="shared" si="57"/>
        <v>3</v>
      </c>
      <c r="H222" s="2075">
        <v>206</v>
      </c>
      <c r="I222" s="2104">
        <f t="shared" si="51"/>
        <v>0</v>
      </c>
      <c r="J222" s="2125">
        <f t="shared" si="52"/>
        <v>3.5000000000000003E-2</v>
      </c>
      <c r="K222" s="2083"/>
      <c r="L222" s="2106"/>
      <c r="N222" s="2071">
        <f t="shared" si="53"/>
        <v>206</v>
      </c>
      <c r="O222" s="2130">
        <f>IF(D221=D222,O221+0.00001,ROUNDDOWN(MAX($O$16:$O221),0)+1)</f>
        <v>2.0600000000000045E-3</v>
      </c>
      <c r="P222" s="2131">
        <f t="shared" si="45"/>
        <v>0</v>
      </c>
      <c r="Q222" s="2131">
        <f t="shared" si="46"/>
        <v>0</v>
      </c>
      <c r="R222" s="2131">
        <f t="shared" si="47"/>
        <v>0</v>
      </c>
      <c r="S222" s="2130">
        <f>IF(J221=J222,S221+0.00001,ROUNDDOWN(MAX($S$16:$S221),0)+1)</f>
        <v>2.0008600000000056</v>
      </c>
      <c r="T222" s="2131">
        <f t="shared" si="48"/>
        <v>0</v>
      </c>
      <c r="U222" s="2131">
        <f t="shared" si="49"/>
        <v>0</v>
      </c>
      <c r="V222" s="2071">
        <f t="shared" si="54"/>
        <v>206</v>
      </c>
    </row>
    <row r="223" spans="1:22" hidden="1">
      <c r="A223" s="2124">
        <f t="shared" si="55"/>
        <v>1</v>
      </c>
      <c r="B223" s="2073">
        <v>207</v>
      </c>
      <c r="C223" s="2104">
        <f t="shared" si="56"/>
        <v>0</v>
      </c>
      <c r="D223" s="2125">
        <f t="shared" si="44"/>
        <v>0.03</v>
      </c>
      <c r="E223" s="2104">
        <f t="shared" si="50"/>
        <v>0</v>
      </c>
      <c r="F223" s="2135"/>
      <c r="G223" s="2127">
        <f t="shared" si="57"/>
        <v>3</v>
      </c>
      <c r="H223" s="2075">
        <v>207</v>
      </c>
      <c r="I223" s="2104">
        <f t="shared" si="51"/>
        <v>0</v>
      </c>
      <c r="J223" s="2125">
        <f t="shared" si="52"/>
        <v>3.5000000000000003E-2</v>
      </c>
      <c r="K223" s="2083"/>
      <c r="L223" s="2106"/>
      <c r="N223" s="2071">
        <f t="shared" si="53"/>
        <v>207</v>
      </c>
      <c r="O223" s="2130">
        <f>IF(D222=D223,O222+0.00001,ROUNDDOWN(MAX($O$16:$O222),0)+1)</f>
        <v>2.0700000000000046E-3</v>
      </c>
      <c r="P223" s="2131">
        <f t="shared" si="45"/>
        <v>0</v>
      </c>
      <c r="Q223" s="2131">
        <f t="shared" si="46"/>
        <v>0</v>
      </c>
      <c r="R223" s="2131">
        <f t="shared" si="47"/>
        <v>0</v>
      </c>
      <c r="S223" s="2130">
        <f>IF(J222=J223,S222+0.00001,ROUNDDOWN(MAX($S$16:$S222),0)+1)</f>
        <v>2.0008700000000057</v>
      </c>
      <c r="T223" s="2131">
        <f t="shared" si="48"/>
        <v>0</v>
      </c>
      <c r="U223" s="2131">
        <f t="shared" si="49"/>
        <v>0</v>
      </c>
      <c r="V223" s="2071">
        <f t="shared" si="54"/>
        <v>207</v>
      </c>
    </row>
    <row r="224" spans="1:22" hidden="1">
      <c r="A224" s="2124">
        <f t="shared" si="55"/>
        <v>1</v>
      </c>
      <c r="B224" s="2073">
        <v>208</v>
      </c>
      <c r="C224" s="2104">
        <f t="shared" si="56"/>
        <v>0</v>
      </c>
      <c r="D224" s="2125">
        <f t="shared" si="44"/>
        <v>0.03</v>
      </c>
      <c r="E224" s="2104">
        <f t="shared" si="50"/>
        <v>0</v>
      </c>
      <c r="F224" s="2135"/>
      <c r="G224" s="2127">
        <f t="shared" si="57"/>
        <v>3</v>
      </c>
      <c r="H224" s="2075">
        <v>208</v>
      </c>
      <c r="I224" s="2104">
        <f t="shared" si="51"/>
        <v>0</v>
      </c>
      <c r="J224" s="2125">
        <f t="shared" si="52"/>
        <v>3.5000000000000003E-2</v>
      </c>
      <c r="K224" s="2083"/>
      <c r="L224" s="2106"/>
      <c r="N224" s="2071">
        <f t="shared" si="53"/>
        <v>208</v>
      </c>
      <c r="O224" s="2130">
        <f>IF(D223=D224,O223+0.00001,ROUNDDOWN(MAX($O$16:$O223),0)+1)</f>
        <v>2.0800000000000046E-3</v>
      </c>
      <c r="P224" s="2131">
        <f t="shared" si="45"/>
        <v>0</v>
      </c>
      <c r="Q224" s="2131">
        <f t="shared" si="46"/>
        <v>0</v>
      </c>
      <c r="R224" s="2131">
        <f t="shared" si="47"/>
        <v>0</v>
      </c>
      <c r="S224" s="2130">
        <f>IF(J223=J224,S223+0.00001,ROUNDDOWN(MAX($S$16:$S223),0)+1)</f>
        <v>2.0008800000000058</v>
      </c>
      <c r="T224" s="2131">
        <f t="shared" si="48"/>
        <v>0</v>
      </c>
      <c r="U224" s="2131">
        <f t="shared" si="49"/>
        <v>0</v>
      </c>
      <c r="V224" s="2071">
        <f t="shared" si="54"/>
        <v>208</v>
      </c>
    </row>
    <row r="225" spans="1:22" hidden="1">
      <c r="A225" s="2124">
        <f t="shared" si="55"/>
        <v>1</v>
      </c>
      <c r="B225" s="2073">
        <v>209</v>
      </c>
      <c r="C225" s="2104">
        <f t="shared" si="56"/>
        <v>0</v>
      </c>
      <c r="D225" s="2125">
        <f t="shared" si="44"/>
        <v>0.03</v>
      </c>
      <c r="E225" s="2104">
        <f t="shared" si="50"/>
        <v>0</v>
      </c>
      <c r="F225" s="2135"/>
      <c r="G225" s="2127">
        <f t="shared" si="57"/>
        <v>3</v>
      </c>
      <c r="H225" s="2075">
        <v>209</v>
      </c>
      <c r="I225" s="2104">
        <f t="shared" si="51"/>
        <v>0</v>
      </c>
      <c r="J225" s="2125">
        <f t="shared" si="52"/>
        <v>3.5000000000000003E-2</v>
      </c>
      <c r="K225" s="2083"/>
      <c r="L225" s="2106"/>
      <c r="N225" s="2071">
        <f t="shared" si="53"/>
        <v>209</v>
      </c>
      <c r="O225" s="2130">
        <f>IF(D224=D225,O224+0.00001,ROUNDDOWN(MAX($O$16:$O224),0)+1)</f>
        <v>2.0900000000000046E-3</v>
      </c>
      <c r="P225" s="2131">
        <f t="shared" si="45"/>
        <v>0</v>
      </c>
      <c r="Q225" s="2131">
        <f t="shared" si="46"/>
        <v>0</v>
      </c>
      <c r="R225" s="2131">
        <f t="shared" si="47"/>
        <v>0</v>
      </c>
      <c r="S225" s="2130">
        <f>IF(J224=J225,S224+0.00001,ROUNDDOWN(MAX($S$16:$S224),0)+1)</f>
        <v>2.0008900000000058</v>
      </c>
      <c r="T225" s="2131">
        <f t="shared" si="48"/>
        <v>0</v>
      </c>
      <c r="U225" s="2131">
        <f t="shared" si="49"/>
        <v>0</v>
      </c>
      <c r="V225" s="2071">
        <f t="shared" si="54"/>
        <v>209</v>
      </c>
    </row>
    <row r="226" spans="1:22" hidden="1">
      <c r="A226" s="2124">
        <f t="shared" si="55"/>
        <v>1</v>
      </c>
      <c r="B226" s="2073">
        <v>210</v>
      </c>
      <c r="C226" s="2104">
        <f t="shared" si="56"/>
        <v>0</v>
      </c>
      <c r="D226" s="2125">
        <f t="shared" si="44"/>
        <v>0.03</v>
      </c>
      <c r="E226" s="2104">
        <f t="shared" si="50"/>
        <v>0</v>
      </c>
      <c r="F226" s="2135"/>
      <c r="G226" s="2127">
        <f t="shared" si="57"/>
        <v>3</v>
      </c>
      <c r="H226" s="2075">
        <v>210</v>
      </c>
      <c r="I226" s="2104">
        <f t="shared" si="51"/>
        <v>0</v>
      </c>
      <c r="J226" s="2125">
        <f t="shared" si="52"/>
        <v>3.5000000000000003E-2</v>
      </c>
      <c r="K226" s="2083"/>
      <c r="L226" s="2106"/>
      <c r="N226" s="2071">
        <f t="shared" si="53"/>
        <v>210</v>
      </c>
      <c r="O226" s="2130">
        <f>IF(D225=D226,O225+0.00001,ROUNDDOWN(MAX($O$16:$O225),0)+1)</f>
        <v>2.1000000000000046E-3</v>
      </c>
      <c r="P226" s="2131">
        <f t="shared" si="45"/>
        <v>0</v>
      </c>
      <c r="Q226" s="2131">
        <f t="shared" si="46"/>
        <v>0</v>
      </c>
      <c r="R226" s="2131">
        <f t="shared" si="47"/>
        <v>0</v>
      </c>
      <c r="S226" s="2130">
        <f>IF(J225=J226,S225+0.00001,ROUNDDOWN(MAX($S$16:$S225),0)+1)</f>
        <v>2.0009000000000059</v>
      </c>
      <c r="T226" s="2131">
        <f t="shared" si="48"/>
        <v>0</v>
      </c>
      <c r="U226" s="2131">
        <f t="shared" si="49"/>
        <v>0</v>
      </c>
      <c r="V226" s="2071">
        <f t="shared" si="54"/>
        <v>210</v>
      </c>
    </row>
    <row r="227" spans="1:22" hidden="1">
      <c r="A227" s="2124">
        <f t="shared" si="55"/>
        <v>1</v>
      </c>
      <c r="B227" s="2073">
        <v>211</v>
      </c>
      <c r="C227" s="2104">
        <f t="shared" si="56"/>
        <v>0</v>
      </c>
      <c r="D227" s="2125">
        <f t="shared" si="44"/>
        <v>0.03</v>
      </c>
      <c r="E227" s="2104">
        <f t="shared" si="50"/>
        <v>0</v>
      </c>
      <c r="F227" s="2135"/>
      <c r="G227" s="2127">
        <f t="shared" si="57"/>
        <v>3</v>
      </c>
      <c r="H227" s="2075">
        <v>211</v>
      </c>
      <c r="I227" s="2104">
        <f t="shared" si="51"/>
        <v>0</v>
      </c>
      <c r="J227" s="2125">
        <f t="shared" si="52"/>
        <v>3.5000000000000003E-2</v>
      </c>
      <c r="K227" s="2083"/>
      <c r="L227" s="2106"/>
      <c r="N227" s="2071">
        <f t="shared" si="53"/>
        <v>211</v>
      </c>
      <c r="O227" s="2130">
        <f>IF(D226=D227,O226+0.00001,ROUNDDOWN(MAX($O$16:$O226),0)+1)</f>
        <v>2.1100000000000047E-3</v>
      </c>
      <c r="P227" s="2131">
        <f t="shared" si="45"/>
        <v>0</v>
      </c>
      <c r="Q227" s="2131">
        <f t="shared" si="46"/>
        <v>0</v>
      </c>
      <c r="R227" s="2131">
        <f t="shared" si="47"/>
        <v>0</v>
      </c>
      <c r="S227" s="2130">
        <f>IF(J226=J227,S226+0.00001,ROUNDDOWN(MAX($S$16:$S226),0)+1)</f>
        <v>2.000910000000006</v>
      </c>
      <c r="T227" s="2131">
        <f t="shared" si="48"/>
        <v>0</v>
      </c>
      <c r="U227" s="2131">
        <f t="shared" si="49"/>
        <v>0</v>
      </c>
      <c r="V227" s="2071">
        <f t="shared" si="54"/>
        <v>211</v>
      </c>
    </row>
    <row r="228" spans="1:22" hidden="1">
      <c r="A228" s="2124">
        <f t="shared" si="55"/>
        <v>1</v>
      </c>
      <c r="B228" s="2073">
        <v>212</v>
      </c>
      <c r="C228" s="2104">
        <f t="shared" si="56"/>
        <v>0</v>
      </c>
      <c r="D228" s="2125">
        <f t="shared" si="44"/>
        <v>0.03</v>
      </c>
      <c r="E228" s="2104">
        <f t="shared" si="50"/>
        <v>0</v>
      </c>
      <c r="F228" s="2135"/>
      <c r="G228" s="2127">
        <f t="shared" si="57"/>
        <v>3</v>
      </c>
      <c r="H228" s="2075">
        <v>212</v>
      </c>
      <c r="I228" s="2104">
        <f t="shared" si="51"/>
        <v>0</v>
      </c>
      <c r="J228" s="2125">
        <f t="shared" si="52"/>
        <v>3.5000000000000003E-2</v>
      </c>
      <c r="K228" s="2083"/>
      <c r="L228" s="2106"/>
      <c r="N228" s="2071">
        <f t="shared" si="53"/>
        <v>212</v>
      </c>
      <c r="O228" s="2130">
        <f>IF(D227=D228,O227+0.00001,ROUNDDOWN(MAX($O$16:$O227),0)+1)</f>
        <v>2.1200000000000047E-3</v>
      </c>
      <c r="P228" s="2131">
        <f t="shared" si="45"/>
        <v>0</v>
      </c>
      <c r="Q228" s="2131">
        <f t="shared" si="46"/>
        <v>0</v>
      </c>
      <c r="R228" s="2131">
        <f t="shared" si="47"/>
        <v>0</v>
      </c>
      <c r="S228" s="2130">
        <f>IF(J227=J228,S227+0.00001,ROUNDDOWN(MAX($S$16:$S227),0)+1)</f>
        <v>2.000920000000006</v>
      </c>
      <c r="T228" s="2131">
        <f t="shared" si="48"/>
        <v>0</v>
      </c>
      <c r="U228" s="2131">
        <f t="shared" si="49"/>
        <v>0</v>
      </c>
      <c r="V228" s="2071">
        <f t="shared" si="54"/>
        <v>212</v>
      </c>
    </row>
    <row r="229" spans="1:22" hidden="1">
      <c r="A229" s="2124">
        <f t="shared" si="55"/>
        <v>1</v>
      </c>
      <c r="B229" s="2073">
        <v>213</v>
      </c>
      <c r="C229" s="2104">
        <f t="shared" si="56"/>
        <v>0</v>
      </c>
      <c r="D229" s="2125">
        <f t="shared" si="44"/>
        <v>0.03</v>
      </c>
      <c r="E229" s="2104">
        <f t="shared" si="50"/>
        <v>0</v>
      </c>
      <c r="F229" s="2135"/>
      <c r="G229" s="2127">
        <f t="shared" si="57"/>
        <v>3</v>
      </c>
      <c r="H229" s="2075">
        <v>213</v>
      </c>
      <c r="I229" s="2104">
        <f t="shared" si="51"/>
        <v>0</v>
      </c>
      <c r="J229" s="2125">
        <f t="shared" si="52"/>
        <v>3.5000000000000003E-2</v>
      </c>
      <c r="K229" s="2083"/>
      <c r="L229" s="2106"/>
      <c r="N229" s="2071">
        <f t="shared" si="53"/>
        <v>213</v>
      </c>
      <c r="O229" s="2130">
        <f>IF(D228=D229,O228+0.00001,ROUNDDOWN(MAX($O$16:$O228),0)+1)</f>
        <v>2.1300000000000047E-3</v>
      </c>
      <c r="P229" s="2131">
        <f t="shared" si="45"/>
        <v>0</v>
      </c>
      <c r="Q229" s="2131">
        <f t="shared" si="46"/>
        <v>0</v>
      </c>
      <c r="R229" s="2131">
        <f t="shared" si="47"/>
        <v>0</v>
      </c>
      <c r="S229" s="2130">
        <f>IF(J228=J229,S228+0.00001,ROUNDDOWN(MAX($S$16:$S228),0)+1)</f>
        <v>2.0009300000000061</v>
      </c>
      <c r="T229" s="2131">
        <f t="shared" si="48"/>
        <v>0</v>
      </c>
      <c r="U229" s="2131">
        <f t="shared" si="49"/>
        <v>0</v>
      </c>
      <c r="V229" s="2071">
        <f t="shared" si="54"/>
        <v>213</v>
      </c>
    </row>
    <row r="230" spans="1:22" hidden="1">
      <c r="A230" s="2124">
        <f t="shared" si="55"/>
        <v>1</v>
      </c>
      <c r="B230" s="2073">
        <v>214</v>
      </c>
      <c r="C230" s="2104">
        <f t="shared" si="56"/>
        <v>0</v>
      </c>
      <c r="D230" s="2125">
        <f t="shared" si="44"/>
        <v>0.03</v>
      </c>
      <c r="E230" s="2104">
        <f t="shared" si="50"/>
        <v>0</v>
      </c>
      <c r="F230" s="2135"/>
      <c r="G230" s="2127">
        <f t="shared" si="57"/>
        <v>3</v>
      </c>
      <c r="H230" s="2075">
        <v>214</v>
      </c>
      <c r="I230" s="2104">
        <f t="shared" si="51"/>
        <v>0</v>
      </c>
      <c r="J230" s="2125">
        <f t="shared" si="52"/>
        <v>3.5000000000000003E-2</v>
      </c>
      <c r="K230" s="2083"/>
      <c r="L230" s="2106"/>
      <c r="N230" s="2071">
        <f t="shared" si="53"/>
        <v>214</v>
      </c>
      <c r="O230" s="2130">
        <f>IF(D229=D230,O229+0.00001,ROUNDDOWN(MAX($O$16:$O229),0)+1)</f>
        <v>2.1400000000000047E-3</v>
      </c>
      <c r="P230" s="2131">
        <f t="shared" si="45"/>
        <v>0</v>
      </c>
      <c r="Q230" s="2131">
        <f t="shared" si="46"/>
        <v>0</v>
      </c>
      <c r="R230" s="2131">
        <f t="shared" si="47"/>
        <v>0</v>
      </c>
      <c r="S230" s="2130">
        <f>IF(J229=J230,S229+0.00001,ROUNDDOWN(MAX($S$16:$S229),0)+1)</f>
        <v>2.0009400000000062</v>
      </c>
      <c r="T230" s="2131">
        <f t="shared" si="48"/>
        <v>0</v>
      </c>
      <c r="U230" s="2131">
        <f t="shared" si="49"/>
        <v>0</v>
      </c>
      <c r="V230" s="2071">
        <f t="shared" si="54"/>
        <v>214</v>
      </c>
    </row>
    <row r="231" spans="1:22" hidden="1">
      <c r="A231" s="2124">
        <f t="shared" si="55"/>
        <v>1</v>
      </c>
      <c r="B231" s="2073">
        <v>215</v>
      </c>
      <c r="C231" s="2104">
        <f t="shared" si="56"/>
        <v>0</v>
      </c>
      <c r="D231" s="2125">
        <f t="shared" si="44"/>
        <v>0.03</v>
      </c>
      <c r="E231" s="2104">
        <f t="shared" si="50"/>
        <v>0</v>
      </c>
      <c r="F231" s="2135"/>
      <c r="G231" s="2127">
        <f t="shared" si="57"/>
        <v>3</v>
      </c>
      <c r="H231" s="2075">
        <v>215</v>
      </c>
      <c r="I231" s="2104">
        <f t="shared" si="51"/>
        <v>0</v>
      </c>
      <c r="J231" s="2125">
        <f t="shared" si="52"/>
        <v>3.5000000000000003E-2</v>
      </c>
      <c r="K231" s="2083"/>
      <c r="L231" s="2106"/>
      <c r="N231" s="2071">
        <f t="shared" si="53"/>
        <v>215</v>
      </c>
      <c r="O231" s="2130">
        <f>IF(D230=D231,O230+0.00001,ROUNDDOWN(MAX($O$16:$O230),0)+1)</f>
        <v>2.1500000000000048E-3</v>
      </c>
      <c r="P231" s="2131">
        <f t="shared" si="45"/>
        <v>0</v>
      </c>
      <c r="Q231" s="2131">
        <f t="shared" si="46"/>
        <v>0</v>
      </c>
      <c r="R231" s="2131">
        <f t="shared" si="47"/>
        <v>0</v>
      </c>
      <c r="S231" s="2130">
        <f>IF(J230=J231,S230+0.00001,ROUNDDOWN(MAX($S$16:$S230),0)+1)</f>
        <v>2.0009500000000062</v>
      </c>
      <c r="T231" s="2131">
        <f t="shared" si="48"/>
        <v>0</v>
      </c>
      <c r="U231" s="2131">
        <f t="shared" si="49"/>
        <v>0</v>
      </c>
      <c r="V231" s="2071">
        <f t="shared" si="54"/>
        <v>215</v>
      </c>
    </row>
    <row r="232" spans="1:22" hidden="1">
      <c r="A232" s="2124">
        <f t="shared" si="55"/>
        <v>1</v>
      </c>
      <c r="B232" s="2073">
        <v>216</v>
      </c>
      <c r="C232" s="2104">
        <f t="shared" si="56"/>
        <v>0</v>
      </c>
      <c r="D232" s="2125">
        <f t="shared" si="44"/>
        <v>0.03</v>
      </c>
      <c r="E232" s="2104">
        <f t="shared" si="50"/>
        <v>0</v>
      </c>
      <c r="F232" s="2135"/>
      <c r="G232" s="2127">
        <f t="shared" si="57"/>
        <v>3</v>
      </c>
      <c r="H232" s="2075">
        <v>216</v>
      </c>
      <c r="I232" s="2104">
        <f t="shared" si="51"/>
        <v>0</v>
      </c>
      <c r="J232" s="2125">
        <f t="shared" si="52"/>
        <v>3.5000000000000003E-2</v>
      </c>
      <c r="K232" s="2083"/>
      <c r="L232" s="2106"/>
      <c r="N232" s="2071">
        <f t="shared" si="53"/>
        <v>216</v>
      </c>
      <c r="O232" s="2130">
        <f>IF(D231=D232,O231+0.00001,ROUNDDOWN(MAX($O$16:$O231),0)+1)</f>
        <v>2.1600000000000048E-3</v>
      </c>
      <c r="P232" s="2131">
        <f t="shared" si="45"/>
        <v>0</v>
      </c>
      <c r="Q232" s="2131">
        <f t="shared" si="46"/>
        <v>0</v>
      </c>
      <c r="R232" s="2131">
        <f t="shared" si="47"/>
        <v>0</v>
      </c>
      <c r="S232" s="2130">
        <f>IF(J231=J232,S231+0.00001,ROUNDDOWN(MAX($S$16:$S231),0)+1)</f>
        <v>2.0009600000000063</v>
      </c>
      <c r="T232" s="2131">
        <f t="shared" si="48"/>
        <v>0</v>
      </c>
      <c r="U232" s="2131">
        <f t="shared" si="49"/>
        <v>0</v>
      </c>
      <c r="V232" s="2071">
        <f t="shared" si="54"/>
        <v>216</v>
      </c>
    </row>
    <row r="233" spans="1:22" hidden="1">
      <c r="A233" s="2124">
        <f t="shared" si="55"/>
        <v>1</v>
      </c>
      <c r="B233" s="2073">
        <v>217</v>
      </c>
      <c r="C233" s="2104">
        <f t="shared" si="56"/>
        <v>0</v>
      </c>
      <c r="D233" s="2125">
        <f t="shared" si="44"/>
        <v>0.03</v>
      </c>
      <c r="E233" s="2104">
        <f t="shared" si="50"/>
        <v>0</v>
      </c>
      <c r="F233" s="2135"/>
      <c r="G233" s="2127">
        <f t="shared" si="57"/>
        <v>3</v>
      </c>
      <c r="H233" s="2075">
        <v>217</v>
      </c>
      <c r="I233" s="2104">
        <f t="shared" si="51"/>
        <v>0</v>
      </c>
      <c r="J233" s="2125">
        <f t="shared" si="52"/>
        <v>3.5000000000000003E-2</v>
      </c>
      <c r="K233" s="2083"/>
      <c r="L233" s="2106"/>
      <c r="N233" s="2071">
        <f t="shared" si="53"/>
        <v>217</v>
      </c>
      <c r="O233" s="2130">
        <f>IF(D232=D233,O232+0.00001,ROUNDDOWN(MAX($O$16:$O232),0)+1)</f>
        <v>2.1700000000000048E-3</v>
      </c>
      <c r="P233" s="2131">
        <f t="shared" si="45"/>
        <v>0</v>
      </c>
      <c r="Q233" s="2131">
        <f t="shared" si="46"/>
        <v>0</v>
      </c>
      <c r="R233" s="2131">
        <f t="shared" si="47"/>
        <v>0</v>
      </c>
      <c r="S233" s="2130">
        <f>IF(J232=J233,S232+0.00001,ROUNDDOWN(MAX($S$16:$S232),0)+1)</f>
        <v>2.0009700000000064</v>
      </c>
      <c r="T233" s="2131">
        <f t="shared" si="48"/>
        <v>0</v>
      </c>
      <c r="U233" s="2131">
        <f t="shared" si="49"/>
        <v>0</v>
      </c>
      <c r="V233" s="2071">
        <f t="shared" si="54"/>
        <v>217</v>
      </c>
    </row>
    <row r="234" spans="1:22" hidden="1">
      <c r="A234" s="2124">
        <f t="shared" si="55"/>
        <v>1</v>
      </c>
      <c r="B234" s="2073">
        <v>218</v>
      </c>
      <c r="C234" s="2104">
        <f t="shared" si="56"/>
        <v>0</v>
      </c>
      <c r="D234" s="2125">
        <f t="shared" si="44"/>
        <v>0.03</v>
      </c>
      <c r="E234" s="2104">
        <f t="shared" si="50"/>
        <v>0</v>
      </c>
      <c r="F234" s="2135"/>
      <c r="G234" s="2127">
        <f t="shared" si="57"/>
        <v>3</v>
      </c>
      <c r="H234" s="2075">
        <v>218</v>
      </c>
      <c r="I234" s="2104">
        <f t="shared" si="51"/>
        <v>0</v>
      </c>
      <c r="J234" s="2125">
        <f t="shared" si="52"/>
        <v>3.5000000000000003E-2</v>
      </c>
      <c r="K234" s="2083"/>
      <c r="L234" s="2106"/>
      <c r="N234" s="2071">
        <f t="shared" si="53"/>
        <v>218</v>
      </c>
      <c r="O234" s="2130">
        <f>IF(D233=D234,O233+0.00001,ROUNDDOWN(MAX($O$16:$O233),0)+1)</f>
        <v>2.1800000000000049E-3</v>
      </c>
      <c r="P234" s="2131">
        <f t="shared" si="45"/>
        <v>0</v>
      </c>
      <c r="Q234" s="2131">
        <f t="shared" si="46"/>
        <v>0</v>
      </c>
      <c r="R234" s="2131">
        <f t="shared" si="47"/>
        <v>0</v>
      </c>
      <c r="S234" s="2130">
        <f>IF(J233=J234,S233+0.00001,ROUNDDOWN(MAX($S$16:$S233),0)+1)</f>
        <v>2.0009800000000064</v>
      </c>
      <c r="T234" s="2131">
        <f t="shared" si="48"/>
        <v>0</v>
      </c>
      <c r="U234" s="2131">
        <f t="shared" si="49"/>
        <v>0</v>
      </c>
      <c r="V234" s="2071">
        <f t="shared" si="54"/>
        <v>218</v>
      </c>
    </row>
    <row r="235" spans="1:22" hidden="1">
      <c r="A235" s="2124">
        <f t="shared" si="55"/>
        <v>1</v>
      </c>
      <c r="B235" s="2073">
        <v>219</v>
      </c>
      <c r="C235" s="2104">
        <f t="shared" si="56"/>
        <v>0</v>
      </c>
      <c r="D235" s="2125">
        <f t="shared" si="44"/>
        <v>0.03</v>
      </c>
      <c r="E235" s="2104">
        <f t="shared" si="50"/>
        <v>0</v>
      </c>
      <c r="F235" s="2135"/>
      <c r="G235" s="2127">
        <f t="shared" si="57"/>
        <v>3</v>
      </c>
      <c r="H235" s="2075">
        <v>219</v>
      </c>
      <c r="I235" s="2104">
        <f t="shared" si="51"/>
        <v>0</v>
      </c>
      <c r="J235" s="2125">
        <f t="shared" si="52"/>
        <v>3.5000000000000003E-2</v>
      </c>
      <c r="K235" s="2083"/>
      <c r="L235" s="2106"/>
      <c r="N235" s="2071">
        <f t="shared" si="53"/>
        <v>219</v>
      </c>
      <c r="O235" s="2130">
        <f>IF(D234=D235,O234+0.00001,ROUNDDOWN(MAX($O$16:$O234),0)+1)</f>
        <v>2.1900000000000049E-3</v>
      </c>
      <c r="P235" s="2131">
        <f t="shared" si="45"/>
        <v>0</v>
      </c>
      <c r="Q235" s="2131">
        <f t="shared" si="46"/>
        <v>0</v>
      </c>
      <c r="R235" s="2131">
        <f t="shared" si="47"/>
        <v>0</v>
      </c>
      <c r="S235" s="2130">
        <f>IF(J234=J235,S234+0.00001,ROUNDDOWN(MAX($S$16:$S234),0)+1)</f>
        <v>2.0009900000000065</v>
      </c>
      <c r="T235" s="2131">
        <f t="shared" si="48"/>
        <v>0</v>
      </c>
      <c r="U235" s="2131">
        <f t="shared" si="49"/>
        <v>0</v>
      </c>
      <c r="V235" s="2071">
        <f t="shared" si="54"/>
        <v>219</v>
      </c>
    </row>
    <row r="236" spans="1:22" hidden="1">
      <c r="A236" s="2124">
        <f t="shared" si="55"/>
        <v>1</v>
      </c>
      <c r="B236" s="2073">
        <v>220</v>
      </c>
      <c r="C236" s="2104">
        <f t="shared" si="56"/>
        <v>0</v>
      </c>
      <c r="D236" s="2125">
        <f t="shared" si="44"/>
        <v>0.03</v>
      </c>
      <c r="E236" s="2104">
        <f t="shared" si="50"/>
        <v>0</v>
      </c>
      <c r="F236" s="2135"/>
      <c r="G236" s="2127">
        <f t="shared" si="57"/>
        <v>3</v>
      </c>
      <c r="H236" s="2075">
        <v>220</v>
      </c>
      <c r="I236" s="2104">
        <f t="shared" si="51"/>
        <v>0</v>
      </c>
      <c r="J236" s="2125">
        <f t="shared" si="52"/>
        <v>3.5000000000000003E-2</v>
      </c>
      <c r="K236" s="2083"/>
      <c r="L236" s="2106"/>
      <c r="N236" s="2071">
        <f t="shared" si="53"/>
        <v>220</v>
      </c>
      <c r="O236" s="2130">
        <f>IF(D235=D236,O235+0.00001,ROUNDDOWN(MAX($O$16:$O235),0)+1)</f>
        <v>2.2000000000000049E-3</v>
      </c>
      <c r="P236" s="2131">
        <f t="shared" si="45"/>
        <v>0</v>
      </c>
      <c r="Q236" s="2131">
        <f t="shared" si="46"/>
        <v>0</v>
      </c>
      <c r="R236" s="2131">
        <f t="shared" si="47"/>
        <v>0</v>
      </c>
      <c r="S236" s="2130">
        <f>IF(J235=J236,S235+0.00001,ROUNDDOWN(MAX($S$16:$S235),0)+1)</f>
        <v>2.0010000000000066</v>
      </c>
      <c r="T236" s="2131">
        <f t="shared" si="48"/>
        <v>0</v>
      </c>
      <c r="U236" s="2131">
        <f t="shared" si="49"/>
        <v>0</v>
      </c>
      <c r="V236" s="2071">
        <f t="shared" si="54"/>
        <v>220</v>
      </c>
    </row>
    <row r="237" spans="1:22" hidden="1">
      <c r="A237" s="2124">
        <f t="shared" si="55"/>
        <v>1</v>
      </c>
      <c r="B237" s="2073">
        <v>221</v>
      </c>
      <c r="C237" s="2104">
        <f t="shared" si="56"/>
        <v>0</v>
      </c>
      <c r="D237" s="2125">
        <f t="shared" si="44"/>
        <v>0.03</v>
      </c>
      <c r="E237" s="2104">
        <f t="shared" si="50"/>
        <v>0</v>
      </c>
      <c r="F237" s="2135"/>
      <c r="G237" s="2127">
        <f t="shared" si="57"/>
        <v>3</v>
      </c>
      <c r="H237" s="2075">
        <v>221</v>
      </c>
      <c r="I237" s="2104">
        <f t="shared" si="51"/>
        <v>0</v>
      </c>
      <c r="J237" s="2125">
        <f t="shared" si="52"/>
        <v>3.5000000000000003E-2</v>
      </c>
      <c r="K237" s="2083"/>
      <c r="L237" s="2106"/>
      <c r="N237" s="2071">
        <f t="shared" si="53"/>
        <v>221</v>
      </c>
      <c r="O237" s="2130">
        <f>IF(D236=D237,O236+0.00001,ROUNDDOWN(MAX($O$16:$O236),0)+1)</f>
        <v>2.2100000000000049E-3</v>
      </c>
      <c r="P237" s="2131">
        <f t="shared" si="45"/>
        <v>0</v>
      </c>
      <c r="Q237" s="2131">
        <f t="shared" si="46"/>
        <v>0</v>
      </c>
      <c r="R237" s="2131">
        <f t="shared" si="47"/>
        <v>0</v>
      </c>
      <c r="S237" s="2130">
        <f>IF(J236=J237,S236+0.00001,ROUNDDOWN(MAX($S$16:$S236),0)+1)</f>
        <v>2.0010100000000066</v>
      </c>
      <c r="T237" s="2131">
        <f t="shared" si="48"/>
        <v>0</v>
      </c>
      <c r="U237" s="2131">
        <f t="shared" si="49"/>
        <v>0</v>
      </c>
      <c r="V237" s="2071">
        <f t="shared" si="54"/>
        <v>221</v>
      </c>
    </row>
    <row r="238" spans="1:22" hidden="1">
      <c r="A238" s="2124">
        <f t="shared" si="55"/>
        <v>1</v>
      </c>
      <c r="B238" s="2073">
        <v>222</v>
      </c>
      <c r="C238" s="2104">
        <f t="shared" si="56"/>
        <v>0</v>
      </c>
      <c r="D238" s="2125">
        <f t="shared" si="44"/>
        <v>0.03</v>
      </c>
      <c r="E238" s="2104">
        <f t="shared" si="50"/>
        <v>0</v>
      </c>
      <c r="F238" s="2135"/>
      <c r="G238" s="2127">
        <f t="shared" si="57"/>
        <v>3</v>
      </c>
      <c r="H238" s="2075">
        <v>222</v>
      </c>
      <c r="I238" s="2104">
        <f t="shared" si="51"/>
        <v>0</v>
      </c>
      <c r="J238" s="2125">
        <f t="shared" si="52"/>
        <v>3.5000000000000003E-2</v>
      </c>
      <c r="K238" s="2083"/>
      <c r="L238" s="2106"/>
      <c r="N238" s="2071">
        <f t="shared" si="53"/>
        <v>222</v>
      </c>
      <c r="O238" s="2130">
        <f>IF(D237=D238,O237+0.00001,ROUNDDOWN(MAX($O$16:$O237),0)+1)</f>
        <v>2.220000000000005E-3</v>
      </c>
      <c r="P238" s="2131">
        <f t="shared" si="45"/>
        <v>0</v>
      </c>
      <c r="Q238" s="2131">
        <f t="shared" si="46"/>
        <v>0</v>
      </c>
      <c r="R238" s="2131">
        <f t="shared" si="47"/>
        <v>0</v>
      </c>
      <c r="S238" s="2130">
        <f>IF(J237=J238,S237+0.00001,ROUNDDOWN(MAX($S$16:$S237),0)+1)</f>
        <v>2.0010200000000067</v>
      </c>
      <c r="T238" s="2131">
        <f t="shared" si="48"/>
        <v>0</v>
      </c>
      <c r="U238" s="2131">
        <f t="shared" si="49"/>
        <v>0</v>
      </c>
      <c r="V238" s="2071">
        <f t="shared" si="54"/>
        <v>222</v>
      </c>
    </row>
    <row r="239" spans="1:22" hidden="1">
      <c r="A239" s="2124">
        <f t="shared" si="55"/>
        <v>1</v>
      </c>
      <c r="B239" s="2073">
        <v>223</v>
      </c>
      <c r="C239" s="2104">
        <f t="shared" si="56"/>
        <v>0</v>
      </c>
      <c r="D239" s="2125">
        <f t="shared" si="44"/>
        <v>0.03</v>
      </c>
      <c r="E239" s="2104">
        <f t="shared" si="50"/>
        <v>0</v>
      </c>
      <c r="F239" s="2135"/>
      <c r="G239" s="2127">
        <f t="shared" si="57"/>
        <v>3</v>
      </c>
      <c r="H239" s="2075">
        <v>223</v>
      </c>
      <c r="I239" s="2104">
        <f t="shared" si="51"/>
        <v>0</v>
      </c>
      <c r="J239" s="2125">
        <f t="shared" si="52"/>
        <v>3.5000000000000003E-2</v>
      </c>
      <c r="K239" s="2083"/>
      <c r="L239" s="2106"/>
      <c r="N239" s="2071">
        <f t="shared" si="53"/>
        <v>223</v>
      </c>
      <c r="O239" s="2130">
        <f>IF(D238=D239,O238+0.00001,ROUNDDOWN(MAX($O$16:$O238),0)+1)</f>
        <v>2.230000000000005E-3</v>
      </c>
      <c r="P239" s="2131">
        <f t="shared" si="45"/>
        <v>0</v>
      </c>
      <c r="Q239" s="2131">
        <f t="shared" si="46"/>
        <v>0</v>
      </c>
      <c r="R239" s="2131">
        <f t="shared" si="47"/>
        <v>0</v>
      </c>
      <c r="S239" s="2130">
        <f>IF(J238=J239,S238+0.00001,ROUNDDOWN(MAX($S$16:$S238),0)+1)</f>
        <v>2.0010300000000067</v>
      </c>
      <c r="T239" s="2131">
        <f t="shared" si="48"/>
        <v>0</v>
      </c>
      <c r="U239" s="2131">
        <f t="shared" si="49"/>
        <v>0</v>
      </c>
      <c r="V239" s="2071">
        <f t="shared" si="54"/>
        <v>223</v>
      </c>
    </row>
    <row r="240" spans="1:22" hidden="1">
      <c r="A240" s="2124">
        <f t="shared" si="55"/>
        <v>1</v>
      </c>
      <c r="B240" s="2073">
        <v>224</v>
      </c>
      <c r="C240" s="2104">
        <f t="shared" si="56"/>
        <v>0</v>
      </c>
      <c r="D240" s="2125">
        <f t="shared" si="44"/>
        <v>0.03</v>
      </c>
      <c r="E240" s="2104">
        <f t="shared" si="50"/>
        <v>0</v>
      </c>
      <c r="F240" s="2135"/>
      <c r="G240" s="2127">
        <f t="shared" si="57"/>
        <v>3</v>
      </c>
      <c r="H240" s="2075">
        <v>224</v>
      </c>
      <c r="I240" s="2104">
        <f t="shared" si="51"/>
        <v>0</v>
      </c>
      <c r="J240" s="2125">
        <f t="shared" si="52"/>
        <v>3.5000000000000003E-2</v>
      </c>
      <c r="K240" s="2083"/>
      <c r="L240" s="2106"/>
      <c r="N240" s="2071">
        <f t="shared" si="53"/>
        <v>224</v>
      </c>
      <c r="O240" s="2130">
        <f>IF(D239=D240,O239+0.00001,ROUNDDOWN(MAX($O$16:$O239),0)+1)</f>
        <v>2.240000000000005E-3</v>
      </c>
      <c r="P240" s="2131">
        <f t="shared" si="45"/>
        <v>0</v>
      </c>
      <c r="Q240" s="2131">
        <f t="shared" si="46"/>
        <v>0</v>
      </c>
      <c r="R240" s="2131">
        <f t="shared" si="47"/>
        <v>0</v>
      </c>
      <c r="S240" s="2130">
        <f>IF(J239=J240,S239+0.00001,ROUNDDOWN(MAX($S$16:$S239),0)+1)</f>
        <v>2.0010400000000068</v>
      </c>
      <c r="T240" s="2131">
        <f t="shared" si="48"/>
        <v>0</v>
      </c>
      <c r="U240" s="2131">
        <f t="shared" si="49"/>
        <v>0</v>
      </c>
      <c r="V240" s="2071">
        <f t="shared" si="54"/>
        <v>224</v>
      </c>
    </row>
    <row r="241" spans="1:22" hidden="1">
      <c r="A241" s="2124">
        <f t="shared" si="55"/>
        <v>1</v>
      </c>
      <c r="B241" s="2073">
        <v>225</v>
      </c>
      <c r="C241" s="2104">
        <f t="shared" si="56"/>
        <v>0</v>
      </c>
      <c r="D241" s="2125">
        <f t="shared" si="44"/>
        <v>0.03</v>
      </c>
      <c r="E241" s="2104">
        <f t="shared" si="50"/>
        <v>0</v>
      </c>
      <c r="F241" s="2135"/>
      <c r="G241" s="2127">
        <f t="shared" si="57"/>
        <v>3</v>
      </c>
      <c r="H241" s="2075">
        <v>225</v>
      </c>
      <c r="I241" s="2104">
        <f t="shared" si="51"/>
        <v>0</v>
      </c>
      <c r="J241" s="2125">
        <f t="shared" si="52"/>
        <v>3.5000000000000003E-2</v>
      </c>
      <c r="K241" s="2083"/>
      <c r="L241" s="2106"/>
      <c r="N241" s="2071">
        <f t="shared" si="53"/>
        <v>225</v>
      </c>
      <c r="O241" s="2130">
        <f>IF(D240=D241,O240+0.00001,ROUNDDOWN(MAX($O$16:$O240),0)+1)</f>
        <v>2.250000000000005E-3</v>
      </c>
      <c r="P241" s="2131">
        <f t="shared" si="45"/>
        <v>0</v>
      </c>
      <c r="Q241" s="2131">
        <f t="shared" si="46"/>
        <v>0</v>
      </c>
      <c r="R241" s="2131">
        <f t="shared" si="47"/>
        <v>0</v>
      </c>
      <c r="S241" s="2130">
        <f>IF(J240=J241,S240+0.00001,ROUNDDOWN(MAX($S$16:$S240),0)+1)</f>
        <v>2.0010500000000069</v>
      </c>
      <c r="T241" s="2131">
        <f t="shared" si="48"/>
        <v>0</v>
      </c>
      <c r="U241" s="2131">
        <f t="shared" si="49"/>
        <v>0</v>
      </c>
      <c r="V241" s="2071">
        <f t="shared" si="54"/>
        <v>225</v>
      </c>
    </row>
    <row r="242" spans="1:22" hidden="1">
      <c r="A242" s="2124">
        <f t="shared" si="55"/>
        <v>1</v>
      </c>
      <c r="B242" s="2073">
        <v>226</v>
      </c>
      <c r="C242" s="2104">
        <f t="shared" si="56"/>
        <v>0</v>
      </c>
      <c r="D242" s="2125">
        <f t="shared" si="44"/>
        <v>0.03</v>
      </c>
      <c r="E242" s="2104">
        <f t="shared" si="50"/>
        <v>0</v>
      </c>
      <c r="F242" s="2135"/>
      <c r="G242" s="2127">
        <f t="shared" si="57"/>
        <v>3</v>
      </c>
      <c r="H242" s="2075">
        <v>226</v>
      </c>
      <c r="I242" s="2104">
        <f t="shared" si="51"/>
        <v>0</v>
      </c>
      <c r="J242" s="2125">
        <f t="shared" si="52"/>
        <v>3.5000000000000003E-2</v>
      </c>
      <c r="K242" s="2083"/>
      <c r="L242" s="2106"/>
      <c r="N242" s="2071">
        <f t="shared" si="53"/>
        <v>226</v>
      </c>
      <c r="O242" s="2130">
        <f>IF(D241=D242,O241+0.00001,ROUNDDOWN(MAX($O$16:$O241),0)+1)</f>
        <v>2.2600000000000051E-3</v>
      </c>
      <c r="P242" s="2131">
        <f t="shared" si="45"/>
        <v>0</v>
      </c>
      <c r="Q242" s="2131">
        <f t="shared" si="46"/>
        <v>0</v>
      </c>
      <c r="R242" s="2131">
        <f t="shared" si="47"/>
        <v>0</v>
      </c>
      <c r="S242" s="2130">
        <f>IF(J241=J242,S241+0.00001,ROUNDDOWN(MAX($S$16:$S241),0)+1)</f>
        <v>2.0010600000000069</v>
      </c>
      <c r="T242" s="2131">
        <f t="shared" si="48"/>
        <v>0</v>
      </c>
      <c r="U242" s="2131">
        <f t="shared" si="49"/>
        <v>0</v>
      </c>
      <c r="V242" s="2071">
        <f t="shared" si="54"/>
        <v>226</v>
      </c>
    </row>
    <row r="243" spans="1:22" hidden="1">
      <c r="A243" s="2124">
        <f t="shared" si="55"/>
        <v>1</v>
      </c>
      <c r="B243" s="2073">
        <v>227</v>
      </c>
      <c r="C243" s="2104">
        <f t="shared" si="56"/>
        <v>0</v>
      </c>
      <c r="D243" s="2125">
        <f t="shared" si="44"/>
        <v>0.03</v>
      </c>
      <c r="E243" s="2104">
        <f t="shared" si="50"/>
        <v>0</v>
      </c>
      <c r="F243" s="2135"/>
      <c r="G243" s="2127">
        <f t="shared" si="57"/>
        <v>3</v>
      </c>
      <c r="H243" s="2075">
        <v>227</v>
      </c>
      <c r="I243" s="2104">
        <f t="shared" si="51"/>
        <v>0</v>
      </c>
      <c r="J243" s="2125">
        <f t="shared" si="52"/>
        <v>3.5000000000000003E-2</v>
      </c>
      <c r="K243" s="2083"/>
      <c r="L243" s="2106"/>
      <c r="N243" s="2071">
        <f t="shared" si="53"/>
        <v>227</v>
      </c>
      <c r="O243" s="2130">
        <f>IF(D242=D243,O242+0.00001,ROUNDDOWN(MAX($O$16:$O242),0)+1)</f>
        <v>2.2700000000000051E-3</v>
      </c>
      <c r="P243" s="2131">
        <f t="shared" si="45"/>
        <v>0</v>
      </c>
      <c r="Q243" s="2131">
        <f t="shared" si="46"/>
        <v>0</v>
      </c>
      <c r="R243" s="2131">
        <f t="shared" si="47"/>
        <v>0</v>
      </c>
      <c r="S243" s="2130">
        <f>IF(J242=J243,S242+0.00001,ROUNDDOWN(MAX($S$16:$S242),0)+1)</f>
        <v>2.001070000000007</v>
      </c>
      <c r="T243" s="2131">
        <f t="shared" si="48"/>
        <v>0</v>
      </c>
      <c r="U243" s="2131">
        <f t="shared" si="49"/>
        <v>0</v>
      </c>
      <c r="V243" s="2071">
        <f t="shared" si="54"/>
        <v>227</v>
      </c>
    </row>
    <row r="244" spans="1:22" hidden="1">
      <c r="A244" s="2124">
        <f t="shared" si="55"/>
        <v>1</v>
      </c>
      <c r="B244" s="2073">
        <v>228</v>
      </c>
      <c r="C244" s="2104">
        <f t="shared" si="56"/>
        <v>0</v>
      </c>
      <c r="D244" s="2125">
        <f t="shared" si="44"/>
        <v>0.03</v>
      </c>
      <c r="E244" s="2104">
        <f t="shared" si="50"/>
        <v>0</v>
      </c>
      <c r="F244" s="2135"/>
      <c r="G244" s="2127">
        <f t="shared" si="57"/>
        <v>3</v>
      </c>
      <c r="H244" s="2075">
        <v>228</v>
      </c>
      <c r="I244" s="2104">
        <f t="shared" si="51"/>
        <v>0</v>
      </c>
      <c r="J244" s="2125">
        <f t="shared" si="52"/>
        <v>3.5000000000000003E-2</v>
      </c>
      <c r="K244" s="2083"/>
      <c r="L244" s="2106"/>
      <c r="N244" s="2071">
        <f t="shared" si="53"/>
        <v>228</v>
      </c>
      <c r="O244" s="2130">
        <f>IF(D243=D244,O243+0.00001,ROUNDDOWN(MAX($O$16:$O243),0)+1)</f>
        <v>2.2800000000000051E-3</v>
      </c>
      <c r="P244" s="2131">
        <f t="shared" si="45"/>
        <v>0</v>
      </c>
      <c r="Q244" s="2131">
        <f t="shared" si="46"/>
        <v>0</v>
      </c>
      <c r="R244" s="2131">
        <f t="shared" si="47"/>
        <v>0</v>
      </c>
      <c r="S244" s="2130">
        <f>IF(J243=J244,S243+0.00001,ROUNDDOWN(MAX($S$16:$S243),0)+1)</f>
        <v>2.0010800000000071</v>
      </c>
      <c r="T244" s="2131">
        <f t="shared" si="48"/>
        <v>0</v>
      </c>
      <c r="U244" s="2131">
        <f t="shared" si="49"/>
        <v>0</v>
      </c>
      <c r="V244" s="2071">
        <f t="shared" si="54"/>
        <v>228</v>
      </c>
    </row>
    <row r="245" spans="1:22" hidden="1">
      <c r="A245" s="2124">
        <f t="shared" si="55"/>
        <v>1</v>
      </c>
      <c r="B245" s="2073">
        <v>229</v>
      </c>
      <c r="C245" s="2104">
        <f t="shared" si="56"/>
        <v>0</v>
      </c>
      <c r="D245" s="2125">
        <f t="shared" si="44"/>
        <v>0.03</v>
      </c>
      <c r="E245" s="2104">
        <f t="shared" si="50"/>
        <v>0</v>
      </c>
      <c r="F245" s="2135"/>
      <c r="G245" s="2127">
        <f t="shared" si="57"/>
        <v>3</v>
      </c>
      <c r="H245" s="2075">
        <v>229</v>
      </c>
      <c r="I245" s="2104">
        <f t="shared" si="51"/>
        <v>0</v>
      </c>
      <c r="J245" s="2125">
        <f t="shared" si="52"/>
        <v>3.5000000000000003E-2</v>
      </c>
      <c r="K245" s="2083"/>
      <c r="L245" s="2106"/>
      <c r="N245" s="2071">
        <f t="shared" si="53"/>
        <v>229</v>
      </c>
      <c r="O245" s="2130">
        <f>IF(D244=D245,O244+0.00001,ROUNDDOWN(MAX($O$16:$O244),0)+1)</f>
        <v>2.2900000000000051E-3</v>
      </c>
      <c r="P245" s="2131">
        <f t="shared" si="45"/>
        <v>0</v>
      </c>
      <c r="Q245" s="2131">
        <f t="shared" si="46"/>
        <v>0</v>
      </c>
      <c r="R245" s="2131">
        <f t="shared" si="47"/>
        <v>0</v>
      </c>
      <c r="S245" s="2130">
        <f>IF(J244=J245,S244+0.00001,ROUNDDOWN(MAX($S$16:$S244),0)+1)</f>
        <v>2.0010900000000071</v>
      </c>
      <c r="T245" s="2131">
        <f t="shared" si="48"/>
        <v>0</v>
      </c>
      <c r="U245" s="2131">
        <f t="shared" si="49"/>
        <v>0</v>
      </c>
      <c r="V245" s="2071">
        <f t="shared" si="54"/>
        <v>229</v>
      </c>
    </row>
    <row r="246" spans="1:22" hidden="1">
      <c r="A246" s="2124">
        <f t="shared" si="55"/>
        <v>1</v>
      </c>
      <c r="B246" s="2073">
        <v>230</v>
      </c>
      <c r="C246" s="2104">
        <f t="shared" si="56"/>
        <v>0</v>
      </c>
      <c r="D246" s="2125">
        <f t="shared" si="44"/>
        <v>0.03</v>
      </c>
      <c r="E246" s="2104">
        <f t="shared" si="50"/>
        <v>0</v>
      </c>
      <c r="F246" s="2135"/>
      <c r="G246" s="2127">
        <f t="shared" si="57"/>
        <v>3</v>
      </c>
      <c r="H246" s="2075">
        <v>230</v>
      </c>
      <c r="I246" s="2104">
        <f t="shared" si="51"/>
        <v>0</v>
      </c>
      <c r="J246" s="2125">
        <f t="shared" si="52"/>
        <v>3.5000000000000003E-2</v>
      </c>
      <c r="K246" s="2083"/>
      <c r="L246" s="2106"/>
      <c r="N246" s="2071">
        <f t="shared" si="53"/>
        <v>230</v>
      </c>
      <c r="O246" s="2130">
        <f>IF(D245=D246,O245+0.00001,ROUNDDOWN(MAX($O$16:$O245),0)+1)</f>
        <v>2.3000000000000052E-3</v>
      </c>
      <c r="P246" s="2131">
        <f t="shared" si="45"/>
        <v>0</v>
      </c>
      <c r="Q246" s="2131">
        <f t="shared" si="46"/>
        <v>0</v>
      </c>
      <c r="R246" s="2131">
        <f t="shared" si="47"/>
        <v>0</v>
      </c>
      <c r="S246" s="2130">
        <f>IF(J245=J246,S245+0.00001,ROUNDDOWN(MAX($S$16:$S245),0)+1)</f>
        <v>2.0011000000000072</v>
      </c>
      <c r="T246" s="2131">
        <f t="shared" si="48"/>
        <v>0</v>
      </c>
      <c r="U246" s="2131">
        <f t="shared" si="49"/>
        <v>0</v>
      </c>
      <c r="V246" s="2071">
        <f t="shared" si="54"/>
        <v>230</v>
      </c>
    </row>
    <row r="247" spans="1:22" hidden="1">
      <c r="A247" s="2124">
        <f t="shared" si="55"/>
        <v>1</v>
      </c>
      <c r="B247" s="2073">
        <v>231</v>
      </c>
      <c r="C247" s="2104">
        <f t="shared" si="56"/>
        <v>0</v>
      </c>
      <c r="D247" s="2125">
        <f t="shared" si="44"/>
        <v>0.03</v>
      </c>
      <c r="E247" s="2104">
        <f t="shared" si="50"/>
        <v>0</v>
      </c>
      <c r="F247" s="2135"/>
      <c r="G247" s="2127">
        <f t="shared" si="57"/>
        <v>3</v>
      </c>
      <c r="H247" s="2075">
        <v>231</v>
      </c>
      <c r="I247" s="2104">
        <f t="shared" si="51"/>
        <v>0</v>
      </c>
      <c r="J247" s="2125">
        <f t="shared" si="52"/>
        <v>3.5000000000000003E-2</v>
      </c>
      <c r="K247" s="2083"/>
      <c r="L247" s="2106"/>
      <c r="N247" s="2071">
        <f t="shared" si="53"/>
        <v>231</v>
      </c>
      <c r="O247" s="2130">
        <f>IF(D246=D247,O246+0.00001,ROUNDDOWN(MAX($O$16:$O246),0)+1)</f>
        <v>2.3100000000000052E-3</v>
      </c>
      <c r="P247" s="2131">
        <f t="shared" si="45"/>
        <v>0</v>
      </c>
      <c r="Q247" s="2131">
        <f t="shared" si="46"/>
        <v>0</v>
      </c>
      <c r="R247" s="2131">
        <f t="shared" si="47"/>
        <v>0</v>
      </c>
      <c r="S247" s="2130">
        <f>IF(J246=J247,S246+0.00001,ROUNDDOWN(MAX($S$16:$S246),0)+1)</f>
        <v>2.0011100000000073</v>
      </c>
      <c r="T247" s="2131">
        <f t="shared" si="48"/>
        <v>0</v>
      </c>
      <c r="U247" s="2131">
        <f t="shared" si="49"/>
        <v>0</v>
      </c>
      <c r="V247" s="2071">
        <f t="shared" si="54"/>
        <v>231</v>
      </c>
    </row>
    <row r="248" spans="1:22" hidden="1">
      <c r="A248" s="2124">
        <f t="shared" si="55"/>
        <v>1</v>
      </c>
      <c r="B248" s="2073">
        <v>232</v>
      </c>
      <c r="C248" s="2104">
        <f t="shared" si="56"/>
        <v>0</v>
      </c>
      <c r="D248" s="2125">
        <f t="shared" si="44"/>
        <v>0.03</v>
      </c>
      <c r="E248" s="2104">
        <f t="shared" si="50"/>
        <v>0</v>
      </c>
      <c r="F248" s="2135"/>
      <c r="G248" s="2127">
        <f t="shared" si="57"/>
        <v>3</v>
      </c>
      <c r="H248" s="2075">
        <v>232</v>
      </c>
      <c r="I248" s="2104">
        <f t="shared" si="51"/>
        <v>0</v>
      </c>
      <c r="J248" s="2125">
        <f t="shared" si="52"/>
        <v>3.5000000000000003E-2</v>
      </c>
      <c r="K248" s="2083"/>
      <c r="L248" s="2106"/>
      <c r="N248" s="2071">
        <f t="shared" si="53"/>
        <v>232</v>
      </c>
      <c r="O248" s="2130">
        <f>IF(D247=D248,O247+0.00001,ROUNDDOWN(MAX($O$16:$O247),0)+1)</f>
        <v>2.3200000000000052E-3</v>
      </c>
      <c r="P248" s="2131">
        <f t="shared" si="45"/>
        <v>0</v>
      </c>
      <c r="Q248" s="2131">
        <f t="shared" si="46"/>
        <v>0</v>
      </c>
      <c r="R248" s="2131">
        <f t="shared" si="47"/>
        <v>0</v>
      </c>
      <c r="S248" s="2130">
        <f>IF(J247=J248,S247+0.00001,ROUNDDOWN(MAX($S$16:$S247),0)+1)</f>
        <v>2.0011200000000073</v>
      </c>
      <c r="T248" s="2131">
        <f t="shared" si="48"/>
        <v>0</v>
      </c>
      <c r="U248" s="2131">
        <f t="shared" si="49"/>
        <v>0</v>
      </c>
      <c r="V248" s="2071">
        <f t="shared" si="54"/>
        <v>232</v>
      </c>
    </row>
    <row r="249" spans="1:22" hidden="1">
      <c r="A249" s="2124">
        <f t="shared" si="55"/>
        <v>1</v>
      </c>
      <c r="B249" s="2073">
        <v>233</v>
      </c>
      <c r="C249" s="2104">
        <f t="shared" si="56"/>
        <v>0</v>
      </c>
      <c r="D249" s="2125">
        <f t="shared" si="44"/>
        <v>0.03</v>
      </c>
      <c r="E249" s="2104">
        <f t="shared" si="50"/>
        <v>0</v>
      </c>
      <c r="F249" s="2135"/>
      <c r="G249" s="2127">
        <f t="shared" si="57"/>
        <v>3</v>
      </c>
      <c r="H249" s="2075">
        <v>233</v>
      </c>
      <c r="I249" s="2104">
        <f t="shared" si="51"/>
        <v>0</v>
      </c>
      <c r="J249" s="2125">
        <f t="shared" si="52"/>
        <v>3.5000000000000003E-2</v>
      </c>
      <c r="K249" s="2083"/>
      <c r="L249" s="2106"/>
      <c r="N249" s="2071">
        <f t="shared" si="53"/>
        <v>233</v>
      </c>
      <c r="O249" s="2130">
        <f>IF(D248=D249,O248+0.00001,ROUNDDOWN(MAX($O$16:$O248),0)+1)</f>
        <v>2.3300000000000052E-3</v>
      </c>
      <c r="P249" s="2131">
        <f t="shared" si="45"/>
        <v>0</v>
      </c>
      <c r="Q249" s="2131">
        <f t="shared" si="46"/>
        <v>0</v>
      </c>
      <c r="R249" s="2131">
        <f t="shared" si="47"/>
        <v>0</v>
      </c>
      <c r="S249" s="2130">
        <f>IF(J248=J249,S248+0.00001,ROUNDDOWN(MAX($S$16:$S248),0)+1)</f>
        <v>2.0011300000000074</v>
      </c>
      <c r="T249" s="2131">
        <f t="shared" si="48"/>
        <v>0</v>
      </c>
      <c r="U249" s="2131">
        <f t="shared" si="49"/>
        <v>0</v>
      </c>
      <c r="V249" s="2071">
        <f t="shared" si="54"/>
        <v>233</v>
      </c>
    </row>
    <row r="250" spans="1:22" hidden="1">
      <c r="A250" s="2124">
        <f t="shared" si="55"/>
        <v>1</v>
      </c>
      <c r="B250" s="2073">
        <v>234</v>
      </c>
      <c r="C250" s="2104">
        <f t="shared" si="56"/>
        <v>0</v>
      </c>
      <c r="D250" s="2125">
        <f t="shared" si="44"/>
        <v>0.03</v>
      </c>
      <c r="E250" s="2104">
        <f t="shared" si="50"/>
        <v>0</v>
      </c>
      <c r="F250" s="2135"/>
      <c r="G250" s="2127">
        <f t="shared" si="57"/>
        <v>3</v>
      </c>
      <c r="H250" s="2075">
        <v>234</v>
      </c>
      <c r="I250" s="2104">
        <f t="shared" si="51"/>
        <v>0</v>
      </c>
      <c r="J250" s="2125">
        <f t="shared" si="52"/>
        <v>3.5000000000000003E-2</v>
      </c>
      <c r="K250" s="2083"/>
      <c r="L250" s="2106"/>
      <c r="N250" s="2071">
        <f t="shared" si="53"/>
        <v>234</v>
      </c>
      <c r="O250" s="2130">
        <f>IF(D249=D250,O249+0.00001,ROUNDDOWN(MAX($O$16:$O249),0)+1)</f>
        <v>2.3400000000000053E-3</v>
      </c>
      <c r="P250" s="2131">
        <f t="shared" si="45"/>
        <v>0</v>
      </c>
      <c r="Q250" s="2131">
        <f t="shared" si="46"/>
        <v>0</v>
      </c>
      <c r="R250" s="2131">
        <f t="shared" si="47"/>
        <v>0</v>
      </c>
      <c r="S250" s="2130">
        <f>IF(J249=J250,S249+0.00001,ROUNDDOWN(MAX($S$16:$S249),0)+1)</f>
        <v>2.0011400000000075</v>
      </c>
      <c r="T250" s="2131">
        <f t="shared" si="48"/>
        <v>0</v>
      </c>
      <c r="U250" s="2131">
        <f t="shared" si="49"/>
        <v>0</v>
      </c>
      <c r="V250" s="2071">
        <f t="shared" si="54"/>
        <v>234</v>
      </c>
    </row>
    <row r="251" spans="1:22" hidden="1">
      <c r="A251" s="2124">
        <f t="shared" si="55"/>
        <v>1</v>
      </c>
      <c r="B251" s="2073">
        <v>235</v>
      </c>
      <c r="C251" s="2104">
        <f t="shared" si="56"/>
        <v>0</v>
      </c>
      <c r="D251" s="2125">
        <f t="shared" si="44"/>
        <v>0.03</v>
      </c>
      <c r="E251" s="2104">
        <f t="shared" si="50"/>
        <v>0</v>
      </c>
      <c r="F251" s="2135"/>
      <c r="G251" s="2127">
        <f t="shared" si="57"/>
        <v>3</v>
      </c>
      <c r="H251" s="2075">
        <v>235</v>
      </c>
      <c r="I251" s="2104">
        <f t="shared" si="51"/>
        <v>0</v>
      </c>
      <c r="J251" s="2125">
        <f t="shared" si="52"/>
        <v>3.5000000000000003E-2</v>
      </c>
      <c r="K251" s="2083"/>
      <c r="L251" s="2106"/>
      <c r="N251" s="2071">
        <f t="shared" si="53"/>
        <v>235</v>
      </c>
      <c r="O251" s="2130">
        <f>IF(D250=D251,O250+0.00001,ROUNDDOWN(MAX($O$16:$O250),0)+1)</f>
        <v>2.3500000000000053E-3</v>
      </c>
      <c r="P251" s="2131">
        <f t="shared" si="45"/>
        <v>0</v>
      </c>
      <c r="Q251" s="2131">
        <f t="shared" si="46"/>
        <v>0</v>
      </c>
      <c r="R251" s="2131">
        <f t="shared" si="47"/>
        <v>0</v>
      </c>
      <c r="S251" s="2130">
        <f>IF(J250=J251,S250+0.00001,ROUNDDOWN(MAX($S$16:$S250),0)+1)</f>
        <v>2.0011500000000075</v>
      </c>
      <c r="T251" s="2131">
        <f t="shared" si="48"/>
        <v>0</v>
      </c>
      <c r="U251" s="2131">
        <f t="shared" si="49"/>
        <v>0</v>
      </c>
      <c r="V251" s="2071">
        <f t="shared" si="54"/>
        <v>235</v>
      </c>
    </row>
    <row r="252" spans="1:22" hidden="1">
      <c r="A252" s="2124">
        <f t="shared" si="55"/>
        <v>1</v>
      </c>
      <c r="B252" s="2073">
        <v>236</v>
      </c>
      <c r="C252" s="2104">
        <f t="shared" si="56"/>
        <v>0</v>
      </c>
      <c r="D252" s="2125">
        <f t="shared" si="44"/>
        <v>0.03</v>
      </c>
      <c r="E252" s="2104">
        <f t="shared" si="50"/>
        <v>0</v>
      </c>
      <c r="F252" s="2135"/>
      <c r="G252" s="2127">
        <f t="shared" si="57"/>
        <v>3</v>
      </c>
      <c r="H252" s="2075">
        <v>236</v>
      </c>
      <c r="I252" s="2104">
        <f t="shared" si="51"/>
        <v>0</v>
      </c>
      <c r="J252" s="2125">
        <f t="shared" si="52"/>
        <v>3.5000000000000003E-2</v>
      </c>
      <c r="K252" s="2083"/>
      <c r="L252" s="2106"/>
      <c r="N252" s="2071">
        <f t="shared" si="53"/>
        <v>236</v>
      </c>
      <c r="O252" s="2130">
        <f>IF(D251=D252,O251+0.00001,ROUNDDOWN(MAX($O$16:$O251),0)+1)</f>
        <v>2.3600000000000053E-3</v>
      </c>
      <c r="P252" s="2131">
        <f t="shared" si="45"/>
        <v>0</v>
      </c>
      <c r="Q252" s="2131">
        <f t="shared" si="46"/>
        <v>0</v>
      </c>
      <c r="R252" s="2131">
        <f t="shared" si="47"/>
        <v>0</v>
      </c>
      <c r="S252" s="2130">
        <f>IF(J251=J252,S251+0.00001,ROUNDDOWN(MAX($S$16:$S251),0)+1)</f>
        <v>2.0011600000000076</v>
      </c>
      <c r="T252" s="2131">
        <f t="shared" si="48"/>
        <v>0</v>
      </c>
      <c r="U252" s="2131">
        <f t="shared" si="49"/>
        <v>0</v>
      </c>
      <c r="V252" s="2071">
        <f t="shared" si="54"/>
        <v>236</v>
      </c>
    </row>
    <row r="253" spans="1:22" hidden="1">
      <c r="A253" s="2124">
        <f t="shared" si="55"/>
        <v>1</v>
      </c>
      <c r="B253" s="2073">
        <v>237</v>
      </c>
      <c r="C253" s="2104">
        <f t="shared" si="56"/>
        <v>0</v>
      </c>
      <c r="D253" s="2125">
        <f t="shared" si="44"/>
        <v>0.03</v>
      </c>
      <c r="E253" s="2104">
        <f t="shared" si="50"/>
        <v>0</v>
      </c>
      <c r="F253" s="2135"/>
      <c r="G253" s="2127">
        <f t="shared" si="57"/>
        <v>3</v>
      </c>
      <c r="H253" s="2075">
        <v>237</v>
      </c>
      <c r="I253" s="2104">
        <f t="shared" si="51"/>
        <v>0</v>
      </c>
      <c r="J253" s="2125">
        <f t="shared" si="52"/>
        <v>3.5000000000000003E-2</v>
      </c>
      <c r="K253" s="2083"/>
      <c r="L253" s="2106"/>
      <c r="N253" s="2071">
        <f t="shared" si="53"/>
        <v>237</v>
      </c>
      <c r="O253" s="2130">
        <f>IF(D252=D253,O252+0.00001,ROUNDDOWN(MAX($O$16:$O252),0)+1)</f>
        <v>2.3700000000000053E-3</v>
      </c>
      <c r="P253" s="2131">
        <f t="shared" si="45"/>
        <v>0</v>
      </c>
      <c r="Q253" s="2131">
        <f t="shared" si="46"/>
        <v>0</v>
      </c>
      <c r="R253" s="2131">
        <f t="shared" si="47"/>
        <v>0</v>
      </c>
      <c r="S253" s="2130">
        <f>IF(J252=J253,S252+0.00001,ROUNDDOWN(MAX($S$16:$S252),0)+1)</f>
        <v>2.0011700000000077</v>
      </c>
      <c r="T253" s="2131">
        <f t="shared" si="48"/>
        <v>0</v>
      </c>
      <c r="U253" s="2131">
        <f t="shared" si="49"/>
        <v>0</v>
      </c>
      <c r="V253" s="2071">
        <f t="shared" si="54"/>
        <v>237</v>
      </c>
    </row>
    <row r="254" spans="1:22" hidden="1">
      <c r="A254" s="2124">
        <f t="shared" si="55"/>
        <v>1</v>
      </c>
      <c r="B254" s="2073">
        <v>238</v>
      </c>
      <c r="C254" s="2104">
        <f t="shared" si="56"/>
        <v>0</v>
      </c>
      <c r="D254" s="2125">
        <f t="shared" si="44"/>
        <v>0.03</v>
      </c>
      <c r="E254" s="2104">
        <f t="shared" si="50"/>
        <v>0</v>
      </c>
      <c r="F254" s="2135"/>
      <c r="G254" s="2127">
        <f t="shared" si="57"/>
        <v>3</v>
      </c>
      <c r="H254" s="2075">
        <v>238</v>
      </c>
      <c r="I254" s="2104">
        <f t="shared" si="51"/>
        <v>0</v>
      </c>
      <c r="J254" s="2125">
        <f t="shared" si="52"/>
        <v>3.5000000000000003E-2</v>
      </c>
      <c r="K254" s="2083"/>
      <c r="L254" s="2106"/>
      <c r="N254" s="2071">
        <f t="shared" si="53"/>
        <v>238</v>
      </c>
      <c r="O254" s="2130">
        <f>IF(D253=D254,O253+0.00001,ROUNDDOWN(MAX($O$16:$O253),0)+1)</f>
        <v>2.3800000000000054E-3</v>
      </c>
      <c r="P254" s="2131">
        <f t="shared" si="45"/>
        <v>0</v>
      </c>
      <c r="Q254" s="2131">
        <f t="shared" si="46"/>
        <v>0</v>
      </c>
      <c r="R254" s="2131">
        <f t="shared" si="47"/>
        <v>0</v>
      </c>
      <c r="S254" s="2130">
        <f>IF(J253=J254,S253+0.00001,ROUNDDOWN(MAX($S$16:$S253),0)+1)</f>
        <v>2.0011800000000077</v>
      </c>
      <c r="T254" s="2131">
        <f t="shared" si="48"/>
        <v>0</v>
      </c>
      <c r="U254" s="2131">
        <f t="shared" si="49"/>
        <v>0</v>
      </c>
      <c r="V254" s="2071">
        <f t="shared" si="54"/>
        <v>238</v>
      </c>
    </row>
    <row r="255" spans="1:22" hidden="1">
      <c r="A255" s="2124">
        <f t="shared" si="55"/>
        <v>1</v>
      </c>
      <c r="B255" s="2073">
        <v>239</v>
      </c>
      <c r="C255" s="2104">
        <f t="shared" si="56"/>
        <v>0</v>
      </c>
      <c r="D255" s="2125">
        <f t="shared" si="44"/>
        <v>0.03</v>
      </c>
      <c r="E255" s="2104">
        <f t="shared" si="50"/>
        <v>0</v>
      </c>
      <c r="F255" s="2135"/>
      <c r="G255" s="2127">
        <f t="shared" si="57"/>
        <v>3</v>
      </c>
      <c r="H255" s="2075">
        <v>239</v>
      </c>
      <c r="I255" s="2104">
        <f t="shared" si="51"/>
        <v>0</v>
      </c>
      <c r="J255" s="2125">
        <f t="shared" si="52"/>
        <v>3.5000000000000003E-2</v>
      </c>
      <c r="K255" s="2083"/>
      <c r="L255" s="2106"/>
      <c r="N255" s="2071">
        <f t="shared" si="53"/>
        <v>239</v>
      </c>
      <c r="O255" s="2130">
        <f>IF(D254=D255,O254+0.00001,ROUNDDOWN(MAX($O$16:$O254),0)+1)</f>
        <v>2.3900000000000054E-3</v>
      </c>
      <c r="P255" s="2131">
        <f t="shared" si="45"/>
        <v>0</v>
      </c>
      <c r="Q255" s="2131">
        <f t="shared" si="46"/>
        <v>0</v>
      </c>
      <c r="R255" s="2131">
        <f t="shared" si="47"/>
        <v>0</v>
      </c>
      <c r="S255" s="2130">
        <f>IF(J254=J255,S254+0.00001,ROUNDDOWN(MAX($S$16:$S254),0)+1)</f>
        <v>2.0011900000000078</v>
      </c>
      <c r="T255" s="2131">
        <f t="shared" si="48"/>
        <v>0</v>
      </c>
      <c r="U255" s="2131">
        <f t="shared" si="49"/>
        <v>0</v>
      </c>
      <c r="V255" s="2071">
        <f t="shared" si="54"/>
        <v>239</v>
      </c>
    </row>
    <row r="256" spans="1:22" hidden="1">
      <c r="A256" s="2124">
        <f t="shared" si="55"/>
        <v>1</v>
      </c>
      <c r="B256" s="2073">
        <v>240</v>
      </c>
      <c r="C256" s="2104">
        <f t="shared" si="56"/>
        <v>0</v>
      </c>
      <c r="D256" s="2125">
        <f t="shared" si="44"/>
        <v>0.03</v>
      </c>
      <c r="E256" s="2104">
        <f t="shared" si="50"/>
        <v>0</v>
      </c>
      <c r="F256" s="2135"/>
      <c r="G256" s="2127">
        <f t="shared" si="57"/>
        <v>3</v>
      </c>
      <c r="H256" s="2075">
        <v>240</v>
      </c>
      <c r="I256" s="2104">
        <f t="shared" si="51"/>
        <v>0</v>
      </c>
      <c r="J256" s="2125">
        <f t="shared" si="52"/>
        <v>3.5000000000000003E-2</v>
      </c>
      <c r="K256" s="2083"/>
      <c r="L256" s="2106"/>
      <c r="N256" s="2071">
        <f t="shared" si="53"/>
        <v>240</v>
      </c>
      <c r="O256" s="2130">
        <f>IF(D255=D256,O255+0.00001,ROUNDDOWN(MAX($O$16:$O255),0)+1)</f>
        <v>2.4000000000000054E-3</v>
      </c>
      <c r="P256" s="2131">
        <f t="shared" si="45"/>
        <v>0</v>
      </c>
      <c r="Q256" s="2131">
        <f t="shared" si="46"/>
        <v>0</v>
      </c>
      <c r="R256" s="2131">
        <f t="shared" si="47"/>
        <v>0</v>
      </c>
      <c r="S256" s="2130">
        <f>IF(J255=J256,S255+0.00001,ROUNDDOWN(MAX($S$16:$S255),0)+1)</f>
        <v>2.0012000000000079</v>
      </c>
      <c r="T256" s="2131">
        <f t="shared" si="48"/>
        <v>0</v>
      </c>
      <c r="U256" s="2131">
        <f t="shared" si="49"/>
        <v>0</v>
      </c>
      <c r="V256" s="2071">
        <f t="shared" si="54"/>
        <v>240</v>
      </c>
    </row>
    <row r="257" spans="1:22" hidden="1">
      <c r="A257" s="2124">
        <f t="shared" si="55"/>
        <v>1</v>
      </c>
      <c r="B257" s="2073">
        <v>241</v>
      </c>
      <c r="C257" s="2104">
        <f t="shared" si="56"/>
        <v>0</v>
      </c>
      <c r="D257" s="2125">
        <f t="shared" si="44"/>
        <v>0.03</v>
      </c>
      <c r="E257" s="2104">
        <f t="shared" si="50"/>
        <v>0</v>
      </c>
      <c r="F257" s="2135"/>
      <c r="G257" s="2127">
        <f t="shared" si="57"/>
        <v>3</v>
      </c>
      <c r="H257" s="2075">
        <v>241</v>
      </c>
      <c r="I257" s="2104">
        <f t="shared" si="51"/>
        <v>0</v>
      </c>
      <c r="J257" s="2125">
        <f t="shared" si="52"/>
        <v>3.5000000000000003E-2</v>
      </c>
      <c r="K257" s="2083"/>
      <c r="L257" s="2106"/>
      <c r="N257" s="2071">
        <f t="shared" si="53"/>
        <v>241</v>
      </c>
      <c r="O257" s="2130">
        <f>IF(D256=D257,O256+0.00001,ROUNDDOWN(MAX($O$16:$O256),0)+1)</f>
        <v>2.4100000000000055E-3</v>
      </c>
      <c r="P257" s="2131">
        <f t="shared" si="45"/>
        <v>0</v>
      </c>
      <c r="Q257" s="2131">
        <f t="shared" si="46"/>
        <v>0</v>
      </c>
      <c r="R257" s="2131">
        <f t="shared" si="47"/>
        <v>0</v>
      </c>
      <c r="S257" s="2130">
        <f>IF(J256=J257,S256+0.00001,ROUNDDOWN(MAX($S$16:$S256),0)+1)</f>
        <v>2.0012100000000079</v>
      </c>
      <c r="T257" s="2131">
        <f t="shared" si="48"/>
        <v>0</v>
      </c>
      <c r="U257" s="2131">
        <f t="shared" si="49"/>
        <v>0</v>
      </c>
      <c r="V257" s="2071">
        <f t="shared" si="54"/>
        <v>241</v>
      </c>
    </row>
    <row r="258" spans="1:22" hidden="1">
      <c r="A258" s="2124">
        <f t="shared" si="55"/>
        <v>1</v>
      </c>
      <c r="B258" s="2073">
        <v>242</v>
      </c>
      <c r="C258" s="2104">
        <f t="shared" si="56"/>
        <v>0</v>
      </c>
      <c r="D258" s="2125">
        <f t="shared" si="44"/>
        <v>0.03</v>
      </c>
      <c r="E258" s="2104">
        <f t="shared" si="50"/>
        <v>0</v>
      </c>
      <c r="F258" s="2135"/>
      <c r="G258" s="2127">
        <f t="shared" si="57"/>
        <v>3</v>
      </c>
      <c r="H258" s="2075">
        <v>242</v>
      </c>
      <c r="I258" s="2104">
        <f t="shared" si="51"/>
        <v>0</v>
      </c>
      <c r="J258" s="2125">
        <f t="shared" si="52"/>
        <v>3.5000000000000003E-2</v>
      </c>
      <c r="K258" s="2083"/>
      <c r="L258" s="2106"/>
      <c r="N258" s="2071">
        <f t="shared" si="53"/>
        <v>242</v>
      </c>
      <c r="O258" s="2130">
        <f>IF(D257=D258,O257+0.00001,ROUNDDOWN(MAX($O$16:$O257),0)+1)</f>
        <v>2.4200000000000055E-3</v>
      </c>
      <c r="P258" s="2131">
        <f t="shared" si="45"/>
        <v>0</v>
      </c>
      <c r="Q258" s="2131">
        <f t="shared" si="46"/>
        <v>0</v>
      </c>
      <c r="R258" s="2131">
        <f t="shared" si="47"/>
        <v>0</v>
      </c>
      <c r="S258" s="2130">
        <f>IF(J257=J258,S257+0.00001,ROUNDDOWN(MAX($S$16:$S257),0)+1)</f>
        <v>2.001220000000008</v>
      </c>
      <c r="T258" s="2131">
        <f t="shared" si="48"/>
        <v>0</v>
      </c>
      <c r="U258" s="2131">
        <f t="shared" si="49"/>
        <v>0</v>
      </c>
      <c r="V258" s="2071">
        <f t="shared" si="54"/>
        <v>242</v>
      </c>
    </row>
    <row r="259" spans="1:22" hidden="1">
      <c r="A259" s="2124">
        <f t="shared" si="55"/>
        <v>1</v>
      </c>
      <c r="B259" s="2073">
        <v>243</v>
      </c>
      <c r="C259" s="2104">
        <f t="shared" si="56"/>
        <v>0</v>
      </c>
      <c r="D259" s="2125">
        <f t="shared" si="44"/>
        <v>0.03</v>
      </c>
      <c r="E259" s="2104">
        <f t="shared" si="50"/>
        <v>0</v>
      </c>
      <c r="F259" s="2135"/>
      <c r="G259" s="2127">
        <f t="shared" si="57"/>
        <v>3</v>
      </c>
      <c r="H259" s="2075">
        <v>243</v>
      </c>
      <c r="I259" s="2104">
        <f t="shared" si="51"/>
        <v>0</v>
      </c>
      <c r="J259" s="2125">
        <f t="shared" si="52"/>
        <v>3.5000000000000003E-2</v>
      </c>
      <c r="K259" s="2083"/>
      <c r="L259" s="2106"/>
      <c r="N259" s="2071">
        <f t="shared" si="53"/>
        <v>243</v>
      </c>
      <c r="O259" s="2130">
        <f>IF(D258=D259,O258+0.00001,ROUNDDOWN(MAX($O$16:$O258),0)+1)</f>
        <v>2.4300000000000055E-3</v>
      </c>
      <c r="P259" s="2131">
        <f t="shared" si="45"/>
        <v>0</v>
      </c>
      <c r="Q259" s="2131">
        <f t="shared" si="46"/>
        <v>0</v>
      </c>
      <c r="R259" s="2131">
        <f t="shared" si="47"/>
        <v>0</v>
      </c>
      <c r="S259" s="2130">
        <f>IF(J258=J259,S258+0.00001,ROUNDDOWN(MAX($S$16:$S258),0)+1)</f>
        <v>2.0012300000000081</v>
      </c>
      <c r="T259" s="2131">
        <f t="shared" si="48"/>
        <v>0</v>
      </c>
      <c r="U259" s="2131">
        <f t="shared" si="49"/>
        <v>0</v>
      </c>
      <c r="V259" s="2071">
        <f t="shared" si="54"/>
        <v>243</v>
      </c>
    </row>
    <row r="260" spans="1:22" hidden="1">
      <c r="A260" s="2124">
        <f t="shared" si="55"/>
        <v>1</v>
      </c>
      <c r="B260" s="2073">
        <v>244</v>
      </c>
      <c r="C260" s="2104">
        <f t="shared" si="56"/>
        <v>0</v>
      </c>
      <c r="D260" s="2125">
        <f t="shared" si="44"/>
        <v>0.03</v>
      </c>
      <c r="E260" s="2104">
        <f t="shared" si="50"/>
        <v>0</v>
      </c>
      <c r="F260" s="2135"/>
      <c r="G260" s="2127">
        <f t="shared" si="57"/>
        <v>3</v>
      </c>
      <c r="H260" s="2075">
        <v>244</v>
      </c>
      <c r="I260" s="2104">
        <f t="shared" si="51"/>
        <v>0</v>
      </c>
      <c r="J260" s="2125">
        <f t="shared" si="52"/>
        <v>3.5000000000000003E-2</v>
      </c>
      <c r="K260" s="2083"/>
      <c r="L260" s="2106"/>
      <c r="N260" s="2071">
        <f t="shared" si="53"/>
        <v>244</v>
      </c>
      <c r="O260" s="2130">
        <f>IF(D259=D260,O259+0.00001,ROUNDDOWN(MAX($O$16:$O259),0)+1)</f>
        <v>2.4400000000000055E-3</v>
      </c>
      <c r="P260" s="2131">
        <f t="shared" si="45"/>
        <v>0</v>
      </c>
      <c r="Q260" s="2131">
        <f t="shared" si="46"/>
        <v>0</v>
      </c>
      <c r="R260" s="2131">
        <f t="shared" si="47"/>
        <v>0</v>
      </c>
      <c r="S260" s="2130">
        <f>IF(J259=J260,S259+0.00001,ROUNDDOWN(MAX($S$16:$S259),0)+1)</f>
        <v>2.0012400000000081</v>
      </c>
      <c r="T260" s="2131">
        <f t="shared" si="48"/>
        <v>0</v>
      </c>
      <c r="U260" s="2131">
        <f t="shared" si="49"/>
        <v>0</v>
      </c>
      <c r="V260" s="2071">
        <f t="shared" si="54"/>
        <v>244</v>
      </c>
    </row>
    <row r="261" spans="1:22" hidden="1">
      <c r="A261" s="2124">
        <f t="shared" si="55"/>
        <v>1</v>
      </c>
      <c r="B261" s="2073">
        <v>245</v>
      </c>
      <c r="C261" s="2104">
        <f t="shared" si="56"/>
        <v>0</v>
      </c>
      <c r="D261" s="2125">
        <f t="shared" si="44"/>
        <v>0.03</v>
      </c>
      <c r="E261" s="2104">
        <f t="shared" si="50"/>
        <v>0</v>
      </c>
      <c r="F261" s="2135"/>
      <c r="G261" s="2127">
        <f t="shared" si="57"/>
        <v>3</v>
      </c>
      <c r="H261" s="2075">
        <v>245</v>
      </c>
      <c r="I261" s="2104">
        <f t="shared" si="51"/>
        <v>0</v>
      </c>
      <c r="J261" s="2125">
        <f t="shared" si="52"/>
        <v>3.5000000000000003E-2</v>
      </c>
      <c r="K261" s="2083"/>
      <c r="L261" s="2106"/>
      <c r="N261" s="2071">
        <f t="shared" si="53"/>
        <v>245</v>
      </c>
      <c r="O261" s="2130">
        <f>IF(D260=D261,O260+0.00001,ROUNDDOWN(MAX($O$16:$O260),0)+1)</f>
        <v>2.4500000000000056E-3</v>
      </c>
      <c r="P261" s="2131">
        <f t="shared" si="45"/>
        <v>0</v>
      </c>
      <c r="Q261" s="2131">
        <f t="shared" si="46"/>
        <v>0</v>
      </c>
      <c r="R261" s="2131">
        <f t="shared" si="47"/>
        <v>0</v>
      </c>
      <c r="S261" s="2130">
        <f>IF(J260=J261,S260+0.00001,ROUNDDOWN(MAX($S$16:$S260),0)+1)</f>
        <v>2.0012500000000082</v>
      </c>
      <c r="T261" s="2131">
        <f t="shared" si="48"/>
        <v>0</v>
      </c>
      <c r="U261" s="2131">
        <f t="shared" si="49"/>
        <v>0</v>
      </c>
      <c r="V261" s="2071">
        <f t="shared" si="54"/>
        <v>245</v>
      </c>
    </row>
    <row r="262" spans="1:22" hidden="1">
      <c r="A262" s="2124">
        <f t="shared" si="55"/>
        <v>1</v>
      </c>
      <c r="B262" s="2073">
        <v>246</v>
      </c>
      <c r="C262" s="2104">
        <f t="shared" si="56"/>
        <v>0</v>
      </c>
      <c r="D262" s="2125">
        <f t="shared" si="44"/>
        <v>0.03</v>
      </c>
      <c r="E262" s="2104">
        <f t="shared" si="50"/>
        <v>0</v>
      </c>
      <c r="F262" s="2135"/>
      <c r="G262" s="2127">
        <f t="shared" si="57"/>
        <v>3</v>
      </c>
      <c r="H262" s="2075">
        <v>246</v>
      </c>
      <c r="I262" s="2104">
        <f t="shared" si="51"/>
        <v>0</v>
      </c>
      <c r="J262" s="2125">
        <f t="shared" si="52"/>
        <v>3.5000000000000003E-2</v>
      </c>
      <c r="K262" s="2083"/>
      <c r="L262" s="2106"/>
      <c r="N262" s="2071">
        <f t="shared" si="53"/>
        <v>246</v>
      </c>
      <c r="O262" s="2130">
        <f>IF(D261=D262,O261+0.00001,ROUNDDOWN(MAX($O$16:$O261),0)+1)</f>
        <v>2.4600000000000056E-3</v>
      </c>
      <c r="P262" s="2131">
        <f t="shared" si="45"/>
        <v>0</v>
      </c>
      <c r="Q262" s="2131">
        <f t="shared" si="46"/>
        <v>0</v>
      </c>
      <c r="R262" s="2131">
        <f t="shared" si="47"/>
        <v>0</v>
      </c>
      <c r="S262" s="2130">
        <f>IF(J261=J262,S261+0.00001,ROUNDDOWN(MAX($S$16:$S261),0)+1)</f>
        <v>2.0012600000000083</v>
      </c>
      <c r="T262" s="2131">
        <f t="shared" si="48"/>
        <v>0</v>
      </c>
      <c r="U262" s="2131">
        <f t="shared" si="49"/>
        <v>0</v>
      </c>
      <c r="V262" s="2071">
        <f t="shared" si="54"/>
        <v>246</v>
      </c>
    </row>
    <row r="263" spans="1:22" hidden="1">
      <c r="A263" s="2124">
        <f t="shared" si="55"/>
        <v>1</v>
      </c>
      <c r="B263" s="2073">
        <v>247</v>
      </c>
      <c r="C263" s="2104">
        <f t="shared" si="56"/>
        <v>0</v>
      </c>
      <c r="D263" s="2125">
        <f t="shared" si="44"/>
        <v>0.03</v>
      </c>
      <c r="E263" s="2104">
        <f t="shared" si="50"/>
        <v>0</v>
      </c>
      <c r="F263" s="2135"/>
      <c r="G263" s="2127">
        <f t="shared" si="57"/>
        <v>3</v>
      </c>
      <c r="H263" s="2075">
        <v>247</v>
      </c>
      <c r="I263" s="2104">
        <f t="shared" si="51"/>
        <v>0</v>
      </c>
      <c r="J263" s="2125">
        <f t="shared" si="52"/>
        <v>3.5000000000000003E-2</v>
      </c>
      <c r="K263" s="2083"/>
      <c r="L263" s="2106"/>
      <c r="N263" s="2071">
        <f t="shared" si="53"/>
        <v>247</v>
      </c>
      <c r="O263" s="2130">
        <f>IF(D262=D263,O262+0.00001,ROUNDDOWN(MAX($O$16:$O262),0)+1)</f>
        <v>2.4700000000000056E-3</v>
      </c>
      <c r="P263" s="2131">
        <f t="shared" si="45"/>
        <v>0</v>
      </c>
      <c r="Q263" s="2131">
        <f t="shared" si="46"/>
        <v>0</v>
      </c>
      <c r="R263" s="2131">
        <f t="shared" si="47"/>
        <v>0</v>
      </c>
      <c r="S263" s="2130">
        <f>IF(J262=J263,S262+0.00001,ROUNDDOWN(MAX($S$16:$S262),0)+1)</f>
        <v>2.0012700000000083</v>
      </c>
      <c r="T263" s="2131">
        <f t="shared" si="48"/>
        <v>0</v>
      </c>
      <c r="U263" s="2131">
        <f t="shared" si="49"/>
        <v>0</v>
      </c>
      <c r="V263" s="2071">
        <f t="shared" si="54"/>
        <v>247</v>
      </c>
    </row>
    <row r="264" spans="1:22" hidden="1">
      <c r="A264" s="2124">
        <f t="shared" si="55"/>
        <v>1</v>
      </c>
      <c r="B264" s="2073">
        <v>248</v>
      </c>
      <c r="C264" s="2104">
        <f t="shared" si="56"/>
        <v>0</v>
      </c>
      <c r="D264" s="2125">
        <f t="shared" si="44"/>
        <v>0.03</v>
      </c>
      <c r="E264" s="2104">
        <f t="shared" si="50"/>
        <v>0</v>
      </c>
      <c r="F264" s="2135"/>
      <c r="G264" s="2127">
        <f t="shared" si="57"/>
        <v>3</v>
      </c>
      <c r="H264" s="2075">
        <v>248</v>
      </c>
      <c r="I264" s="2104">
        <f t="shared" si="51"/>
        <v>0</v>
      </c>
      <c r="J264" s="2125">
        <f t="shared" si="52"/>
        <v>3.5000000000000003E-2</v>
      </c>
      <c r="K264" s="2083"/>
      <c r="L264" s="2106"/>
      <c r="N264" s="2071">
        <f t="shared" si="53"/>
        <v>248</v>
      </c>
      <c r="O264" s="2130">
        <f>IF(D263=D264,O263+0.00001,ROUNDDOWN(MAX($O$16:$O263),0)+1)</f>
        <v>2.4800000000000056E-3</v>
      </c>
      <c r="P264" s="2131">
        <f t="shared" si="45"/>
        <v>0</v>
      </c>
      <c r="Q264" s="2131">
        <f t="shared" si="46"/>
        <v>0</v>
      </c>
      <c r="R264" s="2131">
        <f t="shared" si="47"/>
        <v>0</v>
      </c>
      <c r="S264" s="2130">
        <f>IF(J263=J264,S263+0.00001,ROUNDDOWN(MAX($S$16:$S263),0)+1)</f>
        <v>2.0012800000000084</v>
      </c>
      <c r="T264" s="2131">
        <f t="shared" si="48"/>
        <v>0</v>
      </c>
      <c r="U264" s="2131">
        <f t="shared" si="49"/>
        <v>0</v>
      </c>
      <c r="V264" s="2071">
        <f t="shared" si="54"/>
        <v>248</v>
      </c>
    </row>
    <row r="265" spans="1:22" hidden="1">
      <c r="A265" s="2124">
        <f t="shared" si="55"/>
        <v>1</v>
      </c>
      <c r="B265" s="2073">
        <v>249</v>
      </c>
      <c r="C265" s="2104">
        <f t="shared" si="56"/>
        <v>0</v>
      </c>
      <c r="D265" s="2125">
        <f t="shared" si="44"/>
        <v>0.03</v>
      </c>
      <c r="E265" s="2104">
        <f t="shared" si="50"/>
        <v>0</v>
      </c>
      <c r="F265" s="2135"/>
      <c r="G265" s="2127">
        <f t="shared" si="57"/>
        <v>3</v>
      </c>
      <c r="H265" s="2075">
        <v>249</v>
      </c>
      <c r="I265" s="2104">
        <f t="shared" si="51"/>
        <v>0</v>
      </c>
      <c r="J265" s="2125">
        <f t="shared" si="52"/>
        <v>3.5000000000000003E-2</v>
      </c>
      <c r="K265" s="2083"/>
      <c r="L265" s="2106"/>
      <c r="N265" s="2071">
        <f t="shared" si="53"/>
        <v>249</v>
      </c>
      <c r="O265" s="2130">
        <f>IF(D264=D265,O264+0.00001,ROUNDDOWN(MAX($O$16:$O264),0)+1)</f>
        <v>2.4900000000000057E-3</v>
      </c>
      <c r="P265" s="2131">
        <f t="shared" si="45"/>
        <v>0</v>
      </c>
      <c r="Q265" s="2131">
        <f t="shared" si="46"/>
        <v>0</v>
      </c>
      <c r="R265" s="2131">
        <f t="shared" si="47"/>
        <v>0</v>
      </c>
      <c r="S265" s="2130">
        <f>IF(J264=J265,S264+0.00001,ROUNDDOWN(MAX($S$16:$S264),0)+1)</f>
        <v>2.0012900000000085</v>
      </c>
      <c r="T265" s="2131">
        <f t="shared" si="48"/>
        <v>0</v>
      </c>
      <c r="U265" s="2131">
        <f t="shared" si="49"/>
        <v>0</v>
      </c>
      <c r="V265" s="2071">
        <f t="shared" si="54"/>
        <v>249</v>
      </c>
    </row>
    <row r="266" spans="1:22" hidden="1">
      <c r="A266" s="2124">
        <f t="shared" si="55"/>
        <v>1</v>
      </c>
      <c r="B266" s="2073">
        <v>250</v>
      </c>
      <c r="C266" s="2104">
        <f t="shared" si="56"/>
        <v>0</v>
      </c>
      <c r="D266" s="2125">
        <f t="shared" si="44"/>
        <v>0.03</v>
      </c>
      <c r="E266" s="2104">
        <f t="shared" si="50"/>
        <v>0</v>
      </c>
      <c r="F266" s="2135"/>
      <c r="G266" s="2127">
        <f t="shared" si="57"/>
        <v>3</v>
      </c>
      <c r="H266" s="2075">
        <v>250</v>
      </c>
      <c r="I266" s="2104">
        <f t="shared" si="51"/>
        <v>0</v>
      </c>
      <c r="J266" s="2125">
        <f t="shared" si="52"/>
        <v>3.5000000000000003E-2</v>
      </c>
      <c r="K266" s="2083"/>
      <c r="L266" s="2106"/>
      <c r="N266" s="2071">
        <f t="shared" si="53"/>
        <v>250</v>
      </c>
      <c r="O266" s="2130">
        <f>IF(D265=D266,O265+0.00001,ROUNDDOWN(MAX($O$16:$O265),0)+1)</f>
        <v>2.5000000000000057E-3</v>
      </c>
      <c r="P266" s="2131">
        <f t="shared" si="45"/>
        <v>0</v>
      </c>
      <c r="Q266" s="2131">
        <f t="shared" si="46"/>
        <v>0</v>
      </c>
      <c r="R266" s="2131">
        <f t="shared" si="47"/>
        <v>0</v>
      </c>
      <c r="S266" s="2130">
        <f>IF(J265=J266,S265+0.00001,ROUNDDOWN(MAX($S$16:$S265),0)+1)</f>
        <v>2.0013000000000085</v>
      </c>
      <c r="T266" s="2131">
        <f t="shared" si="48"/>
        <v>0</v>
      </c>
      <c r="U266" s="2131">
        <f t="shared" si="49"/>
        <v>0</v>
      </c>
      <c r="V266" s="2071">
        <f t="shared" si="54"/>
        <v>250</v>
      </c>
    </row>
    <row r="267" spans="1:22" hidden="1">
      <c r="A267" s="2124">
        <f t="shared" si="55"/>
        <v>1</v>
      </c>
      <c r="B267" s="2073">
        <v>251</v>
      </c>
      <c r="C267" s="2104">
        <f t="shared" si="56"/>
        <v>0</v>
      </c>
      <c r="D267" s="2125">
        <f t="shared" si="44"/>
        <v>0.03</v>
      </c>
      <c r="E267" s="2104">
        <f t="shared" si="50"/>
        <v>0</v>
      </c>
      <c r="F267" s="2135"/>
      <c r="G267" s="2127">
        <f t="shared" si="57"/>
        <v>3</v>
      </c>
      <c r="H267" s="2075">
        <v>251</v>
      </c>
      <c r="I267" s="2104">
        <f t="shared" si="51"/>
        <v>0</v>
      </c>
      <c r="J267" s="2125">
        <f t="shared" si="52"/>
        <v>3.5000000000000003E-2</v>
      </c>
      <c r="K267" s="2083"/>
      <c r="L267" s="2106"/>
      <c r="N267" s="2071">
        <f t="shared" si="53"/>
        <v>251</v>
      </c>
      <c r="O267" s="2130">
        <f>IF(D266=D267,O266+0.00001,ROUNDDOWN(MAX($O$16:$O266),0)+1)</f>
        <v>2.5100000000000057E-3</v>
      </c>
      <c r="P267" s="2131">
        <f t="shared" si="45"/>
        <v>0</v>
      </c>
      <c r="Q267" s="2131">
        <f t="shared" si="46"/>
        <v>0</v>
      </c>
      <c r="R267" s="2131">
        <f t="shared" si="47"/>
        <v>0</v>
      </c>
      <c r="S267" s="2130">
        <f>IF(J266=J267,S266+0.00001,ROUNDDOWN(MAX($S$16:$S266),0)+1)</f>
        <v>2.0013100000000086</v>
      </c>
      <c r="T267" s="2131">
        <f t="shared" si="48"/>
        <v>0</v>
      </c>
      <c r="U267" s="2131">
        <f t="shared" si="49"/>
        <v>0</v>
      </c>
      <c r="V267" s="2071">
        <f t="shared" si="54"/>
        <v>251</v>
      </c>
    </row>
    <row r="268" spans="1:22" hidden="1">
      <c r="A268" s="2124">
        <f t="shared" si="55"/>
        <v>1</v>
      </c>
      <c r="B268" s="2073">
        <v>252</v>
      </c>
      <c r="C268" s="2104">
        <f t="shared" si="56"/>
        <v>0</v>
      </c>
      <c r="D268" s="2125">
        <f t="shared" si="44"/>
        <v>0.03</v>
      </c>
      <c r="E268" s="2104">
        <f t="shared" si="50"/>
        <v>0</v>
      </c>
      <c r="F268" s="2135"/>
      <c r="G268" s="2127">
        <f t="shared" si="57"/>
        <v>3</v>
      </c>
      <c r="H268" s="2075">
        <v>252</v>
      </c>
      <c r="I268" s="2104">
        <f t="shared" si="51"/>
        <v>0</v>
      </c>
      <c r="J268" s="2125">
        <f t="shared" si="52"/>
        <v>3.5000000000000003E-2</v>
      </c>
      <c r="K268" s="2083"/>
      <c r="L268" s="2106"/>
      <c r="N268" s="2071">
        <f t="shared" si="53"/>
        <v>252</v>
      </c>
      <c r="O268" s="2130">
        <f>IF(D267=D268,O267+0.00001,ROUNDDOWN(MAX($O$16:$O267),0)+1)</f>
        <v>2.5200000000000057E-3</v>
      </c>
      <c r="P268" s="2131">
        <f t="shared" si="45"/>
        <v>0</v>
      </c>
      <c r="Q268" s="2131">
        <f t="shared" si="46"/>
        <v>0</v>
      </c>
      <c r="R268" s="2131">
        <f t="shared" si="47"/>
        <v>0</v>
      </c>
      <c r="S268" s="2130">
        <f>IF(J267=J268,S267+0.00001,ROUNDDOWN(MAX($S$16:$S267),0)+1)</f>
        <v>2.0013200000000086</v>
      </c>
      <c r="T268" s="2131">
        <f t="shared" si="48"/>
        <v>0</v>
      </c>
      <c r="U268" s="2131">
        <f t="shared" si="49"/>
        <v>0</v>
      </c>
      <c r="V268" s="2071">
        <f t="shared" si="54"/>
        <v>252</v>
      </c>
    </row>
    <row r="269" spans="1:22" hidden="1">
      <c r="A269" s="2124">
        <f t="shared" si="55"/>
        <v>1</v>
      </c>
      <c r="B269" s="2073">
        <v>253</v>
      </c>
      <c r="C269" s="2104">
        <f t="shared" si="56"/>
        <v>0</v>
      </c>
      <c r="D269" s="2125">
        <f t="shared" si="44"/>
        <v>0.03</v>
      </c>
      <c r="E269" s="2104">
        <f t="shared" si="50"/>
        <v>0</v>
      </c>
      <c r="F269" s="2135"/>
      <c r="G269" s="2127">
        <f t="shared" si="57"/>
        <v>3</v>
      </c>
      <c r="H269" s="2075">
        <v>253</v>
      </c>
      <c r="I269" s="2104">
        <f t="shared" si="51"/>
        <v>0</v>
      </c>
      <c r="J269" s="2125">
        <f t="shared" si="52"/>
        <v>3.5000000000000003E-2</v>
      </c>
      <c r="K269" s="2083"/>
      <c r="L269" s="2106"/>
      <c r="N269" s="2071">
        <f t="shared" si="53"/>
        <v>253</v>
      </c>
      <c r="O269" s="2130">
        <f>IF(D268=D269,O268+0.00001,ROUNDDOWN(MAX($O$16:$O268),0)+1)</f>
        <v>2.5300000000000058E-3</v>
      </c>
      <c r="P269" s="2131">
        <f t="shared" si="45"/>
        <v>0</v>
      </c>
      <c r="Q269" s="2131">
        <f t="shared" si="46"/>
        <v>0</v>
      </c>
      <c r="R269" s="2131">
        <f t="shared" si="47"/>
        <v>0</v>
      </c>
      <c r="S269" s="2130">
        <f>IF(J268=J269,S268+0.00001,ROUNDDOWN(MAX($S$16:$S268),0)+1)</f>
        <v>2.0013300000000087</v>
      </c>
      <c r="T269" s="2131">
        <f t="shared" si="48"/>
        <v>0</v>
      </c>
      <c r="U269" s="2131">
        <f t="shared" si="49"/>
        <v>0</v>
      </c>
      <c r="V269" s="2071">
        <f t="shared" si="54"/>
        <v>253</v>
      </c>
    </row>
    <row r="270" spans="1:22" hidden="1">
      <c r="A270" s="2124">
        <f t="shared" si="55"/>
        <v>1</v>
      </c>
      <c r="B270" s="2073">
        <v>254</v>
      </c>
      <c r="C270" s="2104">
        <f t="shared" si="56"/>
        <v>0</v>
      </c>
      <c r="D270" s="2125">
        <f t="shared" si="44"/>
        <v>0.03</v>
      </c>
      <c r="E270" s="2104">
        <f t="shared" si="50"/>
        <v>0</v>
      </c>
      <c r="F270" s="2135"/>
      <c r="G270" s="2127">
        <f t="shared" si="57"/>
        <v>3</v>
      </c>
      <c r="H270" s="2075">
        <v>254</v>
      </c>
      <c r="I270" s="2104">
        <f t="shared" si="51"/>
        <v>0</v>
      </c>
      <c r="J270" s="2125">
        <f t="shared" si="52"/>
        <v>3.5000000000000003E-2</v>
      </c>
      <c r="K270" s="2083"/>
      <c r="L270" s="2106"/>
      <c r="N270" s="2071">
        <f t="shared" si="53"/>
        <v>254</v>
      </c>
      <c r="O270" s="2130">
        <f>IF(D269=D270,O269+0.00001,ROUNDDOWN(MAX($O$16:$O269),0)+1)</f>
        <v>2.5400000000000058E-3</v>
      </c>
      <c r="P270" s="2131">
        <f t="shared" si="45"/>
        <v>0</v>
      </c>
      <c r="Q270" s="2131">
        <f t="shared" si="46"/>
        <v>0</v>
      </c>
      <c r="R270" s="2131">
        <f t="shared" si="47"/>
        <v>0</v>
      </c>
      <c r="S270" s="2130">
        <f>IF(J269=J270,S269+0.00001,ROUNDDOWN(MAX($S$16:$S269),0)+1)</f>
        <v>2.0013400000000088</v>
      </c>
      <c r="T270" s="2131">
        <f t="shared" si="48"/>
        <v>0</v>
      </c>
      <c r="U270" s="2131">
        <f t="shared" si="49"/>
        <v>0</v>
      </c>
      <c r="V270" s="2071">
        <f t="shared" si="54"/>
        <v>254</v>
      </c>
    </row>
    <row r="271" spans="1:22" hidden="1">
      <c r="A271" s="2124">
        <f t="shared" si="55"/>
        <v>1</v>
      </c>
      <c r="B271" s="2073">
        <v>255</v>
      </c>
      <c r="C271" s="2104">
        <f t="shared" si="56"/>
        <v>0</v>
      </c>
      <c r="D271" s="2125">
        <f t="shared" si="44"/>
        <v>0.03</v>
      </c>
      <c r="E271" s="2104">
        <f t="shared" si="50"/>
        <v>0</v>
      </c>
      <c r="F271" s="2135"/>
      <c r="G271" s="2127">
        <f t="shared" si="57"/>
        <v>3</v>
      </c>
      <c r="H271" s="2075">
        <v>255</v>
      </c>
      <c r="I271" s="2104">
        <f t="shared" si="51"/>
        <v>0</v>
      </c>
      <c r="J271" s="2125">
        <f t="shared" si="52"/>
        <v>3.5000000000000003E-2</v>
      </c>
      <c r="K271" s="2083"/>
      <c r="L271" s="2106"/>
      <c r="N271" s="2071">
        <f t="shared" si="53"/>
        <v>255</v>
      </c>
      <c r="O271" s="2130">
        <f>IF(D270=D271,O270+0.00001,ROUNDDOWN(MAX($O$16:$O270),0)+1)</f>
        <v>2.5500000000000058E-3</v>
      </c>
      <c r="P271" s="2131">
        <f t="shared" si="45"/>
        <v>0</v>
      </c>
      <c r="Q271" s="2131">
        <f t="shared" si="46"/>
        <v>0</v>
      </c>
      <c r="R271" s="2131">
        <f t="shared" si="47"/>
        <v>0</v>
      </c>
      <c r="S271" s="2130">
        <f>IF(J270=J271,S270+0.00001,ROUNDDOWN(MAX($S$16:$S270),0)+1)</f>
        <v>2.0013500000000088</v>
      </c>
      <c r="T271" s="2131">
        <f t="shared" si="48"/>
        <v>0</v>
      </c>
      <c r="U271" s="2131">
        <f t="shared" si="49"/>
        <v>0</v>
      </c>
      <c r="V271" s="2071">
        <f t="shared" si="54"/>
        <v>255</v>
      </c>
    </row>
    <row r="272" spans="1:22" hidden="1">
      <c r="A272" s="2124">
        <f t="shared" si="55"/>
        <v>1</v>
      </c>
      <c r="B272" s="2073">
        <v>256</v>
      </c>
      <c r="C272" s="2104">
        <f t="shared" si="56"/>
        <v>0</v>
      </c>
      <c r="D272" s="2125">
        <f t="shared" si="44"/>
        <v>0.03</v>
      </c>
      <c r="E272" s="2104">
        <f t="shared" si="50"/>
        <v>0</v>
      </c>
      <c r="F272" s="2135"/>
      <c r="G272" s="2127">
        <f t="shared" si="57"/>
        <v>3</v>
      </c>
      <c r="H272" s="2075">
        <v>256</v>
      </c>
      <c r="I272" s="2104">
        <f t="shared" si="51"/>
        <v>0</v>
      </c>
      <c r="J272" s="2125">
        <f t="shared" si="52"/>
        <v>3.5000000000000003E-2</v>
      </c>
      <c r="K272" s="2083"/>
      <c r="L272" s="2106"/>
      <c r="N272" s="2071">
        <f t="shared" si="53"/>
        <v>256</v>
      </c>
      <c r="O272" s="2130">
        <f>IF(D271=D272,O271+0.00001,ROUNDDOWN(MAX($O$16:$O271),0)+1)</f>
        <v>2.5600000000000058E-3</v>
      </c>
      <c r="P272" s="2131">
        <f t="shared" si="45"/>
        <v>0</v>
      </c>
      <c r="Q272" s="2131">
        <f t="shared" si="46"/>
        <v>0</v>
      </c>
      <c r="R272" s="2131">
        <f t="shared" si="47"/>
        <v>0</v>
      </c>
      <c r="S272" s="2130">
        <f>IF(J271=J272,S271+0.00001,ROUNDDOWN(MAX($S$16:$S271),0)+1)</f>
        <v>2.0013600000000089</v>
      </c>
      <c r="T272" s="2131">
        <f t="shared" si="48"/>
        <v>0</v>
      </c>
      <c r="U272" s="2131">
        <f t="shared" si="49"/>
        <v>0</v>
      </c>
      <c r="V272" s="2071">
        <f t="shared" si="54"/>
        <v>256</v>
      </c>
    </row>
    <row r="273" spans="1:22" hidden="1">
      <c r="A273" s="2124">
        <f t="shared" si="55"/>
        <v>1</v>
      </c>
      <c r="B273" s="2073">
        <v>257</v>
      </c>
      <c r="C273" s="2104">
        <f t="shared" si="56"/>
        <v>0</v>
      </c>
      <c r="D273" s="2125">
        <f t="shared" ref="D273:D336" si="58">D272</f>
        <v>0.03</v>
      </c>
      <c r="E273" s="2104">
        <f t="shared" si="50"/>
        <v>0</v>
      </c>
      <c r="F273" s="2135"/>
      <c r="G273" s="2127">
        <f t="shared" si="57"/>
        <v>3</v>
      </c>
      <c r="H273" s="2075">
        <v>257</v>
      </c>
      <c r="I273" s="2104">
        <f t="shared" si="51"/>
        <v>0</v>
      </c>
      <c r="J273" s="2125">
        <f t="shared" si="52"/>
        <v>3.5000000000000003E-2</v>
      </c>
      <c r="K273" s="2083"/>
      <c r="L273" s="2106"/>
      <c r="N273" s="2071">
        <f t="shared" si="53"/>
        <v>257</v>
      </c>
      <c r="O273" s="2130">
        <f>IF(D272=D273,O272+0.00001,ROUNDDOWN(MAX($O$16:$O272),0)+1)</f>
        <v>2.5700000000000059E-3</v>
      </c>
      <c r="P273" s="2131">
        <f t="shared" ref="P273:P336" si="59">IF($B273&gt;IF(N($C$7)=0,$C$4*$C$5,$C$7),0,IF(B273=IF(N($C$7)=0,$C$4*$C$5,$C$7),-$R272*(1+$C$11/$C$5),ROUND(PMT($C$11/$C$5,$C$4*$C$5,$C$3),2)))</f>
        <v>0</v>
      </c>
      <c r="Q273" s="2131">
        <f t="shared" ref="Q273:Q336" si="60">C273-P273</f>
        <v>0</v>
      </c>
      <c r="R273" s="2131">
        <f t="shared" ref="R273:R336" si="61">R272*(1+$C$11/$C$5)+P273</f>
        <v>0</v>
      </c>
      <c r="S273" s="2130">
        <f>IF(J272=J273,S272+0.00001,ROUNDDOWN(MAX($S$16:$S272),0)+1)</f>
        <v>2.001370000000009</v>
      </c>
      <c r="T273" s="2131">
        <f t="shared" ref="T273:T336" si="62">IF(I$4*I$5=H273,-I$3*(1+$I$11/I$5),IF(I$4*I$5&lt;H273,0,-I$3*$I$11/I$5))</f>
        <v>0</v>
      </c>
      <c r="U273" s="2131">
        <f t="shared" ref="U273:U336" si="63">I273-T273</f>
        <v>0</v>
      </c>
      <c r="V273" s="2071">
        <f t="shared" si="54"/>
        <v>257</v>
      </c>
    </row>
    <row r="274" spans="1:22" hidden="1">
      <c r="A274" s="2124">
        <f t="shared" si="55"/>
        <v>1</v>
      </c>
      <c r="B274" s="2073">
        <v>258</v>
      </c>
      <c r="C274" s="2104">
        <f t="shared" si="56"/>
        <v>0</v>
      </c>
      <c r="D274" s="2125">
        <f t="shared" si="58"/>
        <v>0.03</v>
      </c>
      <c r="E274" s="2104">
        <f t="shared" ref="E274:E337" si="64">E273*(1+D273/C$5)+C274</f>
        <v>0</v>
      </c>
      <c r="F274" s="2135"/>
      <c r="G274" s="2127">
        <f t="shared" si="57"/>
        <v>3</v>
      </c>
      <c r="H274" s="2075">
        <v>258</v>
      </c>
      <c r="I274" s="2104">
        <f t="shared" ref="I274:I337" si="65">IF(I$4*I$5=H274,-I$3*(1+J273/I$5),IF(I$4*I$5&lt;H274,0,-I$3*J273/I$5))</f>
        <v>0</v>
      </c>
      <c r="J274" s="2125">
        <f t="shared" ref="J274:J337" si="66">J273</f>
        <v>3.5000000000000003E-2</v>
      </c>
      <c r="K274" s="2083"/>
      <c r="L274" s="2106"/>
      <c r="N274" s="2071">
        <f t="shared" ref="N274:N337" si="67">B274</f>
        <v>258</v>
      </c>
      <c r="O274" s="2130">
        <f>IF(D273=D274,O273+0.00001,ROUNDDOWN(MAX($O$16:$O273),0)+1)</f>
        <v>2.5800000000000059E-3</v>
      </c>
      <c r="P274" s="2131">
        <f t="shared" si="59"/>
        <v>0</v>
      </c>
      <c r="Q274" s="2131">
        <f t="shared" si="60"/>
        <v>0</v>
      </c>
      <c r="R274" s="2131">
        <f t="shared" si="61"/>
        <v>0</v>
      </c>
      <c r="S274" s="2130">
        <f>IF(J273=J274,S273+0.00001,ROUNDDOWN(MAX($S$16:$S273),0)+1)</f>
        <v>2.001380000000009</v>
      </c>
      <c r="T274" s="2131">
        <f t="shared" si="62"/>
        <v>0</v>
      </c>
      <c r="U274" s="2131">
        <f t="shared" si="63"/>
        <v>0</v>
      </c>
      <c r="V274" s="2071">
        <f t="shared" ref="V274:V337" si="68">H274</f>
        <v>258</v>
      </c>
    </row>
    <row r="275" spans="1:22" hidden="1">
      <c r="A275" s="2124">
        <f t="shared" ref="A275:A338" si="69">ROUND(A274+IF(D275&lt;&gt;D274,1,0),0)</f>
        <v>1</v>
      </c>
      <c r="B275" s="2073">
        <v>259</v>
      </c>
      <c r="C275" s="2104">
        <f t="shared" ref="C275:C338" si="70">IF(B275&gt;IF(N(C$7)=0,C$4*C$5,C$7),0,IF(B275=IF(N(C$7)=0,C$4*C$5,C$7),-E274*(1+D274/C$5),IF(D274=D273,C274,ROUND(PMT(D274/C$5,C$4*C$5-B274,E274),2))))</f>
        <v>0</v>
      </c>
      <c r="D275" s="2125">
        <f t="shared" si="58"/>
        <v>0.03</v>
      </c>
      <c r="E275" s="2104">
        <f t="shared" si="64"/>
        <v>0</v>
      </c>
      <c r="F275" s="2135"/>
      <c r="G275" s="2127">
        <f t="shared" ref="G275:G338" si="71">ROUND(G274+IF(J275&lt;&gt;J274,1,0),0)</f>
        <v>3</v>
      </c>
      <c r="H275" s="2075">
        <v>259</v>
      </c>
      <c r="I275" s="2104">
        <f t="shared" si="65"/>
        <v>0</v>
      </c>
      <c r="J275" s="2125">
        <f t="shared" si="66"/>
        <v>3.5000000000000003E-2</v>
      </c>
      <c r="K275" s="2083"/>
      <c r="L275" s="2106"/>
      <c r="N275" s="2071">
        <f t="shared" si="67"/>
        <v>259</v>
      </c>
      <c r="O275" s="2130">
        <f>IF(D274=D275,O274+0.00001,ROUNDDOWN(MAX($O$16:$O274),0)+1)</f>
        <v>2.5900000000000059E-3</v>
      </c>
      <c r="P275" s="2131">
        <f t="shared" si="59"/>
        <v>0</v>
      </c>
      <c r="Q275" s="2131">
        <f t="shared" si="60"/>
        <v>0</v>
      </c>
      <c r="R275" s="2131">
        <f t="shared" si="61"/>
        <v>0</v>
      </c>
      <c r="S275" s="2130">
        <f>IF(J274=J275,S274+0.00001,ROUNDDOWN(MAX($S$16:$S274),0)+1)</f>
        <v>2.0013900000000091</v>
      </c>
      <c r="T275" s="2131">
        <f t="shared" si="62"/>
        <v>0</v>
      </c>
      <c r="U275" s="2131">
        <f t="shared" si="63"/>
        <v>0</v>
      </c>
      <c r="V275" s="2071">
        <f t="shared" si="68"/>
        <v>259</v>
      </c>
    </row>
    <row r="276" spans="1:22" hidden="1">
      <c r="A276" s="2124">
        <f t="shared" si="69"/>
        <v>1</v>
      </c>
      <c r="B276" s="2073">
        <v>260</v>
      </c>
      <c r="C276" s="2104">
        <f t="shared" si="70"/>
        <v>0</v>
      </c>
      <c r="D276" s="2125">
        <f t="shared" si="58"/>
        <v>0.03</v>
      </c>
      <c r="E276" s="2104">
        <f t="shared" si="64"/>
        <v>0</v>
      </c>
      <c r="F276" s="2135"/>
      <c r="G276" s="2127">
        <f t="shared" si="71"/>
        <v>3</v>
      </c>
      <c r="H276" s="2075">
        <v>260</v>
      </c>
      <c r="I276" s="2104">
        <f t="shared" si="65"/>
        <v>0</v>
      </c>
      <c r="J276" s="2125">
        <f t="shared" si="66"/>
        <v>3.5000000000000003E-2</v>
      </c>
      <c r="K276" s="2083"/>
      <c r="L276" s="2106"/>
      <c r="N276" s="2071">
        <f t="shared" si="67"/>
        <v>260</v>
      </c>
      <c r="O276" s="2130">
        <f>IF(D275=D276,O275+0.00001,ROUNDDOWN(MAX($O$16:$O275),0)+1)</f>
        <v>2.600000000000006E-3</v>
      </c>
      <c r="P276" s="2131">
        <f t="shared" si="59"/>
        <v>0</v>
      </c>
      <c r="Q276" s="2131">
        <f t="shared" si="60"/>
        <v>0</v>
      </c>
      <c r="R276" s="2131">
        <f t="shared" si="61"/>
        <v>0</v>
      </c>
      <c r="S276" s="2130">
        <f>IF(J275=J276,S275+0.00001,ROUNDDOWN(MAX($S$16:$S275),0)+1)</f>
        <v>2.0014000000000092</v>
      </c>
      <c r="T276" s="2131">
        <f t="shared" si="62"/>
        <v>0</v>
      </c>
      <c r="U276" s="2131">
        <f t="shared" si="63"/>
        <v>0</v>
      </c>
      <c r="V276" s="2071">
        <f t="shared" si="68"/>
        <v>260</v>
      </c>
    </row>
    <row r="277" spans="1:22" hidden="1">
      <c r="A277" s="2124">
        <f t="shared" si="69"/>
        <v>1</v>
      </c>
      <c r="B277" s="2073">
        <v>261</v>
      </c>
      <c r="C277" s="2104">
        <f t="shared" si="70"/>
        <v>0</v>
      </c>
      <c r="D277" s="2125">
        <f t="shared" si="58"/>
        <v>0.03</v>
      </c>
      <c r="E277" s="2104">
        <f t="shared" si="64"/>
        <v>0</v>
      </c>
      <c r="F277" s="2135"/>
      <c r="G277" s="2127">
        <f t="shared" si="71"/>
        <v>3</v>
      </c>
      <c r="H277" s="2075">
        <v>261</v>
      </c>
      <c r="I277" s="2104">
        <f t="shared" si="65"/>
        <v>0</v>
      </c>
      <c r="J277" s="2125">
        <f t="shared" si="66"/>
        <v>3.5000000000000003E-2</v>
      </c>
      <c r="K277" s="2083"/>
      <c r="L277" s="2106"/>
      <c r="N277" s="2071">
        <f t="shared" si="67"/>
        <v>261</v>
      </c>
      <c r="O277" s="2130">
        <f>IF(D276=D277,O276+0.00001,ROUNDDOWN(MAX($O$16:$O276),0)+1)</f>
        <v>2.610000000000006E-3</v>
      </c>
      <c r="P277" s="2131">
        <f t="shared" si="59"/>
        <v>0</v>
      </c>
      <c r="Q277" s="2131">
        <f t="shared" si="60"/>
        <v>0</v>
      </c>
      <c r="R277" s="2131">
        <f t="shared" si="61"/>
        <v>0</v>
      </c>
      <c r="S277" s="2130">
        <f>IF(J276=J277,S276+0.00001,ROUNDDOWN(MAX($S$16:$S276),0)+1)</f>
        <v>2.0014100000000092</v>
      </c>
      <c r="T277" s="2131">
        <f t="shared" si="62"/>
        <v>0</v>
      </c>
      <c r="U277" s="2131">
        <f t="shared" si="63"/>
        <v>0</v>
      </c>
      <c r="V277" s="2071">
        <f t="shared" si="68"/>
        <v>261</v>
      </c>
    </row>
    <row r="278" spans="1:22" hidden="1">
      <c r="A278" s="2124">
        <f t="shared" si="69"/>
        <v>1</v>
      </c>
      <c r="B278" s="2073">
        <v>262</v>
      </c>
      <c r="C278" s="2104">
        <f t="shared" si="70"/>
        <v>0</v>
      </c>
      <c r="D278" s="2125">
        <f t="shared" si="58"/>
        <v>0.03</v>
      </c>
      <c r="E278" s="2104">
        <f t="shared" si="64"/>
        <v>0</v>
      </c>
      <c r="F278" s="2135"/>
      <c r="G278" s="2127">
        <f t="shared" si="71"/>
        <v>3</v>
      </c>
      <c r="H278" s="2075">
        <v>262</v>
      </c>
      <c r="I278" s="2104">
        <f t="shared" si="65"/>
        <v>0</v>
      </c>
      <c r="J278" s="2125">
        <f t="shared" si="66"/>
        <v>3.5000000000000003E-2</v>
      </c>
      <c r="K278" s="2083"/>
      <c r="L278" s="2106"/>
      <c r="N278" s="2071">
        <f t="shared" si="67"/>
        <v>262</v>
      </c>
      <c r="O278" s="2130">
        <f>IF(D277=D278,O277+0.00001,ROUNDDOWN(MAX($O$16:$O277),0)+1)</f>
        <v>2.620000000000006E-3</v>
      </c>
      <c r="P278" s="2131">
        <f t="shared" si="59"/>
        <v>0</v>
      </c>
      <c r="Q278" s="2131">
        <f t="shared" si="60"/>
        <v>0</v>
      </c>
      <c r="R278" s="2131">
        <f t="shared" si="61"/>
        <v>0</v>
      </c>
      <c r="S278" s="2130">
        <f>IF(J277=J278,S277+0.00001,ROUNDDOWN(MAX($S$16:$S277),0)+1)</f>
        <v>2.0014200000000093</v>
      </c>
      <c r="T278" s="2131">
        <f t="shared" si="62"/>
        <v>0</v>
      </c>
      <c r="U278" s="2131">
        <f t="shared" si="63"/>
        <v>0</v>
      </c>
      <c r="V278" s="2071">
        <f t="shared" si="68"/>
        <v>262</v>
      </c>
    </row>
    <row r="279" spans="1:22" hidden="1">
      <c r="A279" s="2124">
        <f t="shared" si="69"/>
        <v>1</v>
      </c>
      <c r="B279" s="2073">
        <v>263</v>
      </c>
      <c r="C279" s="2104">
        <f t="shared" si="70"/>
        <v>0</v>
      </c>
      <c r="D279" s="2125">
        <f t="shared" si="58"/>
        <v>0.03</v>
      </c>
      <c r="E279" s="2104">
        <f t="shared" si="64"/>
        <v>0</v>
      </c>
      <c r="F279" s="2135"/>
      <c r="G279" s="2127">
        <f t="shared" si="71"/>
        <v>3</v>
      </c>
      <c r="H279" s="2075">
        <v>263</v>
      </c>
      <c r="I279" s="2104">
        <f t="shared" si="65"/>
        <v>0</v>
      </c>
      <c r="J279" s="2125">
        <f t="shared" si="66"/>
        <v>3.5000000000000003E-2</v>
      </c>
      <c r="K279" s="2083"/>
      <c r="L279" s="2106"/>
      <c r="N279" s="2071">
        <f t="shared" si="67"/>
        <v>263</v>
      </c>
      <c r="O279" s="2130">
        <f>IF(D278=D279,O278+0.00001,ROUNDDOWN(MAX($O$16:$O278),0)+1)</f>
        <v>2.630000000000006E-3</v>
      </c>
      <c r="P279" s="2131">
        <f t="shared" si="59"/>
        <v>0</v>
      </c>
      <c r="Q279" s="2131">
        <f t="shared" si="60"/>
        <v>0</v>
      </c>
      <c r="R279" s="2131">
        <f t="shared" si="61"/>
        <v>0</v>
      </c>
      <c r="S279" s="2130">
        <f>IF(J278=J279,S278+0.00001,ROUNDDOWN(MAX($S$16:$S278),0)+1)</f>
        <v>2.0014300000000094</v>
      </c>
      <c r="T279" s="2131">
        <f t="shared" si="62"/>
        <v>0</v>
      </c>
      <c r="U279" s="2131">
        <f t="shared" si="63"/>
        <v>0</v>
      </c>
      <c r="V279" s="2071">
        <f t="shared" si="68"/>
        <v>263</v>
      </c>
    </row>
    <row r="280" spans="1:22" hidden="1">
      <c r="A280" s="2124">
        <f t="shared" si="69"/>
        <v>1</v>
      </c>
      <c r="B280" s="2073">
        <v>264</v>
      </c>
      <c r="C280" s="2104">
        <f t="shared" si="70"/>
        <v>0</v>
      </c>
      <c r="D280" s="2125">
        <f t="shared" si="58"/>
        <v>0.03</v>
      </c>
      <c r="E280" s="2104">
        <f t="shared" si="64"/>
        <v>0</v>
      </c>
      <c r="F280" s="2135"/>
      <c r="G280" s="2127">
        <f t="shared" si="71"/>
        <v>3</v>
      </c>
      <c r="H280" s="2075">
        <v>264</v>
      </c>
      <c r="I280" s="2104">
        <f t="shared" si="65"/>
        <v>0</v>
      </c>
      <c r="J280" s="2125">
        <f t="shared" si="66"/>
        <v>3.5000000000000003E-2</v>
      </c>
      <c r="K280" s="2083"/>
      <c r="L280" s="2106"/>
      <c r="N280" s="2071">
        <f t="shared" si="67"/>
        <v>264</v>
      </c>
      <c r="O280" s="2130">
        <f>IF(D279=D280,O279+0.00001,ROUNDDOWN(MAX($O$16:$O279),0)+1)</f>
        <v>2.6400000000000061E-3</v>
      </c>
      <c r="P280" s="2131">
        <f t="shared" si="59"/>
        <v>0</v>
      </c>
      <c r="Q280" s="2131">
        <f t="shared" si="60"/>
        <v>0</v>
      </c>
      <c r="R280" s="2131">
        <f t="shared" si="61"/>
        <v>0</v>
      </c>
      <c r="S280" s="2130">
        <f>IF(J279=J280,S279+0.00001,ROUNDDOWN(MAX($S$16:$S279),0)+1)</f>
        <v>2.0014400000000094</v>
      </c>
      <c r="T280" s="2131">
        <f t="shared" si="62"/>
        <v>0</v>
      </c>
      <c r="U280" s="2131">
        <f t="shared" si="63"/>
        <v>0</v>
      </c>
      <c r="V280" s="2071">
        <f t="shared" si="68"/>
        <v>264</v>
      </c>
    </row>
    <row r="281" spans="1:22" hidden="1">
      <c r="A281" s="2124">
        <f t="shared" si="69"/>
        <v>1</v>
      </c>
      <c r="B281" s="2073">
        <v>265</v>
      </c>
      <c r="C281" s="2104">
        <f t="shared" si="70"/>
        <v>0</v>
      </c>
      <c r="D281" s="2125">
        <f t="shared" si="58"/>
        <v>0.03</v>
      </c>
      <c r="E281" s="2104">
        <f t="shared" si="64"/>
        <v>0</v>
      </c>
      <c r="F281" s="2135"/>
      <c r="G281" s="2127">
        <f t="shared" si="71"/>
        <v>3</v>
      </c>
      <c r="H281" s="2075">
        <v>265</v>
      </c>
      <c r="I281" s="2104">
        <f t="shared" si="65"/>
        <v>0</v>
      </c>
      <c r="J281" s="2125">
        <f t="shared" si="66"/>
        <v>3.5000000000000003E-2</v>
      </c>
      <c r="K281" s="2083"/>
      <c r="L281" s="2106"/>
      <c r="N281" s="2071">
        <f t="shared" si="67"/>
        <v>265</v>
      </c>
      <c r="O281" s="2130">
        <f>IF(D280=D281,O280+0.00001,ROUNDDOWN(MAX($O$16:$O280),0)+1)</f>
        <v>2.6500000000000061E-3</v>
      </c>
      <c r="P281" s="2131">
        <f t="shared" si="59"/>
        <v>0</v>
      </c>
      <c r="Q281" s="2131">
        <f t="shared" si="60"/>
        <v>0</v>
      </c>
      <c r="R281" s="2131">
        <f t="shared" si="61"/>
        <v>0</v>
      </c>
      <c r="S281" s="2130">
        <f>IF(J280=J281,S280+0.00001,ROUNDDOWN(MAX($S$16:$S280),0)+1)</f>
        <v>2.0014500000000095</v>
      </c>
      <c r="T281" s="2131">
        <f t="shared" si="62"/>
        <v>0</v>
      </c>
      <c r="U281" s="2131">
        <f t="shared" si="63"/>
        <v>0</v>
      </c>
      <c r="V281" s="2071">
        <f t="shared" si="68"/>
        <v>265</v>
      </c>
    </row>
    <row r="282" spans="1:22" hidden="1">
      <c r="A282" s="2124">
        <f t="shared" si="69"/>
        <v>1</v>
      </c>
      <c r="B282" s="2073">
        <v>266</v>
      </c>
      <c r="C282" s="2104">
        <f t="shared" si="70"/>
        <v>0</v>
      </c>
      <c r="D282" s="2125">
        <f t="shared" si="58"/>
        <v>0.03</v>
      </c>
      <c r="E282" s="2104">
        <f t="shared" si="64"/>
        <v>0</v>
      </c>
      <c r="F282" s="2135"/>
      <c r="G282" s="2127">
        <f t="shared" si="71"/>
        <v>3</v>
      </c>
      <c r="H282" s="2075">
        <v>266</v>
      </c>
      <c r="I282" s="2104">
        <f t="shared" si="65"/>
        <v>0</v>
      </c>
      <c r="J282" s="2125">
        <f t="shared" si="66"/>
        <v>3.5000000000000003E-2</v>
      </c>
      <c r="K282" s="2083"/>
      <c r="L282" s="2106"/>
      <c r="N282" s="2071">
        <f t="shared" si="67"/>
        <v>266</v>
      </c>
      <c r="O282" s="2130">
        <f>IF(D281=D282,O281+0.00001,ROUNDDOWN(MAX($O$16:$O281),0)+1)</f>
        <v>2.6600000000000061E-3</v>
      </c>
      <c r="P282" s="2131">
        <f t="shared" si="59"/>
        <v>0</v>
      </c>
      <c r="Q282" s="2131">
        <f t="shared" si="60"/>
        <v>0</v>
      </c>
      <c r="R282" s="2131">
        <f t="shared" si="61"/>
        <v>0</v>
      </c>
      <c r="S282" s="2130">
        <f>IF(J281=J282,S281+0.00001,ROUNDDOWN(MAX($S$16:$S281),0)+1)</f>
        <v>2.0014600000000096</v>
      </c>
      <c r="T282" s="2131">
        <f t="shared" si="62"/>
        <v>0</v>
      </c>
      <c r="U282" s="2131">
        <f t="shared" si="63"/>
        <v>0</v>
      </c>
      <c r="V282" s="2071">
        <f t="shared" si="68"/>
        <v>266</v>
      </c>
    </row>
    <row r="283" spans="1:22" hidden="1">
      <c r="A283" s="2124">
        <f t="shared" si="69"/>
        <v>1</v>
      </c>
      <c r="B283" s="2073">
        <v>267</v>
      </c>
      <c r="C283" s="2104">
        <f t="shared" si="70"/>
        <v>0</v>
      </c>
      <c r="D283" s="2125">
        <f t="shared" si="58"/>
        <v>0.03</v>
      </c>
      <c r="E283" s="2104">
        <f t="shared" si="64"/>
        <v>0</v>
      </c>
      <c r="F283" s="2135"/>
      <c r="G283" s="2127">
        <f t="shared" si="71"/>
        <v>3</v>
      </c>
      <c r="H283" s="2075">
        <v>267</v>
      </c>
      <c r="I283" s="2104">
        <f t="shared" si="65"/>
        <v>0</v>
      </c>
      <c r="J283" s="2125">
        <f t="shared" si="66"/>
        <v>3.5000000000000003E-2</v>
      </c>
      <c r="K283" s="2083"/>
      <c r="L283" s="2106"/>
      <c r="N283" s="2071">
        <f t="shared" si="67"/>
        <v>267</v>
      </c>
      <c r="O283" s="2130">
        <f>IF(D282=D283,O282+0.00001,ROUNDDOWN(MAX($O$16:$O282),0)+1)</f>
        <v>2.6700000000000061E-3</v>
      </c>
      <c r="P283" s="2131">
        <f t="shared" si="59"/>
        <v>0</v>
      </c>
      <c r="Q283" s="2131">
        <f t="shared" si="60"/>
        <v>0</v>
      </c>
      <c r="R283" s="2131">
        <f t="shared" si="61"/>
        <v>0</v>
      </c>
      <c r="S283" s="2130">
        <f>IF(J282=J283,S282+0.00001,ROUNDDOWN(MAX($S$16:$S282),0)+1)</f>
        <v>2.0014700000000096</v>
      </c>
      <c r="T283" s="2131">
        <f t="shared" si="62"/>
        <v>0</v>
      </c>
      <c r="U283" s="2131">
        <f t="shared" si="63"/>
        <v>0</v>
      </c>
      <c r="V283" s="2071">
        <f t="shared" si="68"/>
        <v>267</v>
      </c>
    </row>
    <row r="284" spans="1:22" hidden="1">
      <c r="A284" s="2124">
        <f t="shared" si="69"/>
        <v>1</v>
      </c>
      <c r="B284" s="2073">
        <v>268</v>
      </c>
      <c r="C284" s="2104">
        <f t="shared" si="70"/>
        <v>0</v>
      </c>
      <c r="D284" s="2125">
        <f t="shared" si="58"/>
        <v>0.03</v>
      </c>
      <c r="E284" s="2104">
        <f t="shared" si="64"/>
        <v>0</v>
      </c>
      <c r="F284" s="2135"/>
      <c r="G284" s="2127">
        <f t="shared" si="71"/>
        <v>3</v>
      </c>
      <c r="H284" s="2075">
        <v>268</v>
      </c>
      <c r="I284" s="2104">
        <f t="shared" si="65"/>
        <v>0</v>
      </c>
      <c r="J284" s="2125">
        <f t="shared" si="66"/>
        <v>3.5000000000000003E-2</v>
      </c>
      <c r="K284" s="2083"/>
      <c r="L284" s="2106"/>
      <c r="N284" s="2071">
        <f t="shared" si="67"/>
        <v>268</v>
      </c>
      <c r="O284" s="2130">
        <f>IF(D283=D284,O283+0.00001,ROUNDDOWN(MAX($O$16:$O283),0)+1)</f>
        <v>2.6800000000000062E-3</v>
      </c>
      <c r="P284" s="2131">
        <f t="shared" si="59"/>
        <v>0</v>
      </c>
      <c r="Q284" s="2131">
        <f t="shared" si="60"/>
        <v>0</v>
      </c>
      <c r="R284" s="2131">
        <f t="shared" si="61"/>
        <v>0</v>
      </c>
      <c r="S284" s="2130">
        <f>IF(J283=J284,S283+0.00001,ROUNDDOWN(MAX($S$16:$S283),0)+1)</f>
        <v>2.0014800000000097</v>
      </c>
      <c r="T284" s="2131">
        <f t="shared" si="62"/>
        <v>0</v>
      </c>
      <c r="U284" s="2131">
        <f t="shared" si="63"/>
        <v>0</v>
      </c>
      <c r="V284" s="2071">
        <f t="shared" si="68"/>
        <v>268</v>
      </c>
    </row>
    <row r="285" spans="1:22" hidden="1">
      <c r="A285" s="2124">
        <f t="shared" si="69"/>
        <v>1</v>
      </c>
      <c r="B285" s="2073">
        <v>269</v>
      </c>
      <c r="C285" s="2104">
        <f t="shared" si="70"/>
        <v>0</v>
      </c>
      <c r="D285" s="2125">
        <f t="shared" si="58"/>
        <v>0.03</v>
      </c>
      <c r="E285" s="2104">
        <f t="shared" si="64"/>
        <v>0</v>
      </c>
      <c r="F285" s="2135"/>
      <c r="G285" s="2127">
        <f t="shared" si="71"/>
        <v>3</v>
      </c>
      <c r="H285" s="2075">
        <v>269</v>
      </c>
      <c r="I285" s="2104">
        <f t="shared" si="65"/>
        <v>0</v>
      </c>
      <c r="J285" s="2125">
        <f t="shared" si="66"/>
        <v>3.5000000000000003E-2</v>
      </c>
      <c r="K285" s="2083"/>
      <c r="L285" s="2106"/>
      <c r="N285" s="2071">
        <f t="shared" si="67"/>
        <v>269</v>
      </c>
      <c r="O285" s="2130">
        <f>IF(D284=D285,O284+0.00001,ROUNDDOWN(MAX($O$16:$O284),0)+1)</f>
        <v>2.6900000000000062E-3</v>
      </c>
      <c r="P285" s="2131">
        <f t="shared" si="59"/>
        <v>0</v>
      </c>
      <c r="Q285" s="2131">
        <f t="shared" si="60"/>
        <v>0</v>
      </c>
      <c r="R285" s="2131">
        <f t="shared" si="61"/>
        <v>0</v>
      </c>
      <c r="S285" s="2130">
        <f>IF(J284=J285,S284+0.00001,ROUNDDOWN(MAX($S$16:$S284),0)+1)</f>
        <v>2.0014900000000098</v>
      </c>
      <c r="T285" s="2131">
        <f t="shared" si="62"/>
        <v>0</v>
      </c>
      <c r="U285" s="2131">
        <f t="shared" si="63"/>
        <v>0</v>
      </c>
      <c r="V285" s="2071">
        <f t="shared" si="68"/>
        <v>269</v>
      </c>
    </row>
    <row r="286" spans="1:22" hidden="1">
      <c r="A286" s="2124">
        <f t="shared" si="69"/>
        <v>1</v>
      </c>
      <c r="B286" s="2073">
        <v>270</v>
      </c>
      <c r="C286" s="2104">
        <f t="shared" si="70"/>
        <v>0</v>
      </c>
      <c r="D286" s="2125">
        <f t="shared" si="58"/>
        <v>0.03</v>
      </c>
      <c r="E286" s="2104">
        <f t="shared" si="64"/>
        <v>0</v>
      </c>
      <c r="F286" s="2135"/>
      <c r="G286" s="2127">
        <f t="shared" si="71"/>
        <v>3</v>
      </c>
      <c r="H286" s="2075">
        <v>270</v>
      </c>
      <c r="I286" s="2104">
        <f t="shared" si="65"/>
        <v>0</v>
      </c>
      <c r="J286" s="2125">
        <f t="shared" si="66"/>
        <v>3.5000000000000003E-2</v>
      </c>
      <c r="K286" s="2083"/>
      <c r="L286" s="2106"/>
      <c r="N286" s="2071">
        <f t="shared" si="67"/>
        <v>270</v>
      </c>
      <c r="O286" s="2130">
        <f>IF(D285=D286,O285+0.00001,ROUNDDOWN(MAX($O$16:$O285),0)+1)</f>
        <v>2.7000000000000062E-3</v>
      </c>
      <c r="P286" s="2131">
        <f t="shared" si="59"/>
        <v>0</v>
      </c>
      <c r="Q286" s="2131">
        <f t="shared" si="60"/>
        <v>0</v>
      </c>
      <c r="R286" s="2131">
        <f t="shared" si="61"/>
        <v>0</v>
      </c>
      <c r="S286" s="2130">
        <f>IF(J285=J286,S285+0.00001,ROUNDDOWN(MAX($S$16:$S285),0)+1)</f>
        <v>2.0015000000000098</v>
      </c>
      <c r="T286" s="2131">
        <f t="shared" si="62"/>
        <v>0</v>
      </c>
      <c r="U286" s="2131">
        <f t="shared" si="63"/>
        <v>0</v>
      </c>
      <c r="V286" s="2071">
        <f t="shared" si="68"/>
        <v>270</v>
      </c>
    </row>
    <row r="287" spans="1:22" hidden="1">
      <c r="A287" s="2124">
        <f t="shared" si="69"/>
        <v>1</v>
      </c>
      <c r="B287" s="2073">
        <v>271</v>
      </c>
      <c r="C287" s="2104">
        <f t="shared" si="70"/>
        <v>0</v>
      </c>
      <c r="D287" s="2125">
        <f t="shared" si="58"/>
        <v>0.03</v>
      </c>
      <c r="E287" s="2104">
        <f t="shared" si="64"/>
        <v>0</v>
      </c>
      <c r="F287" s="2135"/>
      <c r="G287" s="2127">
        <f t="shared" si="71"/>
        <v>3</v>
      </c>
      <c r="H287" s="2075">
        <v>271</v>
      </c>
      <c r="I287" s="2104">
        <f t="shared" si="65"/>
        <v>0</v>
      </c>
      <c r="J287" s="2125">
        <f t="shared" si="66"/>
        <v>3.5000000000000003E-2</v>
      </c>
      <c r="K287" s="2083"/>
      <c r="L287" s="2106"/>
      <c r="N287" s="2071">
        <f t="shared" si="67"/>
        <v>271</v>
      </c>
      <c r="O287" s="2130">
        <f>IF(D286=D287,O286+0.00001,ROUNDDOWN(MAX($O$16:$O286),0)+1)</f>
        <v>2.7100000000000062E-3</v>
      </c>
      <c r="P287" s="2131">
        <f t="shared" si="59"/>
        <v>0</v>
      </c>
      <c r="Q287" s="2131">
        <f t="shared" si="60"/>
        <v>0</v>
      </c>
      <c r="R287" s="2131">
        <f t="shared" si="61"/>
        <v>0</v>
      </c>
      <c r="S287" s="2130">
        <f>IF(J286=J287,S286+0.00001,ROUNDDOWN(MAX($S$16:$S286),0)+1)</f>
        <v>2.0015100000000099</v>
      </c>
      <c r="T287" s="2131">
        <f t="shared" si="62"/>
        <v>0</v>
      </c>
      <c r="U287" s="2131">
        <f t="shared" si="63"/>
        <v>0</v>
      </c>
      <c r="V287" s="2071">
        <f t="shared" si="68"/>
        <v>271</v>
      </c>
    </row>
    <row r="288" spans="1:22" hidden="1">
      <c r="A288" s="2124">
        <f t="shared" si="69"/>
        <v>1</v>
      </c>
      <c r="B288" s="2073">
        <v>272</v>
      </c>
      <c r="C288" s="2104">
        <f t="shared" si="70"/>
        <v>0</v>
      </c>
      <c r="D288" s="2125">
        <f t="shared" si="58"/>
        <v>0.03</v>
      </c>
      <c r="E288" s="2104">
        <f t="shared" si="64"/>
        <v>0</v>
      </c>
      <c r="F288" s="2135"/>
      <c r="G288" s="2127">
        <f t="shared" si="71"/>
        <v>3</v>
      </c>
      <c r="H288" s="2075">
        <v>272</v>
      </c>
      <c r="I288" s="2104">
        <f t="shared" si="65"/>
        <v>0</v>
      </c>
      <c r="J288" s="2125">
        <f t="shared" si="66"/>
        <v>3.5000000000000003E-2</v>
      </c>
      <c r="K288" s="2083"/>
      <c r="L288" s="2106"/>
      <c r="N288" s="2071">
        <f t="shared" si="67"/>
        <v>272</v>
      </c>
      <c r="O288" s="2130">
        <f>IF(D287=D288,O287+0.00001,ROUNDDOWN(MAX($O$16:$O287),0)+1)</f>
        <v>2.7200000000000063E-3</v>
      </c>
      <c r="P288" s="2131">
        <f t="shared" si="59"/>
        <v>0</v>
      </c>
      <c r="Q288" s="2131">
        <f t="shared" si="60"/>
        <v>0</v>
      </c>
      <c r="R288" s="2131">
        <f t="shared" si="61"/>
        <v>0</v>
      </c>
      <c r="S288" s="2130">
        <f>IF(J287=J288,S287+0.00001,ROUNDDOWN(MAX($S$16:$S287),0)+1)</f>
        <v>2.00152000000001</v>
      </c>
      <c r="T288" s="2131">
        <f t="shared" si="62"/>
        <v>0</v>
      </c>
      <c r="U288" s="2131">
        <f t="shared" si="63"/>
        <v>0</v>
      </c>
      <c r="V288" s="2071">
        <f t="shared" si="68"/>
        <v>272</v>
      </c>
    </row>
    <row r="289" spans="1:22" hidden="1">
      <c r="A289" s="2124">
        <f t="shared" si="69"/>
        <v>1</v>
      </c>
      <c r="B289" s="2073">
        <v>273</v>
      </c>
      <c r="C289" s="2104">
        <f t="shared" si="70"/>
        <v>0</v>
      </c>
      <c r="D289" s="2125">
        <f t="shared" si="58"/>
        <v>0.03</v>
      </c>
      <c r="E289" s="2104">
        <f t="shared" si="64"/>
        <v>0</v>
      </c>
      <c r="F289" s="2135"/>
      <c r="G289" s="2127">
        <f t="shared" si="71"/>
        <v>3</v>
      </c>
      <c r="H289" s="2075">
        <v>273</v>
      </c>
      <c r="I289" s="2104">
        <f t="shared" si="65"/>
        <v>0</v>
      </c>
      <c r="J289" s="2125">
        <f t="shared" si="66"/>
        <v>3.5000000000000003E-2</v>
      </c>
      <c r="K289" s="2083"/>
      <c r="L289" s="2106"/>
      <c r="N289" s="2071">
        <f t="shared" si="67"/>
        <v>273</v>
      </c>
      <c r="O289" s="2130">
        <f>IF(D288=D289,O288+0.00001,ROUNDDOWN(MAX($O$16:$O288),0)+1)</f>
        <v>2.7300000000000063E-3</v>
      </c>
      <c r="P289" s="2131">
        <f t="shared" si="59"/>
        <v>0</v>
      </c>
      <c r="Q289" s="2131">
        <f t="shared" si="60"/>
        <v>0</v>
      </c>
      <c r="R289" s="2131">
        <f t="shared" si="61"/>
        <v>0</v>
      </c>
      <c r="S289" s="2130">
        <f>IF(J288=J289,S288+0.00001,ROUNDDOWN(MAX($S$16:$S288),0)+1)</f>
        <v>2.00153000000001</v>
      </c>
      <c r="T289" s="2131">
        <f t="shared" si="62"/>
        <v>0</v>
      </c>
      <c r="U289" s="2131">
        <f t="shared" si="63"/>
        <v>0</v>
      </c>
      <c r="V289" s="2071">
        <f t="shared" si="68"/>
        <v>273</v>
      </c>
    </row>
    <row r="290" spans="1:22" hidden="1">
      <c r="A290" s="2124">
        <f t="shared" si="69"/>
        <v>1</v>
      </c>
      <c r="B290" s="2073">
        <v>274</v>
      </c>
      <c r="C290" s="2104">
        <f t="shared" si="70"/>
        <v>0</v>
      </c>
      <c r="D290" s="2125">
        <f t="shared" si="58"/>
        <v>0.03</v>
      </c>
      <c r="E290" s="2104">
        <f t="shared" si="64"/>
        <v>0</v>
      </c>
      <c r="F290" s="2135"/>
      <c r="G290" s="2127">
        <f t="shared" si="71"/>
        <v>3</v>
      </c>
      <c r="H290" s="2075">
        <v>274</v>
      </c>
      <c r="I290" s="2104">
        <f t="shared" si="65"/>
        <v>0</v>
      </c>
      <c r="J290" s="2125">
        <f t="shared" si="66"/>
        <v>3.5000000000000003E-2</v>
      </c>
      <c r="K290" s="2083"/>
      <c r="L290" s="2106"/>
      <c r="N290" s="2071">
        <f t="shared" si="67"/>
        <v>274</v>
      </c>
      <c r="O290" s="2130">
        <f>IF(D289=D290,O289+0.00001,ROUNDDOWN(MAX($O$16:$O289),0)+1)</f>
        <v>2.7400000000000063E-3</v>
      </c>
      <c r="P290" s="2131">
        <f t="shared" si="59"/>
        <v>0</v>
      </c>
      <c r="Q290" s="2131">
        <f t="shared" si="60"/>
        <v>0</v>
      </c>
      <c r="R290" s="2131">
        <f t="shared" si="61"/>
        <v>0</v>
      </c>
      <c r="S290" s="2130">
        <f>IF(J289=J290,S289+0.00001,ROUNDDOWN(MAX($S$16:$S289),0)+1)</f>
        <v>2.0015400000000101</v>
      </c>
      <c r="T290" s="2131">
        <f t="shared" si="62"/>
        <v>0</v>
      </c>
      <c r="U290" s="2131">
        <f t="shared" si="63"/>
        <v>0</v>
      </c>
      <c r="V290" s="2071">
        <f t="shared" si="68"/>
        <v>274</v>
      </c>
    </row>
    <row r="291" spans="1:22" hidden="1">
      <c r="A291" s="2124">
        <f t="shared" si="69"/>
        <v>1</v>
      </c>
      <c r="B291" s="2073">
        <v>275</v>
      </c>
      <c r="C291" s="2104">
        <f t="shared" si="70"/>
        <v>0</v>
      </c>
      <c r="D291" s="2125">
        <f t="shared" si="58"/>
        <v>0.03</v>
      </c>
      <c r="E291" s="2104">
        <f t="shared" si="64"/>
        <v>0</v>
      </c>
      <c r="F291" s="2135"/>
      <c r="G291" s="2127">
        <f t="shared" si="71"/>
        <v>3</v>
      </c>
      <c r="H291" s="2075">
        <v>275</v>
      </c>
      <c r="I291" s="2104">
        <f t="shared" si="65"/>
        <v>0</v>
      </c>
      <c r="J291" s="2125">
        <f t="shared" si="66"/>
        <v>3.5000000000000003E-2</v>
      </c>
      <c r="K291" s="2083"/>
      <c r="L291" s="2106"/>
      <c r="N291" s="2071">
        <f t="shared" si="67"/>
        <v>275</v>
      </c>
      <c r="O291" s="2130">
        <f>IF(D290=D291,O290+0.00001,ROUNDDOWN(MAX($O$16:$O290),0)+1)</f>
        <v>2.7500000000000063E-3</v>
      </c>
      <c r="P291" s="2131">
        <f t="shared" si="59"/>
        <v>0</v>
      </c>
      <c r="Q291" s="2131">
        <f t="shared" si="60"/>
        <v>0</v>
      </c>
      <c r="R291" s="2131">
        <f t="shared" si="61"/>
        <v>0</v>
      </c>
      <c r="S291" s="2130">
        <f>IF(J290=J291,S290+0.00001,ROUNDDOWN(MAX($S$16:$S290),0)+1)</f>
        <v>2.0015500000000102</v>
      </c>
      <c r="T291" s="2131">
        <f t="shared" si="62"/>
        <v>0</v>
      </c>
      <c r="U291" s="2131">
        <f t="shared" si="63"/>
        <v>0</v>
      </c>
      <c r="V291" s="2071">
        <f t="shared" si="68"/>
        <v>275</v>
      </c>
    </row>
    <row r="292" spans="1:22" hidden="1">
      <c r="A292" s="2124">
        <f t="shared" si="69"/>
        <v>1</v>
      </c>
      <c r="B292" s="2073">
        <v>276</v>
      </c>
      <c r="C292" s="2104">
        <f t="shared" si="70"/>
        <v>0</v>
      </c>
      <c r="D292" s="2125">
        <f t="shared" si="58"/>
        <v>0.03</v>
      </c>
      <c r="E292" s="2104">
        <f t="shared" si="64"/>
        <v>0</v>
      </c>
      <c r="F292" s="2135"/>
      <c r="G292" s="2127">
        <f t="shared" si="71"/>
        <v>3</v>
      </c>
      <c r="H292" s="2075">
        <v>276</v>
      </c>
      <c r="I292" s="2104">
        <f t="shared" si="65"/>
        <v>0</v>
      </c>
      <c r="J292" s="2125">
        <f t="shared" si="66"/>
        <v>3.5000000000000003E-2</v>
      </c>
      <c r="K292" s="2083"/>
      <c r="L292" s="2106"/>
      <c r="N292" s="2071">
        <f t="shared" si="67"/>
        <v>276</v>
      </c>
      <c r="O292" s="2130">
        <f>IF(D291=D292,O291+0.00001,ROUNDDOWN(MAX($O$16:$O291),0)+1)</f>
        <v>2.7600000000000064E-3</v>
      </c>
      <c r="P292" s="2131">
        <f t="shared" si="59"/>
        <v>0</v>
      </c>
      <c r="Q292" s="2131">
        <f t="shared" si="60"/>
        <v>0</v>
      </c>
      <c r="R292" s="2131">
        <f t="shared" si="61"/>
        <v>0</v>
      </c>
      <c r="S292" s="2130">
        <f>IF(J291=J292,S291+0.00001,ROUNDDOWN(MAX($S$16:$S291),0)+1)</f>
        <v>2.0015600000000102</v>
      </c>
      <c r="T292" s="2131">
        <f t="shared" si="62"/>
        <v>0</v>
      </c>
      <c r="U292" s="2131">
        <f t="shared" si="63"/>
        <v>0</v>
      </c>
      <c r="V292" s="2071">
        <f t="shared" si="68"/>
        <v>276</v>
      </c>
    </row>
    <row r="293" spans="1:22" hidden="1">
      <c r="A293" s="2124">
        <f t="shared" si="69"/>
        <v>1</v>
      </c>
      <c r="B293" s="2073">
        <v>277</v>
      </c>
      <c r="C293" s="2104">
        <f t="shared" si="70"/>
        <v>0</v>
      </c>
      <c r="D293" s="2125">
        <f t="shared" si="58"/>
        <v>0.03</v>
      </c>
      <c r="E293" s="2104">
        <f t="shared" si="64"/>
        <v>0</v>
      </c>
      <c r="F293" s="2135"/>
      <c r="G293" s="2127">
        <f t="shared" si="71"/>
        <v>3</v>
      </c>
      <c r="H293" s="2075">
        <v>277</v>
      </c>
      <c r="I293" s="2104">
        <f t="shared" si="65"/>
        <v>0</v>
      </c>
      <c r="J293" s="2125">
        <f t="shared" si="66"/>
        <v>3.5000000000000003E-2</v>
      </c>
      <c r="K293" s="2083"/>
      <c r="L293" s="2106"/>
      <c r="N293" s="2071">
        <f t="shared" si="67"/>
        <v>277</v>
      </c>
      <c r="O293" s="2130">
        <f>IF(D292=D293,O292+0.00001,ROUNDDOWN(MAX($O$16:$O292),0)+1)</f>
        <v>2.7700000000000064E-3</v>
      </c>
      <c r="P293" s="2131">
        <f t="shared" si="59"/>
        <v>0</v>
      </c>
      <c r="Q293" s="2131">
        <f t="shared" si="60"/>
        <v>0</v>
      </c>
      <c r="R293" s="2131">
        <f t="shared" si="61"/>
        <v>0</v>
      </c>
      <c r="S293" s="2130">
        <f>IF(J292=J293,S292+0.00001,ROUNDDOWN(MAX($S$16:$S292),0)+1)</f>
        <v>2.0015700000000103</v>
      </c>
      <c r="T293" s="2131">
        <f t="shared" si="62"/>
        <v>0</v>
      </c>
      <c r="U293" s="2131">
        <f t="shared" si="63"/>
        <v>0</v>
      </c>
      <c r="V293" s="2071">
        <f t="shared" si="68"/>
        <v>277</v>
      </c>
    </row>
    <row r="294" spans="1:22" hidden="1">
      <c r="A294" s="2124">
        <f t="shared" si="69"/>
        <v>1</v>
      </c>
      <c r="B294" s="2073">
        <v>278</v>
      </c>
      <c r="C294" s="2104">
        <f t="shared" si="70"/>
        <v>0</v>
      </c>
      <c r="D294" s="2125">
        <f t="shared" si="58"/>
        <v>0.03</v>
      </c>
      <c r="E294" s="2104">
        <f t="shared" si="64"/>
        <v>0</v>
      </c>
      <c r="F294" s="2135"/>
      <c r="G294" s="2127">
        <f t="shared" si="71"/>
        <v>3</v>
      </c>
      <c r="H294" s="2075">
        <v>278</v>
      </c>
      <c r="I294" s="2104">
        <f t="shared" si="65"/>
        <v>0</v>
      </c>
      <c r="J294" s="2125">
        <f t="shared" si="66"/>
        <v>3.5000000000000003E-2</v>
      </c>
      <c r="K294" s="2083"/>
      <c r="L294" s="2106"/>
      <c r="N294" s="2071">
        <f t="shared" si="67"/>
        <v>278</v>
      </c>
      <c r="O294" s="2130">
        <f>IF(D293=D294,O293+0.00001,ROUNDDOWN(MAX($O$16:$O293),0)+1)</f>
        <v>2.7800000000000064E-3</v>
      </c>
      <c r="P294" s="2131">
        <f t="shared" si="59"/>
        <v>0</v>
      </c>
      <c r="Q294" s="2131">
        <f t="shared" si="60"/>
        <v>0</v>
      </c>
      <c r="R294" s="2131">
        <f t="shared" si="61"/>
        <v>0</v>
      </c>
      <c r="S294" s="2130">
        <f>IF(J293=J294,S293+0.00001,ROUNDDOWN(MAX($S$16:$S293),0)+1)</f>
        <v>2.0015800000000104</v>
      </c>
      <c r="T294" s="2131">
        <f t="shared" si="62"/>
        <v>0</v>
      </c>
      <c r="U294" s="2131">
        <f t="shared" si="63"/>
        <v>0</v>
      </c>
      <c r="V294" s="2071">
        <f t="shared" si="68"/>
        <v>278</v>
      </c>
    </row>
    <row r="295" spans="1:22" hidden="1">
      <c r="A295" s="2124">
        <f t="shared" si="69"/>
        <v>1</v>
      </c>
      <c r="B295" s="2073">
        <v>279</v>
      </c>
      <c r="C295" s="2104">
        <f t="shared" si="70"/>
        <v>0</v>
      </c>
      <c r="D295" s="2125">
        <f t="shared" si="58"/>
        <v>0.03</v>
      </c>
      <c r="E295" s="2104">
        <f t="shared" si="64"/>
        <v>0</v>
      </c>
      <c r="F295" s="2135"/>
      <c r="G295" s="2127">
        <f t="shared" si="71"/>
        <v>3</v>
      </c>
      <c r="H295" s="2075">
        <v>279</v>
      </c>
      <c r="I295" s="2104">
        <f t="shared" si="65"/>
        <v>0</v>
      </c>
      <c r="J295" s="2125">
        <f t="shared" si="66"/>
        <v>3.5000000000000003E-2</v>
      </c>
      <c r="K295" s="2083"/>
      <c r="L295" s="2106"/>
      <c r="N295" s="2071">
        <f t="shared" si="67"/>
        <v>279</v>
      </c>
      <c r="O295" s="2130">
        <f>IF(D294=D295,O294+0.00001,ROUNDDOWN(MAX($O$16:$O294),0)+1)</f>
        <v>2.7900000000000065E-3</v>
      </c>
      <c r="P295" s="2131">
        <f t="shared" si="59"/>
        <v>0</v>
      </c>
      <c r="Q295" s="2131">
        <f t="shared" si="60"/>
        <v>0</v>
      </c>
      <c r="R295" s="2131">
        <f t="shared" si="61"/>
        <v>0</v>
      </c>
      <c r="S295" s="2130">
        <f>IF(J294=J295,S294+0.00001,ROUNDDOWN(MAX($S$16:$S294),0)+1)</f>
        <v>2.0015900000000104</v>
      </c>
      <c r="T295" s="2131">
        <f t="shared" si="62"/>
        <v>0</v>
      </c>
      <c r="U295" s="2131">
        <f t="shared" si="63"/>
        <v>0</v>
      </c>
      <c r="V295" s="2071">
        <f t="shared" si="68"/>
        <v>279</v>
      </c>
    </row>
    <row r="296" spans="1:22" hidden="1">
      <c r="A296" s="2124">
        <f t="shared" si="69"/>
        <v>1</v>
      </c>
      <c r="B296" s="2073">
        <v>280</v>
      </c>
      <c r="C296" s="2104">
        <f t="shared" si="70"/>
        <v>0</v>
      </c>
      <c r="D296" s="2125">
        <f t="shared" si="58"/>
        <v>0.03</v>
      </c>
      <c r="E296" s="2104">
        <f t="shared" si="64"/>
        <v>0</v>
      </c>
      <c r="F296" s="2135"/>
      <c r="G296" s="2127">
        <f t="shared" si="71"/>
        <v>3</v>
      </c>
      <c r="H296" s="2075">
        <v>280</v>
      </c>
      <c r="I296" s="2104">
        <f t="shared" si="65"/>
        <v>0</v>
      </c>
      <c r="J296" s="2125">
        <f t="shared" si="66"/>
        <v>3.5000000000000003E-2</v>
      </c>
      <c r="K296" s="2083"/>
      <c r="L296" s="2106"/>
      <c r="N296" s="2071">
        <f t="shared" si="67"/>
        <v>280</v>
      </c>
      <c r="O296" s="2130">
        <f>IF(D295=D296,O295+0.00001,ROUNDDOWN(MAX($O$16:$O295),0)+1)</f>
        <v>2.8000000000000065E-3</v>
      </c>
      <c r="P296" s="2131">
        <f t="shared" si="59"/>
        <v>0</v>
      </c>
      <c r="Q296" s="2131">
        <f t="shared" si="60"/>
        <v>0</v>
      </c>
      <c r="R296" s="2131">
        <f t="shared" si="61"/>
        <v>0</v>
      </c>
      <c r="S296" s="2130">
        <f>IF(J295=J296,S295+0.00001,ROUNDDOWN(MAX($S$16:$S295),0)+1)</f>
        <v>2.0016000000000105</v>
      </c>
      <c r="T296" s="2131">
        <f t="shared" si="62"/>
        <v>0</v>
      </c>
      <c r="U296" s="2131">
        <f t="shared" si="63"/>
        <v>0</v>
      </c>
      <c r="V296" s="2071">
        <f t="shared" si="68"/>
        <v>280</v>
      </c>
    </row>
    <row r="297" spans="1:22" hidden="1">
      <c r="A297" s="2124">
        <f t="shared" si="69"/>
        <v>1</v>
      </c>
      <c r="B297" s="2073">
        <v>281</v>
      </c>
      <c r="C297" s="2104">
        <f t="shared" si="70"/>
        <v>0</v>
      </c>
      <c r="D297" s="2125">
        <f t="shared" si="58"/>
        <v>0.03</v>
      </c>
      <c r="E297" s="2104">
        <f t="shared" si="64"/>
        <v>0</v>
      </c>
      <c r="F297" s="2135"/>
      <c r="G297" s="2127">
        <f t="shared" si="71"/>
        <v>3</v>
      </c>
      <c r="H297" s="2075">
        <v>281</v>
      </c>
      <c r="I297" s="2104">
        <f t="shared" si="65"/>
        <v>0</v>
      </c>
      <c r="J297" s="2125">
        <f t="shared" si="66"/>
        <v>3.5000000000000003E-2</v>
      </c>
      <c r="K297" s="2083"/>
      <c r="L297" s="2106"/>
      <c r="N297" s="2071">
        <f t="shared" si="67"/>
        <v>281</v>
      </c>
      <c r="O297" s="2130">
        <f>IF(D296=D297,O296+0.00001,ROUNDDOWN(MAX($O$16:$O296),0)+1)</f>
        <v>2.8100000000000065E-3</v>
      </c>
      <c r="P297" s="2131">
        <f t="shared" si="59"/>
        <v>0</v>
      </c>
      <c r="Q297" s="2131">
        <f t="shared" si="60"/>
        <v>0</v>
      </c>
      <c r="R297" s="2131">
        <f t="shared" si="61"/>
        <v>0</v>
      </c>
      <c r="S297" s="2130">
        <f>IF(J296=J297,S296+0.00001,ROUNDDOWN(MAX($S$16:$S296),0)+1)</f>
        <v>2.0016100000000105</v>
      </c>
      <c r="T297" s="2131">
        <f t="shared" si="62"/>
        <v>0</v>
      </c>
      <c r="U297" s="2131">
        <f t="shared" si="63"/>
        <v>0</v>
      </c>
      <c r="V297" s="2071">
        <f t="shared" si="68"/>
        <v>281</v>
      </c>
    </row>
    <row r="298" spans="1:22" hidden="1">
      <c r="A298" s="2124">
        <f t="shared" si="69"/>
        <v>1</v>
      </c>
      <c r="B298" s="2073">
        <v>282</v>
      </c>
      <c r="C298" s="2104">
        <f t="shared" si="70"/>
        <v>0</v>
      </c>
      <c r="D298" s="2125">
        <f t="shared" si="58"/>
        <v>0.03</v>
      </c>
      <c r="E298" s="2104">
        <f t="shared" si="64"/>
        <v>0</v>
      </c>
      <c r="F298" s="2135"/>
      <c r="G298" s="2127">
        <f t="shared" si="71"/>
        <v>3</v>
      </c>
      <c r="H298" s="2075">
        <v>282</v>
      </c>
      <c r="I298" s="2104">
        <f t="shared" si="65"/>
        <v>0</v>
      </c>
      <c r="J298" s="2125">
        <f t="shared" si="66"/>
        <v>3.5000000000000003E-2</v>
      </c>
      <c r="K298" s="2083"/>
      <c r="L298" s="2106"/>
      <c r="N298" s="2071">
        <f t="shared" si="67"/>
        <v>282</v>
      </c>
      <c r="O298" s="2130">
        <f>IF(D297=D298,O297+0.00001,ROUNDDOWN(MAX($O$16:$O297),0)+1)</f>
        <v>2.8200000000000065E-3</v>
      </c>
      <c r="P298" s="2131">
        <f t="shared" si="59"/>
        <v>0</v>
      </c>
      <c r="Q298" s="2131">
        <f t="shared" si="60"/>
        <v>0</v>
      </c>
      <c r="R298" s="2131">
        <f t="shared" si="61"/>
        <v>0</v>
      </c>
      <c r="S298" s="2130">
        <f>IF(J297=J298,S297+0.00001,ROUNDDOWN(MAX($S$16:$S297),0)+1)</f>
        <v>2.0016200000000106</v>
      </c>
      <c r="T298" s="2131">
        <f t="shared" si="62"/>
        <v>0</v>
      </c>
      <c r="U298" s="2131">
        <f t="shared" si="63"/>
        <v>0</v>
      </c>
      <c r="V298" s="2071">
        <f t="shared" si="68"/>
        <v>282</v>
      </c>
    </row>
    <row r="299" spans="1:22" hidden="1">
      <c r="A299" s="2124">
        <f t="shared" si="69"/>
        <v>1</v>
      </c>
      <c r="B299" s="2073">
        <v>283</v>
      </c>
      <c r="C299" s="2104">
        <f t="shared" si="70"/>
        <v>0</v>
      </c>
      <c r="D299" s="2125">
        <f t="shared" si="58"/>
        <v>0.03</v>
      </c>
      <c r="E299" s="2104">
        <f t="shared" si="64"/>
        <v>0</v>
      </c>
      <c r="F299" s="2135"/>
      <c r="G299" s="2127">
        <f t="shared" si="71"/>
        <v>3</v>
      </c>
      <c r="H299" s="2075">
        <v>283</v>
      </c>
      <c r="I299" s="2104">
        <f t="shared" si="65"/>
        <v>0</v>
      </c>
      <c r="J299" s="2125">
        <f t="shared" si="66"/>
        <v>3.5000000000000003E-2</v>
      </c>
      <c r="K299" s="2083"/>
      <c r="L299" s="2106"/>
      <c r="N299" s="2071">
        <f t="shared" si="67"/>
        <v>283</v>
      </c>
      <c r="O299" s="2130">
        <f>IF(D298=D299,O298+0.00001,ROUNDDOWN(MAX($O$16:$O298),0)+1)</f>
        <v>2.8300000000000066E-3</v>
      </c>
      <c r="P299" s="2131">
        <f t="shared" si="59"/>
        <v>0</v>
      </c>
      <c r="Q299" s="2131">
        <f t="shared" si="60"/>
        <v>0</v>
      </c>
      <c r="R299" s="2131">
        <f t="shared" si="61"/>
        <v>0</v>
      </c>
      <c r="S299" s="2130">
        <f>IF(J298=J299,S298+0.00001,ROUNDDOWN(MAX($S$16:$S298),0)+1)</f>
        <v>2.0016300000000107</v>
      </c>
      <c r="T299" s="2131">
        <f t="shared" si="62"/>
        <v>0</v>
      </c>
      <c r="U299" s="2131">
        <f t="shared" si="63"/>
        <v>0</v>
      </c>
      <c r="V299" s="2071">
        <f t="shared" si="68"/>
        <v>283</v>
      </c>
    </row>
    <row r="300" spans="1:22" hidden="1">
      <c r="A300" s="2124">
        <f t="shared" si="69"/>
        <v>1</v>
      </c>
      <c r="B300" s="2073">
        <v>284</v>
      </c>
      <c r="C300" s="2104">
        <f t="shared" si="70"/>
        <v>0</v>
      </c>
      <c r="D300" s="2125">
        <f t="shared" si="58"/>
        <v>0.03</v>
      </c>
      <c r="E300" s="2104">
        <f t="shared" si="64"/>
        <v>0</v>
      </c>
      <c r="F300" s="2135"/>
      <c r="G300" s="2127">
        <f t="shared" si="71"/>
        <v>3</v>
      </c>
      <c r="H300" s="2075">
        <v>284</v>
      </c>
      <c r="I300" s="2104">
        <f t="shared" si="65"/>
        <v>0</v>
      </c>
      <c r="J300" s="2125">
        <f t="shared" si="66"/>
        <v>3.5000000000000003E-2</v>
      </c>
      <c r="K300" s="2083"/>
      <c r="L300" s="2106"/>
      <c r="N300" s="2071">
        <f t="shared" si="67"/>
        <v>284</v>
      </c>
      <c r="O300" s="2130">
        <f>IF(D299=D300,O299+0.00001,ROUNDDOWN(MAX($O$16:$O299),0)+1)</f>
        <v>2.8400000000000066E-3</v>
      </c>
      <c r="P300" s="2131">
        <f t="shared" si="59"/>
        <v>0</v>
      </c>
      <c r="Q300" s="2131">
        <f t="shared" si="60"/>
        <v>0</v>
      </c>
      <c r="R300" s="2131">
        <f t="shared" si="61"/>
        <v>0</v>
      </c>
      <c r="S300" s="2130">
        <f>IF(J299=J300,S299+0.00001,ROUNDDOWN(MAX($S$16:$S299),0)+1)</f>
        <v>2.0016400000000107</v>
      </c>
      <c r="T300" s="2131">
        <f t="shared" si="62"/>
        <v>0</v>
      </c>
      <c r="U300" s="2131">
        <f t="shared" si="63"/>
        <v>0</v>
      </c>
      <c r="V300" s="2071">
        <f t="shared" si="68"/>
        <v>284</v>
      </c>
    </row>
    <row r="301" spans="1:22" hidden="1">
      <c r="A301" s="2124">
        <f t="shared" si="69"/>
        <v>1</v>
      </c>
      <c r="B301" s="2073">
        <v>285</v>
      </c>
      <c r="C301" s="2104">
        <f t="shared" si="70"/>
        <v>0</v>
      </c>
      <c r="D301" s="2125">
        <f t="shared" si="58"/>
        <v>0.03</v>
      </c>
      <c r="E301" s="2104">
        <f t="shared" si="64"/>
        <v>0</v>
      </c>
      <c r="F301" s="2135"/>
      <c r="G301" s="2127">
        <f t="shared" si="71"/>
        <v>3</v>
      </c>
      <c r="H301" s="2075">
        <v>285</v>
      </c>
      <c r="I301" s="2104">
        <f t="shared" si="65"/>
        <v>0</v>
      </c>
      <c r="J301" s="2125">
        <f t="shared" si="66"/>
        <v>3.5000000000000003E-2</v>
      </c>
      <c r="K301" s="2083"/>
      <c r="L301" s="2106"/>
      <c r="N301" s="2071">
        <f t="shared" si="67"/>
        <v>285</v>
      </c>
      <c r="O301" s="2130">
        <f>IF(D300=D301,O300+0.00001,ROUNDDOWN(MAX($O$16:$O300),0)+1)</f>
        <v>2.8500000000000066E-3</v>
      </c>
      <c r="P301" s="2131">
        <f t="shared" si="59"/>
        <v>0</v>
      </c>
      <c r="Q301" s="2131">
        <f t="shared" si="60"/>
        <v>0</v>
      </c>
      <c r="R301" s="2131">
        <f t="shared" si="61"/>
        <v>0</v>
      </c>
      <c r="S301" s="2130">
        <f>IF(J300=J301,S300+0.00001,ROUNDDOWN(MAX($S$16:$S300),0)+1)</f>
        <v>2.0016500000000108</v>
      </c>
      <c r="T301" s="2131">
        <f t="shared" si="62"/>
        <v>0</v>
      </c>
      <c r="U301" s="2131">
        <f t="shared" si="63"/>
        <v>0</v>
      </c>
      <c r="V301" s="2071">
        <f t="shared" si="68"/>
        <v>285</v>
      </c>
    </row>
    <row r="302" spans="1:22" hidden="1">
      <c r="A302" s="2124">
        <f t="shared" si="69"/>
        <v>1</v>
      </c>
      <c r="B302" s="2073">
        <v>286</v>
      </c>
      <c r="C302" s="2104">
        <f t="shared" si="70"/>
        <v>0</v>
      </c>
      <c r="D302" s="2125">
        <f t="shared" si="58"/>
        <v>0.03</v>
      </c>
      <c r="E302" s="2104">
        <f t="shared" si="64"/>
        <v>0</v>
      </c>
      <c r="F302" s="2135"/>
      <c r="G302" s="2127">
        <f t="shared" si="71"/>
        <v>3</v>
      </c>
      <c r="H302" s="2075">
        <v>286</v>
      </c>
      <c r="I302" s="2104">
        <f t="shared" si="65"/>
        <v>0</v>
      </c>
      <c r="J302" s="2125">
        <f t="shared" si="66"/>
        <v>3.5000000000000003E-2</v>
      </c>
      <c r="K302" s="2083"/>
      <c r="L302" s="2106"/>
      <c r="N302" s="2071">
        <f t="shared" si="67"/>
        <v>286</v>
      </c>
      <c r="O302" s="2130">
        <f>IF(D301=D302,O301+0.00001,ROUNDDOWN(MAX($O$16:$O301),0)+1)</f>
        <v>2.8600000000000066E-3</v>
      </c>
      <c r="P302" s="2131">
        <f t="shared" si="59"/>
        <v>0</v>
      </c>
      <c r="Q302" s="2131">
        <f t="shared" si="60"/>
        <v>0</v>
      </c>
      <c r="R302" s="2131">
        <f t="shared" si="61"/>
        <v>0</v>
      </c>
      <c r="S302" s="2130">
        <f>IF(J301=J302,S301+0.00001,ROUNDDOWN(MAX($S$16:$S301),0)+1)</f>
        <v>2.0016600000000109</v>
      </c>
      <c r="T302" s="2131">
        <f t="shared" si="62"/>
        <v>0</v>
      </c>
      <c r="U302" s="2131">
        <f t="shared" si="63"/>
        <v>0</v>
      </c>
      <c r="V302" s="2071">
        <f t="shared" si="68"/>
        <v>286</v>
      </c>
    </row>
    <row r="303" spans="1:22" hidden="1">
      <c r="A303" s="2124">
        <f t="shared" si="69"/>
        <v>1</v>
      </c>
      <c r="B303" s="2073">
        <v>287</v>
      </c>
      <c r="C303" s="2104">
        <f t="shared" si="70"/>
        <v>0</v>
      </c>
      <c r="D303" s="2125">
        <f t="shared" si="58"/>
        <v>0.03</v>
      </c>
      <c r="E303" s="2104">
        <f t="shared" si="64"/>
        <v>0</v>
      </c>
      <c r="F303" s="2135"/>
      <c r="G303" s="2127">
        <f t="shared" si="71"/>
        <v>3</v>
      </c>
      <c r="H303" s="2075">
        <v>287</v>
      </c>
      <c r="I303" s="2104">
        <f t="shared" si="65"/>
        <v>0</v>
      </c>
      <c r="J303" s="2125">
        <f t="shared" si="66"/>
        <v>3.5000000000000003E-2</v>
      </c>
      <c r="K303" s="2083"/>
      <c r="L303" s="2106"/>
      <c r="N303" s="2071">
        <f t="shared" si="67"/>
        <v>287</v>
      </c>
      <c r="O303" s="2130">
        <f>IF(D302=D303,O302+0.00001,ROUNDDOWN(MAX($O$16:$O302),0)+1)</f>
        <v>2.8700000000000067E-3</v>
      </c>
      <c r="P303" s="2131">
        <f t="shared" si="59"/>
        <v>0</v>
      </c>
      <c r="Q303" s="2131">
        <f t="shared" si="60"/>
        <v>0</v>
      </c>
      <c r="R303" s="2131">
        <f t="shared" si="61"/>
        <v>0</v>
      </c>
      <c r="S303" s="2130">
        <f>IF(J302=J303,S302+0.00001,ROUNDDOWN(MAX($S$16:$S302),0)+1)</f>
        <v>2.0016700000000109</v>
      </c>
      <c r="T303" s="2131">
        <f t="shared" si="62"/>
        <v>0</v>
      </c>
      <c r="U303" s="2131">
        <f t="shared" si="63"/>
        <v>0</v>
      </c>
      <c r="V303" s="2071">
        <f t="shared" si="68"/>
        <v>287</v>
      </c>
    </row>
    <row r="304" spans="1:22" hidden="1">
      <c r="A304" s="2124">
        <f t="shared" si="69"/>
        <v>1</v>
      </c>
      <c r="B304" s="2073">
        <v>288</v>
      </c>
      <c r="C304" s="2104">
        <f t="shared" si="70"/>
        <v>0</v>
      </c>
      <c r="D304" s="2125">
        <f t="shared" si="58"/>
        <v>0.03</v>
      </c>
      <c r="E304" s="2104">
        <f t="shared" si="64"/>
        <v>0</v>
      </c>
      <c r="F304" s="2135"/>
      <c r="G304" s="2127">
        <f t="shared" si="71"/>
        <v>3</v>
      </c>
      <c r="H304" s="2075">
        <v>288</v>
      </c>
      <c r="I304" s="2104">
        <f t="shared" si="65"/>
        <v>0</v>
      </c>
      <c r="J304" s="2125">
        <f t="shared" si="66"/>
        <v>3.5000000000000003E-2</v>
      </c>
      <c r="K304" s="2083"/>
      <c r="L304" s="2106"/>
      <c r="N304" s="2071">
        <f t="shared" si="67"/>
        <v>288</v>
      </c>
      <c r="O304" s="2130">
        <f>IF(D303=D304,O303+0.00001,ROUNDDOWN(MAX($O$16:$O303),0)+1)</f>
        <v>2.8800000000000067E-3</v>
      </c>
      <c r="P304" s="2131">
        <f t="shared" si="59"/>
        <v>0</v>
      </c>
      <c r="Q304" s="2131">
        <f t="shared" si="60"/>
        <v>0</v>
      </c>
      <c r="R304" s="2131">
        <f t="shared" si="61"/>
        <v>0</v>
      </c>
      <c r="S304" s="2130">
        <f>IF(J303=J304,S303+0.00001,ROUNDDOWN(MAX($S$16:$S303),0)+1)</f>
        <v>2.001680000000011</v>
      </c>
      <c r="T304" s="2131">
        <f t="shared" si="62"/>
        <v>0</v>
      </c>
      <c r="U304" s="2131">
        <f t="shared" si="63"/>
        <v>0</v>
      </c>
      <c r="V304" s="2071">
        <f t="shared" si="68"/>
        <v>288</v>
      </c>
    </row>
    <row r="305" spans="1:22" hidden="1">
      <c r="A305" s="2124">
        <f t="shared" si="69"/>
        <v>1</v>
      </c>
      <c r="B305" s="2073">
        <v>289</v>
      </c>
      <c r="C305" s="2104">
        <f t="shared" si="70"/>
        <v>0</v>
      </c>
      <c r="D305" s="2125">
        <f t="shared" si="58"/>
        <v>0.03</v>
      </c>
      <c r="E305" s="2104">
        <f t="shared" si="64"/>
        <v>0</v>
      </c>
      <c r="F305" s="2135"/>
      <c r="G305" s="2127">
        <f t="shared" si="71"/>
        <v>3</v>
      </c>
      <c r="H305" s="2075">
        <v>289</v>
      </c>
      <c r="I305" s="2104">
        <f t="shared" si="65"/>
        <v>0</v>
      </c>
      <c r="J305" s="2125">
        <f t="shared" si="66"/>
        <v>3.5000000000000003E-2</v>
      </c>
      <c r="K305" s="2083"/>
      <c r="L305" s="2106"/>
      <c r="N305" s="2071">
        <f t="shared" si="67"/>
        <v>289</v>
      </c>
      <c r="O305" s="2130">
        <f>IF(D304=D305,O304+0.00001,ROUNDDOWN(MAX($O$16:$O304),0)+1)</f>
        <v>2.8900000000000067E-3</v>
      </c>
      <c r="P305" s="2131">
        <f t="shared" si="59"/>
        <v>0</v>
      </c>
      <c r="Q305" s="2131">
        <f t="shared" si="60"/>
        <v>0</v>
      </c>
      <c r="R305" s="2131">
        <f t="shared" si="61"/>
        <v>0</v>
      </c>
      <c r="S305" s="2130">
        <f>IF(J304=J305,S304+0.00001,ROUNDDOWN(MAX($S$16:$S304),0)+1)</f>
        <v>2.0016900000000111</v>
      </c>
      <c r="T305" s="2131">
        <f t="shared" si="62"/>
        <v>0</v>
      </c>
      <c r="U305" s="2131">
        <f t="shared" si="63"/>
        <v>0</v>
      </c>
      <c r="V305" s="2071">
        <f t="shared" si="68"/>
        <v>289</v>
      </c>
    </row>
    <row r="306" spans="1:22" hidden="1">
      <c r="A306" s="2124">
        <f t="shared" si="69"/>
        <v>1</v>
      </c>
      <c r="B306" s="2073">
        <v>290</v>
      </c>
      <c r="C306" s="2104">
        <f t="shared" si="70"/>
        <v>0</v>
      </c>
      <c r="D306" s="2125">
        <f t="shared" si="58"/>
        <v>0.03</v>
      </c>
      <c r="E306" s="2104">
        <f t="shared" si="64"/>
        <v>0</v>
      </c>
      <c r="F306" s="2135"/>
      <c r="G306" s="2127">
        <f t="shared" si="71"/>
        <v>3</v>
      </c>
      <c r="H306" s="2075">
        <v>290</v>
      </c>
      <c r="I306" s="2104">
        <f t="shared" si="65"/>
        <v>0</v>
      </c>
      <c r="J306" s="2125">
        <f t="shared" si="66"/>
        <v>3.5000000000000003E-2</v>
      </c>
      <c r="K306" s="2083"/>
      <c r="L306" s="2106"/>
      <c r="N306" s="2071">
        <f t="shared" si="67"/>
        <v>290</v>
      </c>
      <c r="O306" s="2130">
        <f>IF(D305=D306,O305+0.00001,ROUNDDOWN(MAX($O$16:$O305),0)+1)</f>
        <v>2.9000000000000067E-3</v>
      </c>
      <c r="P306" s="2131">
        <f t="shared" si="59"/>
        <v>0</v>
      </c>
      <c r="Q306" s="2131">
        <f t="shared" si="60"/>
        <v>0</v>
      </c>
      <c r="R306" s="2131">
        <f t="shared" si="61"/>
        <v>0</v>
      </c>
      <c r="S306" s="2130">
        <f>IF(J305=J306,S305+0.00001,ROUNDDOWN(MAX($S$16:$S305),0)+1)</f>
        <v>2.0017000000000111</v>
      </c>
      <c r="T306" s="2131">
        <f t="shared" si="62"/>
        <v>0</v>
      </c>
      <c r="U306" s="2131">
        <f t="shared" si="63"/>
        <v>0</v>
      </c>
      <c r="V306" s="2071">
        <f t="shared" si="68"/>
        <v>290</v>
      </c>
    </row>
    <row r="307" spans="1:22" hidden="1">
      <c r="A307" s="2124">
        <f t="shared" si="69"/>
        <v>1</v>
      </c>
      <c r="B307" s="2073">
        <v>291</v>
      </c>
      <c r="C307" s="2104">
        <f t="shared" si="70"/>
        <v>0</v>
      </c>
      <c r="D307" s="2125">
        <f t="shared" si="58"/>
        <v>0.03</v>
      </c>
      <c r="E307" s="2104">
        <f t="shared" si="64"/>
        <v>0</v>
      </c>
      <c r="F307" s="2135"/>
      <c r="G307" s="2127">
        <f t="shared" si="71"/>
        <v>3</v>
      </c>
      <c r="H307" s="2075">
        <v>291</v>
      </c>
      <c r="I307" s="2104">
        <f t="shared" si="65"/>
        <v>0</v>
      </c>
      <c r="J307" s="2125">
        <f t="shared" si="66"/>
        <v>3.5000000000000003E-2</v>
      </c>
      <c r="K307" s="2083"/>
      <c r="L307" s="2106"/>
      <c r="N307" s="2071">
        <f t="shared" si="67"/>
        <v>291</v>
      </c>
      <c r="O307" s="2130">
        <f>IF(D306=D307,O306+0.00001,ROUNDDOWN(MAX($O$16:$O306),0)+1)</f>
        <v>2.9100000000000068E-3</v>
      </c>
      <c r="P307" s="2131">
        <f t="shared" si="59"/>
        <v>0</v>
      </c>
      <c r="Q307" s="2131">
        <f t="shared" si="60"/>
        <v>0</v>
      </c>
      <c r="R307" s="2131">
        <f t="shared" si="61"/>
        <v>0</v>
      </c>
      <c r="S307" s="2130">
        <f>IF(J306=J307,S306+0.00001,ROUNDDOWN(MAX($S$16:$S306),0)+1)</f>
        <v>2.0017100000000112</v>
      </c>
      <c r="T307" s="2131">
        <f t="shared" si="62"/>
        <v>0</v>
      </c>
      <c r="U307" s="2131">
        <f t="shared" si="63"/>
        <v>0</v>
      </c>
      <c r="V307" s="2071">
        <f t="shared" si="68"/>
        <v>291</v>
      </c>
    </row>
    <row r="308" spans="1:22" hidden="1">
      <c r="A308" s="2124">
        <f t="shared" si="69"/>
        <v>1</v>
      </c>
      <c r="B308" s="2073">
        <v>292</v>
      </c>
      <c r="C308" s="2104">
        <f t="shared" si="70"/>
        <v>0</v>
      </c>
      <c r="D308" s="2125">
        <f t="shared" si="58"/>
        <v>0.03</v>
      </c>
      <c r="E308" s="2104">
        <f t="shared" si="64"/>
        <v>0</v>
      </c>
      <c r="F308" s="2135"/>
      <c r="G308" s="2127">
        <f t="shared" si="71"/>
        <v>3</v>
      </c>
      <c r="H308" s="2075">
        <v>292</v>
      </c>
      <c r="I308" s="2104">
        <f t="shared" si="65"/>
        <v>0</v>
      </c>
      <c r="J308" s="2125">
        <f t="shared" si="66"/>
        <v>3.5000000000000003E-2</v>
      </c>
      <c r="K308" s="2083"/>
      <c r="L308" s="2106"/>
      <c r="N308" s="2071">
        <f t="shared" si="67"/>
        <v>292</v>
      </c>
      <c r="O308" s="2130">
        <f>IF(D307=D308,O307+0.00001,ROUNDDOWN(MAX($O$16:$O307),0)+1)</f>
        <v>2.9200000000000068E-3</v>
      </c>
      <c r="P308" s="2131">
        <f t="shared" si="59"/>
        <v>0</v>
      </c>
      <c r="Q308" s="2131">
        <f t="shared" si="60"/>
        <v>0</v>
      </c>
      <c r="R308" s="2131">
        <f t="shared" si="61"/>
        <v>0</v>
      </c>
      <c r="S308" s="2130">
        <f>IF(J307=J308,S307+0.00001,ROUNDDOWN(MAX($S$16:$S307),0)+1)</f>
        <v>2.0017200000000113</v>
      </c>
      <c r="T308" s="2131">
        <f t="shared" si="62"/>
        <v>0</v>
      </c>
      <c r="U308" s="2131">
        <f t="shared" si="63"/>
        <v>0</v>
      </c>
      <c r="V308" s="2071">
        <f t="shared" si="68"/>
        <v>292</v>
      </c>
    </row>
    <row r="309" spans="1:22" hidden="1">
      <c r="A309" s="2124">
        <f t="shared" si="69"/>
        <v>1</v>
      </c>
      <c r="B309" s="2073">
        <v>293</v>
      </c>
      <c r="C309" s="2104">
        <f t="shared" si="70"/>
        <v>0</v>
      </c>
      <c r="D309" s="2125">
        <f t="shared" si="58"/>
        <v>0.03</v>
      </c>
      <c r="E309" s="2104">
        <f t="shared" si="64"/>
        <v>0</v>
      </c>
      <c r="F309" s="2135"/>
      <c r="G309" s="2127">
        <f t="shared" si="71"/>
        <v>3</v>
      </c>
      <c r="H309" s="2075">
        <v>293</v>
      </c>
      <c r="I309" s="2104">
        <f t="shared" si="65"/>
        <v>0</v>
      </c>
      <c r="J309" s="2125">
        <f t="shared" si="66"/>
        <v>3.5000000000000003E-2</v>
      </c>
      <c r="K309" s="2083"/>
      <c r="L309" s="2106"/>
      <c r="N309" s="2071">
        <f t="shared" si="67"/>
        <v>293</v>
      </c>
      <c r="O309" s="2130">
        <f>IF(D308=D309,O308+0.00001,ROUNDDOWN(MAX($O$16:$O308),0)+1)</f>
        <v>2.9300000000000068E-3</v>
      </c>
      <c r="P309" s="2131">
        <f t="shared" si="59"/>
        <v>0</v>
      </c>
      <c r="Q309" s="2131">
        <f t="shared" si="60"/>
        <v>0</v>
      </c>
      <c r="R309" s="2131">
        <f t="shared" si="61"/>
        <v>0</v>
      </c>
      <c r="S309" s="2130">
        <f>IF(J308=J309,S308+0.00001,ROUNDDOWN(MAX($S$16:$S308),0)+1)</f>
        <v>2.0017300000000113</v>
      </c>
      <c r="T309" s="2131">
        <f t="shared" si="62"/>
        <v>0</v>
      </c>
      <c r="U309" s="2131">
        <f t="shared" si="63"/>
        <v>0</v>
      </c>
      <c r="V309" s="2071">
        <f t="shared" si="68"/>
        <v>293</v>
      </c>
    </row>
    <row r="310" spans="1:22" hidden="1">
      <c r="A310" s="2124">
        <f t="shared" si="69"/>
        <v>1</v>
      </c>
      <c r="B310" s="2073">
        <v>294</v>
      </c>
      <c r="C310" s="2104">
        <f t="shared" si="70"/>
        <v>0</v>
      </c>
      <c r="D310" s="2125">
        <f t="shared" si="58"/>
        <v>0.03</v>
      </c>
      <c r="E310" s="2104">
        <f t="shared" si="64"/>
        <v>0</v>
      </c>
      <c r="F310" s="2135"/>
      <c r="G310" s="2127">
        <f t="shared" si="71"/>
        <v>3</v>
      </c>
      <c r="H310" s="2075">
        <v>294</v>
      </c>
      <c r="I310" s="2104">
        <f t="shared" si="65"/>
        <v>0</v>
      </c>
      <c r="J310" s="2125">
        <f t="shared" si="66"/>
        <v>3.5000000000000003E-2</v>
      </c>
      <c r="K310" s="2083"/>
      <c r="L310" s="2106"/>
      <c r="N310" s="2071">
        <f t="shared" si="67"/>
        <v>294</v>
      </c>
      <c r="O310" s="2130">
        <f>IF(D309=D310,O309+0.00001,ROUNDDOWN(MAX($O$16:$O309),0)+1)</f>
        <v>2.9400000000000068E-3</v>
      </c>
      <c r="P310" s="2131">
        <f t="shared" si="59"/>
        <v>0</v>
      </c>
      <c r="Q310" s="2131">
        <f t="shared" si="60"/>
        <v>0</v>
      </c>
      <c r="R310" s="2131">
        <f t="shared" si="61"/>
        <v>0</v>
      </c>
      <c r="S310" s="2130">
        <f>IF(J309=J310,S309+0.00001,ROUNDDOWN(MAX($S$16:$S309),0)+1)</f>
        <v>2.0017400000000114</v>
      </c>
      <c r="T310" s="2131">
        <f t="shared" si="62"/>
        <v>0</v>
      </c>
      <c r="U310" s="2131">
        <f t="shared" si="63"/>
        <v>0</v>
      </c>
      <c r="V310" s="2071">
        <f t="shared" si="68"/>
        <v>294</v>
      </c>
    </row>
    <row r="311" spans="1:22" hidden="1">
      <c r="A311" s="2124">
        <f t="shared" si="69"/>
        <v>1</v>
      </c>
      <c r="B311" s="2073">
        <v>295</v>
      </c>
      <c r="C311" s="2104">
        <f t="shared" si="70"/>
        <v>0</v>
      </c>
      <c r="D311" s="2125">
        <f t="shared" si="58"/>
        <v>0.03</v>
      </c>
      <c r="E311" s="2104">
        <f t="shared" si="64"/>
        <v>0</v>
      </c>
      <c r="F311" s="2135"/>
      <c r="G311" s="2127">
        <f t="shared" si="71"/>
        <v>3</v>
      </c>
      <c r="H311" s="2075">
        <v>295</v>
      </c>
      <c r="I311" s="2104">
        <f t="shared" si="65"/>
        <v>0</v>
      </c>
      <c r="J311" s="2125">
        <f t="shared" si="66"/>
        <v>3.5000000000000003E-2</v>
      </c>
      <c r="K311" s="2083"/>
      <c r="L311" s="2106"/>
      <c r="N311" s="2071">
        <f t="shared" si="67"/>
        <v>295</v>
      </c>
      <c r="O311" s="2130">
        <f>IF(D310=D311,O310+0.00001,ROUNDDOWN(MAX($O$16:$O310),0)+1)</f>
        <v>2.9500000000000069E-3</v>
      </c>
      <c r="P311" s="2131">
        <f t="shared" si="59"/>
        <v>0</v>
      </c>
      <c r="Q311" s="2131">
        <f t="shared" si="60"/>
        <v>0</v>
      </c>
      <c r="R311" s="2131">
        <f t="shared" si="61"/>
        <v>0</v>
      </c>
      <c r="S311" s="2130">
        <f>IF(J310=J311,S310+0.00001,ROUNDDOWN(MAX($S$16:$S310),0)+1)</f>
        <v>2.0017500000000115</v>
      </c>
      <c r="T311" s="2131">
        <f t="shared" si="62"/>
        <v>0</v>
      </c>
      <c r="U311" s="2131">
        <f t="shared" si="63"/>
        <v>0</v>
      </c>
      <c r="V311" s="2071">
        <f t="shared" si="68"/>
        <v>295</v>
      </c>
    </row>
    <row r="312" spans="1:22" hidden="1">
      <c r="A312" s="2124">
        <f t="shared" si="69"/>
        <v>1</v>
      </c>
      <c r="B312" s="2073">
        <v>296</v>
      </c>
      <c r="C312" s="2104">
        <f t="shared" si="70"/>
        <v>0</v>
      </c>
      <c r="D312" s="2125">
        <f t="shared" si="58"/>
        <v>0.03</v>
      </c>
      <c r="E312" s="2104">
        <f t="shared" si="64"/>
        <v>0</v>
      </c>
      <c r="F312" s="2135"/>
      <c r="G312" s="2127">
        <f t="shared" si="71"/>
        <v>3</v>
      </c>
      <c r="H312" s="2075">
        <v>296</v>
      </c>
      <c r="I312" s="2104">
        <f t="shared" si="65"/>
        <v>0</v>
      </c>
      <c r="J312" s="2125">
        <f t="shared" si="66"/>
        <v>3.5000000000000003E-2</v>
      </c>
      <c r="K312" s="2083"/>
      <c r="L312" s="2106"/>
      <c r="N312" s="2071">
        <f t="shared" si="67"/>
        <v>296</v>
      </c>
      <c r="O312" s="2130">
        <f>IF(D311=D312,O311+0.00001,ROUNDDOWN(MAX($O$16:$O311),0)+1)</f>
        <v>2.9600000000000069E-3</v>
      </c>
      <c r="P312" s="2131">
        <f t="shared" si="59"/>
        <v>0</v>
      </c>
      <c r="Q312" s="2131">
        <f t="shared" si="60"/>
        <v>0</v>
      </c>
      <c r="R312" s="2131">
        <f t="shared" si="61"/>
        <v>0</v>
      </c>
      <c r="S312" s="2130">
        <f>IF(J311=J312,S311+0.00001,ROUNDDOWN(MAX($S$16:$S311),0)+1)</f>
        <v>2.0017600000000115</v>
      </c>
      <c r="T312" s="2131">
        <f t="shared" si="62"/>
        <v>0</v>
      </c>
      <c r="U312" s="2131">
        <f t="shared" si="63"/>
        <v>0</v>
      </c>
      <c r="V312" s="2071">
        <f t="shared" si="68"/>
        <v>296</v>
      </c>
    </row>
    <row r="313" spans="1:22" hidden="1">
      <c r="A313" s="2124">
        <f t="shared" si="69"/>
        <v>1</v>
      </c>
      <c r="B313" s="2073">
        <v>297</v>
      </c>
      <c r="C313" s="2104">
        <f t="shared" si="70"/>
        <v>0</v>
      </c>
      <c r="D313" s="2125">
        <f t="shared" si="58"/>
        <v>0.03</v>
      </c>
      <c r="E313" s="2104">
        <f t="shared" si="64"/>
        <v>0</v>
      </c>
      <c r="F313" s="2135"/>
      <c r="G313" s="2127">
        <f t="shared" si="71"/>
        <v>3</v>
      </c>
      <c r="H313" s="2075">
        <v>297</v>
      </c>
      <c r="I313" s="2104">
        <f t="shared" si="65"/>
        <v>0</v>
      </c>
      <c r="J313" s="2125">
        <f t="shared" si="66"/>
        <v>3.5000000000000003E-2</v>
      </c>
      <c r="K313" s="2083"/>
      <c r="L313" s="2106"/>
      <c r="N313" s="2071">
        <f t="shared" si="67"/>
        <v>297</v>
      </c>
      <c r="O313" s="2130">
        <f>IF(D312=D313,O312+0.00001,ROUNDDOWN(MAX($O$16:$O312),0)+1)</f>
        <v>2.9700000000000069E-3</v>
      </c>
      <c r="P313" s="2131">
        <f t="shared" si="59"/>
        <v>0</v>
      </c>
      <c r="Q313" s="2131">
        <f t="shared" si="60"/>
        <v>0</v>
      </c>
      <c r="R313" s="2131">
        <f t="shared" si="61"/>
        <v>0</v>
      </c>
      <c r="S313" s="2130">
        <f>IF(J312=J313,S312+0.00001,ROUNDDOWN(MAX($S$16:$S312),0)+1)</f>
        <v>2.0017700000000116</v>
      </c>
      <c r="T313" s="2131">
        <f t="shared" si="62"/>
        <v>0</v>
      </c>
      <c r="U313" s="2131">
        <f t="shared" si="63"/>
        <v>0</v>
      </c>
      <c r="V313" s="2071">
        <f t="shared" si="68"/>
        <v>297</v>
      </c>
    </row>
    <row r="314" spans="1:22" hidden="1">
      <c r="A314" s="2124">
        <f t="shared" si="69"/>
        <v>1</v>
      </c>
      <c r="B314" s="2073">
        <v>298</v>
      </c>
      <c r="C314" s="2104">
        <f t="shared" si="70"/>
        <v>0</v>
      </c>
      <c r="D314" s="2125">
        <f t="shared" si="58"/>
        <v>0.03</v>
      </c>
      <c r="E314" s="2104">
        <f t="shared" si="64"/>
        <v>0</v>
      </c>
      <c r="F314" s="2135"/>
      <c r="G314" s="2127">
        <f t="shared" si="71"/>
        <v>3</v>
      </c>
      <c r="H314" s="2075">
        <v>298</v>
      </c>
      <c r="I314" s="2104">
        <f t="shared" si="65"/>
        <v>0</v>
      </c>
      <c r="J314" s="2125">
        <f t="shared" si="66"/>
        <v>3.5000000000000003E-2</v>
      </c>
      <c r="K314" s="2083"/>
      <c r="L314" s="2106"/>
      <c r="N314" s="2071">
        <f t="shared" si="67"/>
        <v>298</v>
      </c>
      <c r="O314" s="2130">
        <f>IF(D313=D314,O313+0.00001,ROUNDDOWN(MAX($O$16:$O313),0)+1)</f>
        <v>2.9800000000000069E-3</v>
      </c>
      <c r="P314" s="2131">
        <f t="shared" si="59"/>
        <v>0</v>
      </c>
      <c r="Q314" s="2131">
        <f t="shared" si="60"/>
        <v>0</v>
      </c>
      <c r="R314" s="2131">
        <f t="shared" si="61"/>
        <v>0</v>
      </c>
      <c r="S314" s="2130">
        <f>IF(J313=J314,S313+0.00001,ROUNDDOWN(MAX($S$16:$S313),0)+1)</f>
        <v>2.0017800000000117</v>
      </c>
      <c r="T314" s="2131">
        <f t="shared" si="62"/>
        <v>0</v>
      </c>
      <c r="U314" s="2131">
        <f t="shared" si="63"/>
        <v>0</v>
      </c>
      <c r="V314" s="2071">
        <f t="shared" si="68"/>
        <v>298</v>
      </c>
    </row>
    <row r="315" spans="1:22" hidden="1">
      <c r="A315" s="2124">
        <f t="shared" si="69"/>
        <v>1</v>
      </c>
      <c r="B315" s="2073">
        <v>299</v>
      </c>
      <c r="C315" s="2104">
        <f t="shared" si="70"/>
        <v>0</v>
      </c>
      <c r="D315" s="2125">
        <f t="shared" si="58"/>
        <v>0.03</v>
      </c>
      <c r="E315" s="2104">
        <f t="shared" si="64"/>
        <v>0</v>
      </c>
      <c r="F315" s="2135"/>
      <c r="G315" s="2127">
        <f t="shared" si="71"/>
        <v>3</v>
      </c>
      <c r="H315" s="2075">
        <v>299</v>
      </c>
      <c r="I315" s="2104">
        <f t="shared" si="65"/>
        <v>0</v>
      </c>
      <c r="J315" s="2125">
        <f t="shared" si="66"/>
        <v>3.5000000000000003E-2</v>
      </c>
      <c r="K315" s="2083"/>
      <c r="L315" s="2106"/>
      <c r="N315" s="2071">
        <f t="shared" si="67"/>
        <v>299</v>
      </c>
      <c r="O315" s="2130">
        <f>IF(D314=D315,O314+0.00001,ROUNDDOWN(MAX($O$16:$O314),0)+1)</f>
        <v>2.990000000000007E-3</v>
      </c>
      <c r="P315" s="2131">
        <f t="shared" si="59"/>
        <v>0</v>
      </c>
      <c r="Q315" s="2131">
        <f t="shared" si="60"/>
        <v>0</v>
      </c>
      <c r="R315" s="2131">
        <f t="shared" si="61"/>
        <v>0</v>
      </c>
      <c r="S315" s="2130">
        <f>IF(J314=J315,S314+0.00001,ROUNDDOWN(MAX($S$16:$S314),0)+1)</f>
        <v>2.0017900000000117</v>
      </c>
      <c r="T315" s="2131">
        <f t="shared" si="62"/>
        <v>0</v>
      </c>
      <c r="U315" s="2131">
        <f t="shared" si="63"/>
        <v>0</v>
      </c>
      <c r="V315" s="2071">
        <f t="shared" si="68"/>
        <v>299</v>
      </c>
    </row>
    <row r="316" spans="1:22" hidden="1">
      <c r="A316" s="2124">
        <f t="shared" si="69"/>
        <v>1</v>
      </c>
      <c r="B316" s="2073">
        <v>300</v>
      </c>
      <c r="C316" s="2104">
        <f t="shared" si="70"/>
        <v>0</v>
      </c>
      <c r="D316" s="2125">
        <f t="shared" si="58"/>
        <v>0.03</v>
      </c>
      <c r="E316" s="2104">
        <f t="shared" si="64"/>
        <v>0</v>
      </c>
      <c r="F316" s="2135"/>
      <c r="G316" s="2127">
        <f t="shared" si="71"/>
        <v>3</v>
      </c>
      <c r="H316" s="2075">
        <v>300</v>
      </c>
      <c r="I316" s="2104">
        <f t="shared" si="65"/>
        <v>0</v>
      </c>
      <c r="J316" s="2125">
        <f t="shared" si="66"/>
        <v>3.5000000000000003E-2</v>
      </c>
      <c r="K316" s="2083"/>
      <c r="L316" s="2106"/>
      <c r="N316" s="2071">
        <f t="shared" si="67"/>
        <v>300</v>
      </c>
      <c r="O316" s="2130">
        <f>IF(D315=D316,O315+0.00001,ROUNDDOWN(MAX($O$16:$O315),0)+1)</f>
        <v>3.000000000000007E-3</v>
      </c>
      <c r="P316" s="2131">
        <f t="shared" si="59"/>
        <v>0</v>
      </c>
      <c r="Q316" s="2131">
        <f t="shared" si="60"/>
        <v>0</v>
      </c>
      <c r="R316" s="2131">
        <f t="shared" si="61"/>
        <v>0</v>
      </c>
      <c r="S316" s="2130">
        <f>IF(J315=J316,S315+0.00001,ROUNDDOWN(MAX($S$16:$S315),0)+1)</f>
        <v>2.0018000000000118</v>
      </c>
      <c r="T316" s="2131">
        <f t="shared" si="62"/>
        <v>0</v>
      </c>
      <c r="U316" s="2131">
        <f t="shared" si="63"/>
        <v>0</v>
      </c>
      <c r="V316" s="2071">
        <f t="shared" si="68"/>
        <v>300</v>
      </c>
    </row>
    <row r="317" spans="1:22" hidden="1">
      <c r="A317" s="2124">
        <f t="shared" si="69"/>
        <v>1</v>
      </c>
      <c r="B317" s="2073">
        <v>301</v>
      </c>
      <c r="C317" s="2104">
        <f t="shared" si="70"/>
        <v>0</v>
      </c>
      <c r="D317" s="2125">
        <f t="shared" si="58"/>
        <v>0.03</v>
      </c>
      <c r="E317" s="2104">
        <f t="shared" si="64"/>
        <v>0</v>
      </c>
      <c r="F317" s="2135"/>
      <c r="G317" s="2127">
        <f t="shared" si="71"/>
        <v>3</v>
      </c>
      <c r="H317" s="2075">
        <v>301</v>
      </c>
      <c r="I317" s="2104">
        <f t="shared" si="65"/>
        <v>0</v>
      </c>
      <c r="J317" s="2125">
        <f t="shared" si="66"/>
        <v>3.5000000000000003E-2</v>
      </c>
      <c r="K317" s="2083"/>
      <c r="L317" s="2106"/>
      <c r="N317" s="2071">
        <f t="shared" si="67"/>
        <v>301</v>
      </c>
      <c r="O317" s="2130">
        <f>IF(D316=D317,O316+0.00001,ROUNDDOWN(MAX($O$16:$O316),0)+1)</f>
        <v>3.010000000000007E-3</v>
      </c>
      <c r="P317" s="2131">
        <f t="shared" si="59"/>
        <v>0</v>
      </c>
      <c r="Q317" s="2131">
        <f t="shared" si="60"/>
        <v>0</v>
      </c>
      <c r="R317" s="2131">
        <f t="shared" si="61"/>
        <v>0</v>
      </c>
      <c r="S317" s="2130">
        <f>IF(J316=J317,S316+0.00001,ROUNDDOWN(MAX($S$16:$S316),0)+1)</f>
        <v>2.0018100000000119</v>
      </c>
      <c r="T317" s="2131">
        <f t="shared" si="62"/>
        <v>0</v>
      </c>
      <c r="U317" s="2131">
        <f t="shared" si="63"/>
        <v>0</v>
      </c>
      <c r="V317" s="2071">
        <f t="shared" si="68"/>
        <v>301</v>
      </c>
    </row>
    <row r="318" spans="1:22" hidden="1">
      <c r="A318" s="2124">
        <f t="shared" si="69"/>
        <v>1</v>
      </c>
      <c r="B318" s="2073">
        <v>302</v>
      </c>
      <c r="C318" s="2104">
        <f t="shared" si="70"/>
        <v>0</v>
      </c>
      <c r="D318" s="2125">
        <f t="shared" si="58"/>
        <v>0.03</v>
      </c>
      <c r="E318" s="2104">
        <f t="shared" si="64"/>
        <v>0</v>
      </c>
      <c r="F318" s="2135"/>
      <c r="G318" s="2127">
        <f t="shared" si="71"/>
        <v>3</v>
      </c>
      <c r="H318" s="2075">
        <v>302</v>
      </c>
      <c r="I318" s="2104">
        <f t="shared" si="65"/>
        <v>0</v>
      </c>
      <c r="J318" s="2125">
        <f t="shared" si="66"/>
        <v>3.5000000000000003E-2</v>
      </c>
      <c r="K318" s="2083"/>
      <c r="L318" s="2106"/>
      <c r="N318" s="2071">
        <f t="shared" si="67"/>
        <v>302</v>
      </c>
      <c r="O318" s="2130">
        <f>IF(D317=D318,O317+0.00001,ROUNDDOWN(MAX($O$16:$O317),0)+1)</f>
        <v>3.0200000000000071E-3</v>
      </c>
      <c r="P318" s="2131">
        <f t="shared" si="59"/>
        <v>0</v>
      </c>
      <c r="Q318" s="2131">
        <f t="shared" si="60"/>
        <v>0</v>
      </c>
      <c r="R318" s="2131">
        <f t="shared" si="61"/>
        <v>0</v>
      </c>
      <c r="S318" s="2130">
        <f>IF(J317=J318,S317+0.00001,ROUNDDOWN(MAX($S$16:$S317),0)+1)</f>
        <v>2.0018200000000119</v>
      </c>
      <c r="T318" s="2131">
        <f t="shared" si="62"/>
        <v>0</v>
      </c>
      <c r="U318" s="2131">
        <f t="shared" si="63"/>
        <v>0</v>
      </c>
      <c r="V318" s="2071">
        <f t="shared" si="68"/>
        <v>302</v>
      </c>
    </row>
    <row r="319" spans="1:22" hidden="1">
      <c r="A319" s="2124">
        <f t="shared" si="69"/>
        <v>1</v>
      </c>
      <c r="B319" s="2073">
        <v>303</v>
      </c>
      <c r="C319" s="2104">
        <f t="shared" si="70"/>
        <v>0</v>
      </c>
      <c r="D319" s="2125">
        <f t="shared" si="58"/>
        <v>0.03</v>
      </c>
      <c r="E319" s="2104">
        <f t="shared" si="64"/>
        <v>0</v>
      </c>
      <c r="F319" s="2135"/>
      <c r="G319" s="2127">
        <f t="shared" si="71"/>
        <v>3</v>
      </c>
      <c r="H319" s="2075">
        <v>303</v>
      </c>
      <c r="I319" s="2104">
        <f t="shared" si="65"/>
        <v>0</v>
      </c>
      <c r="J319" s="2125">
        <f t="shared" si="66"/>
        <v>3.5000000000000003E-2</v>
      </c>
      <c r="K319" s="2083"/>
      <c r="L319" s="2106"/>
      <c r="N319" s="2071">
        <f t="shared" si="67"/>
        <v>303</v>
      </c>
      <c r="O319" s="2130">
        <f>IF(D318=D319,O318+0.00001,ROUNDDOWN(MAX($O$16:$O318),0)+1)</f>
        <v>3.0300000000000071E-3</v>
      </c>
      <c r="P319" s="2131">
        <f t="shared" si="59"/>
        <v>0</v>
      </c>
      <c r="Q319" s="2131">
        <f t="shared" si="60"/>
        <v>0</v>
      </c>
      <c r="R319" s="2131">
        <f t="shared" si="61"/>
        <v>0</v>
      </c>
      <c r="S319" s="2130">
        <f>IF(J318=J319,S318+0.00001,ROUNDDOWN(MAX($S$16:$S318),0)+1)</f>
        <v>2.001830000000012</v>
      </c>
      <c r="T319" s="2131">
        <f t="shared" si="62"/>
        <v>0</v>
      </c>
      <c r="U319" s="2131">
        <f t="shared" si="63"/>
        <v>0</v>
      </c>
      <c r="V319" s="2071">
        <f t="shared" si="68"/>
        <v>303</v>
      </c>
    </row>
    <row r="320" spans="1:22" hidden="1">
      <c r="A320" s="2124">
        <f t="shared" si="69"/>
        <v>1</v>
      </c>
      <c r="B320" s="2073">
        <v>304</v>
      </c>
      <c r="C320" s="2104">
        <f t="shared" si="70"/>
        <v>0</v>
      </c>
      <c r="D320" s="2125">
        <f t="shared" si="58"/>
        <v>0.03</v>
      </c>
      <c r="E320" s="2104">
        <f t="shared" si="64"/>
        <v>0</v>
      </c>
      <c r="F320" s="2135"/>
      <c r="G320" s="2127">
        <f t="shared" si="71"/>
        <v>3</v>
      </c>
      <c r="H320" s="2075">
        <v>304</v>
      </c>
      <c r="I320" s="2104">
        <f t="shared" si="65"/>
        <v>0</v>
      </c>
      <c r="J320" s="2125">
        <f t="shared" si="66"/>
        <v>3.5000000000000003E-2</v>
      </c>
      <c r="K320" s="2083"/>
      <c r="L320" s="2106"/>
      <c r="N320" s="2071">
        <f t="shared" si="67"/>
        <v>304</v>
      </c>
      <c r="O320" s="2130">
        <f>IF(D319=D320,O319+0.00001,ROUNDDOWN(MAX($O$16:$O319),0)+1)</f>
        <v>3.0400000000000071E-3</v>
      </c>
      <c r="P320" s="2131">
        <f t="shared" si="59"/>
        <v>0</v>
      </c>
      <c r="Q320" s="2131">
        <f t="shared" si="60"/>
        <v>0</v>
      </c>
      <c r="R320" s="2131">
        <f t="shared" si="61"/>
        <v>0</v>
      </c>
      <c r="S320" s="2130">
        <f>IF(J319=J320,S319+0.00001,ROUNDDOWN(MAX($S$16:$S319),0)+1)</f>
        <v>2.0018400000000121</v>
      </c>
      <c r="T320" s="2131">
        <f t="shared" si="62"/>
        <v>0</v>
      </c>
      <c r="U320" s="2131">
        <f t="shared" si="63"/>
        <v>0</v>
      </c>
      <c r="V320" s="2071">
        <f t="shared" si="68"/>
        <v>304</v>
      </c>
    </row>
    <row r="321" spans="1:22" hidden="1">
      <c r="A321" s="2124">
        <f t="shared" si="69"/>
        <v>1</v>
      </c>
      <c r="B321" s="2073">
        <v>305</v>
      </c>
      <c r="C321" s="2104">
        <f t="shared" si="70"/>
        <v>0</v>
      </c>
      <c r="D321" s="2125">
        <f t="shared" si="58"/>
        <v>0.03</v>
      </c>
      <c r="E321" s="2104">
        <f t="shared" si="64"/>
        <v>0</v>
      </c>
      <c r="F321" s="2135"/>
      <c r="G321" s="2127">
        <f t="shared" si="71"/>
        <v>3</v>
      </c>
      <c r="H321" s="2075">
        <v>305</v>
      </c>
      <c r="I321" s="2104">
        <f t="shared" si="65"/>
        <v>0</v>
      </c>
      <c r="J321" s="2125">
        <f t="shared" si="66"/>
        <v>3.5000000000000003E-2</v>
      </c>
      <c r="K321" s="2083"/>
      <c r="L321" s="2106"/>
      <c r="N321" s="2071">
        <f t="shared" si="67"/>
        <v>305</v>
      </c>
      <c r="O321" s="2130">
        <f>IF(D320=D321,O320+0.00001,ROUNDDOWN(MAX($O$16:$O320),0)+1)</f>
        <v>3.0500000000000071E-3</v>
      </c>
      <c r="P321" s="2131">
        <f t="shared" si="59"/>
        <v>0</v>
      </c>
      <c r="Q321" s="2131">
        <f t="shared" si="60"/>
        <v>0</v>
      </c>
      <c r="R321" s="2131">
        <f t="shared" si="61"/>
        <v>0</v>
      </c>
      <c r="S321" s="2130">
        <f>IF(J320=J321,S320+0.00001,ROUNDDOWN(MAX($S$16:$S320),0)+1)</f>
        <v>2.0018500000000121</v>
      </c>
      <c r="T321" s="2131">
        <f t="shared" si="62"/>
        <v>0</v>
      </c>
      <c r="U321" s="2131">
        <f t="shared" si="63"/>
        <v>0</v>
      </c>
      <c r="V321" s="2071">
        <f t="shared" si="68"/>
        <v>305</v>
      </c>
    </row>
    <row r="322" spans="1:22" hidden="1">
      <c r="A322" s="2124">
        <f t="shared" si="69"/>
        <v>1</v>
      </c>
      <c r="B322" s="2073">
        <v>306</v>
      </c>
      <c r="C322" s="2104">
        <f t="shared" si="70"/>
        <v>0</v>
      </c>
      <c r="D322" s="2125">
        <f t="shared" si="58"/>
        <v>0.03</v>
      </c>
      <c r="E322" s="2104">
        <f t="shared" si="64"/>
        <v>0</v>
      </c>
      <c r="F322" s="2135"/>
      <c r="G322" s="2127">
        <f t="shared" si="71"/>
        <v>3</v>
      </c>
      <c r="H322" s="2075">
        <v>306</v>
      </c>
      <c r="I322" s="2104">
        <f t="shared" si="65"/>
        <v>0</v>
      </c>
      <c r="J322" s="2125">
        <f t="shared" si="66"/>
        <v>3.5000000000000003E-2</v>
      </c>
      <c r="K322" s="2083"/>
      <c r="L322" s="2106"/>
      <c r="N322" s="2071">
        <f t="shared" si="67"/>
        <v>306</v>
      </c>
      <c r="O322" s="2130">
        <f>IF(D321=D322,O321+0.00001,ROUNDDOWN(MAX($O$16:$O321),0)+1)</f>
        <v>3.0600000000000072E-3</v>
      </c>
      <c r="P322" s="2131">
        <f t="shared" si="59"/>
        <v>0</v>
      </c>
      <c r="Q322" s="2131">
        <f t="shared" si="60"/>
        <v>0</v>
      </c>
      <c r="R322" s="2131">
        <f t="shared" si="61"/>
        <v>0</v>
      </c>
      <c r="S322" s="2130">
        <f>IF(J321=J322,S321+0.00001,ROUNDDOWN(MAX($S$16:$S321),0)+1)</f>
        <v>2.0018600000000122</v>
      </c>
      <c r="T322" s="2131">
        <f t="shared" si="62"/>
        <v>0</v>
      </c>
      <c r="U322" s="2131">
        <f t="shared" si="63"/>
        <v>0</v>
      </c>
      <c r="V322" s="2071">
        <f t="shared" si="68"/>
        <v>306</v>
      </c>
    </row>
    <row r="323" spans="1:22" hidden="1">
      <c r="A323" s="2124">
        <f t="shared" si="69"/>
        <v>1</v>
      </c>
      <c r="B323" s="2073">
        <v>307</v>
      </c>
      <c r="C323" s="2104">
        <f t="shared" si="70"/>
        <v>0</v>
      </c>
      <c r="D323" s="2125">
        <f t="shared" si="58"/>
        <v>0.03</v>
      </c>
      <c r="E323" s="2104">
        <f t="shared" si="64"/>
        <v>0</v>
      </c>
      <c r="F323" s="2135"/>
      <c r="G323" s="2127">
        <f t="shared" si="71"/>
        <v>3</v>
      </c>
      <c r="H323" s="2075">
        <v>307</v>
      </c>
      <c r="I323" s="2104">
        <f t="shared" si="65"/>
        <v>0</v>
      </c>
      <c r="J323" s="2125">
        <f t="shared" si="66"/>
        <v>3.5000000000000003E-2</v>
      </c>
      <c r="K323" s="2083"/>
      <c r="L323" s="2106"/>
      <c r="N323" s="2071">
        <f t="shared" si="67"/>
        <v>307</v>
      </c>
      <c r="O323" s="2130">
        <f>IF(D322=D323,O322+0.00001,ROUNDDOWN(MAX($O$16:$O322),0)+1)</f>
        <v>3.0700000000000072E-3</v>
      </c>
      <c r="P323" s="2131">
        <f t="shared" si="59"/>
        <v>0</v>
      </c>
      <c r="Q323" s="2131">
        <f t="shared" si="60"/>
        <v>0</v>
      </c>
      <c r="R323" s="2131">
        <f t="shared" si="61"/>
        <v>0</v>
      </c>
      <c r="S323" s="2130">
        <f>IF(J322=J323,S322+0.00001,ROUNDDOWN(MAX($S$16:$S322),0)+1)</f>
        <v>2.0018700000000123</v>
      </c>
      <c r="T323" s="2131">
        <f t="shared" si="62"/>
        <v>0</v>
      </c>
      <c r="U323" s="2131">
        <f t="shared" si="63"/>
        <v>0</v>
      </c>
      <c r="V323" s="2071">
        <f t="shared" si="68"/>
        <v>307</v>
      </c>
    </row>
    <row r="324" spans="1:22" hidden="1">
      <c r="A324" s="2124">
        <f t="shared" si="69"/>
        <v>1</v>
      </c>
      <c r="B324" s="2073">
        <v>308</v>
      </c>
      <c r="C324" s="2104">
        <f t="shared" si="70"/>
        <v>0</v>
      </c>
      <c r="D324" s="2125">
        <f t="shared" si="58"/>
        <v>0.03</v>
      </c>
      <c r="E324" s="2104">
        <f t="shared" si="64"/>
        <v>0</v>
      </c>
      <c r="F324" s="2135"/>
      <c r="G324" s="2127">
        <f t="shared" si="71"/>
        <v>3</v>
      </c>
      <c r="H324" s="2075">
        <v>308</v>
      </c>
      <c r="I324" s="2104">
        <f t="shared" si="65"/>
        <v>0</v>
      </c>
      <c r="J324" s="2125">
        <f t="shared" si="66"/>
        <v>3.5000000000000003E-2</v>
      </c>
      <c r="K324" s="2083"/>
      <c r="L324" s="2106"/>
      <c r="N324" s="2071">
        <f t="shared" si="67"/>
        <v>308</v>
      </c>
      <c r="O324" s="2130">
        <f>IF(D323=D324,O323+0.00001,ROUNDDOWN(MAX($O$16:$O323),0)+1)</f>
        <v>3.0800000000000072E-3</v>
      </c>
      <c r="P324" s="2131">
        <f t="shared" si="59"/>
        <v>0</v>
      </c>
      <c r="Q324" s="2131">
        <f t="shared" si="60"/>
        <v>0</v>
      </c>
      <c r="R324" s="2131">
        <f t="shared" si="61"/>
        <v>0</v>
      </c>
      <c r="S324" s="2130">
        <f>IF(J323=J324,S323+0.00001,ROUNDDOWN(MAX($S$16:$S323),0)+1)</f>
        <v>2.0018800000000123</v>
      </c>
      <c r="T324" s="2131">
        <f t="shared" si="62"/>
        <v>0</v>
      </c>
      <c r="U324" s="2131">
        <f t="shared" si="63"/>
        <v>0</v>
      </c>
      <c r="V324" s="2071">
        <f t="shared" si="68"/>
        <v>308</v>
      </c>
    </row>
    <row r="325" spans="1:22" hidden="1">
      <c r="A325" s="2124">
        <f t="shared" si="69"/>
        <v>1</v>
      </c>
      <c r="B325" s="2073">
        <v>309</v>
      </c>
      <c r="C325" s="2104">
        <f t="shared" si="70"/>
        <v>0</v>
      </c>
      <c r="D325" s="2125">
        <f t="shared" si="58"/>
        <v>0.03</v>
      </c>
      <c r="E325" s="2104">
        <f t="shared" si="64"/>
        <v>0</v>
      </c>
      <c r="F325" s="2135"/>
      <c r="G325" s="2127">
        <f t="shared" si="71"/>
        <v>3</v>
      </c>
      <c r="H325" s="2075">
        <v>309</v>
      </c>
      <c r="I325" s="2104">
        <f t="shared" si="65"/>
        <v>0</v>
      </c>
      <c r="J325" s="2125">
        <f t="shared" si="66"/>
        <v>3.5000000000000003E-2</v>
      </c>
      <c r="K325" s="2083"/>
      <c r="L325" s="2106"/>
      <c r="N325" s="2071">
        <f t="shared" si="67"/>
        <v>309</v>
      </c>
      <c r="O325" s="2130">
        <f>IF(D324=D325,O324+0.00001,ROUNDDOWN(MAX($O$16:$O324),0)+1)</f>
        <v>3.0900000000000072E-3</v>
      </c>
      <c r="P325" s="2131">
        <f t="shared" si="59"/>
        <v>0</v>
      </c>
      <c r="Q325" s="2131">
        <f t="shared" si="60"/>
        <v>0</v>
      </c>
      <c r="R325" s="2131">
        <f t="shared" si="61"/>
        <v>0</v>
      </c>
      <c r="S325" s="2130">
        <f>IF(J324=J325,S324+0.00001,ROUNDDOWN(MAX($S$16:$S324),0)+1)</f>
        <v>2.0018900000000124</v>
      </c>
      <c r="T325" s="2131">
        <f t="shared" si="62"/>
        <v>0</v>
      </c>
      <c r="U325" s="2131">
        <f t="shared" si="63"/>
        <v>0</v>
      </c>
      <c r="V325" s="2071">
        <f t="shared" si="68"/>
        <v>309</v>
      </c>
    </row>
    <row r="326" spans="1:22" hidden="1">
      <c r="A326" s="2124">
        <f t="shared" si="69"/>
        <v>1</v>
      </c>
      <c r="B326" s="2073">
        <v>310</v>
      </c>
      <c r="C326" s="2104">
        <f t="shared" si="70"/>
        <v>0</v>
      </c>
      <c r="D326" s="2125">
        <f t="shared" si="58"/>
        <v>0.03</v>
      </c>
      <c r="E326" s="2104">
        <f t="shared" si="64"/>
        <v>0</v>
      </c>
      <c r="F326" s="2135"/>
      <c r="G326" s="2127">
        <f t="shared" si="71"/>
        <v>3</v>
      </c>
      <c r="H326" s="2075">
        <v>310</v>
      </c>
      <c r="I326" s="2104">
        <f t="shared" si="65"/>
        <v>0</v>
      </c>
      <c r="J326" s="2125">
        <f t="shared" si="66"/>
        <v>3.5000000000000003E-2</v>
      </c>
      <c r="K326" s="2083"/>
      <c r="L326" s="2106"/>
      <c r="N326" s="2071">
        <f t="shared" si="67"/>
        <v>310</v>
      </c>
      <c r="O326" s="2130">
        <f>IF(D325=D326,O325+0.00001,ROUNDDOWN(MAX($O$16:$O325),0)+1)</f>
        <v>3.1000000000000073E-3</v>
      </c>
      <c r="P326" s="2131">
        <f t="shared" si="59"/>
        <v>0</v>
      </c>
      <c r="Q326" s="2131">
        <f t="shared" si="60"/>
        <v>0</v>
      </c>
      <c r="R326" s="2131">
        <f t="shared" si="61"/>
        <v>0</v>
      </c>
      <c r="S326" s="2130">
        <f>IF(J325=J326,S325+0.00001,ROUNDDOWN(MAX($S$16:$S325),0)+1)</f>
        <v>2.0019000000000124</v>
      </c>
      <c r="T326" s="2131">
        <f t="shared" si="62"/>
        <v>0</v>
      </c>
      <c r="U326" s="2131">
        <f t="shared" si="63"/>
        <v>0</v>
      </c>
      <c r="V326" s="2071">
        <f t="shared" si="68"/>
        <v>310</v>
      </c>
    </row>
    <row r="327" spans="1:22" hidden="1">
      <c r="A327" s="2124">
        <f t="shared" si="69"/>
        <v>1</v>
      </c>
      <c r="B327" s="2073">
        <v>311</v>
      </c>
      <c r="C327" s="2104">
        <f t="shared" si="70"/>
        <v>0</v>
      </c>
      <c r="D327" s="2125">
        <f t="shared" si="58"/>
        <v>0.03</v>
      </c>
      <c r="E327" s="2104">
        <f t="shared" si="64"/>
        <v>0</v>
      </c>
      <c r="F327" s="2135"/>
      <c r="G327" s="2127">
        <f t="shared" si="71"/>
        <v>3</v>
      </c>
      <c r="H327" s="2075">
        <v>311</v>
      </c>
      <c r="I327" s="2104">
        <f t="shared" si="65"/>
        <v>0</v>
      </c>
      <c r="J327" s="2125">
        <f t="shared" si="66"/>
        <v>3.5000000000000003E-2</v>
      </c>
      <c r="K327" s="2083"/>
      <c r="L327" s="2106"/>
      <c r="N327" s="2071">
        <f t="shared" si="67"/>
        <v>311</v>
      </c>
      <c r="O327" s="2130">
        <f>IF(D326=D327,O326+0.00001,ROUNDDOWN(MAX($O$16:$O326),0)+1)</f>
        <v>3.1100000000000073E-3</v>
      </c>
      <c r="P327" s="2131">
        <f t="shared" si="59"/>
        <v>0</v>
      </c>
      <c r="Q327" s="2131">
        <f t="shared" si="60"/>
        <v>0</v>
      </c>
      <c r="R327" s="2131">
        <f t="shared" si="61"/>
        <v>0</v>
      </c>
      <c r="S327" s="2130">
        <f>IF(J326=J327,S326+0.00001,ROUNDDOWN(MAX($S$16:$S326),0)+1)</f>
        <v>2.0019100000000125</v>
      </c>
      <c r="T327" s="2131">
        <f t="shared" si="62"/>
        <v>0</v>
      </c>
      <c r="U327" s="2131">
        <f t="shared" si="63"/>
        <v>0</v>
      </c>
      <c r="V327" s="2071">
        <f t="shared" si="68"/>
        <v>311</v>
      </c>
    </row>
    <row r="328" spans="1:22" hidden="1">
      <c r="A328" s="2124">
        <f t="shared" si="69"/>
        <v>1</v>
      </c>
      <c r="B328" s="2073">
        <v>312</v>
      </c>
      <c r="C328" s="2104">
        <f t="shared" si="70"/>
        <v>0</v>
      </c>
      <c r="D328" s="2125">
        <f t="shared" si="58"/>
        <v>0.03</v>
      </c>
      <c r="E328" s="2104">
        <f t="shared" si="64"/>
        <v>0</v>
      </c>
      <c r="F328" s="2135"/>
      <c r="G328" s="2127">
        <f t="shared" si="71"/>
        <v>3</v>
      </c>
      <c r="H328" s="2075">
        <v>312</v>
      </c>
      <c r="I328" s="2104">
        <f t="shared" si="65"/>
        <v>0</v>
      </c>
      <c r="J328" s="2125">
        <f t="shared" si="66"/>
        <v>3.5000000000000003E-2</v>
      </c>
      <c r="K328" s="2083"/>
      <c r="L328" s="2106"/>
      <c r="N328" s="2071">
        <f t="shared" si="67"/>
        <v>312</v>
      </c>
      <c r="O328" s="2130">
        <f>IF(D327=D328,O327+0.00001,ROUNDDOWN(MAX($O$16:$O327),0)+1)</f>
        <v>3.1200000000000073E-3</v>
      </c>
      <c r="P328" s="2131">
        <f t="shared" si="59"/>
        <v>0</v>
      </c>
      <c r="Q328" s="2131">
        <f t="shared" si="60"/>
        <v>0</v>
      </c>
      <c r="R328" s="2131">
        <f t="shared" si="61"/>
        <v>0</v>
      </c>
      <c r="S328" s="2130">
        <f>IF(J327=J328,S327+0.00001,ROUNDDOWN(MAX($S$16:$S327),0)+1)</f>
        <v>2.0019200000000126</v>
      </c>
      <c r="T328" s="2131">
        <f t="shared" si="62"/>
        <v>0</v>
      </c>
      <c r="U328" s="2131">
        <f t="shared" si="63"/>
        <v>0</v>
      </c>
      <c r="V328" s="2071">
        <f t="shared" si="68"/>
        <v>312</v>
      </c>
    </row>
    <row r="329" spans="1:22" hidden="1">
      <c r="A329" s="2124">
        <f t="shared" si="69"/>
        <v>1</v>
      </c>
      <c r="B329" s="2073">
        <v>313</v>
      </c>
      <c r="C329" s="2104">
        <f t="shared" si="70"/>
        <v>0</v>
      </c>
      <c r="D329" s="2125">
        <f t="shared" si="58"/>
        <v>0.03</v>
      </c>
      <c r="E329" s="2104">
        <f t="shared" si="64"/>
        <v>0</v>
      </c>
      <c r="F329" s="2135"/>
      <c r="G329" s="2127">
        <f t="shared" si="71"/>
        <v>3</v>
      </c>
      <c r="H329" s="2075">
        <v>313</v>
      </c>
      <c r="I329" s="2104">
        <f t="shared" si="65"/>
        <v>0</v>
      </c>
      <c r="J329" s="2125">
        <f t="shared" si="66"/>
        <v>3.5000000000000003E-2</v>
      </c>
      <c r="K329" s="2083"/>
      <c r="L329" s="2106"/>
      <c r="N329" s="2071">
        <f t="shared" si="67"/>
        <v>313</v>
      </c>
      <c r="O329" s="2130">
        <f>IF(D328=D329,O328+0.00001,ROUNDDOWN(MAX($O$16:$O328),0)+1)</f>
        <v>3.1300000000000073E-3</v>
      </c>
      <c r="P329" s="2131">
        <f t="shared" si="59"/>
        <v>0</v>
      </c>
      <c r="Q329" s="2131">
        <f t="shared" si="60"/>
        <v>0</v>
      </c>
      <c r="R329" s="2131">
        <f t="shared" si="61"/>
        <v>0</v>
      </c>
      <c r="S329" s="2130">
        <f>IF(J328=J329,S328+0.00001,ROUNDDOWN(MAX($S$16:$S328),0)+1)</f>
        <v>2.0019300000000126</v>
      </c>
      <c r="T329" s="2131">
        <f t="shared" si="62"/>
        <v>0</v>
      </c>
      <c r="U329" s="2131">
        <f t="shared" si="63"/>
        <v>0</v>
      </c>
      <c r="V329" s="2071">
        <f t="shared" si="68"/>
        <v>313</v>
      </c>
    </row>
    <row r="330" spans="1:22" hidden="1">
      <c r="A330" s="2124">
        <f t="shared" si="69"/>
        <v>1</v>
      </c>
      <c r="B330" s="2073">
        <v>314</v>
      </c>
      <c r="C330" s="2104">
        <f t="shared" si="70"/>
        <v>0</v>
      </c>
      <c r="D330" s="2125">
        <f t="shared" si="58"/>
        <v>0.03</v>
      </c>
      <c r="E330" s="2104">
        <f t="shared" si="64"/>
        <v>0</v>
      </c>
      <c r="F330" s="2135"/>
      <c r="G330" s="2127">
        <f t="shared" si="71"/>
        <v>3</v>
      </c>
      <c r="H330" s="2075">
        <v>314</v>
      </c>
      <c r="I330" s="2104">
        <f t="shared" si="65"/>
        <v>0</v>
      </c>
      <c r="J330" s="2125">
        <f t="shared" si="66"/>
        <v>3.5000000000000003E-2</v>
      </c>
      <c r="K330" s="2083"/>
      <c r="L330" s="2106"/>
      <c r="N330" s="2071">
        <f t="shared" si="67"/>
        <v>314</v>
      </c>
      <c r="O330" s="2130">
        <f>IF(D329=D330,O329+0.00001,ROUNDDOWN(MAX($O$16:$O329),0)+1)</f>
        <v>3.1400000000000074E-3</v>
      </c>
      <c r="P330" s="2131">
        <f t="shared" si="59"/>
        <v>0</v>
      </c>
      <c r="Q330" s="2131">
        <f t="shared" si="60"/>
        <v>0</v>
      </c>
      <c r="R330" s="2131">
        <f t="shared" si="61"/>
        <v>0</v>
      </c>
      <c r="S330" s="2130">
        <f>IF(J329=J330,S329+0.00001,ROUNDDOWN(MAX($S$16:$S329),0)+1)</f>
        <v>2.0019400000000127</v>
      </c>
      <c r="T330" s="2131">
        <f t="shared" si="62"/>
        <v>0</v>
      </c>
      <c r="U330" s="2131">
        <f t="shared" si="63"/>
        <v>0</v>
      </c>
      <c r="V330" s="2071">
        <f t="shared" si="68"/>
        <v>314</v>
      </c>
    </row>
    <row r="331" spans="1:22" hidden="1">
      <c r="A331" s="2124">
        <f t="shared" si="69"/>
        <v>1</v>
      </c>
      <c r="B331" s="2073">
        <v>315</v>
      </c>
      <c r="C331" s="2104">
        <f t="shared" si="70"/>
        <v>0</v>
      </c>
      <c r="D331" s="2125">
        <f t="shared" si="58"/>
        <v>0.03</v>
      </c>
      <c r="E331" s="2104">
        <f t="shared" si="64"/>
        <v>0</v>
      </c>
      <c r="F331" s="2135"/>
      <c r="G331" s="2127">
        <f t="shared" si="71"/>
        <v>3</v>
      </c>
      <c r="H331" s="2075">
        <v>315</v>
      </c>
      <c r="I331" s="2104">
        <f t="shared" si="65"/>
        <v>0</v>
      </c>
      <c r="J331" s="2125">
        <f t="shared" si="66"/>
        <v>3.5000000000000003E-2</v>
      </c>
      <c r="K331" s="2083"/>
      <c r="L331" s="2106"/>
      <c r="N331" s="2071">
        <f t="shared" si="67"/>
        <v>315</v>
      </c>
      <c r="O331" s="2130">
        <f>IF(D330=D331,O330+0.00001,ROUNDDOWN(MAX($O$16:$O330),0)+1)</f>
        <v>3.1500000000000074E-3</v>
      </c>
      <c r="P331" s="2131">
        <f t="shared" si="59"/>
        <v>0</v>
      </c>
      <c r="Q331" s="2131">
        <f t="shared" si="60"/>
        <v>0</v>
      </c>
      <c r="R331" s="2131">
        <f t="shared" si="61"/>
        <v>0</v>
      </c>
      <c r="S331" s="2130">
        <f>IF(J330=J331,S330+0.00001,ROUNDDOWN(MAX($S$16:$S330),0)+1)</f>
        <v>2.0019500000000128</v>
      </c>
      <c r="T331" s="2131">
        <f t="shared" si="62"/>
        <v>0</v>
      </c>
      <c r="U331" s="2131">
        <f t="shared" si="63"/>
        <v>0</v>
      </c>
      <c r="V331" s="2071">
        <f t="shared" si="68"/>
        <v>315</v>
      </c>
    </row>
    <row r="332" spans="1:22" hidden="1">
      <c r="A332" s="2124">
        <f t="shared" si="69"/>
        <v>1</v>
      </c>
      <c r="B332" s="2073">
        <v>316</v>
      </c>
      <c r="C332" s="2104">
        <f t="shared" si="70"/>
        <v>0</v>
      </c>
      <c r="D332" s="2125">
        <f t="shared" si="58"/>
        <v>0.03</v>
      </c>
      <c r="E332" s="2104">
        <f t="shared" si="64"/>
        <v>0</v>
      </c>
      <c r="F332" s="2135"/>
      <c r="G332" s="2127">
        <f t="shared" si="71"/>
        <v>3</v>
      </c>
      <c r="H332" s="2075">
        <v>316</v>
      </c>
      <c r="I332" s="2104">
        <f t="shared" si="65"/>
        <v>0</v>
      </c>
      <c r="J332" s="2125">
        <f t="shared" si="66"/>
        <v>3.5000000000000003E-2</v>
      </c>
      <c r="K332" s="2083"/>
      <c r="L332" s="2106"/>
      <c r="N332" s="2071">
        <f t="shared" si="67"/>
        <v>316</v>
      </c>
      <c r="O332" s="2130">
        <f>IF(D331=D332,O331+0.00001,ROUNDDOWN(MAX($O$16:$O331),0)+1)</f>
        <v>3.1600000000000074E-3</v>
      </c>
      <c r="P332" s="2131">
        <f t="shared" si="59"/>
        <v>0</v>
      </c>
      <c r="Q332" s="2131">
        <f t="shared" si="60"/>
        <v>0</v>
      </c>
      <c r="R332" s="2131">
        <f t="shared" si="61"/>
        <v>0</v>
      </c>
      <c r="S332" s="2130">
        <f>IF(J331=J332,S331+0.00001,ROUNDDOWN(MAX($S$16:$S331),0)+1)</f>
        <v>2.0019600000000128</v>
      </c>
      <c r="T332" s="2131">
        <f t="shared" si="62"/>
        <v>0</v>
      </c>
      <c r="U332" s="2131">
        <f t="shared" si="63"/>
        <v>0</v>
      </c>
      <c r="V332" s="2071">
        <f t="shared" si="68"/>
        <v>316</v>
      </c>
    </row>
    <row r="333" spans="1:22" hidden="1">
      <c r="A333" s="2124">
        <f t="shared" si="69"/>
        <v>1</v>
      </c>
      <c r="B333" s="2073">
        <v>317</v>
      </c>
      <c r="C333" s="2104">
        <f t="shared" si="70"/>
        <v>0</v>
      </c>
      <c r="D333" s="2125">
        <f t="shared" si="58"/>
        <v>0.03</v>
      </c>
      <c r="E333" s="2104">
        <f t="shared" si="64"/>
        <v>0</v>
      </c>
      <c r="F333" s="2135"/>
      <c r="G333" s="2127">
        <f t="shared" si="71"/>
        <v>3</v>
      </c>
      <c r="H333" s="2075">
        <v>317</v>
      </c>
      <c r="I333" s="2104">
        <f t="shared" si="65"/>
        <v>0</v>
      </c>
      <c r="J333" s="2125">
        <f t="shared" si="66"/>
        <v>3.5000000000000003E-2</v>
      </c>
      <c r="K333" s="2083"/>
      <c r="L333" s="2106"/>
      <c r="N333" s="2071">
        <f t="shared" si="67"/>
        <v>317</v>
      </c>
      <c r="O333" s="2130">
        <f>IF(D332=D333,O332+0.00001,ROUNDDOWN(MAX($O$16:$O332),0)+1)</f>
        <v>3.1700000000000074E-3</v>
      </c>
      <c r="P333" s="2131">
        <f t="shared" si="59"/>
        <v>0</v>
      </c>
      <c r="Q333" s="2131">
        <f t="shared" si="60"/>
        <v>0</v>
      </c>
      <c r="R333" s="2131">
        <f t="shared" si="61"/>
        <v>0</v>
      </c>
      <c r="S333" s="2130">
        <f>IF(J332=J333,S332+0.00001,ROUNDDOWN(MAX($S$16:$S332),0)+1)</f>
        <v>2.0019700000000129</v>
      </c>
      <c r="T333" s="2131">
        <f t="shared" si="62"/>
        <v>0</v>
      </c>
      <c r="U333" s="2131">
        <f t="shared" si="63"/>
        <v>0</v>
      </c>
      <c r="V333" s="2071">
        <f t="shared" si="68"/>
        <v>317</v>
      </c>
    </row>
    <row r="334" spans="1:22" hidden="1">
      <c r="A334" s="2124">
        <f t="shared" si="69"/>
        <v>1</v>
      </c>
      <c r="B334" s="2073">
        <v>318</v>
      </c>
      <c r="C334" s="2104">
        <f t="shared" si="70"/>
        <v>0</v>
      </c>
      <c r="D334" s="2125">
        <f t="shared" si="58"/>
        <v>0.03</v>
      </c>
      <c r="E334" s="2104">
        <f t="shared" si="64"/>
        <v>0</v>
      </c>
      <c r="F334" s="2135"/>
      <c r="G334" s="2127">
        <f t="shared" si="71"/>
        <v>3</v>
      </c>
      <c r="H334" s="2075">
        <v>318</v>
      </c>
      <c r="I334" s="2104">
        <f t="shared" si="65"/>
        <v>0</v>
      </c>
      <c r="J334" s="2125">
        <f t="shared" si="66"/>
        <v>3.5000000000000003E-2</v>
      </c>
      <c r="K334" s="2083"/>
      <c r="L334" s="2106"/>
      <c r="N334" s="2071">
        <f t="shared" si="67"/>
        <v>318</v>
      </c>
      <c r="O334" s="2130">
        <f>IF(D333=D334,O333+0.00001,ROUNDDOWN(MAX($O$16:$O333),0)+1)</f>
        <v>3.1800000000000075E-3</v>
      </c>
      <c r="P334" s="2131">
        <f t="shared" si="59"/>
        <v>0</v>
      </c>
      <c r="Q334" s="2131">
        <f t="shared" si="60"/>
        <v>0</v>
      </c>
      <c r="R334" s="2131">
        <f t="shared" si="61"/>
        <v>0</v>
      </c>
      <c r="S334" s="2130">
        <f>IF(J333=J334,S333+0.00001,ROUNDDOWN(MAX($S$16:$S333),0)+1)</f>
        <v>2.001980000000013</v>
      </c>
      <c r="T334" s="2131">
        <f t="shared" si="62"/>
        <v>0</v>
      </c>
      <c r="U334" s="2131">
        <f t="shared" si="63"/>
        <v>0</v>
      </c>
      <c r="V334" s="2071">
        <f t="shared" si="68"/>
        <v>318</v>
      </c>
    </row>
    <row r="335" spans="1:22" hidden="1">
      <c r="A335" s="2124">
        <f t="shared" si="69"/>
        <v>1</v>
      </c>
      <c r="B335" s="2073">
        <v>319</v>
      </c>
      <c r="C335" s="2104">
        <f t="shared" si="70"/>
        <v>0</v>
      </c>
      <c r="D335" s="2125">
        <f t="shared" si="58"/>
        <v>0.03</v>
      </c>
      <c r="E335" s="2104">
        <f t="shared" si="64"/>
        <v>0</v>
      </c>
      <c r="F335" s="2135"/>
      <c r="G335" s="2127">
        <f t="shared" si="71"/>
        <v>3</v>
      </c>
      <c r="H335" s="2075">
        <v>319</v>
      </c>
      <c r="I335" s="2104">
        <f t="shared" si="65"/>
        <v>0</v>
      </c>
      <c r="J335" s="2125">
        <f t="shared" si="66"/>
        <v>3.5000000000000003E-2</v>
      </c>
      <c r="K335" s="2083"/>
      <c r="L335" s="2106"/>
      <c r="N335" s="2071">
        <f t="shared" si="67"/>
        <v>319</v>
      </c>
      <c r="O335" s="2130">
        <f>IF(D334=D335,O334+0.00001,ROUNDDOWN(MAX($O$16:$O334),0)+1)</f>
        <v>3.1900000000000075E-3</v>
      </c>
      <c r="P335" s="2131">
        <f t="shared" si="59"/>
        <v>0</v>
      </c>
      <c r="Q335" s="2131">
        <f t="shared" si="60"/>
        <v>0</v>
      </c>
      <c r="R335" s="2131">
        <f t="shared" si="61"/>
        <v>0</v>
      </c>
      <c r="S335" s="2130">
        <f>IF(J334=J335,S334+0.00001,ROUNDDOWN(MAX($S$16:$S334),0)+1)</f>
        <v>2.001990000000013</v>
      </c>
      <c r="T335" s="2131">
        <f t="shared" si="62"/>
        <v>0</v>
      </c>
      <c r="U335" s="2131">
        <f t="shared" si="63"/>
        <v>0</v>
      </c>
      <c r="V335" s="2071">
        <f t="shared" si="68"/>
        <v>319</v>
      </c>
    </row>
    <row r="336" spans="1:22" hidden="1">
      <c r="A336" s="2124">
        <f t="shared" si="69"/>
        <v>1</v>
      </c>
      <c r="B336" s="2073">
        <v>320</v>
      </c>
      <c r="C336" s="2104">
        <f t="shared" si="70"/>
        <v>0</v>
      </c>
      <c r="D336" s="2125">
        <f t="shared" si="58"/>
        <v>0.03</v>
      </c>
      <c r="E336" s="2104">
        <f t="shared" si="64"/>
        <v>0</v>
      </c>
      <c r="F336" s="2135"/>
      <c r="G336" s="2127">
        <f t="shared" si="71"/>
        <v>3</v>
      </c>
      <c r="H336" s="2075">
        <v>320</v>
      </c>
      <c r="I336" s="2104">
        <f t="shared" si="65"/>
        <v>0</v>
      </c>
      <c r="J336" s="2125">
        <f t="shared" si="66"/>
        <v>3.5000000000000003E-2</v>
      </c>
      <c r="K336" s="2083"/>
      <c r="L336" s="2106"/>
      <c r="N336" s="2071">
        <f t="shared" si="67"/>
        <v>320</v>
      </c>
      <c r="O336" s="2130">
        <f>IF(D335=D336,O335+0.00001,ROUNDDOWN(MAX($O$16:$O335),0)+1)</f>
        <v>3.2000000000000075E-3</v>
      </c>
      <c r="P336" s="2131">
        <f t="shared" si="59"/>
        <v>0</v>
      </c>
      <c r="Q336" s="2131">
        <f t="shared" si="60"/>
        <v>0</v>
      </c>
      <c r="R336" s="2131">
        <f t="shared" si="61"/>
        <v>0</v>
      </c>
      <c r="S336" s="2130">
        <f>IF(J335=J336,S335+0.00001,ROUNDDOWN(MAX($S$16:$S335),0)+1)</f>
        <v>2.0020000000000131</v>
      </c>
      <c r="T336" s="2131">
        <f t="shared" si="62"/>
        <v>0</v>
      </c>
      <c r="U336" s="2131">
        <f t="shared" si="63"/>
        <v>0</v>
      </c>
      <c r="V336" s="2071">
        <f t="shared" si="68"/>
        <v>320</v>
      </c>
    </row>
    <row r="337" spans="1:22" hidden="1">
      <c r="A337" s="2124">
        <f t="shared" si="69"/>
        <v>1</v>
      </c>
      <c r="B337" s="2073">
        <v>321</v>
      </c>
      <c r="C337" s="2104">
        <f t="shared" si="70"/>
        <v>0</v>
      </c>
      <c r="D337" s="2125">
        <f t="shared" ref="D337:D400" si="72">D336</f>
        <v>0.03</v>
      </c>
      <c r="E337" s="2104">
        <f t="shared" si="64"/>
        <v>0</v>
      </c>
      <c r="F337" s="2135"/>
      <c r="G337" s="2127">
        <f t="shared" si="71"/>
        <v>3</v>
      </c>
      <c r="H337" s="2075">
        <v>321</v>
      </c>
      <c r="I337" s="2104">
        <f t="shared" si="65"/>
        <v>0</v>
      </c>
      <c r="J337" s="2125">
        <f t="shared" si="66"/>
        <v>3.5000000000000003E-2</v>
      </c>
      <c r="K337" s="2083"/>
      <c r="L337" s="2106"/>
      <c r="N337" s="2071">
        <f t="shared" si="67"/>
        <v>321</v>
      </c>
      <c r="O337" s="2130">
        <f>IF(D336=D337,O336+0.00001,ROUNDDOWN(MAX($O$16:$O336),0)+1)</f>
        <v>3.2100000000000076E-3</v>
      </c>
      <c r="P337" s="2131">
        <f t="shared" ref="P337:P400" si="73">IF($B337&gt;IF(N($C$7)=0,$C$4*$C$5,$C$7),0,IF(B337=IF(N($C$7)=0,$C$4*$C$5,$C$7),-$R336*(1+$C$11/$C$5),ROUND(PMT($C$11/$C$5,$C$4*$C$5,$C$3),2)))</f>
        <v>0</v>
      </c>
      <c r="Q337" s="2131">
        <f t="shared" ref="Q337:Q400" si="74">C337-P337</f>
        <v>0</v>
      </c>
      <c r="R337" s="2131">
        <f t="shared" ref="R337:R400" si="75">R336*(1+$C$11/$C$5)+P337</f>
        <v>0</v>
      </c>
      <c r="S337" s="2130">
        <f>IF(J336=J337,S336+0.00001,ROUNDDOWN(MAX($S$16:$S336),0)+1)</f>
        <v>2.0020100000000132</v>
      </c>
      <c r="T337" s="2131">
        <f t="shared" ref="T337:T400" si="76">IF(I$4*I$5=H337,-I$3*(1+$I$11/I$5),IF(I$4*I$5&lt;H337,0,-I$3*$I$11/I$5))</f>
        <v>0</v>
      </c>
      <c r="U337" s="2131">
        <f t="shared" ref="U337:U400" si="77">I337-T337</f>
        <v>0</v>
      </c>
      <c r="V337" s="2071">
        <f t="shared" si="68"/>
        <v>321</v>
      </c>
    </row>
    <row r="338" spans="1:22" hidden="1">
      <c r="A338" s="2124">
        <f t="shared" si="69"/>
        <v>1</v>
      </c>
      <c r="B338" s="2073">
        <v>322</v>
      </c>
      <c r="C338" s="2104">
        <f t="shared" si="70"/>
        <v>0</v>
      </c>
      <c r="D338" s="2125">
        <f t="shared" si="72"/>
        <v>0.03</v>
      </c>
      <c r="E338" s="2104">
        <f t="shared" ref="E338:E401" si="78">E337*(1+D337/C$5)+C338</f>
        <v>0</v>
      </c>
      <c r="F338" s="2135"/>
      <c r="G338" s="2127">
        <f t="shared" si="71"/>
        <v>3</v>
      </c>
      <c r="H338" s="2075">
        <v>322</v>
      </c>
      <c r="I338" s="2104">
        <f t="shared" ref="I338:I401" si="79">IF(I$4*I$5=H338,-I$3*(1+J337/I$5),IF(I$4*I$5&lt;H338,0,-I$3*J337/I$5))</f>
        <v>0</v>
      </c>
      <c r="J338" s="2125">
        <f t="shared" ref="J338:J401" si="80">J337</f>
        <v>3.5000000000000003E-2</v>
      </c>
      <c r="K338" s="2083"/>
      <c r="L338" s="2106"/>
      <c r="N338" s="2071">
        <f t="shared" ref="N338:N401" si="81">B338</f>
        <v>322</v>
      </c>
      <c r="O338" s="2130">
        <f>IF(D337=D338,O337+0.00001,ROUNDDOWN(MAX($O$16:$O337),0)+1)</f>
        <v>3.2200000000000076E-3</v>
      </c>
      <c r="P338" s="2131">
        <f t="shared" si="73"/>
        <v>0</v>
      </c>
      <c r="Q338" s="2131">
        <f t="shared" si="74"/>
        <v>0</v>
      </c>
      <c r="R338" s="2131">
        <f t="shared" si="75"/>
        <v>0</v>
      </c>
      <c r="S338" s="2130">
        <f>IF(J337=J338,S337+0.00001,ROUNDDOWN(MAX($S$16:$S337),0)+1)</f>
        <v>2.0020200000000132</v>
      </c>
      <c r="T338" s="2131">
        <f t="shared" si="76"/>
        <v>0</v>
      </c>
      <c r="U338" s="2131">
        <f t="shared" si="77"/>
        <v>0</v>
      </c>
      <c r="V338" s="2071">
        <f t="shared" ref="V338:V401" si="82">H338</f>
        <v>322</v>
      </c>
    </row>
    <row r="339" spans="1:22" hidden="1">
      <c r="A339" s="2124">
        <f t="shared" ref="A339:A402" si="83">ROUND(A338+IF(D339&lt;&gt;D338,1,0),0)</f>
        <v>1</v>
      </c>
      <c r="B339" s="2073">
        <v>323</v>
      </c>
      <c r="C339" s="2104">
        <f t="shared" ref="C339:C402" si="84">IF(B339&gt;IF(N(C$7)=0,C$4*C$5,C$7),0,IF(B339=IF(N(C$7)=0,C$4*C$5,C$7),-E338*(1+D338/C$5),IF(D338=D337,C338,ROUND(PMT(D338/C$5,C$4*C$5-B338,E338),2))))</f>
        <v>0</v>
      </c>
      <c r="D339" s="2125">
        <f t="shared" si="72"/>
        <v>0.03</v>
      </c>
      <c r="E339" s="2104">
        <f t="shared" si="78"/>
        <v>0</v>
      </c>
      <c r="F339" s="2135"/>
      <c r="G339" s="2127">
        <f t="shared" ref="G339:G402" si="85">ROUND(G338+IF(J339&lt;&gt;J338,1,0),0)</f>
        <v>3</v>
      </c>
      <c r="H339" s="2075">
        <v>323</v>
      </c>
      <c r="I339" s="2104">
        <f t="shared" si="79"/>
        <v>0</v>
      </c>
      <c r="J339" s="2125">
        <f t="shared" si="80"/>
        <v>3.5000000000000003E-2</v>
      </c>
      <c r="K339" s="2083"/>
      <c r="L339" s="2106"/>
      <c r="N339" s="2071">
        <f t="shared" si="81"/>
        <v>323</v>
      </c>
      <c r="O339" s="2130">
        <f>IF(D338=D339,O338+0.00001,ROUNDDOWN(MAX($O$16:$O338),0)+1)</f>
        <v>3.2300000000000076E-3</v>
      </c>
      <c r="P339" s="2131">
        <f t="shared" si="73"/>
        <v>0</v>
      </c>
      <c r="Q339" s="2131">
        <f t="shared" si="74"/>
        <v>0</v>
      </c>
      <c r="R339" s="2131">
        <f t="shared" si="75"/>
        <v>0</v>
      </c>
      <c r="S339" s="2130">
        <f>IF(J338=J339,S338+0.00001,ROUNDDOWN(MAX($S$16:$S338),0)+1)</f>
        <v>2.0020300000000133</v>
      </c>
      <c r="T339" s="2131">
        <f t="shared" si="76"/>
        <v>0</v>
      </c>
      <c r="U339" s="2131">
        <f t="shared" si="77"/>
        <v>0</v>
      </c>
      <c r="V339" s="2071">
        <f t="shared" si="82"/>
        <v>323</v>
      </c>
    </row>
    <row r="340" spans="1:22" hidden="1">
      <c r="A340" s="2124">
        <f t="shared" si="83"/>
        <v>1</v>
      </c>
      <c r="B340" s="2073">
        <v>324</v>
      </c>
      <c r="C340" s="2104">
        <f t="shared" si="84"/>
        <v>0</v>
      </c>
      <c r="D340" s="2125">
        <f t="shared" si="72"/>
        <v>0.03</v>
      </c>
      <c r="E340" s="2104">
        <f t="shared" si="78"/>
        <v>0</v>
      </c>
      <c r="F340" s="2135"/>
      <c r="G340" s="2127">
        <f t="shared" si="85"/>
        <v>3</v>
      </c>
      <c r="H340" s="2075">
        <v>324</v>
      </c>
      <c r="I340" s="2104">
        <f t="shared" si="79"/>
        <v>0</v>
      </c>
      <c r="J340" s="2125">
        <f t="shared" si="80"/>
        <v>3.5000000000000003E-2</v>
      </c>
      <c r="K340" s="2083"/>
      <c r="L340" s="2106"/>
      <c r="N340" s="2071">
        <f t="shared" si="81"/>
        <v>324</v>
      </c>
      <c r="O340" s="2130">
        <f>IF(D339=D340,O339+0.00001,ROUNDDOWN(MAX($O$16:$O339),0)+1)</f>
        <v>3.2400000000000076E-3</v>
      </c>
      <c r="P340" s="2131">
        <f t="shared" si="73"/>
        <v>0</v>
      </c>
      <c r="Q340" s="2131">
        <f t="shared" si="74"/>
        <v>0</v>
      </c>
      <c r="R340" s="2131">
        <f t="shared" si="75"/>
        <v>0</v>
      </c>
      <c r="S340" s="2130">
        <f>IF(J339=J340,S339+0.00001,ROUNDDOWN(MAX($S$16:$S339),0)+1)</f>
        <v>2.0020400000000134</v>
      </c>
      <c r="T340" s="2131">
        <f t="shared" si="76"/>
        <v>0</v>
      </c>
      <c r="U340" s="2131">
        <f t="shared" si="77"/>
        <v>0</v>
      </c>
      <c r="V340" s="2071">
        <f t="shared" si="82"/>
        <v>324</v>
      </c>
    </row>
    <row r="341" spans="1:22" hidden="1">
      <c r="A341" s="2124">
        <f t="shared" si="83"/>
        <v>1</v>
      </c>
      <c r="B341" s="2073">
        <v>325</v>
      </c>
      <c r="C341" s="2104">
        <f t="shared" si="84"/>
        <v>0</v>
      </c>
      <c r="D341" s="2125">
        <f t="shared" si="72"/>
        <v>0.03</v>
      </c>
      <c r="E341" s="2104">
        <f t="shared" si="78"/>
        <v>0</v>
      </c>
      <c r="F341" s="2135"/>
      <c r="G341" s="2127">
        <f t="shared" si="85"/>
        <v>3</v>
      </c>
      <c r="H341" s="2075">
        <v>325</v>
      </c>
      <c r="I341" s="2104">
        <f t="shared" si="79"/>
        <v>0</v>
      </c>
      <c r="J341" s="2125">
        <f t="shared" si="80"/>
        <v>3.5000000000000003E-2</v>
      </c>
      <c r="K341" s="2083"/>
      <c r="L341" s="2106"/>
      <c r="N341" s="2071">
        <f t="shared" si="81"/>
        <v>325</v>
      </c>
      <c r="O341" s="2130">
        <f>IF(D340=D341,O340+0.00001,ROUNDDOWN(MAX($O$16:$O340),0)+1)</f>
        <v>3.2500000000000077E-3</v>
      </c>
      <c r="P341" s="2131">
        <f t="shared" si="73"/>
        <v>0</v>
      </c>
      <c r="Q341" s="2131">
        <f t="shared" si="74"/>
        <v>0</v>
      </c>
      <c r="R341" s="2131">
        <f t="shared" si="75"/>
        <v>0</v>
      </c>
      <c r="S341" s="2130">
        <f>IF(J340=J341,S340+0.00001,ROUNDDOWN(MAX($S$16:$S340),0)+1)</f>
        <v>2.0020500000000134</v>
      </c>
      <c r="T341" s="2131">
        <f t="shared" si="76"/>
        <v>0</v>
      </c>
      <c r="U341" s="2131">
        <f t="shared" si="77"/>
        <v>0</v>
      </c>
      <c r="V341" s="2071">
        <f t="shared" si="82"/>
        <v>325</v>
      </c>
    </row>
    <row r="342" spans="1:22" hidden="1">
      <c r="A342" s="2124">
        <f t="shared" si="83"/>
        <v>1</v>
      </c>
      <c r="B342" s="2073">
        <v>326</v>
      </c>
      <c r="C342" s="2104">
        <f t="shared" si="84"/>
        <v>0</v>
      </c>
      <c r="D342" s="2125">
        <f t="shared" si="72"/>
        <v>0.03</v>
      </c>
      <c r="E342" s="2104">
        <f t="shared" si="78"/>
        <v>0</v>
      </c>
      <c r="F342" s="2135"/>
      <c r="G342" s="2127">
        <f t="shared" si="85"/>
        <v>3</v>
      </c>
      <c r="H342" s="2075">
        <v>326</v>
      </c>
      <c r="I342" s="2104">
        <f t="shared" si="79"/>
        <v>0</v>
      </c>
      <c r="J342" s="2125">
        <f t="shared" si="80"/>
        <v>3.5000000000000003E-2</v>
      </c>
      <c r="K342" s="2083"/>
      <c r="L342" s="2106"/>
      <c r="N342" s="2071">
        <f t="shared" si="81"/>
        <v>326</v>
      </c>
      <c r="O342" s="2130">
        <f>IF(D341=D342,O341+0.00001,ROUNDDOWN(MAX($O$16:$O341),0)+1)</f>
        <v>3.2600000000000077E-3</v>
      </c>
      <c r="P342" s="2131">
        <f t="shared" si="73"/>
        <v>0</v>
      </c>
      <c r="Q342" s="2131">
        <f t="shared" si="74"/>
        <v>0</v>
      </c>
      <c r="R342" s="2131">
        <f t="shared" si="75"/>
        <v>0</v>
      </c>
      <c r="S342" s="2130">
        <f>IF(J341=J342,S341+0.00001,ROUNDDOWN(MAX($S$16:$S341),0)+1)</f>
        <v>2.0020600000000135</v>
      </c>
      <c r="T342" s="2131">
        <f t="shared" si="76"/>
        <v>0</v>
      </c>
      <c r="U342" s="2131">
        <f t="shared" si="77"/>
        <v>0</v>
      </c>
      <c r="V342" s="2071">
        <f t="shared" si="82"/>
        <v>326</v>
      </c>
    </row>
    <row r="343" spans="1:22" hidden="1">
      <c r="A343" s="2124">
        <f t="shared" si="83"/>
        <v>1</v>
      </c>
      <c r="B343" s="2073">
        <v>327</v>
      </c>
      <c r="C343" s="2104">
        <f t="shared" si="84"/>
        <v>0</v>
      </c>
      <c r="D343" s="2125">
        <f t="shared" si="72"/>
        <v>0.03</v>
      </c>
      <c r="E343" s="2104">
        <f t="shared" si="78"/>
        <v>0</v>
      </c>
      <c r="F343" s="2135"/>
      <c r="G343" s="2127">
        <f t="shared" si="85"/>
        <v>3</v>
      </c>
      <c r="H343" s="2075">
        <v>327</v>
      </c>
      <c r="I343" s="2104">
        <f t="shared" si="79"/>
        <v>0</v>
      </c>
      <c r="J343" s="2125">
        <f t="shared" si="80"/>
        <v>3.5000000000000003E-2</v>
      </c>
      <c r="K343" s="2083"/>
      <c r="L343" s="2106"/>
      <c r="N343" s="2071">
        <f t="shared" si="81"/>
        <v>327</v>
      </c>
      <c r="O343" s="2130">
        <f>IF(D342=D343,O342+0.00001,ROUNDDOWN(MAX($O$16:$O342),0)+1)</f>
        <v>3.2700000000000077E-3</v>
      </c>
      <c r="P343" s="2131">
        <f t="shared" si="73"/>
        <v>0</v>
      </c>
      <c r="Q343" s="2131">
        <f t="shared" si="74"/>
        <v>0</v>
      </c>
      <c r="R343" s="2131">
        <f t="shared" si="75"/>
        <v>0</v>
      </c>
      <c r="S343" s="2130">
        <f>IF(J342=J343,S342+0.00001,ROUNDDOWN(MAX($S$16:$S342),0)+1)</f>
        <v>2.0020700000000136</v>
      </c>
      <c r="T343" s="2131">
        <f t="shared" si="76"/>
        <v>0</v>
      </c>
      <c r="U343" s="2131">
        <f t="shared" si="77"/>
        <v>0</v>
      </c>
      <c r="V343" s="2071">
        <f t="shared" si="82"/>
        <v>327</v>
      </c>
    </row>
    <row r="344" spans="1:22" hidden="1">
      <c r="A344" s="2124">
        <f t="shared" si="83"/>
        <v>1</v>
      </c>
      <c r="B344" s="2073">
        <v>328</v>
      </c>
      <c r="C344" s="2104">
        <f t="shared" si="84"/>
        <v>0</v>
      </c>
      <c r="D344" s="2125">
        <f t="shared" si="72"/>
        <v>0.03</v>
      </c>
      <c r="E344" s="2104">
        <f t="shared" si="78"/>
        <v>0</v>
      </c>
      <c r="F344" s="2135"/>
      <c r="G344" s="2127">
        <f t="shared" si="85"/>
        <v>3</v>
      </c>
      <c r="H344" s="2075">
        <v>328</v>
      </c>
      <c r="I344" s="2104">
        <f t="shared" si="79"/>
        <v>0</v>
      </c>
      <c r="J344" s="2125">
        <f t="shared" si="80"/>
        <v>3.5000000000000003E-2</v>
      </c>
      <c r="K344" s="2083"/>
      <c r="L344" s="2106"/>
      <c r="N344" s="2071">
        <f t="shared" si="81"/>
        <v>328</v>
      </c>
      <c r="O344" s="2130">
        <f>IF(D343=D344,O343+0.00001,ROUNDDOWN(MAX($O$16:$O343),0)+1)</f>
        <v>3.2800000000000077E-3</v>
      </c>
      <c r="P344" s="2131">
        <f t="shared" si="73"/>
        <v>0</v>
      </c>
      <c r="Q344" s="2131">
        <f t="shared" si="74"/>
        <v>0</v>
      </c>
      <c r="R344" s="2131">
        <f t="shared" si="75"/>
        <v>0</v>
      </c>
      <c r="S344" s="2130">
        <f>IF(J343=J344,S343+0.00001,ROUNDDOWN(MAX($S$16:$S343),0)+1)</f>
        <v>2.0020800000000136</v>
      </c>
      <c r="T344" s="2131">
        <f t="shared" si="76"/>
        <v>0</v>
      </c>
      <c r="U344" s="2131">
        <f t="shared" si="77"/>
        <v>0</v>
      </c>
      <c r="V344" s="2071">
        <f t="shared" si="82"/>
        <v>328</v>
      </c>
    </row>
    <row r="345" spans="1:22" hidden="1">
      <c r="A345" s="2124">
        <f t="shared" si="83"/>
        <v>1</v>
      </c>
      <c r="B345" s="2073">
        <v>329</v>
      </c>
      <c r="C345" s="2104">
        <f t="shared" si="84"/>
        <v>0</v>
      </c>
      <c r="D345" s="2125">
        <f t="shared" si="72"/>
        <v>0.03</v>
      </c>
      <c r="E345" s="2104">
        <f t="shared" si="78"/>
        <v>0</v>
      </c>
      <c r="F345" s="2135"/>
      <c r="G345" s="2127">
        <f t="shared" si="85"/>
        <v>3</v>
      </c>
      <c r="H345" s="2075">
        <v>329</v>
      </c>
      <c r="I345" s="2104">
        <f t="shared" si="79"/>
        <v>0</v>
      </c>
      <c r="J345" s="2125">
        <f t="shared" si="80"/>
        <v>3.5000000000000003E-2</v>
      </c>
      <c r="K345" s="2083"/>
      <c r="L345" s="2106"/>
      <c r="N345" s="2071">
        <f t="shared" si="81"/>
        <v>329</v>
      </c>
      <c r="O345" s="2130">
        <f>IF(D344=D345,O344+0.00001,ROUNDDOWN(MAX($O$16:$O344),0)+1)</f>
        <v>3.2900000000000078E-3</v>
      </c>
      <c r="P345" s="2131">
        <f t="shared" si="73"/>
        <v>0</v>
      </c>
      <c r="Q345" s="2131">
        <f t="shared" si="74"/>
        <v>0</v>
      </c>
      <c r="R345" s="2131">
        <f t="shared" si="75"/>
        <v>0</v>
      </c>
      <c r="S345" s="2130">
        <f>IF(J344=J345,S344+0.00001,ROUNDDOWN(MAX($S$16:$S344),0)+1)</f>
        <v>2.0020900000000137</v>
      </c>
      <c r="T345" s="2131">
        <f t="shared" si="76"/>
        <v>0</v>
      </c>
      <c r="U345" s="2131">
        <f t="shared" si="77"/>
        <v>0</v>
      </c>
      <c r="V345" s="2071">
        <f t="shared" si="82"/>
        <v>329</v>
      </c>
    </row>
    <row r="346" spans="1:22" hidden="1">
      <c r="A346" s="2124">
        <f t="shared" si="83"/>
        <v>1</v>
      </c>
      <c r="B346" s="2073">
        <v>330</v>
      </c>
      <c r="C346" s="2104">
        <f t="shared" si="84"/>
        <v>0</v>
      </c>
      <c r="D346" s="2125">
        <f t="shared" si="72"/>
        <v>0.03</v>
      </c>
      <c r="E346" s="2104">
        <f t="shared" si="78"/>
        <v>0</v>
      </c>
      <c r="F346" s="2135"/>
      <c r="G346" s="2127">
        <f t="shared" si="85"/>
        <v>3</v>
      </c>
      <c r="H346" s="2075">
        <v>330</v>
      </c>
      <c r="I346" s="2104">
        <f t="shared" si="79"/>
        <v>0</v>
      </c>
      <c r="J346" s="2125">
        <f t="shared" si="80"/>
        <v>3.5000000000000003E-2</v>
      </c>
      <c r="K346" s="2083"/>
      <c r="L346" s="2106"/>
      <c r="N346" s="2071">
        <f t="shared" si="81"/>
        <v>330</v>
      </c>
      <c r="O346" s="2130">
        <f>IF(D345=D346,O345+0.00001,ROUNDDOWN(MAX($O$16:$O345),0)+1)</f>
        <v>3.3000000000000078E-3</v>
      </c>
      <c r="P346" s="2131">
        <f t="shared" si="73"/>
        <v>0</v>
      </c>
      <c r="Q346" s="2131">
        <f t="shared" si="74"/>
        <v>0</v>
      </c>
      <c r="R346" s="2131">
        <f t="shared" si="75"/>
        <v>0</v>
      </c>
      <c r="S346" s="2130">
        <f>IF(J345=J346,S345+0.00001,ROUNDDOWN(MAX($S$16:$S345),0)+1)</f>
        <v>2.0021000000000138</v>
      </c>
      <c r="T346" s="2131">
        <f t="shared" si="76"/>
        <v>0</v>
      </c>
      <c r="U346" s="2131">
        <f t="shared" si="77"/>
        <v>0</v>
      </c>
      <c r="V346" s="2071">
        <f t="shared" si="82"/>
        <v>330</v>
      </c>
    </row>
    <row r="347" spans="1:22" hidden="1">
      <c r="A347" s="2124">
        <f t="shared" si="83"/>
        <v>1</v>
      </c>
      <c r="B347" s="2073">
        <v>331</v>
      </c>
      <c r="C347" s="2104">
        <f t="shared" si="84"/>
        <v>0</v>
      </c>
      <c r="D347" s="2125">
        <f t="shared" si="72"/>
        <v>0.03</v>
      </c>
      <c r="E347" s="2104">
        <f t="shared" si="78"/>
        <v>0</v>
      </c>
      <c r="F347" s="2135"/>
      <c r="G347" s="2127">
        <f t="shared" si="85"/>
        <v>3</v>
      </c>
      <c r="H347" s="2075">
        <v>331</v>
      </c>
      <c r="I347" s="2104">
        <f t="shared" si="79"/>
        <v>0</v>
      </c>
      <c r="J347" s="2125">
        <f t="shared" si="80"/>
        <v>3.5000000000000003E-2</v>
      </c>
      <c r="K347" s="2083"/>
      <c r="L347" s="2106"/>
      <c r="N347" s="2071">
        <f t="shared" si="81"/>
        <v>331</v>
      </c>
      <c r="O347" s="2130">
        <f>IF(D346=D347,O346+0.00001,ROUNDDOWN(MAX($O$16:$O346),0)+1)</f>
        <v>3.3100000000000078E-3</v>
      </c>
      <c r="P347" s="2131">
        <f t="shared" si="73"/>
        <v>0</v>
      </c>
      <c r="Q347" s="2131">
        <f t="shared" si="74"/>
        <v>0</v>
      </c>
      <c r="R347" s="2131">
        <f t="shared" si="75"/>
        <v>0</v>
      </c>
      <c r="S347" s="2130">
        <f>IF(J346=J347,S346+0.00001,ROUNDDOWN(MAX($S$16:$S346),0)+1)</f>
        <v>2.0021100000000138</v>
      </c>
      <c r="T347" s="2131">
        <f t="shared" si="76"/>
        <v>0</v>
      </c>
      <c r="U347" s="2131">
        <f t="shared" si="77"/>
        <v>0</v>
      </c>
      <c r="V347" s="2071">
        <f t="shared" si="82"/>
        <v>331</v>
      </c>
    </row>
    <row r="348" spans="1:22" hidden="1">
      <c r="A348" s="2124">
        <f t="shared" si="83"/>
        <v>1</v>
      </c>
      <c r="B348" s="2073">
        <v>332</v>
      </c>
      <c r="C348" s="2104">
        <f t="shared" si="84"/>
        <v>0</v>
      </c>
      <c r="D348" s="2125">
        <f t="shared" si="72"/>
        <v>0.03</v>
      </c>
      <c r="E348" s="2104">
        <f t="shared" si="78"/>
        <v>0</v>
      </c>
      <c r="F348" s="2135"/>
      <c r="G348" s="2127">
        <f t="shared" si="85"/>
        <v>3</v>
      </c>
      <c r="H348" s="2075">
        <v>332</v>
      </c>
      <c r="I348" s="2104">
        <f t="shared" si="79"/>
        <v>0</v>
      </c>
      <c r="J348" s="2125">
        <f t="shared" si="80"/>
        <v>3.5000000000000003E-2</v>
      </c>
      <c r="K348" s="2083"/>
      <c r="L348" s="2106"/>
      <c r="N348" s="2071">
        <f t="shared" si="81"/>
        <v>332</v>
      </c>
      <c r="O348" s="2130">
        <f>IF(D347=D348,O347+0.00001,ROUNDDOWN(MAX($O$16:$O347),0)+1)</f>
        <v>3.3200000000000078E-3</v>
      </c>
      <c r="P348" s="2131">
        <f t="shared" si="73"/>
        <v>0</v>
      </c>
      <c r="Q348" s="2131">
        <f t="shared" si="74"/>
        <v>0</v>
      </c>
      <c r="R348" s="2131">
        <f t="shared" si="75"/>
        <v>0</v>
      </c>
      <c r="S348" s="2130">
        <f>IF(J347=J348,S347+0.00001,ROUNDDOWN(MAX($S$16:$S347),0)+1)</f>
        <v>2.0021200000000139</v>
      </c>
      <c r="T348" s="2131">
        <f t="shared" si="76"/>
        <v>0</v>
      </c>
      <c r="U348" s="2131">
        <f t="shared" si="77"/>
        <v>0</v>
      </c>
      <c r="V348" s="2071">
        <f t="shared" si="82"/>
        <v>332</v>
      </c>
    </row>
    <row r="349" spans="1:22" hidden="1">
      <c r="A349" s="2124">
        <f t="shared" si="83"/>
        <v>1</v>
      </c>
      <c r="B349" s="2073">
        <v>333</v>
      </c>
      <c r="C349" s="2104">
        <f t="shared" si="84"/>
        <v>0</v>
      </c>
      <c r="D349" s="2125">
        <f t="shared" si="72"/>
        <v>0.03</v>
      </c>
      <c r="E349" s="2104">
        <f t="shared" si="78"/>
        <v>0</v>
      </c>
      <c r="F349" s="2135"/>
      <c r="G349" s="2127">
        <f t="shared" si="85"/>
        <v>3</v>
      </c>
      <c r="H349" s="2075">
        <v>333</v>
      </c>
      <c r="I349" s="2104">
        <f t="shared" si="79"/>
        <v>0</v>
      </c>
      <c r="J349" s="2125">
        <f t="shared" si="80"/>
        <v>3.5000000000000003E-2</v>
      </c>
      <c r="K349" s="2083"/>
      <c r="L349" s="2106"/>
      <c r="N349" s="2071">
        <f t="shared" si="81"/>
        <v>333</v>
      </c>
      <c r="O349" s="2130">
        <f>IF(D348=D349,O348+0.00001,ROUNDDOWN(MAX($O$16:$O348),0)+1)</f>
        <v>3.3300000000000079E-3</v>
      </c>
      <c r="P349" s="2131">
        <f t="shared" si="73"/>
        <v>0</v>
      </c>
      <c r="Q349" s="2131">
        <f t="shared" si="74"/>
        <v>0</v>
      </c>
      <c r="R349" s="2131">
        <f t="shared" si="75"/>
        <v>0</v>
      </c>
      <c r="S349" s="2130">
        <f>IF(J348=J349,S348+0.00001,ROUNDDOWN(MAX($S$16:$S348),0)+1)</f>
        <v>2.002130000000014</v>
      </c>
      <c r="T349" s="2131">
        <f t="shared" si="76"/>
        <v>0</v>
      </c>
      <c r="U349" s="2131">
        <f t="shared" si="77"/>
        <v>0</v>
      </c>
      <c r="V349" s="2071">
        <f t="shared" si="82"/>
        <v>333</v>
      </c>
    </row>
    <row r="350" spans="1:22" hidden="1">
      <c r="A350" s="2124">
        <f t="shared" si="83"/>
        <v>1</v>
      </c>
      <c r="B350" s="2073">
        <v>334</v>
      </c>
      <c r="C350" s="2104">
        <f t="shared" si="84"/>
        <v>0</v>
      </c>
      <c r="D350" s="2125">
        <f t="shared" si="72"/>
        <v>0.03</v>
      </c>
      <c r="E350" s="2104">
        <f t="shared" si="78"/>
        <v>0</v>
      </c>
      <c r="F350" s="2135"/>
      <c r="G350" s="2127">
        <f t="shared" si="85"/>
        <v>3</v>
      </c>
      <c r="H350" s="2075">
        <v>334</v>
      </c>
      <c r="I350" s="2104">
        <f t="shared" si="79"/>
        <v>0</v>
      </c>
      <c r="J350" s="2125">
        <f t="shared" si="80"/>
        <v>3.5000000000000003E-2</v>
      </c>
      <c r="K350" s="2083"/>
      <c r="L350" s="2106"/>
      <c r="N350" s="2071">
        <f t="shared" si="81"/>
        <v>334</v>
      </c>
      <c r="O350" s="2130">
        <f>IF(D349=D350,O349+0.00001,ROUNDDOWN(MAX($O$16:$O349),0)+1)</f>
        <v>3.3400000000000079E-3</v>
      </c>
      <c r="P350" s="2131">
        <f t="shared" si="73"/>
        <v>0</v>
      </c>
      <c r="Q350" s="2131">
        <f t="shared" si="74"/>
        <v>0</v>
      </c>
      <c r="R350" s="2131">
        <f t="shared" si="75"/>
        <v>0</v>
      </c>
      <c r="S350" s="2130">
        <f>IF(J349=J350,S349+0.00001,ROUNDDOWN(MAX($S$16:$S349),0)+1)</f>
        <v>2.002140000000014</v>
      </c>
      <c r="T350" s="2131">
        <f t="shared" si="76"/>
        <v>0</v>
      </c>
      <c r="U350" s="2131">
        <f t="shared" si="77"/>
        <v>0</v>
      </c>
      <c r="V350" s="2071">
        <f t="shared" si="82"/>
        <v>334</v>
      </c>
    </row>
    <row r="351" spans="1:22" hidden="1">
      <c r="A351" s="2124">
        <f t="shared" si="83"/>
        <v>1</v>
      </c>
      <c r="B351" s="2073">
        <v>335</v>
      </c>
      <c r="C351" s="2104">
        <f t="shared" si="84"/>
        <v>0</v>
      </c>
      <c r="D351" s="2125">
        <f t="shared" si="72"/>
        <v>0.03</v>
      </c>
      <c r="E351" s="2104">
        <f t="shared" si="78"/>
        <v>0</v>
      </c>
      <c r="F351" s="2135"/>
      <c r="G351" s="2127">
        <f t="shared" si="85"/>
        <v>3</v>
      </c>
      <c r="H351" s="2075">
        <v>335</v>
      </c>
      <c r="I351" s="2104">
        <f t="shared" si="79"/>
        <v>0</v>
      </c>
      <c r="J351" s="2125">
        <f t="shared" si="80"/>
        <v>3.5000000000000003E-2</v>
      </c>
      <c r="K351" s="2083"/>
      <c r="L351" s="2106"/>
      <c r="N351" s="2071">
        <f t="shared" si="81"/>
        <v>335</v>
      </c>
      <c r="O351" s="2130">
        <f>IF(D350=D351,O350+0.00001,ROUNDDOWN(MAX($O$16:$O350),0)+1)</f>
        <v>3.3500000000000079E-3</v>
      </c>
      <c r="P351" s="2131">
        <f t="shared" si="73"/>
        <v>0</v>
      </c>
      <c r="Q351" s="2131">
        <f t="shared" si="74"/>
        <v>0</v>
      </c>
      <c r="R351" s="2131">
        <f t="shared" si="75"/>
        <v>0</v>
      </c>
      <c r="S351" s="2130">
        <f>IF(J350=J351,S350+0.00001,ROUNDDOWN(MAX($S$16:$S350),0)+1)</f>
        <v>2.0021500000000141</v>
      </c>
      <c r="T351" s="2131">
        <f t="shared" si="76"/>
        <v>0</v>
      </c>
      <c r="U351" s="2131">
        <f t="shared" si="77"/>
        <v>0</v>
      </c>
      <c r="V351" s="2071">
        <f t="shared" si="82"/>
        <v>335</v>
      </c>
    </row>
    <row r="352" spans="1:22" hidden="1">
      <c r="A352" s="2124">
        <f t="shared" si="83"/>
        <v>1</v>
      </c>
      <c r="B352" s="2073">
        <v>336</v>
      </c>
      <c r="C352" s="2104">
        <f t="shared" si="84"/>
        <v>0</v>
      </c>
      <c r="D352" s="2125">
        <f t="shared" si="72"/>
        <v>0.03</v>
      </c>
      <c r="E352" s="2104">
        <f t="shared" si="78"/>
        <v>0</v>
      </c>
      <c r="F352" s="2135"/>
      <c r="G352" s="2127">
        <f t="shared" si="85"/>
        <v>3</v>
      </c>
      <c r="H352" s="2075">
        <v>336</v>
      </c>
      <c r="I352" s="2104">
        <f t="shared" si="79"/>
        <v>0</v>
      </c>
      <c r="J352" s="2125">
        <f t="shared" si="80"/>
        <v>3.5000000000000003E-2</v>
      </c>
      <c r="K352" s="2083"/>
      <c r="L352" s="2106"/>
      <c r="N352" s="2071">
        <f t="shared" si="81"/>
        <v>336</v>
      </c>
      <c r="O352" s="2130">
        <f>IF(D351=D352,O351+0.00001,ROUNDDOWN(MAX($O$16:$O351),0)+1)</f>
        <v>3.3600000000000079E-3</v>
      </c>
      <c r="P352" s="2131">
        <f t="shared" si="73"/>
        <v>0</v>
      </c>
      <c r="Q352" s="2131">
        <f t="shared" si="74"/>
        <v>0</v>
      </c>
      <c r="R352" s="2131">
        <f t="shared" si="75"/>
        <v>0</v>
      </c>
      <c r="S352" s="2130">
        <f>IF(J351=J352,S351+0.00001,ROUNDDOWN(MAX($S$16:$S351),0)+1)</f>
        <v>2.0021600000000142</v>
      </c>
      <c r="T352" s="2131">
        <f t="shared" si="76"/>
        <v>0</v>
      </c>
      <c r="U352" s="2131">
        <f t="shared" si="77"/>
        <v>0</v>
      </c>
      <c r="V352" s="2071">
        <f t="shared" si="82"/>
        <v>336</v>
      </c>
    </row>
    <row r="353" spans="1:22" hidden="1">
      <c r="A353" s="2124">
        <f t="shared" si="83"/>
        <v>1</v>
      </c>
      <c r="B353" s="2073">
        <v>337</v>
      </c>
      <c r="C353" s="2104">
        <f t="shared" si="84"/>
        <v>0</v>
      </c>
      <c r="D353" s="2125">
        <f t="shared" si="72"/>
        <v>0.03</v>
      </c>
      <c r="E353" s="2104">
        <f t="shared" si="78"/>
        <v>0</v>
      </c>
      <c r="F353" s="2135"/>
      <c r="G353" s="2127">
        <f t="shared" si="85"/>
        <v>3</v>
      </c>
      <c r="H353" s="2075">
        <v>337</v>
      </c>
      <c r="I353" s="2104">
        <f t="shared" si="79"/>
        <v>0</v>
      </c>
      <c r="J353" s="2125">
        <f t="shared" si="80"/>
        <v>3.5000000000000003E-2</v>
      </c>
      <c r="K353" s="2083"/>
      <c r="L353" s="2106"/>
      <c r="N353" s="2071">
        <f t="shared" si="81"/>
        <v>337</v>
      </c>
      <c r="O353" s="2130">
        <f>IF(D352=D353,O352+0.00001,ROUNDDOWN(MAX($O$16:$O352),0)+1)</f>
        <v>3.370000000000008E-3</v>
      </c>
      <c r="P353" s="2131">
        <f t="shared" si="73"/>
        <v>0</v>
      </c>
      <c r="Q353" s="2131">
        <f t="shared" si="74"/>
        <v>0</v>
      </c>
      <c r="R353" s="2131">
        <f t="shared" si="75"/>
        <v>0</v>
      </c>
      <c r="S353" s="2130">
        <f>IF(J352=J353,S352+0.00001,ROUNDDOWN(MAX($S$16:$S352),0)+1)</f>
        <v>2.0021700000000142</v>
      </c>
      <c r="T353" s="2131">
        <f t="shared" si="76"/>
        <v>0</v>
      </c>
      <c r="U353" s="2131">
        <f t="shared" si="77"/>
        <v>0</v>
      </c>
      <c r="V353" s="2071">
        <f t="shared" si="82"/>
        <v>337</v>
      </c>
    </row>
    <row r="354" spans="1:22" hidden="1">
      <c r="A354" s="2124">
        <f t="shared" si="83"/>
        <v>1</v>
      </c>
      <c r="B354" s="2073">
        <v>338</v>
      </c>
      <c r="C354" s="2104">
        <f t="shared" si="84"/>
        <v>0</v>
      </c>
      <c r="D354" s="2125">
        <f t="shared" si="72"/>
        <v>0.03</v>
      </c>
      <c r="E354" s="2104">
        <f t="shared" si="78"/>
        <v>0</v>
      </c>
      <c r="F354" s="2135"/>
      <c r="G354" s="2127">
        <f t="shared" si="85"/>
        <v>3</v>
      </c>
      <c r="H354" s="2075">
        <v>338</v>
      </c>
      <c r="I354" s="2104">
        <f t="shared" si="79"/>
        <v>0</v>
      </c>
      <c r="J354" s="2125">
        <f t="shared" si="80"/>
        <v>3.5000000000000003E-2</v>
      </c>
      <c r="K354" s="2083"/>
      <c r="L354" s="2106"/>
      <c r="N354" s="2071">
        <f t="shared" si="81"/>
        <v>338</v>
      </c>
      <c r="O354" s="2130">
        <f>IF(D353=D354,O353+0.00001,ROUNDDOWN(MAX($O$16:$O353),0)+1)</f>
        <v>3.380000000000008E-3</v>
      </c>
      <c r="P354" s="2131">
        <f t="shared" si="73"/>
        <v>0</v>
      </c>
      <c r="Q354" s="2131">
        <f t="shared" si="74"/>
        <v>0</v>
      </c>
      <c r="R354" s="2131">
        <f t="shared" si="75"/>
        <v>0</v>
      </c>
      <c r="S354" s="2130">
        <f>IF(J353=J354,S353+0.00001,ROUNDDOWN(MAX($S$16:$S353),0)+1)</f>
        <v>2.0021800000000143</v>
      </c>
      <c r="T354" s="2131">
        <f t="shared" si="76"/>
        <v>0</v>
      </c>
      <c r="U354" s="2131">
        <f t="shared" si="77"/>
        <v>0</v>
      </c>
      <c r="V354" s="2071">
        <f t="shared" si="82"/>
        <v>338</v>
      </c>
    </row>
    <row r="355" spans="1:22" hidden="1">
      <c r="A355" s="2124">
        <f t="shared" si="83"/>
        <v>1</v>
      </c>
      <c r="B355" s="2073">
        <v>339</v>
      </c>
      <c r="C355" s="2104">
        <f t="shared" si="84"/>
        <v>0</v>
      </c>
      <c r="D355" s="2125">
        <f t="shared" si="72"/>
        <v>0.03</v>
      </c>
      <c r="E355" s="2104">
        <f t="shared" si="78"/>
        <v>0</v>
      </c>
      <c r="F355" s="2135"/>
      <c r="G355" s="2127">
        <f t="shared" si="85"/>
        <v>3</v>
      </c>
      <c r="H355" s="2075">
        <v>339</v>
      </c>
      <c r="I355" s="2104">
        <f t="shared" si="79"/>
        <v>0</v>
      </c>
      <c r="J355" s="2125">
        <f t="shared" si="80"/>
        <v>3.5000000000000003E-2</v>
      </c>
      <c r="K355" s="2083"/>
      <c r="L355" s="2106"/>
      <c r="N355" s="2071">
        <f t="shared" si="81"/>
        <v>339</v>
      </c>
      <c r="O355" s="2130">
        <f>IF(D354=D355,O354+0.00001,ROUNDDOWN(MAX($O$16:$O354),0)+1)</f>
        <v>3.390000000000008E-3</v>
      </c>
      <c r="P355" s="2131">
        <f t="shared" si="73"/>
        <v>0</v>
      </c>
      <c r="Q355" s="2131">
        <f t="shared" si="74"/>
        <v>0</v>
      </c>
      <c r="R355" s="2131">
        <f t="shared" si="75"/>
        <v>0</v>
      </c>
      <c r="S355" s="2130">
        <f>IF(J354=J355,S354+0.00001,ROUNDDOWN(MAX($S$16:$S354),0)+1)</f>
        <v>2.0021900000000143</v>
      </c>
      <c r="T355" s="2131">
        <f t="shared" si="76"/>
        <v>0</v>
      </c>
      <c r="U355" s="2131">
        <f t="shared" si="77"/>
        <v>0</v>
      </c>
      <c r="V355" s="2071">
        <f t="shared" si="82"/>
        <v>339</v>
      </c>
    </row>
    <row r="356" spans="1:22" hidden="1">
      <c r="A356" s="2124">
        <f t="shared" si="83"/>
        <v>1</v>
      </c>
      <c r="B356" s="2073">
        <v>340</v>
      </c>
      <c r="C356" s="2104">
        <f t="shared" si="84"/>
        <v>0</v>
      </c>
      <c r="D356" s="2125">
        <f t="shared" si="72"/>
        <v>0.03</v>
      </c>
      <c r="E356" s="2104">
        <f t="shared" si="78"/>
        <v>0</v>
      </c>
      <c r="F356" s="2135"/>
      <c r="G356" s="2127">
        <f t="shared" si="85"/>
        <v>3</v>
      </c>
      <c r="H356" s="2075">
        <v>340</v>
      </c>
      <c r="I356" s="2104">
        <f t="shared" si="79"/>
        <v>0</v>
      </c>
      <c r="J356" s="2125">
        <f t="shared" si="80"/>
        <v>3.5000000000000003E-2</v>
      </c>
      <c r="K356" s="2083"/>
      <c r="L356" s="2106"/>
      <c r="N356" s="2071">
        <f t="shared" si="81"/>
        <v>340</v>
      </c>
      <c r="O356" s="2130">
        <f>IF(D355=D356,O355+0.00001,ROUNDDOWN(MAX($O$16:$O355),0)+1)</f>
        <v>3.4000000000000081E-3</v>
      </c>
      <c r="P356" s="2131">
        <f t="shared" si="73"/>
        <v>0</v>
      </c>
      <c r="Q356" s="2131">
        <f t="shared" si="74"/>
        <v>0</v>
      </c>
      <c r="R356" s="2131">
        <f t="shared" si="75"/>
        <v>0</v>
      </c>
      <c r="S356" s="2130">
        <f>IF(J355=J356,S355+0.00001,ROUNDDOWN(MAX($S$16:$S355),0)+1)</f>
        <v>2.0022000000000144</v>
      </c>
      <c r="T356" s="2131">
        <f t="shared" si="76"/>
        <v>0</v>
      </c>
      <c r="U356" s="2131">
        <f t="shared" si="77"/>
        <v>0</v>
      </c>
      <c r="V356" s="2071">
        <f t="shared" si="82"/>
        <v>340</v>
      </c>
    </row>
    <row r="357" spans="1:22" hidden="1">
      <c r="A357" s="2124">
        <f t="shared" si="83"/>
        <v>1</v>
      </c>
      <c r="B357" s="2073">
        <v>341</v>
      </c>
      <c r="C357" s="2104">
        <f t="shared" si="84"/>
        <v>0</v>
      </c>
      <c r="D357" s="2125">
        <f t="shared" si="72"/>
        <v>0.03</v>
      </c>
      <c r="E357" s="2104">
        <f t="shared" si="78"/>
        <v>0</v>
      </c>
      <c r="F357" s="2135"/>
      <c r="G357" s="2127">
        <f t="shared" si="85"/>
        <v>3</v>
      </c>
      <c r="H357" s="2075">
        <v>341</v>
      </c>
      <c r="I357" s="2104">
        <f t="shared" si="79"/>
        <v>0</v>
      </c>
      <c r="J357" s="2125">
        <f t="shared" si="80"/>
        <v>3.5000000000000003E-2</v>
      </c>
      <c r="K357" s="2083"/>
      <c r="L357" s="2106"/>
      <c r="N357" s="2071">
        <f t="shared" si="81"/>
        <v>341</v>
      </c>
      <c r="O357" s="2130">
        <f>IF(D356=D357,O356+0.00001,ROUNDDOWN(MAX($O$16:$O356),0)+1)</f>
        <v>3.4100000000000081E-3</v>
      </c>
      <c r="P357" s="2131">
        <f t="shared" si="73"/>
        <v>0</v>
      </c>
      <c r="Q357" s="2131">
        <f t="shared" si="74"/>
        <v>0</v>
      </c>
      <c r="R357" s="2131">
        <f t="shared" si="75"/>
        <v>0</v>
      </c>
      <c r="S357" s="2130">
        <f>IF(J356=J357,S356+0.00001,ROUNDDOWN(MAX($S$16:$S356),0)+1)</f>
        <v>2.0022100000000145</v>
      </c>
      <c r="T357" s="2131">
        <f t="shared" si="76"/>
        <v>0</v>
      </c>
      <c r="U357" s="2131">
        <f t="shared" si="77"/>
        <v>0</v>
      </c>
      <c r="V357" s="2071">
        <f t="shared" si="82"/>
        <v>341</v>
      </c>
    </row>
    <row r="358" spans="1:22" hidden="1">
      <c r="A358" s="2124">
        <f t="shared" si="83"/>
        <v>1</v>
      </c>
      <c r="B358" s="2073">
        <v>342</v>
      </c>
      <c r="C358" s="2104">
        <f t="shared" si="84"/>
        <v>0</v>
      </c>
      <c r="D358" s="2125">
        <f t="shared" si="72"/>
        <v>0.03</v>
      </c>
      <c r="E358" s="2104">
        <f t="shared" si="78"/>
        <v>0</v>
      </c>
      <c r="F358" s="2135"/>
      <c r="G358" s="2127">
        <f t="shared" si="85"/>
        <v>3</v>
      </c>
      <c r="H358" s="2075">
        <v>342</v>
      </c>
      <c r="I358" s="2104">
        <f t="shared" si="79"/>
        <v>0</v>
      </c>
      <c r="J358" s="2125">
        <f t="shared" si="80"/>
        <v>3.5000000000000003E-2</v>
      </c>
      <c r="K358" s="2083"/>
      <c r="L358" s="2106"/>
      <c r="N358" s="2071">
        <f t="shared" si="81"/>
        <v>342</v>
      </c>
      <c r="O358" s="2130">
        <f>IF(D357=D358,O357+0.00001,ROUNDDOWN(MAX($O$16:$O357),0)+1)</f>
        <v>3.4200000000000081E-3</v>
      </c>
      <c r="P358" s="2131">
        <f t="shared" si="73"/>
        <v>0</v>
      </c>
      <c r="Q358" s="2131">
        <f t="shared" si="74"/>
        <v>0</v>
      </c>
      <c r="R358" s="2131">
        <f t="shared" si="75"/>
        <v>0</v>
      </c>
      <c r="S358" s="2130">
        <f>IF(J357=J358,S357+0.00001,ROUNDDOWN(MAX($S$16:$S357),0)+1)</f>
        <v>2.0022200000000145</v>
      </c>
      <c r="T358" s="2131">
        <f t="shared" si="76"/>
        <v>0</v>
      </c>
      <c r="U358" s="2131">
        <f t="shared" si="77"/>
        <v>0</v>
      </c>
      <c r="V358" s="2071">
        <f t="shared" si="82"/>
        <v>342</v>
      </c>
    </row>
    <row r="359" spans="1:22" hidden="1">
      <c r="A359" s="2124">
        <f t="shared" si="83"/>
        <v>1</v>
      </c>
      <c r="B359" s="2073">
        <v>343</v>
      </c>
      <c r="C359" s="2104">
        <f t="shared" si="84"/>
        <v>0</v>
      </c>
      <c r="D359" s="2125">
        <f t="shared" si="72"/>
        <v>0.03</v>
      </c>
      <c r="E359" s="2104">
        <f t="shared" si="78"/>
        <v>0</v>
      </c>
      <c r="F359" s="2135"/>
      <c r="G359" s="2127">
        <f t="shared" si="85"/>
        <v>3</v>
      </c>
      <c r="H359" s="2075">
        <v>343</v>
      </c>
      <c r="I359" s="2104">
        <f t="shared" si="79"/>
        <v>0</v>
      </c>
      <c r="J359" s="2125">
        <f t="shared" si="80"/>
        <v>3.5000000000000003E-2</v>
      </c>
      <c r="K359" s="2083"/>
      <c r="L359" s="2106"/>
      <c r="N359" s="2071">
        <f t="shared" si="81"/>
        <v>343</v>
      </c>
      <c r="O359" s="2130">
        <f>IF(D358=D359,O358+0.00001,ROUNDDOWN(MAX($O$16:$O358),0)+1)</f>
        <v>3.4300000000000081E-3</v>
      </c>
      <c r="P359" s="2131">
        <f t="shared" si="73"/>
        <v>0</v>
      </c>
      <c r="Q359" s="2131">
        <f t="shared" si="74"/>
        <v>0</v>
      </c>
      <c r="R359" s="2131">
        <f t="shared" si="75"/>
        <v>0</v>
      </c>
      <c r="S359" s="2130">
        <f>IF(J358=J359,S358+0.00001,ROUNDDOWN(MAX($S$16:$S358),0)+1)</f>
        <v>2.0022300000000146</v>
      </c>
      <c r="T359" s="2131">
        <f t="shared" si="76"/>
        <v>0</v>
      </c>
      <c r="U359" s="2131">
        <f t="shared" si="77"/>
        <v>0</v>
      </c>
      <c r="V359" s="2071">
        <f t="shared" si="82"/>
        <v>343</v>
      </c>
    </row>
    <row r="360" spans="1:22" hidden="1">
      <c r="A360" s="2124">
        <f t="shared" si="83"/>
        <v>1</v>
      </c>
      <c r="B360" s="2073">
        <v>344</v>
      </c>
      <c r="C360" s="2104">
        <f t="shared" si="84"/>
        <v>0</v>
      </c>
      <c r="D360" s="2125">
        <f t="shared" si="72"/>
        <v>0.03</v>
      </c>
      <c r="E360" s="2104">
        <f t="shared" si="78"/>
        <v>0</v>
      </c>
      <c r="F360" s="2135"/>
      <c r="G360" s="2127">
        <f t="shared" si="85"/>
        <v>3</v>
      </c>
      <c r="H360" s="2075">
        <v>344</v>
      </c>
      <c r="I360" s="2104">
        <f t="shared" si="79"/>
        <v>0</v>
      </c>
      <c r="J360" s="2125">
        <f t="shared" si="80"/>
        <v>3.5000000000000003E-2</v>
      </c>
      <c r="K360" s="2083"/>
      <c r="L360" s="2106"/>
      <c r="N360" s="2071">
        <f t="shared" si="81"/>
        <v>344</v>
      </c>
      <c r="O360" s="2130">
        <f>IF(D359=D360,O359+0.00001,ROUNDDOWN(MAX($O$16:$O359),0)+1)</f>
        <v>3.4400000000000082E-3</v>
      </c>
      <c r="P360" s="2131">
        <f t="shared" si="73"/>
        <v>0</v>
      </c>
      <c r="Q360" s="2131">
        <f t="shared" si="74"/>
        <v>0</v>
      </c>
      <c r="R360" s="2131">
        <f t="shared" si="75"/>
        <v>0</v>
      </c>
      <c r="S360" s="2130">
        <f>IF(J359=J360,S359+0.00001,ROUNDDOWN(MAX($S$16:$S359),0)+1)</f>
        <v>2.0022400000000147</v>
      </c>
      <c r="T360" s="2131">
        <f t="shared" si="76"/>
        <v>0</v>
      </c>
      <c r="U360" s="2131">
        <f t="shared" si="77"/>
        <v>0</v>
      </c>
      <c r="V360" s="2071">
        <f t="shared" si="82"/>
        <v>344</v>
      </c>
    </row>
    <row r="361" spans="1:22" hidden="1">
      <c r="A361" s="2124">
        <f t="shared" si="83"/>
        <v>1</v>
      </c>
      <c r="B361" s="2073">
        <v>345</v>
      </c>
      <c r="C361" s="2104">
        <f t="shared" si="84"/>
        <v>0</v>
      </c>
      <c r="D361" s="2125">
        <f t="shared" si="72"/>
        <v>0.03</v>
      </c>
      <c r="E361" s="2104">
        <f t="shared" si="78"/>
        <v>0</v>
      </c>
      <c r="F361" s="2135"/>
      <c r="G361" s="2127">
        <f t="shared" si="85"/>
        <v>3</v>
      </c>
      <c r="H361" s="2075">
        <v>345</v>
      </c>
      <c r="I361" s="2104">
        <f t="shared" si="79"/>
        <v>0</v>
      </c>
      <c r="J361" s="2125">
        <f t="shared" si="80"/>
        <v>3.5000000000000003E-2</v>
      </c>
      <c r="K361" s="2083"/>
      <c r="L361" s="2106"/>
      <c r="N361" s="2071">
        <f t="shared" si="81"/>
        <v>345</v>
      </c>
      <c r="O361" s="2130">
        <f>IF(D360=D361,O360+0.00001,ROUNDDOWN(MAX($O$16:$O360),0)+1)</f>
        <v>3.4500000000000082E-3</v>
      </c>
      <c r="P361" s="2131">
        <f t="shared" si="73"/>
        <v>0</v>
      </c>
      <c r="Q361" s="2131">
        <f t="shared" si="74"/>
        <v>0</v>
      </c>
      <c r="R361" s="2131">
        <f t="shared" si="75"/>
        <v>0</v>
      </c>
      <c r="S361" s="2130">
        <f>IF(J360=J361,S360+0.00001,ROUNDDOWN(MAX($S$16:$S360),0)+1)</f>
        <v>2.0022500000000147</v>
      </c>
      <c r="T361" s="2131">
        <f t="shared" si="76"/>
        <v>0</v>
      </c>
      <c r="U361" s="2131">
        <f t="shared" si="77"/>
        <v>0</v>
      </c>
      <c r="V361" s="2071">
        <f t="shared" si="82"/>
        <v>345</v>
      </c>
    </row>
    <row r="362" spans="1:22" hidden="1">
      <c r="A362" s="2124">
        <f t="shared" si="83"/>
        <v>1</v>
      </c>
      <c r="B362" s="2073">
        <v>346</v>
      </c>
      <c r="C362" s="2104">
        <f t="shared" si="84"/>
        <v>0</v>
      </c>
      <c r="D362" s="2125">
        <f t="shared" si="72"/>
        <v>0.03</v>
      </c>
      <c r="E362" s="2104">
        <f t="shared" si="78"/>
        <v>0</v>
      </c>
      <c r="F362" s="2135"/>
      <c r="G362" s="2127">
        <f t="shared" si="85"/>
        <v>3</v>
      </c>
      <c r="H362" s="2075">
        <v>346</v>
      </c>
      <c r="I362" s="2104">
        <f t="shared" si="79"/>
        <v>0</v>
      </c>
      <c r="J362" s="2125">
        <f t="shared" si="80"/>
        <v>3.5000000000000003E-2</v>
      </c>
      <c r="K362" s="2083"/>
      <c r="L362" s="2106"/>
      <c r="N362" s="2071">
        <f t="shared" si="81"/>
        <v>346</v>
      </c>
      <c r="O362" s="2130">
        <f>IF(D361=D362,O361+0.00001,ROUNDDOWN(MAX($O$16:$O361),0)+1)</f>
        <v>3.4600000000000082E-3</v>
      </c>
      <c r="P362" s="2131">
        <f t="shared" si="73"/>
        <v>0</v>
      </c>
      <c r="Q362" s="2131">
        <f t="shared" si="74"/>
        <v>0</v>
      </c>
      <c r="R362" s="2131">
        <f t="shared" si="75"/>
        <v>0</v>
      </c>
      <c r="S362" s="2130">
        <f>IF(J361=J362,S361+0.00001,ROUNDDOWN(MAX($S$16:$S361),0)+1)</f>
        <v>2.0022600000000148</v>
      </c>
      <c r="T362" s="2131">
        <f t="shared" si="76"/>
        <v>0</v>
      </c>
      <c r="U362" s="2131">
        <f t="shared" si="77"/>
        <v>0</v>
      </c>
      <c r="V362" s="2071">
        <f t="shared" si="82"/>
        <v>346</v>
      </c>
    </row>
    <row r="363" spans="1:22" hidden="1">
      <c r="A363" s="2124">
        <f t="shared" si="83"/>
        <v>1</v>
      </c>
      <c r="B363" s="2073">
        <v>347</v>
      </c>
      <c r="C363" s="2104">
        <f t="shared" si="84"/>
        <v>0</v>
      </c>
      <c r="D363" s="2125">
        <f t="shared" si="72"/>
        <v>0.03</v>
      </c>
      <c r="E363" s="2104">
        <f t="shared" si="78"/>
        <v>0</v>
      </c>
      <c r="F363" s="2135"/>
      <c r="G363" s="2127">
        <f t="shared" si="85"/>
        <v>3</v>
      </c>
      <c r="H363" s="2075">
        <v>347</v>
      </c>
      <c r="I363" s="2104">
        <f t="shared" si="79"/>
        <v>0</v>
      </c>
      <c r="J363" s="2125">
        <f t="shared" si="80"/>
        <v>3.5000000000000003E-2</v>
      </c>
      <c r="K363" s="2083"/>
      <c r="L363" s="2106"/>
      <c r="N363" s="2071">
        <f t="shared" si="81"/>
        <v>347</v>
      </c>
      <c r="O363" s="2130">
        <f>IF(D362=D363,O362+0.00001,ROUNDDOWN(MAX($O$16:$O362),0)+1)</f>
        <v>3.4700000000000082E-3</v>
      </c>
      <c r="P363" s="2131">
        <f t="shared" si="73"/>
        <v>0</v>
      </c>
      <c r="Q363" s="2131">
        <f t="shared" si="74"/>
        <v>0</v>
      </c>
      <c r="R363" s="2131">
        <f t="shared" si="75"/>
        <v>0</v>
      </c>
      <c r="S363" s="2130">
        <f>IF(J362=J363,S362+0.00001,ROUNDDOWN(MAX($S$16:$S362),0)+1)</f>
        <v>2.0022700000000149</v>
      </c>
      <c r="T363" s="2131">
        <f t="shared" si="76"/>
        <v>0</v>
      </c>
      <c r="U363" s="2131">
        <f t="shared" si="77"/>
        <v>0</v>
      </c>
      <c r="V363" s="2071">
        <f t="shared" si="82"/>
        <v>347</v>
      </c>
    </row>
    <row r="364" spans="1:22" hidden="1">
      <c r="A364" s="2124">
        <f t="shared" si="83"/>
        <v>1</v>
      </c>
      <c r="B364" s="2073">
        <v>348</v>
      </c>
      <c r="C364" s="2104">
        <f t="shared" si="84"/>
        <v>0</v>
      </c>
      <c r="D364" s="2125">
        <f t="shared" si="72"/>
        <v>0.03</v>
      </c>
      <c r="E364" s="2104">
        <f t="shared" si="78"/>
        <v>0</v>
      </c>
      <c r="F364" s="2135"/>
      <c r="G364" s="2127">
        <f t="shared" si="85"/>
        <v>3</v>
      </c>
      <c r="H364" s="2075">
        <v>348</v>
      </c>
      <c r="I364" s="2104">
        <f t="shared" si="79"/>
        <v>0</v>
      </c>
      <c r="J364" s="2125">
        <f t="shared" si="80"/>
        <v>3.5000000000000003E-2</v>
      </c>
      <c r="K364" s="2083"/>
      <c r="L364" s="2106"/>
      <c r="N364" s="2071">
        <f t="shared" si="81"/>
        <v>348</v>
      </c>
      <c r="O364" s="2130">
        <f>IF(D363=D364,O363+0.00001,ROUNDDOWN(MAX($O$16:$O363),0)+1)</f>
        <v>3.4800000000000083E-3</v>
      </c>
      <c r="P364" s="2131">
        <f t="shared" si="73"/>
        <v>0</v>
      </c>
      <c r="Q364" s="2131">
        <f t="shared" si="74"/>
        <v>0</v>
      </c>
      <c r="R364" s="2131">
        <f t="shared" si="75"/>
        <v>0</v>
      </c>
      <c r="S364" s="2130">
        <f>IF(J363=J364,S363+0.00001,ROUNDDOWN(MAX($S$16:$S363),0)+1)</f>
        <v>2.0022800000000149</v>
      </c>
      <c r="T364" s="2131">
        <f t="shared" si="76"/>
        <v>0</v>
      </c>
      <c r="U364" s="2131">
        <f t="shared" si="77"/>
        <v>0</v>
      </c>
      <c r="V364" s="2071">
        <f t="shared" si="82"/>
        <v>348</v>
      </c>
    </row>
    <row r="365" spans="1:22" hidden="1">
      <c r="A365" s="2124">
        <f t="shared" si="83"/>
        <v>1</v>
      </c>
      <c r="B365" s="2073">
        <v>349</v>
      </c>
      <c r="C365" s="2104">
        <f t="shared" si="84"/>
        <v>0</v>
      </c>
      <c r="D365" s="2125">
        <f t="shared" si="72"/>
        <v>0.03</v>
      </c>
      <c r="E365" s="2104">
        <f t="shared" si="78"/>
        <v>0</v>
      </c>
      <c r="F365" s="2135"/>
      <c r="G365" s="2127">
        <f t="shared" si="85"/>
        <v>3</v>
      </c>
      <c r="H365" s="2075">
        <v>349</v>
      </c>
      <c r="I365" s="2104">
        <f t="shared" si="79"/>
        <v>0</v>
      </c>
      <c r="J365" s="2125">
        <f t="shared" si="80"/>
        <v>3.5000000000000003E-2</v>
      </c>
      <c r="K365" s="2083"/>
      <c r="L365" s="2106"/>
      <c r="N365" s="2071">
        <f t="shared" si="81"/>
        <v>349</v>
      </c>
      <c r="O365" s="2130">
        <f>IF(D364=D365,O364+0.00001,ROUNDDOWN(MAX($O$16:$O364),0)+1)</f>
        <v>3.4900000000000083E-3</v>
      </c>
      <c r="P365" s="2131">
        <f t="shared" si="73"/>
        <v>0</v>
      </c>
      <c r="Q365" s="2131">
        <f t="shared" si="74"/>
        <v>0</v>
      </c>
      <c r="R365" s="2131">
        <f t="shared" si="75"/>
        <v>0</v>
      </c>
      <c r="S365" s="2130">
        <f>IF(J364=J365,S364+0.00001,ROUNDDOWN(MAX($S$16:$S364),0)+1)</f>
        <v>2.002290000000015</v>
      </c>
      <c r="T365" s="2131">
        <f t="shared" si="76"/>
        <v>0</v>
      </c>
      <c r="U365" s="2131">
        <f t="shared" si="77"/>
        <v>0</v>
      </c>
      <c r="V365" s="2071">
        <f t="shared" si="82"/>
        <v>349</v>
      </c>
    </row>
    <row r="366" spans="1:22" hidden="1">
      <c r="A366" s="2124">
        <f t="shared" si="83"/>
        <v>1</v>
      </c>
      <c r="B366" s="2073">
        <v>350</v>
      </c>
      <c r="C366" s="2104">
        <f t="shared" si="84"/>
        <v>0</v>
      </c>
      <c r="D366" s="2125">
        <f t="shared" si="72"/>
        <v>0.03</v>
      </c>
      <c r="E366" s="2104">
        <f t="shared" si="78"/>
        <v>0</v>
      </c>
      <c r="F366" s="2135"/>
      <c r="G366" s="2127">
        <f t="shared" si="85"/>
        <v>3</v>
      </c>
      <c r="H366" s="2075">
        <v>350</v>
      </c>
      <c r="I366" s="2104">
        <f t="shared" si="79"/>
        <v>0</v>
      </c>
      <c r="J366" s="2125">
        <f t="shared" si="80"/>
        <v>3.5000000000000003E-2</v>
      </c>
      <c r="K366" s="2083"/>
      <c r="L366" s="2106"/>
      <c r="N366" s="2071">
        <f t="shared" si="81"/>
        <v>350</v>
      </c>
      <c r="O366" s="2130">
        <f>IF(D365=D366,O365+0.00001,ROUNDDOWN(MAX($O$16:$O365),0)+1)</f>
        <v>3.5000000000000083E-3</v>
      </c>
      <c r="P366" s="2131">
        <f t="shared" si="73"/>
        <v>0</v>
      </c>
      <c r="Q366" s="2131">
        <f t="shared" si="74"/>
        <v>0</v>
      </c>
      <c r="R366" s="2131">
        <f t="shared" si="75"/>
        <v>0</v>
      </c>
      <c r="S366" s="2130">
        <f>IF(J365=J366,S365+0.00001,ROUNDDOWN(MAX($S$16:$S365),0)+1)</f>
        <v>2.0023000000000151</v>
      </c>
      <c r="T366" s="2131">
        <f t="shared" si="76"/>
        <v>0</v>
      </c>
      <c r="U366" s="2131">
        <f t="shared" si="77"/>
        <v>0</v>
      </c>
      <c r="V366" s="2071">
        <f t="shared" si="82"/>
        <v>350</v>
      </c>
    </row>
    <row r="367" spans="1:22" hidden="1">
      <c r="A367" s="2124">
        <f t="shared" si="83"/>
        <v>1</v>
      </c>
      <c r="B367" s="2073">
        <v>351</v>
      </c>
      <c r="C367" s="2104">
        <f t="shared" si="84"/>
        <v>0</v>
      </c>
      <c r="D367" s="2125">
        <f t="shared" si="72"/>
        <v>0.03</v>
      </c>
      <c r="E367" s="2104">
        <f t="shared" si="78"/>
        <v>0</v>
      </c>
      <c r="F367" s="2135"/>
      <c r="G367" s="2127">
        <f t="shared" si="85"/>
        <v>3</v>
      </c>
      <c r="H367" s="2075">
        <v>351</v>
      </c>
      <c r="I367" s="2104">
        <f t="shared" si="79"/>
        <v>0</v>
      </c>
      <c r="J367" s="2125">
        <f t="shared" si="80"/>
        <v>3.5000000000000003E-2</v>
      </c>
      <c r="K367" s="2083"/>
      <c r="L367" s="2106"/>
      <c r="N367" s="2071">
        <f t="shared" si="81"/>
        <v>351</v>
      </c>
      <c r="O367" s="2130">
        <f>IF(D366=D367,O366+0.00001,ROUNDDOWN(MAX($O$16:$O366),0)+1)</f>
        <v>3.5100000000000083E-3</v>
      </c>
      <c r="P367" s="2131">
        <f t="shared" si="73"/>
        <v>0</v>
      </c>
      <c r="Q367" s="2131">
        <f t="shared" si="74"/>
        <v>0</v>
      </c>
      <c r="R367" s="2131">
        <f t="shared" si="75"/>
        <v>0</v>
      </c>
      <c r="S367" s="2130">
        <f>IF(J366=J367,S366+0.00001,ROUNDDOWN(MAX($S$16:$S366),0)+1)</f>
        <v>2.0023100000000151</v>
      </c>
      <c r="T367" s="2131">
        <f t="shared" si="76"/>
        <v>0</v>
      </c>
      <c r="U367" s="2131">
        <f t="shared" si="77"/>
        <v>0</v>
      </c>
      <c r="V367" s="2071">
        <f t="shared" si="82"/>
        <v>351</v>
      </c>
    </row>
    <row r="368" spans="1:22" hidden="1">
      <c r="A368" s="2124">
        <f t="shared" si="83"/>
        <v>1</v>
      </c>
      <c r="B368" s="2073">
        <v>352</v>
      </c>
      <c r="C368" s="2104">
        <f t="shared" si="84"/>
        <v>0</v>
      </c>
      <c r="D368" s="2125">
        <f t="shared" si="72"/>
        <v>0.03</v>
      </c>
      <c r="E368" s="2104">
        <f t="shared" si="78"/>
        <v>0</v>
      </c>
      <c r="F368" s="2135"/>
      <c r="G368" s="2127">
        <f t="shared" si="85"/>
        <v>3</v>
      </c>
      <c r="H368" s="2075">
        <v>352</v>
      </c>
      <c r="I368" s="2104">
        <f t="shared" si="79"/>
        <v>0</v>
      </c>
      <c r="J368" s="2125">
        <f t="shared" si="80"/>
        <v>3.5000000000000003E-2</v>
      </c>
      <c r="K368" s="2083"/>
      <c r="L368" s="2106"/>
      <c r="N368" s="2071">
        <f t="shared" si="81"/>
        <v>352</v>
      </c>
      <c r="O368" s="2130">
        <f>IF(D367=D368,O367+0.00001,ROUNDDOWN(MAX($O$16:$O367),0)+1)</f>
        <v>3.5200000000000084E-3</v>
      </c>
      <c r="P368" s="2131">
        <f t="shared" si="73"/>
        <v>0</v>
      </c>
      <c r="Q368" s="2131">
        <f t="shared" si="74"/>
        <v>0</v>
      </c>
      <c r="R368" s="2131">
        <f t="shared" si="75"/>
        <v>0</v>
      </c>
      <c r="S368" s="2130">
        <f>IF(J367=J368,S367+0.00001,ROUNDDOWN(MAX($S$16:$S367),0)+1)</f>
        <v>2.0023200000000152</v>
      </c>
      <c r="T368" s="2131">
        <f t="shared" si="76"/>
        <v>0</v>
      </c>
      <c r="U368" s="2131">
        <f t="shared" si="77"/>
        <v>0</v>
      </c>
      <c r="V368" s="2071">
        <f t="shared" si="82"/>
        <v>352</v>
      </c>
    </row>
    <row r="369" spans="1:22" hidden="1">
      <c r="A369" s="2124">
        <f t="shared" si="83"/>
        <v>1</v>
      </c>
      <c r="B369" s="2073">
        <v>353</v>
      </c>
      <c r="C369" s="2104">
        <f t="shared" si="84"/>
        <v>0</v>
      </c>
      <c r="D369" s="2125">
        <f t="shared" si="72"/>
        <v>0.03</v>
      </c>
      <c r="E369" s="2104">
        <f t="shared" si="78"/>
        <v>0</v>
      </c>
      <c r="F369" s="2135"/>
      <c r="G369" s="2127">
        <f t="shared" si="85"/>
        <v>3</v>
      </c>
      <c r="H369" s="2075">
        <v>353</v>
      </c>
      <c r="I369" s="2104">
        <f t="shared" si="79"/>
        <v>0</v>
      </c>
      <c r="J369" s="2125">
        <f t="shared" si="80"/>
        <v>3.5000000000000003E-2</v>
      </c>
      <c r="K369" s="2083"/>
      <c r="L369" s="2106"/>
      <c r="N369" s="2071">
        <f t="shared" si="81"/>
        <v>353</v>
      </c>
      <c r="O369" s="2130">
        <f>IF(D368=D369,O368+0.00001,ROUNDDOWN(MAX($O$16:$O368),0)+1)</f>
        <v>3.5300000000000084E-3</v>
      </c>
      <c r="P369" s="2131">
        <f t="shared" si="73"/>
        <v>0</v>
      </c>
      <c r="Q369" s="2131">
        <f t="shared" si="74"/>
        <v>0</v>
      </c>
      <c r="R369" s="2131">
        <f t="shared" si="75"/>
        <v>0</v>
      </c>
      <c r="S369" s="2130">
        <f>IF(J368=J369,S368+0.00001,ROUNDDOWN(MAX($S$16:$S368),0)+1)</f>
        <v>2.0023300000000153</v>
      </c>
      <c r="T369" s="2131">
        <f t="shared" si="76"/>
        <v>0</v>
      </c>
      <c r="U369" s="2131">
        <f t="shared" si="77"/>
        <v>0</v>
      </c>
      <c r="V369" s="2071">
        <f t="shared" si="82"/>
        <v>353</v>
      </c>
    </row>
    <row r="370" spans="1:22" hidden="1">
      <c r="A370" s="2124">
        <f t="shared" si="83"/>
        <v>1</v>
      </c>
      <c r="B370" s="2073">
        <v>354</v>
      </c>
      <c r="C370" s="2104">
        <f t="shared" si="84"/>
        <v>0</v>
      </c>
      <c r="D370" s="2125">
        <f t="shared" si="72"/>
        <v>0.03</v>
      </c>
      <c r="E370" s="2104">
        <f t="shared" si="78"/>
        <v>0</v>
      </c>
      <c r="F370" s="2135"/>
      <c r="G370" s="2127">
        <f t="shared" si="85"/>
        <v>3</v>
      </c>
      <c r="H370" s="2075">
        <v>354</v>
      </c>
      <c r="I370" s="2104">
        <f t="shared" si="79"/>
        <v>0</v>
      </c>
      <c r="J370" s="2125">
        <f t="shared" si="80"/>
        <v>3.5000000000000003E-2</v>
      </c>
      <c r="K370" s="2083"/>
      <c r="L370" s="2106"/>
      <c r="N370" s="2071">
        <f t="shared" si="81"/>
        <v>354</v>
      </c>
      <c r="O370" s="2130">
        <f>IF(D369=D370,O369+0.00001,ROUNDDOWN(MAX($O$16:$O369),0)+1)</f>
        <v>3.5400000000000084E-3</v>
      </c>
      <c r="P370" s="2131">
        <f t="shared" si="73"/>
        <v>0</v>
      </c>
      <c r="Q370" s="2131">
        <f t="shared" si="74"/>
        <v>0</v>
      </c>
      <c r="R370" s="2131">
        <f t="shared" si="75"/>
        <v>0</v>
      </c>
      <c r="S370" s="2130">
        <f>IF(J369=J370,S369+0.00001,ROUNDDOWN(MAX($S$16:$S369),0)+1)</f>
        <v>2.0023400000000153</v>
      </c>
      <c r="T370" s="2131">
        <f t="shared" si="76"/>
        <v>0</v>
      </c>
      <c r="U370" s="2131">
        <f t="shared" si="77"/>
        <v>0</v>
      </c>
      <c r="V370" s="2071">
        <f t="shared" si="82"/>
        <v>354</v>
      </c>
    </row>
    <row r="371" spans="1:22" hidden="1">
      <c r="A371" s="2124">
        <f t="shared" si="83"/>
        <v>1</v>
      </c>
      <c r="B371" s="2073">
        <v>355</v>
      </c>
      <c r="C371" s="2104">
        <f t="shared" si="84"/>
        <v>0</v>
      </c>
      <c r="D371" s="2125">
        <f t="shared" si="72"/>
        <v>0.03</v>
      </c>
      <c r="E371" s="2104">
        <f t="shared" si="78"/>
        <v>0</v>
      </c>
      <c r="F371" s="2135"/>
      <c r="G371" s="2127">
        <f t="shared" si="85"/>
        <v>3</v>
      </c>
      <c r="H371" s="2075">
        <v>355</v>
      </c>
      <c r="I371" s="2104">
        <f t="shared" si="79"/>
        <v>0</v>
      </c>
      <c r="J371" s="2125">
        <f t="shared" si="80"/>
        <v>3.5000000000000003E-2</v>
      </c>
      <c r="K371" s="2083"/>
      <c r="L371" s="2106"/>
      <c r="N371" s="2071">
        <f t="shared" si="81"/>
        <v>355</v>
      </c>
      <c r="O371" s="2130">
        <f>IF(D370=D371,O370+0.00001,ROUNDDOWN(MAX($O$16:$O370),0)+1)</f>
        <v>3.5500000000000084E-3</v>
      </c>
      <c r="P371" s="2131">
        <f t="shared" si="73"/>
        <v>0</v>
      </c>
      <c r="Q371" s="2131">
        <f t="shared" si="74"/>
        <v>0</v>
      </c>
      <c r="R371" s="2131">
        <f t="shared" si="75"/>
        <v>0</v>
      </c>
      <c r="S371" s="2130">
        <f>IF(J370=J371,S370+0.00001,ROUNDDOWN(MAX($S$16:$S370),0)+1)</f>
        <v>2.0023500000000154</v>
      </c>
      <c r="T371" s="2131">
        <f t="shared" si="76"/>
        <v>0</v>
      </c>
      <c r="U371" s="2131">
        <f t="shared" si="77"/>
        <v>0</v>
      </c>
      <c r="V371" s="2071">
        <f t="shared" si="82"/>
        <v>355</v>
      </c>
    </row>
    <row r="372" spans="1:22" hidden="1">
      <c r="A372" s="2124">
        <f t="shared" si="83"/>
        <v>1</v>
      </c>
      <c r="B372" s="2073">
        <v>356</v>
      </c>
      <c r="C372" s="2104">
        <f t="shared" si="84"/>
        <v>0</v>
      </c>
      <c r="D372" s="2125">
        <f t="shared" si="72"/>
        <v>0.03</v>
      </c>
      <c r="E372" s="2104">
        <f t="shared" si="78"/>
        <v>0</v>
      </c>
      <c r="F372" s="2135"/>
      <c r="G372" s="2127">
        <f t="shared" si="85"/>
        <v>3</v>
      </c>
      <c r="H372" s="2075">
        <v>356</v>
      </c>
      <c r="I372" s="2104">
        <f t="shared" si="79"/>
        <v>0</v>
      </c>
      <c r="J372" s="2125">
        <f t="shared" si="80"/>
        <v>3.5000000000000003E-2</v>
      </c>
      <c r="K372" s="2083"/>
      <c r="L372" s="2106"/>
      <c r="N372" s="2071">
        <f t="shared" si="81"/>
        <v>356</v>
      </c>
      <c r="O372" s="2130">
        <f>IF(D371=D372,O371+0.00001,ROUNDDOWN(MAX($O$16:$O371),0)+1)</f>
        <v>3.5600000000000085E-3</v>
      </c>
      <c r="P372" s="2131">
        <f t="shared" si="73"/>
        <v>0</v>
      </c>
      <c r="Q372" s="2131">
        <f t="shared" si="74"/>
        <v>0</v>
      </c>
      <c r="R372" s="2131">
        <f t="shared" si="75"/>
        <v>0</v>
      </c>
      <c r="S372" s="2130">
        <f>IF(J371=J372,S371+0.00001,ROUNDDOWN(MAX($S$16:$S371),0)+1)</f>
        <v>2.0023600000000155</v>
      </c>
      <c r="T372" s="2131">
        <f t="shared" si="76"/>
        <v>0</v>
      </c>
      <c r="U372" s="2131">
        <f t="shared" si="77"/>
        <v>0</v>
      </c>
      <c r="V372" s="2071">
        <f t="shared" si="82"/>
        <v>356</v>
      </c>
    </row>
    <row r="373" spans="1:22" hidden="1">
      <c r="A373" s="2124">
        <f t="shared" si="83"/>
        <v>1</v>
      </c>
      <c r="B373" s="2073">
        <v>357</v>
      </c>
      <c r="C373" s="2104">
        <f t="shared" si="84"/>
        <v>0</v>
      </c>
      <c r="D373" s="2125">
        <f t="shared" si="72"/>
        <v>0.03</v>
      </c>
      <c r="E373" s="2104">
        <f t="shared" si="78"/>
        <v>0</v>
      </c>
      <c r="F373" s="2135"/>
      <c r="G373" s="2127">
        <f t="shared" si="85"/>
        <v>3</v>
      </c>
      <c r="H373" s="2075">
        <v>357</v>
      </c>
      <c r="I373" s="2104">
        <f t="shared" si="79"/>
        <v>0</v>
      </c>
      <c r="J373" s="2125">
        <f t="shared" si="80"/>
        <v>3.5000000000000003E-2</v>
      </c>
      <c r="K373" s="2083"/>
      <c r="L373" s="2106"/>
      <c r="N373" s="2071">
        <f t="shared" si="81"/>
        <v>357</v>
      </c>
      <c r="O373" s="2130">
        <f>IF(D372=D373,O372+0.00001,ROUNDDOWN(MAX($O$16:$O372),0)+1)</f>
        <v>3.5700000000000085E-3</v>
      </c>
      <c r="P373" s="2131">
        <f t="shared" si="73"/>
        <v>0</v>
      </c>
      <c r="Q373" s="2131">
        <f t="shared" si="74"/>
        <v>0</v>
      </c>
      <c r="R373" s="2131">
        <f t="shared" si="75"/>
        <v>0</v>
      </c>
      <c r="S373" s="2130">
        <f>IF(J372=J373,S372+0.00001,ROUNDDOWN(MAX($S$16:$S372),0)+1)</f>
        <v>2.0023700000000155</v>
      </c>
      <c r="T373" s="2131">
        <f t="shared" si="76"/>
        <v>0</v>
      </c>
      <c r="U373" s="2131">
        <f t="shared" si="77"/>
        <v>0</v>
      </c>
      <c r="V373" s="2071">
        <f t="shared" si="82"/>
        <v>357</v>
      </c>
    </row>
    <row r="374" spans="1:22" hidden="1">
      <c r="A374" s="2124">
        <f t="shared" si="83"/>
        <v>1</v>
      </c>
      <c r="B374" s="2073">
        <v>358</v>
      </c>
      <c r="C374" s="2104">
        <f t="shared" si="84"/>
        <v>0</v>
      </c>
      <c r="D374" s="2125">
        <f t="shared" si="72"/>
        <v>0.03</v>
      </c>
      <c r="E374" s="2104">
        <f t="shared" si="78"/>
        <v>0</v>
      </c>
      <c r="F374" s="2135"/>
      <c r="G374" s="2127">
        <f t="shared" si="85"/>
        <v>3</v>
      </c>
      <c r="H374" s="2075">
        <v>358</v>
      </c>
      <c r="I374" s="2104">
        <f t="shared" si="79"/>
        <v>0</v>
      </c>
      <c r="J374" s="2125">
        <f t="shared" si="80"/>
        <v>3.5000000000000003E-2</v>
      </c>
      <c r="K374" s="2083"/>
      <c r="L374" s="2106"/>
      <c r="N374" s="2071">
        <f t="shared" si="81"/>
        <v>358</v>
      </c>
      <c r="O374" s="2130">
        <f>IF(D373=D374,O373+0.00001,ROUNDDOWN(MAX($O$16:$O373),0)+1)</f>
        <v>3.5800000000000085E-3</v>
      </c>
      <c r="P374" s="2131">
        <f t="shared" si="73"/>
        <v>0</v>
      </c>
      <c r="Q374" s="2131">
        <f t="shared" si="74"/>
        <v>0</v>
      </c>
      <c r="R374" s="2131">
        <f t="shared" si="75"/>
        <v>0</v>
      </c>
      <c r="S374" s="2130">
        <f>IF(J373=J374,S373+0.00001,ROUNDDOWN(MAX($S$16:$S373),0)+1)</f>
        <v>2.0023800000000156</v>
      </c>
      <c r="T374" s="2131">
        <f t="shared" si="76"/>
        <v>0</v>
      </c>
      <c r="U374" s="2131">
        <f t="shared" si="77"/>
        <v>0</v>
      </c>
      <c r="V374" s="2071">
        <f t="shared" si="82"/>
        <v>358</v>
      </c>
    </row>
    <row r="375" spans="1:22" hidden="1">
      <c r="A375" s="2124">
        <f t="shared" si="83"/>
        <v>1</v>
      </c>
      <c r="B375" s="2073">
        <v>359</v>
      </c>
      <c r="C375" s="2104">
        <f t="shared" si="84"/>
        <v>0</v>
      </c>
      <c r="D375" s="2125">
        <f t="shared" si="72"/>
        <v>0.03</v>
      </c>
      <c r="E375" s="2104">
        <f t="shared" si="78"/>
        <v>0</v>
      </c>
      <c r="F375" s="2135"/>
      <c r="G375" s="2127">
        <f t="shared" si="85"/>
        <v>3</v>
      </c>
      <c r="H375" s="2075">
        <v>359</v>
      </c>
      <c r="I375" s="2104">
        <f t="shared" si="79"/>
        <v>0</v>
      </c>
      <c r="J375" s="2125">
        <f t="shared" si="80"/>
        <v>3.5000000000000003E-2</v>
      </c>
      <c r="K375" s="2083"/>
      <c r="L375" s="2106"/>
      <c r="N375" s="2071">
        <f t="shared" si="81"/>
        <v>359</v>
      </c>
      <c r="O375" s="2130">
        <f>IF(D374=D375,O374+0.00001,ROUNDDOWN(MAX($O$16:$O374),0)+1)</f>
        <v>3.5900000000000085E-3</v>
      </c>
      <c r="P375" s="2131">
        <f t="shared" si="73"/>
        <v>0</v>
      </c>
      <c r="Q375" s="2131">
        <f t="shared" si="74"/>
        <v>0</v>
      </c>
      <c r="R375" s="2131">
        <f t="shared" si="75"/>
        <v>0</v>
      </c>
      <c r="S375" s="2130">
        <f>IF(J374=J375,S374+0.00001,ROUNDDOWN(MAX($S$16:$S374),0)+1)</f>
        <v>2.0023900000000157</v>
      </c>
      <c r="T375" s="2131">
        <f t="shared" si="76"/>
        <v>0</v>
      </c>
      <c r="U375" s="2131">
        <f t="shared" si="77"/>
        <v>0</v>
      </c>
      <c r="V375" s="2071">
        <f t="shared" si="82"/>
        <v>359</v>
      </c>
    </row>
    <row r="376" spans="1:22" hidden="1">
      <c r="A376" s="2124">
        <f t="shared" si="83"/>
        <v>1</v>
      </c>
      <c r="B376" s="2073">
        <v>360</v>
      </c>
      <c r="C376" s="2104">
        <f t="shared" si="84"/>
        <v>0</v>
      </c>
      <c r="D376" s="2125">
        <f t="shared" si="72"/>
        <v>0.03</v>
      </c>
      <c r="E376" s="2104">
        <f t="shared" si="78"/>
        <v>0</v>
      </c>
      <c r="F376" s="2135"/>
      <c r="G376" s="2127">
        <f t="shared" si="85"/>
        <v>3</v>
      </c>
      <c r="H376" s="2075">
        <v>360</v>
      </c>
      <c r="I376" s="2104">
        <f t="shared" si="79"/>
        <v>0</v>
      </c>
      <c r="J376" s="2125">
        <f t="shared" si="80"/>
        <v>3.5000000000000003E-2</v>
      </c>
      <c r="K376" s="2083"/>
      <c r="L376" s="2106"/>
      <c r="N376" s="2071">
        <f t="shared" si="81"/>
        <v>360</v>
      </c>
      <c r="O376" s="2130">
        <f>IF(D375=D376,O375+0.00001,ROUNDDOWN(MAX($O$16:$O375),0)+1)</f>
        <v>3.6000000000000086E-3</v>
      </c>
      <c r="P376" s="2131">
        <f t="shared" si="73"/>
        <v>0</v>
      </c>
      <c r="Q376" s="2131">
        <f t="shared" si="74"/>
        <v>0</v>
      </c>
      <c r="R376" s="2131">
        <f t="shared" si="75"/>
        <v>0</v>
      </c>
      <c r="S376" s="2130">
        <f>IF(J375=J376,S375+0.00001,ROUNDDOWN(MAX($S$16:$S375),0)+1)</f>
        <v>2.0024000000000157</v>
      </c>
      <c r="T376" s="2131">
        <f t="shared" si="76"/>
        <v>0</v>
      </c>
      <c r="U376" s="2131">
        <f t="shared" si="77"/>
        <v>0</v>
      </c>
      <c r="V376" s="2071">
        <f t="shared" si="82"/>
        <v>360</v>
      </c>
    </row>
    <row r="377" spans="1:22" hidden="1">
      <c r="A377" s="2124">
        <f t="shared" si="83"/>
        <v>1</v>
      </c>
      <c r="B377" s="2073">
        <v>361</v>
      </c>
      <c r="C377" s="2104">
        <f t="shared" si="84"/>
        <v>0</v>
      </c>
      <c r="D377" s="2125">
        <f t="shared" si="72"/>
        <v>0.03</v>
      </c>
      <c r="E377" s="2104">
        <f t="shared" si="78"/>
        <v>0</v>
      </c>
      <c r="F377" s="2135"/>
      <c r="G377" s="2127">
        <f t="shared" si="85"/>
        <v>3</v>
      </c>
      <c r="H377" s="2075">
        <v>361</v>
      </c>
      <c r="I377" s="2104">
        <f t="shared" si="79"/>
        <v>0</v>
      </c>
      <c r="J377" s="2125">
        <f t="shared" si="80"/>
        <v>3.5000000000000003E-2</v>
      </c>
      <c r="K377" s="2083"/>
      <c r="L377" s="2106"/>
      <c r="N377" s="2071">
        <f t="shared" si="81"/>
        <v>361</v>
      </c>
      <c r="O377" s="2130">
        <f>IF(D376=D377,O376+0.00001,ROUNDDOWN(MAX($O$16:$O376),0)+1)</f>
        <v>3.6100000000000086E-3</v>
      </c>
      <c r="P377" s="2131">
        <f t="shared" si="73"/>
        <v>0</v>
      </c>
      <c r="Q377" s="2131">
        <f t="shared" si="74"/>
        <v>0</v>
      </c>
      <c r="R377" s="2131">
        <f t="shared" si="75"/>
        <v>0</v>
      </c>
      <c r="S377" s="2130">
        <f>IF(J376=J377,S376+0.00001,ROUNDDOWN(MAX($S$16:$S376),0)+1)</f>
        <v>2.0024100000000158</v>
      </c>
      <c r="T377" s="2131">
        <f t="shared" si="76"/>
        <v>0</v>
      </c>
      <c r="U377" s="2131">
        <f t="shared" si="77"/>
        <v>0</v>
      </c>
      <c r="V377" s="2071">
        <f t="shared" si="82"/>
        <v>361</v>
      </c>
    </row>
    <row r="378" spans="1:22" hidden="1">
      <c r="A378" s="2124">
        <f t="shared" si="83"/>
        <v>1</v>
      </c>
      <c r="B378" s="2073">
        <v>362</v>
      </c>
      <c r="C378" s="2104">
        <f t="shared" si="84"/>
        <v>0</v>
      </c>
      <c r="D378" s="2125">
        <f t="shared" si="72"/>
        <v>0.03</v>
      </c>
      <c r="E378" s="2104">
        <f t="shared" si="78"/>
        <v>0</v>
      </c>
      <c r="F378" s="2135"/>
      <c r="G378" s="2127">
        <f t="shared" si="85"/>
        <v>3</v>
      </c>
      <c r="H378" s="2075">
        <v>362</v>
      </c>
      <c r="I378" s="2104">
        <f t="shared" si="79"/>
        <v>0</v>
      </c>
      <c r="J378" s="2125">
        <f t="shared" si="80"/>
        <v>3.5000000000000003E-2</v>
      </c>
      <c r="K378" s="2083"/>
      <c r="L378" s="2106"/>
      <c r="N378" s="2071">
        <f t="shared" si="81"/>
        <v>362</v>
      </c>
      <c r="O378" s="2130">
        <f>IF(D377=D378,O377+0.00001,ROUNDDOWN(MAX($O$16:$O377),0)+1)</f>
        <v>3.6200000000000086E-3</v>
      </c>
      <c r="P378" s="2131">
        <f t="shared" si="73"/>
        <v>0</v>
      </c>
      <c r="Q378" s="2131">
        <f t="shared" si="74"/>
        <v>0</v>
      </c>
      <c r="R378" s="2131">
        <f t="shared" si="75"/>
        <v>0</v>
      </c>
      <c r="S378" s="2130">
        <f>IF(J377=J378,S377+0.00001,ROUNDDOWN(MAX($S$16:$S377),0)+1)</f>
        <v>2.0024200000000159</v>
      </c>
      <c r="T378" s="2131">
        <f t="shared" si="76"/>
        <v>0</v>
      </c>
      <c r="U378" s="2131">
        <f t="shared" si="77"/>
        <v>0</v>
      </c>
      <c r="V378" s="2071">
        <f t="shared" si="82"/>
        <v>362</v>
      </c>
    </row>
    <row r="379" spans="1:22" hidden="1">
      <c r="A379" s="2124">
        <f t="shared" si="83"/>
        <v>1</v>
      </c>
      <c r="B379" s="2073">
        <v>363</v>
      </c>
      <c r="C379" s="2104">
        <f t="shared" si="84"/>
        <v>0</v>
      </c>
      <c r="D379" s="2125">
        <f t="shared" si="72"/>
        <v>0.03</v>
      </c>
      <c r="E379" s="2104">
        <f t="shared" si="78"/>
        <v>0</v>
      </c>
      <c r="F379" s="2135"/>
      <c r="G379" s="2127">
        <f t="shared" si="85"/>
        <v>3</v>
      </c>
      <c r="H379" s="2075">
        <v>363</v>
      </c>
      <c r="I379" s="2104">
        <f t="shared" si="79"/>
        <v>0</v>
      </c>
      <c r="J379" s="2125">
        <f t="shared" si="80"/>
        <v>3.5000000000000003E-2</v>
      </c>
      <c r="K379" s="2083"/>
      <c r="L379" s="2106"/>
      <c r="N379" s="2071">
        <f t="shared" si="81"/>
        <v>363</v>
      </c>
      <c r="O379" s="2130">
        <f>IF(D378=D379,O378+0.00001,ROUNDDOWN(MAX($O$16:$O378),0)+1)</f>
        <v>3.6300000000000087E-3</v>
      </c>
      <c r="P379" s="2131">
        <f t="shared" si="73"/>
        <v>0</v>
      </c>
      <c r="Q379" s="2131">
        <f t="shared" si="74"/>
        <v>0</v>
      </c>
      <c r="R379" s="2131">
        <f t="shared" si="75"/>
        <v>0</v>
      </c>
      <c r="S379" s="2130">
        <f>IF(J378=J379,S378+0.00001,ROUNDDOWN(MAX($S$16:$S378),0)+1)</f>
        <v>2.0024300000000159</v>
      </c>
      <c r="T379" s="2131">
        <f t="shared" si="76"/>
        <v>0</v>
      </c>
      <c r="U379" s="2131">
        <f t="shared" si="77"/>
        <v>0</v>
      </c>
      <c r="V379" s="2071">
        <f t="shared" si="82"/>
        <v>363</v>
      </c>
    </row>
    <row r="380" spans="1:22" hidden="1">
      <c r="A380" s="2124">
        <f t="shared" si="83"/>
        <v>1</v>
      </c>
      <c r="B380" s="2073">
        <v>364</v>
      </c>
      <c r="C380" s="2104">
        <f t="shared" si="84"/>
        <v>0</v>
      </c>
      <c r="D380" s="2125">
        <f t="shared" si="72"/>
        <v>0.03</v>
      </c>
      <c r="E380" s="2104">
        <f t="shared" si="78"/>
        <v>0</v>
      </c>
      <c r="F380" s="2135"/>
      <c r="G380" s="2127">
        <f t="shared" si="85"/>
        <v>3</v>
      </c>
      <c r="H380" s="2075">
        <v>364</v>
      </c>
      <c r="I380" s="2104">
        <f t="shared" si="79"/>
        <v>0</v>
      </c>
      <c r="J380" s="2125">
        <f t="shared" si="80"/>
        <v>3.5000000000000003E-2</v>
      </c>
      <c r="K380" s="2083"/>
      <c r="L380" s="2106"/>
      <c r="N380" s="2071">
        <f t="shared" si="81"/>
        <v>364</v>
      </c>
      <c r="O380" s="2130">
        <f>IF(D379=D380,O379+0.00001,ROUNDDOWN(MAX($O$16:$O379),0)+1)</f>
        <v>3.6400000000000087E-3</v>
      </c>
      <c r="P380" s="2131">
        <f t="shared" si="73"/>
        <v>0</v>
      </c>
      <c r="Q380" s="2131">
        <f t="shared" si="74"/>
        <v>0</v>
      </c>
      <c r="R380" s="2131">
        <f t="shared" si="75"/>
        <v>0</v>
      </c>
      <c r="S380" s="2130">
        <f>IF(J379=J380,S379+0.00001,ROUNDDOWN(MAX($S$16:$S379),0)+1)</f>
        <v>2.002440000000016</v>
      </c>
      <c r="T380" s="2131">
        <f t="shared" si="76"/>
        <v>0</v>
      </c>
      <c r="U380" s="2131">
        <f t="shared" si="77"/>
        <v>0</v>
      </c>
      <c r="V380" s="2071">
        <f t="shared" si="82"/>
        <v>364</v>
      </c>
    </row>
    <row r="381" spans="1:22" hidden="1">
      <c r="A381" s="2124">
        <f t="shared" si="83"/>
        <v>1</v>
      </c>
      <c r="B381" s="2073">
        <v>365</v>
      </c>
      <c r="C381" s="2104">
        <f t="shared" si="84"/>
        <v>0</v>
      </c>
      <c r="D381" s="2125">
        <f t="shared" si="72"/>
        <v>0.03</v>
      </c>
      <c r="E381" s="2104">
        <f t="shared" si="78"/>
        <v>0</v>
      </c>
      <c r="F381" s="2135"/>
      <c r="G381" s="2127">
        <f t="shared" si="85"/>
        <v>3</v>
      </c>
      <c r="H381" s="2075">
        <v>365</v>
      </c>
      <c r="I381" s="2104">
        <f t="shared" si="79"/>
        <v>0</v>
      </c>
      <c r="J381" s="2125">
        <f t="shared" si="80"/>
        <v>3.5000000000000003E-2</v>
      </c>
      <c r="K381" s="2083"/>
      <c r="L381" s="2106"/>
      <c r="N381" s="2071">
        <f t="shared" si="81"/>
        <v>365</v>
      </c>
      <c r="O381" s="2130">
        <f>IF(D380=D381,O380+0.00001,ROUNDDOWN(MAX($O$16:$O380),0)+1)</f>
        <v>3.6500000000000087E-3</v>
      </c>
      <c r="P381" s="2131">
        <f t="shared" si="73"/>
        <v>0</v>
      </c>
      <c r="Q381" s="2131">
        <f t="shared" si="74"/>
        <v>0</v>
      </c>
      <c r="R381" s="2131">
        <f t="shared" si="75"/>
        <v>0</v>
      </c>
      <c r="S381" s="2130">
        <f>IF(J380=J381,S380+0.00001,ROUNDDOWN(MAX($S$16:$S380),0)+1)</f>
        <v>2.0024500000000161</v>
      </c>
      <c r="T381" s="2131">
        <f t="shared" si="76"/>
        <v>0</v>
      </c>
      <c r="U381" s="2131">
        <f t="shared" si="77"/>
        <v>0</v>
      </c>
      <c r="V381" s="2071">
        <f t="shared" si="82"/>
        <v>365</v>
      </c>
    </row>
    <row r="382" spans="1:22" hidden="1">
      <c r="A382" s="2124">
        <f t="shared" si="83"/>
        <v>1</v>
      </c>
      <c r="B382" s="2073">
        <v>366</v>
      </c>
      <c r="C382" s="2104">
        <f t="shared" si="84"/>
        <v>0</v>
      </c>
      <c r="D382" s="2125">
        <f t="shared" si="72"/>
        <v>0.03</v>
      </c>
      <c r="E382" s="2104">
        <f t="shared" si="78"/>
        <v>0</v>
      </c>
      <c r="F382" s="2135"/>
      <c r="G382" s="2127">
        <f t="shared" si="85"/>
        <v>3</v>
      </c>
      <c r="H382" s="2075">
        <v>366</v>
      </c>
      <c r="I382" s="2104">
        <f t="shared" si="79"/>
        <v>0</v>
      </c>
      <c r="J382" s="2125">
        <f t="shared" si="80"/>
        <v>3.5000000000000003E-2</v>
      </c>
      <c r="K382" s="2083"/>
      <c r="L382" s="2106"/>
      <c r="N382" s="2071">
        <f t="shared" si="81"/>
        <v>366</v>
      </c>
      <c r="O382" s="2130">
        <f>IF(D381=D382,O381+0.00001,ROUNDDOWN(MAX($O$16:$O381),0)+1)</f>
        <v>3.6600000000000087E-3</v>
      </c>
      <c r="P382" s="2131">
        <f t="shared" si="73"/>
        <v>0</v>
      </c>
      <c r="Q382" s="2131">
        <f t="shared" si="74"/>
        <v>0</v>
      </c>
      <c r="R382" s="2131">
        <f t="shared" si="75"/>
        <v>0</v>
      </c>
      <c r="S382" s="2130">
        <f>IF(J381=J382,S381+0.00001,ROUNDDOWN(MAX($S$16:$S381),0)+1)</f>
        <v>2.0024600000000161</v>
      </c>
      <c r="T382" s="2131">
        <f t="shared" si="76"/>
        <v>0</v>
      </c>
      <c r="U382" s="2131">
        <f t="shared" si="77"/>
        <v>0</v>
      </c>
      <c r="V382" s="2071">
        <f t="shared" si="82"/>
        <v>366</v>
      </c>
    </row>
    <row r="383" spans="1:22" hidden="1">
      <c r="A383" s="2124">
        <f t="shared" si="83"/>
        <v>1</v>
      </c>
      <c r="B383" s="2073">
        <v>367</v>
      </c>
      <c r="C383" s="2104">
        <f t="shared" si="84"/>
        <v>0</v>
      </c>
      <c r="D383" s="2125">
        <f t="shared" si="72"/>
        <v>0.03</v>
      </c>
      <c r="E383" s="2104">
        <f t="shared" si="78"/>
        <v>0</v>
      </c>
      <c r="F383" s="2135"/>
      <c r="G383" s="2127">
        <f t="shared" si="85"/>
        <v>3</v>
      </c>
      <c r="H383" s="2075">
        <v>367</v>
      </c>
      <c r="I383" s="2104">
        <f t="shared" si="79"/>
        <v>0</v>
      </c>
      <c r="J383" s="2125">
        <f t="shared" si="80"/>
        <v>3.5000000000000003E-2</v>
      </c>
      <c r="K383" s="2083"/>
      <c r="L383" s="2106"/>
      <c r="N383" s="2071">
        <f t="shared" si="81"/>
        <v>367</v>
      </c>
      <c r="O383" s="2130">
        <f>IF(D382=D383,O382+0.00001,ROUNDDOWN(MAX($O$16:$O382),0)+1)</f>
        <v>3.6700000000000088E-3</v>
      </c>
      <c r="P383" s="2131">
        <f t="shared" si="73"/>
        <v>0</v>
      </c>
      <c r="Q383" s="2131">
        <f t="shared" si="74"/>
        <v>0</v>
      </c>
      <c r="R383" s="2131">
        <f t="shared" si="75"/>
        <v>0</v>
      </c>
      <c r="S383" s="2130">
        <f>IF(J382=J383,S382+0.00001,ROUNDDOWN(MAX($S$16:$S382),0)+1)</f>
        <v>2.0024700000000162</v>
      </c>
      <c r="T383" s="2131">
        <f t="shared" si="76"/>
        <v>0</v>
      </c>
      <c r="U383" s="2131">
        <f t="shared" si="77"/>
        <v>0</v>
      </c>
      <c r="V383" s="2071">
        <f t="shared" si="82"/>
        <v>367</v>
      </c>
    </row>
    <row r="384" spans="1:22" hidden="1">
      <c r="A384" s="2124">
        <f t="shared" si="83"/>
        <v>1</v>
      </c>
      <c r="B384" s="2073">
        <v>368</v>
      </c>
      <c r="C384" s="2104">
        <f t="shared" si="84"/>
        <v>0</v>
      </c>
      <c r="D384" s="2125">
        <f t="shared" si="72"/>
        <v>0.03</v>
      </c>
      <c r="E384" s="2104">
        <f t="shared" si="78"/>
        <v>0</v>
      </c>
      <c r="F384" s="2135"/>
      <c r="G384" s="2127">
        <f t="shared" si="85"/>
        <v>3</v>
      </c>
      <c r="H384" s="2075">
        <v>368</v>
      </c>
      <c r="I384" s="2104">
        <f t="shared" si="79"/>
        <v>0</v>
      </c>
      <c r="J384" s="2125">
        <f t="shared" si="80"/>
        <v>3.5000000000000003E-2</v>
      </c>
      <c r="K384" s="2083"/>
      <c r="L384" s="2106"/>
      <c r="N384" s="2071">
        <f t="shared" si="81"/>
        <v>368</v>
      </c>
      <c r="O384" s="2130">
        <f>IF(D383=D384,O383+0.00001,ROUNDDOWN(MAX($O$16:$O383),0)+1)</f>
        <v>3.6800000000000088E-3</v>
      </c>
      <c r="P384" s="2131">
        <f t="shared" si="73"/>
        <v>0</v>
      </c>
      <c r="Q384" s="2131">
        <f t="shared" si="74"/>
        <v>0</v>
      </c>
      <c r="R384" s="2131">
        <f t="shared" si="75"/>
        <v>0</v>
      </c>
      <c r="S384" s="2130">
        <f>IF(J383=J384,S383+0.00001,ROUNDDOWN(MAX($S$16:$S383),0)+1)</f>
        <v>2.0024800000000162</v>
      </c>
      <c r="T384" s="2131">
        <f t="shared" si="76"/>
        <v>0</v>
      </c>
      <c r="U384" s="2131">
        <f t="shared" si="77"/>
        <v>0</v>
      </c>
      <c r="V384" s="2071">
        <f t="shared" si="82"/>
        <v>368</v>
      </c>
    </row>
    <row r="385" spans="1:22" hidden="1">
      <c r="A385" s="2124">
        <f t="shared" si="83"/>
        <v>1</v>
      </c>
      <c r="B385" s="2073">
        <v>369</v>
      </c>
      <c r="C385" s="2104">
        <f t="shared" si="84"/>
        <v>0</v>
      </c>
      <c r="D385" s="2125">
        <f t="shared" si="72"/>
        <v>0.03</v>
      </c>
      <c r="E385" s="2104">
        <f t="shared" si="78"/>
        <v>0</v>
      </c>
      <c r="F385" s="2135"/>
      <c r="G385" s="2127">
        <f t="shared" si="85"/>
        <v>3</v>
      </c>
      <c r="H385" s="2075">
        <v>369</v>
      </c>
      <c r="I385" s="2104">
        <f t="shared" si="79"/>
        <v>0</v>
      </c>
      <c r="J385" s="2125">
        <f t="shared" si="80"/>
        <v>3.5000000000000003E-2</v>
      </c>
      <c r="K385" s="2083"/>
      <c r="L385" s="2106"/>
      <c r="N385" s="2071">
        <f t="shared" si="81"/>
        <v>369</v>
      </c>
      <c r="O385" s="2130">
        <f>IF(D384=D385,O384+0.00001,ROUNDDOWN(MAX($O$16:$O384),0)+1)</f>
        <v>3.6900000000000088E-3</v>
      </c>
      <c r="P385" s="2131">
        <f t="shared" si="73"/>
        <v>0</v>
      </c>
      <c r="Q385" s="2131">
        <f t="shared" si="74"/>
        <v>0</v>
      </c>
      <c r="R385" s="2131">
        <f t="shared" si="75"/>
        <v>0</v>
      </c>
      <c r="S385" s="2130">
        <f>IF(J384=J385,S384+0.00001,ROUNDDOWN(MAX($S$16:$S384),0)+1)</f>
        <v>2.0024900000000163</v>
      </c>
      <c r="T385" s="2131">
        <f t="shared" si="76"/>
        <v>0</v>
      </c>
      <c r="U385" s="2131">
        <f t="shared" si="77"/>
        <v>0</v>
      </c>
      <c r="V385" s="2071">
        <f t="shared" si="82"/>
        <v>369</v>
      </c>
    </row>
    <row r="386" spans="1:22" hidden="1">
      <c r="A386" s="2124">
        <f t="shared" si="83"/>
        <v>1</v>
      </c>
      <c r="B386" s="2073">
        <v>370</v>
      </c>
      <c r="C386" s="2104">
        <f t="shared" si="84"/>
        <v>0</v>
      </c>
      <c r="D386" s="2125">
        <f t="shared" si="72"/>
        <v>0.03</v>
      </c>
      <c r="E386" s="2104">
        <f t="shared" si="78"/>
        <v>0</v>
      </c>
      <c r="F386" s="2135"/>
      <c r="G386" s="2127">
        <f t="shared" si="85"/>
        <v>3</v>
      </c>
      <c r="H386" s="2075">
        <v>370</v>
      </c>
      <c r="I386" s="2104">
        <f t="shared" si="79"/>
        <v>0</v>
      </c>
      <c r="J386" s="2125">
        <f t="shared" si="80"/>
        <v>3.5000000000000003E-2</v>
      </c>
      <c r="K386" s="2083"/>
      <c r="L386" s="2106"/>
      <c r="N386" s="2071">
        <f t="shared" si="81"/>
        <v>370</v>
      </c>
      <c r="O386" s="2130">
        <f>IF(D385=D386,O385+0.00001,ROUNDDOWN(MAX($O$16:$O385),0)+1)</f>
        <v>3.7000000000000088E-3</v>
      </c>
      <c r="P386" s="2131">
        <f t="shared" si="73"/>
        <v>0</v>
      </c>
      <c r="Q386" s="2131">
        <f t="shared" si="74"/>
        <v>0</v>
      </c>
      <c r="R386" s="2131">
        <f t="shared" si="75"/>
        <v>0</v>
      </c>
      <c r="S386" s="2130">
        <f>IF(J385=J386,S385+0.00001,ROUNDDOWN(MAX($S$16:$S385),0)+1)</f>
        <v>2.0025000000000164</v>
      </c>
      <c r="T386" s="2131">
        <f t="shared" si="76"/>
        <v>0</v>
      </c>
      <c r="U386" s="2131">
        <f t="shared" si="77"/>
        <v>0</v>
      </c>
      <c r="V386" s="2071">
        <f t="shared" si="82"/>
        <v>370</v>
      </c>
    </row>
    <row r="387" spans="1:22" hidden="1">
      <c r="A387" s="2124">
        <f t="shared" si="83"/>
        <v>1</v>
      </c>
      <c r="B387" s="2073">
        <v>371</v>
      </c>
      <c r="C387" s="2104">
        <f t="shared" si="84"/>
        <v>0</v>
      </c>
      <c r="D387" s="2125">
        <f t="shared" si="72"/>
        <v>0.03</v>
      </c>
      <c r="E387" s="2104">
        <f t="shared" si="78"/>
        <v>0</v>
      </c>
      <c r="F387" s="2135"/>
      <c r="G387" s="2127">
        <f t="shared" si="85"/>
        <v>3</v>
      </c>
      <c r="H387" s="2075">
        <v>371</v>
      </c>
      <c r="I387" s="2104">
        <f t="shared" si="79"/>
        <v>0</v>
      </c>
      <c r="J387" s="2125">
        <f t="shared" si="80"/>
        <v>3.5000000000000003E-2</v>
      </c>
      <c r="K387" s="2083"/>
      <c r="L387" s="2106"/>
      <c r="N387" s="2071">
        <f t="shared" si="81"/>
        <v>371</v>
      </c>
      <c r="O387" s="2130">
        <f>IF(D386=D387,O386+0.00001,ROUNDDOWN(MAX($O$16:$O386),0)+1)</f>
        <v>3.7100000000000089E-3</v>
      </c>
      <c r="P387" s="2131">
        <f t="shared" si="73"/>
        <v>0</v>
      </c>
      <c r="Q387" s="2131">
        <f t="shared" si="74"/>
        <v>0</v>
      </c>
      <c r="R387" s="2131">
        <f t="shared" si="75"/>
        <v>0</v>
      </c>
      <c r="S387" s="2130">
        <f>IF(J386=J387,S386+0.00001,ROUNDDOWN(MAX($S$16:$S386),0)+1)</f>
        <v>2.0025100000000164</v>
      </c>
      <c r="T387" s="2131">
        <f t="shared" si="76"/>
        <v>0</v>
      </c>
      <c r="U387" s="2131">
        <f t="shared" si="77"/>
        <v>0</v>
      </c>
      <c r="V387" s="2071">
        <f t="shared" si="82"/>
        <v>371</v>
      </c>
    </row>
    <row r="388" spans="1:22" hidden="1">
      <c r="A388" s="2124">
        <f t="shared" si="83"/>
        <v>1</v>
      </c>
      <c r="B388" s="2073">
        <v>372</v>
      </c>
      <c r="C388" s="2104">
        <f t="shared" si="84"/>
        <v>0</v>
      </c>
      <c r="D388" s="2125">
        <f t="shared" si="72"/>
        <v>0.03</v>
      </c>
      <c r="E388" s="2104">
        <f t="shared" si="78"/>
        <v>0</v>
      </c>
      <c r="F388" s="2135"/>
      <c r="G388" s="2127">
        <f t="shared" si="85"/>
        <v>3</v>
      </c>
      <c r="H388" s="2075">
        <v>372</v>
      </c>
      <c r="I388" s="2104">
        <f t="shared" si="79"/>
        <v>0</v>
      </c>
      <c r="J388" s="2125">
        <f t="shared" si="80"/>
        <v>3.5000000000000003E-2</v>
      </c>
      <c r="K388" s="2083"/>
      <c r="L388" s="2106"/>
      <c r="N388" s="2071">
        <f t="shared" si="81"/>
        <v>372</v>
      </c>
      <c r="O388" s="2130">
        <f>IF(D387=D388,O387+0.00001,ROUNDDOWN(MAX($O$16:$O387),0)+1)</f>
        <v>3.7200000000000089E-3</v>
      </c>
      <c r="P388" s="2131">
        <f t="shared" si="73"/>
        <v>0</v>
      </c>
      <c r="Q388" s="2131">
        <f t="shared" si="74"/>
        <v>0</v>
      </c>
      <c r="R388" s="2131">
        <f t="shared" si="75"/>
        <v>0</v>
      </c>
      <c r="S388" s="2130">
        <f>IF(J387=J388,S387+0.00001,ROUNDDOWN(MAX($S$16:$S387),0)+1)</f>
        <v>2.0025200000000165</v>
      </c>
      <c r="T388" s="2131">
        <f t="shared" si="76"/>
        <v>0</v>
      </c>
      <c r="U388" s="2131">
        <f t="shared" si="77"/>
        <v>0</v>
      </c>
      <c r="V388" s="2071">
        <f t="shared" si="82"/>
        <v>372</v>
      </c>
    </row>
    <row r="389" spans="1:22" hidden="1">
      <c r="A389" s="2124">
        <f t="shared" si="83"/>
        <v>1</v>
      </c>
      <c r="B389" s="2073">
        <v>373</v>
      </c>
      <c r="C389" s="2104">
        <f t="shared" si="84"/>
        <v>0</v>
      </c>
      <c r="D389" s="2125">
        <f t="shared" si="72"/>
        <v>0.03</v>
      </c>
      <c r="E389" s="2104">
        <f t="shared" si="78"/>
        <v>0</v>
      </c>
      <c r="F389" s="2135"/>
      <c r="G389" s="2127">
        <f t="shared" si="85"/>
        <v>3</v>
      </c>
      <c r="H389" s="2075">
        <v>373</v>
      </c>
      <c r="I389" s="2104">
        <f t="shared" si="79"/>
        <v>0</v>
      </c>
      <c r="J389" s="2125">
        <f t="shared" si="80"/>
        <v>3.5000000000000003E-2</v>
      </c>
      <c r="K389" s="2083"/>
      <c r="L389" s="2106"/>
      <c r="N389" s="2071">
        <f t="shared" si="81"/>
        <v>373</v>
      </c>
      <c r="O389" s="2130">
        <f>IF(D388=D389,O388+0.00001,ROUNDDOWN(MAX($O$16:$O388),0)+1)</f>
        <v>3.7300000000000089E-3</v>
      </c>
      <c r="P389" s="2131">
        <f t="shared" si="73"/>
        <v>0</v>
      </c>
      <c r="Q389" s="2131">
        <f t="shared" si="74"/>
        <v>0</v>
      </c>
      <c r="R389" s="2131">
        <f t="shared" si="75"/>
        <v>0</v>
      </c>
      <c r="S389" s="2130">
        <f>IF(J388=J389,S388+0.00001,ROUNDDOWN(MAX($S$16:$S388),0)+1)</f>
        <v>2.0025300000000166</v>
      </c>
      <c r="T389" s="2131">
        <f t="shared" si="76"/>
        <v>0</v>
      </c>
      <c r="U389" s="2131">
        <f t="shared" si="77"/>
        <v>0</v>
      </c>
      <c r="V389" s="2071">
        <f t="shared" si="82"/>
        <v>373</v>
      </c>
    </row>
    <row r="390" spans="1:22" hidden="1">
      <c r="A390" s="2124">
        <f t="shared" si="83"/>
        <v>1</v>
      </c>
      <c r="B390" s="2073">
        <v>374</v>
      </c>
      <c r="C390" s="2104">
        <f t="shared" si="84"/>
        <v>0</v>
      </c>
      <c r="D390" s="2125">
        <f t="shared" si="72"/>
        <v>0.03</v>
      </c>
      <c r="E390" s="2104">
        <f t="shared" si="78"/>
        <v>0</v>
      </c>
      <c r="F390" s="2135"/>
      <c r="G390" s="2127">
        <f t="shared" si="85"/>
        <v>3</v>
      </c>
      <c r="H390" s="2075">
        <v>374</v>
      </c>
      <c r="I390" s="2104">
        <f t="shared" si="79"/>
        <v>0</v>
      </c>
      <c r="J390" s="2125">
        <f t="shared" si="80"/>
        <v>3.5000000000000003E-2</v>
      </c>
      <c r="K390" s="2083"/>
      <c r="L390" s="2106"/>
      <c r="N390" s="2071">
        <f t="shared" si="81"/>
        <v>374</v>
      </c>
      <c r="O390" s="2130">
        <f>IF(D389=D390,O389+0.00001,ROUNDDOWN(MAX($O$16:$O389),0)+1)</f>
        <v>3.7400000000000089E-3</v>
      </c>
      <c r="P390" s="2131">
        <f t="shared" si="73"/>
        <v>0</v>
      </c>
      <c r="Q390" s="2131">
        <f t="shared" si="74"/>
        <v>0</v>
      </c>
      <c r="R390" s="2131">
        <f t="shared" si="75"/>
        <v>0</v>
      </c>
      <c r="S390" s="2130">
        <f>IF(J389=J390,S389+0.00001,ROUNDDOWN(MAX($S$16:$S389),0)+1)</f>
        <v>2.0025400000000166</v>
      </c>
      <c r="T390" s="2131">
        <f t="shared" si="76"/>
        <v>0</v>
      </c>
      <c r="U390" s="2131">
        <f t="shared" si="77"/>
        <v>0</v>
      </c>
      <c r="V390" s="2071">
        <f t="shared" si="82"/>
        <v>374</v>
      </c>
    </row>
    <row r="391" spans="1:22" hidden="1">
      <c r="A391" s="2124">
        <f t="shared" si="83"/>
        <v>1</v>
      </c>
      <c r="B391" s="2073">
        <v>375</v>
      </c>
      <c r="C391" s="2104">
        <f t="shared" si="84"/>
        <v>0</v>
      </c>
      <c r="D391" s="2125">
        <f t="shared" si="72"/>
        <v>0.03</v>
      </c>
      <c r="E391" s="2104">
        <f t="shared" si="78"/>
        <v>0</v>
      </c>
      <c r="F391" s="2135"/>
      <c r="G391" s="2127">
        <f t="shared" si="85"/>
        <v>3</v>
      </c>
      <c r="H391" s="2075">
        <v>375</v>
      </c>
      <c r="I391" s="2104">
        <f t="shared" si="79"/>
        <v>0</v>
      </c>
      <c r="J391" s="2125">
        <f t="shared" si="80"/>
        <v>3.5000000000000003E-2</v>
      </c>
      <c r="K391" s="2083"/>
      <c r="L391" s="2106"/>
      <c r="N391" s="2071">
        <f t="shared" si="81"/>
        <v>375</v>
      </c>
      <c r="O391" s="2130">
        <f>IF(D390=D391,O390+0.00001,ROUNDDOWN(MAX($O$16:$O390),0)+1)</f>
        <v>3.750000000000009E-3</v>
      </c>
      <c r="P391" s="2131">
        <f t="shared" si="73"/>
        <v>0</v>
      </c>
      <c r="Q391" s="2131">
        <f t="shared" si="74"/>
        <v>0</v>
      </c>
      <c r="R391" s="2131">
        <f t="shared" si="75"/>
        <v>0</v>
      </c>
      <c r="S391" s="2130">
        <f>IF(J390=J391,S390+0.00001,ROUNDDOWN(MAX($S$16:$S390),0)+1)</f>
        <v>2.0025500000000167</v>
      </c>
      <c r="T391" s="2131">
        <f t="shared" si="76"/>
        <v>0</v>
      </c>
      <c r="U391" s="2131">
        <f t="shared" si="77"/>
        <v>0</v>
      </c>
      <c r="V391" s="2071">
        <f t="shared" si="82"/>
        <v>375</v>
      </c>
    </row>
    <row r="392" spans="1:22" hidden="1">
      <c r="A392" s="2124">
        <f t="shared" si="83"/>
        <v>1</v>
      </c>
      <c r="B392" s="2073">
        <v>376</v>
      </c>
      <c r="C392" s="2104">
        <f t="shared" si="84"/>
        <v>0</v>
      </c>
      <c r="D392" s="2125">
        <f t="shared" si="72"/>
        <v>0.03</v>
      </c>
      <c r="E392" s="2104">
        <f t="shared" si="78"/>
        <v>0</v>
      </c>
      <c r="F392" s="2135"/>
      <c r="G392" s="2127">
        <f t="shared" si="85"/>
        <v>3</v>
      </c>
      <c r="H392" s="2075">
        <v>376</v>
      </c>
      <c r="I392" s="2104">
        <f t="shared" si="79"/>
        <v>0</v>
      </c>
      <c r="J392" s="2125">
        <f t="shared" si="80"/>
        <v>3.5000000000000003E-2</v>
      </c>
      <c r="K392" s="2083"/>
      <c r="L392" s="2106"/>
      <c r="N392" s="2071">
        <f t="shared" si="81"/>
        <v>376</v>
      </c>
      <c r="O392" s="2130">
        <f>IF(D391=D392,O391+0.00001,ROUNDDOWN(MAX($O$16:$O391),0)+1)</f>
        <v>3.760000000000009E-3</v>
      </c>
      <c r="P392" s="2131">
        <f t="shared" si="73"/>
        <v>0</v>
      </c>
      <c r="Q392" s="2131">
        <f t="shared" si="74"/>
        <v>0</v>
      </c>
      <c r="R392" s="2131">
        <f t="shared" si="75"/>
        <v>0</v>
      </c>
      <c r="S392" s="2130">
        <f>IF(J391=J392,S391+0.00001,ROUNDDOWN(MAX($S$16:$S391),0)+1)</f>
        <v>2.0025600000000168</v>
      </c>
      <c r="T392" s="2131">
        <f t="shared" si="76"/>
        <v>0</v>
      </c>
      <c r="U392" s="2131">
        <f t="shared" si="77"/>
        <v>0</v>
      </c>
      <c r="V392" s="2071">
        <f t="shared" si="82"/>
        <v>376</v>
      </c>
    </row>
    <row r="393" spans="1:22" hidden="1">
      <c r="A393" s="2124">
        <f t="shared" si="83"/>
        <v>1</v>
      </c>
      <c r="B393" s="2073">
        <v>377</v>
      </c>
      <c r="C393" s="2104">
        <f t="shared" si="84"/>
        <v>0</v>
      </c>
      <c r="D393" s="2125">
        <f t="shared" si="72"/>
        <v>0.03</v>
      </c>
      <c r="E393" s="2104">
        <f t="shared" si="78"/>
        <v>0</v>
      </c>
      <c r="F393" s="2135"/>
      <c r="G393" s="2127">
        <f t="shared" si="85"/>
        <v>3</v>
      </c>
      <c r="H393" s="2075">
        <v>377</v>
      </c>
      <c r="I393" s="2104">
        <f t="shared" si="79"/>
        <v>0</v>
      </c>
      <c r="J393" s="2125">
        <f t="shared" si="80"/>
        <v>3.5000000000000003E-2</v>
      </c>
      <c r="K393" s="2083"/>
      <c r="L393" s="2106"/>
      <c r="N393" s="2071">
        <f t="shared" si="81"/>
        <v>377</v>
      </c>
      <c r="O393" s="2130">
        <f>IF(D392=D393,O392+0.00001,ROUNDDOWN(MAX($O$16:$O392),0)+1)</f>
        <v>3.770000000000009E-3</v>
      </c>
      <c r="P393" s="2131">
        <f t="shared" si="73"/>
        <v>0</v>
      </c>
      <c r="Q393" s="2131">
        <f t="shared" si="74"/>
        <v>0</v>
      </c>
      <c r="R393" s="2131">
        <f t="shared" si="75"/>
        <v>0</v>
      </c>
      <c r="S393" s="2130">
        <f>IF(J392=J393,S392+0.00001,ROUNDDOWN(MAX($S$16:$S392),0)+1)</f>
        <v>2.0025700000000168</v>
      </c>
      <c r="T393" s="2131">
        <f t="shared" si="76"/>
        <v>0</v>
      </c>
      <c r="U393" s="2131">
        <f t="shared" si="77"/>
        <v>0</v>
      </c>
      <c r="V393" s="2071">
        <f t="shared" si="82"/>
        <v>377</v>
      </c>
    </row>
    <row r="394" spans="1:22" hidden="1">
      <c r="A394" s="2124">
        <f t="shared" si="83"/>
        <v>1</v>
      </c>
      <c r="B394" s="2073">
        <v>378</v>
      </c>
      <c r="C394" s="2104">
        <f t="shared" si="84"/>
        <v>0</v>
      </c>
      <c r="D394" s="2125">
        <f t="shared" si="72"/>
        <v>0.03</v>
      </c>
      <c r="E394" s="2104">
        <f t="shared" si="78"/>
        <v>0</v>
      </c>
      <c r="F394" s="2135"/>
      <c r="G394" s="2127">
        <f t="shared" si="85"/>
        <v>3</v>
      </c>
      <c r="H394" s="2075">
        <v>378</v>
      </c>
      <c r="I394" s="2104">
        <f t="shared" si="79"/>
        <v>0</v>
      </c>
      <c r="J394" s="2125">
        <f t="shared" si="80"/>
        <v>3.5000000000000003E-2</v>
      </c>
      <c r="K394" s="2083"/>
      <c r="L394" s="2106"/>
      <c r="N394" s="2071">
        <f t="shared" si="81"/>
        <v>378</v>
      </c>
      <c r="O394" s="2130">
        <f>IF(D393=D394,O393+0.00001,ROUNDDOWN(MAX($O$16:$O393),0)+1)</f>
        <v>3.780000000000009E-3</v>
      </c>
      <c r="P394" s="2131">
        <f t="shared" si="73"/>
        <v>0</v>
      </c>
      <c r="Q394" s="2131">
        <f t="shared" si="74"/>
        <v>0</v>
      </c>
      <c r="R394" s="2131">
        <f t="shared" si="75"/>
        <v>0</v>
      </c>
      <c r="S394" s="2130">
        <f>IF(J393=J394,S393+0.00001,ROUNDDOWN(MAX($S$16:$S393),0)+1)</f>
        <v>2.0025800000000169</v>
      </c>
      <c r="T394" s="2131">
        <f t="shared" si="76"/>
        <v>0</v>
      </c>
      <c r="U394" s="2131">
        <f t="shared" si="77"/>
        <v>0</v>
      </c>
      <c r="V394" s="2071">
        <f t="shared" si="82"/>
        <v>378</v>
      </c>
    </row>
    <row r="395" spans="1:22" hidden="1">
      <c r="A395" s="2124">
        <f t="shared" si="83"/>
        <v>1</v>
      </c>
      <c r="B395" s="2073">
        <v>379</v>
      </c>
      <c r="C395" s="2104">
        <f t="shared" si="84"/>
        <v>0</v>
      </c>
      <c r="D395" s="2125">
        <f t="shared" si="72"/>
        <v>0.03</v>
      </c>
      <c r="E395" s="2104">
        <f t="shared" si="78"/>
        <v>0</v>
      </c>
      <c r="F395" s="2135"/>
      <c r="G395" s="2127">
        <f t="shared" si="85"/>
        <v>3</v>
      </c>
      <c r="H395" s="2075">
        <v>379</v>
      </c>
      <c r="I395" s="2104">
        <f t="shared" si="79"/>
        <v>0</v>
      </c>
      <c r="J395" s="2125">
        <f t="shared" si="80"/>
        <v>3.5000000000000003E-2</v>
      </c>
      <c r="K395" s="2083"/>
      <c r="L395" s="2106"/>
      <c r="N395" s="2071">
        <f t="shared" si="81"/>
        <v>379</v>
      </c>
      <c r="O395" s="2130">
        <f>IF(D394=D395,O394+0.00001,ROUNDDOWN(MAX($O$16:$O394),0)+1)</f>
        <v>3.7900000000000091E-3</v>
      </c>
      <c r="P395" s="2131">
        <f t="shared" si="73"/>
        <v>0</v>
      </c>
      <c r="Q395" s="2131">
        <f t="shared" si="74"/>
        <v>0</v>
      </c>
      <c r="R395" s="2131">
        <f t="shared" si="75"/>
        <v>0</v>
      </c>
      <c r="S395" s="2130">
        <f>IF(J394=J395,S394+0.00001,ROUNDDOWN(MAX($S$16:$S394),0)+1)</f>
        <v>2.002590000000017</v>
      </c>
      <c r="T395" s="2131">
        <f t="shared" si="76"/>
        <v>0</v>
      </c>
      <c r="U395" s="2131">
        <f t="shared" si="77"/>
        <v>0</v>
      </c>
      <c r="V395" s="2071">
        <f t="shared" si="82"/>
        <v>379</v>
      </c>
    </row>
    <row r="396" spans="1:22" hidden="1">
      <c r="A396" s="2124">
        <f t="shared" si="83"/>
        <v>1</v>
      </c>
      <c r="B396" s="2073">
        <v>380</v>
      </c>
      <c r="C396" s="2104">
        <f t="shared" si="84"/>
        <v>0</v>
      </c>
      <c r="D396" s="2125">
        <f t="shared" si="72"/>
        <v>0.03</v>
      </c>
      <c r="E396" s="2104">
        <f t="shared" si="78"/>
        <v>0</v>
      </c>
      <c r="F396" s="2135"/>
      <c r="G396" s="2127">
        <f t="shared" si="85"/>
        <v>3</v>
      </c>
      <c r="H396" s="2075">
        <v>380</v>
      </c>
      <c r="I396" s="2104">
        <f t="shared" si="79"/>
        <v>0</v>
      </c>
      <c r="J396" s="2125">
        <f t="shared" si="80"/>
        <v>3.5000000000000003E-2</v>
      </c>
      <c r="K396" s="2083"/>
      <c r="L396" s="2106"/>
      <c r="N396" s="2071">
        <f t="shared" si="81"/>
        <v>380</v>
      </c>
      <c r="O396" s="2130">
        <f>IF(D395=D396,O395+0.00001,ROUNDDOWN(MAX($O$16:$O395),0)+1)</f>
        <v>3.8000000000000091E-3</v>
      </c>
      <c r="P396" s="2131">
        <f t="shared" si="73"/>
        <v>0</v>
      </c>
      <c r="Q396" s="2131">
        <f t="shared" si="74"/>
        <v>0</v>
      </c>
      <c r="R396" s="2131">
        <f t="shared" si="75"/>
        <v>0</v>
      </c>
      <c r="S396" s="2130">
        <f>IF(J395=J396,S395+0.00001,ROUNDDOWN(MAX($S$16:$S395),0)+1)</f>
        <v>2.002600000000017</v>
      </c>
      <c r="T396" s="2131">
        <f t="shared" si="76"/>
        <v>0</v>
      </c>
      <c r="U396" s="2131">
        <f t="shared" si="77"/>
        <v>0</v>
      </c>
      <c r="V396" s="2071">
        <f t="shared" si="82"/>
        <v>380</v>
      </c>
    </row>
    <row r="397" spans="1:22" hidden="1">
      <c r="A397" s="2124">
        <f t="shared" si="83"/>
        <v>1</v>
      </c>
      <c r="B397" s="2073">
        <v>381</v>
      </c>
      <c r="C397" s="2104">
        <f t="shared" si="84"/>
        <v>0</v>
      </c>
      <c r="D397" s="2125">
        <f t="shared" si="72"/>
        <v>0.03</v>
      </c>
      <c r="E397" s="2104">
        <f t="shared" si="78"/>
        <v>0</v>
      </c>
      <c r="F397" s="2135"/>
      <c r="G397" s="2127">
        <f t="shared" si="85"/>
        <v>3</v>
      </c>
      <c r="H397" s="2075">
        <v>381</v>
      </c>
      <c r="I397" s="2104">
        <f t="shared" si="79"/>
        <v>0</v>
      </c>
      <c r="J397" s="2125">
        <f t="shared" si="80"/>
        <v>3.5000000000000003E-2</v>
      </c>
      <c r="K397" s="2083"/>
      <c r="L397" s="2106"/>
      <c r="N397" s="2071">
        <f t="shared" si="81"/>
        <v>381</v>
      </c>
      <c r="O397" s="2130">
        <f>IF(D396=D397,O396+0.00001,ROUNDDOWN(MAX($O$16:$O396),0)+1)</f>
        <v>3.8100000000000091E-3</v>
      </c>
      <c r="P397" s="2131">
        <f t="shared" si="73"/>
        <v>0</v>
      </c>
      <c r="Q397" s="2131">
        <f t="shared" si="74"/>
        <v>0</v>
      </c>
      <c r="R397" s="2131">
        <f t="shared" si="75"/>
        <v>0</v>
      </c>
      <c r="S397" s="2130">
        <f>IF(J396=J397,S396+0.00001,ROUNDDOWN(MAX($S$16:$S396),0)+1)</f>
        <v>2.0026100000000171</v>
      </c>
      <c r="T397" s="2131">
        <f t="shared" si="76"/>
        <v>0</v>
      </c>
      <c r="U397" s="2131">
        <f t="shared" si="77"/>
        <v>0</v>
      </c>
      <c r="V397" s="2071">
        <f t="shared" si="82"/>
        <v>381</v>
      </c>
    </row>
    <row r="398" spans="1:22" hidden="1">
      <c r="A398" s="2124">
        <f t="shared" si="83"/>
        <v>1</v>
      </c>
      <c r="B398" s="2073">
        <v>382</v>
      </c>
      <c r="C398" s="2104">
        <f t="shared" si="84"/>
        <v>0</v>
      </c>
      <c r="D398" s="2125">
        <f t="shared" si="72"/>
        <v>0.03</v>
      </c>
      <c r="E398" s="2104">
        <f t="shared" si="78"/>
        <v>0</v>
      </c>
      <c r="F398" s="2135"/>
      <c r="G398" s="2127">
        <f t="shared" si="85"/>
        <v>3</v>
      </c>
      <c r="H398" s="2075">
        <v>382</v>
      </c>
      <c r="I398" s="2104">
        <f t="shared" si="79"/>
        <v>0</v>
      </c>
      <c r="J398" s="2125">
        <f t="shared" si="80"/>
        <v>3.5000000000000003E-2</v>
      </c>
      <c r="K398" s="2083"/>
      <c r="L398" s="2106"/>
      <c r="N398" s="2071">
        <f t="shared" si="81"/>
        <v>382</v>
      </c>
      <c r="O398" s="2130">
        <f>IF(D397=D398,O397+0.00001,ROUNDDOWN(MAX($O$16:$O397),0)+1)</f>
        <v>3.8200000000000092E-3</v>
      </c>
      <c r="P398" s="2131">
        <f t="shared" si="73"/>
        <v>0</v>
      </c>
      <c r="Q398" s="2131">
        <f t="shared" si="74"/>
        <v>0</v>
      </c>
      <c r="R398" s="2131">
        <f t="shared" si="75"/>
        <v>0</v>
      </c>
      <c r="S398" s="2130">
        <f>IF(J397=J398,S397+0.00001,ROUNDDOWN(MAX($S$16:$S397),0)+1)</f>
        <v>2.0026200000000172</v>
      </c>
      <c r="T398" s="2131">
        <f t="shared" si="76"/>
        <v>0</v>
      </c>
      <c r="U398" s="2131">
        <f t="shared" si="77"/>
        <v>0</v>
      </c>
      <c r="V398" s="2071">
        <f t="shared" si="82"/>
        <v>382</v>
      </c>
    </row>
    <row r="399" spans="1:22" hidden="1">
      <c r="A399" s="2124">
        <f t="shared" si="83"/>
        <v>1</v>
      </c>
      <c r="B399" s="2073">
        <v>383</v>
      </c>
      <c r="C399" s="2104">
        <f t="shared" si="84"/>
        <v>0</v>
      </c>
      <c r="D399" s="2125">
        <f t="shared" si="72"/>
        <v>0.03</v>
      </c>
      <c r="E399" s="2104">
        <f t="shared" si="78"/>
        <v>0</v>
      </c>
      <c r="F399" s="2135"/>
      <c r="G399" s="2127">
        <f t="shared" si="85"/>
        <v>3</v>
      </c>
      <c r="H399" s="2075">
        <v>383</v>
      </c>
      <c r="I399" s="2104">
        <f t="shared" si="79"/>
        <v>0</v>
      </c>
      <c r="J399" s="2125">
        <f t="shared" si="80"/>
        <v>3.5000000000000003E-2</v>
      </c>
      <c r="K399" s="2083"/>
      <c r="L399" s="2106"/>
      <c r="N399" s="2071">
        <f t="shared" si="81"/>
        <v>383</v>
      </c>
      <c r="O399" s="2130">
        <f>IF(D398=D399,O398+0.00001,ROUNDDOWN(MAX($O$16:$O398),0)+1)</f>
        <v>3.8300000000000092E-3</v>
      </c>
      <c r="P399" s="2131">
        <f t="shared" si="73"/>
        <v>0</v>
      </c>
      <c r="Q399" s="2131">
        <f t="shared" si="74"/>
        <v>0</v>
      </c>
      <c r="R399" s="2131">
        <f t="shared" si="75"/>
        <v>0</v>
      </c>
      <c r="S399" s="2130">
        <f>IF(J398=J399,S398+0.00001,ROUNDDOWN(MAX($S$16:$S398),0)+1)</f>
        <v>2.0026300000000172</v>
      </c>
      <c r="T399" s="2131">
        <f t="shared" si="76"/>
        <v>0</v>
      </c>
      <c r="U399" s="2131">
        <f t="shared" si="77"/>
        <v>0</v>
      </c>
      <c r="V399" s="2071">
        <f t="shared" si="82"/>
        <v>383</v>
      </c>
    </row>
    <row r="400" spans="1:22" hidden="1">
      <c r="A400" s="2124">
        <f t="shared" si="83"/>
        <v>1</v>
      </c>
      <c r="B400" s="2073">
        <v>384</v>
      </c>
      <c r="C400" s="2104">
        <f t="shared" si="84"/>
        <v>0</v>
      </c>
      <c r="D400" s="2125">
        <f t="shared" si="72"/>
        <v>0.03</v>
      </c>
      <c r="E400" s="2104">
        <f t="shared" si="78"/>
        <v>0</v>
      </c>
      <c r="F400" s="2135"/>
      <c r="G400" s="2127">
        <f t="shared" si="85"/>
        <v>3</v>
      </c>
      <c r="H400" s="2075">
        <v>384</v>
      </c>
      <c r="I400" s="2104">
        <f t="shared" si="79"/>
        <v>0</v>
      </c>
      <c r="J400" s="2125">
        <f t="shared" si="80"/>
        <v>3.5000000000000003E-2</v>
      </c>
      <c r="K400" s="2083"/>
      <c r="L400" s="2106"/>
      <c r="N400" s="2071">
        <f t="shared" si="81"/>
        <v>384</v>
      </c>
      <c r="O400" s="2130">
        <f>IF(D399=D400,O399+0.00001,ROUNDDOWN(MAX($O$16:$O399),0)+1)</f>
        <v>3.8400000000000092E-3</v>
      </c>
      <c r="P400" s="2131">
        <f t="shared" si="73"/>
        <v>0</v>
      </c>
      <c r="Q400" s="2131">
        <f t="shared" si="74"/>
        <v>0</v>
      </c>
      <c r="R400" s="2131">
        <f t="shared" si="75"/>
        <v>0</v>
      </c>
      <c r="S400" s="2130">
        <f>IF(J399=J400,S399+0.00001,ROUNDDOWN(MAX($S$16:$S399),0)+1)</f>
        <v>2.0026400000000173</v>
      </c>
      <c r="T400" s="2131">
        <f t="shared" si="76"/>
        <v>0</v>
      </c>
      <c r="U400" s="2131">
        <f t="shared" si="77"/>
        <v>0</v>
      </c>
      <c r="V400" s="2071">
        <f t="shared" si="82"/>
        <v>384</v>
      </c>
    </row>
    <row r="401" spans="1:22" hidden="1">
      <c r="A401" s="2124">
        <f t="shared" si="83"/>
        <v>1</v>
      </c>
      <c r="B401" s="2073">
        <v>385</v>
      </c>
      <c r="C401" s="2104">
        <f t="shared" si="84"/>
        <v>0</v>
      </c>
      <c r="D401" s="2125">
        <f t="shared" ref="D401:D464" si="86">D400</f>
        <v>0.03</v>
      </c>
      <c r="E401" s="2104">
        <f t="shared" si="78"/>
        <v>0</v>
      </c>
      <c r="F401" s="2135"/>
      <c r="G401" s="2127">
        <f t="shared" si="85"/>
        <v>3</v>
      </c>
      <c r="H401" s="2075">
        <v>385</v>
      </c>
      <c r="I401" s="2104">
        <f t="shared" si="79"/>
        <v>0</v>
      </c>
      <c r="J401" s="2125">
        <f t="shared" si="80"/>
        <v>3.5000000000000003E-2</v>
      </c>
      <c r="K401" s="2083"/>
      <c r="L401" s="2106"/>
      <c r="N401" s="2071">
        <f t="shared" si="81"/>
        <v>385</v>
      </c>
      <c r="O401" s="2130">
        <f>IF(D400=D401,O400+0.00001,ROUNDDOWN(MAX($O$16:$O400),0)+1)</f>
        <v>3.8500000000000092E-3</v>
      </c>
      <c r="P401" s="2131">
        <f t="shared" ref="P401:P464" si="87">IF($B401&gt;IF(N($C$7)=0,$C$4*$C$5,$C$7),0,IF(B401=IF(N($C$7)=0,$C$4*$C$5,$C$7),-$R400*(1+$C$11/$C$5),ROUND(PMT($C$11/$C$5,$C$4*$C$5,$C$3),2)))</f>
        <v>0</v>
      </c>
      <c r="Q401" s="2131">
        <f t="shared" ref="Q401:Q464" si="88">C401-P401</f>
        <v>0</v>
      </c>
      <c r="R401" s="2131">
        <f t="shared" ref="R401:R464" si="89">R400*(1+$C$11/$C$5)+P401</f>
        <v>0</v>
      </c>
      <c r="S401" s="2130">
        <f>IF(J400=J401,S400+0.00001,ROUNDDOWN(MAX($S$16:$S400),0)+1)</f>
        <v>2.0026500000000174</v>
      </c>
      <c r="T401" s="2131">
        <f t="shared" ref="T401:T464" si="90">IF(I$4*I$5=H401,-I$3*(1+$I$11/I$5),IF(I$4*I$5&lt;H401,0,-I$3*$I$11/I$5))</f>
        <v>0</v>
      </c>
      <c r="U401" s="2131">
        <f t="shared" ref="U401:U464" si="91">I401-T401</f>
        <v>0</v>
      </c>
      <c r="V401" s="2071">
        <f t="shared" si="82"/>
        <v>385</v>
      </c>
    </row>
    <row r="402" spans="1:22" hidden="1">
      <c r="A402" s="2124">
        <f t="shared" si="83"/>
        <v>1</v>
      </c>
      <c r="B402" s="2073">
        <v>386</v>
      </c>
      <c r="C402" s="2104">
        <f t="shared" si="84"/>
        <v>0</v>
      </c>
      <c r="D402" s="2125">
        <f t="shared" si="86"/>
        <v>0.03</v>
      </c>
      <c r="E402" s="2104">
        <f t="shared" ref="E402:E465" si="92">E401*(1+D401/C$5)+C402</f>
        <v>0</v>
      </c>
      <c r="F402" s="2135"/>
      <c r="G402" s="2127">
        <f t="shared" si="85"/>
        <v>3</v>
      </c>
      <c r="H402" s="2075">
        <v>386</v>
      </c>
      <c r="I402" s="2104">
        <f t="shared" ref="I402:I465" si="93">IF(I$4*I$5=H402,-I$3*(1+J401/I$5),IF(I$4*I$5&lt;H402,0,-I$3*J401/I$5))</f>
        <v>0</v>
      </c>
      <c r="J402" s="2125">
        <f t="shared" ref="J402:J465" si="94">J401</f>
        <v>3.5000000000000003E-2</v>
      </c>
      <c r="K402" s="2083"/>
      <c r="L402" s="2106"/>
      <c r="N402" s="2071">
        <f t="shared" ref="N402:N465" si="95">B402</f>
        <v>386</v>
      </c>
      <c r="O402" s="2130">
        <f>IF(D401=D402,O401+0.00001,ROUNDDOWN(MAX($O$16:$O401),0)+1)</f>
        <v>3.8600000000000093E-3</v>
      </c>
      <c r="P402" s="2131">
        <f t="shared" si="87"/>
        <v>0</v>
      </c>
      <c r="Q402" s="2131">
        <f t="shared" si="88"/>
        <v>0</v>
      </c>
      <c r="R402" s="2131">
        <f t="shared" si="89"/>
        <v>0</v>
      </c>
      <c r="S402" s="2130">
        <f>IF(J401=J402,S401+0.00001,ROUNDDOWN(MAX($S$16:$S401),0)+1)</f>
        <v>2.0026600000000174</v>
      </c>
      <c r="T402" s="2131">
        <f t="shared" si="90"/>
        <v>0</v>
      </c>
      <c r="U402" s="2131">
        <f t="shared" si="91"/>
        <v>0</v>
      </c>
      <c r="V402" s="2071">
        <f t="shared" ref="V402:V465" si="96">H402</f>
        <v>386</v>
      </c>
    </row>
    <row r="403" spans="1:22" hidden="1">
      <c r="A403" s="2124">
        <f t="shared" ref="A403:A466" si="97">ROUND(A402+IF(D403&lt;&gt;D402,1,0),0)</f>
        <v>1</v>
      </c>
      <c r="B403" s="2073">
        <v>387</v>
      </c>
      <c r="C403" s="2104">
        <f t="shared" ref="C403:C466" si="98">IF(B403&gt;IF(N(C$7)=0,C$4*C$5,C$7),0,IF(B403=IF(N(C$7)=0,C$4*C$5,C$7),-E402*(1+D402/C$5),IF(D402=D401,C402,ROUND(PMT(D402/C$5,C$4*C$5-B402,E402),2))))</f>
        <v>0</v>
      </c>
      <c r="D403" s="2125">
        <f t="shared" si="86"/>
        <v>0.03</v>
      </c>
      <c r="E403" s="2104">
        <f t="shared" si="92"/>
        <v>0</v>
      </c>
      <c r="F403" s="2135"/>
      <c r="G403" s="2127">
        <f t="shared" ref="G403:G466" si="99">ROUND(G402+IF(J403&lt;&gt;J402,1,0),0)</f>
        <v>3</v>
      </c>
      <c r="H403" s="2075">
        <v>387</v>
      </c>
      <c r="I403" s="2104">
        <f t="shared" si="93"/>
        <v>0</v>
      </c>
      <c r="J403" s="2125">
        <f t="shared" si="94"/>
        <v>3.5000000000000003E-2</v>
      </c>
      <c r="K403" s="2083"/>
      <c r="L403" s="2106"/>
      <c r="N403" s="2071">
        <f t="shared" si="95"/>
        <v>387</v>
      </c>
      <c r="O403" s="2130">
        <f>IF(D402=D403,O402+0.00001,ROUNDDOWN(MAX($O$16:$O402),0)+1)</f>
        <v>3.8700000000000093E-3</v>
      </c>
      <c r="P403" s="2131">
        <f t="shared" si="87"/>
        <v>0</v>
      </c>
      <c r="Q403" s="2131">
        <f t="shared" si="88"/>
        <v>0</v>
      </c>
      <c r="R403" s="2131">
        <f t="shared" si="89"/>
        <v>0</v>
      </c>
      <c r="S403" s="2130">
        <f>IF(J402=J403,S402+0.00001,ROUNDDOWN(MAX($S$16:$S402),0)+1)</f>
        <v>2.0026700000000175</v>
      </c>
      <c r="T403" s="2131">
        <f t="shared" si="90"/>
        <v>0</v>
      </c>
      <c r="U403" s="2131">
        <f t="shared" si="91"/>
        <v>0</v>
      </c>
      <c r="V403" s="2071">
        <f t="shared" si="96"/>
        <v>387</v>
      </c>
    </row>
    <row r="404" spans="1:22" hidden="1">
      <c r="A404" s="2124">
        <f t="shared" si="97"/>
        <v>1</v>
      </c>
      <c r="B404" s="2073">
        <v>388</v>
      </c>
      <c r="C404" s="2104">
        <f t="shared" si="98"/>
        <v>0</v>
      </c>
      <c r="D404" s="2125">
        <f t="shared" si="86"/>
        <v>0.03</v>
      </c>
      <c r="E404" s="2104">
        <f t="shared" si="92"/>
        <v>0</v>
      </c>
      <c r="F404" s="2135"/>
      <c r="G404" s="2127">
        <f t="shared" si="99"/>
        <v>3</v>
      </c>
      <c r="H404" s="2075">
        <v>388</v>
      </c>
      <c r="I404" s="2104">
        <f t="shared" si="93"/>
        <v>0</v>
      </c>
      <c r="J404" s="2125">
        <f t="shared" si="94"/>
        <v>3.5000000000000003E-2</v>
      </c>
      <c r="K404" s="2083"/>
      <c r="L404" s="2106"/>
      <c r="N404" s="2071">
        <f t="shared" si="95"/>
        <v>388</v>
      </c>
      <c r="O404" s="2130">
        <f>IF(D403=D404,O403+0.00001,ROUNDDOWN(MAX($O$16:$O403),0)+1)</f>
        <v>3.8800000000000093E-3</v>
      </c>
      <c r="P404" s="2131">
        <f t="shared" si="87"/>
        <v>0</v>
      </c>
      <c r="Q404" s="2131">
        <f t="shared" si="88"/>
        <v>0</v>
      </c>
      <c r="R404" s="2131">
        <f t="shared" si="89"/>
        <v>0</v>
      </c>
      <c r="S404" s="2130">
        <f>IF(J403=J404,S403+0.00001,ROUNDDOWN(MAX($S$16:$S403),0)+1)</f>
        <v>2.0026800000000176</v>
      </c>
      <c r="T404" s="2131">
        <f t="shared" si="90"/>
        <v>0</v>
      </c>
      <c r="U404" s="2131">
        <f t="shared" si="91"/>
        <v>0</v>
      </c>
      <c r="V404" s="2071">
        <f t="shared" si="96"/>
        <v>388</v>
      </c>
    </row>
    <row r="405" spans="1:22" hidden="1">
      <c r="A405" s="2124">
        <f t="shared" si="97"/>
        <v>1</v>
      </c>
      <c r="B405" s="2073">
        <v>389</v>
      </c>
      <c r="C405" s="2104">
        <f t="shared" si="98"/>
        <v>0</v>
      </c>
      <c r="D405" s="2125">
        <f t="shared" si="86"/>
        <v>0.03</v>
      </c>
      <c r="E405" s="2104">
        <f t="shared" si="92"/>
        <v>0</v>
      </c>
      <c r="F405" s="2135"/>
      <c r="G405" s="2127">
        <f t="shared" si="99"/>
        <v>3</v>
      </c>
      <c r="H405" s="2075">
        <v>389</v>
      </c>
      <c r="I405" s="2104">
        <f t="shared" si="93"/>
        <v>0</v>
      </c>
      <c r="J405" s="2125">
        <f t="shared" si="94"/>
        <v>3.5000000000000003E-2</v>
      </c>
      <c r="K405" s="2083"/>
      <c r="L405" s="2106"/>
      <c r="N405" s="2071">
        <f t="shared" si="95"/>
        <v>389</v>
      </c>
      <c r="O405" s="2130">
        <f>IF(D404=D405,O404+0.00001,ROUNDDOWN(MAX($O$16:$O404),0)+1)</f>
        <v>3.8900000000000093E-3</v>
      </c>
      <c r="P405" s="2131">
        <f t="shared" si="87"/>
        <v>0</v>
      </c>
      <c r="Q405" s="2131">
        <f t="shared" si="88"/>
        <v>0</v>
      </c>
      <c r="R405" s="2131">
        <f t="shared" si="89"/>
        <v>0</v>
      </c>
      <c r="S405" s="2130">
        <f>IF(J404=J405,S404+0.00001,ROUNDDOWN(MAX($S$16:$S404),0)+1)</f>
        <v>2.0026900000000176</v>
      </c>
      <c r="T405" s="2131">
        <f t="shared" si="90"/>
        <v>0</v>
      </c>
      <c r="U405" s="2131">
        <f t="shared" si="91"/>
        <v>0</v>
      </c>
      <c r="V405" s="2071">
        <f t="shared" si="96"/>
        <v>389</v>
      </c>
    </row>
    <row r="406" spans="1:22" hidden="1">
      <c r="A406" s="2124">
        <f t="shared" si="97"/>
        <v>1</v>
      </c>
      <c r="B406" s="2073">
        <v>390</v>
      </c>
      <c r="C406" s="2104">
        <f t="shared" si="98"/>
        <v>0</v>
      </c>
      <c r="D406" s="2125">
        <f t="shared" si="86"/>
        <v>0.03</v>
      </c>
      <c r="E406" s="2104">
        <f t="shared" si="92"/>
        <v>0</v>
      </c>
      <c r="F406" s="2135"/>
      <c r="G406" s="2127">
        <f t="shared" si="99"/>
        <v>3</v>
      </c>
      <c r="H406" s="2075">
        <v>390</v>
      </c>
      <c r="I406" s="2104">
        <f t="shared" si="93"/>
        <v>0</v>
      </c>
      <c r="J406" s="2125">
        <f t="shared" si="94"/>
        <v>3.5000000000000003E-2</v>
      </c>
      <c r="K406" s="2083"/>
      <c r="L406" s="2106"/>
      <c r="N406" s="2071">
        <f t="shared" si="95"/>
        <v>390</v>
      </c>
      <c r="O406" s="2130">
        <f>IF(D405=D406,O405+0.00001,ROUNDDOWN(MAX($O$16:$O405),0)+1)</f>
        <v>3.9000000000000094E-3</v>
      </c>
      <c r="P406" s="2131">
        <f t="shared" si="87"/>
        <v>0</v>
      </c>
      <c r="Q406" s="2131">
        <f t="shared" si="88"/>
        <v>0</v>
      </c>
      <c r="R406" s="2131">
        <f t="shared" si="89"/>
        <v>0</v>
      </c>
      <c r="S406" s="2130">
        <f>IF(J405=J406,S405+0.00001,ROUNDDOWN(MAX($S$16:$S405),0)+1)</f>
        <v>2.0027000000000177</v>
      </c>
      <c r="T406" s="2131">
        <f t="shared" si="90"/>
        <v>0</v>
      </c>
      <c r="U406" s="2131">
        <f t="shared" si="91"/>
        <v>0</v>
      </c>
      <c r="V406" s="2071">
        <f t="shared" si="96"/>
        <v>390</v>
      </c>
    </row>
    <row r="407" spans="1:22" hidden="1">
      <c r="A407" s="2124">
        <f t="shared" si="97"/>
        <v>1</v>
      </c>
      <c r="B407" s="2073">
        <v>391</v>
      </c>
      <c r="C407" s="2104">
        <f t="shared" si="98"/>
        <v>0</v>
      </c>
      <c r="D407" s="2125">
        <f t="shared" si="86"/>
        <v>0.03</v>
      </c>
      <c r="E407" s="2104">
        <f t="shared" si="92"/>
        <v>0</v>
      </c>
      <c r="F407" s="2135"/>
      <c r="G407" s="2127">
        <f t="shared" si="99"/>
        <v>3</v>
      </c>
      <c r="H407" s="2075">
        <v>391</v>
      </c>
      <c r="I407" s="2104">
        <f t="shared" si="93"/>
        <v>0</v>
      </c>
      <c r="J407" s="2125">
        <f t="shared" si="94"/>
        <v>3.5000000000000003E-2</v>
      </c>
      <c r="K407" s="2083"/>
      <c r="L407" s="2106"/>
      <c r="N407" s="2071">
        <f t="shared" si="95"/>
        <v>391</v>
      </c>
      <c r="O407" s="2130">
        <f>IF(D406=D407,O406+0.00001,ROUNDDOWN(MAX($O$16:$O406),0)+1)</f>
        <v>3.910000000000009E-3</v>
      </c>
      <c r="P407" s="2131">
        <f t="shared" si="87"/>
        <v>0</v>
      </c>
      <c r="Q407" s="2131">
        <f t="shared" si="88"/>
        <v>0</v>
      </c>
      <c r="R407" s="2131">
        <f t="shared" si="89"/>
        <v>0</v>
      </c>
      <c r="S407" s="2130">
        <f>IF(J406=J407,S406+0.00001,ROUNDDOWN(MAX($S$16:$S406),0)+1)</f>
        <v>2.0027100000000178</v>
      </c>
      <c r="T407" s="2131">
        <f t="shared" si="90"/>
        <v>0</v>
      </c>
      <c r="U407" s="2131">
        <f t="shared" si="91"/>
        <v>0</v>
      </c>
      <c r="V407" s="2071">
        <f t="shared" si="96"/>
        <v>391</v>
      </c>
    </row>
    <row r="408" spans="1:22" hidden="1">
      <c r="A408" s="2124">
        <f t="shared" si="97"/>
        <v>1</v>
      </c>
      <c r="B408" s="2073">
        <v>392</v>
      </c>
      <c r="C408" s="2104">
        <f t="shared" si="98"/>
        <v>0</v>
      </c>
      <c r="D408" s="2125">
        <f t="shared" si="86"/>
        <v>0.03</v>
      </c>
      <c r="E408" s="2104">
        <f t="shared" si="92"/>
        <v>0</v>
      </c>
      <c r="F408" s="2135"/>
      <c r="G408" s="2127">
        <f t="shared" si="99"/>
        <v>3</v>
      </c>
      <c r="H408" s="2075">
        <v>392</v>
      </c>
      <c r="I408" s="2104">
        <f t="shared" si="93"/>
        <v>0</v>
      </c>
      <c r="J408" s="2125">
        <f t="shared" si="94"/>
        <v>3.5000000000000003E-2</v>
      </c>
      <c r="K408" s="2083"/>
      <c r="L408" s="2106"/>
      <c r="N408" s="2071">
        <f t="shared" si="95"/>
        <v>392</v>
      </c>
      <c r="O408" s="2130">
        <f>IF(D407=D408,O407+0.00001,ROUNDDOWN(MAX($O$16:$O407),0)+1)</f>
        <v>3.9200000000000085E-3</v>
      </c>
      <c r="P408" s="2131">
        <f t="shared" si="87"/>
        <v>0</v>
      </c>
      <c r="Q408" s="2131">
        <f t="shared" si="88"/>
        <v>0</v>
      </c>
      <c r="R408" s="2131">
        <f t="shared" si="89"/>
        <v>0</v>
      </c>
      <c r="S408" s="2130">
        <f>IF(J407=J408,S407+0.00001,ROUNDDOWN(MAX($S$16:$S407),0)+1)</f>
        <v>2.0027200000000178</v>
      </c>
      <c r="T408" s="2131">
        <f t="shared" si="90"/>
        <v>0</v>
      </c>
      <c r="U408" s="2131">
        <f t="shared" si="91"/>
        <v>0</v>
      </c>
      <c r="V408" s="2071">
        <f t="shared" si="96"/>
        <v>392</v>
      </c>
    </row>
    <row r="409" spans="1:22" hidden="1">
      <c r="A409" s="2124">
        <f t="shared" si="97"/>
        <v>1</v>
      </c>
      <c r="B409" s="2073">
        <v>393</v>
      </c>
      <c r="C409" s="2104">
        <f t="shared" si="98"/>
        <v>0</v>
      </c>
      <c r="D409" s="2125">
        <f t="shared" si="86"/>
        <v>0.03</v>
      </c>
      <c r="E409" s="2104">
        <f t="shared" si="92"/>
        <v>0</v>
      </c>
      <c r="F409" s="2135"/>
      <c r="G409" s="2127">
        <f t="shared" si="99"/>
        <v>3</v>
      </c>
      <c r="H409" s="2075">
        <v>393</v>
      </c>
      <c r="I409" s="2104">
        <f t="shared" si="93"/>
        <v>0</v>
      </c>
      <c r="J409" s="2125">
        <f t="shared" si="94"/>
        <v>3.5000000000000003E-2</v>
      </c>
      <c r="K409" s="2083"/>
      <c r="L409" s="2106"/>
      <c r="N409" s="2071">
        <f t="shared" si="95"/>
        <v>393</v>
      </c>
      <c r="O409" s="2130">
        <f>IF(D408=D409,O408+0.00001,ROUNDDOWN(MAX($O$16:$O408),0)+1)</f>
        <v>3.9300000000000081E-3</v>
      </c>
      <c r="P409" s="2131">
        <f t="shared" si="87"/>
        <v>0</v>
      </c>
      <c r="Q409" s="2131">
        <f t="shared" si="88"/>
        <v>0</v>
      </c>
      <c r="R409" s="2131">
        <f t="shared" si="89"/>
        <v>0</v>
      </c>
      <c r="S409" s="2130">
        <f>IF(J408=J409,S408+0.00001,ROUNDDOWN(MAX($S$16:$S408),0)+1)</f>
        <v>2.0027300000000179</v>
      </c>
      <c r="T409" s="2131">
        <f t="shared" si="90"/>
        <v>0</v>
      </c>
      <c r="U409" s="2131">
        <f t="shared" si="91"/>
        <v>0</v>
      </c>
      <c r="V409" s="2071">
        <f t="shared" si="96"/>
        <v>393</v>
      </c>
    </row>
    <row r="410" spans="1:22" hidden="1">
      <c r="A410" s="2124">
        <f t="shared" si="97"/>
        <v>1</v>
      </c>
      <c r="B410" s="2073">
        <v>394</v>
      </c>
      <c r="C410" s="2104">
        <f t="shared" si="98"/>
        <v>0</v>
      </c>
      <c r="D410" s="2125">
        <f t="shared" si="86"/>
        <v>0.03</v>
      </c>
      <c r="E410" s="2104">
        <f t="shared" si="92"/>
        <v>0</v>
      </c>
      <c r="F410" s="2135"/>
      <c r="G410" s="2127">
        <f t="shared" si="99"/>
        <v>3</v>
      </c>
      <c r="H410" s="2075">
        <v>394</v>
      </c>
      <c r="I410" s="2104">
        <f t="shared" si="93"/>
        <v>0</v>
      </c>
      <c r="J410" s="2125">
        <f t="shared" si="94"/>
        <v>3.5000000000000003E-2</v>
      </c>
      <c r="K410" s="2083"/>
      <c r="L410" s="2106"/>
      <c r="N410" s="2071">
        <f t="shared" si="95"/>
        <v>394</v>
      </c>
      <c r="O410" s="2130">
        <f>IF(D409=D410,O409+0.00001,ROUNDDOWN(MAX($O$16:$O409),0)+1)</f>
        <v>3.9400000000000077E-3</v>
      </c>
      <c r="P410" s="2131">
        <f t="shared" si="87"/>
        <v>0</v>
      </c>
      <c r="Q410" s="2131">
        <f t="shared" si="88"/>
        <v>0</v>
      </c>
      <c r="R410" s="2131">
        <f t="shared" si="89"/>
        <v>0</v>
      </c>
      <c r="S410" s="2130">
        <f>IF(J409=J410,S409+0.00001,ROUNDDOWN(MAX($S$16:$S409),0)+1)</f>
        <v>2.002740000000018</v>
      </c>
      <c r="T410" s="2131">
        <f t="shared" si="90"/>
        <v>0</v>
      </c>
      <c r="U410" s="2131">
        <f t="shared" si="91"/>
        <v>0</v>
      </c>
      <c r="V410" s="2071">
        <f t="shared" si="96"/>
        <v>394</v>
      </c>
    </row>
    <row r="411" spans="1:22" hidden="1">
      <c r="A411" s="2124">
        <f t="shared" si="97"/>
        <v>1</v>
      </c>
      <c r="B411" s="2073">
        <v>395</v>
      </c>
      <c r="C411" s="2104">
        <f t="shared" si="98"/>
        <v>0</v>
      </c>
      <c r="D411" s="2125">
        <f t="shared" si="86"/>
        <v>0.03</v>
      </c>
      <c r="E411" s="2104">
        <f t="shared" si="92"/>
        <v>0</v>
      </c>
      <c r="F411" s="2135"/>
      <c r="G411" s="2127">
        <f t="shared" si="99"/>
        <v>3</v>
      </c>
      <c r="H411" s="2075">
        <v>395</v>
      </c>
      <c r="I411" s="2104">
        <f t="shared" si="93"/>
        <v>0</v>
      </c>
      <c r="J411" s="2125">
        <f t="shared" si="94"/>
        <v>3.5000000000000003E-2</v>
      </c>
      <c r="K411" s="2083"/>
      <c r="L411" s="2106"/>
      <c r="N411" s="2071">
        <f t="shared" si="95"/>
        <v>395</v>
      </c>
      <c r="O411" s="2130">
        <f>IF(D410=D411,O410+0.00001,ROUNDDOWN(MAX($O$16:$O410),0)+1)</f>
        <v>3.9500000000000073E-3</v>
      </c>
      <c r="P411" s="2131">
        <f t="shared" si="87"/>
        <v>0</v>
      </c>
      <c r="Q411" s="2131">
        <f t="shared" si="88"/>
        <v>0</v>
      </c>
      <c r="R411" s="2131">
        <f t="shared" si="89"/>
        <v>0</v>
      </c>
      <c r="S411" s="2130">
        <f>IF(J410=J411,S410+0.00001,ROUNDDOWN(MAX($S$16:$S410),0)+1)</f>
        <v>2.002750000000018</v>
      </c>
      <c r="T411" s="2131">
        <f t="shared" si="90"/>
        <v>0</v>
      </c>
      <c r="U411" s="2131">
        <f t="shared" si="91"/>
        <v>0</v>
      </c>
      <c r="V411" s="2071">
        <f t="shared" si="96"/>
        <v>395</v>
      </c>
    </row>
    <row r="412" spans="1:22" hidden="1">
      <c r="A412" s="2124">
        <f t="shared" si="97"/>
        <v>1</v>
      </c>
      <c r="B412" s="2073">
        <v>396</v>
      </c>
      <c r="C412" s="2104">
        <f t="shared" si="98"/>
        <v>0</v>
      </c>
      <c r="D412" s="2125">
        <f t="shared" si="86"/>
        <v>0.03</v>
      </c>
      <c r="E412" s="2104">
        <f t="shared" si="92"/>
        <v>0</v>
      </c>
      <c r="F412" s="2135"/>
      <c r="G412" s="2127">
        <f t="shared" si="99"/>
        <v>3</v>
      </c>
      <c r="H412" s="2075">
        <v>396</v>
      </c>
      <c r="I412" s="2104">
        <f t="shared" si="93"/>
        <v>0</v>
      </c>
      <c r="J412" s="2125">
        <f t="shared" si="94"/>
        <v>3.5000000000000003E-2</v>
      </c>
      <c r="K412" s="2083"/>
      <c r="L412" s="2106"/>
      <c r="N412" s="2071">
        <f t="shared" si="95"/>
        <v>396</v>
      </c>
      <c r="O412" s="2130">
        <f>IF(D411=D412,O411+0.00001,ROUNDDOWN(MAX($O$16:$O411),0)+1)</f>
        <v>3.9600000000000069E-3</v>
      </c>
      <c r="P412" s="2131">
        <f t="shared" si="87"/>
        <v>0</v>
      </c>
      <c r="Q412" s="2131">
        <f t="shared" si="88"/>
        <v>0</v>
      </c>
      <c r="R412" s="2131">
        <f t="shared" si="89"/>
        <v>0</v>
      </c>
      <c r="S412" s="2130">
        <f>IF(J411=J412,S411+0.00001,ROUNDDOWN(MAX($S$16:$S411),0)+1)</f>
        <v>2.0027600000000181</v>
      </c>
      <c r="T412" s="2131">
        <f t="shared" si="90"/>
        <v>0</v>
      </c>
      <c r="U412" s="2131">
        <f t="shared" si="91"/>
        <v>0</v>
      </c>
      <c r="V412" s="2071">
        <f t="shared" si="96"/>
        <v>396</v>
      </c>
    </row>
    <row r="413" spans="1:22" hidden="1">
      <c r="A413" s="2124">
        <f t="shared" si="97"/>
        <v>1</v>
      </c>
      <c r="B413" s="2073">
        <v>397</v>
      </c>
      <c r="C413" s="2104">
        <f t="shared" si="98"/>
        <v>0</v>
      </c>
      <c r="D413" s="2125">
        <f t="shared" si="86"/>
        <v>0.03</v>
      </c>
      <c r="E413" s="2104">
        <f t="shared" si="92"/>
        <v>0</v>
      </c>
      <c r="F413" s="2135"/>
      <c r="G413" s="2127">
        <f t="shared" si="99"/>
        <v>3</v>
      </c>
      <c r="H413" s="2075">
        <v>397</v>
      </c>
      <c r="I413" s="2104">
        <f t="shared" si="93"/>
        <v>0</v>
      </c>
      <c r="J413" s="2125">
        <f t="shared" si="94"/>
        <v>3.5000000000000003E-2</v>
      </c>
      <c r="K413" s="2083"/>
      <c r="L413" s="2106"/>
      <c r="N413" s="2071">
        <f t="shared" si="95"/>
        <v>397</v>
      </c>
      <c r="O413" s="2130">
        <f>IF(D412=D413,O412+0.00001,ROUNDDOWN(MAX($O$16:$O412),0)+1)</f>
        <v>3.9700000000000065E-3</v>
      </c>
      <c r="P413" s="2131">
        <f t="shared" si="87"/>
        <v>0</v>
      </c>
      <c r="Q413" s="2131">
        <f t="shared" si="88"/>
        <v>0</v>
      </c>
      <c r="R413" s="2131">
        <f t="shared" si="89"/>
        <v>0</v>
      </c>
      <c r="S413" s="2130">
        <f>IF(J412=J413,S412+0.00001,ROUNDDOWN(MAX($S$16:$S412),0)+1)</f>
        <v>2.0027700000000181</v>
      </c>
      <c r="T413" s="2131">
        <f t="shared" si="90"/>
        <v>0</v>
      </c>
      <c r="U413" s="2131">
        <f t="shared" si="91"/>
        <v>0</v>
      </c>
      <c r="V413" s="2071">
        <f t="shared" si="96"/>
        <v>397</v>
      </c>
    </row>
    <row r="414" spans="1:22" hidden="1">
      <c r="A414" s="2124">
        <f t="shared" si="97"/>
        <v>1</v>
      </c>
      <c r="B414" s="2073">
        <v>398</v>
      </c>
      <c r="C414" s="2104">
        <f t="shared" si="98"/>
        <v>0</v>
      </c>
      <c r="D414" s="2125">
        <f t="shared" si="86"/>
        <v>0.03</v>
      </c>
      <c r="E414" s="2104">
        <f t="shared" si="92"/>
        <v>0</v>
      </c>
      <c r="F414" s="2135"/>
      <c r="G414" s="2127">
        <f t="shared" si="99"/>
        <v>3</v>
      </c>
      <c r="H414" s="2075">
        <v>398</v>
      </c>
      <c r="I414" s="2104">
        <f t="shared" si="93"/>
        <v>0</v>
      </c>
      <c r="J414" s="2125">
        <f t="shared" si="94"/>
        <v>3.5000000000000003E-2</v>
      </c>
      <c r="K414" s="2083"/>
      <c r="L414" s="2106"/>
      <c r="N414" s="2071">
        <f t="shared" si="95"/>
        <v>398</v>
      </c>
      <c r="O414" s="2130">
        <f>IF(D413=D414,O413+0.00001,ROUNDDOWN(MAX($O$16:$O413),0)+1)</f>
        <v>3.9800000000000061E-3</v>
      </c>
      <c r="P414" s="2131">
        <f t="shared" si="87"/>
        <v>0</v>
      </c>
      <c r="Q414" s="2131">
        <f t="shared" si="88"/>
        <v>0</v>
      </c>
      <c r="R414" s="2131">
        <f t="shared" si="89"/>
        <v>0</v>
      </c>
      <c r="S414" s="2130">
        <f>IF(J413=J414,S413+0.00001,ROUNDDOWN(MAX($S$16:$S413),0)+1)</f>
        <v>2.0027800000000182</v>
      </c>
      <c r="T414" s="2131">
        <f t="shared" si="90"/>
        <v>0</v>
      </c>
      <c r="U414" s="2131">
        <f t="shared" si="91"/>
        <v>0</v>
      </c>
      <c r="V414" s="2071">
        <f t="shared" si="96"/>
        <v>398</v>
      </c>
    </row>
    <row r="415" spans="1:22" hidden="1">
      <c r="A415" s="2124">
        <f t="shared" si="97"/>
        <v>1</v>
      </c>
      <c r="B415" s="2073">
        <v>399</v>
      </c>
      <c r="C415" s="2104">
        <f t="shared" si="98"/>
        <v>0</v>
      </c>
      <c r="D415" s="2125">
        <f t="shared" si="86"/>
        <v>0.03</v>
      </c>
      <c r="E415" s="2104">
        <f t="shared" si="92"/>
        <v>0</v>
      </c>
      <c r="F415" s="2135"/>
      <c r="G415" s="2127">
        <f t="shared" si="99"/>
        <v>3</v>
      </c>
      <c r="H415" s="2075">
        <v>399</v>
      </c>
      <c r="I415" s="2104">
        <f t="shared" si="93"/>
        <v>0</v>
      </c>
      <c r="J415" s="2125">
        <f t="shared" si="94"/>
        <v>3.5000000000000003E-2</v>
      </c>
      <c r="K415" s="2083"/>
      <c r="L415" s="2106"/>
      <c r="N415" s="2071">
        <f t="shared" si="95"/>
        <v>399</v>
      </c>
      <c r="O415" s="2130">
        <f>IF(D414=D415,O414+0.00001,ROUNDDOWN(MAX($O$16:$O414),0)+1)</f>
        <v>3.9900000000000057E-3</v>
      </c>
      <c r="P415" s="2131">
        <f t="shared" si="87"/>
        <v>0</v>
      </c>
      <c r="Q415" s="2131">
        <f t="shared" si="88"/>
        <v>0</v>
      </c>
      <c r="R415" s="2131">
        <f t="shared" si="89"/>
        <v>0</v>
      </c>
      <c r="S415" s="2130">
        <f>IF(J414=J415,S414+0.00001,ROUNDDOWN(MAX($S$16:$S414),0)+1)</f>
        <v>2.0027900000000183</v>
      </c>
      <c r="T415" s="2131">
        <f t="shared" si="90"/>
        <v>0</v>
      </c>
      <c r="U415" s="2131">
        <f t="shared" si="91"/>
        <v>0</v>
      </c>
      <c r="V415" s="2071">
        <f t="shared" si="96"/>
        <v>399</v>
      </c>
    </row>
    <row r="416" spans="1:22" hidden="1">
      <c r="A416" s="2124">
        <f t="shared" si="97"/>
        <v>1</v>
      </c>
      <c r="B416" s="2073">
        <v>400</v>
      </c>
      <c r="C416" s="2104">
        <f t="shared" si="98"/>
        <v>0</v>
      </c>
      <c r="D416" s="2125">
        <f t="shared" si="86"/>
        <v>0.03</v>
      </c>
      <c r="E416" s="2104">
        <f t="shared" si="92"/>
        <v>0</v>
      </c>
      <c r="F416" s="2135"/>
      <c r="G416" s="2127">
        <f t="shared" si="99"/>
        <v>3</v>
      </c>
      <c r="H416" s="2075">
        <v>400</v>
      </c>
      <c r="I416" s="2104">
        <f t="shared" si="93"/>
        <v>0</v>
      </c>
      <c r="J416" s="2125">
        <f t="shared" si="94"/>
        <v>3.5000000000000003E-2</v>
      </c>
      <c r="K416" s="2083"/>
      <c r="L416" s="2106"/>
      <c r="N416" s="2071">
        <f t="shared" si="95"/>
        <v>400</v>
      </c>
      <c r="O416" s="2130">
        <f>IF(D415=D416,O415+0.00001,ROUNDDOWN(MAX($O$16:$O415),0)+1)</f>
        <v>4.0000000000000053E-3</v>
      </c>
      <c r="P416" s="2131">
        <f t="shared" si="87"/>
        <v>0</v>
      </c>
      <c r="Q416" s="2131">
        <f t="shared" si="88"/>
        <v>0</v>
      </c>
      <c r="R416" s="2131">
        <f t="shared" si="89"/>
        <v>0</v>
      </c>
      <c r="S416" s="2130">
        <f>IF(J415=J416,S415+0.00001,ROUNDDOWN(MAX($S$16:$S415),0)+1)</f>
        <v>2.0028000000000183</v>
      </c>
      <c r="T416" s="2131">
        <f t="shared" si="90"/>
        <v>0</v>
      </c>
      <c r="U416" s="2131">
        <f t="shared" si="91"/>
        <v>0</v>
      </c>
      <c r="V416" s="2071">
        <f t="shared" si="96"/>
        <v>400</v>
      </c>
    </row>
    <row r="417" spans="1:22" hidden="1">
      <c r="A417" s="2124">
        <f t="shared" si="97"/>
        <v>1</v>
      </c>
      <c r="B417" s="2073">
        <v>401</v>
      </c>
      <c r="C417" s="2104">
        <f t="shared" si="98"/>
        <v>0</v>
      </c>
      <c r="D417" s="2125">
        <f t="shared" si="86"/>
        <v>0.03</v>
      </c>
      <c r="E417" s="2104">
        <f t="shared" si="92"/>
        <v>0</v>
      </c>
      <c r="F417" s="2135"/>
      <c r="G417" s="2127">
        <f t="shared" si="99"/>
        <v>3</v>
      </c>
      <c r="H417" s="2075">
        <v>401</v>
      </c>
      <c r="I417" s="2104">
        <f t="shared" si="93"/>
        <v>0</v>
      </c>
      <c r="J417" s="2125">
        <f t="shared" si="94"/>
        <v>3.5000000000000003E-2</v>
      </c>
      <c r="K417" s="2083"/>
      <c r="L417" s="2106"/>
      <c r="N417" s="2071">
        <f t="shared" si="95"/>
        <v>401</v>
      </c>
      <c r="O417" s="2130">
        <f>IF(D416=D417,O416+0.00001,ROUNDDOWN(MAX($O$16:$O416),0)+1)</f>
        <v>4.0100000000000049E-3</v>
      </c>
      <c r="P417" s="2131">
        <f t="shared" si="87"/>
        <v>0</v>
      </c>
      <c r="Q417" s="2131">
        <f t="shared" si="88"/>
        <v>0</v>
      </c>
      <c r="R417" s="2131">
        <f t="shared" si="89"/>
        <v>0</v>
      </c>
      <c r="S417" s="2130">
        <f>IF(J416=J417,S416+0.00001,ROUNDDOWN(MAX($S$16:$S416),0)+1)</f>
        <v>2.0028100000000184</v>
      </c>
      <c r="T417" s="2131">
        <f t="shared" si="90"/>
        <v>0</v>
      </c>
      <c r="U417" s="2131">
        <f t="shared" si="91"/>
        <v>0</v>
      </c>
      <c r="V417" s="2071">
        <f t="shared" si="96"/>
        <v>401</v>
      </c>
    </row>
    <row r="418" spans="1:22" hidden="1">
      <c r="A418" s="2124">
        <f t="shared" si="97"/>
        <v>1</v>
      </c>
      <c r="B418" s="2073">
        <v>402</v>
      </c>
      <c r="C418" s="2104">
        <f t="shared" si="98"/>
        <v>0</v>
      </c>
      <c r="D418" s="2125">
        <f t="shared" si="86"/>
        <v>0.03</v>
      </c>
      <c r="E418" s="2104">
        <f t="shared" si="92"/>
        <v>0</v>
      </c>
      <c r="F418" s="2135"/>
      <c r="G418" s="2127">
        <f t="shared" si="99"/>
        <v>3</v>
      </c>
      <c r="H418" s="2075">
        <v>402</v>
      </c>
      <c r="I418" s="2104">
        <f t="shared" si="93"/>
        <v>0</v>
      </c>
      <c r="J418" s="2125">
        <f t="shared" si="94"/>
        <v>3.5000000000000003E-2</v>
      </c>
      <c r="K418" s="2083"/>
      <c r="L418" s="2106"/>
      <c r="N418" s="2071">
        <f t="shared" si="95"/>
        <v>402</v>
      </c>
      <c r="O418" s="2130">
        <f>IF(D417=D418,O417+0.00001,ROUNDDOWN(MAX($O$16:$O417),0)+1)</f>
        <v>4.0200000000000045E-3</v>
      </c>
      <c r="P418" s="2131">
        <f t="shared" si="87"/>
        <v>0</v>
      </c>
      <c r="Q418" s="2131">
        <f t="shared" si="88"/>
        <v>0</v>
      </c>
      <c r="R418" s="2131">
        <f t="shared" si="89"/>
        <v>0</v>
      </c>
      <c r="S418" s="2130">
        <f>IF(J417=J418,S417+0.00001,ROUNDDOWN(MAX($S$16:$S417),0)+1)</f>
        <v>2.0028200000000185</v>
      </c>
      <c r="T418" s="2131">
        <f t="shared" si="90"/>
        <v>0</v>
      </c>
      <c r="U418" s="2131">
        <f t="shared" si="91"/>
        <v>0</v>
      </c>
      <c r="V418" s="2071">
        <f t="shared" si="96"/>
        <v>402</v>
      </c>
    </row>
    <row r="419" spans="1:22" hidden="1">
      <c r="A419" s="2124">
        <f t="shared" si="97"/>
        <v>1</v>
      </c>
      <c r="B419" s="2073">
        <v>403</v>
      </c>
      <c r="C419" s="2104">
        <f t="shared" si="98"/>
        <v>0</v>
      </c>
      <c r="D419" s="2125">
        <f t="shared" si="86"/>
        <v>0.03</v>
      </c>
      <c r="E419" s="2104">
        <f t="shared" si="92"/>
        <v>0</v>
      </c>
      <c r="F419" s="2135"/>
      <c r="G419" s="2127">
        <f t="shared" si="99"/>
        <v>3</v>
      </c>
      <c r="H419" s="2075">
        <v>403</v>
      </c>
      <c r="I419" s="2104">
        <f t="shared" si="93"/>
        <v>0</v>
      </c>
      <c r="J419" s="2125">
        <f t="shared" si="94"/>
        <v>3.5000000000000003E-2</v>
      </c>
      <c r="K419" s="2083"/>
      <c r="L419" s="2106"/>
      <c r="N419" s="2071">
        <f t="shared" si="95"/>
        <v>403</v>
      </c>
      <c r="O419" s="2130">
        <f>IF(D418=D419,O418+0.00001,ROUNDDOWN(MAX($O$16:$O418),0)+1)</f>
        <v>4.0300000000000041E-3</v>
      </c>
      <c r="P419" s="2131">
        <f t="shared" si="87"/>
        <v>0</v>
      </c>
      <c r="Q419" s="2131">
        <f t="shared" si="88"/>
        <v>0</v>
      </c>
      <c r="R419" s="2131">
        <f t="shared" si="89"/>
        <v>0</v>
      </c>
      <c r="S419" s="2130">
        <f>IF(J418=J419,S418+0.00001,ROUNDDOWN(MAX($S$16:$S418),0)+1)</f>
        <v>2.0028300000000185</v>
      </c>
      <c r="T419" s="2131">
        <f t="shared" si="90"/>
        <v>0</v>
      </c>
      <c r="U419" s="2131">
        <f t="shared" si="91"/>
        <v>0</v>
      </c>
      <c r="V419" s="2071">
        <f t="shared" si="96"/>
        <v>403</v>
      </c>
    </row>
    <row r="420" spans="1:22" hidden="1">
      <c r="A420" s="2124">
        <f t="shared" si="97"/>
        <v>1</v>
      </c>
      <c r="B420" s="2073">
        <v>404</v>
      </c>
      <c r="C420" s="2104">
        <f t="shared" si="98"/>
        <v>0</v>
      </c>
      <c r="D420" s="2125">
        <f t="shared" si="86"/>
        <v>0.03</v>
      </c>
      <c r="E420" s="2104">
        <f t="shared" si="92"/>
        <v>0</v>
      </c>
      <c r="F420" s="2135"/>
      <c r="G420" s="2127">
        <f t="shared" si="99"/>
        <v>3</v>
      </c>
      <c r="H420" s="2075">
        <v>404</v>
      </c>
      <c r="I420" s="2104">
        <f t="shared" si="93"/>
        <v>0</v>
      </c>
      <c r="J420" s="2125">
        <f t="shared" si="94"/>
        <v>3.5000000000000003E-2</v>
      </c>
      <c r="K420" s="2083"/>
      <c r="L420" s="2106"/>
      <c r="N420" s="2071">
        <f t="shared" si="95"/>
        <v>404</v>
      </c>
      <c r="O420" s="2130">
        <f>IF(D419=D420,O419+0.00001,ROUNDDOWN(MAX($O$16:$O419),0)+1)</f>
        <v>4.0400000000000037E-3</v>
      </c>
      <c r="P420" s="2131">
        <f t="shared" si="87"/>
        <v>0</v>
      </c>
      <c r="Q420" s="2131">
        <f t="shared" si="88"/>
        <v>0</v>
      </c>
      <c r="R420" s="2131">
        <f t="shared" si="89"/>
        <v>0</v>
      </c>
      <c r="S420" s="2130">
        <f>IF(J419=J420,S419+0.00001,ROUNDDOWN(MAX($S$16:$S419),0)+1)</f>
        <v>2.0028400000000186</v>
      </c>
      <c r="T420" s="2131">
        <f t="shared" si="90"/>
        <v>0</v>
      </c>
      <c r="U420" s="2131">
        <f t="shared" si="91"/>
        <v>0</v>
      </c>
      <c r="V420" s="2071">
        <f t="shared" si="96"/>
        <v>404</v>
      </c>
    </row>
    <row r="421" spans="1:22" hidden="1">
      <c r="A421" s="2124">
        <f t="shared" si="97"/>
        <v>1</v>
      </c>
      <c r="B421" s="2073">
        <v>405</v>
      </c>
      <c r="C421" s="2104">
        <f t="shared" si="98"/>
        <v>0</v>
      </c>
      <c r="D421" s="2125">
        <f t="shared" si="86"/>
        <v>0.03</v>
      </c>
      <c r="E421" s="2104">
        <f t="shared" si="92"/>
        <v>0</v>
      </c>
      <c r="F421" s="2135"/>
      <c r="G421" s="2127">
        <f t="shared" si="99"/>
        <v>3</v>
      </c>
      <c r="H421" s="2075">
        <v>405</v>
      </c>
      <c r="I421" s="2104">
        <f t="shared" si="93"/>
        <v>0</v>
      </c>
      <c r="J421" s="2125">
        <f t="shared" si="94"/>
        <v>3.5000000000000003E-2</v>
      </c>
      <c r="K421" s="2083"/>
      <c r="L421" s="2106"/>
      <c r="N421" s="2071">
        <f t="shared" si="95"/>
        <v>405</v>
      </c>
      <c r="O421" s="2130">
        <f>IF(D420=D421,O420+0.00001,ROUNDDOWN(MAX($O$16:$O420),0)+1)</f>
        <v>4.0500000000000033E-3</v>
      </c>
      <c r="P421" s="2131">
        <f t="shared" si="87"/>
        <v>0</v>
      </c>
      <c r="Q421" s="2131">
        <f t="shared" si="88"/>
        <v>0</v>
      </c>
      <c r="R421" s="2131">
        <f t="shared" si="89"/>
        <v>0</v>
      </c>
      <c r="S421" s="2130">
        <f>IF(J420=J421,S420+0.00001,ROUNDDOWN(MAX($S$16:$S420),0)+1)</f>
        <v>2.0028500000000187</v>
      </c>
      <c r="T421" s="2131">
        <f t="shared" si="90"/>
        <v>0</v>
      </c>
      <c r="U421" s="2131">
        <f t="shared" si="91"/>
        <v>0</v>
      </c>
      <c r="V421" s="2071">
        <f t="shared" si="96"/>
        <v>405</v>
      </c>
    </row>
    <row r="422" spans="1:22" hidden="1">
      <c r="A422" s="2124">
        <f t="shared" si="97"/>
        <v>1</v>
      </c>
      <c r="B422" s="2073">
        <v>406</v>
      </c>
      <c r="C422" s="2104">
        <f t="shared" si="98"/>
        <v>0</v>
      </c>
      <c r="D422" s="2125">
        <f t="shared" si="86"/>
        <v>0.03</v>
      </c>
      <c r="E422" s="2104">
        <f t="shared" si="92"/>
        <v>0</v>
      </c>
      <c r="F422" s="2135"/>
      <c r="G422" s="2127">
        <f t="shared" si="99"/>
        <v>3</v>
      </c>
      <c r="H422" s="2075">
        <v>406</v>
      </c>
      <c r="I422" s="2104">
        <f t="shared" si="93"/>
        <v>0</v>
      </c>
      <c r="J422" s="2125">
        <f t="shared" si="94"/>
        <v>3.5000000000000003E-2</v>
      </c>
      <c r="K422" s="2083"/>
      <c r="L422" s="2106"/>
      <c r="N422" s="2071">
        <f t="shared" si="95"/>
        <v>406</v>
      </c>
      <c r="O422" s="2130">
        <f>IF(D421=D422,O421+0.00001,ROUNDDOWN(MAX($O$16:$O421),0)+1)</f>
        <v>4.0600000000000028E-3</v>
      </c>
      <c r="P422" s="2131">
        <f t="shared" si="87"/>
        <v>0</v>
      </c>
      <c r="Q422" s="2131">
        <f t="shared" si="88"/>
        <v>0</v>
      </c>
      <c r="R422" s="2131">
        <f t="shared" si="89"/>
        <v>0</v>
      </c>
      <c r="S422" s="2130">
        <f>IF(J421=J422,S421+0.00001,ROUNDDOWN(MAX($S$16:$S421),0)+1)</f>
        <v>2.0028600000000187</v>
      </c>
      <c r="T422" s="2131">
        <f t="shared" si="90"/>
        <v>0</v>
      </c>
      <c r="U422" s="2131">
        <f t="shared" si="91"/>
        <v>0</v>
      </c>
      <c r="V422" s="2071">
        <f t="shared" si="96"/>
        <v>406</v>
      </c>
    </row>
    <row r="423" spans="1:22" hidden="1">
      <c r="A423" s="2124">
        <f t="shared" si="97"/>
        <v>1</v>
      </c>
      <c r="B423" s="2073">
        <v>407</v>
      </c>
      <c r="C423" s="2104">
        <f t="shared" si="98"/>
        <v>0</v>
      </c>
      <c r="D423" s="2125">
        <f t="shared" si="86"/>
        <v>0.03</v>
      </c>
      <c r="E423" s="2104">
        <f t="shared" si="92"/>
        <v>0</v>
      </c>
      <c r="F423" s="2135"/>
      <c r="G423" s="2127">
        <f t="shared" si="99"/>
        <v>3</v>
      </c>
      <c r="H423" s="2075">
        <v>407</v>
      </c>
      <c r="I423" s="2104">
        <f t="shared" si="93"/>
        <v>0</v>
      </c>
      <c r="J423" s="2125">
        <f t="shared" si="94"/>
        <v>3.5000000000000003E-2</v>
      </c>
      <c r="K423" s="2083"/>
      <c r="L423" s="2106"/>
      <c r="N423" s="2071">
        <f t="shared" si="95"/>
        <v>407</v>
      </c>
      <c r="O423" s="2130">
        <f>IF(D422=D423,O422+0.00001,ROUNDDOWN(MAX($O$16:$O422),0)+1)</f>
        <v>4.0700000000000024E-3</v>
      </c>
      <c r="P423" s="2131">
        <f t="shared" si="87"/>
        <v>0</v>
      </c>
      <c r="Q423" s="2131">
        <f t="shared" si="88"/>
        <v>0</v>
      </c>
      <c r="R423" s="2131">
        <f t="shared" si="89"/>
        <v>0</v>
      </c>
      <c r="S423" s="2130">
        <f>IF(J422=J423,S422+0.00001,ROUNDDOWN(MAX($S$16:$S422),0)+1)</f>
        <v>2.0028700000000188</v>
      </c>
      <c r="T423" s="2131">
        <f t="shared" si="90"/>
        <v>0</v>
      </c>
      <c r="U423" s="2131">
        <f t="shared" si="91"/>
        <v>0</v>
      </c>
      <c r="V423" s="2071">
        <f t="shared" si="96"/>
        <v>407</v>
      </c>
    </row>
    <row r="424" spans="1:22" hidden="1">
      <c r="A424" s="2124">
        <f t="shared" si="97"/>
        <v>1</v>
      </c>
      <c r="B424" s="2073">
        <v>408</v>
      </c>
      <c r="C424" s="2104">
        <f t="shared" si="98"/>
        <v>0</v>
      </c>
      <c r="D424" s="2125">
        <f t="shared" si="86"/>
        <v>0.03</v>
      </c>
      <c r="E424" s="2104">
        <f t="shared" si="92"/>
        <v>0</v>
      </c>
      <c r="F424" s="2135"/>
      <c r="G424" s="2127">
        <f t="shared" si="99"/>
        <v>3</v>
      </c>
      <c r="H424" s="2075">
        <v>408</v>
      </c>
      <c r="I424" s="2104">
        <f t="shared" si="93"/>
        <v>0</v>
      </c>
      <c r="J424" s="2125">
        <f t="shared" si="94"/>
        <v>3.5000000000000003E-2</v>
      </c>
      <c r="K424" s="2083"/>
      <c r="L424" s="2106"/>
      <c r="N424" s="2071">
        <f t="shared" si="95"/>
        <v>408</v>
      </c>
      <c r="O424" s="2130">
        <f>IF(D423=D424,O423+0.00001,ROUNDDOWN(MAX($O$16:$O423),0)+1)</f>
        <v>4.080000000000002E-3</v>
      </c>
      <c r="P424" s="2131">
        <f t="shared" si="87"/>
        <v>0</v>
      </c>
      <c r="Q424" s="2131">
        <f t="shared" si="88"/>
        <v>0</v>
      </c>
      <c r="R424" s="2131">
        <f t="shared" si="89"/>
        <v>0</v>
      </c>
      <c r="S424" s="2130">
        <f>IF(J423=J424,S423+0.00001,ROUNDDOWN(MAX($S$16:$S423),0)+1)</f>
        <v>2.0028800000000189</v>
      </c>
      <c r="T424" s="2131">
        <f t="shared" si="90"/>
        <v>0</v>
      </c>
      <c r="U424" s="2131">
        <f t="shared" si="91"/>
        <v>0</v>
      </c>
      <c r="V424" s="2071">
        <f t="shared" si="96"/>
        <v>408</v>
      </c>
    </row>
    <row r="425" spans="1:22" hidden="1">
      <c r="A425" s="2124">
        <f t="shared" si="97"/>
        <v>1</v>
      </c>
      <c r="B425" s="2073">
        <v>409</v>
      </c>
      <c r="C425" s="2104">
        <f t="shared" si="98"/>
        <v>0</v>
      </c>
      <c r="D425" s="2125">
        <f t="shared" si="86"/>
        <v>0.03</v>
      </c>
      <c r="E425" s="2104">
        <f t="shared" si="92"/>
        <v>0</v>
      </c>
      <c r="F425" s="2135"/>
      <c r="G425" s="2127">
        <f t="shared" si="99"/>
        <v>3</v>
      </c>
      <c r="H425" s="2075">
        <v>409</v>
      </c>
      <c r="I425" s="2104">
        <f t="shared" si="93"/>
        <v>0</v>
      </c>
      <c r="J425" s="2125">
        <f t="shared" si="94"/>
        <v>3.5000000000000003E-2</v>
      </c>
      <c r="K425" s="2083"/>
      <c r="L425" s="2106"/>
      <c r="N425" s="2071">
        <f t="shared" si="95"/>
        <v>409</v>
      </c>
      <c r="O425" s="2130">
        <f>IF(D424=D425,O424+0.00001,ROUNDDOWN(MAX($O$16:$O424),0)+1)</f>
        <v>4.0900000000000016E-3</v>
      </c>
      <c r="P425" s="2131">
        <f t="shared" si="87"/>
        <v>0</v>
      </c>
      <c r="Q425" s="2131">
        <f t="shared" si="88"/>
        <v>0</v>
      </c>
      <c r="R425" s="2131">
        <f t="shared" si="89"/>
        <v>0</v>
      </c>
      <c r="S425" s="2130">
        <f>IF(J424=J425,S424+0.00001,ROUNDDOWN(MAX($S$16:$S424),0)+1)</f>
        <v>2.0028900000000189</v>
      </c>
      <c r="T425" s="2131">
        <f t="shared" si="90"/>
        <v>0</v>
      </c>
      <c r="U425" s="2131">
        <f t="shared" si="91"/>
        <v>0</v>
      </c>
      <c r="V425" s="2071">
        <f t="shared" si="96"/>
        <v>409</v>
      </c>
    </row>
    <row r="426" spans="1:22" hidden="1">
      <c r="A426" s="2124">
        <f t="shared" si="97"/>
        <v>1</v>
      </c>
      <c r="B426" s="2073">
        <v>410</v>
      </c>
      <c r="C426" s="2104">
        <f t="shared" si="98"/>
        <v>0</v>
      </c>
      <c r="D426" s="2125">
        <f t="shared" si="86"/>
        <v>0.03</v>
      </c>
      <c r="E426" s="2104">
        <f t="shared" si="92"/>
        <v>0</v>
      </c>
      <c r="F426" s="2135"/>
      <c r="G426" s="2127">
        <f t="shared" si="99"/>
        <v>3</v>
      </c>
      <c r="H426" s="2075">
        <v>410</v>
      </c>
      <c r="I426" s="2104">
        <f t="shared" si="93"/>
        <v>0</v>
      </c>
      <c r="J426" s="2125">
        <f t="shared" si="94"/>
        <v>3.5000000000000003E-2</v>
      </c>
      <c r="K426" s="2083"/>
      <c r="L426" s="2106"/>
      <c r="N426" s="2071">
        <f t="shared" si="95"/>
        <v>410</v>
      </c>
      <c r="O426" s="2130">
        <f>IF(D425=D426,O425+0.00001,ROUNDDOWN(MAX($O$16:$O425),0)+1)</f>
        <v>4.1000000000000012E-3</v>
      </c>
      <c r="P426" s="2131">
        <f t="shared" si="87"/>
        <v>0</v>
      </c>
      <c r="Q426" s="2131">
        <f t="shared" si="88"/>
        <v>0</v>
      </c>
      <c r="R426" s="2131">
        <f t="shared" si="89"/>
        <v>0</v>
      </c>
      <c r="S426" s="2130">
        <f>IF(J425=J426,S425+0.00001,ROUNDDOWN(MAX($S$16:$S425),0)+1)</f>
        <v>2.002900000000019</v>
      </c>
      <c r="T426" s="2131">
        <f t="shared" si="90"/>
        <v>0</v>
      </c>
      <c r="U426" s="2131">
        <f t="shared" si="91"/>
        <v>0</v>
      </c>
      <c r="V426" s="2071">
        <f t="shared" si="96"/>
        <v>410</v>
      </c>
    </row>
    <row r="427" spans="1:22" hidden="1">
      <c r="A427" s="2124">
        <f t="shared" si="97"/>
        <v>1</v>
      </c>
      <c r="B427" s="2073">
        <v>411</v>
      </c>
      <c r="C427" s="2104">
        <f t="shared" si="98"/>
        <v>0</v>
      </c>
      <c r="D427" s="2125">
        <f t="shared" si="86"/>
        <v>0.03</v>
      </c>
      <c r="E427" s="2104">
        <f t="shared" si="92"/>
        <v>0</v>
      </c>
      <c r="F427" s="2135"/>
      <c r="G427" s="2127">
        <f t="shared" si="99"/>
        <v>3</v>
      </c>
      <c r="H427" s="2075">
        <v>411</v>
      </c>
      <c r="I427" s="2104">
        <f t="shared" si="93"/>
        <v>0</v>
      </c>
      <c r="J427" s="2125">
        <f t="shared" si="94"/>
        <v>3.5000000000000003E-2</v>
      </c>
      <c r="K427" s="2083"/>
      <c r="L427" s="2106"/>
      <c r="N427" s="2071">
        <f t="shared" si="95"/>
        <v>411</v>
      </c>
      <c r="O427" s="2130">
        <f>IF(D426=D427,O426+0.00001,ROUNDDOWN(MAX($O$16:$O426),0)+1)</f>
        <v>4.1100000000000008E-3</v>
      </c>
      <c r="P427" s="2131">
        <f t="shared" si="87"/>
        <v>0</v>
      </c>
      <c r="Q427" s="2131">
        <f t="shared" si="88"/>
        <v>0</v>
      </c>
      <c r="R427" s="2131">
        <f t="shared" si="89"/>
        <v>0</v>
      </c>
      <c r="S427" s="2130">
        <f>IF(J426=J427,S426+0.00001,ROUNDDOWN(MAX($S$16:$S426),0)+1)</f>
        <v>2.0029100000000191</v>
      </c>
      <c r="T427" s="2131">
        <f t="shared" si="90"/>
        <v>0</v>
      </c>
      <c r="U427" s="2131">
        <f t="shared" si="91"/>
        <v>0</v>
      </c>
      <c r="V427" s="2071">
        <f t="shared" si="96"/>
        <v>411</v>
      </c>
    </row>
    <row r="428" spans="1:22" hidden="1">
      <c r="A428" s="2124">
        <f t="shared" si="97"/>
        <v>1</v>
      </c>
      <c r="B428" s="2073">
        <v>412</v>
      </c>
      <c r="C428" s="2104">
        <f t="shared" si="98"/>
        <v>0</v>
      </c>
      <c r="D428" s="2125">
        <f t="shared" si="86"/>
        <v>0.03</v>
      </c>
      <c r="E428" s="2104">
        <f t="shared" si="92"/>
        <v>0</v>
      </c>
      <c r="F428" s="2135"/>
      <c r="G428" s="2127">
        <f t="shared" si="99"/>
        <v>3</v>
      </c>
      <c r="H428" s="2075">
        <v>412</v>
      </c>
      <c r="I428" s="2104">
        <f t="shared" si="93"/>
        <v>0</v>
      </c>
      <c r="J428" s="2125">
        <f t="shared" si="94"/>
        <v>3.5000000000000003E-2</v>
      </c>
      <c r="K428" s="2083"/>
      <c r="L428" s="2106"/>
      <c r="N428" s="2071">
        <f t="shared" si="95"/>
        <v>412</v>
      </c>
      <c r="O428" s="2130">
        <f>IF(D427=D428,O427+0.00001,ROUNDDOWN(MAX($O$16:$O427),0)+1)</f>
        <v>4.1200000000000004E-3</v>
      </c>
      <c r="P428" s="2131">
        <f t="shared" si="87"/>
        <v>0</v>
      </c>
      <c r="Q428" s="2131">
        <f t="shared" si="88"/>
        <v>0</v>
      </c>
      <c r="R428" s="2131">
        <f t="shared" si="89"/>
        <v>0</v>
      </c>
      <c r="S428" s="2130">
        <f>IF(J427=J428,S427+0.00001,ROUNDDOWN(MAX($S$16:$S427),0)+1)</f>
        <v>2.0029200000000191</v>
      </c>
      <c r="T428" s="2131">
        <f t="shared" si="90"/>
        <v>0</v>
      </c>
      <c r="U428" s="2131">
        <f t="shared" si="91"/>
        <v>0</v>
      </c>
      <c r="V428" s="2071">
        <f t="shared" si="96"/>
        <v>412</v>
      </c>
    </row>
    <row r="429" spans="1:22" hidden="1">
      <c r="A429" s="2124">
        <f t="shared" si="97"/>
        <v>1</v>
      </c>
      <c r="B429" s="2073">
        <v>413</v>
      </c>
      <c r="C429" s="2104">
        <f t="shared" si="98"/>
        <v>0</v>
      </c>
      <c r="D429" s="2125">
        <f t="shared" si="86"/>
        <v>0.03</v>
      </c>
      <c r="E429" s="2104">
        <f t="shared" si="92"/>
        <v>0</v>
      </c>
      <c r="F429" s="2135"/>
      <c r="G429" s="2127">
        <f t="shared" si="99"/>
        <v>3</v>
      </c>
      <c r="H429" s="2075">
        <v>413</v>
      </c>
      <c r="I429" s="2104">
        <f t="shared" si="93"/>
        <v>0</v>
      </c>
      <c r="J429" s="2125">
        <f t="shared" si="94"/>
        <v>3.5000000000000003E-2</v>
      </c>
      <c r="K429" s="2083"/>
      <c r="L429" s="2106"/>
      <c r="N429" s="2071">
        <f t="shared" si="95"/>
        <v>413</v>
      </c>
      <c r="O429" s="2130">
        <f>IF(D428=D429,O428+0.00001,ROUNDDOWN(MAX($O$16:$O428),0)+1)</f>
        <v>4.13E-3</v>
      </c>
      <c r="P429" s="2131">
        <f t="shared" si="87"/>
        <v>0</v>
      </c>
      <c r="Q429" s="2131">
        <f t="shared" si="88"/>
        <v>0</v>
      </c>
      <c r="R429" s="2131">
        <f t="shared" si="89"/>
        <v>0</v>
      </c>
      <c r="S429" s="2130">
        <f>IF(J428=J429,S428+0.00001,ROUNDDOWN(MAX($S$16:$S428),0)+1)</f>
        <v>2.0029300000000192</v>
      </c>
      <c r="T429" s="2131">
        <f t="shared" si="90"/>
        <v>0</v>
      </c>
      <c r="U429" s="2131">
        <f t="shared" si="91"/>
        <v>0</v>
      </c>
      <c r="V429" s="2071">
        <f t="shared" si="96"/>
        <v>413</v>
      </c>
    </row>
    <row r="430" spans="1:22" hidden="1">
      <c r="A430" s="2124">
        <f t="shared" si="97"/>
        <v>1</v>
      </c>
      <c r="B430" s="2073">
        <v>414</v>
      </c>
      <c r="C430" s="2104">
        <f t="shared" si="98"/>
        <v>0</v>
      </c>
      <c r="D430" s="2125">
        <f t="shared" si="86"/>
        <v>0.03</v>
      </c>
      <c r="E430" s="2104">
        <f t="shared" si="92"/>
        <v>0</v>
      </c>
      <c r="F430" s="2135"/>
      <c r="G430" s="2127">
        <f t="shared" si="99"/>
        <v>3</v>
      </c>
      <c r="H430" s="2075">
        <v>414</v>
      </c>
      <c r="I430" s="2104">
        <f t="shared" si="93"/>
        <v>0</v>
      </c>
      <c r="J430" s="2125">
        <f t="shared" si="94"/>
        <v>3.5000000000000003E-2</v>
      </c>
      <c r="K430" s="2083"/>
      <c r="L430" s="2106"/>
      <c r="N430" s="2071">
        <f t="shared" si="95"/>
        <v>414</v>
      </c>
      <c r="O430" s="2130">
        <f>IF(D429=D430,O429+0.00001,ROUNDDOWN(MAX($O$16:$O429),0)+1)</f>
        <v>4.1399999999999996E-3</v>
      </c>
      <c r="P430" s="2131">
        <f t="shared" si="87"/>
        <v>0</v>
      </c>
      <c r="Q430" s="2131">
        <f t="shared" si="88"/>
        <v>0</v>
      </c>
      <c r="R430" s="2131">
        <f t="shared" si="89"/>
        <v>0</v>
      </c>
      <c r="S430" s="2130">
        <f>IF(J429=J430,S429+0.00001,ROUNDDOWN(MAX($S$16:$S429),0)+1)</f>
        <v>2.0029400000000193</v>
      </c>
      <c r="T430" s="2131">
        <f t="shared" si="90"/>
        <v>0</v>
      </c>
      <c r="U430" s="2131">
        <f t="shared" si="91"/>
        <v>0</v>
      </c>
      <c r="V430" s="2071">
        <f t="shared" si="96"/>
        <v>414</v>
      </c>
    </row>
    <row r="431" spans="1:22" hidden="1">
      <c r="A431" s="2124">
        <f t="shared" si="97"/>
        <v>1</v>
      </c>
      <c r="B431" s="2073">
        <v>415</v>
      </c>
      <c r="C431" s="2104">
        <f t="shared" si="98"/>
        <v>0</v>
      </c>
      <c r="D431" s="2125">
        <f t="shared" si="86"/>
        <v>0.03</v>
      </c>
      <c r="E431" s="2104">
        <f t="shared" si="92"/>
        <v>0</v>
      </c>
      <c r="F431" s="2135"/>
      <c r="G431" s="2127">
        <f t="shared" si="99"/>
        <v>3</v>
      </c>
      <c r="H431" s="2075">
        <v>415</v>
      </c>
      <c r="I431" s="2104">
        <f t="shared" si="93"/>
        <v>0</v>
      </c>
      <c r="J431" s="2125">
        <f t="shared" si="94"/>
        <v>3.5000000000000003E-2</v>
      </c>
      <c r="K431" s="2083"/>
      <c r="L431" s="2106"/>
      <c r="N431" s="2071">
        <f t="shared" si="95"/>
        <v>415</v>
      </c>
      <c r="O431" s="2130">
        <f>IF(D430=D431,O430+0.00001,ROUNDDOWN(MAX($O$16:$O430),0)+1)</f>
        <v>4.1499999999999992E-3</v>
      </c>
      <c r="P431" s="2131">
        <f t="shared" si="87"/>
        <v>0</v>
      </c>
      <c r="Q431" s="2131">
        <f t="shared" si="88"/>
        <v>0</v>
      </c>
      <c r="R431" s="2131">
        <f t="shared" si="89"/>
        <v>0</v>
      </c>
      <c r="S431" s="2130">
        <f>IF(J430=J431,S430+0.00001,ROUNDDOWN(MAX($S$16:$S430),0)+1)</f>
        <v>2.0029500000000193</v>
      </c>
      <c r="T431" s="2131">
        <f t="shared" si="90"/>
        <v>0</v>
      </c>
      <c r="U431" s="2131">
        <f t="shared" si="91"/>
        <v>0</v>
      </c>
      <c r="V431" s="2071">
        <f t="shared" si="96"/>
        <v>415</v>
      </c>
    </row>
    <row r="432" spans="1:22" hidden="1">
      <c r="A432" s="2124">
        <f t="shared" si="97"/>
        <v>1</v>
      </c>
      <c r="B432" s="2073">
        <v>416</v>
      </c>
      <c r="C432" s="2104">
        <f t="shared" si="98"/>
        <v>0</v>
      </c>
      <c r="D432" s="2125">
        <f t="shared" si="86"/>
        <v>0.03</v>
      </c>
      <c r="E432" s="2104">
        <f t="shared" si="92"/>
        <v>0</v>
      </c>
      <c r="F432" s="2135"/>
      <c r="G432" s="2127">
        <f t="shared" si="99"/>
        <v>3</v>
      </c>
      <c r="H432" s="2075">
        <v>416</v>
      </c>
      <c r="I432" s="2104">
        <f t="shared" si="93"/>
        <v>0</v>
      </c>
      <c r="J432" s="2125">
        <f t="shared" si="94"/>
        <v>3.5000000000000003E-2</v>
      </c>
      <c r="K432" s="2083"/>
      <c r="L432" s="2106"/>
      <c r="N432" s="2071">
        <f t="shared" si="95"/>
        <v>416</v>
      </c>
      <c r="O432" s="2130">
        <f>IF(D431=D432,O431+0.00001,ROUNDDOWN(MAX($O$16:$O431),0)+1)</f>
        <v>4.1599999999999988E-3</v>
      </c>
      <c r="P432" s="2131">
        <f t="shared" si="87"/>
        <v>0</v>
      </c>
      <c r="Q432" s="2131">
        <f t="shared" si="88"/>
        <v>0</v>
      </c>
      <c r="R432" s="2131">
        <f t="shared" si="89"/>
        <v>0</v>
      </c>
      <c r="S432" s="2130">
        <f>IF(J431=J432,S431+0.00001,ROUNDDOWN(MAX($S$16:$S431),0)+1)</f>
        <v>2.0029600000000194</v>
      </c>
      <c r="T432" s="2131">
        <f t="shared" si="90"/>
        <v>0</v>
      </c>
      <c r="U432" s="2131">
        <f t="shared" si="91"/>
        <v>0</v>
      </c>
      <c r="V432" s="2071">
        <f t="shared" si="96"/>
        <v>416</v>
      </c>
    </row>
    <row r="433" spans="1:22" hidden="1">
      <c r="A433" s="2124">
        <f t="shared" si="97"/>
        <v>1</v>
      </c>
      <c r="B433" s="2073">
        <v>417</v>
      </c>
      <c r="C433" s="2104">
        <f t="shared" si="98"/>
        <v>0</v>
      </c>
      <c r="D433" s="2125">
        <f t="shared" si="86"/>
        <v>0.03</v>
      </c>
      <c r="E433" s="2104">
        <f t="shared" si="92"/>
        <v>0</v>
      </c>
      <c r="F433" s="2135"/>
      <c r="G433" s="2127">
        <f t="shared" si="99"/>
        <v>3</v>
      </c>
      <c r="H433" s="2075">
        <v>417</v>
      </c>
      <c r="I433" s="2104">
        <f t="shared" si="93"/>
        <v>0</v>
      </c>
      <c r="J433" s="2125">
        <f t="shared" si="94"/>
        <v>3.5000000000000003E-2</v>
      </c>
      <c r="K433" s="2083"/>
      <c r="L433" s="2106"/>
      <c r="N433" s="2071">
        <f t="shared" si="95"/>
        <v>417</v>
      </c>
      <c r="O433" s="2130">
        <f>IF(D432=D433,O432+0.00001,ROUNDDOWN(MAX($O$16:$O432),0)+1)</f>
        <v>4.1699999999999984E-3</v>
      </c>
      <c r="P433" s="2131">
        <f t="shared" si="87"/>
        <v>0</v>
      </c>
      <c r="Q433" s="2131">
        <f t="shared" si="88"/>
        <v>0</v>
      </c>
      <c r="R433" s="2131">
        <f t="shared" si="89"/>
        <v>0</v>
      </c>
      <c r="S433" s="2130">
        <f>IF(J432=J433,S432+0.00001,ROUNDDOWN(MAX($S$16:$S432),0)+1)</f>
        <v>2.0029700000000195</v>
      </c>
      <c r="T433" s="2131">
        <f t="shared" si="90"/>
        <v>0</v>
      </c>
      <c r="U433" s="2131">
        <f t="shared" si="91"/>
        <v>0</v>
      </c>
      <c r="V433" s="2071">
        <f t="shared" si="96"/>
        <v>417</v>
      </c>
    </row>
    <row r="434" spans="1:22" hidden="1">
      <c r="A434" s="2124">
        <f t="shared" si="97"/>
        <v>1</v>
      </c>
      <c r="B434" s="2073">
        <v>418</v>
      </c>
      <c r="C434" s="2104">
        <f t="shared" si="98"/>
        <v>0</v>
      </c>
      <c r="D434" s="2125">
        <f t="shared" si="86"/>
        <v>0.03</v>
      </c>
      <c r="E434" s="2104">
        <f t="shared" si="92"/>
        <v>0</v>
      </c>
      <c r="F434" s="2135"/>
      <c r="G434" s="2127">
        <f t="shared" si="99"/>
        <v>3</v>
      </c>
      <c r="H434" s="2075">
        <v>418</v>
      </c>
      <c r="I434" s="2104">
        <f t="shared" si="93"/>
        <v>0</v>
      </c>
      <c r="J434" s="2125">
        <f t="shared" si="94"/>
        <v>3.5000000000000003E-2</v>
      </c>
      <c r="K434" s="2083"/>
      <c r="L434" s="2106"/>
      <c r="N434" s="2071">
        <f t="shared" si="95"/>
        <v>418</v>
      </c>
      <c r="O434" s="2130">
        <f>IF(D433=D434,O433+0.00001,ROUNDDOWN(MAX($O$16:$O433),0)+1)</f>
        <v>4.179999999999998E-3</v>
      </c>
      <c r="P434" s="2131">
        <f t="shared" si="87"/>
        <v>0</v>
      </c>
      <c r="Q434" s="2131">
        <f t="shared" si="88"/>
        <v>0</v>
      </c>
      <c r="R434" s="2131">
        <f t="shared" si="89"/>
        <v>0</v>
      </c>
      <c r="S434" s="2130">
        <f>IF(J433=J434,S433+0.00001,ROUNDDOWN(MAX($S$16:$S433),0)+1)</f>
        <v>2.0029800000000195</v>
      </c>
      <c r="T434" s="2131">
        <f t="shared" si="90"/>
        <v>0</v>
      </c>
      <c r="U434" s="2131">
        <f t="shared" si="91"/>
        <v>0</v>
      </c>
      <c r="V434" s="2071">
        <f t="shared" si="96"/>
        <v>418</v>
      </c>
    </row>
    <row r="435" spans="1:22" hidden="1">
      <c r="A435" s="2124">
        <f t="shared" si="97"/>
        <v>1</v>
      </c>
      <c r="B435" s="2073">
        <v>419</v>
      </c>
      <c r="C435" s="2104">
        <f t="shared" si="98"/>
        <v>0</v>
      </c>
      <c r="D435" s="2125">
        <f t="shared" si="86"/>
        <v>0.03</v>
      </c>
      <c r="E435" s="2104">
        <f t="shared" si="92"/>
        <v>0</v>
      </c>
      <c r="F435" s="2135"/>
      <c r="G435" s="2127">
        <f t="shared" si="99"/>
        <v>3</v>
      </c>
      <c r="H435" s="2075">
        <v>419</v>
      </c>
      <c r="I435" s="2104">
        <f t="shared" si="93"/>
        <v>0</v>
      </c>
      <c r="J435" s="2125">
        <f t="shared" si="94"/>
        <v>3.5000000000000003E-2</v>
      </c>
      <c r="K435" s="2083"/>
      <c r="L435" s="2106"/>
      <c r="N435" s="2071">
        <f t="shared" si="95"/>
        <v>419</v>
      </c>
      <c r="O435" s="2130">
        <f>IF(D434=D435,O434+0.00001,ROUNDDOWN(MAX($O$16:$O434),0)+1)</f>
        <v>4.1899999999999975E-3</v>
      </c>
      <c r="P435" s="2131">
        <f t="shared" si="87"/>
        <v>0</v>
      </c>
      <c r="Q435" s="2131">
        <f t="shared" si="88"/>
        <v>0</v>
      </c>
      <c r="R435" s="2131">
        <f t="shared" si="89"/>
        <v>0</v>
      </c>
      <c r="S435" s="2130">
        <f>IF(J434=J435,S434+0.00001,ROUNDDOWN(MAX($S$16:$S434),0)+1)</f>
        <v>2.0029900000000196</v>
      </c>
      <c r="T435" s="2131">
        <f t="shared" si="90"/>
        <v>0</v>
      </c>
      <c r="U435" s="2131">
        <f t="shared" si="91"/>
        <v>0</v>
      </c>
      <c r="V435" s="2071">
        <f t="shared" si="96"/>
        <v>419</v>
      </c>
    </row>
    <row r="436" spans="1:22" hidden="1">
      <c r="A436" s="2124">
        <f t="shared" si="97"/>
        <v>1</v>
      </c>
      <c r="B436" s="2073">
        <v>420</v>
      </c>
      <c r="C436" s="2104">
        <f t="shared" si="98"/>
        <v>0</v>
      </c>
      <c r="D436" s="2125">
        <f t="shared" si="86"/>
        <v>0.03</v>
      </c>
      <c r="E436" s="2104">
        <f t="shared" si="92"/>
        <v>0</v>
      </c>
      <c r="F436" s="2135"/>
      <c r="G436" s="2127">
        <f t="shared" si="99"/>
        <v>3</v>
      </c>
      <c r="H436" s="2075">
        <v>420</v>
      </c>
      <c r="I436" s="2104">
        <f t="shared" si="93"/>
        <v>0</v>
      </c>
      <c r="J436" s="2125">
        <f t="shared" si="94"/>
        <v>3.5000000000000003E-2</v>
      </c>
      <c r="K436" s="2083"/>
      <c r="L436" s="2106"/>
      <c r="N436" s="2071">
        <f t="shared" si="95"/>
        <v>420</v>
      </c>
      <c r="O436" s="2130">
        <f>IF(D435=D436,O435+0.00001,ROUNDDOWN(MAX($O$16:$O435),0)+1)</f>
        <v>4.1999999999999971E-3</v>
      </c>
      <c r="P436" s="2131">
        <f t="shared" si="87"/>
        <v>0</v>
      </c>
      <c r="Q436" s="2131">
        <f t="shared" si="88"/>
        <v>0</v>
      </c>
      <c r="R436" s="2131">
        <f t="shared" si="89"/>
        <v>0</v>
      </c>
      <c r="S436" s="2130">
        <f>IF(J435=J436,S435+0.00001,ROUNDDOWN(MAX($S$16:$S435),0)+1)</f>
        <v>2.0030000000000197</v>
      </c>
      <c r="T436" s="2131">
        <f t="shared" si="90"/>
        <v>0</v>
      </c>
      <c r="U436" s="2131">
        <f t="shared" si="91"/>
        <v>0</v>
      </c>
      <c r="V436" s="2071">
        <f t="shared" si="96"/>
        <v>420</v>
      </c>
    </row>
    <row r="437" spans="1:22" hidden="1">
      <c r="A437" s="2124">
        <f t="shared" si="97"/>
        <v>1</v>
      </c>
      <c r="B437" s="2073">
        <v>421</v>
      </c>
      <c r="C437" s="2104">
        <f t="shared" si="98"/>
        <v>0</v>
      </c>
      <c r="D437" s="2125">
        <f t="shared" si="86"/>
        <v>0.03</v>
      </c>
      <c r="E437" s="2104">
        <f t="shared" si="92"/>
        <v>0</v>
      </c>
      <c r="F437" s="2135"/>
      <c r="G437" s="2127">
        <f t="shared" si="99"/>
        <v>3</v>
      </c>
      <c r="H437" s="2075">
        <v>421</v>
      </c>
      <c r="I437" s="2104">
        <f t="shared" si="93"/>
        <v>0</v>
      </c>
      <c r="J437" s="2125">
        <f t="shared" si="94"/>
        <v>3.5000000000000003E-2</v>
      </c>
      <c r="K437" s="2083"/>
      <c r="L437" s="2106"/>
      <c r="N437" s="2071">
        <f t="shared" si="95"/>
        <v>421</v>
      </c>
      <c r="O437" s="2130">
        <f>IF(D436=D437,O436+0.00001,ROUNDDOWN(MAX($O$16:$O436),0)+1)</f>
        <v>4.2099999999999967E-3</v>
      </c>
      <c r="P437" s="2131">
        <f t="shared" si="87"/>
        <v>0</v>
      </c>
      <c r="Q437" s="2131">
        <f t="shared" si="88"/>
        <v>0</v>
      </c>
      <c r="R437" s="2131">
        <f t="shared" si="89"/>
        <v>0</v>
      </c>
      <c r="S437" s="2130">
        <f>IF(J436=J437,S436+0.00001,ROUNDDOWN(MAX($S$16:$S436),0)+1)</f>
        <v>2.0030100000000197</v>
      </c>
      <c r="T437" s="2131">
        <f t="shared" si="90"/>
        <v>0</v>
      </c>
      <c r="U437" s="2131">
        <f t="shared" si="91"/>
        <v>0</v>
      </c>
      <c r="V437" s="2071">
        <f t="shared" si="96"/>
        <v>421</v>
      </c>
    </row>
    <row r="438" spans="1:22" hidden="1">
      <c r="A438" s="2124">
        <f t="shared" si="97"/>
        <v>1</v>
      </c>
      <c r="B438" s="2073">
        <v>422</v>
      </c>
      <c r="C438" s="2104">
        <f t="shared" si="98"/>
        <v>0</v>
      </c>
      <c r="D438" s="2125">
        <f t="shared" si="86"/>
        <v>0.03</v>
      </c>
      <c r="E438" s="2104">
        <f t="shared" si="92"/>
        <v>0</v>
      </c>
      <c r="F438" s="2135"/>
      <c r="G438" s="2127">
        <f t="shared" si="99"/>
        <v>3</v>
      </c>
      <c r="H438" s="2075">
        <v>422</v>
      </c>
      <c r="I438" s="2104">
        <f t="shared" si="93"/>
        <v>0</v>
      </c>
      <c r="J438" s="2125">
        <f t="shared" si="94"/>
        <v>3.5000000000000003E-2</v>
      </c>
      <c r="K438" s="2083"/>
      <c r="L438" s="2106"/>
      <c r="N438" s="2071">
        <f t="shared" si="95"/>
        <v>422</v>
      </c>
      <c r="O438" s="2130">
        <f>IF(D437=D438,O437+0.00001,ROUNDDOWN(MAX($O$16:$O437),0)+1)</f>
        <v>4.2199999999999963E-3</v>
      </c>
      <c r="P438" s="2131">
        <f t="shared" si="87"/>
        <v>0</v>
      </c>
      <c r="Q438" s="2131">
        <f t="shared" si="88"/>
        <v>0</v>
      </c>
      <c r="R438" s="2131">
        <f t="shared" si="89"/>
        <v>0</v>
      </c>
      <c r="S438" s="2130">
        <f>IF(J437=J438,S437+0.00001,ROUNDDOWN(MAX($S$16:$S437),0)+1)</f>
        <v>2.0030200000000198</v>
      </c>
      <c r="T438" s="2131">
        <f t="shared" si="90"/>
        <v>0</v>
      </c>
      <c r="U438" s="2131">
        <f t="shared" si="91"/>
        <v>0</v>
      </c>
      <c r="V438" s="2071">
        <f t="shared" si="96"/>
        <v>422</v>
      </c>
    </row>
    <row r="439" spans="1:22" hidden="1">
      <c r="A439" s="2124">
        <f t="shared" si="97"/>
        <v>1</v>
      </c>
      <c r="B439" s="2073">
        <v>423</v>
      </c>
      <c r="C439" s="2104">
        <f t="shared" si="98"/>
        <v>0</v>
      </c>
      <c r="D439" s="2125">
        <f t="shared" si="86"/>
        <v>0.03</v>
      </c>
      <c r="E439" s="2104">
        <f t="shared" si="92"/>
        <v>0</v>
      </c>
      <c r="F439" s="2135"/>
      <c r="G439" s="2127">
        <f t="shared" si="99"/>
        <v>3</v>
      </c>
      <c r="H439" s="2075">
        <v>423</v>
      </c>
      <c r="I439" s="2104">
        <f t="shared" si="93"/>
        <v>0</v>
      </c>
      <c r="J439" s="2125">
        <f t="shared" si="94"/>
        <v>3.5000000000000003E-2</v>
      </c>
      <c r="K439" s="2083"/>
      <c r="L439" s="2106"/>
      <c r="N439" s="2071">
        <f t="shared" si="95"/>
        <v>423</v>
      </c>
      <c r="O439" s="2130">
        <f>IF(D438=D439,O438+0.00001,ROUNDDOWN(MAX($O$16:$O438),0)+1)</f>
        <v>4.2299999999999959E-3</v>
      </c>
      <c r="P439" s="2131">
        <f t="shared" si="87"/>
        <v>0</v>
      </c>
      <c r="Q439" s="2131">
        <f t="shared" si="88"/>
        <v>0</v>
      </c>
      <c r="R439" s="2131">
        <f t="shared" si="89"/>
        <v>0</v>
      </c>
      <c r="S439" s="2130">
        <f>IF(J438=J439,S438+0.00001,ROUNDDOWN(MAX($S$16:$S438),0)+1)</f>
        <v>2.0030300000000199</v>
      </c>
      <c r="T439" s="2131">
        <f t="shared" si="90"/>
        <v>0</v>
      </c>
      <c r="U439" s="2131">
        <f t="shared" si="91"/>
        <v>0</v>
      </c>
      <c r="V439" s="2071">
        <f t="shared" si="96"/>
        <v>423</v>
      </c>
    </row>
    <row r="440" spans="1:22" hidden="1">
      <c r="A440" s="2124">
        <f t="shared" si="97"/>
        <v>1</v>
      </c>
      <c r="B440" s="2073">
        <v>424</v>
      </c>
      <c r="C440" s="2104">
        <f t="shared" si="98"/>
        <v>0</v>
      </c>
      <c r="D440" s="2125">
        <f t="shared" si="86"/>
        <v>0.03</v>
      </c>
      <c r="E440" s="2104">
        <f t="shared" si="92"/>
        <v>0</v>
      </c>
      <c r="F440" s="2135"/>
      <c r="G440" s="2127">
        <f t="shared" si="99"/>
        <v>3</v>
      </c>
      <c r="H440" s="2075">
        <v>424</v>
      </c>
      <c r="I440" s="2104">
        <f t="shared" si="93"/>
        <v>0</v>
      </c>
      <c r="J440" s="2125">
        <f t="shared" si="94"/>
        <v>3.5000000000000003E-2</v>
      </c>
      <c r="K440" s="2083"/>
      <c r="L440" s="2106"/>
      <c r="N440" s="2071">
        <f t="shared" si="95"/>
        <v>424</v>
      </c>
      <c r="O440" s="2130">
        <f>IF(D439=D440,O439+0.00001,ROUNDDOWN(MAX($O$16:$O439),0)+1)</f>
        <v>4.2399999999999955E-3</v>
      </c>
      <c r="P440" s="2131">
        <f t="shared" si="87"/>
        <v>0</v>
      </c>
      <c r="Q440" s="2131">
        <f t="shared" si="88"/>
        <v>0</v>
      </c>
      <c r="R440" s="2131">
        <f t="shared" si="89"/>
        <v>0</v>
      </c>
      <c r="S440" s="2130">
        <f>IF(J439=J440,S439+0.00001,ROUNDDOWN(MAX($S$16:$S439),0)+1)</f>
        <v>2.0030400000000199</v>
      </c>
      <c r="T440" s="2131">
        <f t="shared" si="90"/>
        <v>0</v>
      </c>
      <c r="U440" s="2131">
        <f t="shared" si="91"/>
        <v>0</v>
      </c>
      <c r="V440" s="2071">
        <f t="shared" si="96"/>
        <v>424</v>
      </c>
    </row>
    <row r="441" spans="1:22" hidden="1">
      <c r="A441" s="2124">
        <f t="shared" si="97"/>
        <v>1</v>
      </c>
      <c r="B441" s="2073">
        <v>425</v>
      </c>
      <c r="C441" s="2104">
        <f t="shared" si="98"/>
        <v>0</v>
      </c>
      <c r="D441" s="2125">
        <f t="shared" si="86"/>
        <v>0.03</v>
      </c>
      <c r="E441" s="2104">
        <f t="shared" si="92"/>
        <v>0</v>
      </c>
      <c r="F441" s="2135"/>
      <c r="G441" s="2127">
        <f t="shared" si="99"/>
        <v>3</v>
      </c>
      <c r="H441" s="2075">
        <v>425</v>
      </c>
      <c r="I441" s="2104">
        <f t="shared" si="93"/>
        <v>0</v>
      </c>
      <c r="J441" s="2125">
        <f t="shared" si="94"/>
        <v>3.5000000000000003E-2</v>
      </c>
      <c r="K441" s="2083"/>
      <c r="L441" s="2106"/>
      <c r="N441" s="2071">
        <f t="shared" si="95"/>
        <v>425</v>
      </c>
      <c r="O441" s="2130">
        <f>IF(D440=D441,O440+0.00001,ROUNDDOWN(MAX($O$16:$O440),0)+1)</f>
        <v>4.2499999999999951E-3</v>
      </c>
      <c r="P441" s="2131">
        <f t="shared" si="87"/>
        <v>0</v>
      </c>
      <c r="Q441" s="2131">
        <f t="shared" si="88"/>
        <v>0</v>
      </c>
      <c r="R441" s="2131">
        <f t="shared" si="89"/>
        <v>0</v>
      </c>
      <c r="S441" s="2130">
        <f>IF(J440=J441,S440+0.00001,ROUNDDOWN(MAX($S$16:$S440),0)+1)</f>
        <v>2.00305000000002</v>
      </c>
      <c r="T441" s="2131">
        <f t="shared" si="90"/>
        <v>0</v>
      </c>
      <c r="U441" s="2131">
        <f t="shared" si="91"/>
        <v>0</v>
      </c>
      <c r="V441" s="2071">
        <f t="shared" si="96"/>
        <v>425</v>
      </c>
    </row>
    <row r="442" spans="1:22" hidden="1">
      <c r="A442" s="2124">
        <f t="shared" si="97"/>
        <v>1</v>
      </c>
      <c r="B442" s="2073">
        <v>426</v>
      </c>
      <c r="C442" s="2104">
        <f t="shared" si="98"/>
        <v>0</v>
      </c>
      <c r="D442" s="2125">
        <f t="shared" si="86"/>
        <v>0.03</v>
      </c>
      <c r="E442" s="2104">
        <f t="shared" si="92"/>
        <v>0</v>
      </c>
      <c r="F442" s="2135"/>
      <c r="G442" s="2127">
        <f t="shared" si="99"/>
        <v>3</v>
      </c>
      <c r="H442" s="2075">
        <v>426</v>
      </c>
      <c r="I442" s="2104">
        <f t="shared" si="93"/>
        <v>0</v>
      </c>
      <c r="J442" s="2125">
        <f t="shared" si="94"/>
        <v>3.5000000000000003E-2</v>
      </c>
      <c r="K442" s="2083"/>
      <c r="L442" s="2106"/>
      <c r="N442" s="2071">
        <f t="shared" si="95"/>
        <v>426</v>
      </c>
      <c r="O442" s="2130">
        <f>IF(D441=D442,O441+0.00001,ROUNDDOWN(MAX($O$16:$O441),0)+1)</f>
        <v>4.2599999999999947E-3</v>
      </c>
      <c r="P442" s="2131">
        <f t="shared" si="87"/>
        <v>0</v>
      </c>
      <c r="Q442" s="2131">
        <f t="shared" si="88"/>
        <v>0</v>
      </c>
      <c r="R442" s="2131">
        <f t="shared" si="89"/>
        <v>0</v>
      </c>
      <c r="S442" s="2130">
        <f>IF(J441=J442,S441+0.00001,ROUNDDOWN(MAX($S$16:$S441),0)+1)</f>
        <v>2.00306000000002</v>
      </c>
      <c r="T442" s="2131">
        <f t="shared" si="90"/>
        <v>0</v>
      </c>
      <c r="U442" s="2131">
        <f t="shared" si="91"/>
        <v>0</v>
      </c>
      <c r="V442" s="2071">
        <f t="shared" si="96"/>
        <v>426</v>
      </c>
    </row>
    <row r="443" spans="1:22" hidden="1">
      <c r="A443" s="2124">
        <f t="shared" si="97"/>
        <v>1</v>
      </c>
      <c r="B443" s="2073">
        <v>427</v>
      </c>
      <c r="C443" s="2104">
        <f t="shared" si="98"/>
        <v>0</v>
      </c>
      <c r="D443" s="2125">
        <f t="shared" si="86"/>
        <v>0.03</v>
      </c>
      <c r="E443" s="2104">
        <f t="shared" si="92"/>
        <v>0</v>
      </c>
      <c r="F443" s="2135"/>
      <c r="G443" s="2127">
        <f t="shared" si="99"/>
        <v>3</v>
      </c>
      <c r="H443" s="2075">
        <v>427</v>
      </c>
      <c r="I443" s="2104">
        <f t="shared" si="93"/>
        <v>0</v>
      </c>
      <c r="J443" s="2125">
        <f t="shared" si="94"/>
        <v>3.5000000000000003E-2</v>
      </c>
      <c r="K443" s="2083"/>
      <c r="L443" s="2106"/>
      <c r="N443" s="2071">
        <f t="shared" si="95"/>
        <v>427</v>
      </c>
      <c r="O443" s="2130">
        <f>IF(D442=D443,O442+0.00001,ROUNDDOWN(MAX($O$16:$O442),0)+1)</f>
        <v>4.2699999999999943E-3</v>
      </c>
      <c r="P443" s="2131">
        <f t="shared" si="87"/>
        <v>0</v>
      </c>
      <c r="Q443" s="2131">
        <f t="shared" si="88"/>
        <v>0</v>
      </c>
      <c r="R443" s="2131">
        <f t="shared" si="89"/>
        <v>0</v>
      </c>
      <c r="S443" s="2130">
        <f>IF(J442=J443,S442+0.00001,ROUNDDOWN(MAX($S$16:$S442),0)+1)</f>
        <v>2.0030700000000201</v>
      </c>
      <c r="T443" s="2131">
        <f t="shared" si="90"/>
        <v>0</v>
      </c>
      <c r="U443" s="2131">
        <f t="shared" si="91"/>
        <v>0</v>
      </c>
      <c r="V443" s="2071">
        <f t="shared" si="96"/>
        <v>427</v>
      </c>
    </row>
    <row r="444" spans="1:22" hidden="1">
      <c r="A444" s="2124">
        <f t="shared" si="97"/>
        <v>1</v>
      </c>
      <c r="B444" s="2073">
        <v>428</v>
      </c>
      <c r="C444" s="2104">
        <f t="shared" si="98"/>
        <v>0</v>
      </c>
      <c r="D444" s="2125">
        <f t="shared" si="86"/>
        <v>0.03</v>
      </c>
      <c r="E444" s="2104">
        <f t="shared" si="92"/>
        <v>0</v>
      </c>
      <c r="F444" s="2135"/>
      <c r="G444" s="2127">
        <f t="shared" si="99"/>
        <v>3</v>
      </c>
      <c r="H444" s="2075">
        <v>428</v>
      </c>
      <c r="I444" s="2104">
        <f t="shared" si="93"/>
        <v>0</v>
      </c>
      <c r="J444" s="2125">
        <f t="shared" si="94"/>
        <v>3.5000000000000003E-2</v>
      </c>
      <c r="K444" s="2083"/>
      <c r="L444" s="2106"/>
      <c r="N444" s="2071">
        <f t="shared" si="95"/>
        <v>428</v>
      </c>
      <c r="O444" s="2130">
        <f>IF(D443=D444,O443+0.00001,ROUNDDOWN(MAX($O$16:$O443),0)+1)</f>
        <v>4.2799999999999939E-3</v>
      </c>
      <c r="P444" s="2131">
        <f t="shared" si="87"/>
        <v>0</v>
      </c>
      <c r="Q444" s="2131">
        <f t="shared" si="88"/>
        <v>0</v>
      </c>
      <c r="R444" s="2131">
        <f t="shared" si="89"/>
        <v>0</v>
      </c>
      <c r="S444" s="2130">
        <f>IF(J443=J444,S443+0.00001,ROUNDDOWN(MAX($S$16:$S443),0)+1)</f>
        <v>2.0030800000000202</v>
      </c>
      <c r="T444" s="2131">
        <f t="shared" si="90"/>
        <v>0</v>
      </c>
      <c r="U444" s="2131">
        <f t="shared" si="91"/>
        <v>0</v>
      </c>
      <c r="V444" s="2071">
        <f t="shared" si="96"/>
        <v>428</v>
      </c>
    </row>
    <row r="445" spans="1:22" hidden="1">
      <c r="A445" s="2124">
        <f t="shared" si="97"/>
        <v>1</v>
      </c>
      <c r="B445" s="2073">
        <v>429</v>
      </c>
      <c r="C445" s="2104">
        <f t="shared" si="98"/>
        <v>0</v>
      </c>
      <c r="D445" s="2125">
        <f t="shared" si="86"/>
        <v>0.03</v>
      </c>
      <c r="E445" s="2104">
        <f t="shared" si="92"/>
        <v>0</v>
      </c>
      <c r="F445" s="2135"/>
      <c r="G445" s="2127">
        <f t="shared" si="99"/>
        <v>3</v>
      </c>
      <c r="H445" s="2075">
        <v>429</v>
      </c>
      <c r="I445" s="2104">
        <f t="shared" si="93"/>
        <v>0</v>
      </c>
      <c r="J445" s="2125">
        <f t="shared" si="94"/>
        <v>3.5000000000000003E-2</v>
      </c>
      <c r="K445" s="2083"/>
      <c r="L445" s="2106"/>
      <c r="N445" s="2071">
        <f t="shared" si="95"/>
        <v>429</v>
      </c>
      <c r="O445" s="2130">
        <f>IF(D444=D445,O444+0.00001,ROUNDDOWN(MAX($O$16:$O444),0)+1)</f>
        <v>4.2899999999999935E-3</v>
      </c>
      <c r="P445" s="2131">
        <f t="shared" si="87"/>
        <v>0</v>
      </c>
      <c r="Q445" s="2131">
        <f t="shared" si="88"/>
        <v>0</v>
      </c>
      <c r="R445" s="2131">
        <f t="shared" si="89"/>
        <v>0</v>
      </c>
      <c r="S445" s="2130">
        <f>IF(J444=J445,S444+0.00001,ROUNDDOWN(MAX($S$16:$S444),0)+1)</f>
        <v>2.0030900000000202</v>
      </c>
      <c r="T445" s="2131">
        <f t="shared" si="90"/>
        <v>0</v>
      </c>
      <c r="U445" s="2131">
        <f t="shared" si="91"/>
        <v>0</v>
      </c>
      <c r="V445" s="2071">
        <f t="shared" si="96"/>
        <v>429</v>
      </c>
    </row>
    <row r="446" spans="1:22" hidden="1">
      <c r="A446" s="2124">
        <f t="shared" si="97"/>
        <v>1</v>
      </c>
      <c r="B446" s="2073">
        <v>430</v>
      </c>
      <c r="C446" s="2104">
        <f t="shared" si="98"/>
        <v>0</v>
      </c>
      <c r="D446" s="2125">
        <f t="shared" si="86"/>
        <v>0.03</v>
      </c>
      <c r="E446" s="2104">
        <f t="shared" si="92"/>
        <v>0</v>
      </c>
      <c r="F446" s="2135"/>
      <c r="G446" s="2127">
        <f t="shared" si="99"/>
        <v>3</v>
      </c>
      <c r="H446" s="2075">
        <v>430</v>
      </c>
      <c r="I446" s="2104">
        <f t="shared" si="93"/>
        <v>0</v>
      </c>
      <c r="J446" s="2125">
        <f t="shared" si="94"/>
        <v>3.5000000000000003E-2</v>
      </c>
      <c r="K446" s="2083"/>
      <c r="L446" s="2106"/>
      <c r="N446" s="2071">
        <f t="shared" si="95"/>
        <v>430</v>
      </c>
      <c r="O446" s="2130">
        <f>IF(D445=D446,O445+0.00001,ROUNDDOWN(MAX($O$16:$O445),0)+1)</f>
        <v>4.2999999999999931E-3</v>
      </c>
      <c r="P446" s="2131">
        <f t="shared" si="87"/>
        <v>0</v>
      </c>
      <c r="Q446" s="2131">
        <f t="shared" si="88"/>
        <v>0</v>
      </c>
      <c r="R446" s="2131">
        <f t="shared" si="89"/>
        <v>0</v>
      </c>
      <c r="S446" s="2130">
        <f>IF(J445=J446,S445+0.00001,ROUNDDOWN(MAX($S$16:$S445),0)+1)</f>
        <v>2.0031000000000203</v>
      </c>
      <c r="T446" s="2131">
        <f t="shared" si="90"/>
        <v>0</v>
      </c>
      <c r="U446" s="2131">
        <f t="shared" si="91"/>
        <v>0</v>
      </c>
      <c r="V446" s="2071">
        <f t="shared" si="96"/>
        <v>430</v>
      </c>
    </row>
    <row r="447" spans="1:22" hidden="1">
      <c r="A447" s="2124">
        <f t="shared" si="97"/>
        <v>1</v>
      </c>
      <c r="B447" s="2073">
        <v>431</v>
      </c>
      <c r="C447" s="2104">
        <f t="shared" si="98"/>
        <v>0</v>
      </c>
      <c r="D447" s="2125">
        <f t="shared" si="86"/>
        <v>0.03</v>
      </c>
      <c r="E447" s="2104">
        <f t="shared" si="92"/>
        <v>0</v>
      </c>
      <c r="F447" s="2135"/>
      <c r="G447" s="2127">
        <f t="shared" si="99"/>
        <v>3</v>
      </c>
      <c r="H447" s="2075">
        <v>431</v>
      </c>
      <c r="I447" s="2104">
        <f t="shared" si="93"/>
        <v>0</v>
      </c>
      <c r="J447" s="2125">
        <f t="shared" si="94"/>
        <v>3.5000000000000003E-2</v>
      </c>
      <c r="K447" s="2083"/>
      <c r="L447" s="2106"/>
      <c r="N447" s="2071">
        <f t="shared" si="95"/>
        <v>431</v>
      </c>
      <c r="O447" s="2130">
        <f>IF(D446=D447,O446+0.00001,ROUNDDOWN(MAX($O$16:$O446),0)+1)</f>
        <v>4.3099999999999927E-3</v>
      </c>
      <c r="P447" s="2131">
        <f t="shared" si="87"/>
        <v>0</v>
      </c>
      <c r="Q447" s="2131">
        <f t="shared" si="88"/>
        <v>0</v>
      </c>
      <c r="R447" s="2131">
        <f t="shared" si="89"/>
        <v>0</v>
      </c>
      <c r="S447" s="2130">
        <f>IF(J446=J447,S446+0.00001,ROUNDDOWN(MAX($S$16:$S446),0)+1)</f>
        <v>2.0031100000000204</v>
      </c>
      <c r="T447" s="2131">
        <f t="shared" si="90"/>
        <v>0</v>
      </c>
      <c r="U447" s="2131">
        <f t="shared" si="91"/>
        <v>0</v>
      </c>
      <c r="V447" s="2071">
        <f t="shared" si="96"/>
        <v>431</v>
      </c>
    </row>
    <row r="448" spans="1:22" hidden="1">
      <c r="A448" s="2124">
        <f t="shared" si="97"/>
        <v>1</v>
      </c>
      <c r="B448" s="2073">
        <v>432</v>
      </c>
      <c r="C448" s="2104">
        <f t="shared" si="98"/>
        <v>0</v>
      </c>
      <c r="D448" s="2125">
        <f t="shared" si="86"/>
        <v>0.03</v>
      </c>
      <c r="E448" s="2104">
        <f t="shared" si="92"/>
        <v>0</v>
      </c>
      <c r="F448" s="2135"/>
      <c r="G448" s="2127">
        <f t="shared" si="99"/>
        <v>3</v>
      </c>
      <c r="H448" s="2075">
        <v>432</v>
      </c>
      <c r="I448" s="2104">
        <f t="shared" si="93"/>
        <v>0</v>
      </c>
      <c r="J448" s="2125">
        <f t="shared" si="94"/>
        <v>3.5000000000000003E-2</v>
      </c>
      <c r="K448" s="2083"/>
      <c r="L448" s="2106"/>
      <c r="N448" s="2071">
        <f t="shared" si="95"/>
        <v>432</v>
      </c>
      <c r="O448" s="2130">
        <f>IF(D447=D448,O447+0.00001,ROUNDDOWN(MAX($O$16:$O447),0)+1)</f>
        <v>4.3199999999999922E-3</v>
      </c>
      <c r="P448" s="2131">
        <f t="shared" si="87"/>
        <v>0</v>
      </c>
      <c r="Q448" s="2131">
        <f t="shared" si="88"/>
        <v>0</v>
      </c>
      <c r="R448" s="2131">
        <f t="shared" si="89"/>
        <v>0</v>
      </c>
      <c r="S448" s="2130">
        <f>IF(J447=J448,S447+0.00001,ROUNDDOWN(MAX($S$16:$S447),0)+1)</f>
        <v>2.0031200000000204</v>
      </c>
      <c r="T448" s="2131">
        <f t="shared" si="90"/>
        <v>0</v>
      </c>
      <c r="U448" s="2131">
        <f t="shared" si="91"/>
        <v>0</v>
      </c>
      <c r="V448" s="2071">
        <f t="shared" si="96"/>
        <v>432</v>
      </c>
    </row>
    <row r="449" spans="1:22" hidden="1">
      <c r="A449" s="2124">
        <f t="shared" si="97"/>
        <v>1</v>
      </c>
      <c r="B449" s="2073">
        <v>433</v>
      </c>
      <c r="C449" s="2104">
        <f t="shared" si="98"/>
        <v>0</v>
      </c>
      <c r="D449" s="2125">
        <f t="shared" si="86"/>
        <v>0.03</v>
      </c>
      <c r="E449" s="2104">
        <f t="shared" si="92"/>
        <v>0</v>
      </c>
      <c r="F449" s="2135"/>
      <c r="G449" s="2127">
        <f t="shared" si="99"/>
        <v>3</v>
      </c>
      <c r="H449" s="2075">
        <v>433</v>
      </c>
      <c r="I449" s="2104">
        <f t="shared" si="93"/>
        <v>0</v>
      </c>
      <c r="J449" s="2125">
        <f t="shared" si="94"/>
        <v>3.5000000000000003E-2</v>
      </c>
      <c r="K449" s="2083"/>
      <c r="L449" s="2106"/>
      <c r="N449" s="2071">
        <f t="shared" si="95"/>
        <v>433</v>
      </c>
      <c r="O449" s="2130">
        <f>IF(D448=D449,O448+0.00001,ROUNDDOWN(MAX($O$16:$O448),0)+1)</f>
        <v>4.3299999999999918E-3</v>
      </c>
      <c r="P449" s="2131">
        <f t="shared" si="87"/>
        <v>0</v>
      </c>
      <c r="Q449" s="2131">
        <f t="shared" si="88"/>
        <v>0</v>
      </c>
      <c r="R449" s="2131">
        <f t="shared" si="89"/>
        <v>0</v>
      </c>
      <c r="S449" s="2130">
        <f>IF(J448=J449,S448+0.00001,ROUNDDOWN(MAX($S$16:$S448),0)+1)</f>
        <v>2.0031300000000205</v>
      </c>
      <c r="T449" s="2131">
        <f t="shared" si="90"/>
        <v>0</v>
      </c>
      <c r="U449" s="2131">
        <f t="shared" si="91"/>
        <v>0</v>
      </c>
      <c r="V449" s="2071">
        <f t="shared" si="96"/>
        <v>433</v>
      </c>
    </row>
    <row r="450" spans="1:22" hidden="1">
      <c r="A450" s="2124">
        <f t="shared" si="97"/>
        <v>1</v>
      </c>
      <c r="B450" s="2073">
        <v>434</v>
      </c>
      <c r="C450" s="2104">
        <f t="shared" si="98"/>
        <v>0</v>
      </c>
      <c r="D450" s="2125">
        <f t="shared" si="86"/>
        <v>0.03</v>
      </c>
      <c r="E450" s="2104">
        <f t="shared" si="92"/>
        <v>0</v>
      </c>
      <c r="F450" s="2135"/>
      <c r="G450" s="2127">
        <f t="shared" si="99"/>
        <v>3</v>
      </c>
      <c r="H450" s="2075">
        <v>434</v>
      </c>
      <c r="I450" s="2104">
        <f t="shared" si="93"/>
        <v>0</v>
      </c>
      <c r="J450" s="2125">
        <f t="shared" si="94"/>
        <v>3.5000000000000003E-2</v>
      </c>
      <c r="K450" s="2083"/>
      <c r="L450" s="2106"/>
      <c r="N450" s="2071">
        <f t="shared" si="95"/>
        <v>434</v>
      </c>
      <c r="O450" s="2130">
        <f>IF(D449=D450,O449+0.00001,ROUNDDOWN(MAX($O$16:$O449),0)+1)</f>
        <v>4.3399999999999914E-3</v>
      </c>
      <c r="P450" s="2131">
        <f t="shared" si="87"/>
        <v>0</v>
      </c>
      <c r="Q450" s="2131">
        <f t="shared" si="88"/>
        <v>0</v>
      </c>
      <c r="R450" s="2131">
        <f t="shared" si="89"/>
        <v>0</v>
      </c>
      <c r="S450" s="2130">
        <f>IF(J449=J450,S449+0.00001,ROUNDDOWN(MAX($S$16:$S449),0)+1)</f>
        <v>2.0031400000000206</v>
      </c>
      <c r="T450" s="2131">
        <f t="shared" si="90"/>
        <v>0</v>
      </c>
      <c r="U450" s="2131">
        <f t="shared" si="91"/>
        <v>0</v>
      </c>
      <c r="V450" s="2071">
        <f t="shared" si="96"/>
        <v>434</v>
      </c>
    </row>
    <row r="451" spans="1:22" hidden="1">
      <c r="A451" s="2124">
        <f t="shared" si="97"/>
        <v>1</v>
      </c>
      <c r="B451" s="2073">
        <v>435</v>
      </c>
      <c r="C451" s="2104">
        <f t="shared" si="98"/>
        <v>0</v>
      </c>
      <c r="D451" s="2125">
        <f t="shared" si="86"/>
        <v>0.03</v>
      </c>
      <c r="E451" s="2104">
        <f t="shared" si="92"/>
        <v>0</v>
      </c>
      <c r="F451" s="2135"/>
      <c r="G451" s="2127">
        <f t="shared" si="99"/>
        <v>3</v>
      </c>
      <c r="H451" s="2075">
        <v>435</v>
      </c>
      <c r="I451" s="2104">
        <f t="shared" si="93"/>
        <v>0</v>
      </c>
      <c r="J451" s="2125">
        <f t="shared" si="94"/>
        <v>3.5000000000000003E-2</v>
      </c>
      <c r="K451" s="2083"/>
      <c r="L451" s="2106"/>
      <c r="N451" s="2071">
        <f t="shared" si="95"/>
        <v>435</v>
      </c>
      <c r="O451" s="2130">
        <f>IF(D450=D451,O450+0.00001,ROUNDDOWN(MAX($O$16:$O450),0)+1)</f>
        <v>4.349999999999991E-3</v>
      </c>
      <c r="P451" s="2131">
        <f t="shared" si="87"/>
        <v>0</v>
      </c>
      <c r="Q451" s="2131">
        <f t="shared" si="88"/>
        <v>0</v>
      </c>
      <c r="R451" s="2131">
        <f t="shared" si="89"/>
        <v>0</v>
      </c>
      <c r="S451" s="2130">
        <f>IF(J450=J451,S450+0.00001,ROUNDDOWN(MAX($S$16:$S450),0)+1)</f>
        <v>2.0031500000000206</v>
      </c>
      <c r="T451" s="2131">
        <f t="shared" si="90"/>
        <v>0</v>
      </c>
      <c r="U451" s="2131">
        <f t="shared" si="91"/>
        <v>0</v>
      </c>
      <c r="V451" s="2071">
        <f t="shared" si="96"/>
        <v>435</v>
      </c>
    </row>
    <row r="452" spans="1:22" hidden="1">
      <c r="A452" s="2124">
        <f t="shared" si="97"/>
        <v>1</v>
      </c>
      <c r="B452" s="2073">
        <v>436</v>
      </c>
      <c r="C452" s="2104">
        <f t="shared" si="98"/>
        <v>0</v>
      </c>
      <c r="D452" s="2125">
        <f t="shared" si="86"/>
        <v>0.03</v>
      </c>
      <c r="E452" s="2104">
        <f t="shared" si="92"/>
        <v>0</v>
      </c>
      <c r="F452" s="2135"/>
      <c r="G452" s="2127">
        <f t="shared" si="99"/>
        <v>3</v>
      </c>
      <c r="H452" s="2075">
        <v>436</v>
      </c>
      <c r="I452" s="2104">
        <f t="shared" si="93"/>
        <v>0</v>
      </c>
      <c r="J452" s="2125">
        <f t="shared" si="94"/>
        <v>3.5000000000000003E-2</v>
      </c>
      <c r="K452" s="2083"/>
      <c r="L452" s="2106"/>
      <c r="N452" s="2071">
        <f t="shared" si="95"/>
        <v>436</v>
      </c>
      <c r="O452" s="2130">
        <f>IF(D451=D452,O451+0.00001,ROUNDDOWN(MAX($O$16:$O451),0)+1)</f>
        <v>4.3599999999999906E-3</v>
      </c>
      <c r="P452" s="2131">
        <f t="shared" si="87"/>
        <v>0</v>
      </c>
      <c r="Q452" s="2131">
        <f t="shared" si="88"/>
        <v>0</v>
      </c>
      <c r="R452" s="2131">
        <f t="shared" si="89"/>
        <v>0</v>
      </c>
      <c r="S452" s="2130">
        <f>IF(J451=J452,S451+0.00001,ROUNDDOWN(MAX($S$16:$S451),0)+1)</f>
        <v>2.0031600000000207</v>
      </c>
      <c r="T452" s="2131">
        <f t="shared" si="90"/>
        <v>0</v>
      </c>
      <c r="U452" s="2131">
        <f t="shared" si="91"/>
        <v>0</v>
      </c>
      <c r="V452" s="2071">
        <f t="shared" si="96"/>
        <v>436</v>
      </c>
    </row>
    <row r="453" spans="1:22" hidden="1">
      <c r="A453" s="2124">
        <f t="shared" si="97"/>
        <v>1</v>
      </c>
      <c r="B453" s="2073">
        <v>437</v>
      </c>
      <c r="C453" s="2104">
        <f t="shared" si="98"/>
        <v>0</v>
      </c>
      <c r="D453" s="2125">
        <f t="shared" si="86"/>
        <v>0.03</v>
      </c>
      <c r="E453" s="2104">
        <f t="shared" si="92"/>
        <v>0</v>
      </c>
      <c r="F453" s="2135"/>
      <c r="G453" s="2127">
        <f t="shared" si="99"/>
        <v>3</v>
      </c>
      <c r="H453" s="2075">
        <v>437</v>
      </c>
      <c r="I453" s="2104">
        <f t="shared" si="93"/>
        <v>0</v>
      </c>
      <c r="J453" s="2125">
        <f t="shared" si="94"/>
        <v>3.5000000000000003E-2</v>
      </c>
      <c r="K453" s="2083"/>
      <c r="L453" s="2106"/>
      <c r="N453" s="2071">
        <f t="shared" si="95"/>
        <v>437</v>
      </c>
      <c r="O453" s="2130">
        <f>IF(D452=D453,O452+0.00001,ROUNDDOWN(MAX($O$16:$O452),0)+1)</f>
        <v>4.3699999999999902E-3</v>
      </c>
      <c r="P453" s="2131">
        <f t="shared" si="87"/>
        <v>0</v>
      </c>
      <c r="Q453" s="2131">
        <f t="shared" si="88"/>
        <v>0</v>
      </c>
      <c r="R453" s="2131">
        <f t="shared" si="89"/>
        <v>0</v>
      </c>
      <c r="S453" s="2130">
        <f>IF(J452=J453,S452+0.00001,ROUNDDOWN(MAX($S$16:$S452),0)+1)</f>
        <v>2.0031700000000208</v>
      </c>
      <c r="T453" s="2131">
        <f t="shared" si="90"/>
        <v>0</v>
      </c>
      <c r="U453" s="2131">
        <f t="shared" si="91"/>
        <v>0</v>
      </c>
      <c r="V453" s="2071">
        <f t="shared" si="96"/>
        <v>437</v>
      </c>
    </row>
    <row r="454" spans="1:22" hidden="1">
      <c r="A454" s="2124">
        <f t="shared" si="97"/>
        <v>1</v>
      </c>
      <c r="B454" s="2073">
        <v>438</v>
      </c>
      <c r="C454" s="2104">
        <f t="shared" si="98"/>
        <v>0</v>
      </c>
      <c r="D454" s="2125">
        <f t="shared" si="86"/>
        <v>0.03</v>
      </c>
      <c r="E454" s="2104">
        <f t="shared" si="92"/>
        <v>0</v>
      </c>
      <c r="F454" s="2135"/>
      <c r="G454" s="2127">
        <f t="shared" si="99"/>
        <v>3</v>
      </c>
      <c r="H454" s="2075">
        <v>438</v>
      </c>
      <c r="I454" s="2104">
        <f t="shared" si="93"/>
        <v>0</v>
      </c>
      <c r="J454" s="2125">
        <f t="shared" si="94"/>
        <v>3.5000000000000003E-2</v>
      </c>
      <c r="K454" s="2083"/>
      <c r="L454" s="2106"/>
      <c r="N454" s="2071">
        <f t="shared" si="95"/>
        <v>438</v>
      </c>
      <c r="O454" s="2130">
        <f>IF(D453=D454,O453+0.00001,ROUNDDOWN(MAX($O$16:$O453),0)+1)</f>
        <v>4.3799999999999898E-3</v>
      </c>
      <c r="P454" s="2131">
        <f t="shared" si="87"/>
        <v>0</v>
      </c>
      <c r="Q454" s="2131">
        <f t="shared" si="88"/>
        <v>0</v>
      </c>
      <c r="R454" s="2131">
        <f t="shared" si="89"/>
        <v>0</v>
      </c>
      <c r="S454" s="2130">
        <f>IF(J453=J454,S453+0.00001,ROUNDDOWN(MAX($S$16:$S453),0)+1)</f>
        <v>2.0031800000000208</v>
      </c>
      <c r="T454" s="2131">
        <f t="shared" si="90"/>
        <v>0</v>
      </c>
      <c r="U454" s="2131">
        <f t="shared" si="91"/>
        <v>0</v>
      </c>
      <c r="V454" s="2071">
        <f t="shared" si="96"/>
        <v>438</v>
      </c>
    </row>
    <row r="455" spans="1:22" hidden="1">
      <c r="A455" s="2124">
        <f t="shared" si="97"/>
        <v>1</v>
      </c>
      <c r="B455" s="2073">
        <v>439</v>
      </c>
      <c r="C455" s="2104">
        <f t="shared" si="98"/>
        <v>0</v>
      </c>
      <c r="D455" s="2125">
        <f t="shared" si="86"/>
        <v>0.03</v>
      </c>
      <c r="E455" s="2104">
        <f t="shared" si="92"/>
        <v>0</v>
      </c>
      <c r="F455" s="2135"/>
      <c r="G455" s="2127">
        <f t="shared" si="99"/>
        <v>3</v>
      </c>
      <c r="H455" s="2075">
        <v>439</v>
      </c>
      <c r="I455" s="2104">
        <f t="shared" si="93"/>
        <v>0</v>
      </c>
      <c r="J455" s="2125">
        <f t="shared" si="94"/>
        <v>3.5000000000000003E-2</v>
      </c>
      <c r="K455" s="2083"/>
      <c r="L455" s="2106"/>
      <c r="N455" s="2071">
        <f t="shared" si="95"/>
        <v>439</v>
      </c>
      <c r="O455" s="2130">
        <f>IF(D454=D455,O454+0.00001,ROUNDDOWN(MAX($O$16:$O454),0)+1)</f>
        <v>4.3899999999999894E-3</v>
      </c>
      <c r="P455" s="2131">
        <f t="shared" si="87"/>
        <v>0</v>
      </c>
      <c r="Q455" s="2131">
        <f t="shared" si="88"/>
        <v>0</v>
      </c>
      <c r="R455" s="2131">
        <f t="shared" si="89"/>
        <v>0</v>
      </c>
      <c r="S455" s="2130">
        <f>IF(J454=J455,S454+0.00001,ROUNDDOWN(MAX($S$16:$S454),0)+1)</f>
        <v>2.0031900000000209</v>
      </c>
      <c r="T455" s="2131">
        <f t="shared" si="90"/>
        <v>0</v>
      </c>
      <c r="U455" s="2131">
        <f t="shared" si="91"/>
        <v>0</v>
      </c>
      <c r="V455" s="2071">
        <f t="shared" si="96"/>
        <v>439</v>
      </c>
    </row>
    <row r="456" spans="1:22" hidden="1">
      <c r="A456" s="2124">
        <f t="shared" si="97"/>
        <v>1</v>
      </c>
      <c r="B456" s="2073">
        <v>440</v>
      </c>
      <c r="C456" s="2104">
        <f t="shared" si="98"/>
        <v>0</v>
      </c>
      <c r="D456" s="2125">
        <f t="shared" si="86"/>
        <v>0.03</v>
      </c>
      <c r="E456" s="2104">
        <f t="shared" si="92"/>
        <v>0</v>
      </c>
      <c r="F456" s="2135"/>
      <c r="G456" s="2127">
        <f t="shared" si="99"/>
        <v>3</v>
      </c>
      <c r="H456" s="2075">
        <v>440</v>
      </c>
      <c r="I456" s="2104">
        <f t="shared" si="93"/>
        <v>0</v>
      </c>
      <c r="J456" s="2125">
        <f t="shared" si="94"/>
        <v>3.5000000000000003E-2</v>
      </c>
      <c r="K456" s="2083"/>
      <c r="L456" s="2106"/>
      <c r="N456" s="2071">
        <f t="shared" si="95"/>
        <v>440</v>
      </c>
      <c r="O456" s="2130">
        <f>IF(D455=D456,O455+0.00001,ROUNDDOWN(MAX($O$16:$O455),0)+1)</f>
        <v>4.399999999999989E-3</v>
      </c>
      <c r="P456" s="2131">
        <f t="shared" si="87"/>
        <v>0</v>
      </c>
      <c r="Q456" s="2131">
        <f t="shared" si="88"/>
        <v>0</v>
      </c>
      <c r="R456" s="2131">
        <f t="shared" si="89"/>
        <v>0</v>
      </c>
      <c r="S456" s="2130">
        <f>IF(J455=J456,S455+0.00001,ROUNDDOWN(MAX($S$16:$S455),0)+1)</f>
        <v>2.003200000000021</v>
      </c>
      <c r="T456" s="2131">
        <f t="shared" si="90"/>
        <v>0</v>
      </c>
      <c r="U456" s="2131">
        <f t="shared" si="91"/>
        <v>0</v>
      </c>
      <c r="V456" s="2071">
        <f t="shared" si="96"/>
        <v>440</v>
      </c>
    </row>
    <row r="457" spans="1:22" hidden="1">
      <c r="A457" s="2124">
        <f t="shared" si="97"/>
        <v>1</v>
      </c>
      <c r="B457" s="2073">
        <v>441</v>
      </c>
      <c r="C457" s="2104">
        <f t="shared" si="98"/>
        <v>0</v>
      </c>
      <c r="D457" s="2125">
        <f t="shared" si="86"/>
        <v>0.03</v>
      </c>
      <c r="E457" s="2104">
        <f t="shared" si="92"/>
        <v>0</v>
      </c>
      <c r="F457" s="2135"/>
      <c r="G457" s="2127">
        <f t="shared" si="99"/>
        <v>3</v>
      </c>
      <c r="H457" s="2075">
        <v>441</v>
      </c>
      <c r="I457" s="2104">
        <f t="shared" si="93"/>
        <v>0</v>
      </c>
      <c r="J457" s="2125">
        <f t="shared" si="94"/>
        <v>3.5000000000000003E-2</v>
      </c>
      <c r="K457" s="2083"/>
      <c r="L457" s="2106"/>
      <c r="N457" s="2071">
        <f t="shared" si="95"/>
        <v>441</v>
      </c>
      <c r="O457" s="2130">
        <f>IF(D456=D457,O456+0.00001,ROUNDDOWN(MAX($O$16:$O456),0)+1)</f>
        <v>4.4099999999999886E-3</v>
      </c>
      <c r="P457" s="2131">
        <f t="shared" si="87"/>
        <v>0</v>
      </c>
      <c r="Q457" s="2131">
        <f t="shared" si="88"/>
        <v>0</v>
      </c>
      <c r="R457" s="2131">
        <f t="shared" si="89"/>
        <v>0</v>
      </c>
      <c r="S457" s="2130">
        <f>IF(J456=J457,S456+0.00001,ROUNDDOWN(MAX($S$16:$S456),0)+1)</f>
        <v>2.003210000000021</v>
      </c>
      <c r="T457" s="2131">
        <f t="shared" si="90"/>
        <v>0</v>
      </c>
      <c r="U457" s="2131">
        <f t="shared" si="91"/>
        <v>0</v>
      </c>
      <c r="V457" s="2071">
        <f t="shared" si="96"/>
        <v>441</v>
      </c>
    </row>
    <row r="458" spans="1:22" hidden="1">
      <c r="A458" s="2124">
        <f t="shared" si="97"/>
        <v>1</v>
      </c>
      <c r="B458" s="2073">
        <v>442</v>
      </c>
      <c r="C458" s="2104">
        <f t="shared" si="98"/>
        <v>0</v>
      </c>
      <c r="D458" s="2125">
        <f t="shared" si="86"/>
        <v>0.03</v>
      </c>
      <c r="E458" s="2104">
        <f t="shared" si="92"/>
        <v>0</v>
      </c>
      <c r="F458" s="2135"/>
      <c r="G458" s="2127">
        <f t="shared" si="99"/>
        <v>3</v>
      </c>
      <c r="H458" s="2075">
        <v>442</v>
      </c>
      <c r="I458" s="2104">
        <f t="shared" si="93"/>
        <v>0</v>
      </c>
      <c r="J458" s="2125">
        <f t="shared" si="94"/>
        <v>3.5000000000000003E-2</v>
      </c>
      <c r="K458" s="2083"/>
      <c r="L458" s="2106"/>
      <c r="N458" s="2071">
        <f t="shared" si="95"/>
        <v>442</v>
      </c>
      <c r="O458" s="2130">
        <f>IF(D457=D458,O457+0.00001,ROUNDDOWN(MAX($O$16:$O457),0)+1)</f>
        <v>4.4199999999999882E-3</v>
      </c>
      <c r="P458" s="2131">
        <f t="shared" si="87"/>
        <v>0</v>
      </c>
      <c r="Q458" s="2131">
        <f t="shared" si="88"/>
        <v>0</v>
      </c>
      <c r="R458" s="2131">
        <f t="shared" si="89"/>
        <v>0</v>
      </c>
      <c r="S458" s="2130">
        <f>IF(J457=J458,S457+0.00001,ROUNDDOWN(MAX($S$16:$S457),0)+1)</f>
        <v>2.0032200000000211</v>
      </c>
      <c r="T458" s="2131">
        <f t="shared" si="90"/>
        <v>0</v>
      </c>
      <c r="U458" s="2131">
        <f t="shared" si="91"/>
        <v>0</v>
      </c>
      <c r="V458" s="2071">
        <f t="shared" si="96"/>
        <v>442</v>
      </c>
    </row>
    <row r="459" spans="1:22" hidden="1">
      <c r="A459" s="2124">
        <f t="shared" si="97"/>
        <v>1</v>
      </c>
      <c r="B459" s="2073">
        <v>443</v>
      </c>
      <c r="C459" s="2104">
        <f t="shared" si="98"/>
        <v>0</v>
      </c>
      <c r="D459" s="2125">
        <f t="shared" si="86"/>
        <v>0.03</v>
      </c>
      <c r="E459" s="2104">
        <f t="shared" si="92"/>
        <v>0</v>
      </c>
      <c r="F459" s="2135"/>
      <c r="G459" s="2127">
        <f t="shared" si="99"/>
        <v>3</v>
      </c>
      <c r="H459" s="2075">
        <v>443</v>
      </c>
      <c r="I459" s="2104">
        <f t="shared" si="93"/>
        <v>0</v>
      </c>
      <c r="J459" s="2125">
        <f t="shared" si="94"/>
        <v>3.5000000000000003E-2</v>
      </c>
      <c r="K459" s="2083"/>
      <c r="L459" s="2106"/>
      <c r="N459" s="2071">
        <f t="shared" si="95"/>
        <v>443</v>
      </c>
      <c r="O459" s="2130">
        <f>IF(D458=D459,O458+0.00001,ROUNDDOWN(MAX($O$16:$O458),0)+1)</f>
        <v>4.4299999999999878E-3</v>
      </c>
      <c r="P459" s="2131">
        <f t="shared" si="87"/>
        <v>0</v>
      </c>
      <c r="Q459" s="2131">
        <f t="shared" si="88"/>
        <v>0</v>
      </c>
      <c r="R459" s="2131">
        <f t="shared" si="89"/>
        <v>0</v>
      </c>
      <c r="S459" s="2130">
        <f>IF(J458=J459,S458+0.00001,ROUNDDOWN(MAX($S$16:$S458),0)+1)</f>
        <v>2.0032300000000212</v>
      </c>
      <c r="T459" s="2131">
        <f t="shared" si="90"/>
        <v>0</v>
      </c>
      <c r="U459" s="2131">
        <f t="shared" si="91"/>
        <v>0</v>
      </c>
      <c r="V459" s="2071">
        <f t="shared" si="96"/>
        <v>443</v>
      </c>
    </row>
    <row r="460" spans="1:22" hidden="1">
      <c r="A460" s="2124">
        <f t="shared" si="97"/>
        <v>1</v>
      </c>
      <c r="B460" s="2073">
        <v>444</v>
      </c>
      <c r="C460" s="2104">
        <f t="shared" si="98"/>
        <v>0</v>
      </c>
      <c r="D460" s="2125">
        <f t="shared" si="86"/>
        <v>0.03</v>
      </c>
      <c r="E460" s="2104">
        <f t="shared" si="92"/>
        <v>0</v>
      </c>
      <c r="F460" s="2135"/>
      <c r="G460" s="2127">
        <f t="shared" si="99"/>
        <v>3</v>
      </c>
      <c r="H460" s="2075">
        <v>444</v>
      </c>
      <c r="I460" s="2104">
        <f t="shared" si="93"/>
        <v>0</v>
      </c>
      <c r="J460" s="2125">
        <f t="shared" si="94"/>
        <v>3.5000000000000003E-2</v>
      </c>
      <c r="K460" s="2083"/>
      <c r="L460" s="2106"/>
      <c r="N460" s="2071">
        <f t="shared" si="95"/>
        <v>444</v>
      </c>
      <c r="O460" s="2130">
        <f>IF(D459=D460,O459+0.00001,ROUNDDOWN(MAX($O$16:$O459),0)+1)</f>
        <v>4.4399999999999874E-3</v>
      </c>
      <c r="P460" s="2131">
        <f t="shared" si="87"/>
        <v>0</v>
      </c>
      <c r="Q460" s="2131">
        <f t="shared" si="88"/>
        <v>0</v>
      </c>
      <c r="R460" s="2131">
        <f t="shared" si="89"/>
        <v>0</v>
      </c>
      <c r="S460" s="2130">
        <f>IF(J459=J460,S459+0.00001,ROUNDDOWN(MAX($S$16:$S459),0)+1)</f>
        <v>2.0032400000000212</v>
      </c>
      <c r="T460" s="2131">
        <f t="shared" si="90"/>
        <v>0</v>
      </c>
      <c r="U460" s="2131">
        <f t="shared" si="91"/>
        <v>0</v>
      </c>
      <c r="V460" s="2071">
        <f t="shared" si="96"/>
        <v>444</v>
      </c>
    </row>
    <row r="461" spans="1:22" hidden="1">
      <c r="A461" s="2124">
        <f t="shared" si="97"/>
        <v>1</v>
      </c>
      <c r="B461" s="2073">
        <v>445</v>
      </c>
      <c r="C461" s="2104">
        <f t="shared" si="98"/>
        <v>0</v>
      </c>
      <c r="D461" s="2125">
        <f t="shared" si="86"/>
        <v>0.03</v>
      </c>
      <c r="E461" s="2104">
        <f t="shared" si="92"/>
        <v>0</v>
      </c>
      <c r="F461" s="2135"/>
      <c r="G461" s="2127">
        <f t="shared" si="99"/>
        <v>3</v>
      </c>
      <c r="H461" s="2075">
        <v>445</v>
      </c>
      <c r="I461" s="2104">
        <f t="shared" si="93"/>
        <v>0</v>
      </c>
      <c r="J461" s="2125">
        <f t="shared" si="94"/>
        <v>3.5000000000000003E-2</v>
      </c>
      <c r="K461" s="2083"/>
      <c r="L461" s="2106"/>
      <c r="N461" s="2071">
        <f t="shared" si="95"/>
        <v>445</v>
      </c>
      <c r="O461" s="2130">
        <f>IF(D460=D461,O460+0.00001,ROUNDDOWN(MAX($O$16:$O460),0)+1)</f>
        <v>4.449999999999987E-3</v>
      </c>
      <c r="P461" s="2131">
        <f t="shared" si="87"/>
        <v>0</v>
      </c>
      <c r="Q461" s="2131">
        <f t="shared" si="88"/>
        <v>0</v>
      </c>
      <c r="R461" s="2131">
        <f t="shared" si="89"/>
        <v>0</v>
      </c>
      <c r="S461" s="2130">
        <f>IF(J460=J461,S460+0.00001,ROUNDDOWN(MAX($S$16:$S460),0)+1)</f>
        <v>2.0032500000000213</v>
      </c>
      <c r="T461" s="2131">
        <f t="shared" si="90"/>
        <v>0</v>
      </c>
      <c r="U461" s="2131">
        <f t="shared" si="91"/>
        <v>0</v>
      </c>
      <c r="V461" s="2071">
        <f t="shared" si="96"/>
        <v>445</v>
      </c>
    </row>
    <row r="462" spans="1:22" hidden="1">
      <c r="A462" s="2124">
        <f t="shared" si="97"/>
        <v>1</v>
      </c>
      <c r="B462" s="2073">
        <v>446</v>
      </c>
      <c r="C462" s="2104">
        <f t="shared" si="98"/>
        <v>0</v>
      </c>
      <c r="D462" s="2125">
        <f t="shared" si="86"/>
        <v>0.03</v>
      </c>
      <c r="E462" s="2104">
        <f t="shared" si="92"/>
        <v>0</v>
      </c>
      <c r="F462" s="2135"/>
      <c r="G462" s="2127">
        <f t="shared" si="99"/>
        <v>3</v>
      </c>
      <c r="H462" s="2075">
        <v>446</v>
      </c>
      <c r="I462" s="2104">
        <f t="shared" si="93"/>
        <v>0</v>
      </c>
      <c r="J462" s="2125">
        <f t="shared" si="94"/>
        <v>3.5000000000000003E-2</v>
      </c>
      <c r="K462" s="2083"/>
      <c r="L462" s="2106"/>
      <c r="N462" s="2071">
        <f t="shared" si="95"/>
        <v>446</v>
      </c>
      <c r="O462" s="2130">
        <f>IF(D461=D462,O461+0.00001,ROUNDDOWN(MAX($O$16:$O461),0)+1)</f>
        <v>4.4599999999999865E-3</v>
      </c>
      <c r="P462" s="2131">
        <f t="shared" si="87"/>
        <v>0</v>
      </c>
      <c r="Q462" s="2131">
        <f t="shared" si="88"/>
        <v>0</v>
      </c>
      <c r="R462" s="2131">
        <f t="shared" si="89"/>
        <v>0</v>
      </c>
      <c r="S462" s="2130">
        <f>IF(J461=J462,S461+0.00001,ROUNDDOWN(MAX($S$16:$S461),0)+1)</f>
        <v>2.0032600000000214</v>
      </c>
      <c r="T462" s="2131">
        <f t="shared" si="90"/>
        <v>0</v>
      </c>
      <c r="U462" s="2131">
        <f t="shared" si="91"/>
        <v>0</v>
      </c>
      <c r="V462" s="2071">
        <f t="shared" si="96"/>
        <v>446</v>
      </c>
    </row>
    <row r="463" spans="1:22" hidden="1">
      <c r="A463" s="2124">
        <f t="shared" si="97"/>
        <v>1</v>
      </c>
      <c r="B463" s="2073">
        <v>447</v>
      </c>
      <c r="C463" s="2104">
        <f t="shared" si="98"/>
        <v>0</v>
      </c>
      <c r="D463" s="2125">
        <f t="shared" si="86"/>
        <v>0.03</v>
      </c>
      <c r="E463" s="2104">
        <f t="shared" si="92"/>
        <v>0</v>
      </c>
      <c r="F463" s="2135"/>
      <c r="G463" s="2127">
        <f t="shared" si="99"/>
        <v>3</v>
      </c>
      <c r="H463" s="2075">
        <v>447</v>
      </c>
      <c r="I463" s="2104">
        <f t="shared" si="93"/>
        <v>0</v>
      </c>
      <c r="J463" s="2125">
        <f t="shared" si="94"/>
        <v>3.5000000000000003E-2</v>
      </c>
      <c r="K463" s="2083"/>
      <c r="L463" s="2106"/>
      <c r="N463" s="2071">
        <f t="shared" si="95"/>
        <v>447</v>
      </c>
      <c r="O463" s="2130">
        <f>IF(D462=D463,O462+0.00001,ROUNDDOWN(MAX($O$16:$O462),0)+1)</f>
        <v>4.4699999999999861E-3</v>
      </c>
      <c r="P463" s="2131">
        <f t="shared" si="87"/>
        <v>0</v>
      </c>
      <c r="Q463" s="2131">
        <f t="shared" si="88"/>
        <v>0</v>
      </c>
      <c r="R463" s="2131">
        <f t="shared" si="89"/>
        <v>0</v>
      </c>
      <c r="S463" s="2130">
        <f>IF(J462=J463,S462+0.00001,ROUNDDOWN(MAX($S$16:$S462),0)+1)</f>
        <v>2.0032700000000214</v>
      </c>
      <c r="T463" s="2131">
        <f t="shared" si="90"/>
        <v>0</v>
      </c>
      <c r="U463" s="2131">
        <f t="shared" si="91"/>
        <v>0</v>
      </c>
      <c r="V463" s="2071">
        <f t="shared" si="96"/>
        <v>447</v>
      </c>
    </row>
    <row r="464" spans="1:22" hidden="1">
      <c r="A464" s="2124">
        <f t="shared" si="97"/>
        <v>1</v>
      </c>
      <c r="B464" s="2073">
        <v>448</v>
      </c>
      <c r="C464" s="2104">
        <f t="shared" si="98"/>
        <v>0</v>
      </c>
      <c r="D464" s="2125">
        <f t="shared" si="86"/>
        <v>0.03</v>
      </c>
      <c r="E464" s="2104">
        <f t="shared" si="92"/>
        <v>0</v>
      </c>
      <c r="F464" s="2135"/>
      <c r="G464" s="2127">
        <f t="shared" si="99"/>
        <v>3</v>
      </c>
      <c r="H464" s="2075">
        <v>448</v>
      </c>
      <c r="I464" s="2104">
        <f t="shared" si="93"/>
        <v>0</v>
      </c>
      <c r="J464" s="2125">
        <f t="shared" si="94"/>
        <v>3.5000000000000003E-2</v>
      </c>
      <c r="K464" s="2083"/>
      <c r="L464" s="2106"/>
      <c r="N464" s="2071">
        <f t="shared" si="95"/>
        <v>448</v>
      </c>
      <c r="O464" s="2130">
        <f>IF(D463=D464,O463+0.00001,ROUNDDOWN(MAX($O$16:$O463),0)+1)</f>
        <v>4.4799999999999857E-3</v>
      </c>
      <c r="P464" s="2131">
        <f t="shared" si="87"/>
        <v>0</v>
      </c>
      <c r="Q464" s="2131">
        <f t="shared" si="88"/>
        <v>0</v>
      </c>
      <c r="R464" s="2131">
        <f t="shared" si="89"/>
        <v>0</v>
      </c>
      <c r="S464" s="2130">
        <f>IF(J463=J464,S463+0.00001,ROUNDDOWN(MAX($S$16:$S463),0)+1)</f>
        <v>2.0032800000000215</v>
      </c>
      <c r="T464" s="2131">
        <f t="shared" si="90"/>
        <v>0</v>
      </c>
      <c r="U464" s="2131">
        <f t="shared" si="91"/>
        <v>0</v>
      </c>
      <c r="V464" s="2071">
        <f t="shared" si="96"/>
        <v>448</v>
      </c>
    </row>
    <row r="465" spans="1:22" hidden="1">
      <c r="A465" s="2124">
        <f t="shared" si="97"/>
        <v>1</v>
      </c>
      <c r="B465" s="2073">
        <v>449</v>
      </c>
      <c r="C465" s="2104">
        <f t="shared" si="98"/>
        <v>0</v>
      </c>
      <c r="D465" s="2125">
        <f t="shared" ref="D465:D528" si="100">D464</f>
        <v>0.03</v>
      </c>
      <c r="E465" s="2104">
        <f t="shared" si="92"/>
        <v>0</v>
      </c>
      <c r="F465" s="2135"/>
      <c r="G465" s="2127">
        <f t="shared" si="99"/>
        <v>3</v>
      </c>
      <c r="H465" s="2075">
        <v>449</v>
      </c>
      <c r="I465" s="2104">
        <f t="shared" si="93"/>
        <v>0</v>
      </c>
      <c r="J465" s="2125">
        <f t="shared" si="94"/>
        <v>3.5000000000000003E-2</v>
      </c>
      <c r="K465" s="2083"/>
      <c r="L465" s="2106"/>
      <c r="N465" s="2071">
        <f t="shared" si="95"/>
        <v>449</v>
      </c>
      <c r="O465" s="2130">
        <f>IF(D464=D465,O464+0.00001,ROUNDDOWN(MAX($O$16:$O464),0)+1)</f>
        <v>4.4899999999999853E-3</v>
      </c>
      <c r="P465" s="2131">
        <f t="shared" ref="P465:P528" si="101">IF($B465&gt;IF(N($C$7)=0,$C$4*$C$5,$C$7),0,IF(B465=IF(N($C$7)=0,$C$4*$C$5,$C$7),-$R464*(1+$C$11/$C$5),ROUND(PMT($C$11/$C$5,$C$4*$C$5,$C$3),2)))</f>
        <v>0</v>
      </c>
      <c r="Q465" s="2131">
        <f t="shared" ref="Q465:Q528" si="102">C465-P465</f>
        <v>0</v>
      </c>
      <c r="R465" s="2131">
        <f t="shared" ref="R465:R528" si="103">R464*(1+$C$11/$C$5)+P465</f>
        <v>0</v>
      </c>
      <c r="S465" s="2130">
        <f>IF(J464=J465,S464+0.00001,ROUNDDOWN(MAX($S$16:$S464),0)+1)</f>
        <v>2.0032900000000216</v>
      </c>
      <c r="T465" s="2131">
        <f t="shared" ref="T465:T528" si="104">IF(I$4*I$5=H465,-I$3*(1+$I$11/I$5),IF(I$4*I$5&lt;H465,0,-I$3*$I$11/I$5))</f>
        <v>0</v>
      </c>
      <c r="U465" s="2131">
        <f t="shared" ref="U465:U528" si="105">I465-T465</f>
        <v>0</v>
      </c>
      <c r="V465" s="2071">
        <f t="shared" si="96"/>
        <v>449</v>
      </c>
    </row>
    <row r="466" spans="1:22" hidden="1">
      <c r="A466" s="2124">
        <f t="shared" si="97"/>
        <v>1</v>
      </c>
      <c r="B466" s="2073">
        <v>450</v>
      </c>
      <c r="C466" s="2104">
        <f t="shared" si="98"/>
        <v>0</v>
      </c>
      <c r="D466" s="2125">
        <f t="shared" si="100"/>
        <v>0.03</v>
      </c>
      <c r="E466" s="2104">
        <f t="shared" ref="E466:E529" si="106">E465*(1+D465/C$5)+C466</f>
        <v>0</v>
      </c>
      <c r="F466" s="2135"/>
      <c r="G466" s="2127">
        <f t="shared" si="99"/>
        <v>3</v>
      </c>
      <c r="H466" s="2075">
        <v>450</v>
      </c>
      <c r="I466" s="2104">
        <f t="shared" ref="I466:I529" si="107">IF(I$4*I$5=H466,-I$3*(1+J465/I$5),IF(I$4*I$5&lt;H466,0,-I$3*J465/I$5))</f>
        <v>0</v>
      </c>
      <c r="J466" s="2125">
        <f t="shared" ref="J466:J529" si="108">J465</f>
        <v>3.5000000000000003E-2</v>
      </c>
      <c r="K466" s="2083"/>
      <c r="L466" s="2106"/>
      <c r="N466" s="2071">
        <f t="shared" ref="N466:N529" si="109">B466</f>
        <v>450</v>
      </c>
      <c r="O466" s="2130">
        <f>IF(D465=D466,O465+0.00001,ROUNDDOWN(MAX($O$16:$O465),0)+1)</f>
        <v>4.4999999999999849E-3</v>
      </c>
      <c r="P466" s="2131">
        <f t="shared" si="101"/>
        <v>0</v>
      </c>
      <c r="Q466" s="2131">
        <f t="shared" si="102"/>
        <v>0</v>
      </c>
      <c r="R466" s="2131">
        <f t="shared" si="103"/>
        <v>0</v>
      </c>
      <c r="S466" s="2130">
        <f>IF(J465=J466,S465+0.00001,ROUNDDOWN(MAX($S$16:$S465),0)+1)</f>
        <v>2.0033000000000216</v>
      </c>
      <c r="T466" s="2131">
        <f t="shared" si="104"/>
        <v>0</v>
      </c>
      <c r="U466" s="2131">
        <f t="shared" si="105"/>
        <v>0</v>
      </c>
      <c r="V466" s="2071">
        <f t="shared" ref="V466:V529" si="110">H466</f>
        <v>450</v>
      </c>
    </row>
    <row r="467" spans="1:22" hidden="1">
      <c r="A467" s="2124">
        <f t="shared" ref="A467:A530" si="111">ROUND(A466+IF(D467&lt;&gt;D466,1,0),0)</f>
        <v>1</v>
      </c>
      <c r="B467" s="2073">
        <v>451</v>
      </c>
      <c r="C467" s="2104">
        <f t="shared" ref="C467:C530" si="112">IF(B467&gt;IF(N(C$7)=0,C$4*C$5,C$7),0,IF(B467=IF(N(C$7)=0,C$4*C$5,C$7),-E466*(1+D466/C$5),IF(D466=D465,C466,ROUND(PMT(D466/C$5,C$4*C$5-B466,E466),2))))</f>
        <v>0</v>
      </c>
      <c r="D467" s="2125">
        <f t="shared" si="100"/>
        <v>0.03</v>
      </c>
      <c r="E467" s="2104">
        <f t="shared" si="106"/>
        <v>0</v>
      </c>
      <c r="F467" s="2135"/>
      <c r="G467" s="2127">
        <f t="shared" ref="G467:G530" si="113">ROUND(G466+IF(J467&lt;&gt;J466,1,0),0)</f>
        <v>3</v>
      </c>
      <c r="H467" s="2075">
        <v>451</v>
      </c>
      <c r="I467" s="2104">
        <f t="shared" si="107"/>
        <v>0</v>
      </c>
      <c r="J467" s="2125">
        <f t="shared" si="108"/>
        <v>3.5000000000000003E-2</v>
      </c>
      <c r="K467" s="2083"/>
      <c r="L467" s="2106"/>
      <c r="N467" s="2071">
        <f t="shared" si="109"/>
        <v>451</v>
      </c>
      <c r="O467" s="2130">
        <f>IF(D466=D467,O466+0.00001,ROUNDDOWN(MAX($O$16:$O466),0)+1)</f>
        <v>4.5099999999999845E-3</v>
      </c>
      <c r="P467" s="2131">
        <f t="shared" si="101"/>
        <v>0</v>
      </c>
      <c r="Q467" s="2131">
        <f t="shared" si="102"/>
        <v>0</v>
      </c>
      <c r="R467" s="2131">
        <f t="shared" si="103"/>
        <v>0</v>
      </c>
      <c r="S467" s="2130">
        <f>IF(J466=J467,S466+0.00001,ROUNDDOWN(MAX($S$16:$S466),0)+1)</f>
        <v>2.0033100000000217</v>
      </c>
      <c r="T467" s="2131">
        <f t="shared" si="104"/>
        <v>0</v>
      </c>
      <c r="U467" s="2131">
        <f t="shared" si="105"/>
        <v>0</v>
      </c>
      <c r="V467" s="2071">
        <f t="shared" si="110"/>
        <v>451</v>
      </c>
    </row>
    <row r="468" spans="1:22" hidden="1">
      <c r="A468" s="2124">
        <f t="shared" si="111"/>
        <v>1</v>
      </c>
      <c r="B468" s="2073">
        <v>452</v>
      </c>
      <c r="C468" s="2104">
        <f t="shared" si="112"/>
        <v>0</v>
      </c>
      <c r="D468" s="2125">
        <f t="shared" si="100"/>
        <v>0.03</v>
      </c>
      <c r="E468" s="2104">
        <f t="shared" si="106"/>
        <v>0</v>
      </c>
      <c r="F468" s="2135"/>
      <c r="G468" s="2127">
        <f t="shared" si="113"/>
        <v>3</v>
      </c>
      <c r="H468" s="2075">
        <v>452</v>
      </c>
      <c r="I468" s="2104">
        <f t="shared" si="107"/>
        <v>0</v>
      </c>
      <c r="J468" s="2125">
        <f t="shared" si="108"/>
        <v>3.5000000000000003E-2</v>
      </c>
      <c r="K468" s="2083"/>
      <c r="L468" s="2106"/>
      <c r="N468" s="2071">
        <f t="shared" si="109"/>
        <v>452</v>
      </c>
      <c r="O468" s="2130">
        <f>IF(D467=D468,O467+0.00001,ROUNDDOWN(MAX($O$16:$O467),0)+1)</f>
        <v>4.5199999999999841E-3</v>
      </c>
      <c r="P468" s="2131">
        <f t="shared" si="101"/>
        <v>0</v>
      </c>
      <c r="Q468" s="2131">
        <f t="shared" si="102"/>
        <v>0</v>
      </c>
      <c r="R468" s="2131">
        <f t="shared" si="103"/>
        <v>0</v>
      </c>
      <c r="S468" s="2130">
        <f>IF(J467=J468,S467+0.00001,ROUNDDOWN(MAX($S$16:$S467),0)+1)</f>
        <v>2.0033200000000217</v>
      </c>
      <c r="T468" s="2131">
        <f t="shared" si="104"/>
        <v>0</v>
      </c>
      <c r="U468" s="2131">
        <f t="shared" si="105"/>
        <v>0</v>
      </c>
      <c r="V468" s="2071">
        <f t="shared" si="110"/>
        <v>452</v>
      </c>
    </row>
    <row r="469" spans="1:22" hidden="1">
      <c r="A469" s="2124">
        <f t="shared" si="111"/>
        <v>1</v>
      </c>
      <c r="B469" s="2073">
        <v>453</v>
      </c>
      <c r="C469" s="2104">
        <f t="shared" si="112"/>
        <v>0</v>
      </c>
      <c r="D469" s="2125">
        <f t="shared" si="100"/>
        <v>0.03</v>
      </c>
      <c r="E469" s="2104">
        <f t="shared" si="106"/>
        <v>0</v>
      </c>
      <c r="F469" s="2135"/>
      <c r="G469" s="2127">
        <f t="shared" si="113"/>
        <v>3</v>
      </c>
      <c r="H469" s="2075">
        <v>453</v>
      </c>
      <c r="I469" s="2104">
        <f t="shared" si="107"/>
        <v>0</v>
      </c>
      <c r="J469" s="2125">
        <f t="shared" si="108"/>
        <v>3.5000000000000003E-2</v>
      </c>
      <c r="K469" s="2083"/>
      <c r="L469" s="2106"/>
      <c r="N469" s="2071">
        <f t="shared" si="109"/>
        <v>453</v>
      </c>
      <c r="O469" s="2130">
        <f>IF(D468=D469,O468+0.00001,ROUNDDOWN(MAX($O$16:$O468),0)+1)</f>
        <v>4.5299999999999837E-3</v>
      </c>
      <c r="P469" s="2131">
        <f t="shared" si="101"/>
        <v>0</v>
      </c>
      <c r="Q469" s="2131">
        <f t="shared" si="102"/>
        <v>0</v>
      </c>
      <c r="R469" s="2131">
        <f t="shared" si="103"/>
        <v>0</v>
      </c>
      <c r="S469" s="2130">
        <f>IF(J468=J469,S468+0.00001,ROUNDDOWN(MAX($S$16:$S468),0)+1)</f>
        <v>2.0033300000000218</v>
      </c>
      <c r="T469" s="2131">
        <f t="shared" si="104"/>
        <v>0</v>
      </c>
      <c r="U469" s="2131">
        <f t="shared" si="105"/>
        <v>0</v>
      </c>
      <c r="V469" s="2071">
        <f t="shared" si="110"/>
        <v>453</v>
      </c>
    </row>
    <row r="470" spans="1:22" hidden="1">
      <c r="A470" s="2124">
        <f t="shared" si="111"/>
        <v>1</v>
      </c>
      <c r="B470" s="2073">
        <v>454</v>
      </c>
      <c r="C470" s="2104">
        <f t="shared" si="112"/>
        <v>0</v>
      </c>
      <c r="D470" s="2125">
        <f t="shared" si="100"/>
        <v>0.03</v>
      </c>
      <c r="E470" s="2104">
        <f t="shared" si="106"/>
        <v>0</v>
      </c>
      <c r="F470" s="2135"/>
      <c r="G470" s="2127">
        <f t="shared" si="113"/>
        <v>3</v>
      </c>
      <c r="H470" s="2075">
        <v>454</v>
      </c>
      <c r="I470" s="2104">
        <f t="shared" si="107"/>
        <v>0</v>
      </c>
      <c r="J470" s="2125">
        <f t="shared" si="108"/>
        <v>3.5000000000000003E-2</v>
      </c>
      <c r="K470" s="2083"/>
      <c r="L470" s="2106"/>
      <c r="N470" s="2071">
        <f t="shared" si="109"/>
        <v>454</v>
      </c>
      <c r="O470" s="2130">
        <f>IF(D469=D470,O469+0.00001,ROUNDDOWN(MAX($O$16:$O469),0)+1)</f>
        <v>4.5399999999999833E-3</v>
      </c>
      <c r="P470" s="2131">
        <f t="shared" si="101"/>
        <v>0</v>
      </c>
      <c r="Q470" s="2131">
        <f t="shared" si="102"/>
        <v>0</v>
      </c>
      <c r="R470" s="2131">
        <f t="shared" si="103"/>
        <v>0</v>
      </c>
      <c r="S470" s="2130">
        <f>IF(J469=J470,S469+0.00001,ROUNDDOWN(MAX($S$16:$S469),0)+1)</f>
        <v>2.0033400000000219</v>
      </c>
      <c r="T470" s="2131">
        <f t="shared" si="104"/>
        <v>0</v>
      </c>
      <c r="U470" s="2131">
        <f t="shared" si="105"/>
        <v>0</v>
      </c>
      <c r="V470" s="2071">
        <f t="shared" si="110"/>
        <v>454</v>
      </c>
    </row>
    <row r="471" spans="1:22" hidden="1">
      <c r="A471" s="2124">
        <f t="shared" si="111"/>
        <v>1</v>
      </c>
      <c r="B471" s="2073">
        <v>455</v>
      </c>
      <c r="C471" s="2104">
        <f t="shared" si="112"/>
        <v>0</v>
      </c>
      <c r="D471" s="2125">
        <f t="shared" si="100"/>
        <v>0.03</v>
      </c>
      <c r="E471" s="2104">
        <f t="shared" si="106"/>
        <v>0</v>
      </c>
      <c r="F471" s="2135"/>
      <c r="G471" s="2127">
        <f t="shared" si="113"/>
        <v>3</v>
      </c>
      <c r="H471" s="2075">
        <v>455</v>
      </c>
      <c r="I471" s="2104">
        <f t="shared" si="107"/>
        <v>0</v>
      </c>
      <c r="J471" s="2125">
        <f t="shared" si="108"/>
        <v>3.5000000000000003E-2</v>
      </c>
      <c r="K471" s="2083"/>
      <c r="L471" s="2106"/>
      <c r="N471" s="2071">
        <f t="shared" si="109"/>
        <v>455</v>
      </c>
      <c r="O471" s="2130">
        <f>IF(D470=D471,O470+0.00001,ROUNDDOWN(MAX($O$16:$O470),0)+1)</f>
        <v>4.5499999999999829E-3</v>
      </c>
      <c r="P471" s="2131">
        <f t="shared" si="101"/>
        <v>0</v>
      </c>
      <c r="Q471" s="2131">
        <f t="shared" si="102"/>
        <v>0</v>
      </c>
      <c r="R471" s="2131">
        <f t="shared" si="103"/>
        <v>0</v>
      </c>
      <c r="S471" s="2130">
        <f>IF(J470=J471,S470+0.00001,ROUNDDOWN(MAX($S$16:$S470),0)+1)</f>
        <v>2.0033500000000219</v>
      </c>
      <c r="T471" s="2131">
        <f t="shared" si="104"/>
        <v>0</v>
      </c>
      <c r="U471" s="2131">
        <f t="shared" si="105"/>
        <v>0</v>
      </c>
      <c r="V471" s="2071">
        <f t="shared" si="110"/>
        <v>455</v>
      </c>
    </row>
    <row r="472" spans="1:22" hidden="1">
      <c r="A472" s="2124">
        <f t="shared" si="111"/>
        <v>1</v>
      </c>
      <c r="B472" s="2073">
        <v>456</v>
      </c>
      <c r="C472" s="2104">
        <f t="shared" si="112"/>
        <v>0</v>
      </c>
      <c r="D472" s="2125">
        <f t="shared" si="100"/>
        <v>0.03</v>
      </c>
      <c r="E472" s="2104">
        <f t="shared" si="106"/>
        <v>0</v>
      </c>
      <c r="F472" s="2135"/>
      <c r="G472" s="2127">
        <f t="shared" si="113"/>
        <v>3</v>
      </c>
      <c r="H472" s="2075">
        <v>456</v>
      </c>
      <c r="I472" s="2104">
        <f t="shared" si="107"/>
        <v>0</v>
      </c>
      <c r="J472" s="2125">
        <f t="shared" si="108"/>
        <v>3.5000000000000003E-2</v>
      </c>
      <c r="K472" s="2083"/>
      <c r="L472" s="2106"/>
      <c r="N472" s="2071">
        <f t="shared" si="109"/>
        <v>456</v>
      </c>
      <c r="O472" s="2130">
        <f>IF(D471=D472,O471+0.00001,ROUNDDOWN(MAX($O$16:$O471),0)+1)</f>
        <v>4.5599999999999825E-3</v>
      </c>
      <c r="P472" s="2131">
        <f t="shared" si="101"/>
        <v>0</v>
      </c>
      <c r="Q472" s="2131">
        <f t="shared" si="102"/>
        <v>0</v>
      </c>
      <c r="R472" s="2131">
        <f t="shared" si="103"/>
        <v>0</v>
      </c>
      <c r="S472" s="2130">
        <f>IF(J471=J472,S471+0.00001,ROUNDDOWN(MAX($S$16:$S471),0)+1)</f>
        <v>2.003360000000022</v>
      </c>
      <c r="T472" s="2131">
        <f t="shared" si="104"/>
        <v>0</v>
      </c>
      <c r="U472" s="2131">
        <f t="shared" si="105"/>
        <v>0</v>
      </c>
      <c r="V472" s="2071">
        <f t="shared" si="110"/>
        <v>456</v>
      </c>
    </row>
    <row r="473" spans="1:22" hidden="1">
      <c r="A473" s="2124">
        <f t="shared" si="111"/>
        <v>1</v>
      </c>
      <c r="B473" s="2073">
        <v>457</v>
      </c>
      <c r="C473" s="2104">
        <f t="shared" si="112"/>
        <v>0</v>
      </c>
      <c r="D473" s="2125">
        <f t="shared" si="100"/>
        <v>0.03</v>
      </c>
      <c r="E473" s="2104">
        <f t="shared" si="106"/>
        <v>0</v>
      </c>
      <c r="F473" s="2135"/>
      <c r="G473" s="2127">
        <f t="shared" si="113"/>
        <v>3</v>
      </c>
      <c r="H473" s="2075">
        <v>457</v>
      </c>
      <c r="I473" s="2104">
        <f t="shared" si="107"/>
        <v>0</v>
      </c>
      <c r="J473" s="2125">
        <f t="shared" si="108"/>
        <v>3.5000000000000003E-2</v>
      </c>
      <c r="K473" s="2083"/>
      <c r="L473" s="2106"/>
      <c r="N473" s="2071">
        <f t="shared" si="109"/>
        <v>457</v>
      </c>
      <c r="O473" s="2130">
        <f>IF(D472=D473,O472+0.00001,ROUNDDOWN(MAX($O$16:$O472),0)+1)</f>
        <v>4.5699999999999821E-3</v>
      </c>
      <c r="P473" s="2131">
        <f t="shared" si="101"/>
        <v>0</v>
      </c>
      <c r="Q473" s="2131">
        <f t="shared" si="102"/>
        <v>0</v>
      </c>
      <c r="R473" s="2131">
        <f t="shared" si="103"/>
        <v>0</v>
      </c>
      <c r="S473" s="2130">
        <f>IF(J472=J473,S472+0.00001,ROUNDDOWN(MAX($S$16:$S472),0)+1)</f>
        <v>2.0033700000000221</v>
      </c>
      <c r="T473" s="2131">
        <f t="shared" si="104"/>
        <v>0</v>
      </c>
      <c r="U473" s="2131">
        <f t="shared" si="105"/>
        <v>0</v>
      </c>
      <c r="V473" s="2071">
        <f t="shared" si="110"/>
        <v>457</v>
      </c>
    </row>
    <row r="474" spans="1:22" hidden="1">
      <c r="A474" s="2124">
        <f t="shared" si="111"/>
        <v>1</v>
      </c>
      <c r="B474" s="2073">
        <v>458</v>
      </c>
      <c r="C474" s="2104">
        <f t="shared" si="112"/>
        <v>0</v>
      </c>
      <c r="D474" s="2125">
        <f t="shared" si="100"/>
        <v>0.03</v>
      </c>
      <c r="E474" s="2104">
        <f t="shared" si="106"/>
        <v>0</v>
      </c>
      <c r="F474" s="2135"/>
      <c r="G474" s="2127">
        <f t="shared" si="113"/>
        <v>3</v>
      </c>
      <c r="H474" s="2075">
        <v>458</v>
      </c>
      <c r="I474" s="2104">
        <f t="shared" si="107"/>
        <v>0</v>
      </c>
      <c r="J474" s="2125">
        <f t="shared" si="108"/>
        <v>3.5000000000000003E-2</v>
      </c>
      <c r="K474" s="2083"/>
      <c r="L474" s="2106"/>
      <c r="N474" s="2071">
        <f t="shared" si="109"/>
        <v>458</v>
      </c>
      <c r="O474" s="2130">
        <f>IF(D473=D474,O473+0.00001,ROUNDDOWN(MAX($O$16:$O473),0)+1)</f>
        <v>4.5799999999999817E-3</v>
      </c>
      <c r="P474" s="2131">
        <f t="shared" si="101"/>
        <v>0</v>
      </c>
      <c r="Q474" s="2131">
        <f t="shared" si="102"/>
        <v>0</v>
      </c>
      <c r="R474" s="2131">
        <f t="shared" si="103"/>
        <v>0</v>
      </c>
      <c r="S474" s="2130">
        <f>IF(J473=J474,S473+0.00001,ROUNDDOWN(MAX($S$16:$S473),0)+1)</f>
        <v>2.0033800000000221</v>
      </c>
      <c r="T474" s="2131">
        <f t="shared" si="104"/>
        <v>0</v>
      </c>
      <c r="U474" s="2131">
        <f t="shared" si="105"/>
        <v>0</v>
      </c>
      <c r="V474" s="2071">
        <f t="shared" si="110"/>
        <v>458</v>
      </c>
    </row>
    <row r="475" spans="1:22" hidden="1">
      <c r="A475" s="2124">
        <f t="shared" si="111"/>
        <v>1</v>
      </c>
      <c r="B475" s="2073">
        <v>459</v>
      </c>
      <c r="C475" s="2104">
        <f t="shared" si="112"/>
        <v>0</v>
      </c>
      <c r="D475" s="2125">
        <f t="shared" si="100"/>
        <v>0.03</v>
      </c>
      <c r="E475" s="2104">
        <f t="shared" si="106"/>
        <v>0</v>
      </c>
      <c r="F475" s="2135"/>
      <c r="G475" s="2127">
        <f t="shared" si="113"/>
        <v>3</v>
      </c>
      <c r="H475" s="2075">
        <v>459</v>
      </c>
      <c r="I475" s="2104">
        <f t="shared" si="107"/>
        <v>0</v>
      </c>
      <c r="J475" s="2125">
        <f t="shared" si="108"/>
        <v>3.5000000000000003E-2</v>
      </c>
      <c r="K475" s="2083"/>
      <c r="L475" s="2106"/>
      <c r="N475" s="2071">
        <f t="shared" si="109"/>
        <v>459</v>
      </c>
      <c r="O475" s="2130">
        <f>IF(D474=D475,O474+0.00001,ROUNDDOWN(MAX($O$16:$O474),0)+1)</f>
        <v>4.5899999999999812E-3</v>
      </c>
      <c r="P475" s="2131">
        <f t="shared" si="101"/>
        <v>0</v>
      </c>
      <c r="Q475" s="2131">
        <f t="shared" si="102"/>
        <v>0</v>
      </c>
      <c r="R475" s="2131">
        <f t="shared" si="103"/>
        <v>0</v>
      </c>
      <c r="S475" s="2130">
        <f>IF(J474=J475,S474+0.00001,ROUNDDOWN(MAX($S$16:$S474),0)+1)</f>
        <v>2.0033900000000222</v>
      </c>
      <c r="T475" s="2131">
        <f t="shared" si="104"/>
        <v>0</v>
      </c>
      <c r="U475" s="2131">
        <f t="shared" si="105"/>
        <v>0</v>
      </c>
      <c r="V475" s="2071">
        <f t="shared" si="110"/>
        <v>459</v>
      </c>
    </row>
    <row r="476" spans="1:22" hidden="1">
      <c r="A476" s="2124">
        <f t="shared" si="111"/>
        <v>1</v>
      </c>
      <c r="B476" s="2073">
        <v>460</v>
      </c>
      <c r="C476" s="2104">
        <f t="shared" si="112"/>
        <v>0</v>
      </c>
      <c r="D476" s="2125">
        <f t="shared" si="100"/>
        <v>0.03</v>
      </c>
      <c r="E476" s="2104">
        <f t="shared" si="106"/>
        <v>0</v>
      </c>
      <c r="F476" s="2135"/>
      <c r="G476" s="2127">
        <f t="shared" si="113"/>
        <v>3</v>
      </c>
      <c r="H476" s="2075">
        <v>460</v>
      </c>
      <c r="I476" s="2104">
        <f t="shared" si="107"/>
        <v>0</v>
      </c>
      <c r="J476" s="2125">
        <f t="shared" si="108"/>
        <v>3.5000000000000003E-2</v>
      </c>
      <c r="K476" s="2083"/>
      <c r="L476" s="2106"/>
      <c r="N476" s="2071">
        <f t="shared" si="109"/>
        <v>460</v>
      </c>
      <c r="O476" s="2130">
        <f>IF(D475=D476,O475+0.00001,ROUNDDOWN(MAX($O$16:$O475),0)+1)</f>
        <v>4.5999999999999808E-3</v>
      </c>
      <c r="P476" s="2131">
        <f t="shared" si="101"/>
        <v>0</v>
      </c>
      <c r="Q476" s="2131">
        <f t="shared" si="102"/>
        <v>0</v>
      </c>
      <c r="R476" s="2131">
        <f t="shared" si="103"/>
        <v>0</v>
      </c>
      <c r="S476" s="2130">
        <f>IF(J475=J476,S475+0.00001,ROUNDDOWN(MAX($S$16:$S475),0)+1)</f>
        <v>2.0034000000000223</v>
      </c>
      <c r="T476" s="2131">
        <f t="shared" si="104"/>
        <v>0</v>
      </c>
      <c r="U476" s="2131">
        <f t="shared" si="105"/>
        <v>0</v>
      </c>
      <c r="V476" s="2071">
        <f t="shared" si="110"/>
        <v>460</v>
      </c>
    </row>
    <row r="477" spans="1:22" hidden="1">
      <c r="A477" s="2124">
        <f t="shared" si="111"/>
        <v>1</v>
      </c>
      <c r="B477" s="2073">
        <v>461</v>
      </c>
      <c r="C477" s="2104">
        <f t="shared" si="112"/>
        <v>0</v>
      </c>
      <c r="D477" s="2125">
        <f t="shared" si="100"/>
        <v>0.03</v>
      </c>
      <c r="E477" s="2104">
        <f t="shared" si="106"/>
        <v>0</v>
      </c>
      <c r="F477" s="2135"/>
      <c r="G477" s="2127">
        <f t="shared" si="113"/>
        <v>3</v>
      </c>
      <c r="H477" s="2075">
        <v>461</v>
      </c>
      <c r="I477" s="2104">
        <f t="shared" si="107"/>
        <v>0</v>
      </c>
      <c r="J477" s="2125">
        <f t="shared" si="108"/>
        <v>3.5000000000000003E-2</v>
      </c>
      <c r="K477" s="2083"/>
      <c r="L477" s="2106"/>
      <c r="N477" s="2071">
        <f t="shared" si="109"/>
        <v>461</v>
      </c>
      <c r="O477" s="2130">
        <f>IF(D476=D477,O476+0.00001,ROUNDDOWN(MAX($O$16:$O476),0)+1)</f>
        <v>4.6099999999999804E-3</v>
      </c>
      <c r="P477" s="2131">
        <f t="shared" si="101"/>
        <v>0</v>
      </c>
      <c r="Q477" s="2131">
        <f t="shared" si="102"/>
        <v>0</v>
      </c>
      <c r="R477" s="2131">
        <f t="shared" si="103"/>
        <v>0</v>
      </c>
      <c r="S477" s="2130">
        <f>IF(J476=J477,S476+0.00001,ROUNDDOWN(MAX($S$16:$S476),0)+1)</f>
        <v>2.0034100000000223</v>
      </c>
      <c r="T477" s="2131">
        <f t="shared" si="104"/>
        <v>0</v>
      </c>
      <c r="U477" s="2131">
        <f t="shared" si="105"/>
        <v>0</v>
      </c>
      <c r="V477" s="2071">
        <f t="shared" si="110"/>
        <v>461</v>
      </c>
    </row>
    <row r="478" spans="1:22" hidden="1">
      <c r="A478" s="2124">
        <f t="shared" si="111"/>
        <v>1</v>
      </c>
      <c r="B478" s="2073">
        <v>462</v>
      </c>
      <c r="C478" s="2104">
        <f t="shared" si="112"/>
        <v>0</v>
      </c>
      <c r="D478" s="2125">
        <f t="shared" si="100"/>
        <v>0.03</v>
      </c>
      <c r="E478" s="2104">
        <f t="shared" si="106"/>
        <v>0</v>
      </c>
      <c r="F478" s="2135"/>
      <c r="G478" s="2127">
        <f t="shared" si="113"/>
        <v>3</v>
      </c>
      <c r="H478" s="2075">
        <v>462</v>
      </c>
      <c r="I478" s="2104">
        <f t="shared" si="107"/>
        <v>0</v>
      </c>
      <c r="J478" s="2125">
        <f t="shared" si="108"/>
        <v>3.5000000000000003E-2</v>
      </c>
      <c r="K478" s="2083"/>
      <c r="L478" s="2106"/>
      <c r="N478" s="2071">
        <f t="shared" si="109"/>
        <v>462</v>
      </c>
      <c r="O478" s="2130">
        <f>IF(D477=D478,O477+0.00001,ROUNDDOWN(MAX($O$16:$O477),0)+1)</f>
        <v>4.61999999999998E-3</v>
      </c>
      <c r="P478" s="2131">
        <f t="shared" si="101"/>
        <v>0</v>
      </c>
      <c r="Q478" s="2131">
        <f t="shared" si="102"/>
        <v>0</v>
      </c>
      <c r="R478" s="2131">
        <f t="shared" si="103"/>
        <v>0</v>
      </c>
      <c r="S478" s="2130">
        <f>IF(J477=J478,S477+0.00001,ROUNDDOWN(MAX($S$16:$S477),0)+1)</f>
        <v>2.0034200000000224</v>
      </c>
      <c r="T478" s="2131">
        <f t="shared" si="104"/>
        <v>0</v>
      </c>
      <c r="U478" s="2131">
        <f t="shared" si="105"/>
        <v>0</v>
      </c>
      <c r="V478" s="2071">
        <f t="shared" si="110"/>
        <v>462</v>
      </c>
    </row>
    <row r="479" spans="1:22" hidden="1">
      <c r="A479" s="2124">
        <f t="shared" si="111"/>
        <v>1</v>
      </c>
      <c r="B479" s="2073">
        <v>463</v>
      </c>
      <c r="C479" s="2104">
        <f t="shared" si="112"/>
        <v>0</v>
      </c>
      <c r="D479" s="2125">
        <f t="shared" si="100"/>
        <v>0.03</v>
      </c>
      <c r="E479" s="2104">
        <f t="shared" si="106"/>
        <v>0</v>
      </c>
      <c r="F479" s="2135"/>
      <c r="G479" s="2127">
        <f t="shared" si="113"/>
        <v>3</v>
      </c>
      <c r="H479" s="2075">
        <v>463</v>
      </c>
      <c r="I479" s="2104">
        <f t="shared" si="107"/>
        <v>0</v>
      </c>
      <c r="J479" s="2125">
        <f t="shared" si="108"/>
        <v>3.5000000000000003E-2</v>
      </c>
      <c r="K479" s="2083"/>
      <c r="L479" s="2106"/>
      <c r="N479" s="2071">
        <f t="shared" si="109"/>
        <v>463</v>
      </c>
      <c r="O479" s="2130">
        <f>IF(D478=D479,O478+0.00001,ROUNDDOWN(MAX($O$16:$O478),0)+1)</f>
        <v>4.6299999999999796E-3</v>
      </c>
      <c r="P479" s="2131">
        <f t="shared" si="101"/>
        <v>0</v>
      </c>
      <c r="Q479" s="2131">
        <f t="shared" si="102"/>
        <v>0</v>
      </c>
      <c r="R479" s="2131">
        <f t="shared" si="103"/>
        <v>0</v>
      </c>
      <c r="S479" s="2130">
        <f>IF(J478=J479,S478+0.00001,ROUNDDOWN(MAX($S$16:$S478),0)+1)</f>
        <v>2.0034300000000225</v>
      </c>
      <c r="T479" s="2131">
        <f t="shared" si="104"/>
        <v>0</v>
      </c>
      <c r="U479" s="2131">
        <f t="shared" si="105"/>
        <v>0</v>
      </c>
      <c r="V479" s="2071">
        <f t="shared" si="110"/>
        <v>463</v>
      </c>
    </row>
    <row r="480" spans="1:22" hidden="1">
      <c r="A480" s="2124">
        <f t="shared" si="111"/>
        <v>1</v>
      </c>
      <c r="B480" s="2073">
        <v>464</v>
      </c>
      <c r="C480" s="2104">
        <f t="shared" si="112"/>
        <v>0</v>
      </c>
      <c r="D480" s="2125">
        <f t="shared" si="100"/>
        <v>0.03</v>
      </c>
      <c r="E480" s="2104">
        <f t="shared" si="106"/>
        <v>0</v>
      </c>
      <c r="F480" s="2135"/>
      <c r="G480" s="2127">
        <f t="shared" si="113"/>
        <v>3</v>
      </c>
      <c r="H480" s="2075">
        <v>464</v>
      </c>
      <c r="I480" s="2104">
        <f t="shared" si="107"/>
        <v>0</v>
      </c>
      <c r="J480" s="2125">
        <f t="shared" si="108"/>
        <v>3.5000000000000003E-2</v>
      </c>
      <c r="K480" s="2083"/>
      <c r="L480" s="2106"/>
      <c r="N480" s="2071">
        <f t="shared" si="109"/>
        <v>464</v>
      </c>
      <c r="O480" s="2130">
        <f>IF(D479=D480,O479+0.00001,ROUNDDOWN(MAX($O$16:$O479),0)+1)</f>
        <v>4.6399999999999792E-3</v>
      </c>
      <c r="P480" s="2131">
        <f t="shared" si="101"/>
        <v>0</v>
      </c>
      <c r="Q480" s="2131">
        <f t="shared" si="102"/>
        <v>0</v>
      </c>
      <c r="R480" s="2131">
        <f t="shared" si="103"/>
        <v>0</v>
      </c>
      <c r="S480" s="2130">
        <f>IF(J479=J480,S479+0.00001,ROUNDDOWN(MAX($S$16:$S479),0)+1)</f>
        <v>2.0034400000000225</v>
      </c>
      <c r="T480" s="2131">
        <f t="shared" si="104"/>
        <v>0</v>
      </c>
      <c r="U480" s="2131">
        <f t="shared" si="105"/>
        <v>0</v>
      </c>
      <c r="V480" s="2071">
        <f t="shared" si="110"/>
        <v>464</v>
      </c>
    </row>
    <row r="481" spans="1:22" hidden="1">
      <c r="A481" s="2124">
        <f t="shared" si="111"/>
        <v>1</v>
      </c>
      <c r="B481" s="2073">
        <v>465</v>
      </c>
      <c r="C481" s="2104">
        <f t="shared" si="112"/>
        <v>0</v>
      </c>
      <c r="D481" s="2125">
        <f t="shared" si="100"/>
        <v>0.03</v>
      </c>
      <c r="E481" s="2104">
        <f t="shared" si="106"/>
        <v>0</v>
      </c>
      <c r="F481" s="2135"/>
      <c r="G481" s="2127">
        <f t="shared" si="113"/>
        <v>3</v>
      </c>
      <c r="H481" s="2075">
        <v>465</v>
      </c>
      <c r="I481" s="2104">
        <f t="shared" si="107"/>
        <v>0</v>
      </c>
      <c r="J481" s="2125">
        <f t="shared" si="108"/>
        <v>3.5000000000000003E-2</v>
      </c>
      <c r="K481" s="2083"/>
      <c r="L481" s="2106"/>
      <c r="N481" s="2071">
        <f t="shared" si="109"/>
        <v>465</v>
      </c>
      <c r="O481" s="2130">
        <f>IF(D480=D481,O480+0.00001,ROUNDDOWN(MAX($O$16:$O480),0)+1)</f>
        <v>4.6499999999999788E-3</v>
      </c>
      <c r="P481" s="2131">
        <f t="shared" si="101"/>
        <v>0</v>
      </c>
      <c r="Q481" s="2131">
        <f t="shared" si="102"/>
        <v>0</v>
      </c>
      <c r="R481" s="2131">
        <f t="shared" si="103"/>
        <v>0</v>
      </c>
      <c r="S481" s="2130">
        <f>IF(J480=J481,S480+0.00001,ROUNDDOWN(MAX($S$16:$S480),0)+1)</f>
        <v>2.0034500000000226</v>
      </c>
      <c r="T481" s="2131">
        <f t="shared" si="104"/>
        <v>0</v>
      </c>
      <c r="U481" s="2131">
        <f t="shared" si="105"/>
        <v>0</v>
      </c>
      <c r="V481" s="2071">
        <f t="shared" si="110"/>
        <v>465</v>
      </c>
    </row>
    <row r="482" spans="1:22" hidden="1">
      <c r="A482" s="2124">
        <f t="shared" si="111"/>
        <v>1</v>
      </c>
      <c r="B482" s="2073">
        <v>466</v>
      </c>
      <c r="C482" s="2104">
        <f t="shared" si="112"/>
        <v>0</v>
      </c>
      <c r="D482" s="2125">
        <f t="shared" si="100"/>
        <v>0.03</v>
      </c>
      <c r="E482" s="2104">
        <f t="shared" si="106"/>
        <v>0</v>
      </c>
      <c r="F482" s="2135"/>
      <c r="G482" s="2127">
        <f t="shared" si="113"/>
        <v>3</v>
      </c>
      <c r="H482" s="2075">
        <v>466</v>
      </c>
      <c r="I482" s="2104">
        <f t="shared" si="107"/>
        <v>0</v>
      </c>
      <c r="J482" s="2125">
        <f t="shared" si="108"/>
        <v>3.5000000000000003E-2</v>
      </c>
      <c r="K482" s="2083"/>
      <c r="L482" s="2106"/>
      <c r="N482" s="2071">
        <f t="shared" si="109"/>
        <v>466</v>
      </c>
      <c r="O482" s="2130">
        <f>IF(D481=D482,O481+0.00001,ROUNDDOWN(MAX($O$16:$O481),0)+1)</f>
        <v>4.6599999999999784E-3</v>
      </c>
      <c r="P482" s="2131">
        <f t="shared" si="101"/>
        <v>0</v>
      </c>
      <c r="Q482" s="2131">
        <f t="shared" si="102"/>
        <v>0</v>
      </c>
      <c r="R482" s="2131">
        <f t="shared" si="103"/>
        <v>0</v>
      </c>
      <c r="S482" s="2130">
        <f>IF(J481=J482,S481+0.00001,ROUNDDOWN(MAX($S$16:$S481),0)+1)</f>
        <v>2.0034600000000227</v>
      </c>
      <c r="T482" s="2131">
        <f t="shared" si="104"/>
        <v>0</v>
      </c>
      <c r="U482" s="2131">
        <f t="shared" si="105"/>
        <v>0</v>
      </c>
      <c r="V482" s="2071">
        <f t="shared" si="110"/>
        <v>466</v>
      </c>
    </row>
    <row r="483" spans="1:22" hidden="1">
      <c r="A483" s="2124">
        <f t="shared" si="111"/>
        <v>1</v>
      </c>
      <c r="B483" s="2073">
        <v>467</v>
      </c>
      <c r="C483" s="2104">
        <f t="shared" si="112"/>
        <v>0</v>
      </c>
      <c r="D483" s="2125">
        <f t="shared" si="100"/>
        <v>0.03</v>
      </c>
      <c r="E483" s="2104">
        <f t="shared" si="106"/>
        <v>0</v>
      </c>
      <c r="F483" s="2135"/>
      <c r="G483" s="2127">
        <f t="shared" si="113"/>
        <v>3</v>
      </c>
      <c r="H483" s="2075">
        <v>467</v>
      </c>
      <c r="I483" s="2104">
        <f t="shared" si="107"/>
        <v>0</v>
      </c>
      <c r="J483" s="2125">
        <f t="shared" si="108"/>
        <v>3.5000000000000003E-2</v>
      </c>
      <c r="K483" s="2083"/>
      <c r="L483" s="2106"/>
      <c r="N483" s="2071">
        <f t="shared" si="109"/>
        <v>467</v>
      </c>
      <c r="O483" s="2130">
        <f>IF(D482=D483,O482+0.00001,ROUNDDOWN(MAX($O$16:$O482),0)+1)</f>
        <v>4.669999999999978E-3</v>
      </c>
      <c r="P483" s="2131">
        <f t="shared" si="101"/>
        <v>0</v>
      </c>
      <c r="Q483" s="2131">
        <f t="shared" si="102"/>
        <v>0</v>
      </c>
      <c r="R483" s="2131">
        <f t="shared" si="103"/>
        <v>0</v>
      </c>
      <c r="S483" s="2130">
        <f>IF(J482=J483,S482+0.00001,ROUNDDOWN(MAX($S$16:$S482),0)+1)</f>
        <v>2.0034700000000227</v>
      </c>
      <c r="T483" s="2131">
        <f t="shared" si="104"/>
        <v>0</v>
      </c>
      <c r="U483" s="2131">
        <f t="shared" si="105"/>
        <v>0</v>
      </c>
      <c r="V483" s="2071">
        <f t="shared" si="110"/>
        <v>467</v>
      </c>
    </row>
    <row r="484" spans="1:22" hidden="1">
      <c r="A484" s="2124">
        <f t="shared" si="111"/>
        <v>1</v>
      </c>
      <c r="B484" s="2073">
        <v>468</v>
      </c>
      <c r="C484" s="2104">
        <f t="shared" si="112"/>
        <v>0</v>
      </c>
      <c r="D484" s="2125">
        <f t="shared" si="100"/>
        <v>0.03</v>
      </c>
      <c r="E484" s="2104">
        <f t="shared" si="106"/>
        <v>0</v>
      </c>
      <c r="F484" s="2135"/>
      <c r="G484" s="2127">
        <f t="shared" si="113"/>
        <v>3</v>
      </c>
      <c r="H484" s="2075">
        <v>468</v>
      </c>
      <c r="I484" s="2104">
        <f t="shared" si="107"/>
        <v>0</v>
      </c>
      <c r="J484" s="2125">
        <f t="shared" si="108"/>
        <v>3.5000000000000003E-2</v>
      </c>
      <c r="K484" s="2083"/>
      <c r="L484" s="2106"/>
      <c r="N484" s="2071">
        <f t="shared" si="109"/>
        <v>468</v>
      </c>
      <c r="O484" s="2130">
        <f>IF(D483=D484,O483+0.00001,ROUNDDOWN(MAX($O$16:$O483),0)+1)</f>
        <v>4.6799999999999776E-3</v>
      </c>
      <c r="P484" s="2131">
        <f t="shared" si="101"/>
        <v>0</v>
      </c>
      <c r="Q484" s="2131">
        <f t="shared" si="102"/>
        <v>0</v>
      </c>
      <c r="R484" s="2131">
        <f t="shared" si="103"/>
        <v>0</v>
      </c>
      <c r="S484" s="2130">
        <f>IF(J483=J484,S483+0.00001,ROUNDDOWN(MAX($S$16:$S483),0)+1)</f>
        <v>2.0034800000000228</v>
      </c>
      <c r="T484" s="2131">
        <f t="shared" si="104"/>
        <v>0</v>
      </c>
      <c r="U484" s="2131">
        <f t="shared" si="105"/>
        <v>0</v>
      </c>
      <c r="V484" s="2071">
        <f t="shared" si="110"/>
        <v>468</v>
      </c>
    </row>
    <row r="485" spans="1:22" hidden="1">
      <c r="A485" s="2124">
        <f t="shared" si="111"/>
        <v>1</v>
      </c>
      <c r="B485" s="2073">
        <v>469</v>
      </c>
      <c r="C485" s="2104">
        <f t="shared" si="112"/>
        <v>0</v>
      </c>
      <c r="D485" s="2125">
        <f t="shared" si="100"/>
        <v>0.03</v>
      </c>
      <c r="E485" s="2104">
        <f t="shared" si="106"/>
        <v>0</v>
      </c>
      <c r="F485" s="2135"/>
      <c r="G485" s="2127">
        <f t="shared" si="113"/>
        <v>3</v>
      </c>
      <c r="H485" s="2075">
        <v>469</v>
      </c>
      <c r="I485" s="2104">
        <f t="shared" si="107"/>
        <v>0</v>
      </c>
      <c r="J485" s="2125">
        <f t="shared" si="108"/>
        <v>3.5000000000000003E-2</v>
      </c>
      <c r="K485" s="2083"/>
      <c r="L485" s="2106"/>
      <c r="N485" s="2071">
        <f t="shared" si="109"/>
        <v>469</v>
      </c>
      <c r="O485" s="2130">
        <f>IF(D484=D485,O484+0.00001,ROUNDDOWN(MAX($O$16:$O484),0)+1)</f>
        <v>4.6899999999999772E-3</v>
      </c>
      <c r="P485" s="2131">
        <f t="shared" si="101"/>
        <v>0</v>
      </c>
      <c r="Q485" s="2131">
        <f t="shared" si="102"/>
        <v>0</v>
      </c>
      <c r="R485" s="2131">
        <f t="shared" si="103"/>
        <v>0</v>
      </c>
      <c r="S485" s="2130">
        <f>IF(J484=J485,S484+0.00001,ROUNDDOWN(MAX($S$16:$S484),0)+1)</f>
        <v>2.0034900000000229</v>
      </c>
      <c r="T485" s="2131">
        <f t="shared" si="104"/>
        <v>0</v>
      </c>
      <c r="U485" s="2131">
        <f t="shared" si="105"/>
        <v>0</v>
      </c>
      <c r="V485" s="2071">
        <f t="shared" si="110"/>
        <v>469</v>
      </c>
    </row>
    <row r="486" spans="1:22" hidden="1">
      <c r="A486" s="2124">
        <f t="shared" si="111"/>
        <v>1</v>
      </c>
      <c r="B486" s="2073">
        <v>470</v>
      </c>
      <c r="C486" s="2104">
        <f t="shared" si="112"/>
        <v>0</v>
      </c>
      <c r="D486" s="2125">
        <f t="shared" si="100"/>
        <v>0.03</v>
      </c>
      <c r="E486" s="2104">
        <f t="shared" si="106"/>
        <v>0</v>
      </c>
      <c r="F486" s="2135"/>
      <c r="G486" s="2127">
        <f t="shared" si="113"/>
        <v>3</v>
      </c>
      <c r="H486" s="2075">
        <v>470</v>
      </c>
      <c r="I486" s="2104">
        <f t="shared" si="107"/>
        <v>0</v>
      </c>
      <c r="J486" s="2125">
        <f t="shared" si="108"/>
        <v>3.5000000000000003E-2</v>
      </c>
      <c r="K486" s="2083"/>
      <c r="L486" s="2106"/>
      <c r="N486" s="2071">
        <f t="shared" si="109"/>
        <v>470</v>
      </c>
      <c r="O486" s="2130">
        <f>IF(D485=D486,O485+0.00001,ROUNDDOWN(MAX($O$16:$O485),0)+1)</f>
        <v>4.6999999999999768E-3</v>
      </c>
      <c r="P486" s="2131">
        <f t="shared" si="101"/>
        <v>0</v>
      </c>
      <c r="Q486" s="2131">
        <f t="shared" si="102"/>
        <v>0</v>
      </c>
      <c r="R486" s="2131">
        <f t="shared" si="103"/>
        <v>0</v>
      </c>
      <c r="S486" s="2130">
        <f>IF(J485=J486,S485+0.00001,ROUNDDOWN(MAX($S$16:$S485),0)+1)</f>
        <v>2.0035000000000229</v>
      </c>
      <c r="T486" s="2131">
        <f t="shared" si="104"/>
        <v>0</v>
      </c>
      <c r="U486" s="2131">
        <f t="shared" si="105"/>
        <v>0</v>
      </c>
      <c r="V486" s="2071">
        <f t="shared" si="110"/>
        <v>470</v>
      </c>
    </row>
    <row r="487" spans="1:22" hidden="1">
      <c r="A487" s="2124">
        <f t="shared" si="111"/>
        <v>1</v>
      </c>
      <c r="B487" s="2073">
        <v>471</v>
      </c>
      <c r="C487" s="2104">
        <f t="shared" si="112"/>
        <v>0</v>
      </c>
      <c r="D487" s="2125">
        <f t="shared" si="100"/>
        <v>0.03</v>
      </c>
      <c r="E487" s="2104">
        <f t="shared" si="106"/>
        <v>0</v>
      </c>
      <c r="F487" s="2135"/>
      <c r="G487" s="2127">
        <f t="shared" si="113"/>
        <v>3</v>
      </c>
      <c r="H487" s="2075">
        <v>471</v>
      </c>
      <c r="I487" s="2104">
        <f t="shared" si="107"/>
        <v>0</v>
      </c>
      <c r="J487" s="2125">
        <f t="shared" si="108"/>
        <v>3.5000000000000003E-2</v>
      </c>
      <c r="K487" s="2083"/>
      <c r="L487" s="2106"/>
      <c r="N487" s="2071">
        <f t="shared" si="109"/>
        <v>471</v>
      </c>
      <c r="O487" s="2130">
        <f>IF(D486=D487,O486+0.00001,ROUNDDOWN(MAX($O$16:$O486),0)+1)</f>
        <v>4.7099999999999764E-3</v>
      </c>
      <c r="P487" s="2131">
        <f t="shared" si="101"/>
        <v>0</v>
      </c>
      <c r="Q487" s="2131">
        <f t="shared" si="102"/>
        <v>0</v>
      </c>
      <c r="R487" s="2131">
        <f t="shared" si="103"/>
        <v>0</v>
      </c>
      <c r="S487" s="2130">
        <f>IF(J486=J487,S486+0.00001,ROUNDDOWN(MAX($S$16:$S486),0)+1)</f>
        <v>2.003510000000023</v>
      </c>
      <c r="T487" s="2131">
        <f t="shared" si="104"/>
        <v>0</v>
      </c>
      <c r="U487" s="2131">
        <f t="shared" si="105"/>
        <v>0</v>
      </c>
      <c r="V487" s="2071">
        <f t="shared" si="110"/>
        <v>471</v>
      </c>
    </row>
    <row r="488" spans="1:22" hidden="1">
      <c r="A488" s="2124">
        <f t="shared" si="111"/>
        <v>1</v>
      </c>
      <c r="B488" s="2073">
        <v>472</v>
      </c>
      <c r="C488" s="2104">
        <f t="shared" si="112"/>
        <v>0</v>
      </c>
      <c r="D488" s="2125">
        <f t="shared" si="100"/>
        <v>0.03</v>
      </c>
      <c r="E488" s="2104">
        <f t="shared" si="106"/>
        <v>0</v>
      </c>
      <c r="F488" s="2135"/>
      <c r="G488" s="2127">
        <f t="shared" si="113"/>
        <v>3</v>
      </c>
      <c r="H488" s="2075">
        <v>472</v>
      </c>
      <c r="I488" s="2104">
        <f t="shared" si="107"/>
        <v>0</v>
      </c>
      <c r="J488" s="2125">
        <f t="shared" si="108"/>
        <v>3.5000000000000003E-2</v>
      </c>
      <c r="K488" s="2083"/>
      <c r="L488" s="2106"/>
      <c r="N488" s="2071">
        <f t="shared" si="109"/>
        <v>472</v>
      </c>
      <c r="O488" s="2130">
        <f>IF(D487=D488,O487+0.00001,ROUNDDOWN(MAX($O$16:$O487),0)+1)</f>
        <v>4.719999999999976E-3</v>
      </c>
      <c r="P488" s="2131">
        <f t="shared" si="101"/>
        <v>0</v>
      </c>
      <c r="Q488" s="2131">
        <f t="shared" si="102"/>
        <v>0</v>
      </c>
      <c r="R488" s="2131">
        <f t="shared" si="103"/>
        <v>0</v>
      </c>
      <c r="S488" s="2130">
        <f>IF(J487=J488,S487+0.00001,ROUNDDOWN(MAX($S$16:$S487),0)+1)</f>
        <v>2.0035200000000231</v>
      </c>
      <c r="T488" s="2131">
        <f t="shared" si="104"/>
        <v>0</v>
      </c>
      <c r="U488" s="2131">
        <f t="shared" si="105"/>
        <v>0</v>
      </c>
      <c r="V488" s="2071">
        <f t="shared" si="110"/>
        <v>472</v>
      </c>
    </row>
    <row r="489" spans="1:22" hidden="1">
      <c r="A489" s="2124">
        <f t="shared" si="111"/>
        <v>1</v>
      </c>
      <c r="B489" s="2073">
        <v>473</v>
      </c>
      <c r="C489" s="2104">
        <f t="shared" si="112"/>
        <v>0</v>
      </c>
      <c r="D489" s="2125">
        <f t="shared" si="100"/>
        <v>0.03</v>
      </c>
      <c r="E489" s="2104">
        <f t="shared" si="106"/>
        <v>0</v>
      </c>
      <c r="F489" s="2135"/>
      <c r="G489" s="2127">
        <f t="shared" si="113"/>
        <v>3</v>
      </c>
      <c r="H489" s="2075">
        <v>473</v>
      </c>
      <c r="I489" s="2104">
        <f t="shared" si="107"/>
        <v>0</v>
      </c>
      <c r="J489" s="2125">
        <f t="shared" si="108"/>
        <v>3.5000000000000003E-2</v>
      </c>
      <c r="K489" s="2083"/>
      <c r="L489" s="2106"/>
      <c r="N489" s="2071">
        <f t="shared" si="109"/>
        <v>473</v>
      </c>
      <c r="O489" s="2130">
        <f>IF(D488=D489,O488+0.00001,ROUNDDOWN(MAX($O$16:$O488),0)+1)</f>
        <v>4.7299999999999755E-3</v>
      </c>
      <c r="P489" s="2131">
        <f t="shared" si="101"/>
        <v>0</v>
      </c>
      <c r="Q489" s="2131">
        <f t="shared" si="102"/>
        <v>0</v>
      </c>
      <c r="R489" s="2131">
        <f t="shared" si="103"/>
        <v>0</v>
      </c>
      <c r="S489" s="2130">
        <f>IF(J488=J489,S488+0.00001,ROUNDDOWN(MAX($S$16:$S488),0)+1)</f>
        <v>2.0035300000000231</v>
      </c>
      <c r="T489" s="2131">
        <f t="shared" si="104"/>
        <v>0</v>
      </c>
      <c r="U489" s="2131">
        <f t="shared" si="105"/>
        <v>0</v>
      </c>
      <c r="V489" s="2071">
        <f t="shared" si="110"/>
        <v>473</v>
      </c>
    </row>
    <row r="490" spans="1:22" hidden="1">
      <c r="A490" s="2124">
        <f t="shared" si="111"/>
        <v>1</v>
      </c>
      <c r="B490" s="2073">
        <v>474</v>
      </c>
      <c r="C490" s="2104">
        <f t="shared" si="112"/>
        <v>0</v>
      </c>
      <c r="D490" s="2125">
        <f t="shared" si="100"/>
        <v>0.03</v>
      </c>
      <c r="E490" s="2104">
        <f t="shared" si="106"/>
        <v>0</v>
      </c>
      <c r="F490" s="2135"/>
      <c r="G490" s="2127">
        <f t="shared" si="113"/>
        <v>3</v>
      </c>
      <c r="H490" s="2075">
        <v>474</v>
      </c>
      <c r="I490" s="2104">
        <f t="shared" si="107"/>
        <v>0</v>
      </c>
      <c r="J490" s="2125">
        <f t="shared" si="108"/>
        <v>3.5000000000000003E-2</v>
      </c>
      <c r="K490" s="2083"/>
      <c r="L490" s="2106"/>
      <c r="N490" s="2071">
        <f t="shared" si="109"/>
        <v>474</v>
      </c>
      <c r="O490" s="2130">
        <f>IF(D489=D490,O489+0.00001,ROUNDDOWN(MAX($O$16:$O489),0)+1)</f>
        <v>4.7399999999999751E-3</v>
      </c>
      <c r="P490" s="2131">
        <f t="shared" si="101"/>
        <v>0</v>
      </c>
      <c r="Q490" s="2131">
        <f t="shared" si="102"/>
        <v>0</v>
      </c>
      <c r="R490" s="2131">
        <f t="shared" si="103"/>
        <v>0</v>
      </c>
      <c r="S490" s="2130">
        <f>IF(J489=J490,S489+0.00001,ROUNDDOWN(MAX($S$16:$S489),0)+1)</f>
        <v>2.0035400000000232</v>
      </c>
      <c r="T490" s="2131">
        <f t="shared" si="104"/>
        <v>0</v>
      </c>
      <c r="U490" s="2131">
        <f t="shared" si="105"/>
        <v>0</v>
      </c>
      <c r="V490" s="2071">
        <f t="shared" si="110"/>
        <v>474</v>
      </c>
    </row>
    <row r="491" spans="1:22" hidden="1">
      <c r="A491" s="2124">
        <f t="shared" si="111"/>
        <v>1</v>
      </c>
      <c r="B491" s="2073">
        <v>475</v>
      </c>
      <c r="C491" s="2104">
        <f t="shared" si="112"/>
        <v>0</v>
      </c>
      <c r="D491" s="2125">
        <f t="shared" si="100"/>
        <v>0.03</v>
      </c>
      <c r="E491" s="2104">
        <f t="shared" si="106"/>
        <v>0</v>
      </c>
      <c r="F491" s="2135"/>
      <c r="G491" s="2127">
        <f t="shared" si="113"/>
        <v>3</v>
      </c>
      <c r="H491" s="2075">
        <v>475</v>
      </c>
      <c r="I491" s="2104">
        <f t="shared" si="107"/>
        <v>0</v>
      </c>
      <c r="J491" s="2125">
        <f t="shared" si="108"/>
        <v>3.5000000000000003E-2</v>
      </c>
      <c r="K491" s="2083"/>
      <c r="L491" s="2106"/>
      <c r="N491" s="2071">
        <f t="shared" si="109"/>
        <v>475</v>
      </c>
      <c r="O491" s="2130">
        <f>IF(D490=D491,O490+0.00001,ROUNDDOWN(MAX($O$16:$O490),0)+1)</f>
        <v>4.7499999999999747E-3</v>
      </c>
      <c r="P491" s="2131">
        <f t="shared" si="101"/>
        <v>0</v>
      </c>
      <c r="Q491" s="2131">
        <f t="shared" si="102"/>
        <v>0</v>
      </c>
      <c r="R491" s="2131">
        <f t="shared" si="103"/>
        <v>0</v>
      </c>
      <c r="S491" s="2130">
        <f>IF(J490=J491,S490+0.00001,ROUNDDOWN(MAX($S$16:$S490),0)+1)</f>
        <v>2.0035500000000233</v>
      </c>
      <c r="T491" s="2131">
        <f t="shared" si="104"/>
        <v>0</v>
      </c>
      <c r="U491" s="2131">
        <f t="shared" si="105"/>
        <v>0</v>
      </c>
      <c r="V491" s="2071">
        <f t="shared" si="110"/>
        <v>475</v>
      </c>
    </row>
    <row r="492" spans="1:22" hidden="1">
      <c r="A492" s="2124">
        <f t="shared" si="111"/>
        <v>1</v>
      </c>
      <c r="B492" s="2073">
        <v>476</v>
      </c>
      <c r="C492" s="2104">
        <f t="shared" si="112"/>
        <v>0</v>
      </c>
      <c r="D492" s="2125">
        <f t="shared" si="100"/>
        <v>0.03</v>
      </c>
      <c r="E492" s="2104">
        <f t="shared" si="106"/>
        <v>0</v>
      </c>
      <c r="F492" s="2135"/>
      <c r="G492" s="2127">
        <f t="shared" si="113"/>
        <v>3</v>
      </c>
      <c r="H492" s="2075">
        <v>476</v>
      </c>
      <c r="I492" s="2104">
        <f t="shared" si="107"/>
        <v>0</v>
      </c>
      <c r="J492" s="2125">
        <f t="shared" si="108"/>
        <v>3.5000000000000003E-2</v>
      </c>
      <c r="K492" s="2083"/>
      <c r="L492" s="2106"/>
      <c r="N492" s="2071">
        <f t="shared" si="109"/>
        <v>476</v>
      </c>
      <c r="O492" s="2130">
        <f>IF(D491=D492,O491+0.00001,ROUNDDOWN(MAX($O$16:$O491),0)+1)</f>
        <v>4.7599999999999743E-3</v>
      </c>
      <c r="P492" s="2131">
        <f t="shared" si="101"/>
        <v>0</v>
      </c>
      <c r="Q492" s="2131">
        <f t="shared" si="102"/>
        <v>0</v>
      </c>
      <c r="R492" s="2131">
        <f t="shared" si="103"/>
        <v>0</v>
      </c>
      <c r="S492" s="2130">
        <f>IF(J491=J492,S491+0.00001,ROUNDDOWN(MAX($S$16:$S491),0)+1)</f>
        <v>2.0035600000000233</v>
      </c>
      <c r="T492" s="2131">
        <f t="shared" si="104"/>
        <v>0</v>
      </c>
      <c r="U492" s="2131">
        <f t="shared" si="105"/>
        <v>0</v>
      </c>
      <c r="V492" s="2071">
        <f t="shared" si="110"/>
        <v>476</v>
      </c>
    </row>
    <row r="493" spans="1:22" hidden="1">
      <c r="A493" s="2124">
        <f t="shared" si="111"/>
        <v>1</v>
      </c>
      <c r="B493" s="2073">
        <v>477</v>
      </c>
      <c r="C493" s="2104">
        <f t="shared" si="112"/>
        <v>0</v>
      </c>
      <c r="D493" s="2125">
        <f t="shared" si="100"/>
        <v>0.03</v>
      </c>
      <c r="E493" s="2104">
        <f t="shared" si="106"/>
        <v>0</v>
      </c>
      <c r="F493" s="2135"/>
      <c r="G493" s="2127">
        <f t="shared" si="113"/>
        <v>3</v>
      </c>
      <c r="H493" s="2075">
        <v>477</v>
      </c>
      <c r="I493" s="2104">
        <f t="shared" si="107"/>
        <v>0</v>
      </c>
      <c r="J493" s="2125">
        <f t="shared" si="108"/>
        <v>3.5000000000000003E-2</v>
      </c>
      <c r="K493" s="2083"/>
      <c r="L493" s="2106"/>
      <c r="N493" s="2071">
        <f t="shared" si="109"/>
        <v>477</v>
      </c>
      <c r="O493" s="2130">
        <f>IF(D492=D493,O492+0.00001,ROUNDDOWN(MAX($O$16:$O492),0)+1)</f>
        <v>4.7699999999999739E-3</v>
      </c>
      <c r="P493" s="2131">
        <f t="shared" si="101"/>
        <v>0</v>
      </c>
      <c r="Q493" s="2131">
        <f t="shared" si="102"/>
        <v>0</v>
      </c>
      <c r="R493" s="2131">
        <f t="shared" si="103"/>
        <v>0</v>
      </c>
      <c r="S493" s="2130">
        <f>IF(J492=J493,S492+0.00001,ROUNDDOWN(MAX($S$16:$S492),0)+1)</f>
        <v>2.0035700000000234</v>
      </c>
      <c r="T493" s="2131">
        <f t="shared" si="104"/>
        <v>0</v>
      </c>
      <c r="U493" s="2131">
        <f t="shared" si="105"/>
        <v>0</v>
      </c>
      <c r="V493" s="2071">
        <f t="shared" si="110"/>
        <v>477</v>
      </c>
    </row>
    <row r="494" spans="1:22" hidden="1">
      <c r="A494" s="2124">
        <f t="shared" si="111"/>
        <v>1</v>
      </c>
      <c r="B494" s="2073">
        <v>478</v>
      </c>
      <c r="C494" s="2104">
        <f t="shared" si="112"/>
        <v>0</v>
      </c>
      <c r="D494" s="2125">
        <f t="shared" si="100"/>
        <v>0.03</v>
      </c>
      <c r="E494" s="2104">
        <f t="shared" si="106"/>
        <v>0</v>
      </c>
      <c r="F494" s="2135"/>
      <c r="G494" s="2127">
        <f t="shared" si="113"/>
        <v>3</v>
      </c>
      <c r="H494" s="2075">
        <v>478</v>
      </c>
      <c r="I494" s="2104">
        <f t="shared" si="107"/>
        <v>0</v>
      </c>
      <c r="J494" s="2125">
        <f t="shared" si="108"/>
        <v>3.5000000000000003E-2</v>
      </c>
      <c r="K494" s="2083"/>
      <c r="L494" s="2106"/>
      <c r="N494" s="2071">
        <f t="shared" si="109"/>
        <v>478</v>
      </c>
      <c r="O494" s="2130">
        <f>IF(D493=D494,O493+0.00001,ROUNDDOWN(MAX($O$16:$O493),0)+1)</f>
        <v>4.7799999999999735E-3</v>
      </c>
      <c r="P494" s="2131">
        <f t="shared" si="101"/>
        <v>0</v>
      </c>
      <c r="Q494" s="2131">
        <f t="shared" si="102"/>
        <v>0</v>
      </c>
      <c r="R494" s="2131">
        <f t="shared" si="103"/>
        <v>0</v>
      </c>
      <c r="S494" s="2130">
        <f>IF(J493=J494,S493+0.00001,ROUNDDOWN(MAX($S$16:$S493),0)+1)</f>
        <v>2.0035800000000235</v>
      </c>
      <c r="T494" s="2131">
        <f t="shared" si="104"/>
        <v>0</v>
      </c>
      <c r="U494" s="2131">
        <f t="shared" si="105"/>
        <v>0</v>
      </c>
      <c r="V494" s="2071">
        <f t="shared" si="110"/>
        <v>478</v>
      </c>
    </row>
    <row r="495" spans="1:22" hidden="1">
      <c r="A495" s="2124">
        <f t="shared" si="111"/>
        <v>1</v>
      </c>
      <c r="B495" s="2073">
        <v>479</v>
      </c>
      <c r="C495" s="2104">
        <f t="shared" si="112"/>
        <v>0</v>
      </c>
      <c r="D495" s="2125">
        <f t="shared" si="100"/>
        <v>0.03</v>
      </c>
      <c r="E495" s="2104">
        <f t="shared" si="106"/>
        <v>0</v>
      </c>
      <c r="F495" s="2135"/>
      <c r="G495" s="2127">
        <f t="shared" si="113"/>
        <v>3</v>
      </c>
      <c r="H495" s="2075">
        <v>479</v>
      </c>
      <c r="I495" s="2104">
        <f t="shared" si="107"/>
        <v>0</v>
      </c>
      <c r="J495" s="2125">
        <f t="shared" si="108"/>
        <v>3.5000000000000003E-2</v>
      </c>
      <c r="K495" s="2083"/>
      <c r="L495" s="2106"/>
      <c r="N495" s="2071">
        <f t="shared" si="109"/>
        <v>479</v>
      </c>
      <c r="O495" s="2130">
        <f>IF(D494=D495,O494+0.00001,ROUNDDOWN(MAX($O$16:$O494),0)+1)</f>
        <v>4.7899999999999731E-3</v>
      </c>
      <c r="P495" s="2131">
        <f t="shared" si="101"/>
        <v>0</v>
      </c>
      <c r="Q495" s="2131">
        <f t="shared" si="102"/>
        <v>0</v>
      </c>
      <c r="R495" s="2131">
        <f t="shared" si="103"/>
        <v>0</v>
      </c>
      <c r="S495" s="2130">
        <f>IF(J494=J495,S494+0.00001,ROUNDDOWN(MAX($S$16:$S494),0)+1)</f>
        <v>2.0035900000000235</v>
      </c>
      <c r="T495" s="2131">
        <f t="shared" si="104"/>
        <v>0</v>
      </c>
      <c r="U495" s="2131">
        <f t="shared" si="105"/>
        <v>0</v>
      </c>
      <c r="V495" s="2071">
        <f t="shared" si="110"/>
        <v>479</v>
      </c>
    </row>
    <row r="496" spans="1:22" hidden="1">
      <c r="A496" s="2124">
        <f t="shared" si="111"/>
        <v>1</v>
      </c>
      <c r="B496" s="2073">
        <v>480</v>
      </c>
      <c r="C496" s="2104">
        <f t="shared" si="112"/>
        <v>0</v>
      </c>
      <c r="D496" s="2125">
        <f t="shared" si="100"/>
        <v>0.03</v>
      </c>
      <c r="E496" s="2104">
        <f t="shared" si="106"/>
        <v>0</v>
      </c>
      <c r="F496" s="2135"/>
      <c r="G496" s="2127">
        <f t="shared" si="113"/>
        <v>3</v>
      </c>
      <c r="H496" s="2075">
        <v>480</v>
      </c>
      <c r="I496" s="2104">
        <f t="shared" si="107"/>
        <v>0</v>
      </c>
      <c r="J496" s="2125">
        <f t="shared" si="108"/>
        <v>3.5000000000000003E-2</v>
      </c>
      <c r="K496" s="2083"/>
      <c r="L496" s="2106"/>
      <c r="N496" s="2071">
        <f t="shared" si="109"/>
        <v>480</v>
      </c>
      <c r="O496" s="2130">
        <f>IF(D495=D496,O495+0.00001,ROUNDDOWN(MAX($O$16:$O495),0)+1)</f>
        <v>4.7999999999999727E-3</v>
      </c>
      <c r="P496" s="2131">
        <f t="shared" si="101"/>
        <v>0</v>
      </c>
      <c r="Q496" s="2131">
        <f t="shared" si="102"/>
        <v>0</v>
      </c>
      <c r="R496" s="2131">
        <f t="shared" si="103"/>
        <v>0</v>
      </c>
      <c r="S496" s="2130">
        <f>IF(J495=J496,S495+0.00001,ROUNDDOWN(MAX($S$16:$S495),0)+1)</f>
        <v>2.0036000000000236</v>
      </c>
      <c r="T496" s="2131">
        <f t="shared" si="104"/>
        <v>0</v>
      </c>
      <c r="U496" s="2131">
        <f t="shared" si="105"/>
        <v>0</v>
      </c>
      <c r="V496" s="2071">
        <f t="shared" si="110"/>
        <v>480</v>
      </c>
    </row>
    <row r="497" spans="1:22" hidden="1">
      <c r="A497" s="2124">
        <f t="shared" si="111"/>
        <v>1</v>
      </c>
      <c r="B497" s="2073">
        <v>481</v>
      </c>
      <c r="C497" s="2104">
        <f t="shared" si="112"/>
        <v>0</v>
      </c>
      <c r="D497" s="2125">
        <f t="shared" si="100"/>
        <v>0.03</v>
      </c>
      <c r="E497" s="2104">
        <f t="shared" si="106"/>
        <v>0</v>
      </c>
      <c r="F497" s="2135"/>
      <c r="G497" s="2127">
        <f t="shared" si="113"/>
        <v>3</v>
      </c>
      <c r="H497" s="2075">
        <v>481</v>
      </c>
      <c r="I497" s="2104">
        <f t="shared" si="107"/>
        <v>0</v>
      </c>
      <c r="J497" s="2125">
        <f t="shared" si="108"/>
        <v>3.5000000000000003E-2</v>
      </c>
      <c r="K497" s="2083"/>
      <c r="L497" s="2106"/>
      <c r="N497" s="2071">
        <f t="shared" si="109"/>
        <v>481</v>
      </c>
      <c r="O497" s="2130">
        <f>IF(D496=D497,O496+0.00001,ROUNDDOWN(MAX($O$16:$O496),0)+1)</f>
        <v>4.8099999999999723E-3</v>
      </c>
      <c r="P497" s="2131">
        <f t="shared" si="101"/>
        <v>0</v>
      </c>
      <c r="Q497" s="2131">
        <f t="shared" si="102"/>
        <v>0</v>
      </c>
      <c r="R497" s="2131">
        <f t="shared" si="103"/>
        <v>0</v>
      </c>
      <c r="S497" s="2130">
        <f>IF(J496=J497,S496+0.00001,ROUNDDOWN(MAX($S$16:$S496),0)+1)</f>
        <v>2.0036100000000236</v>
      </c>
      <c r="T497" s="2131">
        <f t="shared" si="104"/>
        <v>0</v>
      </c>
      <c r="U497" s="2131">
        <f t="shared" si="105"/>
        <v>0</v>
      </c>
      <c r="V497" s="2071">
        <f t="shared" si="110"/>
        <v>481</v>
      </c>
    </row>
    <row r="498" spans="1:22" hidden="1">
      <c r="A498" s="2124">
        <f t="shared" si="111"/>
        <v>1</v>
      </c>
      <c r="B498" s="2073">
        <v>482</v>
      </c>
      <c r="C498" s="2104">
        <f t="shared" si="112"/>
        <v>0</v>
      </c>
      <c r="D498" s="2125">
        <f t="shared" si="100"/>
        <v>0.03</v>
      </c>
      <c r="E498" s="2104">
        <f t="shared" si="106"/>
        <v>0</v>
      </c>
      <c r="F498" s="2135"/>
      <c r="G498" s="2127">
        <f t="shared" si="113"/>
        <v>3</v>
      </c>
      <c r="H498" s="2075">
        <v>482</v>
      </c>
      <c r="I498" s="2104">
        <f t="shared" si="107"/>
        <v>0</v>
      </c>
      <c r="J498" s="2125">
        <f t="shared" si="108"/>
        <v>3.5000000000000003E-2</v>
      </c>
      <c r="K498" s="2083"/>
      <c r="L498" s="2106"/>
      <c r="N498" s="2071">
        <f t="shared" si="109"/>
        <v>482</v>
      </c>
      <c r="O498" s="2130">
        <f>IF(D497=D498,O497+0.00001,ROUNDDOWN(MAX($O$16:$O497),0)+1)</f>
        <v>4.8199999999999719E-3</v>
      </c>
      <c r="P498" s="2131">
        <f t="shared" si="101"/>
        <v>0</v>
      </c>
      <c r="Q498" s="2131">
        <f t="shared" si="102"/>
        <v>0</v>
      </c>
      <c r="R498" s="2131">
        <f t="shared" si="103"/>
        <v>0</v>
      </c>
      <c r="S498" s="2130">
        <f>IF(J497=J498,S497+0.00001,ROUNDDOWN(MAX($S$16:$S497),0)+1)</f>
        <v>2.0036200000000237</v>
      </c>
      <c r="T498" s="2131">
        <f t="shared" si="104"/>
        <v>0</v>
      </c>
      <c r="U498" s="2131">
        <f t="shared" si="105"/>
        <v>0</v>
      </c>
      <c r="V498" s="2071">
        <f t="shared" si="110"/>
        <v>482</v>
      </c>
    </row>
    <row r="499" spans="1:22" hidden="1">
      <c r="A499" s="2124">
        <f t="shared" si="111"/>
        <v>1</v>
      </c>
      <c r="B499" s="2073">
        <v>483</v>
      </c>
      <c r="C499" s="2104">
        <f t="shared" si="112"/>
        <v>0</v>
      </c>
      <c r="D499" s="2125">
        <f t="shared" si="100"/>
        <v>0.03</v>
      </c>
      <c r="E499" s="2104">
        <f t="shared" si="106"/>
        <v>0</v>
      </c>
      <c r="F499" s="2135"/>
      <c r="G499" s="2127">
        <f t="shared" si="113"/>
        <v>3</v>
      </c>
      <c r="H499" s="2075">
        <v>483</v>
      </c>
      <c r="I499" s="2104">
        <f t="shared" si="107"/>
        <v>0</v>
      </c>
      <c r="J499" s="2125">
        <f t="shared" si="108"/>
        <v>3.5000000000000003E-2</v>
      </c>
      <c r="K499" s="2083"/>
      <c r="L499" s="2106"/>
      <c r="N499" s="2071">
        <f t="shared" si="109"/>
        <v>483</v>
      </c>
      <c r="O499" s="2130">
        <f>IF(D498=D499,O498+0.00001,ROUNDDOWN(MAX($O$16:$O498),0)+1)</f>
        <v>4.8299999999999715E-3</v>
      </c>
      <c r="P499" s="2131">
        <f t="shared" si="101"/>
        <v>0</v>
      </c>
      <c r="Q499" s="2131">
        <f t="shared" si="102"/>
        <v>0</v>
      </c>
      <c r="R499" s="2131">
        <f t="shared" si="103"/>
        <v>0</v>
      </c>
      <c r="S499" s="2130">
        <f>IF(J498=J499,S498+0.00001,ROUNDDOWN(MAX($S$16:$S498),0)+1)</f>
        <v>2.0036300000000238</v>
      </c>
      <c r="T499" s="2131">
        <f t="shared" si="104"/>
        <v>0</v>
      </c>
      <c r="U499" s="2131">
        <f t="shared" si="105"/>
        <v>0</v>
      </c>
      <c r="V499" s="2071">
        <f t="shared" si="110"/>
        <v>483</v>
      </c>
    </row>
    <row r="500" spans="1:22" hidden="1">
      <c r="A500" s="2124">
        <f t="shared" si="111"/>
        <v>1</v>
      </c>
      <c r="B500" s="2073">
        <v>484</v>
      </c>
      <c r="C500" s="2104">
        <f t="shared" si="112"/>
        <v>0</v>
      </c>
      <c r="D500" s="2125">
        <f t="shared" si="100"/>
        <v>0.03</v>
      </c>
      <c r="E500" s="2104">
        <f t="shared" si="106"/>
        <v>0</v>
      </c>
      <c r="F500" s="2135"/>
      <c r="G500" s="2127">
        <f t="shared" si="113"/>
        <v>3</v>
      </c>
      <c r="H500" s="2075">
        <v>484</v>
      </c>
      <c r="I500" s="2104">
        <f t="shared" si="107"/>
        <v>0</v>
      </c>
      <c r="J500" s="2125">
        <f t="shared" si="108"/>
        <v>3.5000000000000003E-2</v>
      </c>
      <c r="K500" s="2083"/>
      <c r="L500" s="2106"/>
      <c r="N500" s="2071">
        <f t="shared" si="109"/>
        <v>484</v>
      </c>
      <c r="O500" s="2130">
        <f>IF(D499=D500,O499+0.00001,ROUNDDOWN(MAX($O$16:$O499),0)+1)</f>
        <v>4.8399999999999711E-3</v>
      </c>
      <c r="P500" s="2131">
        <f t="shared" si="101"/>
        <v>0</v>
      </c>
      <c r="Q500" s="2131">
        <f t="shared" si="102"/>
        <v>0</v>
      </c>
      <c r="R500" s="2131">
        <f t="shared" si="103"/>
        <v>0</v>
      </c>
      <c r="S500" s="2130">
        <f>IF(J499=J500,S499+0.00001,ROUNDDOWN(MAX($S$16:$S499),0)+1)</f>
        <v>2.0036400000000238</v>
      </c>
      <c r="T500" s="2131">
        <f t="shared" si="104"/>
        <v>0</v>
      </c>
      <c r="U500" s="2131">
        <f t="shared" si="105"/>
        <v>0</v>
      </c>
      <c r="V500" s="2071">
        <f t="shared" si="110"/>
        <v>484</v>
      </c>
    </row>
    <row r="501" spans="1:22" hidden="1">
      <c r="A501" s="2124">
        <f t="shared" si="111"/>
        <v>1</v>
      </c>
      <c r="B501" s="2073">
        <v>485</v>
      </c>
      <c r="C501" s="2104">
        <f t="shared" si="112"/>
        <v>0</v>
      </c>
      <c r="D501" s="2125">
        <f t="shared" si="100"/>
        <v>0.03</v>
      </c>
      <c r="E501" s="2104">
        <f t="shared" si="106"/>
        <v>0</v>
      </c>
      <c r="F501" s="2135"/>
      <c r="G501" s="2127">
        <f t="shared" si="113"/>
        <v>3</v>
      </c>
      <c r="H501" s="2075">
        <v>485</v>
      </c>
      <c r="I501" s="2104">
        <f t="shared" si="107"/>
        <v>0</v>
      </c>
      <c r="J501" s="2125">
        <f t="shared" si="108"/>
        <v>3.5000000000000003E-2</v>
      </c>
      <c r="K501" s="2083"/>
      <c r="L501" s="2106"/>
      <c r="N501" s="2071">
        <f t="shared" si="109"/>
        <v>485</v>
      </c>
      <c r="O501" s="2130">
        <f>IF(D500=D501,O500+0.00001,ROUNDDOWN(MAX($O$16:$O500),0)+1)</f>
        <v>4.8499999999999707E-3</v>
      </c>
      <c r="P501" s="2131">
        <f t="shared" si="101"/>
        <v>0</v>
      </c>
      <c r="Q501" s="2131">
        <f t="shared" si="102"/>
        <v>0</v>
      </c>
      <c r="R501" s="2131">
        <f t="shared" si="103"/>
        <v>0</v>
      </c>
      <c r="S501" s="2130">
        <f>IF(J500=J501,S500+0.00001,ROUNDDOWN(MAX($S$16:$S500),0)+1)</f>
        <v>2.0036500000000239</v>
      </c>
      <c r="T501" s="2131">
        <f t="shared" si="104"/>
        <v>0</v>
      </c>
      <c r="U501" s="2131">
        <f t="shared" si="105"/>
        <v>0</v>
      </c>
      <c r="V501" s="2071">
        <f t="shared" si="110"/>
        <v>485</v>
      </c>
    </row>
    <row r="502" spans="1:22" hidden="1">
      <c r="A502" s="2124">
        <f t="shared" si="111"/>
        <v>1</v>
      </c>
      <c r="B502" s="2073">
        <v>486</v>
      </c>
      <c r="C502" s="2104">
        <f t="shared" si="112"/>
        <v>0</v>
      </c>
      <c r="D502" s="2125">
        <f t="shared" si="100"/>
        <v>0.03</v>
      </c>
      <c r="E502" s="2104">
        <f t="shared" si="106"/>
        <v>0</v>
      </c>
      <c r="F502" s="2135"/>
      <c r="G502" s="2127">
        <f t="shared" si="113"/>
        <v>3</v>
      </c>
      <c r="H502" s="2075">
        <v>486</v>
      </c>
      <c r="I502" s="2104">
        <f t="shared" si="107"/>
        <v>0</v>
      </c>
      <c r="J502" s="2125">
        <f t="shared" si="108"/>
        <v>3.5000000000000003E-2</v>
      </c>
      <c r="K502" s="2083"/>
      <c r="L502" s="2106"/>
      <c r="N502" s="2071">
        <f t="shared" si="109"/>
        <v>486</v>
      </c>
      <c r="O502" s="2130">
        <f>IF(D501=D502,O501+0.00001,ROUNDDOWN(MAX($O$16:$O501),0)+1)</f>
        <v>4.8599999999999702E-3</v>
      </c>
      <c r="P502" s="2131">
        <f t="shared" si="101"/>
        <v>0</v>
      </c>
      <c r="Q502" s="2131">
        <f t="shared" si="102"/>
        <v>0</v>
      </c>
      <c r="R502" s="2131">
        <f t="shared" si="103"/>
        <v>0</v>
      </c>
      <c r="S502" s="2130">
        <f>IF(J501=J502,S501+0.00001,ROUNDDOWN(MAX($S$16:$S501),0)+1)</f>
        <v>2.003660000000024</v>
      </c>
      <c r="T502" s="2131">
        <f t="shared" si="104"/>
        <v>0</v>
      </c>
      <c r="U502" s="2131">
        <f t="shared" si="105"/>
        <v>0</v>
      </c>
      <c r="V502" s="2071">
        <f t="shared" si="110"/>
        <v>486</v>
      </c>
    </row>
    <row r="503" spans="1:22" hidden="1">
      <c r="A503" s="2124">
        <f t="shared" si="111"/>
        <v>1</v>
      </c>
      <c r="B503" s="2073">
        <v>487</v>
      </c>
      <c r="C503" s="2104">
        <f t="shared" si="112"/>
        <v>0</v>
      </c>
      <c r="D503" s="2125">
        <f t="shared" si="100"/>
        <v>0.03</v>
      </c>
      <c r="E503" s="2104">
        <f t="shared" si="106"/>
        <v>0</v>
      </c>
      <c r="F503" s="2135"/>
      <c r="G503" s="2127">
        <f t="shared" si="113"/>
        <v>3</v>
      </c>
      <c r="H503" s="2075">
        <v>487</v>
      </c>
      <c r="I503" s="2104">
        <f t="shared" si="107"/>
        <v>0</v>
      </c>
      <c r="J503" s="2125">
        <f t="shared" si="108"/>
        <v>3.5000000000000003E-2</v>
      </c>
      <c r="K503" s="2083"/>
      <c r="L503" s="2106"/>
      <c r="N503" s="2071">
        <f t="shared" si="109"/>
        <v>487</v>
      </c>
      <c r="O503" s="2130">
        <f>IF(D502=D503,O502+0.00001,ROUNDDOWN(MAX($O$16:$O502),0)+1)</f>
        <v>4.8699999999999698E-3</v>
      </c>
      <c r="P503" s="2131">
        <f t="shared" si="101"/>
        <v>0</v>
      </c>
      <c r="Q503" s="2131">
        <f t="shared" si="102"/>
        <v>0</v>
      </c>
      <c r="R503" s="2131">
        <f t="shared" si="103"/>
        <v>0</v>
      </c>
      <c r="S503" s="2130">
        <f>IF(J502=J503,S502+0.00001,ROUNDDOWN(MAX($S$16:$S502),0)+1)</f>
        <v>2.003670000000024</v>
      </c>
      <c r="T503" s="2131">
        <f t="shared" si="104"/>
        <v>0</v>
      </c>
      <c r="U503" s="2131">
        <f t="shared" si="105"/>
        <v>0</v>
      </c>
      <c r="V503" s="2071">
        <f t="shared" si="110"/>
        <v>487</v>
      </c>
    </row>
    <row r="504" spans="1:22" hidden="1">
      <c r="A504" s="2124">
        <f t="shared" si="111"/>
        <v>1</v>
      </c>
      <c r="B504" s="2073">
        <v>488</v>
      </c>
      <c r="C504" s="2104">
        <f t="shared" si="112"/>
        <v>0</v>
      </c>
      <c r="D504" s="2125">
        <f t="shared" si="100"/>
        <v>0.03</v>
      </c>
      <c r="E504" s="2104">
        <f t="shared" si="106"/>
        <v>0</v>
      </c>
      <c r="F504" s="2135"/>
      <c r="G504" s="2127">
        <f t="shared" si="113"/>
        <v>3</v>
      </c>
      <c r="H504" s="2075">
        <v>488</v>
      </c>
      <c r="I504" s="2104">
        <f t="shared" si="107"/>
        <v>0</v>
      </c>
      <c r="J504" s="2125">
        <f t="shared" si="108"/>
        <v>3.5000000000000003E-2</v>
      </c>
      <c r="K504" s="2083"/>
      <c r="L504" s="2106"/>
      <c r="N504" s="2071">
        <f t="shared" si="109"/>
        <v>488</v>
      </c>
      <c r="O504" s="2130">
        <f>IF(D503=D504,O503+0.00001,ROUNDDOWN(MAX($O$16:$O503),0)+1)</f>
        <v>4.8799999999999694E-3</v>
      </c>
      <c r="P504" s="2131">
        <f t="shared" si="101"/>
        <v>0</v>
      </c>
      <c r="Q504" s="2131">
        <f t="shared" si="102"/>
        <v>0</v>
      </c>
      <c r="R504" s="2131">
        <f t="shared" si="103"/>
        <v>0</v>
      </c>
      <c r="S504" s="2130">
        <f>IF(J503=J504,S503+0.00001,ROUNDDOWN(MAX($S$16:$S503),0)+1)</f>
        <v>2.0036800000000241</v>
      </c>
      <c r="T504" s="2131">
        <f t="shared" si="104"/>
        <v>0</v>
      </c>
      <c r="U504" s="2131">
        <f t="shared" si="105"/>
        <v>0</v>
      </c>
      <c r="V504" s="2071">
        <f t="shared" si="110"/>
        <v>488</v>
      </c>
    </row>
    <row r="505" spans="1:22" hidden="1">
      <c r="A505" s="2124">
        <f t="shared" si="111"/>
        <v>1</v>
      </c>
      <c r="B505" s="2073">
        <v>489</v>
      </c>
      <c r="C505" s="2104">
        <f t="shared" si="112"/>
        <v>0</v>
      </c>
      <c r="D505" s="2125">
        <f t="shared" si="100"/>
        <v>0.03</v>
      </c>
      <c r="E505" s="2104">
        <f t="shared" si="106"/>
        <v>0</v>
      </c>
      <c r="F505" s="2135"/>
      <c r="G505" s="2127">
        <f t="shared" si="113"/>
        <v>3</v>
      </c>
      <c r="H505" s="2075">
        <v>489</v>
      </c>
      <c r="I505" s="2104">
        <f t="shared" si="107"/>
        <v>0</v>
      </c>
      <c r="J505" s="2125">
        <f t="shared" si="108"/>
        <v>3.5000000000000003E-2</v>
      </c>
      <c r="K505" s="2083"/>
      <c r="L505" s="2106"/>
      <c r="N505" s="2071">
        <f t="shared" si="109"/>
        <v>489</v>
      </c>
      <c r="O505" s="2130">
        <f>IF(D504=D505,O504+0.00001,ROUNDDOWN(MAX($O$16:$O504),0)+1)</f>
        <v>4.889999999999969E-3</v>
      </c>
      <c r="P505" s="2131">
        <f t="shared" si="101"/>
        <v>0</v>
      </c>
      <c r="Q505" s="2131">
        <f t="shared" si="102"/>
        <v>0</v>
      </c>
      <c r="R505" s="2131">
        <f t="shared" si="103"/>
        <v>0</v>
      </c>
      <c r="S505" s="2130">
        <f>IF(J504=J505,S504+0.00001,ROUNDDOWN(MAX($S$16:$S504),0)+1)</f>
        <v>2.0036900000000242</v>
      </c>
      <c r="T505" s="2131">
        <f t="shared" si="104"/>
        <v>0</v>
      </c>
      <c r="U505" s="2131">
        <f t="shared" si="105"/>
        <v>0</v>
      </c>
      <c r="V505" s="2071">
        <f t="shared" si="110"/>
        <v>489</v>
      </c>
    </row>
    <row r="506" spans="1:22" hidden="1">
      <c r="A506" s="2124">
        <f t="shared" si="111"/>
        <v>1</v>
      </c>
      <c r="B506" s="2073">
        <v>490</v>
      </c>
      <c r="C506" s="2104">
        <f t="shared" si="112"/>
        <v>0</v>
      </c>
      <c r="D506" s="2125">
        <f t="shared" si="100"/>
        <v>0.03</v>
      </c>
      <c r="E506" s="2104">
        <f t="shared" si="106"/>
        <v>0</v>
      </c>
      <c r="F506" s="2135"/>
      <c r="G506" s="2127">
        <f t="shared" si="113"/>
        <v>3</v>
      </c>
      <c r="H506" s="2075">
        <v>490</v>
      </c>
      <c r="I506" s="2104">
        <f t="shared" si="107"/>
        <v>0</v>
      </c>
      <c r="J506" s="2125">
        <f t="shared" si="108"/>
        <v>3.5000000000000003E-2</v>
      </c>
      <c r="K506" s="2083"/>
      <c r="L506" s="2106"/>
      <c r="N506" s="2071">
        <f t="shared" si="109"/>
        <v>490</v>
      </c>
      <c r="O506" s="2130">
        <f>IF(D505=D506,O505+0.00001,ROUNDDOWN(MAX($O$16:$O505),0)+1)</f>
        <v>4.8999999999999686E-3</v>
      </c>
      <c r="P506" s="2131">
        <f t="shared" si="101"/>
        <v>0</v>
      </c>
      <c r="Q506" s="2131">
        <f t="shared" si="102"/>
        <v>0</v>
      </c>
      <c r="R506" s="2131">
        <f t="shared" si="103"/>
        <v>0</v>
      </c>
      <c r="S506" s="2130">
        <f>IF(J505=J506,S505+0.00001,ROUNDDOWN(MAX($S$16:$S505),0)+1)</f>
        <v>2.0037000000000242</v>
      </c>
      <c r="T506" s="2131">
        <f t="shared" si="104"/>
        <v>0</v>
      </c>
      <c r="U506" s="2131">
        <f t="shared" si="105"/>
        <v>0</v>
      </c>
      <c r="V506" s="2071">
        <f t="shared" si="110"/>
        <v>490</v>
      </c>
    </row>
    <row r="507" spans="1:22" hidden="1">
      <c r="A507" s="2124">
        <f t="shared" si="111"/>
        <v>1</v>
      </c>
      <c r="B507" s="2073">
        <v>491</v>
      </c>
      <c r="C507" s="2104">
        <f t="shared" si="112"/>
        <v>0</v>
      </c>
      <c r="D507" s="2125">
        <f t="shared" si="100"/>
        <v>0.03</v>
      </c>
      <c r="E507" s="2104">
        <f t="shared" si="106"/>
        <v>0</v>
      </c>
      <c r="F507" s="2135"/>
      <c r="G507" s="2127">
        <f t="shared" si="113"/>
        <v>3</v>
      </c>
      <c r="H507" s="2075">
        <v>491</v>
      </c>
      <c r="I507" s="2104">
        <f t="shared" si="107"/>
        <v>0</v>
      </c>
      <c r="J507" s="2125">
        <f t="shared" si="108"/>
        <v>3.5000000000000003E-2</v>
      </c>
      <c r="K507" s="2083"/>
      <c r="L507" s="2106"/>
      <c r="N507" s="2071">
        <f t="shared" si="109"/>
        <v>491</v>
      </c>
      <c r="O507" s="2130">
        <f>IF(D506=D507,O506+0.00001,ROUNDDOWN(MAX($O$16:$O506),0)+1)</f>
        <v>4.9099999999999682E-3</v>
      </c>
      <c r="P507" s="2131">
        <f t="shared" si="101"/>
        <v>0</v>
      </c>
      <c r="Q507" s="2131">
        <f t="shared" si="102"/>
        <v>0</v>
      </c>
      <c r="R507" s="2131">
        <f t="shared" si="103"/>
        <v>0</v>
      </c>
      <c r="S507" s="2130">
        <f>IF(J506=J507,S506+0.00001,ROUNDDOWN(MAX($S$16:$S506),0)+1)</f>
        <v>2.0037100000000243</v>
      </c>
      <c r="T507" s="2131">
        <f t="shared" si="104"/>
        <v>0</v>
      </c>
      <c r="U507" s="2131">
        <f t="shared" si="105"/>
        <v>0</v>
      </c>
      <c r="V507" s="2071">
        <f t="shared" si="110"/>
        <v>491</v>
      </c>
    </row>
    <row r="508" spans="1:22" hidden="1">
      <c r="A508" s="2124">
        <f t="shared" si="111"/>
        <v>1</v>
      </c>
      <c r="B508" s="2073">
        <v>492</v>
      </c>
      <c r="C508" s="2104">
        <f t="shared" si="112"/>
        <v>0</v>
      </c>
      <c r="D508" s="2125">
        <f t="shared" si="100"/>
        <v>0.03</v>
      </c>
      <c r="E508" s="2104">
        <f t="shared" si="106"/>
        <v>0</v>
      </c>
      <c r="F508" s="2135"/>
      <c r="G508" s="2127">
        <f t="shared" si="113"/>
        <v>3</v>
      </c>
      <c r="H508" s="2075">
        <v>492</v>
      </c>
      <c r="I508" s="2104">
        <f t="shared" si="107"/>
        <v>0</v>
      </c>
      <c r="J508" s="2125">
        <f t="shared" si="108"/>
        <v>3.5000000000000003E-2</v>
      </c>
      <c r="K508" s="2083"/>
      <c r="L508" s="2106"/>
      <c r="N508" s="2071">
        <f t="shared" si="109"/>
        <v>492</v>
      </c>
      <c r="O508" s="2130">
        <f>IF(D507=D508,O507+0.00001,ROUNDDOWN(MAX($O$16:$O507),0)+1)</f>
        <v>4.9199999999999678E-3</v>
      </c>
      <c r="P508" s="2131">
        <f t="shared" si="101"/>
        <v>0</v>
      </c>
      <c r="Q508" s="2131">
        <f t="shared" si="102"/>
        <v>0</v>
      </c>
      <c r="R508" s="2131">
        <f t="shared" si="103"/>
        <v>0</v>
      </c>
      <c r="S508" s="2130">
        <f>IF(J507=J508,S507+0.00001,ROUNDDOWN(MAX($S$16:$S507),0)+1)</f>
        <v>2.0037200000000244</v>
      </c>
      <c r="T508" s="2131">
        <f t="shared" si="104"/>
        <v>0</v>
      </c>
      <c r="U508" s="2131">
        <f t="shared" si="105"/>
        <v>0</v>
      </c>
      <c r="V508" s="2071">
        <f t="shared" si="110"/>
        <v>492</v>
      </c>
    </row>
    <row r="509" spans="1:22" hidden="1">
      <c r="A509" s="2124">
        <f t="shared" si="111"/>
        <v>1</v>
      </c>
      <c r="B509" s="2073">
        <v>493</v>
      </c>
      <c r="C509" s="2104">
        <f t="shared" si="112"/>
        <v>0</v>
      </c>
      <c r="D509" s="2125">
        <f t="shared" si="100"/>
        <v>0.03</v>
      </c>
      <c r="E509" s="2104">
        <f t="shared" si="106"/>
        <v>0</v>
      </c>
      <c r="F509" s="2135"/>
      <c r="G509" s="2127">
        <f t="shared" si="113"/>
        <v>3</v>
      </c>
      <c r="H509" s="2075">
        <v>493</v>
      </c>
      <c r="I509" s="2104">
        <f t="shared" si="107"/>
        <v>0</v>
      </c>
      <c r="J509" s="2125">
        <f t="shared" si="108"/>
        <v>3.5000000000000003E-2</v>
      </c>
      <c r="K509" s="2083"/>
      <c r="L509" s="2106"/>
      <c r="N509" s="2071">
        <f t="shared" si="109"/>
        <v>493</v>
      </c>
      <c r="O509" s="2130">
        <f>IF(D508=D509,O508+0.00001,ROUNDDOWN(MAX($O$16:$O508),0)+1)</f>
        <v>4.9299999999999674E-3</v>
      </c>
      <c r="P509" s="2131">
        <f t="shared" si="101"/>
        <v>0</v>
      </c>
      <c r="Q509" s="2131">
        <f t="shared" si="102"/>
        <v>0</v>
      </c>
      <c r="R509" s="2131">
        <f t="shared" si="103"/>
        <v>0</v>
      </c>
      <c r="S509" s="2130">
        <f>IF(J508=J509,S508+0.00001,ROUNDDOWN(MAX($S$16:$S508),0)+1)</f>
        <v>2.0037300000000244</v>
      </c>
      <c r="T509" s="2131">
        <f t="shared" si="104"/>
        <v>0</v>
      </c>
      <c r="U509" s="2131">
        <f t="shared" si="105"/>
        <v>0</v>
      </c>
      <c r="V509" s="2071">
        <f t="shared" si="110"/>
        <v>493</v>
      </c>
    </row>
    <row r="510" spans="1:22" hidden="1">
      <c r="A510" s="2124">
        <f t="shared" si="111"/>
        <v>1</v>
      </c>
      <c r="B510" s="2073">
        <v>494</v>
      </c>
      <c r="C510" s="2104">
        <f t="shared" si="112"/>
        <v>0</v>
      </c>
      <c r="D510" s="2125">
        <f t="shared" si="100"/>
        <v>0.03</v>
      </c>
      <c r="E510" s="2104">
        <f t="shared" si="106"/>
        <v>0</v>
      </c>
      <c r="F510" s="2135"/>
      <c r="G510" s="2127">
        <f t="shared" si="113"/>
        <v>3</v>
      </c>
      <c r="H510" s="2075">
        <v>494</v>
      </c>
      <c r="I510" s="2104">
        <f t="shared" si="107"/>
        <v>0</v>
      </c>
      <c r="J510" s="2125">
        <f t="shared" si="108"/>
        <v>3.5000000000000003E-2</v>
      </c>
      <c r="K510" s="2083"/>
      <c r="L510" s="2106"/>
      <c r="N510" s="2071">
        <f t="shared" si="109"/>
        <v>494</v>
      </c>
      <c r="O510" s="2130">
        <f>IF(D509=D510,O509+0.00001,ROUNDDOWN(MAX($O$16:$O509),0)+1)</f>
        <v>4.939999999999967E-3</v>
      </c>
      <c r="P510" s="2131">
        <f t="shared" si="101"/>
        <v>0</v>
      </c>
      <c r="Q510" s="2131">
        <f t="shared" si="102"/>
        <v>0</v>
      </c>
      <c r="R510" s="2131">
        <f t="shared" si="103"/>
        <v>0</v>
      </c>
      <c r="S510" s="2130">
        <f>IF(J509=J510,S509+0.00001,ROUNDDOWN(MAX($S$16:$S509),0)+1)</f>
        <v>2.0037400000000245</v>
      </c>
      <c r="T510" s="2131">
        <f t="shared" si="104"/>
        <v>0</v>
      </c>
      <c r="U510" s="2131">
        <f t="shared" si="105"/>
        <v>0</v>
      </c>
      <c r="V510" s="2071">
        <f t="shared" si="110"/>
        <v>494</v>
      </c>
    </row>
    <row r="511" spans="1:22" hidden="1">
      <c r="A511" s="2124">
        <f t="shared" si="111"/>
        <v>1</v>
      </c>
      <c r="B511" s="2073">
        <v>495</v>
      </c>
      <c r="C511" s="2104">
        <f t="shared" si="112"/>
        <v>0</v>
      </c>
      <c r="D511" s="2125">
        <f t="shared" si="100"/>
        <v>0.03</v>
      </c>
      <c r="E511" s="2104">
        <f t="shared" si="106"/>
        <v>0</v>
      </c>
      <c r="F511" s="2135"/>
      <c r="G511" s="2127">
        <f t="shared" si="113"/>
        <v>3</v>
      </c>
      <c r="H511" s="2075">
        <v>495</v>
      </c>
      <c r="I511" s="2104">
        <f t="shared" si="107"/>
        <v>0</v>
      </c>
      <c r="J511" s="2125">
        <f t="shared" si="108"/>
        <v>3.5000000000000003E-2</v>
      </c>
      <c r="K511" s="2083"/>
      <c r="L511" s="2106"/>
      <c r="N511" s="2071">
        <f t="shared" si="109"/>
        <v>495</v>
      </c>
      <c r="O511" s="2130">
        <f>IF(D510=D511,O510+0.00001,ROUNDDOWN(MAX($O$16:$O510),0)+1)</f>
        <v>4.9499999999999666E-3</v>
      </c>
      <c r="P511" s="2131">
        <f t="shared" si="101"/>
        <v>0</v>
      </c>
      <c r="Q511" s="2131">
        <f t="shared" si="102"/>
        <v>0</v>
      </c>
      <c r="R511" s="2131">
        <f t="shared" si="103"/>
        <v>0</v>
      </c>
      <c r="S511" s="2130">
        <f>IF(J510=J511,S510+0.00001,ROUNDDOWN(MAX($S$16:$S510),0)+1)</f>
        <v>2.0037500000000246</v>
      </c>
      <c r="T511" s="2131">
        <f t="shared" si="104"/>
        <v>0</v>
      </c>
      <c r="U511" s="2131">
        <f t="shared" si="105"/>
        <v>0</v>
      </c>
      <c r="V511" s="2071">
        <f t="shared" si="110"/>
        <v>495</v>
      </c>
    </row>
    <row r="512" spans="1:22" hidden="1">
      <c r="A512" s="2124">
        <f t="shared" si="111"/>
        <v>1</v>
      </c>
      <c r="B512" s="2073">
        <v>496</v>
      </c>
      <c r="C512" s="2104">
        <f t="shared" si="112"/>
        <v>0</v>
      </c>
      <c r="D512" s="2125">
        <f t="shared" si="100"/>
        <v>0.03</v>
      </c>
      <c r="E512" s="2104">
        <f t="shared" si="106"/>
        <v>0</v>
      </c>
      <c r="F512" s="2135"/>
      <c r="G512" s="2127">
        <f t="shared" si="113"/>
        <v>3</v>
      </c>
      <c r="H512" s="2075">
        <v>496</v>
      </c>
      <c r="I512" s="2104">
        <f t="shared" si="107"/>
        <v>0</v>
      </c>
      <c r="J512" s="2125">
        <f t="shared" si="108"/>
        <v>3.5000000000000003E-2</v>
      </c>
      <c r="K512" s="2083"/>
      <c r="L512" s="2106"/>
      <c r="N512" s="2071">
        <f t="shared" si="109"/>
        <v>496</v>
      </c>
      <c r="O512" s="2130">
        <f>IF(D511=D512,O511+0.00001,ROUNDDOWN(MAX($O$16:$O511),0)+1)</f>
        <v>4.9599999999999662E-3</v>
      </c>
      <c r="P512" s="2131">
        <f t="shared" si="101"/>
        <v>0</v>
      </c>
      <c r="Q512" s="2131">
        <f t="shared" si="102"/>
        <v>0</v>
      </c>
      <c r="R512" s="2131">
        <f t="shared" si="103"/>
        <v>0</v>
      </c>
      <c r="S512" s="2130">
        <f>IF(J511=J512,S511+0.00001,ROUNDDOWN(MAX($S$16:$S511),0)+1)</f>
        <v>2.0037600000000246</v>
      </c>
      <c r="T512" s="2131">
        <f t="shared" si="104"/>
        <v>0</v>
      </c>
      <c r="U512" s="2131">
        <f t="shared" si="105"/>
        <v>0</v>
      </c>
      <c r="V512" s="2071">
        <f t="shared" si="110"/>
        <v>496</v>
      </c>
    </row>
    <row r="513" spans="1:22" hidden="1">
      <c r="A513" s="2124">
        <f t="shared" si="111"/>
        <v>1</v>
      </c>
      <c r="B513" s="2073">
        <v>497</v>
      </c>
      <c r="C513" s="2104">
        <f t="shared" si="112"/>
        <v>0</v>
      </c>
      <c r="D513" s="2125">
        <f t="shared" si="100"/>
        <v>0.03</v>
      </c>
      <c r="E513" s="2104">
        <f t="shared" si="106"/>
        <v>0</v>
      </c>
      <c r="F513" s="2135"/>
      <c r="G513" s="2127">
        <f t="shared" si="113"/>
        <v>3</v>
      </c>
      <c r="H513" s="2075">
        <v>497</v>
      </c>
      <c r="I513" s="2104">
        <f t="shared" si="107"/>
        <v>0</v>
      </c>
      <c r="J513" s="2125">
        <f t="shared" si="108"/>
        <v>3.5000000000000003E-2</v>
      </c>
      <c r="K513" s="2083"/>
      <c r="L513" s="2106"/>
      <c r="N513" s="2071">
        <f t="shared" si="109"/>
        <v>497</v>
      </c>
      <c r="O513" s="2130">
        <f>IF(D512=D513,O512+0.00001,ROUNDDOWN(MAX($O$16:$O512),0)+1)</f>
        <v>4.9699999999999658E-3</v>
      </c>
      <c r="P513" s="2131">
        <f t="shared" si="101"/>
        <v>0</v>
      </c>
      <c r="Q513" s="2131">
        <f t="shared" si="102"/>
        <v>0</v>
      </c>
      <c r="R513" s="2131">
        <f t="shared" si="103"/>
        <v>0</v>
      </c>
      <c r="S513" s="2130">
        <f>IF(J512=J513,S512+0.00001,ROUNDDOWN(MAX($S$16:$S512),0)+1)</f>
        <v>2.0037700000000247</v>
      </c>
      <c r="T513" s="2131">
        <f t="shared" si="104"/>
        <v>0</v>
      </c>
      <c r="U513" s="2131">
        <f t="shared" si="105"/>
        <v>0</v>
      </c>
      <c r="V513" s="2071">
        <f t="shared" si="110"/>
        <v>497</v>
      </c>
    </row>
    <row r="514" spans="1:22" hidden="1">
      <c r="A514" s="2124">
        <f t="shared" si="111"/>
        <v>1</v>
      </c>
      <c r="B514" s="2073">
        <v>498</v>
      </c>
      <c r="C514" s="2104">
        <f t="shared" si="112"/>
        <v>0</v>
      </c>
      <c r="D514" s="2125">
        <f t="shared" si="100"/>
        <v>0.03</v>
      </c>
      <c r="E514" s="2104">
        <f t="shared" si="106"/>
        <v>0</v>
      </c>
      <c r="F514" s="2135"/>
      <c r="G514" s="2127">
        <f t="shared" si="113"/>
        <v>3</v>
      </c>
      <c r="H514" s="2075">
        <v>498</v>
      </c>
      <c r="I514" s="2104">
        <f t="shared" si="107"/>
        <v>0</v>
      </c>
      <c r="J514" s="2125">
        <f t="shared" si="108"/>
        <v>3.5000000000000003E-2</v>
      </c>
      <c r="K514" s="2083"/>
      <c r="L514" s="2106"/>
      <c r="N514" s="2071">
        <f t="shared" si="109"/>
        <v>498</v>
      </c>
      <c r="O514" s="2130">
        <f>IF(D513=D514,O513+0.00001,ROUNDDOWN(MAX($O$16:$O513),0)+1)</f>
        <v>4.9799999999999654E-3</v>
      </c>
      <c r="P514" s="2131">
        <f t="shared" si="101"/>
        <v>0</v>
      </c>
      <c r="Q514" s="2131">
        <f t="shared" si="102"/>
        <v>0</v>
      </c>
      <c r="R514" s="2131">
        <f t="shared" si="103"/>
        <v>0</v>
      </c>
      <c r="S514" s="2130">
        <f>IF(J513=J514,S513+0.00001,ROUNDDOWN(MAX($S$16:$S513),0)+1)</f>
        <v>2.0037800000000248</v>
      </c>
      <c r="T514" s="2131">
        <f t="shared" si="104"/>
        <v>0</v>
      </c>
      <c r="U514" s="2131">
        <f t="shared" si="105"/>
        <v>0</v>
      </c>
      <c r="V514" s="2071">
        <f t="shared" si="110"/>
        <v>498</v>
      </c>
    </row>
    <row r="515" spans="1:22" hidden="1">
      <c r="A515" s="2124">
        <f t="shared" si="111"/>
        <v>1</v>
      </c>
      <c r="B515" s="2073">
        <v>499</v>
      </c>
      <c r="C515" s="2104">
        <f t="shared" si="112"/>
        <v>0</v>
      </c>
      <c r="D515" s="2125">
        <f t="shared" si="100"/>
        <v>0.03</v>
      </c>
      <c r="E515" s="2104">
        <f t="shared" si="106"/>
        <v>0</v>
      </c>
      <c r="F515" s="2135"/>
      <c r="G515" s="2127">
        <f t="shared" si="113"/>
        <v>3</v>
      </c>
      <c r="H515" s="2075">
        <v>499</v>
      </c>
      <c r="I515" s="2104">
        <f t="shared" si="107"/>
        <v>0</v>
      </c>
      <c r="J515" s="2125">
        <f t="shared" si="108"/>
        <v>3.5000000000000003E-2</v>
      </c>
      <c r="K515" s="2083"/>
      <c r="L515" s="2106"/>
      <c r="N515" s="2071">
        <f t="shared" si="109"/>
        <v>499</v>
      </c>
      <c r="O515" s="2130">
        <f>IF(D514=D515,O514+0.00001,ROUNDDOWN(MAX($O$16:$O514),0)+1)</f>
        <v>4.9899999999999649E-3</v>
      </c>
      <c r="P515" s="2131">
        <f t="shared" si="101"/>
        <v>0</v>
      </c>
      <c r="Q515" s="2131">
        <f t="shared" si="102"/>
        <v>0</v>
      </c>
      <c r="R515" s="2131">
        <f t="shared" si="103"/>
        <v>0</v>
      </c>
      <c r="S515" s="2130">
        <f>IF(J514=J515,S514+0.00001,ROUNDDOWN(MAX($S$16:$S514),0)+1)</f>
        <v>2.0037900000000248</v>
      </c>
      <c r="T515" s="2131">
        <f t="shared" si="104"/>
        <v>0</v>
      </c>
      <c r="U515" s="2131">
        <f t="shared" si="105"/>
        <v>0</v>
      </c>
      <c r="V515" s="2071">
        <f t="shared" si="110"/>
        <v>499</v>
      </c>
    </row>
    <row r="516" spans="1:22" hidden="1">
      <c r="A516" s="2124">
        <f t="shared" si="111"/>
        <v>1</v>
      </c>
      <c r="B516" s="2073">
        <v>500</v>
      </c>
      <c r="C516" s="2104">
        <f t="shared" si="112"/>
        <v>0</v>
      </c>
      <c r="D516" s="2125">
        <f t="shared" si="100"/>
        <v>0.03</v>
      </c>
      <c r="E516" s="2104">
        <f t="shared" si="106"/>
        <v>0</v>
      </c>
      <c r="F516" s="2135"/>
      <c r="G516" s="2127">
        <f t="shared" si="113"/>
        <v>3</v>
      </c>
      <c r="H516" s="2075">
        <v>500</v>
      </c>
      <c r="I516" s="2104">
        <f t="shared" si="107"/>
        <v>0</v>
      </c>
      <c r="J516" s="2125">
        <f t="shared" si="108"/>
        <v>3.5000000000000003E-2</v>
      </c>
      <c r="K516" s="2083"/>
      <c r="L516" s="2106"/>
      <c r="N516" s="2071">
        <f t="shared" si="109"/>
        <v>500</v>
      </c>
      <c r="O516" s="2130">
        <f>IF(D515=D516,O515+0.00001,ROUNDDOWN(MAX($O$16:$O515),0)+1)</f>
        <v>4.9999999999999645E-3</v>
      </c>
      <c r="P516" s="2131">
        <f t="shared" si="101"/>
        <v>0</v>
      </c>
      <c r="Q516" s="2131">
        <f t="shared" si="102"/>
        <v>0</v>
      </c>
      <c r="R516" s="2131">
        <f t="shared" si="103"/>
        <v>0</v>
      </c>
      <c r="S516" s="2130">
        <f>IF(J515=J516,S515+0.00001,ROUNDDOWN(MAX($S$16:$S515),0)+1)</f>
        <v>2.0038000000000249</v>
      </c>
      <c r="T516" s="2131">
        <f t="shared" si="104"/>
        <v>0</v>
      </c>
      <c r="U516" s="2131">
        <f t="shared" si="105"/>
        <v>0</v>
      </c>
      <c r="V516" s="2071">
        <f t="shared" si="110"/>
        <v>500</v>
      </c>
    </row>
    <row r="517" spans="1:22" hidden="1">
      <c r="A517" s="2124">
        <f t="shared" si="111"/>
        <v>1</v>
      </c>
      <c r="B517" s="2073">
        <v>501</v>
      </c>
      <c r="C517" s="2104">
        <f t="shared" si="112"/>
        <v>0</v>
      </c>
      <c r="D517" s="2125">
        <f t="shared" si="100"/>
        <v>0.03</v>
      </c>
      <c r="E517" s="2104">
        <f t="shared" si="106"/>
        <v>0</v>
      </c>
      <c r="F517" s="2135"/>
      <c r="G517" s="2127">
        <f t="shared" si="113"/>
        <v>3</v>
      </c>
      <c r="H517" s="2075">
        <v>501</v>
      </c>
      <c r="I517" s="2104">
        <f t="shared" si="107"/>
        <v>0</v>
      </c>
      <c r="J517" s="2125">
        <f t="shared" si="108"/>
        <v>3.5000000000000003E-2</v>
      </c>
      <c r="K517" s="2083"/>
      <c r="L517" s="2106"/>
      <c r="N517" s="2071">
        <f t="shared" si="109"/>
        <v>501</v>
      </c>
      <c r="O517" s="2130">
        <f>IF(D516=D517,O516+0.00001,ROUNDDOWN(MAX($O$16:$O516),0)+1)</f>
        <v>5.0099999999999641E-3</v>
      </c>
      <c r="P517" s="2131">
        <f t="shared" si="101"/>
        <v>0</v>
      </c>
      <c r="Q517" s="2131">
        <f t="shared" si="102"/>
        <v>0</v>
      </c>
      <c r="R517" s="2131">
        <f t="shared" si="103"/>
        <v>0</v>
      </c>
      <c r="S517" s="2130">
        <f>IF(J516=J517,S516+0.00001,ROUNDDOWN(MAX($S$16:$S516),0)+1)</f>
        <v>2.003810000000025</v>
      </c>
      <c r="T517" s="2131">
        <f t="shared" si="104"/>
        <v>0</v>
      </c>
      <c r="U517" s="2131">
        <f t="shared" si="105"/>
        <v>0</v>
      </c>
      <c r="V517" s="2071">
        <f t="shared" si="110"/>
        <v>501</v>
      </c>
    </row>
    <row r="518" spans="1:22" hidden="1">
      <c r="A518" s="2124">
        <f t="shared" si="111"/>
        <v>1</v>
      </c>
      <c r="B518" s="2073">
        <v>502</v>
      </c>
      <c r="C518" s="2104">
        <f t="shared" si="112"/>
        <v>0</v>
      </c>
      <c r="D518" s="2125">
        <f t="shared" si="100"/>
        <v>0.03</v>
      </c>
      <c r="E518" s="2104">
        <f t="shared" si="106"/>
        <v>0</v>
      </c>
      <c r="F518" s="2135"/>
      <c r="G518" s="2127">
        <f t="shared" si="113"/>
        <v>3</v>
      </c>
      <c r="H518" s="2075">
        <v>502</v>
      </c>
      <c r="I518" s="2104">
        <f t="shared" si="107"/>
        <v>0</v>
      </c>
      <c r="J518" s="2125">
        <f t="shared" si="108"/>
        <v>3.5000000000000003E-2</v>
      </c>
      <c r="K518" s="2083"/>
      <c r="L518" s="2106"/>
      <c r="N518" s="2071">
        <f t="shared" si="109"/>
        <v>502</v>
      </c>
      <c r="O518" s="2130">
        <f>IF(D517=D518,O517+0.00001,ROUNDDOWN(MAX($O$16:$O517),0)+1)</f>
        <v>5.0199999999999637E-3</v>
      </c>
      <c r="P518" s="2131">
        <f t="shared" si="101"/>
        <v>0</v>
      </c>
      <c r="Q518" s="2131">
        <f t="shared" si="102"/>
        <v>0</v>
      </c>
      <c r="R518" s="2131">
        <f t="shared" si="103"/>
        <v>0</v>
      </c>
      <c r="S518" s="2130">
        <f>IF(J517=J518,S517+0.00001,ROUNDDOWN(MAX($S$16:$S517),0)+1)</f>
        <v>2.003820000000025</v>
      </c>
      <c r="T518" s="2131">
        <f t="shared" si="104"/>
        <v>0</v>
      </c>
      <c r="U518" s="2131">
        <f t="shared" si="105"/>
        <v>0</v>
      </c>
      <c r="V518" s="2071">
        <f t="shared" si="110"/>
        <v>502</v>
      </c>
    </row>
    <row r="519" spans="1:22" hidden="1">
      <c r="A519" s="2124">
        <f t="shared" si="111"/>
        <v>1</v>
      </c>
      <c r="B519" s="2073">
        <v>503</v>
      </c>
      <c r="C519" s="2104">
        <f t="shared" si="112"/>
        <v>0</v>
      </c>
      <c r="D519" s="2125">
        <f t="shared" si="100"/>
        <v>0.03</v>
      </c>
      <c r="E519" s="2104">
        <f t="shared" si="106"/>
        <v>0</v>
      </c>
      <c r="F519" s="2135"/>
      <c r="G519" s="2127">
        <f t="shared" si="113"/>
        <v>3</v>
      </c>
      <c r="H519" s="2075">
        <v>503</v>
      </c>
      <c r="I519" s="2104">
        <f t="shared" si="107"/>
        <v>0</v>
      </c>
      <c r="J519" s="2125">
        <f t="shared" si="108"/>
        <v>3.5000000000000003E-2</v>
      </c>
      <c r="K519" s="2083"/>
      <c r="L519" s="2106"/>
      <c r="N519" s="2071">
        <f t="shared" si="109"/>
        <v>503</v>
      </c>
      <c r="O519" s="2130">
        <f>IF(D518=D519,O518+0.00001,ROUNDDOWN(MAX($O$16:$O518),0)+1)</f>
        <v>5.0299999999999633E-3</v>
      </c>
      <c r="P519" s="2131">
        <f t="shared" si="101"/>
        <v>0</v>
      </c>
      <c r="Q519" s="2131">
        <f t="shared" si="102"/>
        <v>0</v>
      </c>
      <c r="R519" s="2131">
        <f t="shared" si="103"/>
        <v>0</v>
      </c>
      <c r="S519" s="2130">
        <f>IF(J518=J519,S518+0.00001,ROUNDDOWN(MAX($S$16:$S518),0)+1)</f>
        <v>2.0038300000000251</v>
      </c>
      <c r="T519" s="2131">
        <f t="shared" si="104"/>
        <v>0</v>
      </c>
      <c r="U519" s="2131">
        <f t="shared" si="105"/>
        <v>0</v>
      </c>
      <c r="V519" s="2071">
        <f t="shared" si="110"/>
        <v>503</v>
      </c>
    </row>
    <row r="520" spans="1:22" hidden="1">
      <c r="A520" s="2124">
        <f t="shared" si="111"/>
        <v>1</v>
      </c>
      <c r="B520" s="2073">
        <v>504</v>
      </c>
      <c r="C520" s="2104">
        <f t="shared" si="112"/>
        <v>0</v>
      </c>
      <c r="D520" s="2125">
        <f t="shared" si="100"/>
        <v>0.03</v>
      </c>
      <c r="E520" s="2104">
        <f t="shared" si="106"/>
        <v>0</v>
      </c>
      <c r="F520" s="2135"/>
      <c r="G520" s="2127">
        <f t="shared" si="113"/>
        <v>3</v>
      </c>
      <c r="H520" s="2075">
        <v>504</v>
      </c>
      <c r="I520" s="2104">
        <f t="shared" si="107"/>
        <v>0</v>
      </c>
      <c r="J520" s="2125">
        <f t="shared" si="108"/>
        <v>3.5000000000000003E-2</v>
      </c>
      <c r="K520" s="2083"/>
      <c r="L520" s="2106"/>
      <c r="N520" s="2071">
        <f t="shared" si="109"/>
        <v>504</v>
      </c>
      <c r="O520" s="2130">
        <f>IF(D519=D520,O519+0.00001,ROUNDDOWN(MAX($O$16:$O519),0)+1)</f>
        <v>5.0399999999999629E-3</v>
      </c>
      <c r="P520" s="2131">
        <f t="shared" si="101"/>
        <v>0</v>
      </c>
      <c r="Q520" s="2131">
        <f t="shared" si="102"/>
        <v>0</v>
      </c>
      <c r="R520" s="2131">
        <f t="shared" si="103"/>
        <v>0</v>
      </c>
      <c r="S520" s="2130">
        <f>IF(J519=J520,S519+0.00001,ROUNDDOWN(MAX($S$16:$S519),0)+1)</f>
        <v>2.0038400000000252</v>
      </c>
      <c r="T520" s="2131">
        <f t="shared" si="104"/>
        <v>0</v>
      </c>
      <c r="U520" s="2131">
        <f t="shared" si="105"/>
        <v>0</v>
      </c>
      <c r="V520" s="2071">
        <f t="shared" si="110"/>
        <v>504</v>
      </c>
    </row>
    <row r="521" spans="1:22" hidden="1">
      <c r="A521" s="2124">
        <f t="shared" si="111"/>
        <v>1</v>
      </c>
      <c r="B521" s="2073">
        <v>505</v>
      </c>
      <c r="C521" s="2104">
        <f t="shared" si="112"/>
        <v>0</v>
      </c>
      <c r="D521" s="2125">
        <f t="shared" si="100"/>
        <v>0.03</v>
      </c>
      <c r="E521" s="2104">
        <f t="shared" si="106"/>
        <v>0</v>
      </c>
      <c r="F521" s="2135"/>
      <c r="G521" s="2127">
        <f t="shared" si="113"/>
        <v>3</v>
      </c>
      <c r="H521" s="2075">
        <v>505</v>
      </c>
      <c r="I521" s="2104">
        <f t="shared" si="107"/>
        <v>0</v>
      </c>
      <c r="J521" s="2125">
        <f t="shared" si="108"/>
        <v>3.5000000000000003E-2</v>
      </c>
      <c r="K521" s="2083"/>
      <c r="L521" s="2106"/>
      <c r="N521" s="2071">
        <f t="shared" si="109"/>
        <v>505</v>
      </c>
      <c r="O521" s="2130">
        <f>IF(D520=D521,O520+0.00001,ROUNDDOWN(MAX($O$16:$O520),0)+1)</f>
        <v>5.0499999999999625E-3</v>
      </c>
      <c r="P521" s="2131">
        <f t="shared" si="101"/>
        <v>0</v>
      </c>
      <c r="Q521" s="2131">
        <f t="shared" si="102"/>
        <v>0</v>
      </c>
      <c r="R521" s="2131">
        <f t="shared" si="103"/>
        <v>0</v>
      </c>
      <c r="S521" s="2130">
        <f>IF(J520=J521,S520+0.00001,ROUNDDOWN(MAX($S$16:$S520),0)+1)</f>
        <v>2.0038500000000252</v>
      </c>
      <c r="T521" s="2131">
        <f t="shared" si="104"/>
        <v>0</v>
      </c>
      <c r="U521" s="2131">
        <f t="shared" si="105"/>
        <v>0</v>
      </c>
      <c r="V521" s="2071">
        <f t="shared" si="110"/>
        <v>505</v>
      </c>
    </row>
    <row r="522" spans="1:22" hidden="1">
      <c r="A522" s="2124">
        <f t="shared" si="111"/>
        <v>1</v>
      </c>
      <c r="B522" s="2073">
        <v>506</v>
      </c>
      <c r="C522" s="2104">
        <f t="shared" si="112"/>
        <v>0</v>
      </c>
      <c r="D522" s="2125">
        <f t="shared" si="100"/>
        <v>0.03</v>
      </c>
      <c r="E522" s="2104">
        <f t="shared" si="106"/>
        <v>0</v>
      </c>
      <c r="F522" s="2135"/>
      <c r="G522" s="2127">
        <f t="shared" si="113"/>
        <v>3</v>
      </c>
      <c r="H522" s="2075">
        <v>506</v>
      </c>
      <c r="I522" s="2104">
        <f t="shared" si="107"/>
        <v>0</v>
      </c>
      <c r="J522" s="2125">
        <f t="shared" si="108"/>
        <v>3.5000000000000003E-2</v>
      </c>
      <c r="K522" s="2083"/>
      <c r="L522" s="2106"/>
      <c r="N522" s="2071">
        <f t="shared" si="109"/>
        <v>506</v>
      </c>
      <c r="O522" s="2130">
        <f>IF(D521=D522,O521+0.00001,ROUNDDOWN(MAX($O$16:$O521),0)+1)</f>
        <v>5.0599999999999621E-3</v>
      </c>
      <c r="P522" s="2131">
        <f t="shared" si="101"/>
        <v>0</v>
      </c>
      <c r="Q522" s="2131">
        <f t="shared" si="102"/>
        <v>0</v>
      </c>
      <c r="R522" s="2131">
        <f t="shared" si="103"/>
        <v>0</v>
      </c>
      <c r="S522" s="2130">
        <f>IF(J521=J522,S521+0.00001,ROUNDDOWN(MAX($S$16:$S521),0)+1)</f>
        <v>2.0038600000000253</v>
      </c>
      <c r="T522" s="2131">
        <f t="shared" si="104"/>
        <v>0</v>
      </c>
      <c r="U522" s="2131">
        <f t="shared" si="105"/>
        <v>0</v>
      </c>
      <c r="V522" s="2071">
        <f t="shared" si="110"/>
        <v>506</v>
      </c>
    </row>
    <row r="523" spans="1:22" hidden="1">
      <c r="A523" s="2124">
        <f t="shared" si="111"/>
        <v>1</v>
      </c>
      <c r="B523" s="2073">
        <v>507</v>
      </c>
      <c r="C523" s="2104">
        <f t="shared" si="112"/>
        <v>0</v>
      </c>
      <c r="D523" s="2125">
        <f t="shared" si="100"/>
        <v>0.03</v>
      </c>
      <c r="E523" s="2104">
        <f t="shared" si="106"/>
        <v>0</v>
      </c>
      <c r="F523" s="2135"/>
      <c r="G523" s="2127">
        <f t="shared" si="113"/>
        <v>3</v>
      </c>
      <c r="H523" s="2075">
        <v>507</v>
      </c>
      <c r="I523" s="2104">
        <f t="shared" si="107"/>
        <v>0</v>
      </c>
      <c r="J523" s="2125">
        <f t="shared" si="108"/>
        <v>3.5000000000000003E-2</v>
      </c>
      <c r="K523" s="2083"/>
      <c r="L523" s="2106"/>
      <c r="N523" s="2071">
        <f t="shared" si="109"/>
        <v>507</v>
      </c>
      <c r="O523" s="2130">
        <f>IF(D522=D523,O522+0.00001,ROUNDDOWN(MAX($O$16:$O522),0)+1)</f>
        <v>5.0699999999999617E-3</v>
      </c>
      <c r="P523" s="2131">
        <f t="shared" si="101"/>
        <v>0</v>
      </c>
      <c r="Q523" s="2131">
        <f t="shared" si="102"/>
        <v>0</v>
      </c>
      <c r="R523" s="2131">
        <f t="shared" si="103"/>
        <v>0</v>
      </c>
      <c r="S523" s="2130">
        <f>IF(J522=J523,S522+0.00001,ROUNDDOWN(MAX($S$16:$S522),0)+1)</f>
        <v>2.0038700000000254</v>
      </c>
      <c r="T523" s="2131">
        <f t="shared" si="104"/>
        <v>0</v>
      </c>
      <c r="U523" s="2131">
        <f t="shared" si="105"/>
        <v>0</v>
      </c>
      <c r="V523" s="2071">
        <f t="shared" si="110"/>
        <v>507</v>
      </c>
    </row>
    <row r="524" spans="1:22" hidden="1">
      <c r="A524" s="2124">
        <f t="shared" si="111"/>
        <v>1</v>
      </c>
      <c r="B524" s="2073">
        <v>508</v>
      </c>
      <c r="C524" s="2104">
        <f t="shared" si="112"/>
        <v>0</v>
      </c>
      <c r="D524" s="2125">
        <f t="shared" si="100"/>
        <v>0.03</v>
      </c>
      <c r="E524" s="2104">
        <f t="shared" si="106"/>
        <v>0</v>
      </c>
      <c r="F524" s="2135"/>
      <c r="G524" s="2127">
        <f t="shared" si="113"/>
        <v>3</v>
      </c>
      <c r="H524" s="2075">
        <v>508</v>
      </c>
      <c r="I524" s="2104">
        <f t="shared" si="107"/>
        <v>0</v>
      </c>
      <c r="J524" s="2125">
        <f t="shared" si="108"/>
        <v>3.5000000000000003E-2</v>
      </c>
      <c r="K524" s="2083"/>
      <c r="L524" s="2106"/>
      <c r="N524" s="2071">
        <f t="shared" si="109"/>
        <v>508</v>
      </c>
      <c r="O524" s="2130">
        <f>IF(D523=D524,O523+0.00001,ROUNDDOWN(MAX($O$16:$O523),0)+1)</f>
        <v>5.0799999999999613E-3</v>
      </c>
      <c r="P524" s="2131">
        <f t="shared" si="101"/>
        <v>0</v>
      </c>
      <c r="Q524" s="2131">
        <f t="shared" si="102"/>
        <v>0</v>
      </c>
      <c r="R524" s="2131">
        <f t="shared" si="103"/>
        <v>0</v>
      </c>
      <c r="S524" s="2130">
        <f>IF(J523=J524,S523+0.00001,ROUNDDOWN(MAX($S$16:$S523),0)+1)</f>
        <v>2.0038800000000254</v>
      </c>
      <c r="T524" s="2131">
        <f t="shared" si="104"/>
        <v>0</v>
      </c>
      <c r="U524" s="2131">
        <f t="shared" si="105"/>
        <v>0</v>
      </c>
      <c r="V524" s="2071">
        <f t="shared" si="110"/>
        <v>508</v>
      </c>
    </row>
    <row r="525" spans="1:22" hidden="1">
      <c r="A525" s="2124">
        <f t="shared" si="111"/>
        <v>1</v>
      </c>
      <c r="B525" s="2073">
        <v>509</v>
      </c>
      <c r="C525" s="2104">
        <f t="shared" si="112"/>
        <v>0</v>
      </c>
      <c r="D525" s="2125">
        <f t="shared" si="100"/>
        <v>0.03</v>
      </c>
      <c r="E525" s="2104">
        <f t="shared" si="106"/>
        <v>0</v>
      </c>
      <c r="F525" s="2135"/>
      <c r="G525" s="2127">
        <f t="shared" si="113"/>
        <v>3</v>
      </c>
      <c r="H525" s="2075">
        <v>509</v>
      </c>
      <c r="I525" s="2104">
        <f t="shared" si="107"/>
        <v>0</v>
      </c>
      <c r="J525" s="2125">
        <f t="shared" si="108"/>
        <v>3.5000000000000003E-2</v>
      </c>
      <c r="K525" s="2083"/>
      <c r="L525" s="2106"/>
      <c r="N525" s="2071">
        <f t="shared" si="109"/>
        <v>509</v>
      </c>
      <c r="O525" s="2130">
        <f>IF(D524=D525,O524+0.00001,ROUNDDOWN(MAX($O$16:$O524),0)+1)</f>
        <v>5.0899999999999609E-3</v>
      </c>
      <c r="P525" s="2131">
        <f t="shared" si="101"/>
        <v>0</v>
      </c>
      <c r="Q525" s="2131">
        <f t="shared" si="102"/>
        <v>0</v>
      </c>
      <c r="R525" s="2131">
        <f t="shared" si="103"/>
        <v>0</v>
      </c>
      <c r="S525" s="2130">
        <f>IF(J524=J525,S524+0.00001,ROUNDDOWN(MAX($S$16:$S524),0)+1)</f>
        <v>2.0038900000000255</v>
      </c>
      <c r="T525" s="2131">
        <f t="shared" si="104"/>
        <v>0</v>
      </c>
      <c r="U525" s="2131">
        <f t="shared" si="105"/>
        <v>0</v>
      </c>
      <c r="V525" s="2071">
        <f t="shared" si="110"/>
        <v>509</v>
      </c>
    </row>
    <row r="526" spans="1:22" hidden="1">
      <c r="A526" s="2124">
        <f t="shared" si="111"/>
        <v>1</v>
      </c>
      <c r="B526" s="2073">
        <v>510</v>
      </c>
      <c r="C526" s="2104">
        <f t="shared" si="112"/>
        <v>0</v>
      </c>
      <c r="D526" s="2125">
        <f t="shared" si="100"/>
        <v>0.03</v>
      </c>
      <c r="E526" s="2104">
        <f t="shared" si="106"/>
        <v>0</v>
      </c>
      <c r="F526" s="2135"/>
      <c r="G526" s="2127">
        <f t="shared" si="113"/>
        <v>3</v>
      </c>
      <c r="H526" s="2075">
        <v>510</v>
      </c>
      <c r="I526" s="2104">
        <f t="shared" si="107"/>
        <v>0</v>
      </c>
      <c r="J526" s="2125">
        <f t="shared" si="108"/>
        <v>3.5000000000000003E-2</v>
      </c>
      <c r="K526" s="2083"/>
      <c r="L526" s="2106"/>
      <c r="N526" s="2071">
        <f t="shared" si="109"/>
        <v>510</v>
      </c>
      <c r="O526" s="2130">
        <f>IF(D525=D526,O525+0.00001,ROUNDDOWN(MAX($O$16:$O525),0)+1)</f>
        <v>5.0999999999999605E-3</v>
      </c>
      <c r="P526" s="2131">
        <f t="shared" si="101"/>
        <v>0</v>
      </c>
      <c r="Q526" s="2131">
        <f t="shared" si="102"/>
        <v>0</v>
      </c>
      <c r="R526" s="2131">
        <f t="shared" si="103"/>
        <v>0</v>
      </c>
      <c r="S526" s="2130">
        <f>IF(J525=J526,S525+0.00001,ROUNDDOWN(MAX($S$16:$S525),0)+1)</f>
        <v>2.0039000000000255</v>
      </c>
      <c r="T526" s="2131">
        <f t="shared" si="104"/>
        <v>0</v>
      </c>
      <c r="U526" s="2131">
        <f t="shared" si="105"/>
        <v>0</v>
      </c>
      <c r="V526" s="2071">
        <f t="shared" si="110"/>
        <v>510</v>
      </c>
    </row>
    <row r="527" spans="1:22" hidden="1">
      <c r="A527" s="2124">
        <f t="shared" si="111"/>
        <v>1</v>
      </c>
      <c r="B527" s="2073">
        <v>511</v>
      </c>
      <c r="C527" s="2104">
        <f t="shared" si="112"/>
        <v>0</v>
      </c>
      <c r="D527" s="2125">
        <f t="shared" si="100"/>
        <v>0.03</v>
      </c>
      <c r="E527" s="2104">
        <f t="shared" si="106"/>
        <v>0</v>
      </c>
      <c r="F527" s="2135"/>
      <c r="G527" s="2127">
        <f t="shared" si="113"/>
        <v>3</v>
      </c>
      <c r="H527" s="2075">
        <v>511</v>
      </c>
      <c r="I527" s="2104">
        <f t="shared" si="107"/>
        <v>0</v>
      </c>
      <c r="J527" s="2125">
        <f t="shared" si="108"/>
        <v>3.5000000000000003E-2</v>
      </c>
      <c r="K527" s="2083"/>
      <c r="L527" s="2106"/>
      <c r="N527" s="2071">
        <f t="shared" si="109"/>
        <v>511</v>
      </c>
      <c r="O527" s="2130">
        <f>IF(D526=D527,O526+0.00001,ROUNDDOWN(MAX($O$16:$O526),0)+1)</f>
        <v>5.1099999999999601E-3</v>
      </c>
      <c r="P527" s="2131">
        <f t="shared" si="101"/>
        <v>0</v>
      </c>
      <c r="Q527" s="2131">
        <f t="shared" si="102"/>
        <v>0</v>
      </c>
      <c r="R527" s="2131">
        <f t="shared" si="103"/>
        <v>0</v>
      </c>
      <c r="S527" s="2130">
        <f>IF(J526=J527,S526+0.00001,ROUNDDOWN(MAX($S$16:$S526),0)+1)</f>
        <v>2.0039100000000256</v>
      </c>
      <c r="T527" s="2131">
        <f t="shared" si="104"/>
        <v>0</v>
      </c>
      <c r="U527" s="2131">
        <f t="shared" si="105"/>
        <v>0</v>
      </c>
      <c r="V527" s="2071">
        <f t="shared" si="110"/>
        <v>511</v>
      </c>
    </row>
    <row r="528" spans="1:22" hidden="1">
      <c r="A528" s="2124">
        <f t="shared" si="111"/>
        <v>1</v>
      </c>
      <c r="B528" s="2073">
        <v>512</v>
      </c>
      <c r="C528" s="2104">
        <f t="shared" si="112"/>
        <v>0</v>
      </c>
      <c r="D528" s="2125">
        <f t="shared" si="100"/>
        <v>0.03</v>
      </c>
      <c r="E528" s="2104">
        <f t="shared" si="106"/>
        <v>0</v>
      </c>
      <c r="F528" s="2135"/>
      <c r="G528" s="2127">
        <f t="shared" si="113"/>
        <v>3</v>
      </c>
      <c r="H528" s="2075">
        <v>512</v>
      </c>
      <c r="I528" s="2104">
        <f t="shared" si="107"/>
        <v>0</v>
      </c>
      <c r="J528" s="2125">
        <f t="shared" si="108"/>
        <v>3.5000000000000003E-2</v>
      </c>
      <c r="K528" s="2083"/>
      <c r="L528" s="2106"/>
      <c r="N528" s="2071">
        <f t="shared" si="109"/>
        <v>512</v>
      </c>
      <c r="O528" s="2130">
        <f>IF(D527=D528,O527+0.00001,ROUNDDOWN(MAX($O$16:$O527),0)+1)</f>
        <v>5.1199999999999597E-3</v>
      </c>
      <c r="P528" s="2131">
        <f t="shared" si="101"/>
        <v>0</v>
      </c>
      <c r="Q528" s="2131">
        <f t="shared" si="102"/>
        <v>0</v>
      </c>
      <c r="R528" s="2131">
        <f t="shared" si="103"/>
        <v>0</v>
      </c>
      <c r="S528" s="2130">
        <f>IF(J527=J528,S527+0.00001,ROUNDDOWN(MAX($S$16:$S527),0)+1)</f>
        <v>2.0039200000000257</v>
      </c>
      <c r="T528" s="2131">
        <f t="shared" si="104"/>
        <v>0</v>
      </c>
      <c r="U528" s="2131">
        <f t="shared" si="105"/>
        <v>0</v>
      </c>
      <c r="V528" s="2071">
        <f t="shared" si="110"/>
        <v>512</v>
      </c>
    </row>
    <row r="529" spans="1:22" hidden="1">
      <c r="A529" s="2124">
        <f t="shared" si="111"/>
        <v>1</v>
      </c>
      <c r="B529" s="2073">
        <v>513</v>
      </c>
      <c r="C529" s="2104">
        <f t="shared" si="112"/>
        <v>0</v>
      </c>
      <c r="D529" s="2125">
        <f t="shared" ref="D529:D592" si="114">D528</f>
        <v>0.03</v>
      </c>
      <c r="E529" s="2104">
        <f t="shared" si="106"/>
        <v>0</v>
      </c>
      <c r="F529" s="2135"/>
      <c r="G529" s="2127">
        <f t="shared" si="113"/>
        <v>3</v>
      </c>
      <c r="H529" s="2075">
        <v>513</v>
      </c>
      <c r="I529" s="2104">
        <f t="shared" si="107"/>
        <v>0</v>
      </c>
      <c r="J529" s="2125">
        <f t="shared" si="108"/>
        <v>3.5000000000000003E-2</v>
      </c>
      <c r="K529" s="2083"/>
      <c r="L529" s="2106"/>
      <c r="N529" s="2071">
        <f t="shared" si="109"/>
        <v>513</v>
      </c>
      <c r="O529" s="2130">
        <f>IF(D528=D529,O528+0.00001,ROUNDDOWN(MAX($O$16:$O528),0)+1)</f>
        <v>5.1299999999999592E-3</v>
      </c>
      <c r="P529" s="2131">
        <f t="shared" ref="P529:P592" si="115">IF($B529&gt;IF(N($C$7)=0,$C$4*$C$5,$C$7),0,IF(B529=IF(N($C$7)=0,$C$4*$C$5,$C$7),-$R528*(1+$C$11/$C$5),ROUND(PMT($C$11/$C$5,$C$4*$C$5,$C$3),2)))</f>
        <v>0</v>
      </c>
      <c r="Q529" s="2131">
        <f t="shared" ref="Q529:Q592" si="116">C529-P529</f>
        <v>0</v>
      </c>
      <c r="R529" s="2131">
        <f t="shared" ref="R529:R592" si="117">R528*(1+$C$11/$C$5)+P529</f>
        <v>0</v>
      </c>
      <c r="S529" s="2130">
        <f>IF(J528=J529,S528+0.00001,ROUNDDOWN(MAX($S$16:$S528),0)+1)</f>
        <v>2.0039300000000257</v>
      </c>
      <c r="T529" s="2131">
        <f t="shared" ref="T529:T592" si="118">IF(I$4*I$5=H529,-I$3*(1+$I$11/I$5),IF(I$4*I$5&lt;H529,0,-I$3*$I$11/I$5))</f>
        <v>0</v>
      </c>
      <c r="U529" s="2131">
        <f t="shared" ref="U529:U592" si="119">I529-T529</f>
        <v>0</v>
      </c>
      <c r="V529" s="2071">
        <f t="shared" si="110"/>
        <v>513</v>
      </c>
    </row>
    <row r="530" spans="1:22" hidden="1">
      <c r="A530" s="2124">
        <f t="shared" si="111"/>
        <v>1</v>
      </c>
      <c r="B530" s="2073">
        <v>514</v>
      </c>
      <c r="C530" s="2104">
        <f t="shared" si="112"/>
        <v>0</v>
      </c>
      <c r="D530" s="2125">
        <f t="shared" si="114"/>
        <v>0.03</v>
      </c>
      <c r="E530" s="2104">
        <f t="shared" ref="E530:E593" si="120">E529*(1+D529/C$5)+C530</f>
        <v>0</v>
      </c>
      <c r="F530" s="2135"/>
      <c r="G530" s="2127">
        <f t="shared" si="113"/>
        <v>3</v>
      </c>
      <c r="H530" s="2075">
        <v>514</v>
      </c>
      <c r="I530" s="2104">
        <f t="shared" ref="I530:I593" si="121">IF(I$4*I$5=H530,-I$3*(1+J529/I$5),IF(I$4*I$5&lt;H530,0,-I$3*J529/I$5))</f>
        <v>0</v>
      </c>
      <c r="J530" s="2125">
        <f t="shared" ref="J530:J593" si="122">J529</f>
        <v>3.5000000000000003E-2</v>
      </c>
      <c r="K530" s="2083"/>
      <c r="L530" s="2106"/>
      <c r="N530" s="2071">
        <f t="shared" ref="N530:N593" si="123">B530</f>
        <v>514</v>
      </c>
      <c r="O530" s="2130">
        <f>IF(D529=D530,O529+0.00001,ROUNDDOWN(MAX($O$16:$O529),0)+1)</f>
        <v>5.1399999999999588E-3</v>
      </c>
      <c r="P530" s="2131">
        <f t="shared" si="115"/>
        <v>0</v>
      </c>
      <c r="Q530" s="2131">
        <f t="shared" si="116"/>
        <v>0</v>
      </c>
      <c r="R530" s="2131">
        <f t="shared" si="117"/>
        <v>0</v>
      </c>
      <c r="S530" s="2130">
        <f>IF(J529=J530,S529+0.00001,ROUNDDOWN(MAX($S$16:$S529),0)+1)</f>
        <v>2.0039400000000258</v>
      </c>
      <c r="T530" s="2131">
        <f t="shared" si="118"/>
        <v>0</v>
      </c>
      <c r="U530" s="2131">
        <f t="shared" si="119"/>
        <v>0</v>
      </c>
      <c r="V530" s="2071">
        <f t="shared" ref="V530:V593" si="124">H530</f>
        <v>514</v>
      </c>
    </row>
    <row r="531" spans="1:22" hidden="1">
      <c r="A531" s="2124">
        <f t="shared" ref="A531:A594" si="125">ROUND(A530+IF(D531&lt;&gt;D530,1,0),0)</f>
        <v>1</v>
      </c>
      <c r="B531" s="2073">
        <v>515</v>
      </c>
      <c r="C531" s="2104">
        <f t="shared" ref="C531:C594" si="126">IF(B531&gt;IF(N(C$7)=0,C$4*C$5,C$7),0,IF(B531=IF(N(C$7)=0,C$4*C$5,C$7),-E530*(1+D530/C$5),IF(D530=D529,C530,ROUND(PMT(D530/C$5,C$4*C$5-B530,E530),2))))</f>
        <v>0</v>
      </c>
      <c r="D531" s="2125">
        <f t="shared" si="114"/>
        <v>0.03</v>
      </c>
      <c r="E531" s="2104">
        <f t="shared" si="120"/>
        <v>0</v>
      </c>
      <c r="F531" s="2135"/>
      <c r="G531" s="2127">
        <f t="shared" ref="G531:G594" si="127">ROUND(G530+IF(J531&lt;&gt;J530,1,0),0)</f>
        <v>3</v>
      </c>
      <c r="H531" s="2075">
        <v>515</v>
      </c>
      <c r="I531" s="2104">
        <f t="shared" si="121"/>
        <v>0</v>
      </c>
      <c r="J531" s="2125">
        <f t="shared" si="122"/>
        <v>3.5000000000000003E-2</v>
      </c>
      <c r="K531" s="2083"/>
      <c r="L531" s="2106"/>
      <c r="N531" s="2071">
        <f t="shared" si="123"/>
        <v>515</v>
      </c>
      <c r="O531" s="2130">
        <f>IF(D530=D531,O530+0.00001,ROUNDDOWN(MAX($O$16:$O530),0)+1)</f>
        <v>5.1499999999999584E-3</v>
      </c>
      <c r="P531" s="2131">
        <f t="shared" si="115"/>
        <v>0</v>
      </c>
      <c r="Q531" s="2131">
        <f t="shared" si="116"/>
        <v>0</v>
      </c>
      <c r="R531" s="2131">
        <f t="shared" si="117"/>
        <v>0</v>
      </c>
      <c r="S531" s="2130">
        <f>IF(J530=J531,S530+0.00001,ROUNDDOWN(MAX($S$16:$S530),0)+1)</f>
        <v>2.0039500000000259</v>
      </c>
      <c r="T531" s="2131">
        <f t="shared" si="118"/>
        <v>0</v>
      </c>
      <c r="U531" s="2131">
        <f t="shared" si="119"/>
        <v>0</v>
      </c>
      <c r="V531" s="2071">
        <f t="shared" si="124"/>
        <v>515</v>
      </c>
    </row>
    <row r="532" spans="1:22" hidden="1">
      <c r="A532" s="2124">
        <f t="shared" si="125"/>
        <v>1</v>
      </c>
      <c r="B532" s="2073">
        <v>516</v>
      </c>
      <c r="C532" s="2104">
        <f t="shared" si="126"/>
        <v>0</v>
      </c>
      <c r="D532" s="2125">
        <f t="shared" si="114"/>
        <v>0.03</v>
      </c>
      <c r="E532" s="2104">
        <f t="shared" si="120"/>
        <v>0</v>
      </c>
      <c r="F532" s="2135"/>
      <c r="G532" s="2127">
        <f t="shared" si="127"/>
        <v>3</v>
      </c>
      <c r="H532" s="2075">
        <v>516</v>
      </c>
      <c r="I532" s="2104">
        <f t="shared" si="121"/>
        <v>0</v>
      </c>
      <c r="J532" s="2125">
        <f t="shared" si="122"/>
        <v>3.5000000000000003E-2</v>
      </c>
      <c r="K532" s="2083"/>
      <c r="L532" s="2106"/>
      <c r="N532" s="2071">
        <f t="shared" si="123"/>
        <v>516</v>
      </c>
      <c r="O532" s="2130">
        <f>IF(D531=D532,O531+0.00001,ROUNDDOWN(MAX($O$16:$O531),0)+1)</f>
        <v>5.159999999999958E-3</v>
      </c>
      <c r="P532" s="2131">
        <f t="shared" si="115"/>
        <v>0</v>
      </c>
      <c r="Q532" s="2131">
        <f t="shared" si="116"/>
        <v>0</v>
      </c>
      <c r="R532" s="2131">
        <f t="shared" si="117"/>
        <v>0</v>
      </c>
      <c r="S532" s="2130">
        <f>IF(J531=J532,S531+0.00001,ROUNDDOWN(MAX($S$16:$S531),0)+1)</f>
        <v>2.0039600000000259</v>
      </c>
      <c r="T532" s="2131">
        <f t="shared" si="118"/>
        <v>0</v>
      </c>
      <c r="U532" s="2131">
        <f t="shared" si="119"/>
        <v>0</v>
      </c>
      <c r="V532" s="2071">
        <f t="shared" si="124"/>
        <v>516</v>
      </c>
    </row>
    <row r="533" spans="1:22" hidden="1">
      <c r="A533" s="2124">
        <f t="shared" si="125"/>
        <v>1</v>
      </c>
      <c r="B533" s="2073">
        <v>517</v>
      </c>
      <c r="C533" s="2104">
        <f t="shared" si="126"/>
        <v>0</v>
      </c>
      <c r="D533" s="2125">
        <f t="shared" si="114"/>
        <v>0.03</v>
      </c>
      <c r="E533" s="2104">
        <f t="shared" si="120"/>
        <v>0</v>
      </c>
      <c r="F533" s="2135"/>
      <c r="G533" s="2127">
        <f t="shared" si="127"/>
        <v>3</v>
      </c>
      <c r="H533" s="2075">
        <v>517</v>
      </c>
      <c r="I533" s="2104">
        <f t="shared" si="121"/>
        <v>0</v>
      </c>
      <c r="J533" s="2125">
        <f t="shared" si="122"/>
        <v>3.5000000000000003E-2</v>
      </c>
      <c r="K533" s="2083"/>
      <c r="L533" s="2106"/>
      <c r="N533" s="2071">
        <f t="shared" si="123"/>
        <v>517</v>
      </c>
      <c r="O533" s="2130">
        <f>IF(D532=D533,O532+0.00001,ROUNDDOWN(MAX($O$16:$O532),0)+1)</f>
        <v>5.1699999999999576E-3</v>
      </c>
      <c r="P533" s="2131">
        <f t="shared" si="115"/>
        <v>0</v>
      </c>
      <c r="Q533" s="2131">
        <f t="shared" si="116"/>
        <v>0</v>
      </c>
      <c r="R533" s="2131">
        <f t="shared" si="117"/>
        <v>0</v>
      </c>
      <c r="S533" s="2130">
        <f>IF(J532=J533,S532+0.00001,ROUNDDOWN(MAX($S$16:$S532),0)+1)</f>
        <v>2.003970000000026</v>
      </c>
      <c r="T533" s="2131">
        <f t="shared" si="118"/>
        <v>0</v>
      </c>
      <c r="U533" s="2131">
        <f t="shared" si="119"/>
        <v>0</v>
      </c>
      <c r="V533" s="2071">
        <f t="shared" si="124"/>
        <v>517</v>
      </c>
    </row>
    <row r="534" spans="1:22" hidden="1">
      <c r="A534" s="2124">
        <f t="shared" si="125"/>
        <v>1</v>
      </c>
      <c r="B534" s="2073">
        <v>518</v>
      </c>
      <c r="C534" s="2104">
        <f t="shared" si="126"/>
        <v>0</v>
      </c>
      <c r="D534" s="2125">
        <f t="shared" si="114"/>
        <v>0.03</v>
      </c>
      <c r="E534" s="2104">
        <f t="shared" si="120"/>
        <v>0</v>
      </c>
      <c r="F534" s="2135"/>
      <c r="G534" s="2127">
        <f t="shared" si="127"/>
        <v>3</v>
      </c>
      <c r="H534" s="2075">
        <v>518</v>
      </c>
      <c r="I534" s="2104">
        <f t="shared" si="121"/>
        <v>0</v>
      </c>
      <c r="J534" s="2125">
        <f t="shared" si="122"/>
        <v>3.5000000000000003E-2</v>
      </c>
      <c r="K534" s="2083"/>
      <c r="L534" s="2106"/>
      <c r="N534" s="2071">
        <f t="shared" si="123"/>
        <v>518</v>
      </c>
      <c r="O534" s="2130">
        <f>IF(D533=D534,O533+0.00001,ROUNDDOWN(MAX($O$16:$O533),0)+1)</f>
        <v>5.1799999999999572E-3</v>
      </c>
      <c r="P534" s="2131">
        <f t="shared" si="115"/>
        <v>0</v>
      </c>
      <c r="Q534" s="2131">
        <f t="shared" si="116"/>
        <v>0</v>
      </c>
      <c r="R534" s="2131">
        <f t="shared" si="117"/>
        <v>0</v>
      </c>
      <c r="S534" s="2130">
        <f>IF(J533=J534,S533+0.00001,ROUNDDOWN(MAX($S$16:$S533),0)+1)</f>
        <v>2.0039800000000261</v>
      </c>
      <c r="T534" s="2131">
        <f t="shared" si="118"/>
        <v>0</v>
      </c>
      <c r="U534" s="2131">
        <f t="shared" si="119"/>
        <v>0</v>
      </c>
      <c r="V534" s="2071">
        <f t="shared" si="124"/>
        <v>518</v>
      </c>
    </row>
    <row r="535" spans="1:22" hidden="1">
      <c r="A535" s="2124">
        <f t="shared" si="125"/>
        <v>1</v>
      </c>
      <c r="B535" s="2073">
        <v>519</v>
      </c>
      <c r="C535" s="2104">
        <f t="shared" si="126"/>
        <v>0</v>
      </c>
      <c r="D535" s="2125">
        <f t="shared" si="114"/>
        <v>0.03</v>
      </c>
      <c r="E535" s="2104">
        <f t="shared" si="120"/>
        <v>0</v>
      </c>
      <c r="F535" s="2135"/>
      <c r="G535" s="2127">
        <f t="shared" si="127"/>
        <v>3</v>
      </c>
      <c r="H535" s="2075">
        <v>519</v>
      </c>
      <c r="I535" s="2104">
        <f t="shared" si="121"/>
        <v>0</v>
      </c>
      <c r="J535" s="2125">
        <f t="shared" si="122"/>
        <v>3.5000000000000003E-2</v>
      </c>
      <c r="K535" s="2083"/>
      <c r="L535" s="2106"/>
      <c r="N535" s="2071">
        <f t="shared" si="123"/>
        <v>519</v>
      </c>
      <c r="O535" s="2130">
        <f>IF(D534=D535,O534+0.00001,ROUNDDOWN(MAX($O$16:$O534),0)+1)</f>
        <v>5.1899999999999568E-3</v>
      </c>
      <c r="P535" s="2131">
        <f t="shared" si="115"/>
        <v>0</v>
      </c>
      <c r="Q535" s="2131">
        <f t="shared" si="116"/>
        <v>0</v>
      </c>
      <c r="R535" s="2131">
        <f t="shared" si="117"/>
        <v>0</v>
      </c>
      <c r="S535" s="2130">
        <f>IF(J534=J535,S534+0.00001,ROUNDDOWN(MAX($S$16:$S534),0)+1)</f>
        <v>2.0039900000000261</v>
      </c>
      <c r="T535" s="2131">
        <f t="shared" si="118"/>
        <v>0</v>
      </c>
      <c r="U535" s="2131">
        <f t="shared" si="119"/>
        <v>0</v>
      </c>
      <c r="V535" s="2071">
        <f t="shared" si="124"/>
        <v>519</v>
      </c>
    </row>
    <row r="536" spans="1:22" hidden="1">
      <c r="A536" s="2124">
        <f t="shared" si="125"/>
        <v>1</v>
      </c>
      <c r="B536" s="2073">
        <v>520</v>
      </c>
      <c r="C536" s="2104">
        <f t="shared" si="126"/>
        <v>0</v>
      </c>
      <c r="D536" s="2125">
        <f t="shared" si="114"/>
        <v>0.03</v>
      </c>
      <c r="E536" s="2104">
        <f t="shared" si="120"/>
        <v>0</v>
      </c>
      <c r="F536" s="2135"/>
      <c r="G536" s="2127">
        <f t="shared" si="127"/>
        <v>3</v>
      </c>
      <c r="H536" s="2075">
        <v>520</v>
      </c>
      <c r="I536" s="2104">
        <f t="shared" si="121"/>
        <v>0</v>
      </c>
      <c r="J536" s="2125">
        <f t="shared" si="122"/>
        <v>3.5000000000000003E-2</v>
      </c>
      <c r="K536" s="2083"/>
      <c r="L536" s="2106"/>
      <c r="N536" s="2071">
        <f t="shared" si="123"/>
        <v>520</v>
      </c>
      <c r="O536" s="2130">
        <f>IF(D535=D536,O535+0.00001,ROUNDDOWN(MAX($O$16:$O535),0)+1)</f>
        <v>5.1999999999999564E-3</v>
      </c>
      <c r="P536" s="2131">
        <f t="shared" si="115"/>
        <v>0</v>
      </c>
      <c r="Q536" s="2131">
        <f t="shared" si="116"/>
        <v>0</v>
      </c>
      <c r="R536" s="2131">
        <f t="shared" si="117"/>
        <v>0</v>
      </c>
      <c r="S536" s="2130">
        <f>IF(J535=J536,S535+0.00001,ROUNDDOWN(MAX($S$16:$S535),0)+1)</f>
        <v>2.0040000000000262</v>
      </c>
      <c r="T536" s="2131">
        <f t="shared" si="118"/>
        <v>0</v>
      </c>
      <c r="U536" s="2131">
        <f t="shared" si="119"/>
        <v>0</v>
      </c>
      <c r="V536" s="2071">
        <f t="shared" si="124"/>
        <v>520</v>
      </c>
    </row>
    <row r="537" spans="1:22" hidden="1">
      <c r="A537" s="2124">
        <f t="shared" si="125"/>
        <v>1</v>
      </c>
      <c r="B537" s="2073">
        <v>521</v>
      </c>
      <c r="C537" s="2104">
        <f t="shared" si="126"/>
        <v>0</v>
      </c>
      <c r="D537" s="2125">
        <f t="shared" si="114"/>
        <v>0.03</v>
      </c>
      <c r="E537" s="2104">
        <f t="shared" si="120"/>
        <v>0</v>
      </c>
      <c r="F537" s="2135"/>
      <c r="G537" s="2127">
        <f t="shared" si="127"/>
        <v>3</v>
      </c>
      <c r="H537" s="2075">
        <v>521</v>
      </c>
      <c r="I537" s="2104">
        <f t="shared" si="121"/>
        <v>0</v>
      </c>
      <c r="J537" s="2125">
        <f t="shared" si="122"/>
        <v>3.5000000000000003E-2</v>
      </c>
      <c r="K537" s="2083"/>
      <c r="L537" s="2106"/>
      <c r="N537" s="2071">
        <f t="shared" si="123"/>
        <v>521</v>
      </c>
      <c r="O537" s="2130">
        <f>IF(D536=D537,O536+0.00001,ROUNDDOWN(MAX($O$16:$O536),0)+1)</f>
        <v>5.209999999999956E-3</v>
      </c>
      <c r="P537" s="2131">
        <f t="shared" si="115"/>
        <v>0</v>
      </c>
      <c r="Q537" s="2131">
        <f t="shared" si="116"/>
        <v>0</v>
      </c>
      <c r="R537" s="2131">
        <f t="shared" si="117"/>
        <v>0</v>
      </c>
      <c r="S537" s="2130">
        <f>IF(J536=J537,S536+0.00001,ROUNDDOWN(MAX($S$16:$S536),0)+1)</f>
        <v>2.0040100000000263</v>
      </c>
      <c r="T537" s="2131">
        <f t="shared" si="118"/>
        <v>0</v>
      </c>
      <c r="U537" s="2131">
        <f t="shared" si="119"/>
        <v>0</v>
      </c>
      <c r="V537" s="2071">
        <f t="shared" si="124"/>
        <v>521</v>
      </c>
    </row>
    <row r="538" spans="1:22" hidden="1">
      <c r="A538" s="2124">
        <f t="shared" si="125"/>
        <v>1</v>
      </c>
      <c r="B538" s="2073">
        <v>522</v>
      </c>
      <c r="C538" s="2104">
        <f t="shared" si="126"/>
        <v>0</v>
      </c>
      <c r="D538" s="2125">
        <f t="shared" si="114"/>
        <v>0.03</v>
      </c>
      <c r="E538" s="2104">
        <f t="shared" si="120"/>
        <v>0</v>
      </c>
      <c r="F538" s="2135"/>
      <c r="G538" s="2127">
        <f t="shared" si="127"/>
        <v>3</v>
      </c>
      <c r="H538" s="2075">
        <v>522</v>
      </c>
      <c r="I538" s="2104">
        <f t="shared" si="121"/>
        <v>0</v>
      </c>
      <c r="J538" s="2125">
        <f t="shared" si="122"/>
        <v>3.5000000000000003E-2</v>
      </c>
      <c r="K538" s="2083"/>
      <c r="L538" s="2106"/>
      <c r="N538" s="2071">
        <f t="shared" si="123"/>
        <v>522</v>
      </c>
      <c r="O538" s="2130">
        <f>IF(D537=D538,O537+0.00001,ROUNDDOWN(MAX($O$16:$O537),0)+1)</f>
        <v>5.2199999999999556E-3</v>
      </c>
      <c r="P538" s="2131">
        <f t="shared" si="115"/>
        <v>0</v>
      </c>
      <c r="Q538" s="2131">
        <f t="shared" si="116"/>
        <v>0</v>
      </c>
      <c r="R538" s="2131">
        <f t="shared" si="117"/>
        <v>0</v>
      </c>
      <c r="S538" s="2130">
        <f>IF(J537=J538,S537+0.00001,ROUNDDOWN(MAX($S$16:$S537),0)+1)</f>
        <v>2.0040200000000263</v>
      </c>
      <c r="T538" s="2131">
        <f t="shared" si="118"/>
        <v>0</v>
      </c>
      <c r="U538" s="2131">
        <f t="shared" si="119"/>
        <v>0</v>
      </c>
      <c r="V538" s="2071">
        <f t="shared" si="124"/>
        <v>522</v>
      </c>
    </row>
    <row r="539" spans="1:22" hidden="1">
      <c r="A539" s="2124">
        <f t="shared" si="125"/>
        <v>1</v>
      </c>
      <c r="B539" s="2073">
        <v>523</v>
      </c>
      <c r="C539" s="2104">
        <f t="shared" si="126"/>
        <v>0</v>
      </c>
      <c r="D539" s="2125">
        <f t="shared" si="114"/>
        <v>0.03</v>
      </c>
      <c r="E539" s="2104">
        <f t="shared" si="120"/>
        <v>0</v>
      </c>
      <c r="F539" s="2135"/>
      <c r="G539" s="2127">
        <f t="shared" si="127"/>
        <v>3</v>
      </c>
      <c r="H539" s="2075">
        <v>523</v>
      </c>
      <c r="I539" s="2104">
        <f t="shared" si="121"/>
        <v>0</v>
      </c>
      <c r="J539" s="2125">
        <f t="shared" si="122"/>
        <v>3.5000000000000003E-2</v>
      </c>
      <c r="K539" s="2083"/>
      <c r="L539" s="2106"/>
      <c r="N539" s="2071">
        <f t="shared" si="123"/>
        <v>523</v>
      </c>
      <c r="O539" s="2130">
        <f>IF(D538=D539,O538+0.00001,ROUNDDOWN(MAX($O$16:$O538),0)+1)</f>
        <v>5.2299999999999552E-3</v>
      </c>
      <c r="P539" s="2131">
        <f t="shared" si="115"/>
        <v>0</v>
      </c>
      <c r="Q539" s="2131">
        <f t="shared" si="116"/>
        <v>0</v>
      </c>
      <c r="R539" s="2131">
        <f t="shared" si="117"/>
        <v>0</v>
      </c>
      <c r="S539" s="2130">
        <f>IF(J538=J539,S538+0.00001,ROUNDDOWN(MAX($S$16:$S538),0)+1)</f>
        <v>2.0040300000000264</v>
      </c>
      <c r="T539" s="2131">
        <f t="shared" si="118"/>
        <v>0</v>
      </c>
      <c r="U539" s="2131">
        <f t="shared" si="119"/>
        <v>0</v>
      </c>
      <c r="V539" s="2071">
        <f t="shared" si="124"/>
        <v>523</v>
      </c>
    </row>
    <row r="540" spans="1:22" hidden="1">
      <c r="A540" s="2124">
        <f t="shared" si="125"/>
        <v>1</v>
      </c>
      <c r="B540" s="2073">
        <v>524</v>
      </c>
      <c r="C540" s="2104">
        <f t="shared" si="126"/>
        <v>0</v>
      </c>
      <c r="D540" s="2125">
        <f t="shared" si="114"/>
        <v>0.03</v>
      </c>
      <c r="E540" s="2104">
        <f t="shared" si="120"/>
        <v>0</v>
      </c>
      <c r="F540" s="2135"/>
      <c r="G540" s="2127">
        <f t="shared" si="127"/>
        <v>3</v>
      </c>
      <c r="H540" s="2075">
        <v>524</v>
      </c>
      <c r="I540" s="2104">
        <f t="shared" si="121"/>
        <v>0</v>
      </c>
      <c r="J540" s="2125">
        <f t="shared" si="122"/>
        <v>3.5000000000000003E-2</v>
      </c>
      <c r="K540" s="2083"/>
      <c r="L540" s="2106"/>
      <c r="N540" s="2071">
        <f t="shared" si="123"/>
        <v>524</v>
      </c>
      <c r="O540" s="2130">
        <f>IF(D539=D540,O539+0.00001,ROUNDDOWN(MAX($O$16:$O539),0)+1)</f>
        <v>5.2399999999999548E-3</v>
      </c>
      <c r="P540" s="2131">
        <f t="shared" si="115"/>
        <v>0</v>
      </c>
      <c r="Q540" s="2131">
        <f t="shared" si="116"/>
        <v>0</v>
      </c>
      <c r="R540" s="2131">
        <f t="shared" si="117"/>
        <v>0</v>
      </c>
      <c r="S540" s="2130">
        <f>IF(J539=J540,S539+0.00001,ROUNDDOWN(MAX($S$16:$S539),0)+1)</f>
        <v>2.0040400000000265</v>
      </c>
      <c r="T540" s="2131">
        <f t="shared" si="118"/>
        <v>0</v>
      </c>
      <c r="U540" s="2131">
        <f t="shared" si="119"/>
        <v>0</v>
      </c>
      <c r="V540" s="2071">
        <f t="shared" si="124"/>
        <v>524</v>
      </c>
    </row>
    <row r="541" spans="1:22" hidden="1">
      <c r="A541" s="2124">
        <f t="shared" si="125"/>
        <v>1</v>
      </c>
      <c r="B541" s="2073">
        <v>525</v>
      </c>
      <c r="C541" s="2104">
        <f t="shared" si="126"/>
        <v>0</v>
      </c>
      <c r="D541" s="2125">
        <f t="shared" si="114"/>
        <v>0.03</v>
      </c>
      <c r="E541" s="2104">
        <f t="shared" si="120"/>
        <v>0</v>
      </c>
      <c r="F541" s="2135"/>
      <c r="G541" s="2127">
        <f t="shared" si="127"/>
        <v>3</v>
      </c>
      <c r="H541" s="2075">
        <v>525</v>
      </c>
      <c r="I541" s="2104">
        <f t="shared" si="121"/>
        <v>0</v>
      </c>
      <c r="J541" s="2125">
        <f t="shared" si="122"/>
        <v>3.5000000000000003E-2</v>
      </c>
      <c r="K541" s="2083"/>
      <c r="L541" s="2106"/>
      <c r="N541" s="2071">
        <f t="shared" si="123"/>
        <v>525</v>
      </c>
      <c r="O541" s="2130">
        <f>IF(D540=D541,O540+0.00001,ROUNDDOWN(MAX($O$16:$O540),0)+1)</f>
        <v>5.2499999999999544E-3</v>
      </c>
      <c r="P541" s="2131">
        <f t="shared" si="115"/>
        <v>0</v>
      </c>
      <c r="Q541" s="2131">
        <f t="shared" si="116"/>
        <v>0</v>
      </c>
      <c r="R541" s="2131">
        <f t="shared" si="117"/>
        <v>0</v>
      </c>
      <c r="S541" s="2130">
        <f>IF(J540=J541,S540+0.00001,ROUNDDOWN(MAX($S$16:$S540),0)+1)</f>
        <v>2.0040500000000265</v>
      </c>
      <c r="T541" s="2131">
        <f t="shared" si="118"/>
        <v>0</v>
      </c>
      <c r="U541" s="2131">
        <f t="shared" si="119"/>
        <v>0</v>
      </c>
      <c r="V541" s="2071">
        <f t="shared" si="124"/>
        <v>525</v>
      </c>
    </row>
    <row r="542" spans="1:22" hidden="1">
      <c r="A542" s="2124">
        <f t="shared" si="125"/>
        <v>1</v>
      </c>
      <c r="B542" s="2073">
        <v>526</v>
      </c>
      <c r="C542" s="2104">
        <f t="shared" si="126"/>
        <v>0</v>
      </c>
      <c r="D542" s="2125">
        <f t="shared" si="114"/>
        <v>0.03</v>
      </c>
      <c r="E542" s="2104">
        <f t="shared" si="120"/>
        <v>0</v>
      </c>
      <c r="F542" s="2135"/>
      <c r="G542" s="2127">
        <f t="shared" si="127"/>
        <v>3</v>
      </c>
      <c r="H542" s="2075">
        <v>526</v>
      </c>
      <c r="I542" s="2104">
        <f t="shared" si="121"/>
        <v>0</v>
      </c>
      <c r="J542" s="2125">
        <f t="shared" si="122"/>
        <v>3.5000000000000003E-2</v>
      </c>
      <c r="K542" s="2083"/>
      <c r="L542" s="2106"/>
      <c r="N542" s="2071">
        <f t="shared" si="123"/>
        <v>526</v>
      </c>
      <c r="O542" s="2130">
        <f>IF(D541=D542,O541+0.00001,ROUNDDOWN(MAX($O$16:$O541),0)+1)</f>
        <v>5.2599999999999539E-3</v>
      </c>
      <c r="P542" s="2131">
        <f t="shared" si="115"/>
        <v>0</v>
      </c>
      <c r="Q542" s="2131">
        <f t="shared" si="116"/>
        <v>0</v>
      </c>
      <c r="R542" s="2131">
        <f t="shared" si="117"/>
        <v>0</v>
      </c>
      <c r="S542" s="2130">
        <f>IF(J541=J542,S541+0.00001,ROUNDDOWN(MAX($S$16:$S541),0)+1)</f>
        <v>2.0040600000000266</v>
      </c>
      <c r="T542" s="2131">
        <f t="shared" si="118"/>
        <v>0</v>
      </c>
      <c r="U542" s="2131">
        <f t="shared" si="119"/>
        <v>0</v>
      </c>
      <c r="V542" s="2071">
        <f t="shared" si="124"/>
        <v>526</v>
      </c>
    </row>
    <row r="543" spans="1:22" hidden="1">
      <c r="A543" s="2124">
        <f t="shared" si="125"/>
        <v>1</v>
      </c>
      <c r="B543" s="2073">
        <v>527</v>
      </c>
      <c r="C543" s="2104">
        <f t="shared" si="126"/>
        <v>0</v>
      </c>
      <c r="D543" s="2125">
        <f t="shared" si="114"/>
        <v>0.03</v>
      </c>
      <c r="E543" s="2104">
        <f t="shared" si="120"/>
        <v>0</v>
      </c>
      <c r="F543" s="2135"/>
      <c r="G543" s="2127">
        <f t="shared" si="127"/>
        <v>3</v>
      </c>
      <c r="H543" s="2075">
        <v>527</v>
      </c>
      <c r="I543" s="2104">
        <f t="shared" si="121"/>
        <v>0</v>
      </c>
      <c r="J543" s="2125">
        <f t="shared" si="122"/>
        <v>3.5000000000000003E-2</v>
      </c>
      <c r="K543" s="2083"/>
      <c r="L543" s="2106"/>
      <c r="N543" s="2071">
        <f t="shared" si="123"/>
        <v>527</v>
      </c>
      <c r="O543" s="2130">
        <f>IF(D542=D543,O542+0.00001,ROUNDDOWN(MAX($O$16:$O542),0)+1)</f>
        <v>5.2699999999999535E-3</v>
      </c>
      <c r="P543" s="2131">
        <f t="shared" si="115"/>
        <v>0</v>
      </c>
      <c r="Q543" s="2131">
        <f t="shared" si="116"/>
        <v>0</v>
      </c>
      <c r="R543" s="2131">
        <f t="shared" si="117"/>
        <v>0</v>
      </c>
      <c r="S543" s="2130">
        <f>IF(J542=J543,S542+0.00001,ROUNDDOWN(MAX($S$16:$S542),0)+1)</f>
        <v>2.0040700000000267</v>
      </c>
      <c r="T543" s="2131">
        <f t="shared" si="118"/>
        <v>0</v>
      </c>
      <c r="U543" s="2131">
        <f t="shared" si="119"/>
        <v>0</v>
      </c>
      <c r="V543" s="2071">
        <f t="shared" si="124"/>
        <v>527</v>
      </c>
    </row>
    <row r="544" spans="1:22" hidden="1">
      <c r="A544" s="2124">
        <f t="shared" si="125"/>
        <v>1</v>
      </c>
      <c r="B544" s="2073">
        <v>528</v>
      </c>
      <c r="C544" s="2104">
        <f t="shared" si="126"/>
        <v>0</v>
      </c>
      <c r="D544" s="2125">
        <f t="shared" si="114"/>
        <v>0.03</v>
      </c>
      <c r="E544" s="2104">
        <f t="shared" si="120"/>
        <v>0</v>
      </c>
      <c r="F544" s="2135"/>
      <c r="G544" s="2127">
        <f t="shared" si="127"/>
        <v>3</v>
      </c>
      <c r="H544" s="2075">
        <v>528</v>
      </c>
      <c r="I544" s="2104">
        <f t="shared" si="121"/>
        <v>0</v>
      </c>
      <c r="J544" s="2125">
        <f t="shared" si="122"/>
        <v>3.5000000000000003E-2</v>
      </c>
      <c r="K544" s="2083"/>
      <c r="L544" s="2106"/>
      <c r="N544" s="2071">
        <f t="shared" si="123"/>
        <v>528</v>
      </c>
      <c r="O544" s="2130">
        <f>IF(D543=D544,O543+0.00001,ROUNDDOWN(MAX($O$16:$O543),0)+1)</f>
        <v>5.2799999999999531E-3</v>
      </c>
      <c r="P544" s="2131">
        <f t="shared" si="115"/>
        <v>0</v>
      </c>
      <c r="Q544" s="2131">
        <f t="shared" si="116"/>
        <v>0</v>
      </c>
      <c r="R544" s="2131">
        <f t="shared" si="117"/>
        <v>0</v>
      </c>
      <c r="S544" s="2130">
        <f>IF(J543=J544,S543+0.00001,ROUNDDOWN(MAX($S$16:$S543),0)+1)</f>
        <v>2.0040800000000267</v>
      </c>
      <c r="T544" s="2131">
        <f t="shared" si="118"/>
        <v>0</v>
      </c>
      <c r="U544" s="2131">
        <f t="shared" si="119"/>
        <v>0</v>
      </c>
      <c r="V544" s="2071">
        <f t="shared" si="124"/>
        <v>528</v>
      </c>
    </row>
    <row r="545" spans="1:22" hidden="1">
      <c r="A545" s="2124">
        <f t="shared" si="125"/>
        <v>1</v>
      </c>
      <c r="B545" s="2073">
        <v>529</v>
      </c>
      <c r="C545" s="2104">
        <f t="shared" si="126"/>
        <v>0</v>
      </c>
      <c r="D545" s="2125">
        <f t="shared" si="114"/>
        <v>0.03</v>
      </c>
      <c r="E545" s="2104">
        <f t="shared" si="120"/>
        <v>0</v>
      </c>
      <c r="F545" s="2135"/>
      <c r="G545" s="2127">
        <f t="shared" si="127"/>
        <v>3</v>
      </c>
      <c r="H545" s="2075">
        <v>529</v>
      </c>
      <c r="I545" s="2104">
        <f t="shared" si="121"/>
        <v>0</v>
      </c>
      <c r="J545" s="2125">
        <f t="shared" si="122"/>
        <v>3.5000000000000003E-2</v>
      </c>
      <c r="K545" s="2083"/>
      <c r="L545" s="2106"/>
      <c r="N545" s="2071">
        <f t="shared" si="123"/>
        <v>529</v>
      </c>
      <c r="O545" s="2130">
        <f>IF(D544=D545,O544+0.00001,ROUNDDOWN(MAX($O$16:$O544),0)+1)</f>
        <v>5.2899999999999527E-3</v>
      </c>
      <c r="P545" s="2131">
        <f t="shared" si="115"/>
        <v>0</v>
      </c>
      <c r="Q545" s="2131">
        <f t="shared" si="116"/>
        <v>0</v>
      </c>
      <c r="R545" s="2131">
        <f t="shared" si="117"/>
        <v>0</v>
      </c>
      <c r="S545" s="2130">
        <f>IF(J544=J545,S544+0.00001,ROUNDDOWN(MAX($S$16:$S544),0)+1)</f>
        <v>2.0040900000000268</v>
      </c>
      <c r="T545" s="2131">
        <f t="shared" si="118"/>
        <v>0</v>
      </c>
      <c r="U545" s="2131">
        <f t="shared" si="119"/>
        <v>0</v>
      </c>
      <c r="V545" s="2071">
        <f t="shared" si="124"/>
        <v>529</v>
      </c>
    </row>
    <row r="546" spans="1:22" hidden="1">
      <c r="A546" s="2124">
        <f t="shared" si="125"/>
        <v>1</v>
      </c>
      <c r="B546" s="2073">
        <v>530</v>
      </c>
      <c r="C546" s="2104">
        <f t="shared" si="126"/>
        <v>0</v>
      </c>
      <c r="D546" s="2125">
        <f t="shared" si="114"/>
        <v>0.03</v>
      </c>
      <c r="E546" s="2104">
        <f t="shared" si="120"/>
        <v>0</v>
      </c>
      <c r="F546" s="2135"/>
      <c r="G546" s="2127">
        <f t="shared" si="127"/>
        <v>3</v>
      </c>
      <c r="H546" s="2075">
        <v>530</v>
      </c>
      <c r="I546" s="2104">
        <f t="shared" si="121"/>
        <v>0</v>
      </c>
      <c r="J546" s="2125">
        <f t="shared" si="122"/>
        <v>3.5000000000000003E-2</v>
      </c>
      <c r="K546" s="2083"/>
      <c r="L546" s="2106"/>
      <c r="N546" s="2071">
        <f t="shared" si="123"/>
        <v>530</v>
      </c>
      <c r="O546" s="2130">
        <f>IF(D545=D546,O545+0.00001,ROUNDDOWN(MAX($O$16:$O545),0)+1)</f>
        <v>5.2999999999999523E-3</v>
      </c>
      <c r="P546" s="2131">
        <f t="shared" si="115"/>
        <v>0</v>
      </c>
      <c r="Q546" s="2131">
        <f t="shared" si="116"/>
        <v>0</v>
      </c>
      <c r="R546" s="2131">
        <f t="shared" si="117"/>
        <v>0</v>
      </c>
      <c r="S546" s="2130">
        <f>IF(J545=J546,S545+0.00001,ROUNDDOWN(MAX($S$16:$S545),0)+1)</f>
        <v>2.0041000000000269</v>
      </c>
      <c r="T546" s="2131">
        <f t="shared" si="118"/>
        <v>0</v>
      </c>
      <c r="U546" s="2131">
        <f t="shared" si="119"/>
        <v>0</v>
      </c>
      <c r="V546" s="2071">
        <f t="shared" si="124"/>
        <v>530</v>
      </c>
    </row>
    <row r="547" spans="1:22" hidden="1">
      <c r="A547" s="2124">
        <f t="shared" si="125"/>
        <v>1</v>
      </c>
      <c r="B547" s="2073">
        <v>531</v>
      </c>
      <c r="C547" s="2104">
        <f t="shared" si="126"/>
        <v>0</v>
      </c>
      <c r="D547" s="2125">
        <f t="shared" si="114"/>
        <v>0.03</v>
      </c>
      <c r="E547" s="2104">
        <f t="shared" si="120"/>
        <v>0</v>
      </c>
      <c r="F547" s="2135"/>
      <c r="G547" s="2127">
        <f t="shared" si="127"/>
        <v>3</v>
      </c>
      <c r="H547" s="2075">
        <v>531</v>
      </c>
      <c r="I547" s="2104">
        <f t="shared" si="121"/>
        <v>0</v>
      </c>
      <c r="J547" s="2125">
        <f t="shared" si="122"/>
        <v>3.5000000000000003E-2</v>
      </c>
      <c r="K547" s="2083"/>
      <c r="L547" s="2106"/>
      <c r="N547" s="2071">
        <f t="shared" si="123"/>
        <v>531</v>
      </c>
      <c r="O547" s="2130">
        <f>IF(D546=D547,O546+0.00001,ROUNDDOWN(MAX($O$16:$O546),0)+1)</f>
        <v>5.3099999999999519E-3</v>
      </c>
      <c r="P547" s="2131">
        <f t="shared" si="115"/>
        <v>0</v>
      </c>
      <c r="Q547" s="2131">
        <f t="shared" si="116"/>
        <v>0</v>
      </c>
      <c r="R547" s="2131">
        <f t="shared" si="117"/>
        <v>0</v>
      </c>
      <c r="S547" s="2130">
        <f>IF(J546=J547,S546+0.00001,ROUNDDOWN(MAX($S$16:$S546),0)+1)</f>
        <v>2.0041100000000269</v>
      </c>
      <c r="T547" s="2131">
        <f t="shared" si="118"/>
        <v>0</v>
      </c>
      <c r="U547" s="2131">
        <f t="shared" si="119"/>
        <v>0</v>
      </c>
      <c r="V547" s="2071">
        <f t="shared" si="124"/>
        <v>531</v>
      </c>
    </row>
    <row r="548" spans="1:22" hidden="1">
      <c r="A548" s="2124">
        <f t="shared" si="125"/>
        <v>1</v>
      </c>
      <c r="B548" s="2073">
        <v>532</v>
      </c>
      <c r="C548" s="2104">
        <f t="shared" si="126"/>
        <v>0</v>
      </c>
      <c r="D548" s="2125">
        <f t="shared" si="114"/>
        <v>0.03</v>
      </c>
      <c r="E548" s="2104">
        <f t="shared" si="120"/>
        <v>0</v>
      </c>
      <c r="F548" s="2135"/>
      <c r="G548" s="2127">
        <f t="shared" si="127"/>
        <v>3</v>
      </c>
      <c r="H548" s="2075">
        <v>532</v>
      </c>
      <c r="I548" s="2104">
        <f t="shared" si="121"/>
        <v>0</v>
      </c>
      <c r="J548" s="2125">
        <f t="shared" si="122"/>
        <v>3.5000000000000003E-2</v>
      </c>
      <c r="K548" s="2083"/>
      <c r="L548" s="2106"/>
      <c r="N548" s="2071">
        <f t="shared" si="123"/>
        <v>532</v>
      </c>
      <c r="O548" s="2130">
        <f>IF(D547=D548,O547+0.00001,ROUNDDOWN(MAX($O$16:$O547),0)+1)</f>
        <v>5.3199999999999515E-3</v>
      </c>
      <c r="P548" s="2131">
        <f t="shared" si="115"/>
        <v>0</v>
      </c>
      <c r="Q548" s="2131">
        <f t="shared" si="116"/>
        <v>0</v>
      </c>
      <c r="R548" s="2131">
        <f t="shared" si="117"/>
        <v>0</v>
      </c>
      <c r="S548" s="2130">
        <f>IF(J547=J548,S547+0.00001,ROUNDDOWN(MAX($S$16:$S547),0)+1)</f>
        <v>2.004120000000027</v>
      </c>
      <c r="T548" s="2131">
        <f t="shared" si="118"/>
        <v>0</v>
      </c>
      <c r="U548" s="2131">
        <f t="shared" si="119"/>
        <v>0</v>
      </c>
      <c r="V548" s="2071">
        <f t="shared" si="124"/>
        <v>532</v>
      </c>
    </row>
    <row r="549" spans="1:22" hidden="1">
      <c r="A549" s="2124">
        <f t="shared" si="125"/>
        <v>1</v>
      </c>
      <c r="B549" s="2073">
        <v>533</v>
      </c>
      <c r="C549" s="2104">
        <f t="shared" si="126"/>
        <v>0</v>
      </c>
      <c r="D549" s="2125">
        <f t="shared" si="114"/>
        <v>0.03</v>
      </c>
      <c r="E549" s="2104">
        <f t="shared" si="120"/>
        <v>0</v>
      </c>
      <c r="F549" s="2135"/>
      <c r="G549" s="2127">
        <f t="shared" si="127"/>
        <v>3</v>
      </c>
      <c r="H549" s="2075">
        <v>533</v>
      </c>
      <c r="I549" s="2104">
        <f t="shared" si="121"/>
        <v>0</v>
      </c>
      <c r="J549" s="2125">
        <f t="shared" si="122"/>
        <v>3.5000000000000003E-2</v>
      </c>
      <c r="K549" s="2083"/>
      <c r="L549" s="2106"/>
      <c r="N549" s="2071">
        <f t="shared" si="123"/>
        <v>533</v>
      </c>
      <c r="O549" s="2130">
        <f>IF(D548=D549,O548+0.00001,ROUNDDOWN(MAX($O$16:$O548),0)+1)</f>
        <v>5.3299999999999511E-3</v>
      </c>
      <c r="P549" s="2131">
        <f t="shared" si="115"/>
        <v>0</v>
      </c>
      <c r="Q549" s="2131">
        <f t="shared" si="116"/>
        <v>0</v>
      </c>
      <c r="R549" s="2131">
        <f t="shared" si="117"/>
        <v>0</v>
      </c>
      <c r="S549" s="2130">
        <f>IF(J548=J549,S548+0.00001,ROUNDDOWN(MAX($S$16:$S548),0)+1)</f>
        <v>2.0041300000000271</v>
      </c>
      <c r="T549" s="2131">
        <f t="shared" si="118"/>
        <v>0</v>
      </c>
      <c r="U549" s="2131">
        <f t="shared" si="119"/>
        <v>0</v>
      </c>
      <c r="V549" s="2071">
        <f t="shared" si="124"/>
        <v>533</v>
      </c>
    </row>
    <row r="550" spans="1:22" hidden="1">
      <c r="A550" s="2124">
        <f t="shared" si="125"/>
        <v>1</v>
      </c>
      <c r="B550" s="2073">
        <v>534</v>
      </c>
      <c r="C550" s="2104">
        <f t="shared" si="126"/>
        <v>0</v>
      </c>
      <c r="D550" s="2125">
        <f t="shared" si="114"/>
        <v>0.03</v>
      </c>
      <c r="E550" s="2104">
        <f t="shared" si="120"/>
        <v>0</v>
      </c>
      <c r="F550" s="2135"/>
      <c r="G550" s="2127">
        <f t="shared" si="127"/>
        <v>3</v>
      </c>
      <c r="H550" s="2075">
        <v>534</v>
      </c>
      <c r="I550" s="2104">
        <f t="shared" si="121"/>
        <v>0</v>
      </c>
      <c r="J550" s="2125">
        <f t="shared" si="122"/>
        <v>3.5000000000000003E-2</v>
      </c>
      <c r="K550" s="2083"/>
      <c r="L550" s="2106"/>
      <c r="N550" s="2071">
        <f t="shared" si="123"/>
        <v>534</v>
      </c>
      <c r="O550" s="2130">
        <f>IF(D549=D550,O549+0.00001,ROUNDDOWN(MAX($O$16:$O549),0)+1)</f>
        <v>5.3399999999999507E-3</v>
      </c>
      <c r="P550" s="2131">
        <f t="shared" si="115"/>
        <v>0</v>
      </c>
      <c r="Q550" s="2131">
        <f t="shared" si="116"/>
        <v>0</v>
      </c>
      <c r="R550" s="2131">
        <f t="shared" si="117"/>
        <v>0</v>
      </c>
      <c r="S550" s="2130">
        <f>IF(J549=J550,S549+0.00001,ROUNDDOWN(MAX($S$16:$S549),0)+1)</f>
        <v>2.0041400000000271</v>
      </c>
      <c r="T550" s="2131">
        <f t="shared" si="118"/>
        <v>0</v>
      </c>
      <c r="U550" s="2131">
        <f t="shared" si="119"/>
        <v>0</v>
      </c>
      <c r="V550" s="2071">
        <f t="shared" si="124"/>
        <v>534</v>
      </c>
    </row>
    <row r="551" spans="1:22" hidden="1">
      <c r="A551" s="2124">
        <f t="shared" si="125"/>
        <v>1</v>
      </c>
      <c r="B551" s="2073">
        <v>535</v>
      </c>
      <c r="C551" s="2104">
        <f t="shared" si="126"/>
        <v>0</v>
      </c>
      <c r="D551" s="2125">
        <f t="shared" si="114"/>
        <v>0.03</v>
      </c>
      <c r="E551" s="2104">
        <f t="shared" si="120"/>
        <v>0</v>
      </c>
      <c r="F551" s="2135"/>
      <c r="G551" s="2127">
        <f t="shared" si="127"/>
        <v>3</v>
      </c>
      <c r="H551" s="2075">
        <v>535</v>
      </c>
      <c r="I551" s="2104">
        <f t="shared" si="121"/>
        <v>0</v>
      </c>
      <c r="J551" s="2125">
        <f t="shared" si="122"/>
        <v>3.5000000000000003E-2</v>
      </c>
      <c r="K551" s="2083"/>
      <c r="L551" s="2106"/>
      <c r="N551" s="2071">
        <f t="shared" si="123"/>
        <v>535</v>
      </c>
      <c r="O551" s="2130">
        <f>IF(D550=D551,O550+0.00001,ROUNDDOWN(MAX($O$16:$O550),0)+1)</f>
        <v>5.3499999999999503E-3</v>
      </c>
      <c r="P551" s="2131">
        <f t="shared" si="115"/>
        <v>0</v>
      </c>
      <c r="Q551" s="2131">
        <f t="shared" si="116"/>
        <v>0</v>
      </c>
      <c r="R551" s="2131">
        <f t="shared" si="117"/>
        <v>0</v>
      </c>
      <c r="S551" s="2130">
        <f>IF(J550=J551,S550+0.00001,ROUNDDOWN(MAX($S$16:$S550),0)+1)</f>
        <v>2.0041500000000272</v>
      </c>
      <c r="T551" s="2131">
        <f t="shared" si="118"/>
        <v>0</v>
      </c>
      <c r="U551" s="2131">
        <f t="shared" si="119"/>
        <v>0</v>
      </c>
      <c r="V551" s="2071">
        <f t="shared" si="124"/>
        <v>535</v>
      </c>
    </row>
    <row r="552" spans="1:22" hidden="1">
      <c r="A552" s="2124">
        <f t="shared" si="125"/>
        <v>1</v>
      </c>
      <c r="B552" s="2073">
        <v>536</v>
      </c>
      <c r="C552" s="2104">
        <f t="shared" si="126"/>
        <v>0</v>
      </c>
      <c r="D552" s="2125">
        <f t="shared" si="114"/>
        <v>0.03</v>
      </c>
      <c r="E552" s="2104">
        <f t="shared" si="120"/>
        <v>0</v>
      </c>
      <c r="F552" s="2135"/>
      <c r="G552" s="2127">
        <f t="shared" si="127"/>
        <v>3</v>
      </c>
      <c r="H552" s="2075">
        <v>536</v>
      </c>
      <c r="I552" s="2104">
        <f t="shared" si="121"/>
        <v>0</v>
      </c>
      <c r="J552" s="2125">
        <f t="shared" si="122"/>
        <v>3.5000000000000003E-2</v>
      </c>
      <c r="K552" s="2083"/>
      <c r="L552" s="2106"/>
      <c r="N552" s="2071">
        <f t="shared" si="123"/>
        <v>536</v>
      </c>
      <c r="O552" s="2130">
        <f>IF(D551=D552,O551+0.00001,ROUNDDOWN(MAX($O$16:$O551),0)+1)</f>
        <v>5.3599999999999499E-3</v>
      </c>
      <c r="P552" s="2131">
        <f t="shared" si="115"/>
        <v>0</v>
      </c>
      <c r="Q552" s="2131">
        <f t="shared" si="116"/>
        <v>0</v>
      </c>
      <c r="R552" s="2131">
        <f t="shared" si="117"/>
        <v>0</v>
      </c>
      <c r="S552" s="2130">
        <f>IF(J551=J552,S551+0.00001,ROUNDDOWN(MAX($S$16:$S551),0)+1)</f>
        <v>2.0041600000000273</v>
      </c>
      <c r="T552" s="2131">
        <f t="shared" si="118"/>
        <v>0</v>
      </c>
      <c r="U552" s="2131">
        <f t="shared" si="119"/>
        <v>0</v>
      </c>
      <c r="V552" s="2071">
        <f t="shared" si="124"/>
        <v>536</v>
      </c>
    </row>
    <row r="553" spans="1:22" hidden="1">
      <c r="A553" s="2124">
        <f t="shared" si="125"/>
        <v>1</v>
      </c>
      <c r="B553" s="2073">
        <v>537</v>
      </c>
      <c r="C553" s="2104">
        <f t="shared" si="126"/>
        <v>0</v>
      </c>
      <c r="D553" s="2125">
        <f t="shared" si="114"/>
        <v>0.03</v>
      </c>
      <c r="E553" s="2104">
        <f t="shared" si="120"/>
        <v>0</v>
      </c>
      <c r="F553" s="2135"/>
      <c r="G553" s="2127">
        <f t="shared" si="127"/>
        <v>3</v>
      </c>
      <c r="H553" s="2075">
        <v>537</v>
      </c>
      <c r="I553" s="2104">
        <f t="shared" si="121"/>
        <v>0</v>
      </c>
      <c r="J553" s="2125">
        <f t="shared" si="122"/>
        <v>3.5000000000000003E-2</v>
      </c>
      <c r="K553" s="2083"/>
      <c r="L553" s="2106"/>
      <c r="N553" s="2071">
        <f t="shared" si="123"/>
        <v>537</v>
      </c>
      <c r="O553" s="2130">
        <f>IF(D552=D553,O552+0.00001,ROUNDDOWN(MAX($O$16:$O552),0)+1)</f>
        <v>5.3699999999999495E-3</v>
      </c>
      <c r="P553" s="2131">
        <f t="shared" si="115"/>
        <v>0</v>
      </c>
      <c r="Q553" s="2131">
        <f t="shared" si="116"/>
        <v>0</v>
      </c>
      <c r="R553" s="2131">
        <f t="shared" si="117"/>
        <v>0</v>
      </c>
      <c r="S553" s="2130">
        <f>IF(J552=J553,S552+0.00001,ROUNDDOWN(MAX($S$16:$S552),0)+1)</f>
        <v>2.0041700000000273</v>
      </c>
      <c r="T553" s="2131">
        <f t="shared" si="118"/>
        <v>0</v>
      </c>
      <c r="U553" s="2131">
        <f t="shared" si="119"/>
        <v>0</v>
      </c>
      <c r="V553" s="2071">
        <f t="shared" si="124"/>
        <v>537</v>
      </c>
    </row>
    <row r="554" spans="1:22" hidden="1">
      <c r="A554" s="2124">
        <f t="shared" si="125"/>
        <v>1</v>
      </c>
      <c r="B554" s="2073">
        <v>538</v>
      </c>
      <c r="C554" s="2104">
        <f t="shared" si="126"/>
        <v>0</v>
      </c>
      <c r="D554" s="2125">
        <f t="shared" si="114"/>
        <v>0.03</v>
      </c>
      <c r="E554" s="2104">
        <f t="shared" si="120"/>
        <v>0</v>
      </c>
      <c r="F554" s="2135"/>
      <c r="G554" s="2127">
        <f t="shared" si="127"/>
        <v>3</v>
      </c>
      <c r="H554" s="2075">
        <v>538</v>
      </c>
      <c r="I554" s="2104">
        <f t="shared" si="121"/>
        <v>0</v>
      </c>
      <c r="J554" s="2125">
        <f t="shared" si="122"/>
        <v>3.5000000000000003E-2</v>
      </c>
      <c r="K554" s="2083"/>
      <c r="L554" s="2106"/>
      <c r="N554" s="2071">
        <f t="shared" si="123"/>
        <v>538</v>
      </c>
      <c r="O554" s="2130">
        <f>IF(D553=D554,O553+0.00001,ROUNDDOWN(MAX($O$16:$O553),0)+1)</f>
        <v>5.3799999999999491E-3</v>
      </c>
      <c r="P554" s="2131">
        <f t="shared" si="115"/>
        <v>0</v>
      </c>
      <c r="Q554" s="2131">
        <f t="shared" si="116"/>
        <v>0</v>
      </c>
      <c r="R554" s="2131">
        <f t="shared" si="117"/>
        <v>0</v>
      </c>
      <c r="S554" s="2130">
        <f>IF(J553=J554,S553+0.00001,ROUNDDOWN(MAX($S$16:$S553),0)+1)</f>
        <v>2.0041800000000274</v>
      </c>
      <c r="T554" s="2131">
        <f t="shared" si="118"/>
        <v>0</v>
      </c>
      <c r="U554" s="2131">
        <f t="shared" si="119"/>
        <v>0</v>
      </c>
      <c r="V554" s="2071">
        <f t="shared" si="124"/>
        <v>538</v>
      </c>
    </row>
    <row r="555" spans="1:22" hidden="1">
      <c r="A555" s="2124">
        <f t="shared" si="125"/>
        <v>1</v>
      </c>
      <c r="B555" s="2073">
        <v>539</v>
      </c>
      <c r="C555" s="2104">
        <f t="shared" si="126"/>
        <v>0</v>
      </c>
      <c r="D555" s="2125">
        <f t="shared" si="114"/>
        <v>0.03</v>
      </c>
      <c r="E555" s="2104">
        <f t="shared" si="120"/>
        <v>0</v>
      </c>
      <c r="F555" s="2135"/>
      <c r="G555" s="2127">
        <f t="shared" si="127"/>
        <v>3</v>
      </c>
      <c r="H555" s="2075">
        <v>539</v>
      </c>
      <c r="I555" s="2104">
        <f t="shared" si="121"/>
        <v>0</v>
      </c>
      <c r="J555" s="2125">
        <f t="shared" si="122"/>
        <v>3.5000000000000003E-2</v>
      </c>
      <c r="K555" s="2083"/>
      <c r="L555" s="2106"/>
      <c r="N555" s="2071">
        <f t="shared" si="123"/>
        <v>539</v>
      </c>
      <c r="O555" s="2130">
        <f>IF(D554=D555,O554+0.00001,ROUNDDOWN(MAX($O$16:$O554),0)+1)</f>
        <v>5.3899999999999487E-3</v>
      </c>
      <c r="P555" s="2131">
        <f t="shared" si="115"/>
        <v>0</v>
      </c>
      <c r="Q555" s="2131">
        <f t="shared" si="116"/>
        <v>0</v>
      </c>
      <c r="R555" s="2131">
        <f t="shared" si="117"/>
        <v>0</v>
      </c>
      <c r="S555" s="2130">
        <f>IF(J554=J555,S554+0.00001,ROUNDDOWN(MAX($S$16:$S554),0)+1)</f>
        <v>2.0041900000000274</v>
      </c>
      <c r="T555" s="2131">
        <f t="shared" si="118"/>
        <v>0</v>
      </c>
      <c r="U555" s="2131">
        <f t="shared" si="119"/>
        <v>0</v>
      </c>
      <c r="V555" s="2071">
        <f t="shared" si="124"/>
        <v>539</v>
      </c>
    </row>
    <row r="556" spans="1:22" hidden="1">
      <c r="A556" s="2124">
        <f t="shared" si="125"/>
        <v>1</v>
      </c>
      <c r="B556" s="2073">
        <v>540</v>
      </c>
      <c r="C556" s="2104">
        <f t="shared" si="126"/>
        <v>0</v>
      </c>
      <c r="D556" s="2125">
        <f t="shared" si="114"/>
        <v>0.03</v>
      </c>
      <c r="E556" s="2104">
        <f t="shared" si="120"/>
        <v>0</v>
      </c>
      <c r="F556" s="2135"/>
      <c r="G556" s="2127">
        <f t="shared" si="127"/>
        <v>3</v>
      </c>
      <c r="H556" s="2075">
        <v>540</v>
      </c>
      <c r="I556" s="2104">
        <f t="shared" si="121"/>
        <v>0</v>
      </c>
      <c r="J556" s="2125">
        <f t="shared" si="122"/>
        <v>3.5000000000000003E-2</v>
      </c>
      <c r="K556" s="2083"/>
      <c r="L556" s="2106"/>
      <c r="N556" s="2071">
        <f t="shared" si="123"/>
        <v>540</v>
      </c>
      <c r="O556" s="2130">
        <f>IF(D555=D556,O555+0.00001,ROUNDDOWN(MAX($O$16:$O555),0)+1)</f>
        <v>5.3999999999999482E-3</v>
      </c>
      <c r="P556" s="2131">
        <f t="shared" si="115"/>
        <v>0</v>
      </c>
      <c r="Q556" s="2131">
        <f t="shared" si="116"/>
        <v>0</v>
      </c>
      <c r="R556" s="2131">
        <f t="shared" si="117"/>
        <v>0</v>
      </c>
      <c r="S556" s="2130">
        <f>IF(J555=J556,S555+0.00001,ROUNDDOWN(MAX($S$16:$S555),0)+1)</f>
        <v>2.0042000000000275</v>
      </c>
      <c r="T556" s="2131">
        <f t="shared" si="118"/>
        <v>0</v>
      </c>
      <c r="U556" s="2131">
        <f t="shared" si="119"/>
        <v>0</v>
      </c>
      <c r="V556" s="2071">
        <f t="shared" si="124"/>
        <v>540</v>
      </c>
    </row>
    <row r="557" spans="1:22" hidden="1">
      <c r="A557" s="2124">
        <f t="shared" si="125"/>
        <v>1</v>
      </c>
      <c r="B557" s="2073">
        <v>541</v>
      </c>
      <c r="C557" s="2104">
        <f t="shared" si="126"/>
        <v>0</v>
      </c>
      <c r="D557" s="2125">
        <f t="shared" si="114"/>
        <v>0.03</v>
      </c>
      <c r="E557" s="2104">
        <f t="shared" si="120"/>
        <v>0</v>
      </c>
      <c r="F557" s="2135"/>
      <c r="G557" s="2127">
        <f t="shared" si="127"/>
        <v>3</v>
      </c>
      <c r="H557" s="2075">
        <v>541</v>
      </c>
      <c r="I557" s="2104">
        <f t="shared" si="121"/>
        <v>0</v>
      </c>
      <c r="J557" s="2125">
        <f t="shared" si="122"/>
        <v>3.5000000000000003E-2</v>
      </c>
      <c r="K557" s="2083"/>
      <c r="L557" s="2106"/>
      <c r="N557" s="2071">
        <f t="shared" si="123"/>
        <v>541</v>
      </c>
      <c r="O557" s="2130">
        <f>IF(D556=D557,O556+0.00001,ROUNDDOWN(MAX($O$16:$O556),0)+1)</f>
        <v>5.4099999999999478E-3</v>
      </c>
      <c r="P557" s="2131">
        <f t="shared" si="115"/>
        <v>0</v>
      </c>
      <c r="Q557" s="2131">
        <f t="shared" si="116"/>
        <v>0</v>
      </c>
      <c r="R557" s="2131">
        <f t="shared" si="117"/>
        <v>0</v>
      </c>
      <c r="S557" s="2130">
        <f>IF(J556=J557,S556+0.00001,ROUNDDOWN(MAX($S$16:$S556),0)+1)</f>
        <v>2.0042100000000276</v>
      </c>
      <c r="T557" s="2131">
        <f t="shared" si="118"/>
        <v>0</v>
      </c>
      <c r="U557" s="2131">
        <f t="shared" si="119"/>
        <v>0</v>
      </c>
      <c r="V557" s="2071">
        <f t="shared" si="124"/>
        <v>541</v>
      </c>
    </row>
    <row r="558" spans="1:22" hidden="1">
      <c r="A558" s="2124">
        <f t="shared" si="125"/>
        <v>1</v>
      </c>
      <c r="B558" s="2073">
        <v>542</v>
      </c>
      <c r="C558" s="2104">
        <f t="shared" si="126"/>
        <v>0</v>
      </c>
      <c r="D558" s="2125">
        <f t="shared" si="114"/>
        <v>0.03</v>
      </c>
      <c r="E558" s="2104">
        <f t="shared" si="120"/>
        <v>0</v>
      </c>
      <c r="F558" s="2135"/>
      <c r="G558" s="2127">
        <f t="shared" si="127"/>
        <v>3</v>
      </c>
      <c r="H558" s="2075">
        <v>542</v>
      </c>
      <c r="I558" s="2104">
        <f t="shared" si="121"/>
        <v>0</v>
      </c>
      <c r="J558" s="2125">
        <f t="shared" si="122"/>
        <v>3.5000000000000003E-2</v>
      </c>
      <c r="K558" s="2083"/>
      <c r="L558" s="2106"/>
      <c r="N558" s="2071">
        <f t="shared" si="123"/>
        <v>542</v>
      </c>
      <c r="O558" s="2130">
        <f>IF(D557=D558,O557+0.00001,ROUNDDOWN(MAX($O$16:$O557),0)+1)</f>
        <v>5.4199999999999474E-3</v>
      </c>
      <c r="P558" s="2131">
        <f t="shared" si="115"/>
        <v>0</v>
      </c>
      <c r="Q558" s="2131">
        <f t="shared" si="116"/>
        <v>0</v>
      </c>
      <c r="R558" s="2131">
        <f t="shared" si="117"/>
        <v>0</v>
      </c>
      <c r="S558" s="2130">
        <f>IF(J557=J558,S557+0.00001,ROUNDDOWN(MAX($S$16:$S557),0)+1)</f>
        <v>2.0042200000000276</v>
      </c>
      <c r="T558" s="2131">
        <f t="shared" si="118"/>
        <v>0</v>
      </c>
      <c r="U558" s="2131">
        <f t="shared" si="119"/>
        <v>0</v>
      </c>
      <c r="V558" s="2071">
        <f t="shared" si="124"/>
        <v>542</v>
      </c>
    </row>
    <row r="559" spans="1:22" hidden="1">
      <c r="A559" s="2124">
        <f t="shared" si="125"/>
        <v>1</v>
      </c>
      <c r="B559" s="2073">
        <v>543</v>
      </c>
      <c r="C559" s="2104">
        <f t="shared" si="126"/>
        <v>0</v>
      </c>
      <c r="D559" s="2125">
        <f t="shared" si="114"/>
        <v>0.03</v>
      </c>
      <c r="E559" s="2104">
        <f t="shared" si="120"/>
        <v>0</v>
      </c>
      <c r="F559" s="2135"/>
      <c r="G559" s="2127">
        <f t="shared" si="127"/>
        <v>3</v>
      </c>
      <c r="H559" s="2075">
        <v>543</v>
      </c>
      <c r="I559" s="2104">
        <f t="shared" si="121"/>
        <v>0</v>
      </c>
      <c r="J559" s="2125">
        <f t="shared" si="122"/>
        <v>3.5000000000000003E-2</v>
      </c>
      <c r="K559" s="2083"/>
      <c r="L559" s="2106"/>
      <c r="N559" s="2071">
        <f t="shared" si="123"/>
        <v>543</v>
      </c>
      <c r="O559" s="2130">
        <f>IF(D558=D559,O558+0.00001,ROUNDDOWN(MAX($O$16:$O558),0)+1)</f>
        <v>5.429999999999947E-3</v>
      </c>
      <c r="P559" s="2131">
        <f t="shared" si="115"/>
        <v>0</v>
      </c>
      <c r="Q559" s="2131">
        <f t="shared" si="116"/>
        <v>0</v>
      </c>
      <c r="R559" s="2131">
        <f t="shared" si="117"/>
        <v>0</v>
      </c>
      <c r="S559" s="2130">
        <f>IF(J558=J559,S558+0.00001,ROUNDDOWN(MAX($S$16:$S558),0)+1)</f>
        <v>2.0042300000000277</v>
      </c>
      <c r="T559" s="2131">
        <f t="shared" si="118"/>
        <v>0</v>
      </c>
      <c r="U559" s="2131">
        <f t="shared" si="119"/>
        <v>0</v>
      </c>
      <c r="V559" s="2071">
        <f t="shared" si="124"/>
        <v>543</v>
      </c>
    </row>
    <row r="560" spans="1:22" hidden="1">
      <c r="A560" s="2124">
        <f t="shared" si="125"/>
        <v>1</v>
      </c>
      <c r="B560" s="2073">
        <v>544</v>
      </c>
      <c r="C560" s="2104">
        <f t="shared" si="126"/>
        <v>0</v>
      </c>
      <c r="D560" s="2125">
        <f t="shared" si="114"/>
        <v>0.03</v>
      </c>
      <c r="E560" s="2104">
        <f t="shared" si="120"/>
        <v>0</v>
      </c>
      <c r="F560" s="2135"/>
      <c r="G560" s="2127">
        <f t="shared" si="127"/>
        <v>3</v>
      </c>
      <c r="H560" s="2075">
        <v>544</v>
      </c>
      <c r="I560" s="2104">
        <f t="shared" si="121"/>
        <v>0</v>
      </c>
      <c r="J560" s="2125">
        <f t="shared" si="122"/>
        <v>3.5000000000000003E-2</v>
      </c>
      <c r="K560" s="2083"/>
      <c r="L560" s="2106"/>
      <c r="N560" s="2071">
        <f t="shared" si="123"/>
        <v>544</v>
      </c>
      <c r="O560" s="2130">
        <f>IF(D559=D560,O559+0.00001,ROUNDDOWN(MAX($O$16:$O559),0)+1)</f>
        <v>5.4399999999999466E-3</v>
      </c>
      <c r="P560" s="2131">
        <f t="shared" si="115"/>
        <v>0</v>
      </c>
      <c r="Q560" s="2131">
        <f t="shared" si="116"/>
        <v>0</v>
      </c>
      <c r="R560" s="2131">
        <f t="shared" si="117"/>
        <v>0</v>
      </c>
      <c r="S560" s="2130">
        <f>IF(J559=J560,S559+0.00001,ROUNDDOWN(MAX($S$16:$S559),0)+1)</f>
        <v>2.0042400000000278</v>
      </c>
      <c r="T560" s="2131">
        <f t="shared" si="118"/>
        <v>0</v>
      </c>
      <c r="U560" s="2131">
        <f t="shared" si="119"/>
        <v>0</v>
      </c>
      <c r="V560" s="2071">
        <f t="shared" si="124"/>
        <v>544</v>
      </c>
    </row>
    <row r="561" spans="1:22" hidden="1">
      <c r="A561" s="2124">
        <f t="shared" si="125"/>
        <v>1</v>
      </c>
      <c r="B561" s="2073">
        <v>545</v>
      </c>
      <c r="C561" s="2104">
        <f t="shared" si="126"/>
        <v>0</v>
      </c>
      <c r="D561" s="2125">
        <f t="shared" si="114"/>
        <v>0.03</v>
      </c>
      <c r="E561" s="2104">
        <f t="shared" si="120"/>
        <v>0</v>
      </c>
      <c r="F561" s="2135"/>
      <c r="G561" s="2127">
        <f t="shared" si="127"/>
        <v>3</v>
      </c>
      <c r="H561" s="2075">
        <v>545</v>
      </c>
      <c r="I561" s="2104">
        <f t="shared" si="121"/>
        <v>0</v>
      </c>
      <c r="J561" s="2125">
        <f t="shared" si="122"/>
        <v>3.5000000000000003E-2</v>
      </c>
      <c r="K561" s="2083"/>
      <c r="L561" s="2106"/>
      <c r="N561" s="2071">
        <f t="shared" si="123"/>
        <v>545</v>
      </c>
      <c r="O561" s="2130">
        <f>IF(D560=D561,O560+0.00001,ROUNDDOWN(MAX($O$16:$O560),0)+1)</f>
        <v>5.4499999999999462E-3</v>
      </c>
      <c r="P561" s="2131">
        <f t="shared" si="115"/>
        <v>0</v>
      </c>
      <c r="Q561" s="2131">
        <f t="shared" si="116"/>
        <v>0</v>
      </c>
      <c r="R561" s="2131">
        <f t="shared" si="117"/>
        <v>0</v>
      </c>
      <c r="S561" s="2130">
        <f>IF(J560=J561,S560+0.00001,ROUNDDOWN(MAX($S$16:$S560),0)+1)</f>
        <v>2.0042500000000278</v>
      </c>
      <c r="T561" s="2131">
        <f t="shared" si="118"/>
        <v>0</v>
      </c>
      <c r="U561" s="2131">
        <f t="shared" si="119"/>
        <v>0</v>
      </c>
      <c r="V561" s="2071">
        <f t="shared" si="124"/>
        <v>545</v>
      </c>
    </row>
    <row r="562" spans="1:22" hidden="1">
      <c r="A562" s="2124">
        <f t="shared" si="125"/>
        <v>1</v>
      </c>
      <c r="B562" s="2073">
        <v>546</v>
      </c>
      <c r="C562" s="2104">
        <f t="shared" si="126"/>
        <v>0</v>
      </c>
      <c r="D562" s="2125">
        <f t="shared" si="114"/>
        <v>0.03</v>
      </c>
      <c r="E562" s="2104">
        <f t="shared" si="120"/>
        <v>0</v>
      </c>
      <c r="F562" s="2135"/>
      <c r="G562" s="2127">
        <f t="shared" si="127"/>
        <v>3</v>
      </c>
      <c r="H562" s="2075">
        <v>546</v>
      </c>
      <c r="I562" s="2104">
        <f t="shared" si="121"/>
        <v>0</v>
      </c>
      <c r="J562" s="2125">
        <f t="shared" si="122"/>
        <v>3.5000000000000003E-2</v>
      </c>
      <c r="K562" s="2083"/>
      <c r="L562" s="2106"/>
      <c r="N562" s="2071">
        <f t="shared" si="123"/>
        <v>546</v>
      </c>
      <c r="O562" s="2130">
        <f>IF(D561=D562,O561+0.00001,ROUNDDOWN(MAX($O$16:$O561),0)+1)</f>
        <v>5.4599999999999458E-3</v>
      </c>
      <c r="P562" s="2131">
        <f t="shared" si="115"/>
        <v>0</v>
      </c>
      <c r="Q562" s="2131">
        <f t="shared" si="116"/>
        <v>0</v>
      </c>
      <c r="R562" s="2131">
        <f t="shared" si="117"/>
        <v>0</v>
      </c>
      <c r="S562" s="2130">
        <f>IF(J561=J562,S561+0.00001,ROUNDDOWN(MAX($S$16:$S561),0)+1)</f>
        <v>2.0042600000000279</v>
      </c>
      <c r="T562" s="2131">
        <f t="shared" si="118"/>
        <v>0</v>
      </c>
      <c r="U562" s="2131">
        <f t="shared" si="119"/>
        <v>0</v>
      </c>
      <c r="V562" s="2071">
        <f t="shared" si="124"/>
        <v>546</v>
      </c>
    </row>
    <row r="563" spans="1:22" hidden="1">
      <c r="A563" s="2124">
        <f t="shared" si="125"/>
        <v>1</v>
      </c>
      <c r="B563" s="2073">
        <v>547</v>
      </c>
      <c r="C563" s="2104">
        <f t="shared" si="126"/>
        <v>0</v>
      </c>
      <c r="D563" s="2125">
        <f t="shared" si="114"/>
        <v>0.03</v>
      </c>
      <c r="E563" s="2104">
        <f t="shared" si="120"/>
        <v>0</v>
      </c>
      <c r="F563" s="2135"/>
      <c r="G563" s="2127">
        <f t="shared" si="127"/>
        <v>3</v>
      </c>
      <c r="H563" s="2075">
        <v>547</v>
      </c>
      <c r="I563" s="2104">
        <f t="shared" si="121"/>
        <v>0</v>
      </c>
      <c r="J563" s="2125">
        <f t="shared" si="122"/>
        <v>3.5000000000000003E-2</v>
      </c>
      <c r="K563" s="2083"/>
      <c r="L563" s="2106"/>
      <c r="N563" s="2071">
        <f t="shared" si="123"/>
        <v>547</v>
      </c>
      <c r="O563" s="2130">
        <f>IF(D562=D563,O562+0.00001,ROUNDDOWN(MAX($O$16:$O562),0)+1)</f>
        <v>5.4699999999999454E-3</v>
      </c>
      <c r="P563" s="2131">
        <f t="shared" si="115"/>
        <v>0</v>
      </c>
      <c r="Q563" s="2131">
        <f t="shared" si="116"/>
        <v>0</v>
      </c>
      <c r="R563" s="2131">
        <f t="shared" si="117"/>
        <v>0</v>
      </c>
      <c r="S563" s="2130">
        <f>IF(J562=J563,S562+0.00001,ROUNDDOWN(MAX($S$16:$S562),0)+1)</f>
        <v>2.004270000000028</v>
      </c>
      <c r="T563" s="2131">
        <f t="shared" si="118"/>
        <v>0</v>
      </c>
      <c r="U563" s="2131">
        <f t="shared" si="119"/>
        <v>0</v>
      </c>
      <c r="V563" s="2071">
        <f t="shared" si="124"/>
        <v>547</v>
      </c>
    </row>
    <row r="564" spans="1:22" hidden="1">
      <c r="A564" s="2124">
        <f t="shared" si="125"/>
        <v>1</v>
      </c>
      <c r="B564" s="2073">
        <v>548</v>
      </c>
      <c r="C564" s="2104">
        <f t="shared" si="126"/>
        <v>0</v>
      </c>
      <c r="D564" s="2125">
        <f t="shared" si="114"/>
        <v>0.03</v>
      </c>
      <c r="E564" s="2104">
        <f t="shared" si="120"/>
        <v>0</v>
      </c>
      <c r="F564" s="2135"/>
      <c r="G564" s="2127">
        <f t="shared" si="127"/>
        <v>3</v>
      </c>
      <c r="H564" s="2075">
        <v>548</v>
      </c>
      <c r="I564" s="2104">
        <f t="shared" si="121"/>
        <v>0</v>
      </c>
      <c r="J564" s="2125">
        <f t="shared" si="122"/>
        <v>3.5000000000000003E-2</v>
      </c>
      <c r="K564" s="2083"/>
      <c r="L564" s="2106"/>
      <c r="N564" s="2071">
        <f t="shared" si="123"/>
        <v>548</v>
      </c>
      <c r="O564" s="2130">
        <f>IF(D563=D564,O563+0.00001,ROUNDDOWN(MAX($O$16:$O563),0)+1)</f>
        <v>5.479999999999945E-3</v>
      </c>
      <c r="P564" s="2131">
        <f t="shared" si="115"/>
        <v>0</v>
      </c>
      <c r="Q564" s="2131">
        <f t="shared" si="116"/>
        <v>0</v>
      </c>
      <c r="R564" s="2131">
        <f t="shared" si="117"/>
        <v>0</v>
      </c>
      <c r="S564" s="2130">
        <f>IF(J563=J564,S563+0.00001,ROUNDDOWN(MAX($S$16:$S563),0)+1)</f>
        <v>2.004280000000028</v>
      </c>
      <c r="T564" s="2131">
        <f t="shared" si="118"/>
        <v>0</v>
      </c>
      <c r="U564" s="2131">
        <f t="shared" si="119"/>
        <v>0</v>
      </c>
      <c r="V564" s="2071">
        <f t="shared" si="124"/>
        <v>548</v>
      </c>
    </row>
    <row r="565" spans="1:22" hidden="1">
      <c r="A565" s="2124">
        <f t="shared" si="125"/>
        <v>1</v>
      </c>
      <c r="B565" s="2073">
        <v>549</v>
      </c>
      <c r="C565" s="2104">
        <f t="shared" si="126"/>
        <v>0</v>
      </c>
      <c r="D565" s="2125">
        <f t="shared" si="114"/>
        <v>0.03</v>
      </c>
      <c r="E565" s="2104">
        <f t="shared" si="120"/>
        <v>0</v>
      </c>
      <c r="F565" s="2135"/>
      <c r="G565" s="2127">
        <f t="shared" si="127"/>
        <v>3</v>
      </c>
      <c r="H565" s="2075">
        <v>549</v>
      </c>
      <c r="I565" s="2104">
        <f t="shared" si="121"/>
        <v>0</v>
      </c>
      <c r="J565" s="2125">
        <f t="shared" si="122"/>
        <v>3.5000000000000003E-2</v>
      </c>
      <c r="K565" s="2083"/>
      <c r="L565" s="2106"/>
      <c r="N565" s="2071">
        <f t="shared" si="123"/>
        <v>549</v>
      </c>
      <c r="O565" s="2130">
        <f>IF(D564=D565,O564+0.00001,ROUNDDOWN(MAX($O$16:$O564),0)+1)</f>
        <v>5.4899999999999446E-3</v>
      </c>
      <c r="P565" s="2131">
        <f t="shared" si="115"/>
        <v>0</v>
      </c>
      <c r="Q565" s="2131">
        <f t="shared" si="116"/>
        <v>0</v>
      </c>
      <c r="R565" s="2131">
        <f t="shared" si="117"/>
        <v>0</v>
      </c>
      <c r="S565" s="2130">
        <f>IF(J564=J565,S564+0.00001,ROUNDDOWN(MAX($S$16:$S564),0)+1)</f>
        <v>2.0042900000000281</v>
      </c>
      <c r="T565" s="2131">
        <f t="shared" si="118"/>
        <v>0</v>
      </c>
      <c r="U565" s="2131">
        <f t="shared" si="119"/>
        <v>0</v>
      </c>
      <c r="V565" s="2071">
        <f t="shared" si="124"/>
        <v>549</v>
      </c>
    </row>
    <row r="566" spans="1:22" hidden="1">
      <c r="A566" s="2124">
        <f t="shared" si="125"/>
        <v>1</v>
      </c>
      <c r="B566" s="2073">
        <v>550</v>
      </c>
      <c r="C566" s="2104">
        <f t="shared" si="126"/>
        <v>0</v>
      </c>
      <c r="D566" s="2125">
        <f t="shared" si="114"/>
        <v>0.03</v>
      </c>
      <c r="E566" s="2104">
        <f t="shared" si="120"/>
        <v>0</v>
      </c>
      <c r="F566" s="2135"/>
      <c r="G566" s="2127">
        <f t="shared" si="127"/>
        <v>3</v>
      </c>
      <c r="H566" s="2075">
        <v>550</v>
      </c>
      <c r="I566" s="2104">
        <f t="shared" si="121"/>
        <v>0</v>
      </c>
      <c r="J566" s="2125">
        <f t="shared" si="122"/>
        <v>3.5000000000000003E-2</v>
      </c>
      <c r="K566" s="2083"/>
      <c r="L566" s="2106"/>
      <c r="N566" s="2071">
        <f t="shared" si="123"/>
        <v>550</v>
      </c>
      <c r="O566" s="2130">
        <f>IF(D565=D566,O565+0.00001,ROUNDDOWN(MAX($O$16:$O565),0)+1)</f>
        <v>5.4999999999999442E-3</v>
      </c>
      <c r="P566" s="2131">
        <f t="shared" si="115"/>
        <v>0</v>
      </c>
      <c r="Q566" s="2131">
        <f t="shared" si="116"/>
        <v>0</v>
      </c>
      <c r="R566" s="2131">
        <f t="shared" si="117"/>
        <v>0</v>
      </c>
      <c r="S566" s="2130">
        <f>IF(J565=J566,S565+0.00001,ROUNDDOWN(MAX($S$16:$S565),0)+1)</f>
        <v>2.0043000000000282</v>
      </c>
      <c r="T566" s="2131">
        <f t="shared" si="118"/>
        <v>0</v>
      </c>
      <c r="U566" s="2131">
        <f t="shared" si="119"/>
        <v>0</v>
      </c>
      <c r="V566" s="2071">
        <f t="shared" si="124"/>
        <v>550</v>
      </c>
    </row>
    <row r="567" spans="1:22" hidden="1">
      <c r="A567" s="2124">
        <f t="shared" si="125"/>
        <v>1</v>
      </c>
      <c r="B567" s="2073">
        <v>551</v>
      </c>
      <c r="C567" s="2104">
        <f t="shared" si="126"/>
        <v>0</v>
      </c>
      <c r="D567" s="2125">
        <f t="shared" si="114"/>
        <v>0.03</v>
      </c>
      <c r="E567" s="2104">
        <f t="shared" si="120"/>
        <v>0</v>
      </c>
      <c r="F567" s="2135"/>
      <c r="G567" s="2127">
        <f t="shared" si="127"/>
        <v>3</v>
      </c>
      <c r="H567" s="2075">
        <v>551</v>
      </c>
      <c r="I567" s="2104">
        <f t="shared" si="121"/>
        <v>0</v>
      </c>
      <c r="J567" s="2125">
        <f t="shared" si="122"/>
        <v>3.5000000000000003E-2</v>
      </c>
      <c r="K567" s="2083"/>
      <c r="L567" s="2106"/>
      <c r="N567" s="2071">
        <f t="shared" si="123"/>
        <v>551</v>
      </c>
      <c r="O567" s="2130">
        <f>IF(D566=D567,O566+0.00001,ROUNDDOWN(MAX($O$16:$O566),0)+1)</f>
        <v>5.5099999999999438E-3</v>
      </c>
      <c r="P567" s="2131">
        <f t="shared" si="115"/>
        <v>0</v>
      </c>
      <c r="Q567" s="2131">
        <f t="shared" si="116"/>
        <v>0</v>
      </c>
      <c r="R567" s="2131">
        <f t="shared" si="117"/>
        <v>0</v>
      </c>
      <c r="S567" s="2130">
        <f>IF(J566=J567,S566+0.00001,ROUNDDOWN(MAX($S$16:$S566),0)+1)</f>
        <v>2.0043100000000282</v>
      </c>
      <c r="T567" s="2131">
        <f t="shared" si="118"/>
        <v>0</v>
      </c>
      <c r="U567" s="2131">
        <f t="shared" si="119"/>
        <v>0</v>
      </c>
      <c r="V567" s="2071">
        <f t="shared" si="124"/>
        <v>551</v>
      </c>
    </row>
    <row r="568" spans="1:22" hidden="1">
      <c r="A568" s="2124">
        <f t="shared" si="125"/>
        <v>1</v>
      </c>
      <c r="B568" s="2073">
        <v>552</v>
      </c>
      <c r="C568" s="2104">
        <f t="shared" si="126"/>
        <v>0</v>
      </c>
      <c r="D568" s="2125">
        <f t="shared" si="114"/>
        <v>0.03</v>
      </c>
      <c r="E568" s="2104">
        <f t="shared" si="120"/>
        <v>0</v>
      </c>
      <c r="F568" s="2135"/>
      <c r="G568" s="2127">
        <f t="shared" si="127"/>
        <v>3</v>
      </c>
      <c r="H568" s="2075">
        <v>552</v>
      </c>
      <c r="I568" s="2104">
        <f t="shared" si="121"/>
        <v>0</v>
      </c>
      <c r="J568" s="2125">
        <f t="shared" si="122"/>
        <v>3.5000000000000003E-2</v>
      </c>
      <c r="K568" s="2083"/>
      <c r="L568" s="2106"/>
      <c r="N568" s="2071">
        <f t="shared" si="123"/>
        <v>552</v>
      </c>
      <c r="O568" s="2130">
        <f>IF(D567=D568,O567+0.00001,ROUNDDOWN(MAX($O$16:$O567),0)+1)</f>
        <v>5.5199999999999434E-3</v>
      </c>
      <c r="P568" s="2131">
        <f t="shared" si="115"/>
        <v>0</v>
      </c>
      <c r="Q568" s="2131">
        <f t="shared" si="116"/>
        <v>0</v>
      </c>
      <c r="R568" s="2131">
        <f t="shared" si="117"/>
        <v>0</v>
      </c>
      <c r="S568" s="2130">
        <f>IF(J567=J568,S567+0.00001,ROUNDDOWN(MAX($S$16:$S567),0)+1)</f>
        <v>2.0043200000000283</v>
      </c>
      <c r="T568" s="2131">
        <f t="shared" si="118"/>
        <v>0</v>
      </c>
      <c r="U568" s="2131">
        <f t="shared" si="119"/>
        <v>0</v>
      </c>
      <c r="V568" s="2071">
        <f t="shared" si="124"/>
        <v>552</v>
      </c>
    </row>
    <row r="569" spans="1:22" hidden="1">
      <c r="A569" s="2124">
        <f t="shared" si="125"/>
        <v>1</v>
      </c>
      <c r="B569" s="2073">
        <v>553</v>
      </c>
      <c r="C569" s="2104">
        <f t="shared" si="126"/>
        <v>0</v>
      </c>
      <c r="D569" s="2125">
        <f t="shared" si="114"/>
        <v>0.03</v>
      </c>
      <c r="E569" s="2104">
        <f t="shared" si="120"/>
        <v>0</v>
      </c>
      <c r="F569" s="2135"/>
      <c r="G569" s="2127">
        <f t="shared" si="127"/>
        <v>3</v>
      </c>
      <c r="H569" s="2075">
        <v>553</v>
      </c>
      <c r="I569" s="2104">
        <f t="shared" si="121"/>
        <v>0</v>
      </c>
      <c r="J569" s="2125">
        <f t="shared" si="122"/>
        <v>3.5000000000000003E-2</v>
      </c>
      <c r="K569" s="2083"/>
      <c r="L569" s="2106"/>
      <c r="N569" s="2071">
        <f t="shared" si="123"/>
        <v>553</v>
      </c>
      <c r="O569" s="2130">
        <f>IF(D568=D569,O568+0.00001,ROUNDDOWN(MAX($O$16:$O568),0)+1)</f>
        <v>5.5299999999999429E-3</v>
      </c>
      <c r="P569" s="2131">
        <f t="shared" si="115"/>
        <v>0</v>
      </c>
      <c r="Q569" s="2131">
        <f t="shared" si="116"/>
        <v>0</v>
      </c>
      <c r="R569" s="2131">
        <f t="shared" si="117"/>
        <v>0</v>
      </c>
      <c r="S569" s="2130">
        <f>IF(J568=J569,S568+0.00001,ROUNDDOWN(MAX($S$16:$S568),0)+1)</f>
        <v>2.0043300000000284</v>
      </c>
      <c r="T569" s="2131">
        <f t="shared" si="118"/>
        <v>0</v>
      </c>
      <c r="U569" s="2131">
        <f t="shared" si="119"/>
        <v>0</v>
      </c>
      <c r="V569" s="2071">
        <f t="shared" si="124"/>
        <v>553</v>
      </c>
    </row>
    <row r="570" spans="1:22" hidden="1">
      <c r="A570" s="2124">
        <f t="shared" si="125"/>
        <v>1</v>
      </c>
      <c r="B570" s="2073">
        <v>554</v>
      </c>
      <c r="C570" s="2104">
        <f t="shared" si="126"/>
        <v>0</v>
      </c>
      <c r="D570" s="2125">
        <f t="shared" si="114"/>
        <v>0.03</v>
      </c>
      <c r="E570" s="2104">
        <f t="shared" si="120"/>
        <v>0</v>
      </c>
      <c r="F570" s="2135"/>
      <c r="G570" s="2127">
        <f t="shared" si="127"/>
        <v>3</v>
      </c>
      <c r="H570" s="2075">
        <v>554</v>
      </c>
      <c r="I570" s="2104">
        <f t="shared" si="121"/>
        <v>0</v>
      </c>
      <c r="J570" s="2125">
        <f t="shared" si="122"/>
        <v>3.5000000000000003E-2</v>
      </c>
      <c r="K570" s="2083"/>
      <c r="L570" s="2106"/>
      <c r="N570" s="2071">
        <f t="shared" si="123"/>
        <v>554</v>
      </c>
      <c r="O570" s="2130">
        <f>IF(D569=D570,O569+0.00001,ROUNDDOWN(MAX($O$16:$O569),0)+1)</f>
        <v>5.5399999999999425E-3</v>
      </c>
      <c r="P570" s="2131">
        <f t="shared" si="115"/>
        <v>0</v>
      </c>
      <c r="Q570" s="2131">
        <f t="shared" si="116"/>
        <v>0</v>
      </c>
      <c r="R570" s="2131">
        <f t="shared" si="117"/>
        <v>0</v>
      </c>
      <c r="S570" s="2130">
        <f>IF(J569=J570,S569+0.00001,ROUNDDOWN(MAX($S$16:$S569),0)+1)</f>
        <v>2.0043400000000284</v>
      </c>
      <c r="T570" s="2131">
        <f t="shared" si="118"/>
        <v>0</v>
      </c>
      <c r="U570" s="2131">
        <f t="shared" si="119"/>
        <v>0</v>
      </c>
      <c r="V570" s="2071">
        <f t="shared" si="124"/>
        <v>554</v>
      </c>
    </row>
    <row r="571" spans="1:22" hidden="1">
      <c r="A571" s="2124">
        <f t="shared" si="125"/>
        <v>1</v>
      </c>
      <c r="B571" s="2073">
        <v>555</v>
      </c>
      <c r="C571" s="2104">
        <f t="shared" si="126"/>
        <v>0</v>
      </c>
      <c r="D571" s="2125">
        <f t="shared" si="114"/>
        <v>0.03</v>
      </c>
      <c r="E571" s="2104">
        <f t="shared" si="120"/>
        <v>0</v>
      </c>
      <c r="F571" s="2135"/>
      <c r="G571" s="2127">
        <f t="shared" si="127"/>
        <v>3</v>
      </c>
      <c r="H571" s="2075">
        <v>555</v>
      </c>
      <c r="I571" s="2104">
        <f t="shared" si="121"/>
        <v>0</v>
      </c>
      <c r="J571" s="2125">
        <f t="shared" si="122"/>
        <v>3.5000000000000003E-2</v>
      </c>
      <c r="K571" s="2083"/>
      <c r="L571" s="2106"/>
      <c r="N571" s="2071">
        <f t="shared" si="123"/>
        <v>555</v>
      </c>
      <c r="O571" s="2130">
        <f>IF(D570=D571,O570+0.00001,ROUNDDOWN(MAX($O$16:$O570),0)+1)</f>
        <v>5.5499999999999421E-3</v>
      </c>
      <c r="P571" s="2131">
        <f t="shared" si="115"/>
        <v>0</v>
      </c>
      <c r="Q571" s="2131">
        <f t="shared" si="116"/>
        <v>0</v>
      </c>
      <c r="R571" s="2131">
        <f t="shared" si="117"/>
        <v>0</v>
      </c>
      <c r="S571" s="2130">
        <f>IF(J570=J571,S570+0.00001,ROUNDDOWN(MAX($S$16:$S570),0)+1)</f>
        <v>2.0043500000000285</v>
      </c>
      <c r="T571" s="2131">
        <f t="shared" si="118"/>
        <v>0</v>
      </c>
      <c r="U571" s="2131">
        <f t="shared" si="119"/>
        <v>0</v>
      </c>
      <c r="V571" s="2071">
        <f t="shared" si="124"/>
        <v>555</v>
      </c>
    </row>
    <row r="572" spans="1:22" hidden="1">
      <c r="A572" s="2124">
        <f t="shared" si="125"/>
        <v>1</v>
      </c>
      <c r="B572" s="2073">
        <v>556</v>
      </c>
      <c r="C572" s="2104">
        <f t="shared" si="126"/>
        <v>0</v>
      </c>
      <c r="D572" s="2125">
        <f t="shared" si="114"/>
        <v>0.03</v>
      </c>
      <c r="E572" s="2104">
        <f t="shared" si="120"/>
        <v>0</v>
      </c>
      <c r="F572" s="2135"/>
      <c r="G572" s="2127">
        <f t="shared" si="127"/>
        <v>3</v>
      </c>
      <c r="H572" s="2075">
        <v>556</v>
      </c>
      <c r="I572" s="2104">
        <f t="shared" si="121"/>
        <v>0</v>
      </c>
      <c r="J572" s="2125">
        <f t="shared" si="122"/>
        <v>3.5000000000000003E-2</v>
      </c>
      <c r="K572" s="2083"/>
      <c r="L572" s="2106"/>
      <c r="N572" s="2071">
        <f t="shared" si="123"/>
        <v>556</v>
      </c>
      <c r="O572" s="2130">
        <f>IF(D571=D572,O571+0.00001,ROUNDDOWN(MAX($O$16:$O571),0)+1)</f>
        <v>5.5599999999999417E-3</v>
      </c>
      <c r="P572" s="2131">
        <f t="shared" si="115"/>
        <v>0</v>
      </c>
      <c r="Q572" s="2131">
        <f t="shared" si="116"/>
        <v>0</v>
      </c>
      <c r="R572" s="2131">
        <f t="shared" si="117"/>
        <v>0</v>
      </c>
      <c r="S572" s="2130">
        <f>IF(J571=J572,S571+0.00001,ROUNDDOWN(MAX($S$16:$S571),0)+1)</f>
        <v>2.0043600000000286</v>
      </c>
      <c r="T572" s="2131">
        <f t="shared" si="118"/>
        <v>0</v>
      </c>
      <c r="U572" s="2131">
        <f t="shared" si="119"/>
        <v>0</v>
      </c>
      <c r="V572" s="2071">
        <f t="shared" si="124"/>
        <v>556</v>
      </c>
    </row>
    <row r="573" spans="1:22" hidden="1">
      <c r="A573" s="2124">
        <f t="shared" si="125"/>
        <v>1</v>
      </c>
      <c r="B573" s="2073">
        <v>557</v>
      </c>
      <c r="C573" s="2104">
        <f t="shared" si="126"/>
        <v>0</v>
      </c>
      <c r="D573" s="2125">
        <f t="shared" si="114"/>
        <v>0.03</v>
      </c>
      <c r="E573" s="2104">
        <f t="shared" si="120"/>
        <v>0</v>
      </c>
      <c r="F573" s="2135"/>
      <c r="G573" s="2127">
        <f t="shared" si="127"/>
        <v>3</v>
      </c>
      <c r="H573" s="2075">
        <v>557</v>
      </c>
      <c r="I573" s="2104">
        <f t="shared" si="121"/>
        <v>0</v>
      </c>
      <c r="J573" s="2125">
        <f t="shared" si="122"/>
        <v>3.5000000000000003E-2</v>
      </c>
      <c r="K573" s="2083"/>
      <c r="L573" s="2106"/>
      <c r="N573" s="2071">
        <f t="shared" si="123"/>
        <v>557</v>
      </c>
      <c r="O573" s="2130">
        <f>IF(D572=D573,O572+0.00001,ROUNDDOWN(MAX($O$16:$O572),0)+1)</f>
        <v>5.5699999999999413E-3</v>
      </c>
      <c r="P573" s="2131">
        <f t="shared" si="115"/>
        <v>0</v>
      </c>
      <c r="Q573" s="2131">
        <f t="shared" si="116"/>
        <v>0</v>
      </c>
      <c r="R573" s="2131">
        <f t="shared" si="117"/>
        <v>0</v>
      </c>
      <c r="S573" s="2130">
        <f>IF(J572=J573,S572+0.00001,ROUNDDOWN(MAX($S$16:$S572),0)+1)</f>
        <v>2.0043700000000286</v>
      </c>
      <c r="T573" s="2131">
        <f t="shared" si="118"/>
        <v>0</v>
      </c>
      <c r="U573" s="2131">
        <f t="shared" si="119"/>
        <v>0</v>
      </c>
      <c r="V573" s="2071">
        <f t="shared" si="124"/>
        <v>557</v>
      </c>
    </row>
    <row r="574" spans="1:22" hidden="1">
      <c r="A574" s="2124">
        <f t="shared" si="125"/>
        <v>1</v>
      </c>
      <c r="B574" s="2073">
        <v>558</v>
      </c>
      <c r="C574" s="2104">
        <f t="shared" si="126"/>
        <v>0</v>
      </c>
      <c r="D574" s="2125">
        <f t="shared" si="114"/>
        <v>0.03</v>
      </c>
      <c r="E574" s="2104">
        <f t="shared" si="120"/>
        <v>0</v>
      </c>
      <c r="F574" s="2135"/>
      <c r="G574" s="2127">
        <f t="shared" si="127"/>
        <v>3</v>
      </c>
      <c r="H574" s="2075">
        <v>558</v>
      </c>
      <c r="I574" s="2104">
        <f t="shared" si="121"/>
        <v>0</v>
      </c>
      <c r="J574" s="2125">
        <f t="shared" si="122"/>
        <v>3.5000000000000003E-2</v>
      </c>
      <c r="K574" s="2083"/>
      <c r="L574" s="2106"/>
      <c r="N574" s="2071">
        <f t="shared" si="123"/>
        <v>558</v>
      </c>
      <c r="O574" s="2130">
        <f>IF(D573=D574,O573+0.00001,ROUNDDOWN(MAX($O$16:$O573),0)+1)</f>
        <v>5.5799999999999409E-3</v>
      </c>
      <c r="P574" s="2131">
        <f t="shared" si="115"/>
        <v>0</v>
      </c>
      <c r="Q574" s="2131">
        <f t="shared" si="116"/>
        <v>0</v>
      </c>
      <c r="R574" s="2131">
        <f t="shared" si="117"/>
        <v>0</v>
      </c>
      <c r="S574" s="2130">
        <f>IF(J573=J574,S573+0.00001,ROUNDDOWN(MAX($S$16:$S573),0)+1)</f>
        <v>2.0043800000000287</v>
      </c>
      <c r="T574" s="2131">
        <f t="shared" si="118"/>
        <v>0</v>
      </c>
      <c r="U574" s="2131">
        <f t="shared" si="119"/>
        <v>0</v>
      </c>
      <c r="V574" s="2071">
        <f t="shared" si="124"/>
        <v>558</v>
      </c>
    </row>
    <row r="575" spans="1:22" hidden="1">
      <c r="A575" s="2124">
        <f t="shared" si="125"/>
        <v>1</v>
      </c>
      <c r="B575" s="2073">
        <v>559</v>
      </c>
      <c r="C575" s="2104">
        <f t="shared" si="126"/>
        <v>0</v>
      </c>
      <c r="D575" s="2125">
        <f t="shared" si="114"/>
        <v>0.03</v>
      </c>
      <c r="E575" s="2104">
        <f t="shared" si="120"/>
        <v>0</v>
      </c>
      <c r="F575" s="2135"/>
      <c r="G575" s="2127">
        <f t="shared" si="127"/>
        <v>3</v>
      </c>
      <c r="H575" s="2075">
        <v>559</v>
      </c>
      <c r="I575" s="2104">
        <f t="shared" si="121"/>
        <v>0</v>
      </c>
      <c r="J575" s="2125">
        <f t="shared" si="122"/>
        <v>3.5000000000000003E-2</v>
      </c>
      <c r="K575" s="2083"/>
      <c r="L575" s="2106"/>
      <c r="N575" s="2071">
        <f t="shared" si="123"/>
        <v>559</v>
      </c>
      <c r="O575" s="2130">
        <f>IF(D574=D575,O574+0.00001,ROUNDDOWN(MAX($O$16:$O574),0)+1)</f>
        <v>5.5899999999999405E-3</v>
      </c>
      <c r="P575" s="2131">
        <f t="shared" si="115"/>
        <v>0</v>
      </c>
      <c r="Q575" s="2131">
        <f t="shared" si="116"/>
        <v>0</v>
      </c>
      <c r="R575" s="2131">
        <f t="shared" si="117"/>
        <v>0</v>
      </c>
      <c r="S575" s="2130">
        <f>IF(J574=J575,S574+0.00001,ROUNDDOWN(MAX($S$16:$S574),0)+1)</f>
        <v>2.0043900000000288</v>
      </c>
      <c r="T575" s="2131">
        <f t="shared" si="118"/>
        <v>0</v>
      </c>
      <c r="U575" s="2131">
        <f t="shared" si="119"/>
        <v>0</v>
      </c>
      <c r="V575" s="2071">
        <f t="shared" si="124"/>
        <v>559</v>
      </c>
    </row>
    <row r="576" spans="1:22" hidden="1">
      <c r="A576" s="2124">
        <f t="shared" si="125"/>
        <v>1</v>
      </c>
      <c r="B576" s="2073">
        <v>560</v>
      </c>
      <c r="C576" s="2104">
        <f t="shared" si="126"/>
        <v>0</v>
      </c>
      <c r="D576" s="2125">
        <f t="shared" si="114"/>
        <v>0.03</v>
      </c>
      <c r="E576" s="2104">
        <f t="shared" si="120"/>
        <v>0</v>
      </c>
      <c r="F576" s="2135"/>
      <c r="G576" s="2127">
        <f t="shared" si="127"/>
        <v>3</v>
      </c>
      <c r="H576" s="2075">
        <v>560</v>
      </c>
      <c r="I576" s="2104">
        <f t="shared" si="121"/>
        <v>0</v>
      </c>
      <c r="J576" s="2125">
        <f t="shared" si="122"/>
        <v>3.5000000000000003E-2</v>
      </c>
      <c r="K576" s="2083"/>
      <c r="L576" s="2106"/>
      <c r="N576" s="2071">
        <f t="shared" si="123"/>
        <v>560</v>
      </c>
      <c r="O576" s="2130">
        <f>IF(D575=D576,O575+0.00001,ROUNDDOWN(MAX($O$16:$O575),0)+1)</f>
        <v>5.5999999999999401E-3</v>
      </c>
      <c r="P576" s="2131">
        <f t="shared" si="115"/>
        <v>0</v>
      </c>
      <c r="Q576" s="2131">
        <f t="shared" si="116"/>
        <v>0</v>
      </c>
      <c r="R576" s="2131">
        <f t="shared" si="117"/>
        <v>0</v>
      </c>
      <c r="S576" s="2130">
        <f>IF(J575=J576,S575+0.00001,ROUNDDOWN(MAX($S$16:$S575),0)+1)</f>
        <v>2.0044000000000288</v>
      </c>
      <c r="T576" s="2131">
        <f t="shared" si="118"/>
        <v>0</v>
      </c>
      <c r="U576" s="2131">
        <f t="shared" si="119"/>
        <v>0</v>
      </c>
      <c r="V576" s="2071">
        <f t="shared" si="124"/>
        <v>560</v>
      </c>
    </row>
    <row r="577" spans="1:22" hidden="1">
      <c r="A577" s="2124">
        <f t="shared" si="125"/>
        <v>1</v>
      </c>
      <c r="B577" s="2073">
        <v>561</v>
      </c>
      <c r="C577" s="2104">
        <f t="shared" si="126"/>
        <v>0</v>
      </c>
      <c r="D577" s="2125">
        <f t="shared" si="114"/>
        <v>0.03</v>
      </c>
      <c r="E577" s="2104">
        <f t="shared" si="120"/>
        <v>0</v>
      </c>
      <c r="F577" s="2135"/>
      <c r="G577" s="2127">
        <f t="shared" si="127"/>
        <v>3</v>
      </c>
      <c r="H577" s="2075">
        <v>561</v>
      </c>
      <c r="I577" s="2104">
        <f t="shared" si="121"/>
        <v>0</v>
      </c>
      <c r="J577" s="2125">
        <f t="shared" si="122"/>
        <v>3.5000000000000003E-2</v>
      </c>
      <c r="K577" s="2083"/>
      <c r="L577" s="2106"/>
      <c r="N577" s="2071">
        <f t="shared" si="123"/>
        <v>561</v>
      </c>
      <c r="O577" s="2130">
        <f>IF(D576=D577,O576+0.00001,ROUNDDOWN(MAX($O$16:$O576),0)+1)</f>
        <v>5.6099999999999397E-3</v>
      </c>
      <c r="P577" s="2131">
        <f t="shared" si="115"/>
        <v>0</v>
      </c>
      <c r="Q577" s="2131">
        <f t="shared" si="116"/>
        <v>0</v>
      </c>
      <c r="R577" s="2131">
        <f t="shared" si="117"/>
        <v>0</v>
      </c>
      <c r="S577" s="2130">
        <f>IF(J576=J577,S576+0.00001,ROUNDDOWN(MAX($S$16:$S576),0)+1)</f>
        <v>2.0044100000000289</v>
      </c>
      <c r="T577" s="2131">
        <f t="shared" si="118"/>
        <v>0</v>
      </c>
      <c r="U577" s="2131">
        <f t="shared" si="119"/>
        <v>0</v>
      </c>
      <c r="V577" s="2071">
        <f t="shared" si="124"/>
        <v>561</v>
      </c>
    </row>
    <row r="578" spans="1:22" hidden="1">
      <c r="A578" s="2124">
        <f t="shared" si="125"/>
        <v>1</v>
      </c>
      <c r="B578" s="2073">
        <v>562</v>
      </c>
      <c r="C578" s="2104">
        <f t="shared" si="126"/>
        <v>0</v>
      </c>
      <c r="D578" s="2125">
        <f t="shared" si="114"/>
        <v>0.03</v>
      </c>
      <c r="E578" s="2104">
        <f t="shared" si="120"/>
        <v>0</v>
      </c>
      <c r="F578" s="2135"/>
      <c r="G578" s="2127">
        <f t="shared" si="127"/>
        <v>3</v>
      </c>
      <c r="H578" s="2075">
        <v>562</v>
      </c>
      <c r="I578" s="2104">
        <f t="shared" si="121"/>
        <v>0</v>
      </c>
      <c r="J578" s="2125">
        <f t="shared" si="122"/>
        <v>3.5000000000000003E-2</v>
      </c>
      <c r="K578" s="2083"/>
      <c r="L578" s="2106"/>
      <c r="N578" s="2071">
        <f t="shared" si="123"/>
        <v>562</v>
      </c>
      <c r="O578" s="2130">
        <f>IF(D577=D578,O577+0.00001,ROUNDDOWN(MAX($O$16:$O577),0)+1)</f>
        <v>5.6199999999999393E-3</v>
      </c>
      <c r="P578" s="2131">
        <f t="shared" si="115"/>
        <v>0</v>
      </c>
      <c r="Q578" s="2131">
        <f t="shared" si="116"/>
        <v>0</v>
      </c>
      <c r="R578" s="2131">
        <f t="shared" si="117"/>
        <v>0</v>
      </c>
      <c r="S578" s="2130">
        <f>IF(J577=J578,S577+0.00001,ROUNDDOWN(MAX($S$16:$S577),0)+1)</f>
        <v>2.004420000000029</v>
      </c>
      <c r="T578" s="2131">
        <f t="shared" si="118"/>
        <v>0</v>
      </c>
      <c r="U578" s="2131">
        <f t="shared" si="119"/>
        <v>0</v>
      </c>
      <c r="V578" s="2071">
        <f t="shared" si="124"/>
        <v>562</v>
      </c>
    </row>
    <row r="579" spans="1:22" hidden="1">
      <c r="A579" s="2124">
        <f t="shared" si="125"/>
        <v>1</v>
      </c>
      <c r="B579" s="2073">
        <v>563</v>
      </c>
      <c r="C579" s="2104">
        <f t="shared" si="126"/>
        <v>0</v>
      </c>
      <c r="D579" s="2125">
        <f t="shared" si="114"/>
        <v>0.03</v>
      </c>
      <c r="E579" s="2104">
        <f t="shared" si="120"/>
        <v>0</v>
      </c>
      <c r="F579" s="2135"/>
      <c r="G579" s="2127">
        <f t="shared" si="127"/>
        <v>3</v>
      </c>
      <c r="H579" s="2075">
        <v>563</v>
      </c>
      <c r="I579" s="2104">
        <f t="shared" si="121"/>
        <v>0</v>
      </c>
      <c r="J579" s="2125">
        <f t="shared" si="122"/>
        <v>3.5000000000000003E-2</v>
      </c>
      <c r="K579" s="2083"/>
      <c r="L579" s="2106"/>
      <c r="N579" s="2071">
        <f t="shared" si="123"/>
        <v>563</v>
      </c>
      <c r="O579" s="2130">
        <f>IF(D578=D579,O578+0.00001,ROUNDDOWN(MAX($O$16:$O578),0)+1)</f>
        <v>5.6299999999999389E-3</v>
      </c>
      <c r="P579" s="2131">
        <f t="shared" si="115"/>
        <v>0</v>
      </c>
      <c r="Q579" s="2131">
        <f t="shared" si="116"/>
        <v>0</v>
      </c>
      <c r="R579" s="2131">
        <f t="shared" si="117"/>
        <v>0</v>
      </c>
      <c r="S579" s="2130">
        <f>IF(J578=J579,S578+0.00001,ROUNDDOWN(MAX($S$16:$S578),0)+1)</f>
        <v>2.004430000000029</v>
      </c>
      <c r="T579" s="2131">
        <f t="shared" si="118"/>
        <v>0</v>
      </c>
      <c r="U579" s="2131">
        <f t="shared" si="119"/>
        <v>0</v>
      </c>
      <c r="V579" s="2071">
        <f t="shared" si="124"/>
        <v>563</v>
      </c>
    </row>
    <row r="580" spans="1:22" hidden="1">
      <c r="A580" s="2124">
        <f t="shared" si="125"/>
        <v>1</v>
      </c>
      <c r="B580" s="2073">
        <v>564</v>
      </c>
      <c r="C580" s="2104">
        <f t="shared" si="126"/>
        <v>0</v>
      </c>
      <c r="D580" s="2125">
        <f t="shared" si="114"/>
        <v>0.03</v>
      </c>
      <c r="E580" s="2104">
        <f t="shared" si="120"/>
        <v>0</v>
      </c>
      <c r="F580" s="2135"/>
      <c r="G580" s="2127">
        <f t="shared" si="127"/>
        <v>3</v>
      </c>
      <c r="H580" s="2075">
        <v>564</v>
      </c>
      <c r="I580" s="2104">
        <f t="shared" si="121"/>
        <v>0</v>
      </c>
      <c r="J580" s="2125">
        <f t="shared" si="122"/>
        <v>3.5000000000000003E-2</v>
      </c>
      <c r="K580" s="2083"/>
      <c r="L580" s="2106"/>
      <c r="N580" s="2071">
        <f t="shared" si="123"/>
        <v>564</v>
      </c>
      <c r="O580" s="2130">
        <f>IF(D579=D580,O579+0.00001,ROUNDDOWN(MAX($O$16:$O579),0)+1)</f>
        <v>5.6399999999999385E-3</v>
      </c>
      <c r="P580" s="2131">
        <f t="shared" si="115"/>
        <v>0</v>
      </c>
      <c r="Q580" s="2131">
        <f t="shared" si="116"/>
        <v>0</v>
      </c>
      <c r="R580" s="2131">
        <f t="shared" si="117"/>
        <v>0</v>
      </c>
      <c r="S580" s="2130">
        <f>IF(J579=J580,S579+0.00001,ROUNDDOWN(MAX($S$16:$S579),0)+1)</f>
        <v>2.0044400000000291</v>
      </c>
      <c r="T580" s="2131">
        <f t="shared" si="118"/>
        <v>0</v>
      </c>
      <c r="U580" s="2131">
        <f t="shared" si="119"/>
        <v>0</v>
      </c>
      <c r="V580" s="2071">
        <f t="shared" si="124"/>
        <v>564</v>
      </c>
    </row>
    <row r="581" spans="1:22" hidden="1">
      <c r="A581" s="2124">
        <f t="shared" si="125"/>
        <v>1</v>
      </c>
      <c r="B581" s="2073">
        <v>565</v>
      </c>
      <c r="C581" s="2104">
        <f t="shared" si="126"/>
        <v>0</v>
      </c>
      <c r="D581" s="2125">
        <f t="shared" si="114"/>
        <v>0.03</v>
      </c>
      <c r="E581" s="2104">
        <f t="shared" si="120"/>
        <v>0</v>
      </c>
      <c r="F581" s="2135"/>
      <c r="G581" s="2127">
        <f t="shared" si="127"/>
        <v>3</v>
      </c>
      <c r="H581" s="2075">
        <v>565</v>
      </c>
      <c r="I581" s="2104">
        <f t="shared" si="121"/>
        <v>0</v>
      </c>
      <c r="J581" s="2125">
        <f t="shared" si="122"/>
        <v>3.5000000000000003E-2</v>
      </c>
      <c r="K581" s="2083"/>
      <c r="L581" s="2106"/>
      <c r="N581" s="2071">
        <f t="shared" si="123"/>
        <v>565</v>
      </c>
      <c r="O581" s="2130">
        <f>IF(D580=D581,O580+0.00001,ROUNDDOWN(MAX($O$16:$O580),0)+1)</f>
        <v>5.6499999999999381E-3</v>
      </c>
      <c r="P581" s="2131">
        <f t="shared" si="115"/>
        <v>0</v>
      </c>
      <c r="Q581" s="2131">
        <f t="shared" si="116"/>
        <v>0</v>
      </c>
      <c r="R581" s="2131">
        <f t="shared" si="117"/>
        <v>0</v>
      </c>
      <c r="S581" s="2130">
        <f>IF(J580=J581,S580+0.00001,ROUNDDOWN(MAX($S$16:$S580),0)+1)</f>
        <v>2.0044500000000292</v>
      </c>
      <c r="T581" s="2131">
        <f t="shared" si="118"/>
        <v>0</v>
      </c>
      <c r="U581" s="2131">
        <f t="shared" si="119"/>
        <v>0</v>
      </c>
      <c r="V581" s="2071">
        <f t="shared" si="124"/>
        <v>565</v>
      </c>
    </row>
    <row r="582" spans="1:22" hidden="1">
      <c r="A582" s="2124">
        <f t="shared" si="125"/>
        <v>1</v>
      </c>
      <c r="B582" s="2073">
        <v>566</v>
      </c>
      <c r="C582" s="2104">
        <f t="shared" si="126"/>
        <v>0</v>
      </c>
      <c r="D582" s="2125">
        <f t="shared" si="114"/>
        <v>0.03</v>
      </c>
      <c r="E582" s="2104">
        <f t="shared" si="120"/>
        <v>0</v>
      </c>
      <c r="F582" s="2135"/>
      <c r="G582" s="2127">
        <f t="shared" si="127"/>
        <v>3</v>
      </c>
      <c r="H582" s="2075">
        <v>566</v>
      </c>
      <c r="I582" s="2104">
        <f t="shared" si="121"/>
        <v>0</v>
      </c>
      <c r="J582" s="2125">
        <f t="shared" si="122"/>
        <v>3.5000000000000003E-2</v>
      </c>
      <c r="K582" s="2083"/>
      <c r="L582" s="2106"/>
      <c r="N582" s="2071">
        <f t="shared" si="123"/>
        <v>566</v>
      </c>
      <c r="O582" s="2130">
        <f>IF(D581=D582,O581+0.00001,ROUNDDOWN(MAX($O$16:$O581),0)+1)</f>
        <v>5.6599999999999377E-3</v>
      </c>
      <c r="P582" s="2131">
        <f t="shared" si="115"/>
        <v>0</v>
      </c>
      <c r="Q582" s="2131">
        <f t="shared" si="116"/>
        <v>0</v>
      </c>
      <c r="R582" s="2131">
        <f t="shared" si="117"/>
        <v>0</v>
      </c>
      <c r="S582" s="2130">
        <f>IF(J581=J582,S581+0.00001,ROUNDDOWN(MAX($S$16:$S581),0)+1)</f>
        <v>2.0044600000000292</v>
      </c>
      <c r="T582" s="2131">
        <f t="shared" si="118"/>
        <v>0</v>
      </c>
      <c r="U582" s="2131">
        <f t="shared" si="119"/>
        <v>0</v>
      </c>
      <c r="V582" s="2071">
        <f t="shared" si="124"/>
        <v>566</v>
      </c>
    </row>
    <row r="583" spans="1:22" hidden="1">
      <c r="A583" s="2124">
        <f t="shared" si="125"/>
        <v>1</v>
      </c>
      <c r="B583" s="2073">
        <v>567</v>
      </c>
      <c r="C583" s="2104">
        <f t="shared" si="126"/>
        <v>0</v>
      </c>
      <c r="D583" s="2125">
        <f t="shared" si="114"/>
        <v>0.03</v>
      </c>
      <c r="E583" s="2104">
        <f t="shared" si="120"/>
        <v>0</v>
      </c>
      <c r="F583" s="2135"/>
      <c r="G583" s="2127">
        <f t="shared" si="127"/>
        <v>3</v>
      </c>
      <c r="H583" s="2075">
        <v>567</v>
      </c>
      <c r="I583" s="2104">
        <f t="shared" si="121"/>
        <v>0</v>
      </c>
      <c r="J583" s="2125">
        <f t="shared" si="122"/>
        <v>3.5000000000000003E-2</v>
      </c>
      <c r="K583" s="2083"/>
      <c r="L583" s="2106"/>
      <c r="N583" s="2071">
        <f t="shared" si="123"/>
        <v>567</v>
      </c>
      <c r="O583" s="2130">
        <f>IF(D582=D583,O582+0.00001,ROUNDDOWN(MAX($O$16:$O582),0)+1)</f>
        <v>5.6699999999999372E-3</v>
      </c>
      <c r="P583" s="2131">
        <f t="shared" si="115"/>
        <v>0</v>
      </c>
      <c r="Q583" s="2131">
        <f t="shared" si="116"/>
        <v>0</v>
      </c>
      <c r="R583" s="2131">
        <f t="shared" si="117"/>
        <v>0</v>
      </c>
      <c r="S583" s="2130">
        <f>IF(J582=J583,S582+0.00001,ROUNDDOWN(MAX($S$16:$S582),0)+1)</f>
        <v>2.0044700000000293</v>
      </c>
      <c r="T583" s="2131">
        <f t="shared" si="118"/>
        <v>0</v>
      </c>
      <c r="U583" s="2131">
        <f t="shared" si="119"/>
        <v>0</v>
      </c>
      <c r="V583" s="2071">
        <f t="shared" si="124"/>
        <v>567</v>
      </c>
    </row>
    <row r="584" spans="1:22" hidden="1">
      <c r="A584" s="2124">
        <f t="shared" si="125"/>
        <v>1</v>
      </c>
      <c r="B584" s="2073">
        <v>568</v>
      </c>
      <c r="C584" s="2104">
        <f t="shared" si="126"/>
        <v>0</v>
      </c>
      <c r="D584" s="2125">
        <f t="shared" si="114"/>
        <v>0.03</v>
      </c>
      <c r="E584" s="2104">
        <f t="shared" si="120"/>
        <v>0</v>
      </c>
      <c r="F584" s="2135"/>
      <c r="G584" s="2127">
        <f t="shared" si="127"/>
        <v>3</v>
      </c>
      <c r="H584" s="2075">
        <v>568</v>
      </c>
      <c r="I584" s="2104">
        <f t="shared" si="121"/>
        <v>0</v>
      </c>
      <c r="J584" s="2125">
        <f t="shared" si="122"/>
        <v>3.5000000000000003E-2</v>
      </c>
      <c r="K584" s="2083"/>
      <c r="L584" s="2106"/>
      <c r="N584" s="2071">
        <f t="shared" si="123"/>
        <v>568</v>
      </c>
      <c r="O584" s="2130">
        <f>IF(D583=D584,O583+0.00001,ROUNDDOWN(MAX($O$16:$O583),0)+1)</f>
        <v>5.6799999999999368E-3</v>
      </c>
      <c r="P584" s="2131">
        <f t="shared" si="115"/>
        <v>0</v>
      </c>
      <c r="Q584" s="2131">
        <f t="shared" si="116"/>
        <v>0</v>
      </c>
      <c r="R584" s="2131">
        <f t="shared" si="117"/>
        <v>0</v>
      </c>
      <c r="S584" s="2130">
        <f>IF(J583=J584,S583+0.00001,ROUNDDOWN(MAX($S$16:$S583),0)+1)</f>
        <v>2.0044800000000293</v>
      </c>
      <c r="T584" s="2131">
        <f t="shared" si="118"/>
        <v>0</v>
      </c>
      <c r="U584" s="2131">
        <f t="shared" si="119"/>
        <v>0</v>
      </c>
      <c r="V584" s="2071">
        <f t="shared" si="124"/>
        <v>568</v>
      </c>
    </row>
    <row r="585" spans="1:22" hidden="1">
      <c r="A585" s="2124">
        <f t="shared" si="125"/>
        <v>1</v>
      </c>
      <c r="B585" s="2073">
        <v>569</v>
      </c>
      <c r="C585" s="2104">
        <f t="shared" si="126"/>
        <v>0</v>
      </c>
      <c r="D585" s="2125">
        <f t="shared" si="114"/>
        <v>0.03</v>
      </c>
      <c r="E585" s="2104">
        <f t="shared" si="120"/>
        <v>0</v>
      </c>
      <c r="F585" s="2135"/>
      <c r="G585" s="2127">
        <f t="shared" si="127"/>
        <v>3</v>
      </c>
      <c r="H585" s="2075">
        <v>569</v>
      </c>
      <c r="I585" s="2104">
        <f t="shared" si="121"/>
        <v>0</v>
      </c>
      <c r="J585" s="2125">
        <f t="shared" si="122"/>
        <v>3.5000000000000003E-2</v>
      </c>
      <c r="K585" s="2083"/>
      <c r="L585" s="2106"/>
      <c r="N585" s="2071">
        <f t="shared" si="123"/>
        <v>569</v>
      </c>
      <c r="O585" s="2130">
        <f>IF(D584=D585,O584+0.00001,ROUNDDOWN(MAX($O$16:$O584),0)+1)</f>
        <v>5.6899999999999364E-3</v>
      </c>
      <c r="P585" s="2131">
        <f t="shared" si="115"/>
        <v>0</v>
      </c>
      <c r="Q585" s="2131">
        <f t="shared" si="116"/>
        <v>0</v>
      </c>
      <c r="R585" s="2131">
        <f t="shared" si="117"/>
        <v>0</v>
      </c>
      <c r="S585" s="2130">
        <f>IF(J584=J585,S584+0.00001,ROUNDDOWN(MAX($S$16:$S584),0)+1)</f>
        <v>2.0044900000000294</v>
      </c>
      <c r="T585" s="2131">
        <f t="shared" si="118"/>
        <v>0</v>
      </c>
      <c r="U585" s="2131">
        <f t="shared" si="119"/>
        <v>0</v>
      </c>
      <c r="V585" s="2071">
        <f t="shared" si="124"/>
        <v>569</v>
      </c>
    </row>
    <row r="586" spans="1:22" hidden="1">
      <c r="A586" s="2124">
        <f t="shared" si="125"/>
        <v>1</v>
      </c>
      <c r="B586" s="2073">
        <v>570</v>
      </c>
      <c r="C586" s="2104">
        <f t="shared" si="126"/>
        <v>0</v>
      </c>
      <c r="D586" s="2125">
        <f t="shared" si="114"/>
        <v>0.03</v>
      </c>
      <c r="E586" s="2104">
        <f t="shared" si="120"/>
        <v>0</v>
      </c>
      <c r="F586" s="2135"/>
      <c r="G586" s="2127">
        <f t="shared" si="127"/>
        <v>3</v>
      </c>
      <c r="H586" s="2075">
        <v>570</v>
      </c>
      <c r="I586" s="2104">
        <f t="shared" si="121"/>
        <v>0</v>
      </c>
      <c r="J586" s="2125">
        <f t="shared" si="122"/>
        <v>3.5000000000000003E-2</v>
      </c>
      <c r="K586" s="2083"/>
      <c r="L586" s="2106"/>
      <c r="N586" s="2071">
        <f t="shared" si="123"/>
        <v>570</v>
      </c>
      <c r="O586" s="2130">
        <f>IF(D585=D586,O585+0.00001,ROUNDDOWN(MAX($O$16:$O585),0)+1)</f>
        <v>5.699999999999936E-3</v>
      </c>
      <c r="P586" s="2131">
        <f t="shared" si="115"/>
        <v>0</v>
      </c>
      <c r="Q586" s="2131">
        <f t="shared" si="116"/>
        <v>0</v>
      </c>
      <c r="R586" s="2131">
        <f t="shared" si="117"/>
        <v>0</v>
      </c>
      <c r="S586" s="2130">
        <f>IF(J585=J586,S585+0.00001,ROUNDDOWN(MAX($S$16:$S585),0)+1)</f>
        <v>2.0045000000000295</v>
      </c>
      <c r="T586" s="2131">
        <f t="shared" si="118"/>
        <v>0</v>
      </c>
      <c r="U586" s="2131">
        <f t="shared" si="119"/>
        <v>0</v>
      </c>
      <c r="V586" s="2071">
        <f t="shared" si="124"/>
        <v>570</v>
      </c>
    </row>
    <row r="587" spans="1:22" hidden="1">
      <c r="A587" s="2124">
        <f t="shared" si="125"/>
        <v>1</v>
      </c>
      <c r="B587" s="2073">
        <v>571</v>
      </c>
      <c r="C587" s="2104">
        <f t="shared" si="126"/>
        <v>0</v>
      </c>
      <c r="D587" s="2125">
        <f t="shared" si="114"/>
        <v>0.03</v>
      </c>
      <c r="E587" s="2104">
        <f t="shared" si="120"/>
        <v>0</v>
      </c>
      <c r="F587" s="2135"/>
      <c r="G587" s="2127">
        <f t="shared" si="127"/>
        <v>3</v>
      </c>
      <c r="H587" s="2075">
        <v>571</v>
      </c>
      <c r="I587" s="2104">
        <f t="shared" si="121"/>
        <v>0</v>
      </c>
      <c r="J587" s="2125">
        <f t="shared" si="122"/>
        <v>3.5000000000000003E-2</v>
      </c>
      <c r="K587" s="2083"/>
      <c r="L587" s="2106"/>
      <c r="N587" s="2071">
        <f t="shared" si="123"/>
        <v>571</v>
      </c>
      <c r="O587" s="2130">
        <f>IF(D586=D587,O586+0.00001,ROUNDDOWN(MAX($O$16:$O586),0)+1)</f>
        <v>5.7099999999999356E-3</v>
      </c>
      <c r="P587" s="2131">
        <f t="shared" si="115"/>
        <v>0</v>
      </c>
      <c r="Q587" s="2131">
        <f t="shared" si="116"/>
        <v>0</v>
      </c>
      <c r="R587" s="2131">
        <f t="shared" si="117"/>
        <v>0</v>
      </c>
      <c r="S587" s="2130">
        <f>IF(J586=J587,S586+0.00001,ROUNDDOWN(MAX($S$16:$S586),0)+1)</f>
        <v>2.0045100000000295</v>
      </c>
      <c r="T587" s="2131">
        <f t="shared" si="118"/>
        <v>0</v>
      </c>
      <c r="U587" s="2131">
        <f t="shared" si="119"/>
        <v>0</v>
      </c>
      <c r="V587" s="2071">
        <f t="shared" si="124"/>
        <v>571</v>
      </c>
    </row>
    <row r="588" spans="1:22" hidden="1">
      <c r="A588" s="2124">
        <f t="shared" si="125"/>
        <v>1</v>
      </c>
      <c r="B588" s="2073">
        <v>572</v>
      </c>
      <c r="C588" s="2104">
        <f t="shared" si="126"/>
        <v>0</v>
      </c>
      <c r="D588" s="2125">
        <f t="shared" si="114"/>
        <v>0.03</v>
      </c>
      <c r="E588" s="2104">
        <f t="shared" si="120"/>
        <v>0</v>
      </c>
      <c r="F588" s="2135"/>
      <c r="G588" s="2127">
        <f t="shared" si="127"/>
        <v>3</v>
      </c>
      <c r="H588" s="2075">
        <v>572</v>
      </c>
      <c r="I588" s="2104">
        <f t="shared" si="121"/>
        <v>0</v>
      </c>
      <c r="J588" s="2125">
        <f t="shared" si="122"/>
        <v>3.5000000000000003E-2</v>
      </c>
      <c r="K588" s="2083"/>
      <c r="L588" s="2106"/>
      <c r="N588" s="2071">
        <f t="shared" si="123"/>
        <v>572</v>
      </c>
      <c r="O588" s="2130">
        <f>IF(D587=D588,O587+0.00001,ROUNDDOWN(MAX($O$16:$O587),0)+1)</f>
        <v>5.7199999999999352E-3</v>
      </c>
      <c r="P588" s="2131">
        <f t="shared" si="115"/>
        <v>0</v>
      </c>
      <c r="Q588" s="2131">
        <f t="shared" si="116"/>
        <v>0</v>
      </c>
      <c r="R588" s="2131">
        <f t="shared" si="117"/>
        <v>0</v>
      </c>
      <c r="S588" s="2130">
        <f>IF(J587=J588,S587+0.00001,ROUNDDOWN(MAX($S$16:$S587),0)+1)</f>
        <v>2.0045200000000296</v>
      </c>
      <c r="T588" s="2131">
        <f t="shared" si="118"/>
        <v>0</v>
      </c>
      <c r="U588" s="2131">
        <f t="shared" si="119"/>
        <v>0</v>
      </c>
      <c r="V588" s="2071">
        <f t="shared" si="124"/>
        <v>572</v>
      </c>
    </row>
    <row r="589" spans="1:22" hidden="1">
      <c r="A589" s="2124">
        <f t="shared" si="125"/>
        <v>1</v>
      </c>
      <c r="B589" s="2073">
        <v>573</v>
      </c>
      <c r="C589" s="2104">
        <f t="shared" si="126"/>
        <v>0</v>
      </c>
      <c r="D589" s="2125">
        <f t="shared" si="114"/>
        <v>0.03</v>
      </c>
      <c r="E589" s="2104">
        <f t="shared" si="120"/>
        <v>0</v>
      </c>
      <c r="F589" s="2135"/>
      <c r="G589" s="2127">
        <f t="shared" si="127"/>
        <v>3</v>
      </c>
      <c r="H589" s="2075">
        <v>573</v>
      </c>
      <c r="I589" s="2104">
        <f t="shared" si="121"/>
        <v>0</v>
      </c>
      <c r="J589" s="2125">
        <f t="shared" si="122"/>
        <v>3.5000000000000003E-2</v>
      </c>
      <c r="K589" s="2083"/>
      <c r="L589" s="2106"/>
      <c r="N589" s="2071">
        <f t="shared" si="123"/>
        <v>573</v>
      </c>
      <c r="O589" s="2130">
        <f>IF(D588=D589,O588+0.00001,ROUNDDOWN(MAX($O$16:$O588),0)+1)</f>
        <v>5.7299999999999348E-3</v>
      </c>
      <c r="P589" s="2131">
        <f t="shared" si="115"/>
        <v>0</v>
      </c>
      <c r="Q589" s="2131">
        <f t="shared" si="116"/>
        <v>0</v>
      </c>
      <c r="R589" s="2131">
        <f t="shared" si="117"/>
        <v>0</v>
      </c>
      <c r="S589" s="2130">
        <f>IF(J588=J589,S588+0.00001,ROUNDDOWN(MAX($S$16:$S588),0)+1)</f>
        <v>2.0045300000000297</v>
      </c>
      <c r="T589" s="2131">
        <f t="shared" si="118"/>
        <v>0</v>
      </c>
      <c r="U589" s="2131">
        <f t="shared" si="119"/>
        <v>0</v>
      </c>
      <c r="V589" s="2071">
        <f t="shared" si="124"/>
        <v>573</v>
      </c>
    </row>
    <row r="590" spans="1:22" hidden="1">
      <c r="A590" s="2124">
        <f t="shared" si="125"/>
        <v>1</v>
      </c>
      <c r="B590" s="2073">
        <v>574</v>
      </c>
      <c r="C590" s="2104">
        <f t="shared" si="126"/>
        <v>0</v>
      </c>
      <c r="D590" s="2125">
        <f t="shared" si="114"/>
        <v>0.03</v>
      </c>
      <c r="E590" s="2104">
        <f t="shared" si="120"/>
        <v>0</v>
      </c>
      <c r="F590" s="2135"/>
      <c r="G590" s="2127">
        <f t="shared" si="127"/>
        <v>3</v>
      </c>
      <c r="H590" s="2075">
        <v>574</v>
      </c>
      <c r="I590" s="2104">
        <f t="shared" si="121"/>
        <v>0</v>
      </c>
      <c r="J590" s="2125">
        <f t="shared" si="122"/>
        <v>3.5000000000000003E-2</v>
      </c>
      <c r="K590" s="2083"/>
      <c r="L590" s="2106"/>
      <c r="N590" s="2071">
        <f t="shared" si="123"/>
        <v>574</v>
      </c>
      <c r="O590" s="2130">
        <f>IF(D589=D590,O589+0.00001,ROUNDDOWN(MAX($O$16:$O589),0)+1)</f>
        <v>5.7399999999999344E-3</v>
      </c>
      <c r="P590" s="2131">
        <f t="shared" si="115"/>
        <v>0</v>
      </c>
      <c r="Q590" s="2131">
        <f t="shared" si="116"/>
        <v>0</v>
      </c>
      <c r="R590" s="2131">
        <f t="shared" si="117"/>
        <v>0</v>
      </c>
      <c r="S590" s="2130">
        <f>IF(J589=J590,S589+0.00001,ROUNDDOWN(MAX($S$16:$S589),0)+1)</f>
        <v>2.0045400000000297</v>
      </c>
      <c r="T590" s="2131">
        <f t="shared" si="118"/>
        <v>0</v>
      </c>
      <c r="U590" s="2131">
        <f t="shared" si="119"/>
        <v>0</v>
      </c>
      <c r="V590" s="2071">
        <f t="shared" si="124"/>
        <v>574</v>
      </c>
    </row>
    <row r="591" spans="1:22" hidden="1">
      <c r="A591" s="2124">
        <f t="shared" si="125"/>
        <v>1</v>
      </c>
      <c r="B591" s="2073">
        <v>575</v>
      </c>
      <c r="C591" s="2104">
        <f t="shared" si="126"/>
        <v>0</v>
      </c>
      <c r="D591" s="2125">
        <f t="shared" si="114"/>
        <v>0.03</v>
      </c>
      <c r="E591" s="2104">
        <f t="shared" si="120"/>
        <v>0</v>
      </c>
      <c r="F591" s="2135"/>
      <c r="G591" s="2127">
        <f t="shared" si="127"/>
        <v>3</v>
      </c>
      <c r="H591" s="2075">
        <v>575</v>
      </c>
      <c r="I591" s="2104">
        <f t="shared" si="121"/>
        <v>0</v>
      </c>
      <c r="J591" s="2125">
        <f t="shared" si="122"/>
        <v>3.5000000000000003E-2</v>
      </c>
      <c r="K591" s="2083"/>
      <c r="L591" s="2106"/>
      <c r="N591" s="2071">
        <f t="shared" si="123"/>
        <v>575</v>
      </c>
      <c r="O591" s="2130">
        <f>IF(D590=D591,O590+0.00001,ROUNDDOWN(MAX($O$16:$O590),0)+1)</f>
        <v>5.749999999999934E-3</v>
      </c>
      <c r="P591" s="2131">
        <f t="shared" si="115"/>
        <v>0</v>
      </c>
      <c r="Q591" s="2131">
        <f t="shared" si="116"/>
        <v>0</v>
      </c>
      <c r="R591" s="2131">
        <f t="shared" si="117"/>
        <v>0</v>
      </c>
      <c r="S591" s="2130">
        <f>IF(J590=J591,S590+0.00001,ROUNDDOWN(MAX($S$16:$S590),0)+1)</f>
        <v>2.0045500000000298</v>
      </c>
      <c r="T591" s="2131">
        <f t="shared" si="118"/>
        <v>0</v>
      </c>
      <c r="U591" s="2131">
        <f t="shared" si="119"/>
        <v>0</v>
      </c>
      <c r="V591" s="2071">
        <f t="shared" si="124"/>
        <v>575</v>
      </c>
    </row>
    <row r="592" spans="1:22" hidden="1">
      <c r="A592" s="2124">
        <f t="shared" si="125"/>
        <v>1</v>
      </c>
      <c r="B592" s="2073">
        <v>576</v>
      </c>
      <c r="C592" s="2104">
        <f t="shared" si="126"/>
        <v>0</v>
      </c>
      <c r="D592" s="2125">
        <f t="shared" si="114"/>
        <v>0.03</v>
      </c>
      <c r="E592" s="2104">
        <f t="shared" si="120"/>
        <v>0</v>
      </c>
      <c r="F592" s="2135"/>
      <c r="G592" s="2127">
        <f t="shared" si="127"/>
        <v>3</v>
      </c>
      <c r="H592" s="2075">
        <v>576</v>
      </c>
      <c r="I592" s="2104">
        <f t="shared" si="121"/>
        <v>0</v>
      </c>
      <c r="J592" s="2125">
        <f t="shared" si="122"/>
        <v>3.5000000000000003E-2</v>
      </c>
      <c r="K592" s="2083"/>
      <c r="L592" s="2106"/>
      <c r="N592" s="2071">
        <f t="shared" si="123"/>
        <v>576</v>
      </c>
      <c r="O592" s="2130">
        <f>IF(D591=D592,O591+0.00001,ROUNDDOWN(MAX($O$16:$O591),0)+1)</f>
        <v>5.7599999999999336E-3</v>
      </c>
      <c r="P592" s="2131">
        <f t="shared" si="115"/>
        <v>0</v>
      </c>
      <c r="Q592" s="2131">
        <f t="shared" si="116"/>
        <v>0</v>
      </c>
      <c r="R592" s="2131">
        <f t="shared" si="117"/>
        <v>0</v>
      </c>
      <c r="S592" s="2130">
        <f>IF(J591=J592,S591+0.00001,ROUNDDOWN(MAX($S$16:$S591),0)+1)</f>
        <v>2.0045600000000299</v>
      </c>
      <c r="T592" s="2131">
        <f t="shared" si="118"/>
        <v>0</v>
      </c>
      <c r="U592" s="2131">
        <f t="shared" si="119"/>
        <v>0</v>
      </c>
      <c r="V592" s="2071">
        <f t="shared" si="124"/>
        <v>576</v>
      </c>
    </row>
    <row r="593" spans="1:22" hidden="1">
      <c r="A593" s="2124">
        <f t="shared" si="125"/>
        <v>1</v>
      </c>
      <c r="B593" s="2073">
        <v>577</v>
      </c>
      <c r="C593" s="2104">
        <f t="shared" si="126"/>
        <v>0</v>
      </c>
      <c r="D593" s="2125">
        <f t="shared" ref="D593:D640" si="128">D592</f>
        <v>0.03</v>
      </c>
      <c r="E593" s="2104">
        <f t="shared" si="120"/>
        <v>0</v>
      </c>
      <c r="F593" s="2135"/>
      <c r="G593" s="2127">
        <f t="shared" si="127"/>
        <v>3</v>
      </c>
      <c r="H593" s="2075">
        <v>577</v>
      </c>
      <c r="I593" s="2104">
        <f t="shared" si="121"/>
        <v>0</v>
      </c>
      <c r="J593" s="2125">
        <f t="shared" si="122"/>
        <v>3.5000000000000003E-2</v>
      </c>
      <c r="K593" s="2083"/>
      <c r="L593" s="2106"/>
      <c r="N593" s="2071">
        <f t="shared" si="123"/>
        <v>577</v>
      </c>
      <c r="O593" s="2130">
        <f>IF(D592=D593,O592+0.00001,ROUNDDOWN(MAX($O$16:$O592),0)+1)</f>
        <v>5.7699999999999332E-3</v>
      </c>
      <c r="P593" s="2131">
        <f t="shared" ref="P593:P640" si="129">IF($B593&gt;IF(N($C$7)=0,$C$4*$C$5,$C$7),0,IF(B593=IF(N($C$7)=0,$C$4*$C$5,$C$7),-$R592*(1+$C$11/$C$5),ROUND(PMT($C$11/$C$5,$C$4*$C$5,$C$3),2)))</f>
        <v>0</v>
      </c>
      <c r="Q593" s="2131">
        <f t="shared" ref="Q593:Q640" si="130">C593-P593</f>
        <v>0</v>
      </c>
      <c r="R593" s="2131">
        <f t="shared" ref="R593:R640" si="131">R592*(1+$C$11/$C$5)+P593</f>
        <v>0</v>
      </c>
      <c r="S593" s="2130">
        <f>IF(J592=J593,S592+0.00001,ROUNDDOWN(MAX($S$16:$S592),0)+1)</f>
        <v>2.0045700000000299</v>
      </c>
      <c r="T593" s="2131">
        <f t="shared" ref="T593:T640" si="132">IF(I$4*I$5=H593,-I$3*(1+$I$11/I$5),IF(I$4*I$5&lt;H593,0,-I$3*$I$11/I$5))</f>
        <v>0</v>
      </c>
      <c r="U593" s="2131">
        <f t="shared" ref="U593:U640" si="133">I593-T593</f>
        <v>0</v>
      </c>
      <c r="V593" s="2071">
        <f t="shared" si="124"/>
        <v>577</v>
      </c>
    </row>
    <row r="594" spans="1:22" hidden="1">
      <c r="A594" s="2124">
        <f t="shared" si="125"/>
        <v>1</v>
      </c>
      <c r="B594" s="2073">
        <v>578</v>
      </c>
      <c r="C594" s="2104">
        <f t="shared" si="126"/>
        <v>0</v>
      </c>
      <c r="D594" s="2125">
        <f t="shared" si="128"/>
        <v>0.03</v>
      </c>
      <c r="E594" s="2104">
        <f t="shared" ref="E594:E639" si="134">E593*(1+D593/C$5)+C594</f>
        <v>0</v>
      </c>
      <c r="F594" s="2135"/>
      <c r="G594" s="2127">
        <f t="shared" si="127"/>
        <v>3</v>
      </c>
      <c r="H594" s="2075">
        <v>578</v>
      </c>
      <c r="I594" s="2104">
        <f t="shared" ref="I594:I640" si="135">IF(I$4*I$5=H594,-I$3*(1+J593/I$5),IF(I$4*I$5&lt;H594,0,-I$3*J593/I$5))</f>
        <v>0</v>
      </c>
      <c r="J594" s="2125">
        <f t="shared" ref="J594:J640" si="136">J593</f>
        <v>3.5000000000000003E-2</v>
      </c>
      <c r="K594" s="2083"/>
      <c r="L594" s="2106"/>
      <c r="N594" s="2071">
        <f t="shared" ref="N594:N640" si="137">B594</f>
        <v>578</v>
      </c>
      <c r="O594" s="2130">
        <f>IF(D593=D594,O593+0.00001,ROUNDDOWN(MAX($O$16:$O593),0)+1)</f>
        <v>5.7799999999999328E-3</v>
      </c>
      <c r="P594" s="2131">
        <f t="shared" si="129"/>
        <v>0</v>
      </c>
      <c r="Q594" s="2131">
        <f t="shared" si="130"/>
        <v>0</v>
      </c>
      <c r="R594" s="2131">
        <f t="shared" si="131"/>
        <v>0</v>
      </c>
      <c r="S594" s="2130">
        <f>IF(J593=J594,S593+0.00001,ROUNDDOWN(MAX($S$16:$S593),0)+1)</f>
        <v>2.00458000000003</v>
      </c>
      <c r="T594" s="2131">
        <f t="shared" si="132"/>
        <v>0</v>
      </c>
      <c r="U594" s="2131">
        <f t="shared" si="133"/>
        <v>0</v>
      </c>
      <c r="V594" s="2071">
        <f t="shared" ref="V594:V640" si="138">H594</f>
        <v>578</v>
      </c>
    </row>
    <row r="595" spans="1:22" hidden="1">
      <c r="A595" s="2124">
        <f t="shared" ref="A595:A640" si="139">ROUND(A594+IF(D595&lt;&gt;D594,1,0),0)</f>
        <v>1</v>
      </c>
      <c r="B595" s="2073">
        <v>579</v>
      </c>
      <c r="C595" s="2104">
        <f t="shared" ref="C595:C640" si="140">IF(B595&gt;IF(N(C$7)=0,C$4*C$5,C$7),0,IF(B595=IF(N(C$7)=0,C$4*C$5,C$7),-E594*(1+D594/C$5),IF(D594=D593,C594,ROUND(PMT(D594/C$5,C$4*C$5-B594,E594),2))))</f>
        <v>0</v>
      </c>
      <c r="D595" s="2125">
        <f t="shared" si="128"/>
        <v>0.03</v>
      </c>
      <c r="E595" s="2104">
        <f t="shared" si="134"/>
        <v>0</v>
      </c>
      <c r="F595" s="2135"/>
      <c r="G595" s="2127">
        <f t="shared" ref="G595:G640" si="141">ROUND(G594+IF(J595&lt;&gt;J594,1,0),0)</f>
        <v>3</v>
      </c>
      <c r="H595" s="2075">
        <v>579</v>
      </c>
      <c r="I595" s="2104">
        <f t="shared" si="135"/>
        <v>0</v>
      </c>
      <c r="J595" s="2125">
        <f t="shared" si="136"/>
        <v>3.5000000000000003E-2</v>
      </c>
      <c r="K595" s="2083"/>
      <c r="L595" s="2106"/>
      <c r="N595" s="2071">
        <f t="shared" si="137"/>
        <v>579</v>
      </c>
      <c r="O595" s="2130">
        <f>IF(D594=D595,O594+0.00001,ROUNDDOWN(MAX($O$16:$O594),0)+1)</f>
        <v>5.7899999999999324E-3</v>
      </c>
      <c r="P595" s="2131">
        <f t="shared" si="129"/>
        <v>0</v>
      </c>
      <c r="Q595" s="2131">
        <f t="shared" si="130"/>
        <v>0</v>
      </c>
      <c r="R595" s="2131">
        <f t="shared" si="131"/>
        <v>0</v>
      </c>
      <c r="S595" s="2130">
        <f>IF(J594=J595,S594+0.00001,ROUNDDOWN(MAX($S$16:$S594),0)+1)</f>
        <v>2.0045900000000301</v>
      </c>
      <c r="T595" s="2131">
        <f t="shared" si="132"/>
        <v>0</v>
      </c>
      <c r="U595" s="2131">
        <f t="shared" si="133"/>
        <v>0</v>
      </c>
      <c r="V595" s="2071">
        <f t="shared" si="138"/>
        <v>579</v>
      </c>
    </row>
    <row r="596" spans="1:22" hidden="1">
      <c r="A596" s="2124">
        <f t="shared" si="139"/>
        <v>1</v>
      </c>
      <c r="B596" s="2073">
        <v>580</v>
      </c>
      <c r="C596" s="2104">
        <f t="shared" si="140"/>
        <v>0</v>
      </c>
      <c r="D596" s="2125">
        <f t="shared" si="128"/>
        <v>0.03</v>
      </c>
      <c r="E596" s="2104">
        <f t="shared" si="134"/>
        <v>0</v>
      </c>
      <c r="F596" s="2135"/>
      <c r="G596" s="2127">
        <f t="shared" si="141"/>
        <v>3</v>
      </c>
      <c r="H596" s="2075">
        <v>580</v>
      </c>
      <c r="I596" s="2104">
        <f t="shared" si="135"/>
        <v>0</v>
      </c>
      <c r="J596" s="2125">
        <f t="shared" si="136"/>
        <v>3.5000000000000003E-2</v>
      </c>
      <c r="K596" s="2083"/>
      <c r="L596" s="2106"/>
      <c r="N596" s="2071">
        <f t="shared" si="137"/>
        <v>580</v>
      </c>
      <c r="O596" s="2130">
        <f>IF(D595=D596,O595+0.00001,ROUNDDOWN(MAX($O$16:$O595),0)+1)</f>
        <v>5.7999999999999319E-3</v>
      </c>
      <c r="P596" s="2131">
        <f t="shared" si="129"/>
        <v>0</v>
      </c>
      <c r="Q596" s="2131">
        <f t="shared" si="130"/>
        <v>0</v>
      </c>
      <c r="R596" s="2131">
        <f t="shared" si="131"/>
        <v>0</v>
      </c>
      <c r="S596" s="2130">
        <f>IF(J595=J596,S595+0.00001,ROUNDDOWN(MAX($S$16:$S595),0)+1)</f>
        <v>2.0046000000000301</v>
      </c>
      <c r="T596" s="2131">
        <f t="shared" si="132"/>
        <v>0</v>
      </c>
      <c r="U596" s="2131">
        <f t="shared" si="133"/>
        <v>0</v>
      </c>
      <c r="V596" s="2071">
        <f t="shared" si="138"/>
        <v>580</v>
      </c>
    </row>
    <row r="597" spans="1:22" hidden="1">
      <c r="A597" s="2124">
        <f t="shared" si="139"/>
        <v>1</v>
      </c>
      <c r="B597" s="2073">
        <v>581</v>
      </c>
      <c r="C597" s="2104">
        <f t="shared" si="140"/>
        <v>0</v>
      </c>
      <c r="D597" s="2125">
        <f t="shared" si="128"/>
        <v>0.03</v>
      </c>
      <c r="E597" s="2104">
        <f t="shared" si="134"/>
        <v>0</v>
      </c>
      <c r="F597" s="2135"/>
      <c r="G597" s="2127">
        <f t="shared" si="141"/>
        <v>3</v>
      </c>
      <c r="H597" s="2075">
        <v>581</v>
      </c>
      <c r="I597" s="2104">
        <f t="shared" si="135"/>
        <v>0</v>
      </c>
      <c r="J597" s="2125">
        <f t="shared" si="136"/>
        <v>3.5000000000000003E-2</v>
      </c>
      <c r="K597" s="2083"/>
      <c r="L597" s="2106"/>
      <c r="N597" s="2071">
        <f t="shared" si="137"/>
        <v>581</v>
      </c>
      <c r="O597" s="2130">
        <f>IF(D596=D597,O596+0.00001,ROUNDDOWN(MAX($O$16:$O596),0)+1)</f>
        <v>5.8099999999999315E-3</v>
      </c>
      <c r="P597" s="2131">
        <f t="shared" si="129"/>
        <v>0</v>
      </c>
      <c r="Q597" s="2131">
        <f t="shared" si="130"/>
        <v>0</v>
      </c>
      <c r="R597" s="2131">
        <f t="shared" si="131"/>
        <v>0</v>
      </c>
      <c r="S597" s="2130">
        <f>IF(J596=J597,S596+0.00001,ROUNDDOWN(MAX($S$16:$S596),0)+1)</f>
        <v>2.0046100000000302</v>
      </c>
      <c r="T597" s="2131">
        <f t="shared" si="132"/>
        <v>0</v>
      </c>
      <c r="U597" s="2131">
        <f t="shared" si="133"/>
        <v>0</v>
      </c>
      <c r="V597" s="2071">
        <f t="shared" si="138"/>
        <v>581</v>
      </c>
    </row>
    <row r="598" spans="1:22" hidden="1">
      <c r="A598" s="2124">
        <f t="shared" si="139"/>
        <v>1</v>
      </c>
      <c r="B598" s="2073">
        <v>582</v>
      </c>
      <c r="C598" s="2104">
        <f t="shared" si="140"/>
        <v>0</v>
      </c>
      <c r="D598" s="2125">
        <f t="shared" si="128"/>
        <v>0.03</v>
      </c>
      <c r="E598" s="2104">
        <f t="shared" si="134"/>
        <v>0</v>
      </c>
      <c r="F598" s="2135"/>
      <c r="G598" s="2127">
        <f t="shared" si="141"/>
        <v>3</v>
      </c>
      <c r="H598" s="2075">
        <v>582</v>
      </c>
      <c r="I598" s="2104">
        <f t="shared" si="135"/>
        <v>0</v>
      </c>
      <c r="J598" s="2125">
        <f t="shared" si="136"/>
        <v>3.5000000000000003E-2</v>
      </c>
      <c r="K598" s="2083"/>
      <c r="L598" s="2106"/>
      <c r="N598" s="2071">
        <f t="shared" si="137"/>
        <v>582</v>
      </c>
      <c r="O598" s="2130">
        <f>IF(D597=D598,O597+0.00001,ROUNDDOWN(MAX($O$16:$O597),0)+1)</f>
        <v>5.8199999999999311E-3</v>
      </c>
      <c r="P598" s="2131">
        <f t="shared" si="129"/>
        <v>0</v>
      </c>
      <c r="Q598" s="2131">
        <f t="shared" si="130"/>
        <v>0</v>
      </c>
      <c r="R598" s="2131">
        <f t="shared" si="131"/>
        <v>0</v>
      </c>
      <c r="S598" s="2130">
        <f>IF(J597=J598,S597+0.00001,ROUNDDOWN(MAX($S$16:$S597),0)+1)</f>
        <v>2.0046200000000303</v>
      </c>
      <c r="T598" s="2131">
        <f t="shared" si="132"/>
        <v>0</v>
      </c>
      <c r="U598" s="2131">
        <f t="shared" si="133"/>
        <v>0</v>
      </c>
      <c r="V598" s="2071">
        <f t="shared" si="138"/>
        <v>582</v>
      </c>
    </row>
    <row r="599" spans="1:22" hidden="1">
      <c r="A599" s="2124">
        <f t="shared" si="139"/>
        <v>1</v>
      </c>
      <c r="B599" s="2073">
        <v>583</v>
      </c>
      <c r="C599" s="2104">
        <f t="shared" si="140"/>
        <v>0</v>
      </c>
      <c r="D599" s="2125">
        <f t="shared" si="128"/>
        <v>0.03</v>
      </c>
      <c r="E599" s="2104">
        <f t="shared" si="134"/>
        <v>0</v>
      </c>
      <c r="F599" s="2135"/>
      <c r="G599" s="2127">
        <f t="shared" si="141"/>
        <v>3</v>
      </c>
      <c r="H599" s="2075">
        <v>583</v>
      </c>
      <c r="I599" s="2104">
        <f t="shared" si="135"/>
        <v>0</v>
      </c>
      <c r="J599" s="2125">
        <f t="shared" si="136"/>
        <v>3.5000000000000003E-2</v>
      </c>
      <c r="K599" s="2083"/>
      <c r="L599" s="2106"/>
      <c r="N599" s="2071">
        <f t="shared" si="137"/>
        <v>583</v>
      </c>
      <c r="O599" s="2130">
        <f>IF(D598=D599,O598+0.00001,ROUNDDOWN(MAX($O$16:$O598),0)+1)</f>
        <v>5.8299999999999307E-3</v>
      </c>
      <c r="P599" s="2131">
        <f t="shared" si="129"/>
        <v>0</v>
      </c>
      <c r="Q599" s="2131">
        <f t="shared" si="130"/>
        <v>0</v>
      </c>
      <c r="R599" s="2131">
        <f t="shared" si="131"/>
        <v>0</v>
      </c>
      <c r="S599" s="2130">
        <f>IF(J598=J599,S598+0.00001,ROUNDDOWN(MAX($S$16:$S598),0)+1)</f>
        <v>2.0046300000000303</v>
      </c>
      <c r="T599" s="2131">
        <f t="shared" si="132"/>
        <v>0</v>
      </c>
      <c r="U599" s="2131">
        <f t="shared" si="133"/>
        <v>0</v>
      </c>
      <c r="V599" s="2071">
        <f t="shared" si="138"/>
        <v>583</v>
      </c>
    </row>
    <row r="600" spans="1:22" hidden="1">
      <c r="A600" s="2124">
        <f t="shared" si="139"/>
        <v>1</v>
      </c>
      <c r="B600" s="2073">
        <v>584</v>
      </c>
      <c r="C600" s="2104">
        <f t="shared" si="140"/>
        <v>0</v>
      </c>
      <c r="D600" s="2125">
        <f t="shared" si="128"/>
        <v>0.03</v>
      </c>
      <c r="E600" s="2104">
        <f t="shared" si="134"/>
        <v>0</v>
      </c>
      <c r="F600" s="2135"/>
      <c r="G600" s="2127">
        <f t="shared" si="141"/>
        <v>3</v>
      </c>
      <c r="H600" s="2075">
        <v>584</v>
      </c>
      <c r="I600" s="2104">
        <f t="shared" si="135"/>
        <v>0</v>
      </c>
      <c r="J600" s="2125">
        <f t="shared" si="136"/>
        <v>3.5000000000000003E-2</v>
      </c>
      <c r="K600" s="2083"/>
      <c r="L600" s="2106"/>
      <c r="N600" s="2071">
        <f t="shared" si="137"/>
        <v>584</v>
      </c>
      <c r="O600" s="2130">
        <f>IF(D599=D600,O599+0.00001,ROUNDDOWN(MAX($O$16:$O599),0)+1)</f>
        <v>5.8399999999999303E-3</v>
      </c>
      <c r="P600" s="2131">
        <f t="shared" si="129"/>
        <v>0</v>
      </c>
      <c r="Q600" s="2131">
        <f t="shared" si="130"/>
        <v>0</v>
      </c>
      <c r="R600" s="2131">
        <f t="shared" si="131"/>
        <v>0</v>
      </c>
      <c r="S600" s="2130">
        <f>IF(J599=J600,S599+0.00001,ROUNDDOWN(MAX($S$16:$S599),0)+1)</f>
        <v>2.0046400000000304</v>
      </c>
      <c r="T600" s="2131">
        <f t="shared" si="132"/>
        <v>0</v>
      </c>
      <c r="U600" s="2131">
        <f t="shared" si="133"/>
        <v>0</v>
      </c>
      <c r="V600" s="2071">
        <f t="shared" si="138"/>
        <v>584</v>
      </c>
    </row>
    <row r="601" spans="1:22" hidden="1">
      <c r="A601" s="2124">
        <f t="shared" si="139"/>
        <v>1</v>
      </c>
      <c r="B601" s="2073">
        <v>585</v>
      </c>
      <c r="C601" s="2104">
        <f t="shared" si="140"/>
        <v>0</v>
      </c>
      <c r="D601" s="2125">
        <f t="shared" si="128"/>
        <v>0.03</v>
      </c>
      <c r="E601" s="2104">
        <f t="shared" si="134"/>
        <v>0</v>
      </c>
      <c r="F601" s="2135"/>
      <c r="G601" s="2127">
        <f t="shared" si="141"/>
        <v>3</v>
      </c>
      <c r="H601" s="2075">
        <v>585</v>
      </c>
      <c r="I601" s="2104">
        <f t="shared" si="135"/>
        <v>0</v>
      </c>
      <c r="J601" s="2125">
        <f t="shared" si="136"/>
        <v>3.5000000000000003E-2</v>
      </c>
      <c r="K601" s="2083"/>
      <c r="L601" s="2106"/>
      <c r="N601" s="2071">
        <f t="shared" si="137"/>
        <v>585</v>
      </c>
      <c r="O601" s="2130">
        <f>IF(D600=D601,O600+0.00001,ROUNDDOWN(MAX($O$16:$O600),0)+1)</f>
        <v>5.8499999999999299E-3</v>
      </c>
      <c r="P601" s="2131">
        <f t="shared" si="129"/>
        <v>0</v>
      </c>
      <c r="Q601" s="2131">
        <f t="shared" si="130"/>
        <v>0</v>
      </c>
      <c r="R601" s="2131">
        <f t="shared" si="131"/>
        <v>0</v>
      </c>
      <c r="S601" s="2130">
        <f>IF(J600=J601,S600+0.00001,ROUNDDOWN(MAX($S$16:$S600),0)+1)</f>
        <v>2.0046500000000305</v>
      </c>
      <c r="T601" s="2131">
        <f t="shared" si="132"/>
        <v>0</v>
      </c>
      <c r="U601" s="2131">
        <f t="shared" si="133"/>
        <v>0</v>
      </c>
      <c r="V601" s="2071">
        <f t="shared" si="138"/>
        <v>585</v>
      </c>
    </row>
    <row r="602" spans="1:22" hidden="1">
      <c r="A602" s="2124">
        <f t="shared" si="139"/>
        <v>1</v>
      </c>
      <c r="B602" s="2073">
        <v>586</v>
      </c>
      <c r="C602" s="2104">
        <f t="shared" si="140"/>
        <v>0</v>
      </c>
      <c r="D602" s="2125">
        <f t="shared" si="128"/>
        <v>0.03</v>
      </c>
      <c r="E602" s="2104">
        <f t="shared" si="134"/>
        <v>0</v>
      </c>
      <c r="F602" s="2135"/>
      <c r="G602" s="2127">
        <f t="shared" si="141"/>
        <v>3</v>
      </c>
      <c r="H602" s="2075">
        <v>586</v>
      </c>
      <c r="I602" s="2104">
        <f t="shared" si="135"/>
        <v>0</v>
      </c>
      <c r="J602" s="2125">
        <f t="shared" si="136"/>
        <v>3.5000000000000003E-2</v>
      </c>
      <c r="K602" s="2083"/>
      <c r="L602" s="2106"/>
      <c r="N602" s="2071">
        <f t="shared" si="137"/>
        <v>586</v>
      </c>
      <c r="O602" s="2130">
        <f>IF(D601=D602,O601+0.00001,ROUNDDOWN(MAX($O$16:$O601),0)+1)</f>
        <v>5.8599999999999295E-3</v>
      </c>
      <c r="P602" s="2131">
        <f t="shared" si="129"/>
        <v>0</v>
      </c>
      <c r="Q602" s="2131">
        <f t="shared" si="130"/>
        <v>0</v>
      </c>
      <c r="R602" s="2131">
        <f t="shared" si="131"/>
        <v>0</v>
      </c>
      <c r="S602" s="2130">
        <f>IF(J601=J602,S601+0.00001,ROUNDDOWN(MAX($S$16:$S601),0)+1)</f>
        <v>2.0046600000000305</v>
      </c>
      <c r="T602" s="2131">
        <f t="shared" si="132"/>
        <v>0</v>
      </c>
      <c r="U602" s="2131">
        <f t="shared" si="133"/>
        <v>0</v>
      </c>
      <c r="V602" s="2071">
        <f t="shared" si="138"/>
        <v>586</v>
      </c>
    </row>
    <row r="603" spans="1:22" hidden="1">
      <c r="A603" s="2124">
        <f t="shared" si="139"/>
        <v>1</v>
      </c>
      <c r="B603" s="2073">
        <v>587</v>
      </c>
      <c r="C603" s="2104">
        <f t="shared" si="140"/>
        <v>0</v>
      </c>
      <c r="D603" s="2125">
        <f t="shared" si="128"/>
        <v>0.03</v>
      </c>
      <c r="E603" s="2104">
        <f t="shared" si="134"/>
        <v>0</v>
      </c>
      <c r="F603" s="2135"/>
      <c r="G603" s="2127">
        <f t="shared" si="141"/>
        <v>3</v>
      </c>
      <c r="H603" s="2075">
        <v>587</v>
      </c>
      <c r="I603" s="2104">
        <f t="shared" si="135"/>
        <v>0</v>
      </c>
      <c r="J603" s="2125">
        <f t="shared" si="136"/>
        <v>3.5000000000000003E-2</v>
      </c>
      <c r="K603" s="2083"/>
      <c r="L603" s="2106"/>
      <c r="N603" s="2071">
        <f t="shared" si="137"/>
        <v>587</v>
      </c>
      <c r="O603" s="2130">
        <f>IF(D602=D603,O602+0.00001,ROUNDDOWN(MAX($O$16:$O602),0)+1)</f>
        <v>5.8699999999999291E-3</v>
      </c>
      <c r="P603" s="2131">
        <f t="shared" si="129"/>
        <v>0</v>
      </c>
      <c r="Q603" s="2131">
        <f t="shared" si="130"/>
        <v>0</v>
      </c>
      <c r="R603" s="2131">
        <f t="shared" si="131"/>
        <v>0</v>
      </c>
      <c r="S603" s="2130">
        <f>IF(J602=J603,S602+0.00001,ROUNDDOWN(MAX($S$16:$S602),0)+1)</f>
        <v>2.0046700000000306</v>
      </c>
      <c r="T603" s="2131">
        <f t="shared" si="132"/>
        <v>0</v>
      </c>
      <c r="U603" s="2131">
        <f t="shared" si="133"/>
        <v>0</v>
      </c>
      <c r="V603" s="2071">
        <f t="shared" si="138"/>
        <v>587</v>
      </c>
    </row>
    <row r="604" spans="1:22" hidden="1">
      <c r="A604" s="2124">
        <f t="shared" si="139"/>
        <v>1</v>
      </c>
      <c r="B604" s="2073">
        <v>588</v>
      </c>
      <c r="C604" s="2104">
        <f t="shared" si="140"/>
        <v>0</v>
      </c>
      <c r="D604" s="2125">
        <f t="shared" si="128"/>
        <v>0.03</v>
      </c>
      <c r="E604" s="2104">
        <f t="shared" si="134"/>
        <v>0</v>
      </c>
      <c r="F604" s="2135"/>
      <c r="G604" s="2127">
        <f t="shared" si="141"/>
        <v>3</v>
      </c>
      <c r="H604" s="2075">
        <v>588</v>
      </c>
      <c r="I604" s="2104">
        <f t="shared" si="135"/>
        <v>0</v>
      </c>
      <c r="J604" s="2125">
        <f t="shared" si="136"/>
        <v>3.5000000000000003E-2</v>
      </c>
      <c r="K604" s="2083"/>
      <c r="L604" s="2106"/>
      <c r="N604" s="2071">
        <f t="shared" si="137"/>
        <v>588</v>
      </c>
      <c r="O604" s="2130">
        <f>IF(D603=D604,O603+0.00001,ROUNDDOWN(MAX($O$16:$O603),0)+1)</f>
        <v>5.8799999999999287E-3</v>
      </c>
      <c r="P604" s="2131">
        <f t="shared" si="129"/>
        <v>0</v>
      </c>
      <c r="Q604" s="2131">
        <f t="shared" si="130"/>
        <v>0</v>
      </c>
      <c r="R604" s="2131">
        <f t="shared" si="131"/>
        <v>0</v>
      </c>
      <c r="S604" s="2130">
        <f>IF(J603=J604,S603+0.00001,ROUNDDOWN(MAX($S$16:$S603),0)+1)</f>
        <v>2.0046800000000307</v>
      </c>
      <c r="T604" s="2131">
        <f t="shared" si="132"/>
        <v>0</v>
      </c>
      <c r="U604" s="2131">
        <f t="shared" si="133"/>
        <v>0</v>
      </c>
      <c r="V604" s="2071">
        <f t="shared" si="138"/>
        <v>588</v>
      </c>
    </row>
    <row r="605" spans="1:22" hidden="1">
      <c r="A605" s="2124">
        <f t="shared" si="139"/>
        <v>1</v>
      </c>
      <c r="B605" s="2073">
        <v>589</v>
      </c>
      <c r="C605" s="2104">
        <f t="shared" si="140"/>
        <v>0</v>
      </c>
      <c r="D605" s="2125">
        <f t="shared" si="128"/>
        <v>0.03</v>
      </c>
      <c r="E605" s="2104">
        <f t="shared" si="134"/>
        <v>0</v>
      </c>
      <c r="F605" s="2135"/>
      <c r="G605" s="2127">
        <f t="shared" si="141"/>
        <v>3</v>
      </c>
      <c r="H605" s="2075">
        <v>589</v>
      </c>
      <c r="I605" s="2104">
        <f t="shared" si="135"/>
        <v>0</v>
      </c>
      <c r="J605" s="2125">
        <f t="shared" si="136"/>
        <v>3.5000000000000003E-2</v>
      </c>
      <c r="K605" s="2083"/>
      <c r="L605" s="2106"/>
      <c r="N605" s="2071">
        <f t="shared" si="137"/>
        <v>589</v>
      </c>
      <c r="O605" s="2130">
        <f>IF(D604=D605,O604+0.00001,ROUNDDOWN(MAX($O$16:$O604),0)+1)</f>
        <v>5.8899999999999283E-3</v>
      </c>
      <c r="P605" s="2131">
        <f t="shared" si="129"/>
        <v>0</v>
      </c>
      <c r="Q605" s="2131">
        <f t="shared" si="130"/>
        <v>0</v>
      </c>
      <c r="R605" s="2131">
        <f t="shared" si="131"/>
        <v>0</v>
      </c>
      <c r="S605" s="2130">
        <f>IF(J604=J605,S604+0.00001,ROUNDDOWN(MAX($S$16:$S604),0)+1)</f>
        <v>2.0046900000000307</v>
      </c>
      <c r="T605" s="2131">
        <f t="shared" si="132"/>
        <v>0</v>
      </c>
      <c r="U605" s="2131">
        <f t="shared" si="133"/>
        <v>0</v>
      </c>
      <c r="V605" s="2071">
        <f t="shared" si="138"/>
        <v>589</v>
      </c>
    </row>
    <row r="606" spans="1:22" hidden="1">
      <c r="A606" s="2124">
        <f t="shared" si="139"/>
        <v>1</v>
      </c>
      <c r="B606" s="2073">
        <v>590</v>
      </c>
      <c r="C606" s="2104">
        <f t="shared" si="140"/>
        <v>0</v>
      </c>
      <c r="D606" s="2125">
        <f t="shared" si="128"/>
        <v>0.03</v>
      </c>
      <c r="E606" s="2104">
        <f t="shared" si="134"/>
        <v>0</v>
      </c>
      <c r="F606" s="2135"/>
      <c r="G606" s="2127">
        <f t="shared" si="141"/>
        <v>3</v>
      </c>
      <c r="H606" s="2075">
        <v>590</v>
      </c>
      <c r="I606" s="2104">
        <f t="shared" si="135"/>
        <v>0</v>
      </c>
      <c r="J606" s="2125">
        <f t="shared" si="136"/>
        <v>3.5000000000000003E-2</v>
      </c>
      <c r="K606" s="2083"/>
      <c r="L606" s="2106"/>
      <c r="N606" s="2071">
        <f t="shared" si="137"/>
        <v>590</v>
      </c>
      <c r="O606" s="2130">
        <f>IF(D605=D606,O605+0.00001,ROUNDDOWN(MAX($O$16:$O605),0)+1)</f>
        <v>5.8999999999999279E-3</v>
      </c>
      <c r="P606" s="2131">
        <f t="shared" si="129"/>
        <v>0</v>
      </c>
      <c r="Q606" s="2131">
        <f t="shared" si="130"/>
        <v>0</v>
      </c>
      <c r="R606" s="2131">
        <f t="shared" si="131"/>
        <v>0</v>
      </c>
      <c r="S606" s="2130">
        <f>IF(J605=J606,S605+0.00001,ROUNDDOWN(MAX($S$16:$S605),0)+1)</f>
        <v>2.0047000000000308</v>
      </c>
      <c r="T606" s="2131">
        <f t="shared" si="132"/>
        <v>0</v>
      </c>
      <c r="U606" s="2131">
        <f t="shared" si="133"/>
        <v>0</v>
      </c>
      <c r="V606" s="2071">
        <f t="shared" si="138"/>
        <v>590</v>
      </c>
    </row>
    <row r="607" spans="1:22" hidden="1">
      <c r="A607" s="2124">
        <f t="shared" si="139"/>
        <v>1</v>
      </c>
      <c r="B607" s="2073">
        <v>591</v>
      </c>
      <c r="C607" s="2104">
        <f t="shared" si="140"/>
        <v>0</v>
      </c>
      <c r="D607" s="2125">
        <f t="shared" si="128"/>
        <v>0.03</v>
      </c>
      <c r="E607" s="2104">
        <f t="shared" si="134"/>
        <v>0</v>
      </c>
      <c r="F607" s="2135"/>
      <c r="G607" s="2127">
        <f t="shared" si="141"/>
        <v>3</v>
      </c>
      <c r="H607" s="2075">
        <v>591</v>
      </c>
      <c r="I607" s="2104">
        <f t="shared" si="135"/>
        <v>0</v>
      </c>
      <c r="J607" s="2125">
        <f t="shared" si="136"/>
        <v>3.5000000000000003E-2</v>
      </c>
      <c r="K607" s="2083"/>
      <c r="L607" s="2106"/>
      <c r="N607" s="2071">
        <f t="shared" si="137"/>
        <v>591</v>
      </c>
      <c r="O607" s="2130">
        <f>IF(D606=D607,O606+0.00001,ROUNDDOWN(MAX($O$16:$O606),0)+1)</f>
        <v>5.9099999999999275E-3</v>
      </c>
      <c r="P607" s="2131">
        <f t="shared" si="129"/>
        <v>0</v>
      </c>
      <c r="Q607" s="2131">
        <f t="shared" si="130"/>
        <v>0</v>
      </c>
      <c r="R607" s="2131">
        <f t="shared" si="131"/>
        <v>0</v>
      </c>
      <c r="S607" s="2130">
        <f>IF(J606=J607,S606+0.00001,ROUNDDOWN(MAX($S$16:$S606),0)+1)</f>
        <v>2.0047100000000309</v>
      </c>
      <c r="T607" s="2131">
        <f t="shared" si="132"/>
        <v>0</v>
      </c>
      <c r="U607" s="2131">
        <f t="shared" si="133"/>
        <v>0</v>
      </c>
      <c r="V607" s="2071">
        <f t="shared" si="138"/>
        <v>591</v>
      </c>
    </row>
    <row r="608" spans="1:22" hidden="1">
      <c r="A608" s="2124">
        <f t="shared" si="139"/>
        <v>1</v>
      </c>
      <c r="B608" s="2073">
        <v>592</v>
      </c>
      <c r="C608" s="2104">
        <f t="shared" si="140"/>
        <v>0</v>
      </c>
      <c r="D608" s="2125">
        <f t="shared" si="128"/>
        <v>0.03</v>
      </c>
      <c r="E608" s="2104">
        <f t="shared" si="134"/>
        <v>0</v>
      </c>
      <c r="F608" s="2135"/>
      <c r="G608" s="2127">
        <f t="shared" si="141"/>
        <v>3</v>
      </c>
      <c r="H608" s="2075">
        <v>592</v>
      </c>
      <c r="I608" s="2104">
        <f t="shared" si="135"/>
        <v>0</v>
      </c>
      <c r="J608" s="2125">
        <f t="shared" si="136"/>
        <v>3.5000000000000003E-2</v>
      </c>
      <c r="K608" s="2083"/>
      <c r="L608" s="2106"/>
      <c r="N608" s="2071">
        <f t="shared" si="137"/>
        <v>592</v>
      </c>
      <c r="O608" s="2130">
        <f>IF(D607=D608,O607+0.00001,ROUNDDOWN(MAX($O$16:$O607),0)+1)</f>
        <v>5.9199999999999271E-3</v>
      </c>
      <c r="P608" s="2131">
        <f t="shared" si="129"/>
        <v>0</v>
      </c>
      <c r="Q608" s="2131">
        <f t="shared" si="130"/>
        <v>0</v>
      </c>
      <c r="R608" s="2131">
        <f t="shared" si="131"/>
        <v>0</v>
      </c>
      <c r="S608" s="2130">
        <f>IF(J607=J608,S607+0.00001,ROUNDDOWN(MAX($S$16:$S607),0)+1)</f>
        <v>2.0047200000000309</v>
      </c>
      <c r="T608" s="2131">
        <f t="shared" si="132"/>
        <v>0</v>
      </c>
      <c r="U608" s="2131">
        <f t="shared" si="133"/>
        <v>0</v>
      </c>
      <c r="V608" s="2071">
        <f t="shared" si="138"/>
        <v>592</v>
      </c>
    </row>
    <row r="609" spans="1:22" hidden="1">
      <c r="A609" s="2124">
        <f t="shared" si="139"/>
        <v>1</v>
      </c>
      <c r="B609" s="2073">
        <v>593</v>
      </c>
      <c r="C609" s="2104">
        <f t="shared" si="140"/>
        <v>0</v>
      </c>
      <c r="D609" s="2125">
        <f t="shared" si="128"/>
        <v>0.03</v>
      </c>
      <c r="E609" s="2104">
        <f t="shared" si="134"/>
        <v>0</v>
      </c>
      <c r="F609" s="2135"/>
      <c r="G609" s="2127">
        <f t="shared" si="141"/>
        <v>3</v>
      </c>
      <c r="H609" s="2075">
        <v>593</v>
      </c>
      <c r="I609" s="2104">
        <f t="shared" si="135"/>
        <v>0</v>
      </c>
      <c r="J609" s="2125">
        <f t="shared" si="136"/>
        <v>3.5000000000000003E-2</v>
      </c>
      <c r="K609" s="2083"/>
      <c r="L609" s="2106"/>
      <c r="N609" s="2071">
        <f t="shared" si="137"/>
        <v>593</v>
      </c>
      <c r="O609" s="2130">
        <f>IF(D608=D609,O608+0.00001,ROUNDDOWN(MAX($O$16:$O608),0)+1)</f>
        <v>5.9299999999999266E-3</v>
      </c>
      <c r="P609" s="2131">
        <f t="shared" si="129"/>
        <v>0</v>
      </c>
      <c r="Q609" s="2131">
        <f t="shared" si="130"/>
        <v>0</v>
      </c>
      <c r="R609" s="2131">
        <f t="shared" si="131"/>
        <v>0</v>
      </c>
      <c r="S609" s="2130">
        <f>IF(J608=J609,S608+0.00001,ROUNDDOWN(MAX($S$16:$S608),0)+1)</f>
        <v>2.004730000000031</v>
      </c>
      <c r="T609" s="2131">
        <f t="shared" si="132"/>
        <v>0</v>
      </c>
      <c r="U609" s="2131">
        <f t="shared" si="133"/>
        <v>0</v>
      </c>
      <c r="V609" s="2071">
        <f t="shared" si="138"/>
        <v>593</v>
      </c>
    </row>
    <row r="610" spans="1:22" hidden="1">
      <c r="A610" s="2124">
        <f t="shared" si="139"/>
        <v>1</v>
      </c>
      <c r="B610" s="2073">
        <v>594</v>
      </c>
      <c r="C610" s="2104">
        <f t="shared" si="140"/>
        <v>0</v>
      </c>
      <c r="D610" s="2125">
        <f t="shared" si="128"/>
        <v>0.03</v>
      </c>
      <c r="E610" s="2104">
        <f t="shared" si="134"/>
        <v>0</v>
      </c>
      <c r="F610" s="2135"/>
      <c r="G610" s="2127">
        <f t="shared" si="141"/>
        <v>3</v>
      </c>
      <c r="H610" s="2075">
        <v>594</v>
      </c>
      <c r="I610" s="2104">
        <f t="shared" si="135"/>
        <v>0</v>
      </c>
      <c r="J610" s="2125">
        <f t="shared" si="136"/>
        <v>3.5000000000000003E-2</v>
      </c>
      <c r="K610" s="2083"/>
      <c r="L610" s="2106"/>
      <c r="N610" s="2071">
        <f t="shared" si="137"/>
        <v>594</v>
      </c>
      <c r="O610" s="2130">
        <f>IF(D609=D610,O609+0.00001,ROUNDDOWN(MAX($O$16:$O609),0)+1)</f>
        <v>5.9399999999999262E-3</v>
      </c>
      <c r="P610" s="2131">
        <f t="shared" si="129"/>
        <v>0</v>
      </c>
      <c r="Q610" s="2131">
        <f t="shared" si="130"/>
        <v>0</v>
      </c>
      <c r="R610" s="2131">
        <f t="shared" si="131"/>
        <v>0</v>
      </c>
      <c r="S610" s="2130">
        <f>IF(J609=J610,S609+0.00001,ROUNDDOWN(MAX($S$16:$S609),0)+1)</f>
        <v>2.0047400000000311</v>
      </c>
      <c r="T610" s="2131">
        <f t="shared" si="132"/>
        <v>0</v>
      </c>
      <c r="U610" s="2131">
        <f t="shared" si="133"/>
        <v>0</v>
      </c>
      <c r="V610" s="2071">
        <f t="shared" si="138"/>
        <v>594</v>
      </c>
    </row>
    <row r="611" spans="1:22" hidden="1">
      <c r="A611" s="2124">
        <f t="shared" si="139"/>
        <v>1</v>
      </c>
      <c r="B611" s="2073">
        <v>595</v>
      </c>
      <c r="C611" s="2104">
        <f t="shared" si="140"/>
        <v>0</v>
      </c>
      <c r="D611" s="2125">
        <f t="shared" si="128"/>
        <v>0.03</v>
      </c>
      <c r="E611" s="2104">
        <f t="shared" si="134"/>
        <v>0</v>
      </c>
      <c r="F611" s="2135"/>
      <c r="G611" s="2127">
        <f t="shared" si="141"/>
        <v>3</v>
      </c>
      <c r="H611" s="2075">
        <v>595</v>
      </c>
      <c r="I611" s="2104">
        <f t="shared" si="135"/>
        <v>0</v>
      </c>
      <c r="J611" s="2125">
        <f t="shared" si="136"/>
        <v>3.5000000000000003E-2</v>
      </c>
      <c r="K611" s="2083"/>
      <c r="L611" s="2106"/>
      <c r="N611" s="2071">
        <f t="shared" si="137"/>
        <v>595</v>
      </c>
      <c r="O611" s="2130">
        <f>IF(D610=D611,O610+0.00001,ROUNDDOWN(MAX($O$16:$O610),0)+1)</f>
        <v>5.9499999999999258E-3</v>
      </c>
      <c r="P611" s="2131">
        <f t="shared" si="129"/>
        <v>0</v>
      </c>
      <c r="Q611" s="2131">
        <f t="shared" si="130"/>
        <v>0</v>
      </c>
      <c r="R611" s="2131">
        <f t="shared" si="131"/>
        <v>0</v>
      </c>
      <c r="S611" s="2130">
        <f>IF(J610=J611,S610+0.00001,ROUNDDOWN(MAX($S$16:$S610),0)+1)</f>
        <v>2.0047500000000311</v>
      </c>
      <c r="T611" s="2131">
        <f t="shared" si="132"/>
        <v>0</v>
      </c>
      <c r="U611" s="2131">
        <f t="shared" si="133"/>
        <v>0</v>
      </c>
      <c r="V611" s="2071">
        <f t="shared" si="138"/>
        <v>595</v>
      </c>
    </row>
    <row r="612" spans="1:22" hidden="1">
      <c r="A612" s="2124">
        <f t="shared" si="139"/>
        <v>1</v>
      </c>
      <c r="B612" s="2073">
        <v>596</v>
      </c>
      <c r="C612" s="2104">
        <f t="shared" si="140"/>
        <v>0</v>
      </c>
      <c r="D612" s="2125">
        <f t="shared" si="128"/>
        <v>0.03</v>
      </c>
      <c r="E612" s="2104">
        <f t="shared" si="134"/>
        <v>0</v>
      </c>
      <c r="F612" s="2135"/>
      <c r="G612" s="2127">
        <f t="shared" si="141"/>
        <v>3</v>
      </c>
      <c r="H612" s="2075">
        <v>596</v>
      </c>
      <c r="I612" s="2104">
        <f t="shared" si="135"/>
        <v>0</v>
      </c>
      <c r="J612" s="2125">
        <f t="shared" si="136"/>
        <v>3.5000000000000003E-2</v>
      </c>
      <c r="K612" s="2083"/>
      <c r="L612" s="2106"/>
      <c r="N612" s="2071">
        <f t="shared" si="137"/>
        <v>596</v>
      </c>
      <c r="O612" s="2130">
        <f>IF(D611=D612,O611+0.00001,ROUNDDOWN(MAX($O$16:$O611),0)+1)</f>
        <v>5.9599999999999254E-3</v>
      </c>
      <c r="P612" s="2131">
        <f t="shared" si="129"/>
        <v>0</v>
      </c>
      <c r="Q612" s="2131">
        <f t="shared" si="130"/>
        <v>0</v>
      </c>
      <c r="R612" s="2131">
        <f t="shared" si="131"/>
        <v>0</v>
      </c>
      <c r="S612" s="2130">
        <f>IF(J611=J612,S611+0.00001,ROUNDDOWN(MAX($S$16:$S611),0)+1)</f>
        <v>2.0047600000000312</v>
      </c>
      <c r="T612" s="2131">
        <f t="shared" si="132"/>
        <v>0</v>
      </c>
      <c r="U612" s="2131">
        <f t="shared" si="133"/>
        <v>0</v>
      </c>
      <c r="V612" s="2071">
        <f t="shared" si="138"/>
        <v>596</v>
      </c>
    </row>
    <row r="613" spans="1:22" hidden="1">
      <c r="A613" s="2124">
        <f t="shared" si="139"/>
        <v>1</v>
      </c>
      <c r="B613" s="2073">
        <v>597</v>
      </c>
      <c r="C613" s="2104">
        <f t="shared" si="140"/>
        <v>0</v>
      </c>
      <c r="D613" s="2125">
        <f t="shared" si="128"/>
        <v>0.03</v>
      </c>
      <c r="E613" s="2104">
        <f t="shared" si="134"/>
        <v>0</v>
      </c>
      <c r="F613" s="2135"/>
      <c r="G613" s="2127">
        <f t="shared" si="141"/>
        <v>3</v>
      </c>
      <c r="H613" s="2075">
        <v>597</v>
      </c>
      <c r="I613" s="2104">
        <f t="shared" si="135"/>
        <v>0</v>
      </c>
      <c r="J613" s="2125">
        <f t="shared" si="136"/>
        <v>3.5000000000000003E-2</v>
      </c>
      <c r="K613" s="2083"/>
      <c r="L613" s="2106"/>
      <c r="N613" s="2071">
        <f t="shared" si="137"/>
        <v>597</v>
      </c>
      <c r="O613" s="2130">
        <f>IF(D612=D613,O612+0.00001,ROUNDDOWN(MAX($O$16:$O612),0)+1)</f>
        <v>5.969999999999925E-3</v>
      </c>
      <c r="P613" s="2131">
        <f t="shared" si="129"/>
        <v>0</v>
      </c>
      <c r="Q613" s="2131">
        <f t="shared" si="130"/>
        <v>0</v>
      </c>
      <c r="R613" s="2131">
        <f t="shared" si="131"/>
        <v>0</v>
      </c>
      <c r="S613" s="2130">
        <f>IF(J612=J613,S612+0.00001,ROUNDDOWN(MAX($S$16:$S612),0)+1)</f>
        <v>2.0047700000000312</v>
      </c>
      <c r="T613" s="2131">
        <f t="shared" si="132"/>
        <v>0</v>
      </c>
      <c r="U613" s="2131">
        <f t="shared" si="133"/>
        <v>0</v>
      </c>
      <c r="V613" s="2071">
        <f t="shared" si="138"/>
        <v>597</v>
      </c>
    </row>
    <row r="614" spans="1:22" hidden="1">
      <c r="A614" s="2124">
        <f t="shared" si="139"/>
        <v>1</v>
      </c>
      <c r="B614" s="2073">
        <v>598</v>
      </c>
      <c r="C614" s="2104">
        <f t="shared" si="140"/>
        <v>0</v>
      </c>
      <c r="D614" s="2125">
        <f t="shared" si="128"/>
        <v>0.03</v>
      </c>
      <c r="E614" s="2104">
        <f t="shared" si="134"/>
        <v>0</v>
      </c>
      <c r="F614" s="2135"/>
      <c r="G614" s="2127">
        <f t="shared" si="141"/>
        <v>3</v>
      </c>
      <c r="H614" s="2075">
        <v>598</v>
      </c>
      <c r="I614" s="2104">
        <f t="shared" si="135"/>
        <v>0</v>
      </c>
      <c r="J614" s="2125">
        <f t="shared" si="136"/>
        <v>3.5000000000000003E-2</v>
      </c>
      <c r="K614" s="2083"/>
      <c r="L614" s="2106"/>
      <c r="N614" s="2071">
        <f t="shared" si="137"/>
        <v>598</v>
      </c>
      <c r="O614" s="2130">
        <f>IF(D613=D614,O613+0.00001,ROUNDDOWN(MAX($O$16:$O613),0)+1)</f>
        <v>5.9799999999999246E-3</v>
      </c>
      <c r="P614" s="2131">
        <f t="shared" si="129"/>
        <v>0</v>
      </c>
      <c r="Q614" s="2131">
        <f t="shared" si="130"/>
        <v>0</v>
      </c>
      <c r="R614" s="2131">
        <f t="shared" si="131"/>
        <v>0</v>
      </c>
      <c r="S614" s="2130">
        <f>IF(J613=J614,S613+0.00001,ROUNDDOWN(MAX($S$16:$S613),0)+1)</f>
        <v>2.0047800000000313</v>
      </c>
      <c r="T614" s="2131">
        <f t="shared" si="132"/>
        <v>0</v>
      </c>
      <c r="U614" s="2131">
        <f t="shared" si="133"/>
        <v>0</v>
      </c>
      <c r="V614" s="2071">
        <f t="shared" si="138"/>
        <v>598</v>
      </c>
    </row>
    <row r="615" spans="1:22" hidden="1">
      <c r="A615" s="2124">
        <f t="shared" si="139"/>
        <v>1</v>
      </c>
      <c r="B615" s="2073">
        <v>599</v>
      </c>
      <c r="C615" s="2104">
        <f t="shared" si="140"/>
        <v>0</v>
      </c>
      <c r="D615" s="2125">
        <f t="shared" si="128"/>
        <v>0.03</v>
      </c>
      <c r="E615" s="2104">
        <f t="shared" si="134"/>
        <v>0</v>
      </c>
      <c r="F615" s="2135"/>
      <c r="G615" s="2127">
        <f t="shared" si="141"/>
        <v>3</v>
      </c>
      <c r="H615" s="2075">
        <v>599</v>
      </c>
      <c r="I615" s="2104">
        <f t="shared" si="135"/>
        <v>0</v>
      </c>
      <c r="J615" s="2125">
        <f t="shared" si="136"/>
        <v>3.5000000000000003E-2</v>
      </c>
      <c r="K615" s="2083"/>
      <c r="L615" s="2106"/>
      <c r="N615" s="2071">
        <f t="shared" si="137"/>
        <v>599</v>
      </c>
      <c r="O615" s="2130">
        <f>IF(D614=D615,O614+0.00001,ROUNDDOWN(MAX($O$16:$O614),0)+1)</f>
        <v>5.9899999999999242E-3</v>
      </c>
      <c r="P615" s="2131">
        <f t="shared" si="129"/>
        <v>0</v>
      </c>
      <c r="Q615" s="2131">
        <f t="shared" si="130"/>
        <v>0</v>
      </c>
      <c r="R615" s="2131">
        <f t="shared" si="131"/>
        <v>0</v>
      </c>
      <c r="S615" s="2130">
        <f>IF(J614=J615,S614+0.00001,ROUNDDOWN(MAX($S$16:$S614),0)+1)</f>
        <v>2.0047900000000314</v>
      </c>
      <c r="T615" s="2131">
        <f t="shared" si="132"/>
        <v>0</v>
      </c>
      <c r="U615" s="2131">
        <f t="shared" si="133"/>
        <v>0</v>
      </c>
      <c r="V615" s="2071">
        <f t="shared" si="138"/>
        <v>599</v>
      </c>
    </row>
    <row r="616" spans="1:22" hidden="1">
      <c r="A616" s="2124">
        <f t="shared" si="139"/>
        <v>1</v>
      </c>
      <c r="B616" s="2073">
        <v>600</v>
      </c>
      <c r="C616" s="2104">
        <f t="shared" si="140"/>
        <v>0</v>
      </c>
      <c r="D616" s="2125">
        <f t="shared" si="128"/>
        <v>0.03</v>
      </c>
      <c r="E616" s="2104">
        <f t="shared" si="134"/>
        <v>0</v>
      </c>
      <c r="F616" s="2135"/>
      <c r="G616" s="2127">
        <f t="shared" si="141"/>
        <v>3</v>
      </c>
      <c r="H616" s="2075">
        <v>600</v>
      </c>
      <c r="I616" s="2104">
        <f t="shared" si="135"/>
        <v>0</v>
      </c>
      <c r="J616" s="2125">
        <f t="shared" si="136"/>
        <v>3.5000000000000003E-2</v>
      </c>
      <c r="K616" s="2083"/>
      <c r="L616" s="2106"/>
      <c r="N616" s="2071">
        <f t="shared" si="137"/>
        <v>600</v>
      </c>
      <c r="O616" s="2130">
        <f>IF(D615=D616,O615+0.00001,ROUNDDOWN(MAX($O$16:$O615),0)+1)</f>
        <v>5.9999999999999238E-3</v>
      </c>
      <c r="P616" s="2131">
        <f t="shared" si="129"/>
        <v>0</v>
      </c>
      <c r="Q616" s="2131">
        <f t="shared" si="130"/>
        <v>0</v>
      </c>
      <c r="R616" s="2131">
        <f t="shared" si="131"/>
        <v>0</v>
      </c>
      <c r="S616" s="2130">
        <f>IF(J615=J616,S615+0.00001,ROUNDDOWN(MAX($S$16:$S615),0)+1)</f>
        <v>2.0048000000000314</v>
      </c>
      <c r="T616" s="2131">
        <f t="shared" si="132"/>
        <v>0</v>
      </c>
      <c r="U616" s="2131">
        <f t="shared" si="133"/>
        <v>0</v>
      </c>
      <c r="V616" s="2071">
        <f t="shared" si="138"/>
        <v>600</v>
      </c>
    </row>
    <row r="617" spans="1:22" hidden="1">
      <c r="A617" s="2124">
        <f t="shared" si="139"/>
        <v>1</v>
      </c>
      <c r="B617" s="2073">
        <v>601</v>
      </c>
      <c r="C617" s="2104">
        <f t="shared" si="140"/>
        <v>0</v>
      </c>
      <c r="D617" s="2125">
        <f t="shared" si="128"/>
        <v>0.03</v>
      </c>
      <c r="E617" s="2104">
        <f t="shared" si="134"/>
        <v>0</v>
      </c>
      <c r="F617" s="2135"/>
      <c r="G617" s="2127">
        <f t="shared" si="141"/>
        <v>3</v>
      </c>
      <c r="H617" s="2075">
        <v>601</v>
      </c>
      <c r="I617" s="2104">
        <f t="shared" si="135"/>
        <v>0</v>
      </c>
      <c r="J617" s="2125">
        <f t="shared" si="136"/>
        <v>3.5000000000000003E-2</v>
      </c>
      <c r="K617" s="2083"/>
      <c r="L617" s="2106"/>
      <c r="N617" s="2071">
        <f t="shared" si="137"/>
        <v>601</v>
      </c>
      <c r="O617" s="2130">
        <f>IF(D616=D617,O616+0.00001,ROUNDDOWN(MAX($O$16:$O616),0)+1)</f>
        <v>6.0099999999999234E-3</v>
      </c>
      <c r="P617" s="2131">
        <f t="shared" si="129"/>
        <v>0</v>
      </c>
      <c r="Q617" s="2131">
        <f t="shared" si="130"/>
        <v>0</v>
      </c>
      <c r="R617" s="2131">
        <f t="shared" si="131"/>
        <v>0</v>
      </c>
      <c r="S617" s="2130">
        <f>IF(J616=J617,S616+0.00001,ROUNDDOWN(MAX($S$16:$S616),0)+1)</f>
        <v>2.0048100000000315</v>
      </c>
      <c r="T617" s="2131">
        <f t="shared" si="132"/>
        <v>0</v>
      </c>
      <c r="U617" s="2131">
        <f t="shared" si="133"/>
        <v>0</v>
      </c>
      <c r="V617" s="2071">
        <f t="shared" si="138"/>
        <v>601</v>
      </c>
    </row>
    <row r="618" spans="1:22" hidden="1">
      <c r="A618" s="2124">
        <f t="shared" si="139"/>
        <v>1</v>
      </c>
      <c r="B618" s="2073">
        <v>602</v>
      </c>
      <c r="C618" s="2104">
        <f t="shared" si="140"/>
        <v>0</v>
      </c>
      <c r="D618" s="2125">
        <f t="shared" si="128"/>
        <v>0.03</v>
      </c>
      <c r="E618" s="2104">
        <f t="shared" si="134"/>
        <v>0</v>
      </c>
      <c r="F618" s="2135"/>
      <c r="G618" s="2127">
        <f t="shared" si="141"/>
        <v>3</v>
      </c>
      <c r="H618" s="2075">
        <v>602</v>
      </c>
      <c r="I618" s="2104">
        <f t="shared" si="135"/>
        <v>0</v>
      </c>
      <c r="J618" s="2125">
        <f t="shared" si="136"/>
        <v>3.5000000000000003E-2</v>
      </c>
      <c r="K618" s="2083"/>
      <c r="L618" s="2106"/>
      <c r="N618" s="2071">
        <f t="shared" si="137"/>
        <v>602</v>
      </c>
      <c r="O618" s="2130">
        <f>IF(D617=D618,O617+0.00001,ROUNDDOWN(MAX($O$16:$O617),0)+1)</f>
        <v>6.019999999999923E-3</v>
      </c>
      <c r="P618" s="2131">
        <f t="shared" si="129"/>
        <v>0</v>
      </c>
      <c r="Q618" s="2131">
        <f t="shared" si="130"/>
        <v>0</v>
      </c>
      <c r="R618" s="2131">
        <f t="shared" si="131"/>
        <v>0</v>
      </c>
      <c r="S618" s="2130">
        <f>IF(J617=J618,S617+0.00001,ROUNDDOWN(MAX($S$16:$S617),0)+1)</f>
        <v>2.0048200000000316</v>
      </c>
      <c r="T618" s="2131">
        <f t="shared" si="132"/>
        <v>0</v>
      </c>
      <c r="U618" s="2131">
        <f t="shared" si="133"/>
        <v>0</v>
      </c>
      <c r="V618" s="2071">
        <f t="shared" si="138"/>
        <v>602</v>
      </c>
    </row>
    <row r="619" spans="1:22" hidden="1">
      <c r="A619" s="2124">
        <f t="shared" si="139"/>
        <v>1</v>
      </c>
      <c r="B619" s="2073">
        <v>603</v>
      </c>
      <c r="C619" s="2104">
        <f t="shared" si="140"/>
        <v>0</v>
      </c>
      <c r="D619" s="2125">
        <f t="shared" si="128"/>
        <v>0.03</v>
      </c>
      <c r="E619" s="2104">
        <f t="shared" si="134"/>
        <v>0</v>
      </c>
      <c r="F619" s="2135"/>
      <c r="G619" s="2127">
        <f t="shared" si="141"/>
        <v>3</v>
      </c>
      <c r="H619" s="2075">
        <v>603</v>
      </c>
      <c r="I619" s="2104">
        <f t="shared" si="135"/>
        <v>0</v>
      </c>
      <c r="J619" s="2125">
        <f t="shared" si="136"/>
        <v>3.5000000000000003E-2</v>
      </c>
      <c r="K619" s="2083"/>
      <c r="L619" s="2106"/>
      <c r="N619" s="2071">
        <f t="shared" si="137"/>
        <v>603</v>
      </c>
      <c r="O619" s="2130">
        <f>IF(D618=D619,O618+0.00001,ROUNDDOWN(MAX($O$16:$O618),0)+1)</f>
        <v>6.0299999999999226E-3</v>
      </c>
      <c r="P619" s="2131">
        <f t="shared" si="129"/>
        <v>0</v>
      </c>
      <c r="Q619" s="2131">
        <f t="shared" si="130"/>
        <v>0</v>
      </c>
      <c r="R619" s="2131">
        <f t="shared" si="131"/>
        <v>0</v>
      </c>
      <c r="S619" s="2130">
        <f>IF(J618=J619,S618+0.00001,ROUNDDOWN(MAX($S$16:$S618),0)+1)</f>
        <v>2.0048300000000316</v>
      </c>
      <c r="T619" s="2131">
        <f t="shared" si="132"/>
        <v>0</v>
      </c>
      <c r="U619" s="2131">
        <f t="shared" si="133"/>
        <v>0</v>
      </c>
      <c r="V619" s="2071">
        <f t="shared" si="138"/>
        <v>603</v>
      </c>
    </row>
    <row r="620" spans="1:22" hidden="1">
      <c r="A620" s="2124">
        <f t="shared" si="139"/>
        <v>1</v>
      </c>
      <c r="B620" s="2073">
        <v>604</v>
      </c>
      <c r="C620" s="2104">
        <f t="shared" si="140"/>
        <v>0</v>
      </c>
      <c r="D620" s="2125">
        <f t="shared" si="128"/>
        <v>0.03</v>
      </c>
      <c r="E620" s="2104">
        <f t="shared" si="134"/>
        <v>0</v>
      </c>
      <c r="F620" s="2135"/>
      <c r="G620" s="2127">
        <f t="shared" si="141"/>
        <v>3</v>
      </c>
      <c r="H620" s="2075">
        <v>604</v>
      </c>
      <c r="I620" s="2104">
        <f t="shared" si="135"/>
        <v>0</v>
      </c>
      <c r="J620" s="2125">
        <f t="shared" si="136"/>
        <v>3.5000000000000003E-2</v>
      </c>
      <c r="K620" s="2083"/>
      <c r="L620" s="2106"/>
      <c r="N620" s="2071">
        <f t="shared" si="137"/>
        <v>604</v>
      </c>
      <c r="O620" s="2130">
        <f>IF(D619=D620,O619+0.00001,ROUNDDOWN(MAX($O$16:$O619),0)+1)</f>
        <v>6.0399999999999222E-3</v>
      </c>
      <c r="P620" s="2131">
        <f t="shared" si="129"/>
        <v>0</v>
      </c>
      <c r="Q620" s="2131">
        <f t="shared" si="130"/>
        <v>0</v>
      </c>
      <c r="R620" s="2131">
        <f t="shared" si="131"/>
        <v>0</v>
      </c>
      <c r="S620" s="2130">
        <f>IF(J619=J620,S619+0.00001,ROUNDDOWN(MAX($S$16:$S619),0)+1)</f>
        <v>2.0048400000000317</v>
      </c>
      <c r="T620" s="2131">
        <f t="shared" si="132"/>
        <v>0</v>
      </c>
      <c r="U620" s="2131">
        <f t="shared" si="133"/>
        <v>0</v>
      </c>
      <c r="V620" s="2071">
        <f t="shared" si="138"/>
        <v>604</v>
      </c>
    </row>
    <row r="621" spans="1:22" hidden="1">
      <c r="A621" s="2124">
        <f t="shared" si="139"/>
        <v>1</v>
      </c>
      <c r="B621" s="2073">
        <v>605</v>
      </c>
      <c r="C621" s="2104">
        <f t="shared" si="140"/>
        <v>0</v>
      </c>
      <c r="D621" s="2125">
        <f t="shared" si="128"/>
        <v>0.03</v>
      </c>
      <c r="E621" s="2104">
        <f t="shared" si="134"/>
        <v>0</v>
      </c>
      <c r="F621" s="2135"/>
      <c r="G621" s="2127">
        <f t="shared" si="141"/>
        <v>3</v>
      </c>
      <c r="H621" s="2075">
        <v>605</v>
      </c>
      <c r="I621" s="2104">
        <f t="shared" si="135"/>
        <v>0</v>
      </c>
      <c r="J621" s="2125">
        <f t="shared" si="136"/>
        <v>3.5000000000000003E-2</v>
      </c>
      <c r="K621" s="2083"/>
      <c r="L621" s="2106"/>
      <c r="N621" s="2071">
        <f t="shared" si="137"/>
        <v>605</v>
      </c>
      <c r="O621" s="2130">
        <f>IF(D620=D621,O620+0.00001,ROUNDDOWN(MAX($O$16:$O620),0)+1)</f>
        <v>6.0499999999999218E-3</v>
      </c>
      <c r="P621" s="2131">
        <f t="shared" si="129"/>
        <v>0</v>
      </c>
      <c r="Q621" s="2131">
        <f t="shared" si="130"/>
        <v>0</v>
      </c>
      <c r="R621" s="2131">
        <f t="shared" si="131"/>
        <v>0</v>
      </c>
      <c r="S621" s="2130">
        <f>IF(J620=J621,S620+0.00001,ROUNDDOWN(MAX($S$16:$S620),0)+1)</f>
        <v>2.0048500000000318</v>
      </c>
      <c r="T621" s="2131">
        <f t="shared" si="132"/>
        <v>0</v>
      </c>
      <c r="U621" s="2131">
        <f t="shared" si="133"/>
        <v>0</v>
      </c>
      <c r="V621" s="2071">
        <f t="shared" si="138"/>
        <v>605</v>
      </c>
    </row>
    <row r="622" spans="1:22" hidden="1">
      <c r="A622" s="2124">
        <f t="shared" si="139"/>
        <v>1</v>
      </c>
      <c r="B622" s="2073">
        <v>606</v>
      </c>
      <c r="C622" s="2104">
        <f t="shared" si="140"/>
        <v>0</v>
      </c>
      <c r="D622" s="2125">
        <f t="shared" si="128"/>
        <v>0.03</v>
      </c>
      <c r="E622" s="2104">
        <f t="shared" si="134"/>
        <v>0</v>
      </c>
      <c r="F622" s="2135"/>
      <c r="G622" s="2127">
        <f t="shared" si="141"/>
        <v>3</v>
      </c>
      <c r="H622" s="2075">
        <v>606</v>
      </c>
      <c r="I622" s="2104">
        <f t="shared" si="135"/>
        <v>0</v>
      </c>
      <c r="J622" s="2125">
        <f t="shared" si="136"/>
        <v>3.5000000000000003E-2</v>
      </c>
      <c r="K622" s="2083"/>
      <c r="L622" s="2106"/>
      <c r="N622" s="2071">
        <f t="shared" si="137"/>
        <v>606</v>
      </c>
      <c r="O622" s="2130">
        <f>IF(D621=D622,O621+0.00001,ROUNDDOWN(MAX($O$16:$O621),0)+1)</f>
        <v>6.0599999999999214E-3</v>
      </c>
      <c r="P622" s="2131">
        <f t="shared" si="129"/>
        <v>0</v>
      </c>
      <c r="Q622" s="2131">
        <f t="shared" si="130"/>
        <v>0</v>
      </c>
      <c r="R622" s="2131">
        <f t="shared" si="131"/>
        <v>0</v>
      </c>
      <c r="S622" s="2130">
        <f>IF(J621=J622,S621+0.00001,ROUNDDOWN(MAX($S$16:$S621),0)+1)</f>
        <v>2.0048600000000318</v>
      </c>
      <c r="T622" s="2131">
        <f t="shared" si="132"/>
        <v>0</v>
      </c>
      <c r="U622" s="2131">
        <f t="shared" si="133"/>
        <v>0</v>
      </c>
      <c r="V622" s="2071">
        <f t="shared" si="138"/>
        <v>606</v>
      </c>
    </row>
    <row r="623" spans="1:22" hidden="1">
      <c r="A623" s="2124">
        <f t="shared" si="139"/>
        <v>1</v>
      </c>
      <c r="B623" s="2073">
        <v>607</v>
      </c>
      <c r="C623" s="2104">
        <f t="shared" si="140"/>
        <v>0</v>
      </c>
      <c r="D623" s="2125">
        <f t="shared" si="128"/>
        <v>0.03</v>
      </c>
      <c r="E623" s="2104">
        <f t="shared" si="134"/>
        <v>0</v>
      </c>
      <c r="F623" s="2135"/>
      <c r="G623" s="2127">
        <f t="shared" si="141"/>
        <v>3</v>
      </c>
      <c r="H623" s="2075">
        <v>607</v>
      </c>
      <c r="I623" s="2104">
        <f t="shared" si="135"/>
        <v>0</v>
      </c>
      <c r="J623" s="2125">
        <f t="shared" si="136"/>
        <v>3.5000000000000003E-2</v>
      </c>
      <c r="K623" s="2083"/>
      <c r="L623" s="2106"/>
      <c r="N623" s="2071">
        <f t="shared" si="137"/>
        <v>607</v>
      </c>
      <c r="O623" s="2130">
        <f>IF(D622=D623,O622+0.00001,ROUNDDOWN(MAX($O$16:$O622),0)+1)</f>
        <v>6.0699999999999209E-3</v>
      </c>
      <c r="P623" s="2131">
        <f t="shared" si="129"/>
        <v>0</v>
      </c>
      <c r="Q623" s="2131">
        <f t="shared" si="130"/>
        <v>0</v>
      </c>
      <c r="R623" s="2131">
        <f t="shared" si="131"/>
        <v>0</v>
      </c>
      <c r="S623" s="2130">
        <f>IF(J622=J623,S622+0.00001,ROUNDDOWN(MAX($S$16:$S622),0)+1)</f>
        <v>2.0048700000000319</v>
      </c>
      <c r="T623" s="2131">
        <f t="shared" si="132"/>
        <v>0</v>
      </c>
      <c r="U623" s="2131">
        <f t="shared" si="133"/>
        <v>0</v>
      </c>
      <c r="V623" s="2071">
        <f t="shared" si="138"/>
        <v>607</v>
      </c>
    </row>
    <row r="624" spans="1:22" hidden="1">
      <c r="A624" s="2124">
        <f t="shared" si="139"/>
        <v>1</v>
      </c>
      <c r="B624" s="2073">
        <v>608</v>
      </c>
      <c r="C624" s="2104">
        <f t="shared" si="140"/>
        <v>0</v>
      </c>
      <c r="D624" s="2125">
        <f t="shared" si="128"/>
        <v>0.03</v>
      </c>
      <c r="E624" s="2104">
        <f t="shared" si="134"/>
        <v>0</v>
      </c>
      <c r="F624" s="2135"/>
      <c r="G624" s="2127">
        <f t="shared" si="141"/>
        <v>3</v>
      </c>
      <c r="H624" s="2075">
        <v>608</v>
      </c>
      <c r="I624" s="2104">
        <f t="shared" si="135"/>
        <v>0</v>
      </c>
      <c r="J624" s="2125">
        <f t="shared" si="136"/>
        <v>3.5000000000000003E-2</v>
      </c>
      <c r="K624" s="2083"/>
      <c r="L624" s="2106"/>
      <c r="N624" s="2071">
        <f t="shared" si="137"/>
        <v>608</v>
      </c>
      <c r="O624" s="2130">
        <f>IF(D623=D624,O623+0.00001,ROUNDDOWN(MAX($O$16:$O623),0)+1)</f>
        <v>6.0799999999999205E-3</v>
      </c>
      <c r="P624" s="2131">
        <f t="shared" si="129"/>
        <v>0</v>
      </c>
      <c r="Q624" s="2131">
        <f t="shared" si="130"/>
        <v>0</v>
      </c>
      <c r="R624" s="2131">
        <f t="shared" si="131"/>
        <v>0</v>
      </c>
      <c r="S624" s="2130">
        <f>IF(J623=J624,S623+0.00001,ROUNDDOWN(MAX($S$16:$S623),0)+1)</f>
        <v>2.004880000000032</v>
      </c>
      <c r="T624" s="2131">
        <f t="shared" si="132"/>
        <v>0</v>
      </c>
      <c r="U624" s="2131">
        <f t="shared" si="133"/>
        <v>0</v>
      </c>
      <c r="V624" s="2071">
        <f t="shared" si="138"/>
        <v>608</v>
      </c>
    </row>
    <row r="625" spans="1:22" hidden="1">
      <c r="A625" s="2124">
        <f t="shared" si="139"/>
        <v>1</v>
      </c>
      <c r="B625" s="2073">
        <v>609</v>
      </c>
      <c r="C625" s="2104">
        <f t="shared" si="140"/>
        <v>0</v>
      </c>
      <c r="D625" s="2125">
        <f t="shared" si="128"/>
        <v>0.03</v>
      </c>
      <c r="E625" s="2104">
        <f t="shared" si="134"/>
        <v>0</v>
      </c>
      <c r="F625" s="2135"/>
      <c r="G625" s="2127">
        <f t="shared" si="141"/>
        <v>3</v>
      </c>
      <c r="H625" s="2075">
        <v>609</v>
      </c>
      <c r="I625" s="2104">
        <f t="shared" si="135"/>
        <v>0</v>
      </c>
      <c r="J625" s="2125">
        <f t="shared" si="136"/>
        <v>3.5000000000000003E-2</v>
      </c>
      <c r="K625" s="2083"/>
      <c r="L625" s="2106"/>
      <c r="N625" s="2071">
        <f t="shared" si="137"/>
        <v>609</v>
      </c>
      <c r="O625" s="2130">
        <f>IF(D624=D625,O624+0.00001,ROUNDDOWN(MAX($O$16:$O624),0)+1)</f>
        <v>6.0899999999999201E-3</v>
      </c>
      <c r="P625" s="2131">
        <f t="shared" si="129"/>
        <v>0</v>
      </c>
      <c r="Q625" s="2131">
        <f t="shared" si="130"/>
        <v>0</v>
      </c>
      <c r="R625" s="2131">
        <f t="shared" si="131"/>
        <v>0</v>
      </c>
      <c r="S625" s="2130">
        <f>IF(J624=J625,S624+0.00001,ROUNDDOWN(MAX($S$16:$S624),0)+1)</f>
        <v>2.004890000000032</v>
      </c>
      <c r="T625" s="2131">
        <f t="shared" si="132"/>
        <v>0</v>
      </c>
      <c r="U625" s="2131">
        <f t="shared" si="133"/>
        <v>0</v>
      </c>
      <c r="V625" s="2071">
        <f t="shared" si="138"/>
        <v>609</v>
      </c>
    </row>
    <row r="626" spans="1:22" hidden="1">
      <c r="A626" s="2124">
        <f t="shared" si="139"/>
        <v>1</v>
      </c>
      <c r="B626" s="2073">
        <v>610</v>
      </c>
      <c r="C626" s="2104">
        <f t="shared" si="140"/>
        <v>0</v>
      </c>
      <c r="D626" s="2125">
        <f t="shared" si="128"/>
        <v>0.03</v>
      </c>
      <c r="E626" s="2104">
        <f t="shared" si="134"/>
        <v>0</v>
      </c>
      <c r="F626" s="2135"/>
      <c r="G626" s="2127">
        <f t="shared" si="141"/>
        <v>3</v>
      </c>
      <c r="H626" s="2075">
        <v>610</v>
      </c>
      <c r="I626" s="2104">
        <f t="shared" si="135"/>
        <v>0</v>
      </c>
      <c r="J626" s="2125">
        <f t="shared" si="136"/>
        <v>3.5000000000000003E-2</v>
      </c>
      <c r="K626" s="2083"/>
      <c r="L626" s="2106"/>
      <c r="N626" s="2071">
        <f t="shared" si="137"/>
        <v>610</v>
      </c>
      <c r="O626" s="2130">
        <f>IF(D625=D626,O625+0.00001,ROUNDDOWN(MAX($O$16:$O625),0)+1)</f>
        <v>6.0999999999999197E-3</v>
      </c>
      <c r="P626" s="2131">
        <f t="shared" si="129"/>
        <v>0</v>
      </c>
      <c r="Q626" s="2131">
        <f t="shared" si="130"/>
        <v>0</v>
      </c>
      <c r="R626" s="2131">
        <f t="shared" si="131"/>
        <v>0</v>
      </c>
      <c r="S626" s="2130">
        <f>IF(J625=J626,S625+0.00001,ROUNDDOWN(MAX($S$16:$S625),0)+1)</f>
        <v>2.0049000000000321</v>
      </c>
      <c r="T626" s="2131">
        <f t="shared" si="132"/>
        <v>0</v>
      </c>
      <c r="U626" s="2131">
        <f t="shared" si="133"/>
        <v>0</v>
      </c>
      <c r="V626" s="2071">
        <f t="shared" si="138"/>
        <v>610</v>
      </c>
    </row>
    <row r="627" spans="1:22" hidden="1">
      <c r="A627" s="2124">
        <f t="shared" si="139"/>
        <v>1</v>
      </c>
      <c r="B627" s="2073">
        <v>611</v>
      </c>
      <c r="C627" s="2104">
        <f t="shared" si="140"/>
        <v>0</v>
      </c>
      <c r="D627" s="2125">
        <f t="shared" si="128"/>
        <v>0.03</v>
      </c>
      <c r="E627" s="2104">
        <f t="shared" si="134"/>
        <v>0</v>
      </c>
      <c r="F627" s="2135"/>
      <c r="G627" s="2127">
        <f t="shared" si="141"/>
        <v>3</v>
      </c>
      <c r="H627" s="2075">
        <v>611</v>
      </c>
      <c r="I627" s="2104">
        <f t="shared" si="135"/>
        <v>0</v>
      </c>
      <c r="J627" s="2125">
        <f t="shared" si="136"/>
        <v>3.5000000000000003E-2</v>
      </c>
      <c r="K627" s="2083"/>
      <c r="L627" s="2106"/>
      <c r="N627" s="2071">
        <f t="shared" si="137"/>
        <v>611</v>
      </c>
      <c r="O627" s="2130">
        <f>IF(D626=D627,O626+0.00001,ROUNDDOWN(MAX($O$16:$O626),0)+1)</f>
        <v>6.1099999999999193E-3</v>
      </c>
      <c r="P627" s="2131">
        <f t="shared" si="129"/>
        <v>0</v>
      </c>
      <c r="Q627" s="2131">
        <f t="shared" si="130"/>
        <v>0</v>
      </c>
      <c r="R627" s="2131">
        <f t="shared" si="131"/>
        <v>0</v>
      </c>
      <c r="S627" s="2130">
        <f>IF(J626=J627,S626+0.00001,ROUNDDOWN(MAX($S$16:$S626),0)+1)</f>
        <v>2.0049100000000322</v>
      </c>
      <c r="T627" s="2131">
        <f t="shared" si="132"/>
        <v>0</v>
      </c>
      <c r="U627" s="2131">
        <f t="shared" si="133"/>
        <v>0</v>
      </c>
      <c r="V627" s="2071">
        <f t="shared" si="138"/>
        <v>611</v>
      </c>
    </row>
    <row r="628" spans="1:22" hidden="1">
      <c r="A628" s="2124">
        <f t="shared" si="139"/>
        <v>1</v>
      </c>
      <c r="B628" s="2073">
        <v>612</v>
      </c>
      <c r="C628" s="2104">
        <f t="shared" si="140"/>
        <v>0</v>
      </c>
      <c r="D628" s="2125">
        <f t="shared" si="128"/>
        <v>0.03</v>
      </c>
      <c r="E628" s="2104">
        <f t="shared" si="134"/>
        <v>0</v>
      </c>
      <c r="F628" s="2135"/>
      <c r="G628" s="2127">
        <f t="shared" si="141"/>
        <v>3</v>
      </c>
      <c r="H628" s="2075">
        <v>612</v>
      </c>
      <c r="I628" s="2104">
        <f t="shared" si="135"/>
        <v>0</v>
      </c>
      <c r="J628" s="2125">
        <f t="shared" si="136"/>
        <v>3.5000000000000003E-2</v>
      </c>
      <c r="K628" s="2083"/>
      <c r="L628" s="2106"/>
      <c r="N628" s="2071">
        <f t="shared" si="137"/>
        <v>612</v>
      </c>
      <c r="O628" s="2130">
        <f>IF(D627=D628,O627+0.00001,ROUNDDOWN(MAX($O$16:$O627),0)+1)</f>
        <v>6.1199999999999189E-3</v>
      </c>
      <c r="P628" s="2131">
        <f t="shared" si="129"/>
        <v>0</v>
      </c>
      <c r="Q628" s="2131">
        <f t="shared" si="130"/>
        <v>0</v>
      </c>
      <c r="R628" s="2131">
        <f t="shared" si="131"/>
        <v>0</v>
      </c>
      <c r="S628" s="2130">
        <f>IF(J627=J628,S627+0.00001,ROUNDDOWN(MAX($S$16:$S627),0)+1)</f>
        <v>2.0049200000000322</v>
      </c>
      <c r="T628" s="2131">
        <f t="shared" si="132"/>
        <v>0</v>
      </c>
      <c r="U628" s="2131">
        <f t="shared" si="133"/>
        <v>0</v>
      </c>
      <c r="V628" s="2071">
        <f t="shared" si="138"/>
        <v>612</v>
      </c>
    </row>
    <row r="629" spans="1:22" hidden="1">
      <c r="A629" s="2124">
        <f t="shared" si="139"/>
        <v>1</v>
      </c>
      <c r="B629" s="2073">
        <v>613</v>
      </c>
      <c r="C629" s="2104">
        <f t="shared" si="140"/>
        <v>0</v>
      </c>
      <c r="D629" s="2125">
        <f t="shared" si="128"/>
        <v>0.03</v>
      </c>
      <c r="E629" s="2104">
        <f t="shared" si="134"/>
        <v>0</v>
      </c>
      <c r="F629" s="2135"/>
      <c r="G629" s="2127">
        <f t="shared" si="141"/>
        <v>3</v>
      </c>
      <c r="H629" s="2075">
        <v>613</v>
      </c>
      <c r="I629" s="2104">
        <f t="shared" si="135"/>
        <v>0</v>
      </c>
      <c r="J629" s="2125">
        <f t="shared" si="136"/>
        <v>3.5000000000000003E-2</v>
      </c>
      <c r="K629" s="2083"/>
      <c r="L629" s="2106"/>
      <c r="N629" s="2071">
        <f t="shared" si="137"/>
        <v>613</v>
      </c>
      <c r="O629" s="2130">
        <f>IF(D628=D629,O628+0.00001,ROUNDDOWN(MAX($O$16:$O628),0)+1)</f>
        <v>6.1299999999999185E-3</v>
      </c>
      <c r="P629" s="2131">
        <f t="shared" si="129"/>
        <v>0</v>
      </c>
      <c r="Q629" s="2131">
        <f t="shared" si="130"/>
        <v>0</v>
      </c>
      <c r="R629" s="2131">
        <f t="shared" si="131"/>
        <v>0</v>
      </c>
      <c r="S629" s="2130">
        <f>IF(J628=J629,S628+0.00001,ROUNDDOWN(MAX($S$16:$S628),0)+1)</f>
        <v>2.0049300000000323</v>
      </c>
      <c r="T629" s="2131">
        <f t="shared" si="132"/>
        <v>0</v>
      </c>
      <c r="U629" s="2131">
        <f t="shared" si="133"/>
        <v>0</v>
      </c>
      <c r="V629" s="2071">
        <f t="shared" si="138"/>
        <v>613</v>
      </c>
    </row>
    <row r="630" spans="1:22" hidden="1">
      <c r="A630" s="2124">
        <f t="shared" si="139"/>
        <v>1</v>
      </c>
      <c r="B630" s="2073">
        <v>614</v>
      </c>
      <c r="C630" s="2104">
        <f t="shared" si="140"/>
        <v>0</v>
      </c>
      <c r="D630" s="2125">
        <f t="shared" si="128"/>
        <v>0.03</v>
      </c>
      <c r="E630" s="2104">
        <f t="shared" si="134"/>
        <v>0</v>
      </c>
      <c r="F630" s="2135"/>
      <c r="G630" s="2127">
        <f t="shared" si="141"/>
        <v>3</v>
      </c>
      <c r="H630" s="2075">
        <v>614</v>
      </c>
      <c r="I630" s="2104">
        <f t="shared" si="135"/>
        <v>0</v>
      </c>
      <c r="J630" s="2125">
        <f t="shared" si="136"/>
        <v>3.5000000000000003E-2</v>
      </c>
      <c r="K630" s="2083"/>
      <c r="L630" s="2106"/>
      <c r="N630" s="2071">
        <f t="shared" si="137"/>
        <v>614</v>
      </c>
      <c r="O630" s="2130">
        <f>IF(D629=D630,O629+0.00001,ROUNDDOWN(MAX($O$16:$O629),0)+1)</f>
        <v>6.1399999999999181E-3</v>
      </c>
      <c r="P630" s="2131">
        <f t="shared" si="129"/>
        <v>0</v>
      </c>
      <c r="Q630" s="2131">
        <f t="shared" si="130"/>
        <v>0</v>
      </c>
      <c r="R630" s="2131">
        <f t="shared" si="131"/>
        <v>0</v>
      </c>
      <c r="S630" s="2130">
        <f>IF(J629=J630,S629+0.00001,ROUNDDOWN(MAX($S$16:$S629),0)+1)</f>
        <v>2.0049400000000324</v>
      </c>
      <c r="T630" s="2131">
        <f t="shared" si="132"/>
        <v>0</v>
      </c>
      <c r="U630" s="2131">
        <f t="shared" si="133"/>
        <v>0</v>
      </c>
      <c r="V630" s="2071">
        <f t="shared" si="138"/>
        <v>614</v>
      </c>
    </row>
    <row r="631" spans="1:22" hidden="1">
      <c r="A631" s="2124">
        <f t="shared" si="139"/>
        <v>1</v>
      </c>
      <c r="B631" s="2073">
        <v>615</v>
      </c>
      <c r="C631" s="2104">
        <f t="shared" si="140"/>
        <v>0</v>
      </c>
      <c r="D631" s="2125">
        <f t="shared" si="128"/>
        <v>0.03</v>
      </c>
      <c r="E631" s="2104">
        <f t="shared" si="134"/>
        <v>0</v>
      </c>
      <c r="F631" s="2135"/>
      <c r="G631" s="2127">
        <f t="shared" si="141"/>
        <v>3</v>
      </c>
      <c r="H631" s="2075">
        <v>615</v>
      </c>
      <c r="I631" s="2104">
        <f t="shared" si="135"/>
        <v>0</v>
      </c>
      <c r="J631" s="2125">
        <f t="shared" si="136"/>
        <v>3.5000000000000003E-2</v>
      </c>
      <c r="K631" s="2083"/>
      <c r="L631" s="2106"/>
      <c r="N631" s="2071">
        <f t="shared" si="137"/>
        <v>615</v>
      </c>
      <c r="O631" s="2130">
        <f>IF(D630=D631,O630+0.00001,ROUNDDOWN(MAX($O$16:$O630),0)+1)</f>
        <v>6.1499999999999177E-3</v>
      </c>
      <c r="P631" s="2131">
        <f t="shared" si="129"/>
        <v>0</v>
      </c>
      <c r="Q631" s="2131">
        <f t="shared" si="130"/>
        <v>0</v>
      </c>
      <c r="R631" s="2131">
        <f t="shared" si="131"/>
        <v>0</v>
      </c>
      <c r="S631" s="2130">
        <f>IF(J630=J631,S630+0.00001,ROUNDDOWN(MAX($S$16:$S630),0)+1)</f>
        <v>2.0049500000000324</v>
      </c>
      <c r="T631" s="2131">
        <f t="shared" si="132"/>
        <v>0</v>
      </c>
      <c r="U631" s="2131">
        <f t="shared" si="133"/>
        <v>0</v>
      </c>
      <c r="V631" s="2071">
        <f t="shared" si="138"/>
        <v>615</v>
      </c>
    </row>
    <row r="632" spans="1:22" hidden="1">
      <c r="A632" s="2124">
        <f t="shared" si="139"/>
        <v>1</v>
      </c>
      <c r="B632" s="2073">
        <v>616</v>
      </c>
      <c r="C632" s="2104">
        <f t="shared" si="140"/>
        <v>0</v>
      </c>
      <c r="D632" s="2125">
        <f t="shared" si="128"/>
        <v>0.03</v>
      </c>
      <c r="E632" s="2104">
        <f t="shared" si="134"/>
        <v>0</v>
      </c>
      <c r="F632" s="2135"/>
      <c r="G632" s="2127">
        <f t="shared" si="141"/>
        <v>3</v>
      </c>
      <c r="H632" s="2075">
        <v>616</v>
      </c>
      <c r="I632" s="2104">
        <f t="shared" si="135"/>
        <v>0</v>
      </c>
      <c r="J632" s="2125">
        <f t="shared" si="136"/>
        <v>3.5000000000000003E-2</v>
      </c>
      <c r="K632" s="2083"/>
      <c r="L632" s="2106"/>
      <c r="N632" s="2071">
        <f t="shared" si="137"/>
        <v>616</v>
      </c>
      <c r="O632" s="2130">
        <f>IF(D631=D632,O631+0.00001,ROUNDDOWN(MAX($O$16:$O631),0)+1)</f>
        <v>6.1599999999999173E-3</v>
      </c>
      <c r="P632" s="2131">
        <f t="shared" si="129"/>
        <v>0</v>
      </c>
      <c r="Q632" s="2131">
        <f t="shared" si="130"/>
        <v>0</v>
      </c>
      <c r="R632" s="2131">
        <f t="shared" si="131"/>
        <v>0</v>
      </c>
      <c r="S632" s="2130">
        <f>IF(J631=J632,S631+0.00001,ROUNDDOWN(MAX($S$16:$S631),0)+1)</f>
        <v>2.0049600000000325</v>
      </c>
      <c r="T632" s="2131">
        <f t="shared" si="132"/>
        <v>0</v>
      </c>
      <c r="U632" s="2131">
        <f t="shared" si="133"/>
        <v>0</v>
      </c>
      <c r="V632" s="2071">
        <f t="shared" si="138"/>
        <v>616</v>
      </c>
    </row>
    <row r="633" spans="1:22" hidden="1">
      <c r="A633" s="2124">
        <f t="shared" si="139"/>
        <v>1</v>
      </c>
      <c r="B633" s="2073">
        <v>617</v>
      </c>
      <c r="C633" s="2104">
        <f t="shared" si="140"/>
        <v>0</v>
      </c>
      <c r="D633" s="2125">
        <f t="shared" si="128"/>
        <v>0.03</v>
      </c>
      <c r="E633" s="2104">
        <f t="shared" si="134"/>
        <v>0</v>
      </c>
      <c r="F633" s="2135"/>
      <c r="G633" s="2127">
        <f t="shared" si="141"/>
        <v>3</v>
      </c>
      <c r="H633" s="2075">
        <v>617</v>
      </c>
      <c r="I633" s="2104">
        <f t="shared" si="135"/>
        <v>0</v>
      </c>
      <c r="J633" s="2125">
        <f t="shared" si="136"/>
        <v>3.5000000000000003E-2</v>
      </c>
      <c r="K633" s="2083"/>
      <c r="L633" s="2106"/>
      <c r="N633" s="2071">
        <f t="shared" si="137"/>
        <v>617</v>
      </c>
      <c r="O633" s="2130">
        <f>IF(D632=D633,O632+0.00001,ROUNDDOWN(MAX($O$16:$O632),0)+1)</f>
        <v>6.1699999999999169E-3</v>
      </c>
      <c r="P633" s="2131">
        <f t="shared" si="129"/>
        <v>0</v>
      </c>
      <c r="Q633" s="2131">
        <f t="shared" si="130"/>
        <v>0</v>
      </c>
      <c r="R633" s="2131">
        <f t="shared" si="131"/>
        <v>0</v>
      </c>
      <c r="S633" s="2130">
        <f>IF(J632=J633,S632+0.00001,ROUNDDOWN(MAX($S$16:$S632),0)+1)</f>
        <v>2.0049700000000326</v>
      </c>
      <c r="T633" s="2131">
        <f t="shared" si="132"/>
        <v>0</v>
      </c>
      <c r="U633" s="2131">
        <f t="shared" si="133"/>
        <v>0</v>
      </c>
      <c r="V633" s="2071">
        <f t="shared" si="138"/>
        <v>617</v>
      </c>
    </row>
    <row r="634" spans="1:22" hidden="1">
      <c r="A634" s="2124">
        <f t="shared" si="139"/>
        <v>1</v>
      </c>
      <c r="B634" s="2073">
        <v>618</v>
      </c>
      <c r="C634" s="2104">
        <f t="shared" si="140"/>
        <v>0</v>
      </c>
      <c r="D634" s="2125">
        <f t="shared" si="128"/>
        <v>0.03</v>
      </c>
      <c r="E634" s="2104">
        <f t="shared" si="134"/>
        <v>0</v>
      </c>
      <c r="F634" s="2135"/>
      <c r="G634" s="2127">
        <f t="shared" si="141"/>
        <v>3</v>
      </c>
      <c r="H634" s="2075">
        <v>618</v>
      </c>
      <c r="I634" s="2104">
        <f t="shared" si="135"/>
        <v>0</v>
      </c>
      <c r="J634" s="2125">
        <f t="shared" si="136"/>
        <v>3.5000000000000003E-2</v>
      </c>
      <c r="K634" s="2083"/>
      <c r="L634" s="2106"/>
      <c r="N634" s="2071">
        <f t="shared" si="137"/>
        <v>618</v>
      </c>
      <c r="O634" s="2130">
        <f>IF(D633=D634,O633+0.00001,ROUNDDOWN(MAX($O$16:$O633),0)+1)</f>
        <v>6.1799999999999165E-3</v>
      </c>
      <c r="P634" s="2131">
        <f t="shared" si="129"/>
        <v>0</v>
      </c>
      <c r="Q634" s="2131">
        <f t="shared" si="130"/>
        <v>0</v>
      </c>
      <c r="R634" s="2131">
        <f t="shared" si="131"/>
        <v>0</v>
      </c>
      <c r="S634" s="2130">
        <f>IF(J633=J634,S633+0.00001,ROUNDDOWN(MAX($S$16:$S633),0)+1)</f>
        <v>2.0049800000000326</v>
      </c>
      <c r="T634" s="2131">
        <f t="shared" si="132"/>
        <v>0</v>
      </c>
      <c r="U634" s="2131">
        <f t="shared" si="133"/>
        <v>0</v>
      </c>
      <c r="V634" s="2071">
        <f t="shared" si="138"/>
        <v>618</v>
      </c>
    </row>
    <row r="635" spans="1:22" hidden="1">
      <c r="A635" s="2124">
        <f t="shared" si="139"/>
        <v>1</v>
      </c>
      <c r="B635" s="2073">
        <v>619</v>
      </c>
      <c r="C635" s="2104">
        <f t="shared" si="140"/>
        <v>0</v>
      </c>
      <c r="D635" s="2125">
        <f t="shared" si="128"/>
        <v>0.03</v>
      </c>
      <c r="E635" s="2104">
        <f t="shared" si="134"/>
        <v>0</v>
      </c>
      <c r="F635" s="2135"/>
      <c r="G635" s="2127">
        <f t="shared" si="141"/>
        <v>3</v>
      </c>
      <c r="H635" s="2075">
        <v>619</v>
      </c>
      <c r="I635" s="2104">
        <f t="shared" si="135"/>
        <v>0</v>
      </c>
      <c r="J635" s="2125">
        <f t="shared" si="136"/>
        <v>3.5000000000000003E-2</v>
      </c>
      <c r="K635" s="2083"/>
      <c r="L635" s="2106"/>
      <c r="N635" s="2071">
        <f t="shared" si="137"/>
        <v>619</v>
      </c>
      <c r="O635" s="2130">
        <f>IF(D634=D635,O634+0.00001,ROUNDDOWN(MAX($O$16:$O634),0)+1)</f>
        <v>6.1899999999999161E-3</v>
      </c>
      <c r="P635" s="2131">
        <f t="shared" si="129"/>
        <v>0</v>
      </c>
      <c r="Q635" s="2131">
        <f t="shared" si="130"/>
        <v>0</v>
      </c>
      <c r="R635" s="2131">
        <f t="shared" si="131"/>
        <v>0</v>
      </c>
      <c r="S635" s="2130">
        <f>IF(J634=J635,S634+0.00001,ROUNDDOWN(MAX($S$16:$S634),0)+1)</f>
        <v>2.0049900000000327</v>
      </c>
      <c r="T635" s="2131">
        <f t="shared" si="132"/>
        <v>0</v>
      </c>
      <c r="U635" s="2131">
        <f t="shared" si="133"/>
        <v>0</v>
      </c>
      <c r="V635" s="2071">
        <f t="shared" si="138"/>
        <v>619</v>
      </c>
    </row>
    <row r="636" spans="1:22" hidden="1">
      <c r="A636" s="2124">
        <f t="shared" si="139"/>
        <v>1</v>
      </c>
      <c r="B636" s="2073">
        <v>620</v>
      </c>
      <c r="C636" s="2104">
        <f t="shared" si="140"/>
        <v>0</v>
      </c>
      <c r="D636" s="2125">
        <f t="shared" si="128"/>
        <v>0.03</v>
      </c>
      <c r="E636" s="2104">
        <f t="shared" si="134"/>
        <v>0</v>
      </c>
      <c r="F636" s="2135"/>
      <c r="G636" s="2127">
        <f t="shared" si="141"/>
        <v>3</v>
      </c>
      <c r="H636" s="2075">
        <v>620</v>
      </c>
      <c r="I636" s="2104">
        <f t="shared" si="135"/>
        <v>0</v>
      </c>
      <c r="J636" s="2125">
        <f t="shared" si="136"/>
        <v>3.5000000000000003E-2</v>
      </c>
      <c r="K636" s="2083"/>
      <c r="L636" s="2106"/>
      <c r="N636" s="2071">
        <f t="shared" si="137"/>
        <v>620</v>
      </c>
      <c r="O636" s="2130">
        <f>IF(D635=D636,O635+0.00001,ROUNDDOWN(MAX($O$16:$O635),0)+1)</f>
        <v>6.1999999999999156E-3</v>
      </c>
      <c r="P636" s="2131">
        <f t="shared" si="129"/>
        <v>0</v>
      </c>
      <c r="Q636" s="2131">
        <f t="shared" si="130"/>
        <v>0</v>
      </c>
      <c r="R636" s="2131">
        <f t="shared" si="131"/>
        <v>0</v>
      </c>
      <c r="S636" s="2130">
        <f>IF(J635=J636,S635+0.00001,ROUNDDOWN(MAX($S$16:$S635),0)+1)</f>
        <v>2.0050000000000328</v>
      </c>
      <c r="T636" s="2131">
        <f t="shared" si="132"/>
        <v>0</v>
      </c>
      <c r="U636" s="2131">
        <f t="shared" si="133"/>
        <v>0</v>
      </c>
      <c r="V636" s="2071">
        <f t="shared" si="138"/>
        <v>620</v>
      </c>
    </row>
    <row r="637" spans="1:22" hidden="1">
      <c r="A637" s="2124">
        <f t="shared" si="139"/>
        <v>1</v>
      </c>
      <c r="B637" s="2073">
        <v>621</v>
      </c>
      <c r="C637" s="2104">
        <f t="shared" si="140"/>
        <v>0</v>
      </c>
      <c r="D637" s="2125">
        <f t="shared" si="128"/>
        <v>0.03</v>
      </c>
      <c r="E637" s="2104">
        <f t="shared" si="134"/>
        <v>0</v>
      </c>
      <c r="F637" s="2135"/>
      <c r="G637" s="2127">
        <f t="shared" si="141"/>
        <v>3</v>
      </c>
      <c r="H637" s="2075">
        <v>621</v>
      </c>
      <c r="I637" s="2104">
        <f t="shared" si="135"/>
        <v>0</v>
      </c>
      <c r="J637" s="2125">
        <f t="shared" si="136"/>
        <v>3.5000000000000003E-2</v>
      </c>
      <c r="K637" s="2083"/>
      <c r="L637" s="2106"/>
      <c r="N637" s="2071">
        <f t="shared" si="137"/>
        <v>621</v>
      </c>
      <c r="O637" s="2130">
        <f>IF(D636=D637,O636+0.00001,ROUNDDOWN(MAX($O$16:$O636),0)+1)</f>
        <v>6.2099999999999152E-3</v>
      </c>
      <c r="P637" s="2131">
        <f t="shared" si="129"/>
        <v>0</v>
      </c>
      <c r="Q637" s="2131">
        <f t="shared" si="130"/>
        <v>0</v>
      </c>
      <c r="R637" s="2131">
        <f t="shared" si="131"/>
        <v>0</v>
      </c>
      <c r="S637" s="2130">
        <f>IF(J636=J637,S636+0.00001,ROUNDDOWN(MAX($S$16:$S636),0)+1)</f>
        <v>2.0050100000000328</v>
      </c>
      <c r="T637" s="2131">
        <f t="shared" si="132"/>
        <v>0</v>
      </c>
      <c r="U637" s="2131">
        <f t="shared" si="133"/>
        <v>0</v>
      </c>
      <c r="V637" s="2071">
        <f t="shared" si="138"/>
        <v>621</v>
      </c>
    </row>
    <row r="638" spans="1:22" hidden="1">
      <c r="A638" s="2124">
        <f t="shared" si="139"/>
        <v>1</v>
      </c>
      <c r="B638" s="2073">
        <v>622</v>
      </c>
      <c r="C638" s="2104">
        <f t="shared" si="140"/>
        <v>0</v>
      </c>
      <c r="D638" s="2125">
        <f t="shared" si="128"/>
        <v>0.03</v>
      </c>
      <c r="E638" s="2104">
        <f t="shared" si="134"/>
        <v>0</v>
      </c>
      <c r="F638" s="2135"/>
      <c r="G638" s="2127">
        <f t="shared" si="141"/>
        <v>3</v>
      </c>
      <c r="H638" s="2075">
        <v>622</v>
      </c>
      <c r="I638" s="2104">
        <f t="shared" si="135"/>
        <v>0</v>
      </c>
      <c r="J638" s="2125">
        <f t="shared" si="136"/>
        <v>3.5000000000000003E-2</v>
      </c>
      <c r="K638" s="2083"/>
      <c r="L638" s="2106"/>
      <c r="N638" s="2071">
        <f t="shared" si="137"/>
        <v>622</v>
      </c>
      <c r="O638" s="2130">
        <f>IF(D637=D638,O637+0.00001,ROUNDDOWN(MAX($O$16:$O637),0)+1)</f>
        <v>6.2199999999999148E-3</v>
      </c>
      <c r="P638" s="2131">
        <f t="shared" si="129"/>
        <v>0</v>
      </c>
      <c r="Q638" s="2131">
        <f t="shared" si="130"/>
        <v>0</v>
      </c>
      <c r="R638" s="2131">
        <f t="shared" si="131"/>
        <v>0</v>
      </c>
      <c r="S638" s="2130">
        <f>IF(J637=J638,S637+0.00001,ROUNDDOWN(MAX($S$16:$S637),0)+1)</f>
        <v>2.0050200000000329</v>
      </c>
      <c r="T638" s="2131">
        <f t="shared" si="132"/>
        <v>0</v>
      </c>
      <c r="U638" s="2131">
        <f t="shared" si="133"/>
        <v>0</v>
      </c>
      <c r="V638" s="2071">
        <f t="shared" si="138"/>
        <v>622</v>
      </c>
    </row>
    <row r="639" spans="1:22" hidden="1">
      <c r="A639" s="2124">
        <f t="shared" si="139"/>
        <v>1</v>
      </c>
      <c r="B639" s="2073">
        <v>623</v>
      </c>
      <c r="C639" s="2104">
        <f t="shared" si="140"/>
        <v>0</v>
      </c>
      <c r="D639" s="2125">
        <f t="shared" si="128"/>
        <v>0.03</v>
      </c>
      <c r="E639" s="2104">
        <f t="shared" si="134"/>
        <v>0</v>
      </c>
      <c r="F639" s="2135"/>
      <c r="G639" s="2127">
        <f t="shared" si="141"/>
        <v>3</v>
      </c>
      <c r="H639" s="2075">
        <v>623</v>
      </c>
      <c r="I639" s="2104">
        <f t="shared" si="135"/>
        <v>0</v>
      </c>
      <c r="J639" s="2125">
        <f t="shared" si="136"/>
        <v>3.5000000000000003E-2</v>
      </c>
      <c r="K639" s="2083"/>
      <c r="L639" s="2106"/>
      <c r="N639" s="2071">
        <f t="shared" si="137"/>
        <v>623</v>
      </c>
      <c r="O639" s="2130">
        <f>IF(D638=D639,O638+0.00001,ROUNDDOWN(MAX($O$16:$O638),0)+1)</f>
        <v>6.2299999999999144E-3</v>
      </c>
      <c r="P639" s="2131">
        <f t="shared" si="129"/>
        <v>0</v>
      </c>
      <c r="Q639" s="2131">
        <f t="shared" si="130"/>
        <v>0</v>
      </c>
      <c r="R639" s="2131">
        <f t="shared" si="131"/>
        <v>0</v>
      </c>
      <c r="S639" s="2130">
        <f>IF(J638=J639,S638+0.00001,ROUNDDOWN(MAX($S$16:$S638),0)+1)</f>
        <v>2.005030000000033</v>
      </c>
      <c r="T639" s="2131">
        <f t="shared" si="132"/>
        <v>0</v>
      </c>
      <c r="U639" s="2131">
        <f t="shared" si="133"/>
        <v>0</v>
      </c>
      <c r="V639" s="2071">
        <f t="shared" si="138"/>
        <v>623</v>
      </c>
    </row>
    <row r="640" spans="1:22">
      <c r="A640" s="2124">
        <f t="shared" si="139"/>
        <v>1</v>
      </c>
      <c r="B640" s="2073">
        <v>624</v>
      </c>
      <c r="C640" s="2104">
        <f t="shared" si="140"/>
        <v>0</v>
      </c>
      <c r="D640" s="2125">
        <f t="shared" si="128"/>
        <v>0.03</v>
      </c>
      <c r="E640" s="2104">
        <v>7</v>
      </c>
      <c r="F640" s="2135"/>
      <c r="G640" s="2127">
        <f t="shared" si="141"/>
        <v>3</v>
      </c>
      <c r="H640" s="2075">
        <v>624</v>
      </c>
      <c r="I640" s="2104">
        <f t="shared" si="135"/>
        <v>0</v>
      </c>
      <c r="J640" s="2125">
        <f t="shared" si="136"/>
        <v>3.5000000000000003E-2</v>
      </c>
      <c r="K640" s="2083"/>
      <c r="L640" s="2106"/>
      <c r="N640" s="2071">
        <f t="shared" si="137"/>
        <v>624</v>
      </c>
      <c r="O640" s="2130">
        <f>IF(D639=D640,O639+0.00001,ROUNDDOWN(MAX($O$16:$O639),0)+1)</f>
        <v>6.239999999999914E-3</v>
      </c>
      <c r="P640" s="2131">
        <f t="shared" si="129"/>
        <v>0</v>
      </c>
      <c r="Q640" s="2131">
        <f t="shared" si="130"/>
        <v>0</v>
      </c>
      <c r="R640" s="2131">
        <f t="shared" si="131"/>
        <v>0</v>
      </c>
      <c r="S640" s="2130">
        <f>IF(J639=J640,S639+0.00001,ROUNDDOWN(MAX($S$16:$S639),0)+1)</f>
        <v>2.005040000000033</v>
      </c>
      <c r="T640" s="2131">
        <f t="shared" si="132"/>
        <v>0</v>
      </c>
      <c r="U640" s="2131">
        <f t="shared" si="133"/>
        <v>0</v>
      </c>
      <c r="V640" s="2071">
        <f t="shared" si="138"/>
        <v>624</v>
      </c>
    </row>
    <row r="641" spans="1:30" ht="13" thickBot="1">
      <c r="A641" s="2136"/>
      <c r="B641" s="2137"/>
      <c r="C641" s="2138"/>
      <c r="D641" s="2138"/>
      <c r="E641" s="2138"/>
      <c r="F641" s="2139"/>
      <c r="G641" s="2136"/>
      <c r="H641" s="2140"/>
      <c r="I641" s="2141"/>
      <c r="J641" s="2141"/>
      <c r="K641" s="2141"/>
      <c r="L641" s="2142"/>
    </row>
    <row r="642" spans="1:30">
      <c r="N642" s="2143" t="s">
        <v>2821</v>
      </c>
      <c r="O642" s="2144"/>
      <c r="P642" s="2144"/>
      <c r="Q642" s="2144"/>
      <c r="R642" s="2144"/>
      <c r="S642" s="2145" t="str">
        <f>IF(I5=1,"Years",IF(I5=4,"Quarters",IF(I5=12,"Months",IF(I5=2,"Semi-Annual Payment Periods","NEED TO RECONFIGURE"))))</f>
        <v>Months</v>
      </c>
    </row>
    <row r="643" spans="1:30" ht="15" customHeight="1">
      <c r="B643" s="2933" t="s">
        <v>2822</v>
      </c>
      <c r="C643" s="2933"/>
      <c r="D643" s="2933"/>
      <c r="E643" s="2933"/>
      <c r="F643" s="2933"/>
      <c r="G643" s="2933"/>
      <c r="H643" s="2933"/>
      <c r="I643" s="2933"/>
      <c r="J643" s="2933"/>
      <c r="K643" s="2933"/>
      <c r="L643" s="2933"/>
      <c r="N643" s="2146"/>
      <c r="R643" s="2147" t="str">
        <f>IF(C5=1,"annual",IF(C5=4,"quarterly",IF(C5=12,"monthly",IF(C5=2,"semi-annual","NEED TO RECONFIGURE"))))</f>
        <v>monthly</v>
      </c>
      <c r="S643" s="2148" t="str">
        <f>IF(I5=1,"annual",IF(I5=4,"quarterly",IF(I5=12,"monthly",IF(I5=2,"semi-annual","NEED TO RECONFIGURE"))))</f>
        <v>monthly</v>
      </c>
      <c r="U643" s="2149"/>
    </row>
    <row r="644" spans="1:30" ht="15" customHeight="1">
      <c r="B644" s="2933"/>
      <c r="C644" s="2933"/>
      <c r="D644" s="2933"/>
      <c r="E644" s="2933"/>
      <c r="F644" s="2933"/>
      <c r="G644" s="2933"/>
      <c r="H644" s="2933"/>
      <c r="I644" s="2933"/>
      <c r="J644" s="2933"/>
      <c r="K644" s="2933"/>
      <c r="L644" s="2933"/>
      <c r="N644" s="2146"/>
      <c r="Q644" s="2150"/>
      <c r="R644" s="2147" t="str">
        <f>IF(C5=1,"years",IF(C5=4,"quarters",IF(C5=12,"months",IF(C5=2,"semi-annual payment periods","NEED TO RECONFIGURE"))))</f>
        <v>months</v>
      </c>
      <c r="S644" s="2148" t="str">
        <f>IF(I5=1,"years",IF(I5=4,"quarters",IF(I5=12,"months",IF(I5=2,"semi-annual payment periods","NEED TO RECONFIGURE"))))</f>
        <v>months</v>
      </c>
    </row>
    <row r="645" spans="1:30" ht="15" customHeight="1">
      <c r="B645" s="2933"/>
      <c r="C645" s="2933"/>
      <c r="D645" s="2933"/>
      <c r="E645" s="2933"/>
      <c r="F645" s="2933"/>
      <c r="G645" s="2933"/>
      <c r="H645" s="2933"/>
      <c r="I645" s="2933"/>
      <c r="J645" s="2933"/>
      <c r="K645" s="2933"/>
      <c r="L645" s="2933"/>
      <c r="N645" s="2146"/>
      <c r="Q645" s="2150"/>
      <c r="R645" s="2147" t="str">
        <f>IF(C5=1,"year",IF(C5=4,"quarter",IF(C5=12,"month",IF(C5=2,"semi-annual payment period","NEED TO RECONFIGURE"))))</f>
        <v>month</v>
      </c>
      <c r="S645" s="2148" t="str">
        <f>IF(I5=1,"year",IF(I5=4,"quarter",IF(I5=12,"month",IF(I5=2,"semi-annual payment period","NEED TO RECONFIGURE"))))</f>
        <v>month</v>
      </c>
    </row>
    <row r="646" spans="1:30" ht="15" customHeight="1">
      <c r="B646" s="2933"/>
      <c r="C646" s="2933"/>
      <c r="D646" s="2933"/>
      <c r="E646" s="2933"/>
      <c r="F646" s="2933"/>
      <c r="G646" s="2933"/>
      <c r="H646" s="2933"/>
      <c r="I646" s="2933"/>
      <c r="J646" s="2933"/>
      <c r="K646" s="2933"/>
      <c r="L646" s="2933"/>
      <c r="N646" s="2151" t="s">
        <v>2823</v>
      </c>
      <c r="O646" s="2152"/>
      <c r="P646" s="2152"/>
      <c r="Q646" s="2152"/>
      <c r="R646" s="2153">
        <f>SUMPRODUCT((D16:D640&lt;&gt;"")/COUNTIF(D16:D640,D16:D640&amp;""))</f>
        <v>1.0000000000000122</v>
      </c>
      <c r="S646" s="2154">
        <f>SUMPRODUCT((J16:J640&lt;&gt;"")/COUNTIF(J16:J640,J16:J640&amp;""))</f>
        <v>2.9999999999999987</v>
      </c>
    </row>
    <row r="647" spans="1:30" ht="13.5" thickBot="1">
      <c r="B647" s="2155"/>
      <c r="C647" s="2155"/>
      <c r="D647" s="2155"/>
      <c r="E647" s="2155"/>
      <c r="F647" s="2155"/>
      <c r="G647" s="2155"/>
      <c r="H647" s="2155"/>
      <c r="I647" s="2155"/>
      <c r="J647" s="2155"/>
      <c r="K647" s="2155"/>
      <c r="L647" s="2155"/>
    </row>
    <row r="648" spans="1:30" ht="12.75" customHeight="1">
      <c r="C648" s="2934" t="s">
        <v>2824</v>
      </c>
      <c r="D648" s="2156" t="s">
        <v>2825</v>
      </c>
      <c r="E648" s="2156" t="str">
        <f>"If the discount rate is assumed to be "&amp;TEXT(C11*100,"0.00")&amp;" percent and the Local Government will provide a fully-amortizing "&amp;TEXT(C3,"$#,##0")&amp;" loan with payments due "&amp;R643&amp;" based on a "&amp;TEXT(C8*100,"0.0")&amp;" percent interest rate for "&amp;IF(ROUND(R646,0)=1,"the entire "&amp;TEXT(C4,"0")&amp;"-year term","the initial "&amp;TEXT(COUNTIF(A16:A640,"=1"),"0")&amp;" "&amp;R644&amp;", then "&amp;TEXT(VLOOKUP(2,A16:D640,4)*100,"0.0")&amp;" percent for the "&amp;IF(R646=2,"remaining term","next "&amp;TEXT(COUNTIF(A16:A640,"=2"),"0")&amp;" "&amp;R644&amp;", and then "&amp;TEXT(VLOOKUP(3,A16:D640,4)*100,"0.0")&amp;" percent for the remaining term"))&amp;", the contribution is calculated as follows:"</f>
        <v>If the discount rate is assumed to be 7.71 percent and the Local Government will provide a fully-amortizing $50,000 loan with payments due monthly based on a 3.0 percent interest rate for the entire 15-year term, the contribution is calculated as follows:</v>
      </c>
      <c r="F648" s="2156"/>
      <c r="G648" s="2157"/>
      <c r="H648" s="2157"/>
      <c r="I648" s="2157"/>
      <c r="J648" s="2157"/>
      <c r="K648" s="2157"/>
      <c r="L648" s="2157"/>
      <c r="M648" s="2157"/>
      <c r="N648" s="2157"/>
      <c r="O648" s="2157"/>
      <c r="P648" s="2157"/>
      <c r="Q648" s="2157"/>
      <c r="R648" s="2157"/>
      <c r="S648" s="2157"/>
      <c r="T648" s="2157"/>
      <c r="U648" s="2157"/>
      <c r="V648" s="2157"/>
      <c r="W648" s="2157"/>
      <c r="X648" s="2157"/>
      <c r="Y648" s="2157"/>
      <c r="Z648" s="2157"/>
      <c r="AA648" s="2157"/>
      <c r="AB648" s="2157"/>
      <c r="AC648" s="2157"/>
      <c r="AD648" s="2157"/>
    </row>
    <row r="649" spans="1:30" ht="13">
      <c r="C649" s="2935"/>
      <c r="D649" s="2158"/>
      <c r="E649" s="2159" t="str">
        <f>"Calculate the "&amp;R643&amp;" principal and interest payment"&amp;IF(R646&gt;1,"s","")&amp;" of the "&amp;TEXT(C3,"$#,##0")&amp;" loan at "&amp;TEXT(C8*100,"0.0")&amp;" percent "&amp;IF(ROUND(R646,0),"("&amp;TEXT(-C10,"$#,##0.00")&amp;").","for the initial "&amp;TEXT(COUNTIF(A16:A640,"=1"),"0")&amp;" "&amp;R644&amp;" ("&amp;TEXT(-C10,"$#,##0.00")&amp;"), then "&amp;TEXT(VLOOKUP(2,A16:D640,4)*100,"0.0")&amp;" percent for the "&amp;IF(R646=2,"remaining term ("&amp;TEXT(-LOOKUP(1.99,A16:A640,C18:C642),"$#,##0.00")&amp;").","next "&amp;TEXT(COUNTIF(A16:A640,"=2"),"0")&amp;" "&amp;R644&amp;" ("&amp;TEXT(-LOOKUP(1.99,A16:A640,C18:C642),"$#,##0.00")&amp;"), and then "&amp;TEXT(VLOOKUP(3,A16:D640,4)*100,"0.0")&amp;" percent for the remaining term ("&amp;TEXT(-LOOKUP(2.99,A16:A640,C18:C642),"$#,##0.00")&amp;" per "&amp;R645&amp;")."))</f>
        <v>Calculate the monthly principal and interest payments of the $50,000 loan at 3.0 percent ($345.29).</v>
      </c>
      <c r="F649" s="2083"/>
    </row>
    <row r="650" spans="1:30" ht="13">
      <c r="C650" s="2935"/>
      <c r="D650" s="2158"/>
      <c r="E650" s="2158" t="str">
        <f>"Calculate the net present value of the stream of the "&amp;R643&amp;" payments over "&amp;TEXT(C4,"0")&amp;" years"&amp;IF(R644&lt;&gt;"years"," ("&amp;TEXT(C4*IF(R644="quarters",4,IF(R644="months",12,2)),"0")&amp;" "&amp;R644&amp;")","")&amp;" using a "&amp;TEXT(C11*100,"0.00")&amp;" percent discount rate ("&amp;TEXT(-C12,"$#,##0.00")&amp;")."</f>
        <v>Calculate the net present value of the stream of the monthly payments over 15 years (180 months) using a 7.71 percent discount rate ($36,772.71).</v>
      </c>
      <c r="F650" s="2083"/>
    </row>
    <row r="651" spans="1:30" ht="13.5" thickBot="1">
      <c r="C651" s="2936"/>
      <c r="D651" s="2160"/>
      <c r="E651" s="2160" t="str">
        <f>"Subtract the net present value amount from the original principal loan amount to arrive at the value of the contribution ("&amp;TEXT(C3,"$#,##0")&amp;" - "&amp;TEXT(-C12,"$#,##0.00")&amp;" = "&amp;TEXT(C13,"$#,##0.00")&amp;" value)."</f>
        <v>Subtract the net present value amount from the original principal loan amount to arrive at the value of the contribution ($50,000 - $36,772.71 = $13,227.29 value).</v>
      </c>
      <c r="F651" s="2161"/>
      <c r="G651" s="2152"/>
      <c r="H651" s="2152"/>
      <c r="I651" s="2152"/>
      <c r="J651" s="2152"/>
      <c r="K651" s="2152"/>
      <c r="L651" s="2152"/>
      <c r="M651" s="2152"/>
      <c r="N651" s="2152"/>
      <c r="O651" s="2152"/>
      <c r="P651" s="2152"/>
      <c r="Q651" s="2152"/>
      <c r="R651" s="2152"/>
      <c r="S651" s="2152"/>
      <c r="T651" s="2152"/>
      <c r="U651" s="2152"/>
      <c r="V651" s="2152"/>
      <c r="W651" s="2152"/>
      <c r="X651" s="2152"/>
      <c r="Y651" s="2152"/>
      <c r="Z651" s="2152"/>
      <c r="AA651" s="2152"/>
      <c r="AB651" s="2152"/>
      <c r="AC651" s="2152"/>
      <c r="AD651" s="2152"/>
    </row>
    <row r="652" spans="1:30" ht="13.5" thickBot="1">
      <c r="C652" s="2162"/>
      <c r="D652" s="2158"/>
      <c r="E652" s="2158"/>
      <c r="F652" s="2158"/>
    </row>
    <row r="653" spans="1:30" ht="12.75" customHeight="1">
      <c r="C653" s="2923" t="s">
        <v>2826</v>
      </c>
      <c r="D653" s="2163" t="s">
        <v>2825</v>
      </c>
      <c r="E653" s="2164" t="str">
        <f>"If the discount rate is assumed to be "&amp;TEXT(I11*100,"0.00")&amp;" percent and the Local Government will provide a "&amp;TEXT(I3,"$#,##0")&amp;" loan with interest-only payments due "&amp;S643&amp;" based on a "&amp;TEXT(I8*100,"0.0")&amp;" percent interest rate for "&amp;IF(ROUND(S646,0)=1,"entire "&amp;TEXT(I4,"0")&amp;"-year term","the initial "&amp;TEXT(COUNTIF(G16:G640,"=1"),"0")&amp;" "&amp;S644&amp;", then "&amp;TEXT(VLOOKUP(2,G16:J640,4)*100,"0.0")&amp;" percent for the "&amp;IF(ROUND(S646,0)=2,"remaining term","next "&amp;TEXT(COUNTIF(G16:G640,"=2"),"0")&amp;" "&amp;S644&amp;", and then "&amp;TEXT(VLOOKUP(3,G16:J640,4)*100,"0.0")&amp;" percent for the remaining term"))&amp;" and principal due at maturity, the contribution is calculated as follows:"</f>
        <v>If the discount rate is assumed to be 7.71 percent and the Local Government will provide a $50,000 loan with interest-only payments due monthly based on a 3.0 percent interest rate for the initial 60 months, then 2.5 percent for the next 60 months, and then 3.5 percent for the remaining term and principal due at maturity, the contribution is calculated as follows:</v>
      </c>
      <c r="F653" s="2164"/>
      <c r="G653" s="2144"/>
      <c r="H653" s="2144"/>
      <c r="I653" s="2144"/>
      <c r="J653" s="2144"/>
      <c r="K653" s="2144"/>
      <c r="L653" s="2144"/>
      <c r="M653" s="2144"/>
      <c r="N653" s="2144"/>
      <c r="O653" s="2144"/>
      <c r="P653" s="2144"/>
      <c r="Q653" s="2144"/>
      <c r="R653" s="2144"/>
      <c r="S653" s="2144"/>
      <c r="T653" s="2144"/>
      <c r="U653" s="2144"/>
      <c r="V653" s="2144"/>
      <c r="W653" s="2144"/>
      <c r="X653" s="2144"/>
      <c r="Y653" s="2144"/>
      <c r="Z653" s="2144"/>
      <c r="AA653" s="2144"/>
      <c r="AB653" s="2144"/>
      <c r="AC653" s="2144"/>
      <c r="AD653" s="2144"/>
    </row>
    <row r="654" spans="1:30" ht="13">
      <c r="C654" s="2924"/>
      <c r="D654" s="2165"/>
      <c r="E654" s="2158" t="str">
        <f>"Calculate the "&amp;S643&amp;" interest-only payment"&amp;IF(ROUND(S646,0)&gt;1,"s","")&amp;" of the "&amp;TEXT(I3,"$#,##0")&amp;" loan at "&amp;TEXT(I8*100,"0.0")&amp;" percent "&amp;IF(ROUND(S646,0)=1,"("&amp;TEXT(-I10,"$#,##0.00")&amp;").","for the initial "&amp;TEXT(COUNTIF(G16:G640,"=1"),"0")&amp;" "&amp;S644&amp;" ("&amp;TEXT(-I10,"$#,##0.00")&amp;"), then "&amp;TEXT(VLOOKUP(2,G16:J640,4)*100,"0.0")&amp;" percent for the "&amp;IF(ROUND(S646,0)=2,"remaining term ("&amp;TEXT(-LOOKUP(1.99,G16:G640,I18:I642),"$#,##0.00")&amp;").","next "&amp;TEXT(COUNTIF(G16:G640,"=2"),"0")&amp;" "&amp;S644&amp;" ("&amp;TEXT(-LOOKUP(1.99,G16:G640,I18:I642),"$#,##0.00")&amp;"), and then "&amp;TEXT(VLOOKUP(3,G16:J640,4)*100,"0.0")&amp;" percent for the remaining term ("&amp;TEXT(-LOOKUP(2.99,G16:G640,I18:I642),"$#,##0.00")&amp;" per "&amp;S645&amp;")."))</f>
        <v>Calculate the monthly interest-only payments of the $50,000 loan at 3.0 percent for the initial 60 months ($125.00), then 2.5 percent for the next 60 months ($104.17), and then 3.5 percent for the remaining term ($145.83 per month).</v>
      </c>
      <c r="F654" s="2083"/>
    </row>
    <row r="655" spans="1:30" ht="13">
      <c r="C655" s="2924"/>
      <c r="D655" s="2165"/>
      <c r="E655" s="2158" t="str">
        <f>"Calculate the net present value of the stream of the "&amp;S643&amp;" payments over "&amp;TEXT(I4,"0")&amp;" years"&amp;IF(S644&lt;&gt;"years"," ("&amp;TEXT(I4*IF(S644="quarters",4,IF(S644="months",12,2)),"0")&amp;" "&amp;S644&amp;")","")&amp;" and principal due at maturity, using a "&amp;TEXT(I11*100,"0.00")&amp;" percent discount rate ("&amp;TEXT(-I12,"$#,##0.00")&amp;")."</f>
        <v>Calculate the net present value of the stream of the monthly payments over 15 years (180 months) and principal due at maturity, using a 7.71 percent discount rate ($28,875.03).</v>
      </c>
      <c r="F655" s="2083"/>
    </row>
    <row r="656" spans="1:30" ht="13.5" thickBot="1">
      <c r="C656" s="2925"/>
      <c r="D656" s="2166"/>
      <c r="E656" s="2167" t="str">
        <f>"Subtract the net present value amount from the original principal loan amount to arrive at the value of the contribution ("&amp;TEXT(I3,"$#,##0.00")&amp;" - "&amp;TEXT(-I12,"$#,##0.00")&amp;" = "&amp;TEXT(I13,"$#,##0.00")&amp;" value)."</f>
        <v>Subtract the net present value amount from the original principal loan amount to arrive at the value of the contribution ($50,000.00 - $28,875.03 = $21,124.97 value).</v>
      </c>
      <c r="F656" s="2101"/>
      <c r="G656" s="2168"/>
      <c r="H656" s="2168"/>
      <c r="I656" s="2168"/>
      <c r="J656" s="2168"/>
      <c r="K656" s="2168"/>
      <c r="L656" s="2168"/>
      <c r="M656" s="2168"/>
      <c r="N656" s="2168"/>
      <c r="O656" s="2168"/>
      <c r="P656" s="2168"/>
      <c r="Q656" s="2168"/>
      <c r="R656" s="2168"/>
      <c r="S656" s="2168"/>
      <c r="T656" s="2168"/>
      <c r="U656" s="2168"/>
      <c r="V656" s="2168"/>
      <c r="W656" s="2168"/>
      <c r="X656" s="2168"/>
      <c r="Y656" s="2168"/>
      <c r="Z656" s="2168"/>
      <c r="AA656" s="2168"/>
      <c r="AB656" s="2168"/>
      <c r="AC656" s="2168"/>
      <c r="AD656" s="2168"/>
    </row>
    <row r="657" spans="2:30" ht="13">
      <c r="C657" s="2169"/>
    </row>
    <row r="658" spans="2:30" ht="15" customHeight="1">
      <c r="B658" s="2933" t="s">
        <v>2827</v>
      </c>
      <c r="C658" s="2933"/>
      <c r="D658" s="2933"/>
      <c r="E658" s="2933"/>
      <c r="F658" s="2933"/>
      <c r="G658" s="2933"/>
      <c r="H658" s="2933"/>
      <c r="I658" s="2933"/>
      <c r="J658" s="2933"/>
      <c r="K658" s="2933"/>
      <c r="L658" s="2933"/>
    </row>
    <row r="659" spans="2:30" ht="15" customHeight="1">
      <c r="B659" s="2933"/>
      <c r="C659" s="2933"/>
      <c r="D659" s="2933"/>
      <c r="E659" s="2933"/>
      <c r="F659" s="2933"/>
      <c r="G659" s="2933"/>
      <c r="H659" s="2933"/>
      <c r="I659" s="2933"/>
      <c r="J659" s="2933"/>
      <c r="K659" s="2933"/>
      <c r="L659" s="2933"/>
    </row>
    <row r="660" spans="2:30" ht="15" customHeight="1">
      <c r="B660" s="2933"/>
      <c r="C660" s="2933"/>
      <c r="D660" s="2933"/>
      <c r="E660" s="2933"/>
      <c r="F660" s="2933"/>
      <c r="G660" s="2933"/>
      <c r="H660" s="2933"/>
      <c r="I660" s="2933"/>
      <c r="J660" s="2933"/>
      <c r="K660" s="2933"/>
      <c r="L660" s="2933"/>
    </row>
    <row r="661" spans="2:30" ht="15" customHeight="1">
      <c r="B661" s="2933"/>
      <c r="C661" s="2933"/>
      <c r="D661" s="2933"/>
      <c r="E661" s="2933"/>
      <c r="F661" s="2933"/>
      <c r="G661" s="2933"/>
      <c r="H661" s="2933"/>
      <c r="I661" s="2933"/>
      <c r="J661" s="2933"/>
      <c r="K661" s="2933"/>
      <c r="L661" s="2933"/>
    </row>
    <row r="662" spans="2:30" ht="13" thickBot="1"/>
    <row r="663" spans="2:30" ht="12.75" customHeight="1">
      <c r="C663" s="2934" t="s">
        <v>2824</v>
      </c>
      <c r="D663" s="2937" t="s">
        <v>2828</v>
      </c>
      <c r="E663" s="2156" t="str">
        <f>"For example, a private lending institution is providing a fully amortizing loan of "&amp;TEXT($C$3,"$#,##0")&amp;" for "&amp;TEXT($C$4*$C$5,"0")&amp;" "&amp;S644&amp;" to the Development with the following interest schedule: "&amp;S642&amp;" 1 to "&amp;MIN(VLOOKUP(2-0.1,$A$16:$D$640,2)+1,$C$4*$C$5)&amp;" at "&amp;TEXT(VLOOKUP(2-0.01,$A$16:$D$640,4),"0.00%")&amp;IF(O640&lt;1,".",IF(O640&lt;2," and ","; ")&amp;S642&amp;" "&amp;VLOOKUP(2-0.1,$A$16:$D$640,2)+2&amp;" to "&amp;MIN(VLOOKUP(3-0.1,$A$16:$D$640,2)+1,$C$4*$C$5)&amp;" at "&amp;TEXT(VLOOKUP(3-0.01,$A$16:$D$640,4),"0.00%")&amp;IF(O640&lt;2,"."," and "&amp;S642&amp;" "&amp;VLOOKUP(3-0.1,$A$16:$D$640,2)+2&amp;" to "&amp;IF($C$4*$C$5&lt;VLOOKUP(4-0.1,$A$16:$D$640,2),$C$4*$C$5,VLOOKUP(4-0.1,$A$16:$D$640,2))&amp;" at "&amp;TEXT(VLOOKUP(4-0.01,$A$16:$D$640,4),"0.0%")&amp;"."))</f>
        <v>For example, a private lending institution is providing a fully amortizing loan of $50,000 for 180 months to the Development with the following interest schedule: Months 1 to 180 at 3.00%.</v>
      </c>
      <c r="F663" s="2157"/>
      <c r="G663" s="2157"/>
      <c r="H663" s="2157"/>
      <c r="I663" s="2157"/>
      <c r="J663" s="2157"/>
      <c r="K663" s="2157"/>
      <c r="L663" s="2157"/>
      <c r="M663" s="2157"/>
      <c r="N663" s="2157"/>
      <c r="O663" s="2157"/>
      <c r="P663" s="2157"/>
      <c r="Q663" s="2157"/>
      <c r="R663" s="2157"/>
      <c r="S663" s="2157"/>
      <c r="T663" s="2157"/>
      <c r="U663" s="2157"/>
      <c r="V663" s="2157"/>
      <c r="W663" s="2157"/>
      <c r="X663" s="2157"/>
      <c r="Y663" s="2157"/>
      <c r="Z663" s="2157"/>
      <c r="AA663" s="2157"/>
      <c r="AB663" s="2157"/>
      <c r="AC663" s="2157"/>
      <c r="AD663" s="2157"/>
    </row>
    <row r="664" spans="2:30" ht="13">
      <c r="C664" s="2935"/>
      <c r="D664" s="2938"/>
      <c r="E664" s="2159" t="str">
        <f>"The yield forgone at "&amp;TEXT($C$11,"0.00%")&amp;" for "&amp;S642&amp;" 1 through "&amp;MIN(VLOOKUP(1-0.01,$O$16:$V$640,8)+IF(O640&lt;1,0,1),$C$4*$C$5-1)&amp;" is calculated to be "&amp;TEXT(Q17,"$#,##0.00")&amp;" per "&amp;S645&amp;IF(O640&lt;1," and the last payment in "&amp;S645&amp;TEXT($C$4*$C$5,"0")&amp;" of "&amp;TEXT(VLOOKUP($C$4*$C$5,$N$16:$R$640,4),"$#,##0.00")&amp;".","; "&amp;S642&amp;" "&amp;VLOOKUP(1-0.01,$O$16:$V$640,8)+2&amp;" to "&amp;MIN(VLOOKUP(2-0.01,$O$16:$V$640,8)+IF(O640&lt;1,0,1),$C$4*$C$5-1)&amp;" is "&amp;TEXT(VLOOKUP(1+0.00001,$O$16:$R$640,3),"$#,##0.00")&amp;" per "&amp;S645&amp;IF(O640&lt;2," and the last payment in "&amp;S645&amp;TEXT($C$4*$C$5,"0")&amp;" of "&amp;TEXT(VLOOKUP($C$4*$C$5,$N$16:$R$640,4),"$#,##0.00")&amp;".","; "&amp;S642&amp;" "&amp;VLOOKUP(2-0.01,$O$16:$V$640,8)+2&amp;" to "&amp;IF($C$4*$C$5&lt;VLOOKUP(3-0.01,$O$16:$V$640,8),$C$4*$C$5-1,VLOOKUP(3-0.01,$O$16:$V$640,8))&amp;" is "&amp;TEXT(VLOOKUP(2+0.00001,$O$16:$R$640,3),"$#,##0.00")&amp;" per "&amp;S645&amp;" and the last payment in "&amp;S645&amp;" "&amp;TEXT($C$4*$C$5,"0")&amp;" is "&amp;TEXT(VLOOKUP($C$4*$C$5,$N$16:$R$640,4),"$#,##0.00")&amp;"."))</f>
        <v>The yield forgone at 7.71% for Months 1 through 179 is calculated to be $124.20 per month and the last payment in month180 of $125.02.</v>
      </c>
    </row>
    <row r="665" spans="2:30" ht="13">
      <c r="C665" s="2935"/>
      <c r="D665" s="2939"/>
      <c r="E665" s="2160" t="str">
        <f>"The net present value of the yield forgone for the "&amp;TEXT($C$4,"0")&amp;"-year life of the loan calculated using the discount rate of "&amp;TEXT($C$11,"0.00%")&amp;" is "&amp;TEXT($Q$16,"$#,##0.00")&amp;".  "&amp;TEXT($Q$16,"$#,##0.00")&amp;" is the calculated Match contribution in this example."</f>
        <v>The net present value of the yield forgone for the 15-year life of the loan calculated using the discount rate of 7.71% is $13,227.29.  $13,227.29 is the calculated Match contribution in this example.</v>
      </c>
      <c r="F665" s="2152"/>
      <c r="G665" s="2152"/>
      <c r="H665" s="2152"/>
      <c r="I665" s="2152"/>
      <c r="J665" s="2152"/>
      <c r="K665" s="2152"/>
      <c r="L665" s="2152"/>
      <c r="M665" s="2152"/>
      <c r="N665" s="2152"/>
      <c r="O665" s="2152"/>
      <c r="P665" s="2152"/>
      <c r="Q665" s="2152"/>
      <c r="R665" s="2152"/>
      <c r="S665" s="2152"/>
      <c r="T665" s="2152"/>
      <c r="U665" s="2152"/>
      <c r="V665" s="2152"/>
      <c r="W665" s="2152"/>
      <c r="X665" s="2152"/>
      <c r="Y665" s="2152"/>
      <c r="Z665" s="2152"/>
      <c r="AA665" s="2152"/>
      <c r="AB665" s="2152"/>
      <c r="AC665" s="2152"/>
      <c r="AD665" s="2152"/>
    </row>
    <row r="666" spans="2:30" ht="13">
      <c r="C666" s="2935"/>
      <c r="D666" s="2940" t="s">
        <v>2829</v>
      </c>
      <c r="E666" s="2158"/>
    </row>
    <row r="667" spans="2:30" ht="13.5" thickBot="1">
      <c r="C667" s="2936"/>
      <c r="D667" s="2941"/>
      <c r="E667" s="2158" t="str">
        <f>E663&amp;"  "&amp;E664&amp;"  "&amp;E665</f>
        <v>For example, a private lending institution is providing a fully amortizing loan of $50,000 for 180 months to the Development with the following interest schedule: Months 1 to 180 at 3.00%.  The yield forgone at 7.71% for Months 1 through 179 is calculated to be $124.20 per month and the last payment in month180 of $125.02.  The net present value of the yield forgone for the 15-year life of the loan calculated using the discount rate of 7.71% is $13,227.29.  $13,227.29 is the calculated Match contribution in this example.</v>
      </c>
    </row>
    <row r="668" spans="2:30" ht="13">
      <c r="C668" s="2923" t="s">
        <v>2826</v>
      </c>
      <c r="D668" s="2926" t="s">
        <v>2828</v>
      </c>
      <c r="E668" s="2170" t="str">
        <f>"In another example, a private lending institution is providing a loan of "&amp;TEXT($I$3,"$#,##0")&amp;" for "&amp;TEXT($I$4*$I$5,"0")&amp;" "&amp;S644&amp;" that is interest only over the term with a balloon payment at maturity to the Development with the following interest schedule: "&amp;S642&amp;" 1 to "&amp;MIN(VLOOKUP(2-0.1,$G$16:$J$640,2)+1,$I$4*$I$5)&amp;" at "&amp;TEXT(VLOOKUP(2-0.01,$G$16:$J$640,4),"0.00%")&amp;IF(S640&lt;1,".",IF(O640&lt;2," and ","; ")&amp;S642&amp;" "&amp;VLOOKUP(2-0.1,$G$16:$J$640,2)+2&amp;" to "&amp;MIN(VLOOKUP(3-0.1,$G$16:$J$640,2)+1,$I$4*$I$5)&amp;" at "&amp;TEXT(VLOOKUP(3-0.01,$G$16:$J$640,4),"0.00%")&amp;IF(S640&lt;2,"."," and "&amp;S642&amp;" "&amp;VLOOKUP(3-0.1,$G$16:$J$640,2)+2&amp;" to "&amp;IF($I$4*$I$5&lt;VLOOKUP(4-0.1,$G$16:$J$640,2),$I$4*$I$5,VLOOKUP(4-0.1,$G$16:$J$640,2))&amp;" at "&amp;TEXT(VLOOKUP(4-0.01,$G$16:$J$640,4),"0.00%")&amp;"."))</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v>
      </c>
      <c r="F668" s="2157"/>
      <c r="G668" s="2157"/>
      <c r="H668" s="2157"/>
      <c r="I668" s="2157"/>
      <c r="J668" s="2157"/>
      <c r="K668" s="2157"/>
      <c r="L668" s="2157"/>
      <c r="M668" s="2157"/>
      <c r="N668" s="2157"/>
      <c r="O668" s="2157"/>
      <c r="P668" s="2157"/>
      <c r="Q668" s="2157"/>
      <c r="R668" s="2157"/>
      <c r="S668" s="2157"/>
      <c r="T668" s="2157"/>
      <c r="U668" s="2157"/>
      <c r="V668" s="2157"/>
      <c r="W668" s="2157"/>
      <c r="X668" s="2157"/>
      <c r="Y668" s="2157"/>
      <c r="Z668" s="2157"/>
      <c r="AA668" s="2157"/>
      <c r="AB668" s="2157"/>
      <c r="AC668" s="2157"/>
      <c r="AD668" s="2157"/>
    </row>
    <row r="669" spans="2:30" ht="13">
      <c r="C669" s="2924"/>
      <c r="D669" s="2927"/>
      <c r="E669" s="2171" t="str">
        <f>"The yield forgone at "&amp;TEXT($I$11,"0.00%")&amp;" for "&amp;S642&amp;" 1 through "&amp;MIN(VLOOKUP(1-0.01,$S$16:$V$640,4)+IF(S640&lt;1,0,1),$I$4*$I$5-1)&amp;" is calculated to be "&amp;TEXT(U17,"$#,##0.00")&amp;" per "&amp;S645&amp;IF(S640&lt;1," and the last payment in "&amp;S645&amp;TEXT($I$4*$I$5,"0")&amp;" of "&amp;TEXT(VLOOKUP($I$4*$I$5,$N$16:$U$640,8),"$#,##0.00")&amp;".","; "&amp;S642&amp;" "&amp;VLOOKUP(1-0.01,$S$16:$V$640,4)+2&amp;" to "&amp;MIN(VLOOKUP(2-0.01,$S$16:$V$640,4)+IF(S640&lt;1,0,1),$I$4*$I$5-1)&amp;" is "&amp;TEXT(VLOOKUP(1+0.00001,$S$16:$U$640,3),"$#,##0.00")&amp;" per "&amp;S645&amp;IF(S640&lt;2," and the last payment in "&amp;S645&amp;TEXT($I$4*$I$5,"0")&amp;" of "&amp;TEXT(VLOOKUP($I$4*$I$5,$N$16:$U$640,8),"$#,##0.00")&amp;".","; "&amp;S642&amp;" "&amp;VLOOKUP(2-0.01,$S$16:$V$640,4)+2&amp;" to "&amp;IF($I$4*$I$5&lt;VLOOKUP(3-0.01,$S$16:$V$640,4),$I$4*$I$5-1,VLOOKUP(3-0.01,$S$16:$V$640,4))&amp;" is "&amp;TEXT(VLOOKUP(2+0.00001,$S$16:$U$640,3),"$#,##0.00")&amp;" per "&amp;S645&amp;" and the last payment in "&amp;S645&amp;" "&amp;TEXT($I$4*$I$5,"0")&amp;" is "&amp;TEXT(VLOOKUP($I$4*$I$5,$N$16:$U$640,8),"$#,##0.00")&amp;"."))</f>
        <v>The yield forgone at 7.71% for Months 1 through 60 is calculated to be $196.25 per month; Months 61 to 120 is $217.08 per month; Months 121 to 179 is $175.42 per month and the last payment in month 180 is $175.42.</v>
      </c>
    </row>
    <row r="670" spans="2:30" ht="13">
      <c r="C670" s="2924"/>
      <c r="D670" s="2928"/>
      <c r="E670" s="2172" t="str">
        <f>"The net present value of the yield forgone for the "&amp;TEXT($I$4,"0")&amp;"-year life of the loan calculated using the discount rate of "&amp;TEXT($I$11,"0.00%")&amp;" is "&amp;TEXT($U$16,"$#,##0.00")&amp;".  "&amp;TEXT($U$16,"$#,##0.00")&amp;" is the calculated Match contribution in this example."</f>
        <v>The net present value of the yield forgone for the 15-year life of the loan calculated using the discount rate of 7.71% is $21,124.97.  $21,124.97 is the calculated Match contribution in this example.</v>
      </c>
      <c r="F670" s="2152"/>
      <c r="G670" s="2152"/>
      <c r="H670" s="2152"/>
      <c r="I670" s="2152"/>
      <c r="J670" s="2152"/>
      <c r="K670" s="2152"/>
      <c r="L670" s="2152"/>
      <c r="M670" s="2152"/>
      <c r="N670" s="2152"/>
      <c r="O670" s="2152"/>
      <c r="P670" s="2152"/>
      <c r="Q670" s="2152"/>
      <c r="R670" s="2152"/>
      <c r="S670" s="2152"/>
      <c r="T670" s="2152"/>
      <c r="U670" s="2152"/>
      <c r="V670" s="2152"/>
      <c r="W670" s="2152"/>
      <c r="X670" s="2152"/>
      <c r="Y670" s="2152"/>
      <c r="Z670" s="2152"/>
      <c r="AA670" s="2152"/>
      <c r="AB670" s="2152"/>
      <c r="AC670" s="2152"/>
      <c r="AD670" s="2152"/>
    </row>
    <row r="671" spans="2:30" ht="13">
      <c r="C671" s="2924"/>
      <c r="D671" s="2929" t="s">
        <v>2829</v>
      </c>
      <c r="E671" s="2171"/>
    </row>
    <row r="672" spans="2:30" ht="13.5" thickBot="1">
      <c r="C672" s="2925"/>
      <c r="D672" s="2930"/>
      <c r="E672" s="2173" t="str">
        <f>E668&amp;"  "&amp;E669&amp;"  "&amp;E670</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  The yield forgone at 7.71% for Months 1 through 60 is calculated to be $196.25 per month; Months 61 to 120 is $217.08 per month; Months 121 to 179 is $175.42 per month and the last payment in month 180 is $175.42.  The net present value of the yield forgone for the 15-year life of the loan calculated using the discount rate of 7.71% is $21,124.97.  $21,124.97 is the calculated Match contribution in this example.</v>
      </c>
      <c r="F672" s="2168"/>
      <c r="G672" s="2168"/>
      <c r="H672" s="2168"/>
      <c r="I672" s="2168"/>
      <c r="J672" s="2168"/>
      <c r="K672" s="2168"/>
      <c r="L672" s="2168"/>
      <c r="M672" s="2168"/>
      <c r="N672" s="2168"/>
      <c r="O672" s="2168"/>
      <c r="P672" s="2168"/>
      <c r="Q672" s="2168"/>
      <c r="R672" s="2168"/>
      <c r="S672" s="2168"/>
      <c r="T672" s="2168"/>
      <c r="U672" s="2168"/>
      <c r="V672" s="2168"/>
      <c r="W672" s="2168"/>
      <c r="X672" s="2168"/>
      <c r="Y672" s="2168"/>
      <c r="Z672" s="2168"/>
      <c r="AA672" s="2168"/>
      <c r="AB672" s="2168"/>
      <c r="AC672" s="2168"/>
      <c r="AD672" s="2168"/>
    </row>
    <row r="685" spans="3:4" ht="14.5">
      <c r="C685" s="2174">
        <v>42551</v>
      </c>
      <c r="D685" s="2175">
        <v>1.4880000000000001E-2</v>
      </c>
    </row>
    <row r="686" spans="3:4" ht="14.5">
      <c r="C686" s="2174">
        <v>42916</v>
      </c>
      <c r="D686" s="2175">
        <v>2.3019999999999999E-2</v>
      </c>
    </row>
    <row r="687" spans="3:4" ht="14.5">
      <c r="C687" s="2174">
        <v>43281</v>
      </c>
      <c r="D687" s="2175">
        <v>2.8490000000000001E-2</v>
      </c>
    </row>
    <row r="688" spans="3:4" ht="14.5">
      <c r="C688" s="2174">
        <v>43646</v>
      </c>
      <c r="D688" s="2175">
        <v>0.02</v>
      </c>
    </row>
    <row r="689" spans="3:4" ht="14.5">
      <c r="C689" s="2174">
        <v>44012</v>
      </c>
      <c r="D689" s="2175">
        <v>6.5300000000000002E-3</v>
      </c>
    </row>
    <row r="690" spans="3:4" ht="14.5">
      <c r="C690" s="2174">
        <v>44377</v>
      </c>
      <c r="D690" s="2175">
        <v>1.443E-2</v>
      </c>
    </row>
    <row r="691" spans="3:4" ht="14.5">
      <c r="C691" s="2174">
        <v>44742</v>
      </c>
      <c r="D691" s="2175">
        <v>2.972E-2</v>
      </c>
    </row>
    <row r="692" spans="3:4" ht="14.5">
      <c r="C692" s="2174">
        <v>45061</v>
      </c>
      <c r="D692" s="2175">
        <v>3.508E-2</v>
      </c>
    </row>
    <row r="693" spans="3:4" ht="14.5">
      <c r="C693" s="2174">
        <v>45427</v>
      </c>
      <c r="D693" s="2175">
        <v>4.3560000000000001E-2</v>
      </c>
    </row>
    <row r="694" spans="3:4" ht="14.5">
      <c r="C694" s="2174">
        <v>45792</v>
      </c>
      <c r="D694" s="2175">
        <v>4.4549999999999999E-2</v>
      </c>
    </row>
    <row r="695" spans="3:4">
      <c r="C695" s="2174">
        <v>46157</v>
      </c>
      <c r="D695" s="2176" t="s">
        <v>2830</v>
      </c>
    </row>
    <row r="696" spans="3:4">
      <c r="C696" s="2174">
        <v>46522</v>
      </c>
      <c r="D696" s="2176" t="s">
        <v>2830</v>
      </c>
    </row>
  </sheetData>
  <sheetProtection formatRows="0"/>
  <mergeCells count="29">
    <mergeCell ref="C668:C672"/>
    <mergeCell ref="D668:D670"/>
    <mergeCell ref="D671:D672"/>
    <mergeCell ref="N12:V14"/>
    <mergeCell ref="B643:L646"/>
    <mergeCell ref="C648:C651"/>
    <mergeCell ref="C653:C656"/>
    <mergeCell ref="B658:L661"/>
    <mergeCell ref="C663:C667"/>
    <mergeCell ref="D663:D665"/>
    <mergeCell ref="D666:D667"/>
    <mergeCell ref="D8:F8"/>
    <mergeCell ref="J8:L8"/>
    <mergeCell ref="D9:F9"/>
    <mergeCell ref="J9:L9"/>
    <mergeCell ref="D11:F11"/>
    <mergeCell ref="J11:L11"/>
    <mergeCell ref="D5:F5"/>
    <mergeCell ref="J5:L5"/>
    <mergeCell ref="D6:F6"/>
    <mergeCell ref="J6:L6"/>
    <mergeCell ref="D7:F7"/>
    <mergeCell ref="J7:L7"/>
    <mergeCell ref="B2:F2"/>
    <mergeCell ref="H2:L2"/>
    <mergeCell ref="D3:F3"/>
    <mergeCell ref="J3:L3"/>
    <mergeCell ref="D4:F4"/>
    <mergeCell ref="J4:L4"/>
  </mergeCells>
  <conditionalFormatting sqref="B16:E640 H16:J640">
    <cfRule type="expression" dxfId="1523" priority="2">
      <formula>$B16/3=ROUND($B16/3,0)</formula>
    </cfRule>
  </conditionalFormatting>
  <conditionalFormatting sqref="D17:D640 J17:J640">
    <cfRule type="cellIs" dxfId="1522" priority="1" operator="notEqual">
      <formula>D16</formula>
    </cfRule>
  </conditionalFormatting>
  <dataValidations disablePrompts="1" count="1">
    <dataValidation type="list" allowBlank="1" showInputMessage="1" showErrorMessage="1" sqref="R4" xr:uid="{9D0AADF7-8F04-410D-9056-2DD19CEE36FC}">
      <formula1>$C$685:$C$696</formula1>
    </dataValidation>
  </dataValidations>
  <pageMargins left="0.7" right="0.7" top="0.75" bottom="0.75" header="0.3" footer="0.3"/>
  <pageSetup scale="80" orientation="portrait" cellComments="atEnd" r:id="rId1"/>
  <headerFooter>
    <oddHeader>&amp;C&amp;B&amp;14&amp;K7030A0RFA 2026-204 SAIL FINANCING FOR THE PRESERVATION OF ELDERLY DEVELOPMENTS</oddHeader>
    <oddFooter>&amp;LRFA 2026-204&amp;R&amp;K000000'&amp;A' worksheet tab: Page &amp;P of &amp;N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W1208"/>
  <sheetViews>
    <sheetView topLeftCell="A267" zoomScale="110" zoomScaleNormal="110" workbookViewId="0">
      <selection activeCell="A285" sqref="A285"/>
    </sheetView>
  </sheetViews>
  <sheetFormatPr defaultRowHeight="14.5"/>
  <cols>
    <col min="1" max="1" width="74.81640625" customWidth="1"/>
    <col min="2" max="2" width="9.26953125" customWidth="1"/>
    <col min="3" max="3" width="9.54296875" customWidth="1"/>
    <col min="4" max="4" width="11.1796875" customWidth="1"/>
    <col min="5" max="5" width="15" customWidth="1"/>
    <col min="6" max="6" width="66.81640625" customWidth="1"/>
    <col min="7" max="11" width="16" customWidth="1"/>
    <col min="12" max="29" width="13.7265625" customWidth="1"/>
    <col min="30" max="30" width="26.81640625" bestFit="1" customWidth="1"/>
    <col min="31" max="32" width="18.7265625" customWidth="1"/>
    <col min="33" max="37" width="15.54296875" customWidth="1"/>
    <col min="38" max="38" width="14.453125" customWidth="1"/>
    <col min="39" max="39" width="16.453125" customWidth="1"/>
    <col min="40" max="42" width="15.54296875" customWidth="1"/>
  </cols>
  <sheetData>
    <row r="1" spans="1:19">
      <c r="A1" s="24"/>
      <c r="B1" s="7"/>
      <c r="C1" s="7"/>
      <c r="D1" s="7"/>
      <c r="E1" s="7"/>
      <c r="F1" s="7"/>
      <c r="J1" s="25" t="s">
        <v>13</v>
      </c>
      <c r="S1" s="25" t="s">
        <v>13</v>
      </c>
    </row>
    <row r="2" spans="1:19">
      <c r="A2" s="1"/>
      <c r="B2" s="1"/>
      <c r="C2" s="1"/>
      <c r="D2" s="1"/>
      <c r="E2" s="1"/>
      <c r="J2" t="s">
        <v>14</v>
      </c>
      <c r="S2" t="s">
        <v>15</v>
      </c>
    </row>
    <row r="3" spans="1:19">
      <c r="A3" s="5" t="s">
        <v>16</v>
      </c>
      <c r="B3" s="755" t="s">
        <v>1735</v>
      </c>
      <c r="C3" s="755"/>
      <c r="D3" s="755"/>
      <c r="E3" s="755"/>
      <c r="F3" s="755"/>
      <c r="J3" s="264" t="s">
        <v>17</v>
      </c>
      <c r="S3" t="s">
        <v>18</v>
      </c>
    </row>
    <row r="4" spans="1:19" ht="18" customHeight="1">
      <c r="A4" s="3017" t="s">
        <v>3301</v>
      </c>
      <c r="B4" s="3017"/>
      <c r="C4" s="3017"/>
      <c r="D4" s="3017"/>
      <c r="E4" s="3017"/>
      <c r="F4" s="3017"/>
      <c r="J4" t="s">
        <v>19</v>
      </c>
      <c r="S4" t="s">
        <v>20</v>
      </c>
    </row>
    <row r="5" spans="1:19">
      <c r="J5" t="s">
        <v>21</v>
      </c>
      <c r="S5" t="s">
        <v>22</v>
      </c>
    </row>
    <row r="6" spans="1:19">
      <c r="A6" s="5" t="s">
        <v>23</v>
      </c>
      <c r="J6" t="s">
        <v>24</v>
      </c>
      <c r="S6" t="s">
        <v>25</v>
      </c>
    </row>
    <row r="7" spans="1:19" ht="18" customHeight="1">
      <c r="A7" s="315" t="s">
        <v>3302</v>
      </c>
      <c r="B7" s="3019" t="s">
        <v>26</v>
      </c>
      <c r="C7" s="3019"/>
      <c r="D7" s="3019"/>
      <c r="E7" s="3019"/>
      <c r="F7" s="237" t="str">
        <f>DS_TabLeftFooter</f>
        <v>RFA 2026-204</v>
      </c>
      <c r="J7" t="s">
        <v>27</v>
      </c>
      <c r="S7" t="s">
        <v>28</v>
      </c>
    </row>
    <row r="8" spans="1:19">
      <c r="A8" t="s">
        <v>1734</v>
      </c>
      <c r="E8" s="337">
        <v>46308</v>
      </c>
      <c r="J8" t="s">
        <v>29</v>
      </c>
      <c r="S8" t="s">
        <v>30</v>
      </c>
    </row>
    <row r="9" spans="1:19">
      <c r="A9" t="s">
        <v>31</v>
      </c>
      <c r="E9" s="337">
        <v>46336</v>
      </c>
      <c r="J9" t="s">
        <v>32</v>
      </c>
      <c r="S9" t="s">
        <v>33</v>
      </c>
    </row>
    <row r="10" spans="1:19">
      <c r="A10" t="s">
        <v>1695</v>
      </c>
      <c r="E10" s="2017">
        <v>46261</v>
      </c>
      <c r="F10" t="s">
        <v>2862</v>
      </c>
      <c r="J10" t="s">
        <v>34</v>
      </c>
      <c r="S10" t="s">
        <v>35</v>
      </c>
    </row>
    <row r="11" spans="1:19">
      <c r="J11" t="s">
        <v>42</v>
      </c>
      <c r="S11" t="s">
        <v>43</v>
      </c>
    </row>
    <row r="12" spans="1:19">
      <c r="B12" s="1505" t="str">
        <f>$B$18</f>
        <v>Do NOT delete any formulas in any "Sequence" column (column C), it's controlled by column B entries (1 to use, 0 or delete to not use). [warning not repeated every instance]</v>
      </c>
      <c r="C12" s="1505"/>
      <c r="D12" s="1505"/>
      <c r="E12" s="1505"/>
      <c r="F12" s="1505"/>
      <c r="G12" s="1506"/>
      <c r="H12" s="1506"/>
      <c r="I12" s="1505"/>
      <c r="J12" t="s">
        <v>45</v>
      </c>
      <c r="S12" t="s">
        <v>46</v>
      </c>
    </row>
    <row r="13" spans="1:19">
      <c r="A13" s="531" t="s">
        <v>2363</v>
      </c>
      <c r="B13" s="532" t="s">
        <v>37</v>
      </c>
      <c r="C13" s="532" t="s">
        <v>38</v>
      </c>
      <c r="D13" s="532" t="s">
        <v>39</v>
      </c>
      <c r="E13" s="483" t="s">
        <v>2260</v>
      </c>
      <c r="F13" s="64" t="s">
        <v>41</v>
      </c>
      <c r="J13" t="s">
        <v>48</v>
      </c>
      <c r="S13" t="s">
        <v>49</v>
      </c>
    </row>
    <row r="14" spans="1:19">
      <c r="A14" s="59" t="s">
        <v>2261</v>
      </c>
      <c r="B14" s="57">
        <v>0</v>
      </c>
      <c r="C14" s="60" t="str">
        <f>IF(B14&lt;&gt;1,"",SUM(B14:B$14))</f>
        <v/>
      </c>
      <c r="D14" s="57">
        <v>1</v>
      </c>
      <c r="F14" s="85" t="str">
        <f>IF(COUNTA($A14:$A$14)&lt;=MAX(DS_Designation_Sequence)=TRUE,LOOKUP(COUNTA($A14:$A$14),DS_Designation_Sequence,DS_Designation_DataNames),"")</f>
        <v/>
      </c>
      <c r="J14" t="s">
        <v>51</v>
      </c>
      <c r="S14" t="s">
        <v>52</v>
      </c>
    </row>
    <row r="15" spans="1:19">
      <c r="A15" s="59" t="s">
        <v>2262</v>
      </c>
      <c r="B15" s="57">
        <v>0</v>
      </c>
      <c r="C15" s="60" t="str">
        <f>IF(B15&lt;&gt;1,"",SUM(B$14:B15))</f>
        <v/>
      </c>
      <c r="D15" s="57">
        <v>4</v>
      </c>
      <c r="F15" s="85" t="str">
        <f>IF(COUNTA($A$14:$A15)&lt;=MAX(DS_Designation_Sequence)=TRUE,LOOKUP(COUNTA($A$14:$A15),DS_Designation_Sequence,DS_Designation_DataNames),"")</f>
        <v/>
      </c>
      <c r="J15" t="s">
        <v>54</v>
      </c>
      <c r="S15" t="s">
        <v>55</v>
      </c>
    </row>
    <row r="16" spans="1:19">
      <c r="A16" s="61" t="s">
        <v>2310</v>
      </c>
      <c r="B16" s="58">
        <v>0</v>
      </c>
      <c r="C16" s="60" t="str">
        <f>IF(B16&lt;&gt;1,"",SUM(B$14:B16))</f>
        <v/>
      </c>
      <c r="D16" s="58">
        <v>5</v>
      </c>
      <c r="F16" s="85" t="str">
        <f>IF(COUNTA($A$14:$A16)&lt;=MAX(DS_Designation_Sequence)=TRUE,LOOKUP(COUNTA($A$14:$A16),DS_Designation_Sequence,DS_Designation_DataNames),"")</f>
        <v/>
      </c>
      <c r="J16" t="s">
        <v>57</v>
      </c>
      <c r="S16" t="s">
        <v>58</v>
      </c>
    </row>
    <row r="17" spans="1:10">
      <c r="F17" s="264"/>
      <c r="J17" t="s">
        <v>60</v>
      </c>
    </row>
    <row r="18" spans="1:10">
      <c r="B18" s="1505" t="s">
        <v>2453</v>
      </c>
      <c r="C18" s="1505"/>
      <c r="D18" s="1505"/>
      <c r="E18" s="1505"/>
      <c r="F18" s="1505"/>
      <c r="G18" s="1506"/>
      <c r="H18" s="1506"/>
      <c r="I18" s="1506"/>
      <c r="J18" t="s">
        <v>62</v>
      </c>
    </row>
    <row r="19" spans="1:10" ht="18" customHeight="1">
      <c r="A19" s="531" t="s">
        <v>36</v>
      </c>
      <c r="B19" s="532" t="s">
        <v>37</v>
      </c>
      <c r="C19" s="532" t="s">
        <v>38</v>
      </c>
      <c r="D19" s="532" t="s">
        <v>39</v>
      </c>
      <c r="E19" s="483" t="s">
        <v>40</v>
      </c>
      <c r="F19" s="64" t="s">
        <v>41</v>
      </c>
      <c r="J19" t="s">
        <v>64</v>
      </c>
    </row>
    <row r="20" spans="1:10">
      <c r="A20" s="918" t="s">
        <v>44</v>
      </c>
      <c r="B20" s="919">
        <v>0</v>
      </c>
      <c r="C20" s="920" t="str">
        <f>IF(B20&lt;&gt;1,"",SUM(B$20:B20))</f>
        <v/>
      </c>
      <c r="D20" s="919">
        <v>1</v>
      </c>
      <c r="F20" s="65" t="str">
        <f>IF(COUNTA($A$20:$A20)&lt;=MAX(DS_Demo_Sequence)=TRUE,LOOKUP(COUNTA($A$20:$A20),DS_Demo_Sequence,DS_Demo_DataNames),"")</f>
        <v>Elderly Non-ALF</v>
      </c>
      <c r="J20" t="s">
        <v>66</v>
      </c>
    </row>
    <row r="21" spans="1:10">
      <c r="A21" s="61" t="s">
        <v>47</v>
      </c>
      <c r="B21" s="58">
        <v>1</v>
      </c>
      <c r="C21" s="921">
        <f>IF(B21&lt;&gt;1,"",SUM(B$20:B21))</f>
        <v>1</v>
      </c>
      <c r="D21" s="58">
        <v>2</v>
      </c>
      <c r="F21" s="65" t="str">
        <f>IF(COUNTA($A$20:$A21)&lt;=MAX(DS_Demo_Sequence)=TRUE,LOOKUP(COUNTA($A$20:$A21),DS_Demo_Sequence,DS_Demo_DataNames),"")</f>
        <v>Elderly ALF</v>
      </c>
      <c r="J21" t="s">
        <v>68</v>
      </c>
    </row>
    <row r="22" spans="1:10">
      <c r="A22" s="61" t="s">
        <v>50</v>
      </c>
      <c r="B22" s="58">
        <v>1</v>
      </c>
      <c r="C22" s="921">
        <f>IF(B22&lt;&gt;1,"",SUM(B$20:B22))</f>
        <v>2</v>
      </c>
      <c r="D22" s="58">
        <v>3</v>
      </c>
      <c r="F22" s="65" t="str">
        <f>IF(COUNTA($A$20:$A22)&lt;=MAX(DS_Demo_Sequence)=TRUE,LOOKUP(COUNTA($A$20:$A22),DS_Demo_Sequence,DS_Demo_DataNames),"")</f>
        <v/>
      </c>
      <c r="J22" t="s">
        <v>69</v>
      </c>
    </row>
    <row r="23" spans="1:10">
      <c r="A23" s="61" t="s">
        <v>53</v>
      </c>
      <c r="B23" s="58">
        <v>0</v>
      </c>
      <c r="C23" s="921" t="str">
        <f>IF(B23&lt;&gt;1,"",SUM(B$20:B23))</f>
        <v/>
      </c>
      <c r="D23" s="58">
        <v>4</v>
      </c>
      <c r="F23" s="65" t="str">
        <f>IF(COUNTA($A$20:$A23)&lt;=MAX(DS_Demo_Sequence)=TRUE,LOOKUP(COUNTA($A$20:$A23),DS_Demo_Sequence,DS_Demo_DataNames),"")</f>
        <v/>
      </c>
      <c r="J23" t="s">
        <v>72</v>
      </c>
    </row>
    <row r="24" spans="1:10">
      <c r="A24" s="61" t="s">
        <v>56</v>
      </c>
      <c r="B24" s="58">
        <v>0</v>
      </c>
      <c r="C24" s="921" t="str">
        <f>IF(B24&lt;&gt;1,"",SUM(B$20:B24))</f>
        <v/>
      </c>
      <c r="D24" s="58">
        <v>5</v>
      </c>
      <c r="F24" s="65" t="str">
        <f>IF(COUNTA($A$20:$A24)&lt;=MAX(DS_Demo_Sequence)=TRUE,LOOKUP(COUNTA($A$20:$A24),DS_Demo_Sequence,DS_Demo_DataNames),"")</f>
        <v/>
      </c>
      <c r="J24" t="s">
        <v>74</v>
      </c>
    </row>
    <row r="25" spans="1:10">
      <c r="A25" s="61" t="s">
        <v>59</v>
      </c>
      <c r="B25" s="58">
        <v>0</v>
      </c>
      <c r="C25" s="921" t="str">
        <f>IF(B25&lt;&gt;1,"",SUM(B$20:B25))</f>
        <v/>
      </c>
      <c r="D25" s="58">
        <v>6</v>
      </c>
      <c r="E25" s="3021" t="s">
        <v>2512</v>
      </c>
      <c r="F25" s="65" t="str">
        <f>IF(COUNTA($A$20:$A25)&lt;=MAX(DS_Demo_Sequence)=TRUE,LOOKUP(COUNTA($A$20:$A25),DS_Demo_Sequence,DS_Demo_DataNames),"")</f>
        <v/>
      </c>
      <c r="J25" t="s">
        <v>76</v>
      </c>
    </row>
    <row r="26" spans="1:10">
      <c r="A26" s="61" t="s">
        <v>61</v>
      </c>
      <c r="B26" s="58">
        <v>0</v>
      </c>
      <c r="C26" s="921" t="str">
        <f>IF(B26&lt;&gt;1,"",SUM(B$20:B26))</f>
        <v/>
      </c>
      <c r="D26" s="58">
        <v>7</v>
      </c>
      <c r="E26" s="3022"/>
      <c r="F26" s="65" t="str">
        <f>IF(COUNTA($A$20:$A26)&lt;=MAX(DS_Demo_Sequence)=TRUE,LOOKUP(COUNTA($A$20:$A26),DS_Demo_Sequence,DS_Demo_DataNames),"")</f>
        <v/>
      </c>
      <c r="J26" t="s">
        <v>78</v>
      </c>
    </row>
    <row r="27" spans="1:10">
      <c r="A27" s="61" t="s">
        <v>63</v>
      </c>
      <c r="B27" s="58">
        <v>0</v>
      </c>
      <c r="C27" s="921" t="str">
        <f>IF(B27&lt;&gt;1,"",SUM(B$20:B27))</f>
        <v/>
      </c>
      <c r="D27" s="58">
        <v>8</v>
      </c>
      <c r="E27" s="3023"/>
      <c r="F27" s="65" t="str">
        <f>IF(COUNTA($A$20:$A27)&lt;=MAX(DS_Demo_Sequence)=TRUE,LOOKUP(COUNTA($A$20:$A27),DS_Demo_Sequence,DS_Demo_DataNames),"")</f>
        <v/>
      </c>
      <c r="J27" t="s">
        <v>80</v>
      </c>
    </row>
    <row r="28" spans="1:10">
      <c r="A28" s="61" t="s">
        <v>65</v>
      </c>
      <c r="B28" s="58">
        <v>0</v>
      </c>
      <c r="C28" s="921" t="str">
        <f>IF(B28&lt;&gt;1,"",SUM(B$20:B28))</f>
        <v/>
      </c>
      <c r="D28" s="58">
        <v>9</v>
      </c>
      <c r="F28" s="65" t="str">
        <f>IF(COUNTA($A$20:$A28)&lt;=MAX(DS_Demo_Sequence)=TRUE,LOOKUP(COUNTA($A$20:$A28),DS_Demo_Sequence,DS_Demo_DataNames),"")</f>
        <v/>
      </c>
      <c r="J28" t="s">
        <v>82</v>
      </c>
    </row>
    <row r="29" spans="1:10">
      <c r="A29" s="61" t="s">
        <v>67</v>
      </c>
      <c r="B29" s="58">
        <v>0</v>
      </c>
      <c r="C29" s="921" t="str">
        <f>IF(B29&lt;&gt;1,"",SUM(B$20:B29))</f>
        <v/>
      </c>
      <c r="D29" s="58">
        <v>10</v>
      </c>
      <c r="F29" s="65" t="str">
        <f>IF(COUNTA($A$20:$A29)&lt;=MAX(DS_Demo_Sequence)=TRUE,LOOKUP(COUNTA($A$20:$A29),DS_Demo_Sequence,DS_Demo_DataNames),"")</f>
        <v/>
      </c>
      <c r="J29" t="s">
        <v>84</v>
      </c>
    </row>
    <row r="30" spans="1:10">
      <c r="A30" s="61" t="s">
        <v>1497</v>
      </c>
      <c r="B30" s="58">
        <v>0</v>
      </c>
      <c r="C30" s="921" t="str">
        <f>IF(B30&lt;&gt;1,"",SUM(B$20:B30))</f>
        <v/>
      </c>
      <c r="D30" s="58">
        <v>11</v>
      </c>
      <c r="F30" s="65" t="str">
        <f>IF(COUNTA($A$20:$A30)&lt;=MAX(DS_Demo_Sequence)=TRUE,LOOKUP(COUNTA($A$20:$A30),DS_Demo_Sequence,DS_Demo_DataNames),"")</f>
        <v/>
      </c>
      <c r="J30" t="s">
        <v>86</v>
      </c>
    </row>
    <row r="31" spans="1:10">
      <c r="A31" s="61" t="s">
        <v>1498</v>
      </c>
      <c r="B31" s="58">
        <v>0</v>
      </c>
      <c r="C31" s="921" t="str">
        <f>IF(B31&lt;&gt;1,"",SUM(B$20:B31))</f>
        <v/>
      </c>
      <c r="D31" s="58">
        <v>12</v>
      </c>
      <c r="F31" s="65" t="str">
        <f>IF(COUNTA($A$20:$A31)&lt;=MAX(DS_Demo_Sequence)=TRUE,LOOKUP(COUNTA($A$20:$A31),DS_Demo_Sequence,DS_Demo_DataNames),"")</f>
        <v/>
      </c>
      <c r="J31" t="s">
        <v>88</v>
      </c>
    </row>
    <row r="32" spans="1:10">
      <c r="A32" s="61" t="s">
        <v>1499</v>
      </c>
      <c r="B32" s="58">
        <v>0</v>
      </c>
      <c r="C32" s="921" t="str">
        <f>IF(B32&lt;&gt;1,"",SUM(B$20:B32))</f>
        <v/>
      </c>
      <c r="D32" s="58">
        <v>13</v>
      </c>
      <c r="F32" s="65" t="str">
        <f>IF(COUNTA($A$20:$A32)&lt;=MAX(DS_Demo_Sequence)=TRUE,LOOKUP(COUNTA($A$20:$A32),DS_Demo_Sequence,DS_Demo_DataNames),"")</f>
        <v/>
      </c>
      <c r="J32" t="s">
        <v>90</v>
      </c>
    </row>
    <row r="33" spans="1:10">
      <c r="A33" s="61" t="s">
        <v>1500</v>
      </c>
      <c r="B33" s="58">
        <v>0</v>
      </c>
      <c r="C33" s="921" t="str">
        <f>IF(B33&lt;&gt;1,"",SUM(B$20:B33))</f>
        <v/>
      </c>
      <c r="D33" s="58">
        <v>14</v>
      </c>
      <c r="F33" s="65" t="str">
        <f>IF(COUNTA($A$20:$A33)&lt;=MAX(DS_Demo_Sequence)=TRUE,LOOKUP(COUNTA($A$20:$A33),DS_Demo_Sequence,DS_Demo_DataNames),"")</f>
        <v/>
      </c>
      <c r="J33" t="s">
        <v>91</v>
      </c>
    </row>
    <row r="34" spans="1:10">
      <c r="J34" t="s">
        <v>94</v>
      </c>
    </row>
    <row r="35" spans="1:10">
      <c r="A35" s="531" t="s">
        <v>70</v>
      </c>
      <c r="E35" s="483" t="s">
        <v>71</v>
      </c>
      <c r="J35" t="s">
        <v>95</v>
      </c>
    </row>
    <row r="36" spans="1:10">
      <c r="A36" s="411" t="s">
        <v>73</v>
      </c>
      <c r="J36" t="s">
        <v>58</v>
      </c>
    </row>
    <row r="37" spans="1:10">
      <c r="A37" s="6" t="s">
        <v>75</v>
      </c>
      <c r="B37" s="590" t="b">
        <v>0</v>
      </c>
    </row>
    <row r="38" spans="1:10">
      <c r="A38" s="6" t="s">
        <v>77</v>
      </c>
      <c r="B38" s="588" t="b">
        <v>0</v>
      </c>
    </row>
    <row r="39" spans="1:10">
      <c r="A39" s="411" t="s">
        <v>79</v>
      </c>
    </row>
    <row r="40" spans="1:10">
      <c r="A40" s="6" t="s">
        <v>81</v>
      </c>
      <c r="B40" s="588" t="b">
        <v>0</v>
      </c>
    </row>
    <row r="41" spans="1:10">
      <c r="A41" s="6" t="s">
        <v>83</v>
      </c>
      <c r="B41" s="588" t="b">
        <v>0</v>
      </c>
    </row>
    <row r="42" spans="1:10">
      <c r="A42" s="6" t="s">
        <v>85</v>
      </c>
      <c r="B42" s="588" t="b">
        <v>0</v>
      </c>
    </row>
    <row r="43" spans="1:10">
      <c r="A43" s="6" t="s">
        <v>87</v>
      </c>
      <c r="B43" s="588" t="b">
        <v>0</v>
      </c>
    </row>
    <row r="44" spans="1:10">
      <c r="A44" s="6" t="s">
        <v>89</v>
      </c>
      <c r="B44" s="588" t="b">
        <v>0</v>
      </c>
    </row>
    <row r="45" spans="1:10">
      <c r="A45" s="6"/>
      <c r="B45" s="588"/>
    </row>
    <row r="69" spans="1:9">
      <c r="A69" s="6"/>
      <c r="B69" s="588"/>
    </row>
    <row r="70" spans="1:9">
      <c r="B70" s="1505" t="str">
        <f>$B$18</f>
        <v>Do NOT delete any formulas in any "Sequence" column (column C), it's controlled by column B entries (1 to use, 0 or delete to not use). [warning not repeated every instance]</v>
      </c>
      <c r="C70" s="1505"/>
      <c r="D70" s="1505"/>
      <c r="E70" s="1505"/>
      <c r="F70" s="1505"/>
      <c r="G70" s="1506"/>
      <c r="H70" s="1506"/>
      <c r="I70" s="1505"/>
    </row>
    <row r="71" spans="1:9" ht="18" customHeight="1">
      <c r="A71" s="531" t="s">
        <v>92</v>
      </c>
      <c r="B71" s="532" t="s">
        <v>37</v>
      </c>
      <c r="C71" s="532" t="s">
        <v>38</v>
      </c>
      <c r="D71" s="532" t="s">
        <v>39</v>
      </c>
      <c r="E71" s="483" t="s">
        <v>93</v>
      </c>
      <c r="F71" s="64" t="s">
        <v>41</v>
      </c>
    </row>
    <row r="72" spans="1:9">
      <c r="A72" s="59" t="s">
        <v>2065</v>
      </c>
      <c r="B72" s="2211">
        <v>0</v>
      </c>
      <c r="C72" s="60" t="str">
        <f>IF(B72&lt;&gt;1,"",SUM(B$72:B72))</f>
        <v/>
      </c>
      <c r="D72" s="57">
        <v>1</v>
      </c>
      <c r="E72" s="3021" t="s">
        <v>2215</v>
      </c>
      <c r="F72" s="65" t="str">
        <f>IF(COUNTA($A72:$A$72)&lt;=MAX(DS_DevExpProgs_Sequence)=TRUE,LOOKUP(COUNTA($A72:$A$72),DS_DevExpProgs_Sequence,DS_DevExpProgs_DataNames),"")</f>
        <v>Housing Credits</v>
      </c>
    </row>
    <row r="73" spans="1:9">
      <c r="A73" s="1442" t="s">
        <v>2066</v>
      </c>
      <c r="B73" s="2211">
        <v>0</v>
      </c>
      <c r="C73" s="60" t="str">
        <f>IF(B73&lt;&gt;1,"",SUM(B$72:B73))</f>
        <v/>
      </c>
      <c r="D73" s="57">
        <v>2</v>
      </c>
      <c r="E73" s="3022"/>
      <c r="F73" s="65" t="str">
        <f>IF(COUNTA($A$72:$A73)&lt;=MAX(DS_DevExpProgs_Sequence)=TRUE,LOOKUP(COUNTA($A$72:$A73),DS_DevExpProgs_Sequence,DS_DevExpProgs_DataNames),"")</f>
        <v>Tax-Exempt Bonds</v>
      </c>
    </row>
    <row r="74" spans="1:9">
      <c r="A74" s="59" t="s">
        <v>2187</v>
      </c>
      <c r="B74" s="2211">
        <v>0</v>
      </c>
      <c r="C74" s="60" t="str">
        <f>IF(B74&lt;&gt;1,"",SUM(B$72:B74))</f>
        <v/>
      </c>
      <c r="D74" s="57">
        <v>3</v>
      </c>
      <c r="E74" s="3022"/>
      <c r="F74" s="65" t="str">
        <f>IF(COUNTA($A$72:$A74)&lt;=MAX(DS_DevExpProgs_Sequence)=TRUE,LOOKUP(COUNTA($A$72:$A74),DS_DevExpProgs_Sequence,DS_DevExpProgs_DataNames),"")</f>
        <v>HOME</v>
      </c>
    </row>
    <row r="75" spans="1:9">
      <c r="A75" s="59" t="s">
        <v>2185</v>
      </c>
      <c r="B75" s="2211">
        <v>0</v>
      </c>
      <c r="C75" s="60" t="str">
        <f>IF(B75&lt;&gt;1,"",SUM(B$72:B75))</f>
        <v/>
      </c>
      <c r="D75" s="57">
        <v>4</v>
      </c>
      <c r="E75" s="3022"/>
      <c r="F75" s="65" t="str">
        <f>IF(COUNTA($A$72:$A75)&lt;=MAX(DS_DevExpProgs_Sequence)=TRUE,LOOKUP(COUNTA($A$72:$A75),DS_DevExpProgs_Sequence,DS_DevExpProgs_DataNames),"")</f>
        <v>CDBG-DR</v>
      </c>
    </row>
    <row r="76" spans="1:9">
      <c r="A76" s="59" t="s">
        <v>2128</v>
      </c>
      <c r="B76" s="2211">
        <v>0</v>
      </c>
      <c r="C76" s="60" t="str">
        <f>IF(B76&lt;&gt;1,"",SUM(B$72:B76))</f>
        <v/>
      </c>
      <c r="D76" s="57">
        <v>5</v>
      </c>
      <c r="E76" s="3022"/>
      <c r="F76" s="65" t="str">
        <f>IF(COUNTA($A$72:$A76)&lt;=MAX(DS_DevExpProgs_Sequence)=TRUE,LOOKUP(COUNTA($A$72:$A76),DS_DevExpProgs_Sequence,DS_DevExpProgs_DataNames),"")</f>
        <v>NHTF</v>
      </c>
    </row>
    <row r="77" spans="1:9">
      <c r="A77" s="59" t="s">
        <v>2188</v>
      </c>
      <c r="B77" s="2211">
        <v>0</v>
      </c>
      <c r="C77" s="60" t="str">
        <f>IF(B77&lt;&gt;1,"",SUM(B$72:B77))</f>
        <v/>
      </c>
      <c r="D77" s="57">
        <v>6</v>
      </c>
      <c r="E77" s="3022"/>
      <c r="F77" s="65" t="str">
        <f>IF(COUNTA($A$72:$A77)&lt;=MAX(DS_DevExpProgs_Sequence)=TRUE,LOOKUP(COUNTA($A$72:$A77),DS_DevExpProgs_Sequence,DS_DevExpProgs_DataNames),"")</f>
        <v>HUD First Mortgage</v>
      </c>
    </row>
    <row r="78" spans="1:9">
      <c r="A78" s="59" t="s">
        <v>2186</v>
      </c>
      <c r="B78" s="2211">
        <v>0</v>
      </c>
      <c r="C78" s="60" t="str">
        <f>IF(B78&lt;&gt;1,"",SUM(B$72:B78))</f>
        <v/>
      </c>
      <c r="D78" s="57">
        <v>7</v>
      </c>
      <c r="E78" s="3022"/>
      <c r="F78" s="65" t="str">
        <f>IF(COUNTA($A$72:$A78)&lt;=MAX(DS_DevExpProgs_Sequence)=TRUE,LOOKUP(COUNTA($A$72:$A78),DS_DevExpProgs_Sequence,DS_DevExpProgs_DataNames),"")</f>
        <v>Exchange</v>
      </c>
    </row>
    <row r="79" spans="1:9">
      <c r="A79" s="59" t="s">
        <v>2189</v>
      </c>
      <c r="B79" s="2211">
        <v>0</v>
      </c>
      <c r="C79" s="60" t="str">
        <f>IF(B79&lt;&gt;1,"",SUM(B$72:B79))</f>
        <v/>
      </c>
      <c r="D79" s="57">
        <v>8</v>
      </c>
      <c r="E79" s="3022"/>
      <c r="F79" s="65" t="str">
        <f>IF(COUNTA($A$72:$A79)&lt;=MAX(DS_DevExpProgs_Sequence)=TRUE,LOOKUP(COUNTA($A$72:$A79),DS_DevExpProgs_Sequence,DS_DevExpProgs_DataNames),"")</f>
        <v>TCAP</v>
      </c>
    </row>
    <row r="80" spans="1:9">
      <c r="A80" s="59" t="s">
        <v>2190</v>
      </c>
      <c r="B80" s="2211">
        <v>0</v>
      </c>
      <c r="C80" s="60" t="str">
        <f>IF(B80&lt;&gt;1,"",SUM(B$72:B80))</f>
        <v/>
      </c>
      <c r="D80" s="57">
        <v>9</v>
      </c>
      <c r="E80" s="3022"/>
      <c r="F80" s="65" t="str">
        <f>IF(COUNTA($A$72:$A80)&lt;=MAX(DS_DevExpProgs_Sequence)=TRUE,LOOKUP(COUNTA($A$72:$A80),DS_DevExpProgs_Sequence,DS_DevExpProgs_DataNames),"")</f>
        <v>USDA RD 514/516</v>
      </c>
    </row>
    <row r="81" spans="1:6">
      <c r="A81" s="59" t="s">
        <v>2129</v>
      </c>
      <c r="B81" s="2211">
        <v>0</v>
      </c>
      <c r="C81" s="60" t="str">
        <f>IF(B81&lt;&gt;1,"",SUM(B$72:B81))</f>
        <v/>
      </c>
      <c r="D81" s="57">
        <v>10</v>
      </c>
      <c r="E81" s="3022"/>
      <c r="F81" s="65" t="str">
        <f>IF(COUNTA($A$72:$A81)&lt;=MAX(DS_DevExpProgs_Sequence)=TRUE,LOOKUP(COUNTA($A$72:$A81),DS_DevExpProgs_Sequence,DS_DevExpProgs_DataNames),"")</f>
        <v>USDA RD 515</v>
      </c>
    </row>
    <row r="82" spans="1:6">
      <c r="A82" s="59" t="s">
        <v>2067</v>
      </c>
      <c r="B82" s="2211">
        <v>0</v>
      </c>
      <c r="C82" s="60" t="str">
        <f>IF(B82&lt;&gt;1,"",SUM(B$72:B82))</f>
        <v/>
      </c>
      <c r="D82" s="57">
        <v>11</v>
      </c>
      <c r="E82" s="3023"/>
      <c r="F82" s="65" t="str">
        <f>IF(COUNTA($A$72:$A82)&lt;=MAX(DS_DevExpProgs_Sequence)=TRUE,LOOKUP(COUNTA($A$72:$A82),DS_DevExpProgs_Sequence,DS_DevExpProgs_DataNames),"")</f>
        <v>USDA RD 538</v>
      </c>
    </row>
    <row r="83" spans="1:6">
      <c r="A83" s="59" t="s">
        <v>2158</v>
      </c>
      <c r="B83" s="57">
        <v>1</v>
      </c>
      <c r="C83" s="60">
        <f>IF(B83&lt;&gt;1,"",SUM(B$72:B83))</f>
        <v>1</v>
      </c>
      <c r="D83" s="57">
        <v>12</v>
      </c>
      <c r="F83" s="65" t="str">
        <f>IF(COUNTA($A$72:$A83)&lt;=MAX(DS_DevExpProgs_Sequence)=TRUE,LOOKUP(COUNTA($A$72:$A83),DS_DevExpProgs_Sequence,DS_DevExpProgs_DataNames),"")</f>
        <v>Grant</v>
      </c>
    </row>
    <row r="84" spans="1:6">
      <c r="A84" s="59" t="s">
        <v>96</v>
      </c>
      <c r="B84" s="57">
        <v>1</v>
      </c>
      <c r="C84" s="60">
        <f>IF(B84&lt;&gt;1,"",SUM(B$72:B84))</f>
        <v>2</v>
      </c>
      <c r="D84" s="57">
        <v>13</v>
      </c>
      <c r="F84" s="65" t="str">
        <f>IF(COUNTA($A$72:$A84)&lt;=MAX(DS_DevExpProgs_Sequence)=TRUE,LOOKUP(COUNTA($A$72:$A84),DS_DevExpProgs_Sequence,DS_DevExpProgs_DataNames),"")</f>
        <v>RRLP</v>
      </c>
    </row>
    <row r="85" spans="1:6">
      <c r="A85" s="59" t="s">
        <v>97</v>
      </c>
      <c r="B85" s="57">
        <v>1</v>
      </c>
      <c r="C85" s="60">
        <f>IF(B85&lt;&gt;1,"",SUM(B$72:B85))</f>
        <v>3</v>
      </c>
      <c r="D85" s="57">
        <v>14</v>
      </c>
      <c r="F85" s="65" t="str">
        <f>IF(COUNTA($A$72:$A85)&lt;=MAX(DS_DevExpProgs_Sequence)=TRUE,LOOKUP(COUNTA($A$72:$A85),DS_DevExpProgs_Sequence,DS_DevExpProgs_DataNames),"")</f>
        <v>SAIL</v>
      </c>
    </row>
    <row r="86" spans="1:6">
      <c r="A86" s="59" t="s">
        <v>98</v>
      </c>
      <c r="B86" s="57">
        <v>1</v>
      </c>
      <c r="C86" s="60">
        <f>IF(B86&lt;&gt;1,"",SUM(B$72:B86))</f>
        <v>4</v>
      </c>
      <c r="D86" s="57">
        <v>15</v>
      </c>
      <c r="F86" s="65" t="str">
        <f>IF(COUNTA($A$72:$A86)&lt;=MAX(DS_DevExpProgs_Sequence)=TRUE,LOOKUP(COUNTA($A$72:$A86),DS_DevExpProgs_Sequence,DS_DevExpProgs_DataNames),"")</f>
        <v>Workforce</v>
      </c>
    </row>
    <row r="87" spans="1:6">
      <c r="A87" s="59" t="s">
        <v>99</v>
      </c>
      <c r="B87" s="57">
        <v>1</v>
      </c>
      <c r="C87" s="60">
        <f>IF(B87&lt;&gt;1,"",SUM(B$72:B87))</f>
        <v>5</v>
      </c>
      <c r="D87" s="57">
        <v>16</v>
      </c>
      <c r="F87" s="65" t="str">
        <f>IF(COUNTA($A$72:$A87)&lt;=MAX(DS_DevExpProgs_Sequence)=TRUE,LOOKUP(COUNTA($A$72:$A87),DS_DevExpProgs_Sequence,DS_DevExpProgs_DataNames),"")</f>
        <v>Other</v>
      </c>
    </row>
    <row r="88" spans="1:6">
      <c r="A88" s="59" t="s">
        <v>2244</v>
      </c>
      <c r="B88" s="57">
        <v>0</v>
      </c>
      <c r="C88" s="60" t="str">
        <f>IF(B88&lt;&gt;1,"",SUM(B$72:B88))</f>
        <v/>
      </c>
      <c r="D88" s="57">
        <v>17</v>
      </c>
      <c r="F88" s="65"/>
    </row>
    <row r="89" spans="1:6">
      <c r="A89" s="59" t="s">
        <v>100</v>
      </c>
      <c r="B89" s="57">
        <v>1</v>
      </c>
      <c r="C89" s="60">
        <f>IF(B89&lt;&gt;1,"",SUM(B$72:B89))</f>
        <v>6</v>
      </c>
      <c r="D89" s="57">
        <v>18</v>
      </c>
      <c r="F89" s="65" t="str">
        <f>IF(COUNTA($A$72:$A89)&lt;=MAX(DS_DevExpProgs_Sequence)=TRUE,LOOKUP(COUNTA($A$72:$A89),DS_DevExpProgs_Sequence,DS_DevExpProgs_DataNames),"")</f>
        <v/>
      </c>
    </row>
    <row r="90" spans="1:6">
      <c r="A90" s="59" t="s">
        <v>101</v>
      </c>
      <c r="B90" s="57">
        <v>1</v>
      </c>
      <c r="C90" s="60">
        <f>IF(B90&lt;&gt;1,"",SUM(B$72:B90))</f>
        <v>7</v>
      </c>
      <c r="D90" s="57">
        <v>19</v>
      </c>
      <c r="F90" s="65" t="str">
        <f>IF(COUNTA($A$72:$A90)&lt;=MAX(DS_DevExpProgs_Sequence)=TRUE,LOOKUP(COUNTA($A$72:$A90),DS_DevExpProgs_Sequence,DS_DevExpProgs_DataNames),"")</f>
        <v/>
      </c>
    </row>
    <row r="91" spans="1:6">
      <c r="A91" s="59" t="s">
        <v>102</v>
      </c>
      <c r="B91" s="57">
        <v>1</v>
      </c>
      <c r="C91" s="60">
        <f>IF(B91&lt;&gt;1,"",SUM(B$72:B91))</f>
        <v>8</v>
      </c>
      <c r="D91" s="57">
        <v>20</v>
      </c>
      <c r="F91" s="65" t="str">
        <f>IF(COUNTA($A$72:$A91)&lt;=MAX(DS_DevExpProgs_Sequence)=TRUE,LOOKUP(COUNTA($A$72:$A91),DS_DevExpProgs_Sequence,DS_DevExpProgs_DataNames),"")</f>
        <v/>
      </c>
    </row>
    <row r="92" spans="1:6">
      <c r="A92" s="59" t="s">
        <v>103</v>
      </c>
      <c r="B92" s="57">
        <v>0</v>
      </c>
      <c r="C92" s="60" t="str">
        <f>IF(B92&lt;&gt;1,"",SUM(B$72:B92))</f>
        <v/>
      </c>
      <c r="D92" s="57">
        <v>21</v>
      </c>
      <c r="F92" s="65" t="str">
        <f>IF(COUNTA($A$72:$A92)&lt;=MAX(DS_DevExpProgs_Sequence)=TRUE,LOOKUP(COUNTA($A$72:$A92),DS_DevExpProgs_Sequence,DS_DevExpProgs_DataNames),"")</f>
        <v/>
      </c>
    </row>
    <row r="93" spans="1:6">
      <c r="A93" s="59" t="s">
        <v>104</v>
      </c>
      <c r="B93" s="57">
        <v>0</v>
      </c>
      <c r="C93" s="60" t="str">
        <f>IF(B93&lt;&gt;1,"",SUM(B$72:B93))</f>
        <v/>
      </c>
      <c r="D93" s="57">
        <v>22</v>
      </c>
      <c r="F93" s="65" t="str">
        <f>IF(COUNTA($A$72:$A93)&lt;=MAX(DS_DevExpProgs_Sequence)=TRUE,LOOKUP(COUNTA($A$72:$A93),DS_DevExpProgs_Sequence,DS_DevExpProgs_DataNames),"")</f>
        <v/>
      </c>
    </row>
    <row r="94" spans="1:6">
      <c r="A94" s="59" t="s">
        <v>105</v>
      </c>
      <c r="B94" s="57">
        <v>0</v>
      </c>
      <c r="C94" s="60" t="str">
        <f>IF(B94&lt;&gt;1,"",SUM(B$72:B94))</f>
        <v/>
      </c>
      <c r="D94" s="57">
        <v>23</v>
      </c>
      <c r="F94" s="65" t="str">
        <f>IF(COUNTA($A$72:$A94)&lt;=MAX(DS_DevExpProgs_Sequence)=TRUE,LOOKUP(COUNTA($A$72:$A94),DS_DevExpProgs_Sequence,DS_DevExpProgs_DataNames),"")</f>
        <v/>
      </c>
    </row>
    <row r="95" spans="1:6">
      <c r="A95" s="59" t="s">
        <v>106</v>
      </c>
      <c r="B95" s="57">
        <v>1</v>
      </c>
      <c r="C95" s="60">
        <f>IF(B95&lt;&gt;1,"",SUM(B$72:B95))</f>
        <v>9</v>
      </c>
      <c r="D95" s="57">
        <v>24</v>
      </c>
      <c r="F95" s="65" t="str">
        <f>IF(COUNTA($A$72:$A95)&lt;=MAX(DS_DevExpProgs_Sequence)=TRUE,LOOKUP(COUNTA($A$72:$A95),DS_DevExpProgs_Sequence,DS_DevExpProgs_DataNames),"")</f>
        <v/>
      </c>
    </row>
    <row r="96" spans="1:6">
      <c r="A96" s="59" t="s">
        <v>107</v>
      </c>
      <c r="B96" s="57">
        <v>1</v>
      </c>
      <c r="C96" s="60">
        <f>IF(B96&lt;&gt;1,"",SUM(B$72:B96))</f>
        <v>10</v>
      </c>
      <c r="D96" s="57">
        <v>25</v>
      </c>
      <c r="F96" s="65" t="str">
        <f>IF(COUNTA($A$72:$A96)&lt;=MAX(DS_DevExpProgs_Sequence)=TRUE,LOOKUP(COUNTA($A$72:$A96),DS_DevExpProgs_Sequence,DS_DevExpProgs_DataNames),"")</f>
        <v/>
      </c>
    </row>
    <row r="97" spans="1:22">
      <c r="A97" s="59" t="s">
        <v>108</v>
      </c>
      <c r="B97" s="57">
        <v>1</v>
      </c>
      <c r="C97" s="60">
        <f>IF(B97&lt;&gt;1,"",SUM(B$72:B97))</f>
        <v>11</v>
      </c>
      <c r="D97" s="57">
        <v>26</v>
      </c>
      <c r="F97" s="65" t="str">
        <f>IF(COUNTA($A$72:$A97)&lt;=MAX(DS_DevExpProgs_Sequence)=TRUE,LOOKUP(COUNTA($A$72:$A97),DS_DevExpProgs_Sequence,DS_DevExpProgs_DataNames),"")</f>
        <v/>
      </c>
    </row>
    <row r="98" spans="1:22">
      <c r="A98" s="59" t="s">
        <v>109</v>
      </c>
      <c r="B98" s="57">
        <v>0</v>
      </c>
      <c r="C98" s="60" t="str">
        <f>IF(B98&lt;&gt;1,"",SUM(B$72:B98))</f>
        <v/>
      </c>
      <c r="D98" s="57">
        <v>27</v>
      </c>
      <c r="F98" s="65" t="str">
        <f>IF(COUNTA($A$72:$A98)&lt;=MAX(DS_DevExpProgs_Sequence)=TRUE,LOOKUP(COUNTA($A$72:$A98),DS_DevExpProgs_Sequence,DS_DevExpProgs_DataNames),"")</f>
        <v/>
      </c>
    </row>
    <row r="99" spans="1:22">
      <c r="A99" s="59" t="s">
        <v>110</v>
      </c>
      <c r="B99" s="57">
        <v>0</v>
      </c>
      <c r="C99" s="60" t="str">
        <f>IF(B99&lt;&gt;1,"",SUM(B$72:B99))</f>
        <v/>
      </c>
      <c r="D99" s="57">
        <v>28</v>
      </c>
      <c r="F99" s="65" t="str">
        <f>IF(COUNTA($A$72:$A99)&lt;=MAX(DS_DevExpProgs_Sequence)=TRUE,LOOKUP(COUNTA($A$72:$A99),DS_DevExpProgs_Sequence,DS_DevExpProgs_DataNames),"")</f>
        <v/>
      </c>
    </row>
    <row r="100" spans="1:22">
      <c r="A100" s="59" t="s">
        <v>111</v>
      </c>
      <c r="B100" s="57">
        <v>0</v>
      </c>
      <c r="C100" s="60" t="str">
        <f>IF(B100&lt;&gt;1,"",SUM(B$72:B100))</f>
        <v/>
      </c>
      <c r="D100" s="57">
        <v>29</v>
      </c>
      <c r="F100" s="65" t="str">
        <f>IF(COUNTA($A$72:$A100)&lt;=MAX(DS_DevExpProgs_Sequence)=TRUE,LOOKUP(COUNTA($A$72:$A100),DS_DevExpProgs_Sequence,DS_DevExpProgs_DataNames),"")</f>
        <v/>
      </c>
    </row>
    <row r="101" spans="1:22">
      <c r="A101" s="59" t="s">
        <v>112</v>
      </c>
      <c r="B101" s="57">
        <v>0</v>
      </c>
      <c r="C101" s="60" t="str">
        <f>IF(B101&lt;&gt;1,"",SUM(B$72:B101))</f>
        <v/>
      </c>
      <c r="D101" s="57">
        <v>30</v>
      </c>
      <c r="F101" s="65" t="str">
        <f>IF(COUNTA($A$72:$A101)&lt;=MAX(DS_DevExpProgs_Sequence)=TRUE,LOOKUP(COUNTA($A$72:$A101),DS_DevExpProgs_Sequence,DS_DevExpProgs_DataNames),"")</f>
        <v/>
      </c>
    </row>
    <row r="102" spans="1:22">
      <c r="A102" s="59" t="s">
        <v>113</v>
      </c>
      <c r="B102" s="57">
        <v>0</v>
      </c>
      <c r="C102" s="60" t="str">
        <f>IF(B102&lt;&gt;1,"",SUM(B$72:B102))</f>
        <v/>
      </c>
      <c r="D102" s="57">
        <v>31</v>
      </c>
      <c r="F102" s="65" t="str">
        <f>IF(COUNTA($A$72:$A102)&lt;=MAX(DS_DevExpProgs_Sequence)=TRUE,LOOKUP(COUNTA($A$72:$A102),DS_DevExpProgs_Sequence,DS_DevExpProgs_DataNames),"")</f>
        <v/>
      </c>
    </row>
    <row r="103" spans="1:22">
      <c r="A103" s="59" t="s">
        <v>114</v>
      </c>
      <c r="B103" s="57">
        <v>1</v>
      </c>
      <c r="C103" s="60">
        <f>IF(B103&lt;&gt;1,"",SUM(B$72:B103))</f>
        <v>12</v>
      </c>
      <c r="D103" s="57">
        <v>32</v>
      </c>
      <c r="F103" s="65" t="str">
        <f>IF(COUNTA($A$72:$A103)&lt;=MAX(DS_DevExpProgs_Sequence)=TRUE,LOOKUP(COUNTA($A$72:$A103),DS_DevExpProgs_Sequence,DS_DevExpProgs_DataNames),"")</f>
        <v/>
      </c>
    </row>
    <row r="104" spans="1:22">
      <c r="A104" s="59" t="s">
        <v>115</v>
      </c>
      <c r="B104" s="57">
        <v>0</v>
      </c>
      <c r="C104" s="60" t="str">
        <f>IF(B104&lt;&gt;1,"",SUM(B$72:B104))</f>
        <v/>
      </c>
      <c r="D104" s="57">
        <v>33</v>
      </c>
      <c r="F104" s="65" t="str">
        <f>IF(COUNTA($A$72:$A104)&lt;=MAX(DS_DevExpProgs_Sequence)=TRUE,LOOKUP(COUNTA($A$72:$A104),DS_DevExpProgs_Sequence,DS_DevExpProgs_DataNames),"")</f>
        <v/>
      </c>
    </row>
    <row r="105" spans="1:22">
      <c r="A105" s="59" t="s">
        <v>116</v>
      </c>
      <c r="B105" s="57">
        <v>0</v>
      </c>
      <c r="C105" s="60" t="str">
        <f>IF(B105&lt;&gt;1,"",SUM(B$72:B105))</f>
        <v/>
      </c>
      <c r="D105" s="57">
        <v>34</v>
      </c>
      <c r="F105" s="65" t="str">
        <f>IF(COUNTA($A$72:$A105)&lt;=MAX(DS_DevExpProgs_Sequence)=TRUE,LOOKUP(COUNTA($A$72:$A105),DS_DevExpProgs_Sequence,DS_DevExpProgs_DataNames),"")</f>
        <v/>
      </c>
    </row>
    <row r="106" spans="1:22">
      <c r="A106" s="59" t="s">
        <v>117</v>
      </c>
      <c r="B106" s="57">
        <v>0</v>
      </c>
      <c r="C106" s="60" t="str">
        <f>IF(B106&lt;&gt;1,"",SUM(B$72:B106))</f>
        <v/>
      </c>
      <c r="D106" s="57">
        <v>35</v>
      </c>
      <c r="F106" s="65" t="str">
        <f>IF(COUNTA($A$72:$A106)&lt;=MAX(DS_DevExpProgs_Sequence)=TRUE,LOOKUP(COUNTA($A$72:$A106),DS_DevExpProgs_Sequence,DS_DevExpProgs_DataNames),"")</f>
        <v/>
      </c>
    </row>
    <row r="107" spans="1:22">
      <c r="A107" s="59" t="s">
        <v>118</v>
      </c>
      <c r="B107" s="57">
        <v>1</v>
      </c>
      <c r="C107" s="60">
        <f>IF(B107&lt;&gt;1,"",SUM(B$72:B107))</f>
        <v>13</v>
      </c>
      <c r="D107" s="57">
        <v>36</v>
      </c>
      <c r="F107" s="65" t="str">
        <f>IF(COUNTA($A$72:$A107)&lt;=MAX(DS_DevExpProgs_Sequence)=TRUE,LOOKUP(COUNTA($A$72:$A107),DS_DevExpProgs_Sequence,DS_DevExpProgs_DataNames),"")</f>
        <v/>
      </c>
      <c r="L107" s="1054"/>
    </row>
    <row r="108" spans="1:22">
      <c r="A108" s="59" t="s">
        <v>119</v>
      </c>
      <c r="B108" s="57">
        <v>1</v>
      </c>
      <c r="C108" s="60">
        <f>IF(B108&lt;&gt;1,"",SUM(B$72:B108))</f>
        <v>14</v>
      </c>
      <c r="D108" s="57">
        <v>37</v>
      </c>
      <c r="F108" s="65" t="str">
        <f>IF(COUNTA($A$72:$A108)&lt;=MAX(DS_DevExpProgs_Sequence)=TRUE,LOOKUP(COUNTA($A$72:$A108),DS_DevExpProgs_Sequence,DS_DevExpProgs_DataNames),"")</f>
        <v/>
      </c>
      <c r="L108" s="1054"/>
    </row>
    <row r="109" spans="1:22">
      <c r="A109" s="59" t="s">
        <v>120</v>
      </c>
      <c r="B109" s="57">
        <v>0</v>
      </c>
      <c r="C109" s="60" t="str">
        <f>IF(B109&lt;&gt;1,"",SUM(B$72:B109))</f>
        <v/>
      </c>
      <c r="D109" s="57">
        <v>38</v>
      </c>
      <c r="F109" s="65" t="str">
        <f>IF(COUNTA($A$72:$A109)&lt;=MAX(DS_DevExpProgs_Sequence)=TRUE,LOOKUP(COUNTA($A$72:$A109),DS_DevExpProgs_Sequence,DS_DevExpProgs_DataNames),"")</f>
        <v/>
      </c>
      <c r="L109" s="1054"/>
    </row>
    <row r="110" spans="1:22" ht="15" customHeight="1">
      <c r="A110" s="59" t="s">
        <v>121</v>
      </c>
      <c r="B110" s="57">
        <v>0</v>
      </c>
      <c r="C110" s="60" t="str">
        <f>IF(B110&lt;&gt;1,"",SUM(B$72:B110))</f>
        <v/>
      </c>
      <c r="D110" s="57">
        <v>39</v>
      </c>
      <c r="F110" s="65" t="str">
        <f>IF(COUNTA($A$72:$A110)&lt;=MAX(DS_DevExpProgs_Sequence)=TRUE,LOOKUP(COUNTA($A$72:$A110),DS_DevExpProgs_Sequence,DS_DevExpProgs_DataNames),"")</f>
        <v/>
      </c>
      <c r="Q110" s="545" t="s">
        <v>1677</v>
      </c>
      <c r="R110" s="545"/>
      <c r="S110" s="545"/>
      <c r="T110" s="545"/>
      <c r="U110" s="545"/>
      <c r="V110" s="545"/>
    </row>
    <row r="111" spans="1:22" ht="15" customHeight="1">
      <c r="A111" s="59" t="s">
        <v>122</v>
      </c>
      <c r="B111" s="57">
        <v>0</v>
      </c>
      <c r="C111" s="60" t="str">
        <f>IF(B111&lt;&gt;1,"",SUM(B$72:B111))</f>
        <v/>
      </c>
      <c r="D111" s="57">
        <v>40</v>
      </c>
      <c r="F111" s="65" t="str">
        <f>IF(COUNTA($A$72:$A111)&lt;=MAX(DS_DevExpProgs_Sequence)=TRUE,LOOKUP(COUNTA($A$72:$A111),DS_DevExpProgs_Sequence,DS_DevExpProgs_DataNames),"")</f>
        <v/>
      </c>
      <c r="Q111" s="545" t="s">
        <v>1678</v>
      </c>
      <c r="R111" s="545"/>
      <c r="S111" s="545"/>
      <c r="T111" s="545"/>
      <c r="U111" s="545"/>
      <c r="V111" s="545"/>
    </row>
    <row r="112" spans="1:22" ht="15" customHeight="1">
      <c r="A112" s="59" t="s">
        <v>123</v>
      </c>
      <c r="B112" s="57">
        <v>0</v>
      </c>
      <c r="C112" s="60" t="str">
        <f>IF(B112&lt;&gt;1,"",SUM(B$72:B112))</f>
        <v/>
      </c>
      <c r="D112" s="57">
        <v>41</v>
      </c>
      <c r="F112" s="65" t="str">
        <f>IF(COUNTA($A$72:$A112)&lt;=MAX(DS_DevExpProgs_Sequence)=TRUE,LOOKUP(COUNTA($A$72:$A112),DS_DevExpProgs_Sequence,DS_DevExpProgs_DataNames),"")</f>
        <v/>
      </c>
      <c r="Q112" s="545"/>
      <c r="R112" s="545"/>
      <c r="S112" s="545"/>
      <c r="T112" s="545"/>
      <c r="U112" s="545"/>
      <c r="V112" s="545"/>
    </row>
    <row r="113" spans="1:31" ht="15" customHeight="1">
      <c r="A113" s="59" t="s">
        <v>67</v>
      </c>
      <c r="B113" s="57">
        <v>1</v>
      </c>
      <c r="C113" s="60">
        <f>IF(B113&lt;&gt;1,"",SUM(B$72:B113))</f>
        <v>15</v>
      </c>
      <c r="D113" s="57">
        <v>42</v>
      </c>
      <c r="F113" s="65" t="str">
        <f>IF(COUNTA($A$72:$A113)&lt;=MAX(DS_DevExpProgs_Sequence)=TRUE,LOOKUP(COUNTA($A$72:$A113),DS_DevExpProgs_Sequence,DS_DevExpProgs_DataNames),"")</f>
        <v/>
      </c>
      <c r="Q113" s="545" t="s">
        <v>1938</v>
      </c>
      <c r="R113" s="545"/>
      <c r="S113" s="545"/>
      <c r="T113" s="545"/>
      <c r="U113" s="545"/>
      <c r="V113" s="545"/>
    </row>
    <row r="114" spans="1:31" ht="15" customHeight="1">
      <c r="A114" s="59" t="s">
        <v>124</v>
      </c>
      <c r="B114" s="57">
        <v>1</v>
      </c>
      <c r="C114" s="60">
        <f>IF(B114&lt;&gt;1,"",SUM(B$72:B114))</f>
        <v>16</v>
      </c>
      <c r="D114" s="57">
        <v>43</v>
      </c>
      <c r="F114" s="65" t="str">
        <f>IF(COUNTA($A$72:$A114)&lt;=MAX(DS_DevExpProgs_Sequence)=TRUE,LOOKUP(COUNTA($A$72:$A114),DS_DevExpProgs_Sequence,DS_DevExpProgs_DataNames),"")</f>
        <v/>
      </c>
      <c r="I114" t="s">
        <v>2863</v>
      </c>
      <c r="Q114" s="545"/>
      <c r="R114" s="545"/>
      <c r="S114" s="545"/>
      <c r="T114" s="545"/>
      <c r="U114" s="545"/>
      <c r="V114" s="545"/>
    </row>
    <row r="115" spans="1:31" ht="15" customHeight="1">
      <c r="A115" s="59" t="s">
        <v>125</v>
      </c>
      <c r="B115" s="57">
        <v>0</v>
      </c>
      <c r="C115" s="60" t="str">
        <f>IF(B115&lt;&gt;1,"",SUM(B$72:B115))</f>
        <v/>
      </c>
      <c r="D115" s="57">
        <v>44</v>
      </c>
      <c r="F115" s="65" t="str">
        <f>IF(COUNTA($A$72:$A115)&lt;=MAX(DS_DevExpProgs_Sequence)=TRUE,LOOKUP(COUNTA($A$72:$A115),DS_DevExpProgs_Sequence,DS_DevExpProgs_DataNames),"")</f>
        <v/>
      </c>
      <c r="N115" s="1055" t="s">
        <v>1679</v>
      </c>
      <c r="O115" s="1055"/>
      <c r="P115" s="1055"/>
      <c r="Q115" s="1055"/>
      <c r="R115" s="1055"/>
      <c r="S115" s="1055"/>
    </row>
    <row r="116" spans="1:31">
      <c r="I116" s="806" t="s">
        <v>1680</v>
      </c>
      <c r="J116" s="806" t="s">
        <v>1682</v>
      </c>
      <c r="K116" s="806"/>
      <c r="L116" s="806" t="s">
        <v>1684</v>
      </c>
      <c r="N116" s="6" t="s">
        <v>1694</v>
      </c>
    </row>
    <row r="117" spans="1:31" ht="18" customHeight="1">
      <c r="A117" s="531" t="s">
        <v>126</v>
      </c>
      <c r="B117" s="6"/>
      <c r="C117" s="6"/>
      <c r="D117" s="6"/>
      <c r="E117" s="483" t="s">
        <v>93</v>
      </c>
      <c r="F117" s="264"/>
      <c r="I117" s="806" t="s">
        <v>1681</v>
      </c>
      <c r="J117" s="806" t="s">
        <v>1683</v>
      </c>
      <c r="K117" s="806"/>
      <c r="L117" s="806" t="s">
        <v>1685</v>
      </c>
    </row>
    <row r="118" spans="1:31" ht="15" customHeight="1" thickBot="1">
      <c r="A118" s="1482" t="s">
        <v>2283</v>
      </c>
      <c r="B118" s="533" t="s">
        <v>436</v>
      </c>
      <c r="C118" s="386"/>
      <c r="D118" s="386"/>
      <c r="E118" s="483"/>
      <c r="F118" s="477"/>
      <c r="G118" s="111" t="s">
        <v>1510</v>
      </c>
      <c r="H118" s="111" t="s">
        <v>1511</v>
      </c>
      <c r="I118" s="111" t="str">
        <f>"Dev "&amp;TEXT(COUNTA($H118:H118),"0")</f>
        <v>Dev 1</v>
      </c>
      <c r="J118" s="111" t="str">
        <f>"Dev "&amp;TEXT(COUNTA($H118:I118),"0")</f>
        <v>Dev 2</v>
      </c>
      <c r="K118" s="111" t="str">
        <f>"Dev "&amp;TEXT(COUNTA($H118:J118),"0")</f>
        <v>Dev 3</v>
      </c>
      <c r="L118" s="111" t="str">
        <f>"Dev "&amp;TEXT(COUNTA($H118:K118),"0")</f>
        <v>Dev 4</v>
      </c>
      <c r="M118" s="111" t="str">
        <f>"Dev "&amp;TEXT(COUNTA($H118:L118),"0")</f>
        <v>Dev 5</v>
      </c>
      <c r="Q118" s="5" t="s">
        <v>2454</v>
      </c>
    </row>
    <row r="119" spans="1:31" ht="15" customHeight="1" thickTop="1">
      <c r="A119" s="829"/>
      <c r="B119" s="51"/>
      <c r="C119" s="6"/>
      <c r="D119" s="6"/>
      <c r="E119" s="2327"/>
      <c r="H119" s="823"/>
      <c r="N119" s="1754"/>
      <c r="O119" s="1021"/>
      <c r="P119" s="1022" t="s">
        <v>1668</v>
      </c>
      <c r="Q119" s="1013" t="str" cm="1">
        <f t="array" aca="1" ref="Q119" ca="1">IF('General Information'!K$130=0,"",IF(AND(IF('General Information'!M$130&gt;0,DevExp_first_Dev_name&lt;&gt;"",TRUE),IF('General Information'!M$131&gt;0,DevExp_first_Dev_City&lt;&gt;"",TRUE),IF('General Information'!M$132&gt;0,DevExp_first_Dev_State&lt;&gt;"",TRUE),IF('General Information'!M$133=1,DevExp_first_Dev_Principal&lt;&gt;"",TRUE),IF('General Information'!M$134&gt;0,OR(AND(DevExp_first_Dev_program&lt;&gt;"&lt;select one&gt;",DevExp_first_Dev_program&lt;&gt;""),CELL("protect",DevExp_first_Dev_program)=1),TRUE),IF(AND('General Information'!M$135&gt;0,DevExp_first_Dev_program="Other"),DevExp_first_Other_program&lt;&gt;IF(RIGHT(Excel_RFA_Number,3)="213","&lt;select one&gt;",""),TRUE),IF('General Information'!M$136&gt;0,DevExp_first_Dev_units&lt;&gt;"",TRUE),IF('General Information'!M$137&gt;0,DevExp_first_Dev_year&lt;&gt;"",TRUE)),"All required data fields have entries. ",IF(AND(IF('General Information'!M$130&gt;0,DevExp_first_Dev_name="",TRUE),IF('General Information'!M$131&gt;0,DevExp_first_Dev_City="",TRUE),IF('General Information'!M$132&gt;0,DevExp_first_Dev_State="",TRUE),IF('General Information'!M$134&gt;0,OR(DevExp_first_Dev_program="&lt;select one&gt;",DevExp_first_Dev_program="",CELL("protect",DevExp_first_Dev_program)=1),TRUE),IF('General Information'!M$135&gt;0,DevExp_first_Other_program=IF(RIGHT(Excel_RFA_Number,3)="213","&lt;select one&gt;",""),TRUE),IF('General Information'!M$136&gt;0,DevExp_first_Dev_units="",TRUE),IF('General Information'!M$137&gt;0,DevExp_first_Dev_year="",TRUE)),"",IF(IF(AND('General Information'!M$130&gt;0,DevExp_first_Dev_name=""),1,0)+IF(AND('General Information'!M$131&gt;0,DevExp_first_Dev_City=""),1,0)+IF(AND('General Information'!M$132&gt;0,DevExp_first_Dev_State=""),1,0)+IF(AND('General Information'!M$134&gt;0,OR(DevExp_first_Dev_program="&lt;select one&gt;",DevExp_first_Dev_program="")),1,0)+IF(AND(AND('General Information'!M$135&gt;0,DevExp_first_Dev_program="Other"),DevExp_first_Other_program=IF(RIGHT(Excel_RFA_Number,3)="213","&lt;select one&gt;","")),1,0)+IF(AND('General Information'!M$136&gt;0,DevExp_first_Dev_units=""),1,0)+IF(AND('General Information'!M$137&gt;0,DevExp_first_Dev_year=""),1,0)&gt;1,"Fields for the above development are","A field for the above development is")&amp;" missing. ")))</f>
        <v xml:space="preserve">Fields for the above development are missing. </v>
      </c>
      <c r="R119" s="365"/>
      <c r="S119" s="365"/>
      <c r="T119" s="365"/>
      <c r="U119" s="365"/>
      <c r="V119" s="365"/>
      <c r="W119" s="365"/>
      <c r="X119" s="365"/>
      <c r="Y119" s="365"/>
      <c r="Z119" s="365"/>
      <c r="AA119" s="365"/>
      <c r="AB119" s="365"/>
      <c r="AC119" s="365"/>
      <c r="AD119" s="365"/>
      <c r="AE119" s="365"/>
    </row>
    <row r="120" spans="1:31" ht="15" thickBot="1">
      <c r="A120" s="1481" t="s">
        <v>2181</v>
      </c>
      <c r="B120" s="477"/>
      <c r="C120" s="477"/>
      <c r="D120" s="477"/>
      <c r="E120" s="2328">
        <v>1</v>
      </c>
      <c r="F120" s="477" t="s">
        <v>2610</v>
      </c>
      <c r="G120" s="413" t="str">
        <f ca="1">IF(DevExp_MinDevs_List_Count&gt;=DS_DevExp_MinDevs_List,"Yes","No, "&amp;TEXT(DS_DevExp_MinDevs_List-DevExp_MinDevs_List_Count,"0")&amp;" shy")</f>
        <v>No, 1 shy</v>
      </c>
      <c r="H120" s="1036">
        <f ca="1">IF(DS_DevExp_MinDevs_List&gt;0,IF(Q119="All required data fields have entries. ",1,0),0)+IF(DS_DevExp_MinDevs_List&gt;1,IF(Q120="All required data fields have entries. ",1,0),0)+IF(DS_DevExp_MinDevs_List&gt;2,IF(Q121="All required data fields have entries. ",1,0),0)+IF(DS_DevExp_MinDevs_List&gt;3,IF(Q122="All required data fields have entries. ",1,0),0)+IF(DS_DevExp_MinDevs_List&gt;4,IF(Q123="All required data fields have entries. ",1,0),0)</f>
        <v>0</v>
      </c>
      <c r="I120" s="943" t="s">
        <v>1504</v>
      </c>
      <c r="J120" s="36"/>
      <c r="K120" s="36"/>
      <c r="L120" s="36"/>
      <c r="M120" s="36"/>
      <c r="N120" s="1755"/>
      <c r="O120" s="1016"/>
      <c r="P120" s="1017" t="s">
        <v>1669</v>
      </c>
      <c r="Q120" s="1013" t="str" cm="1">
        <f t="array" aca="1" ref="Q120" ca="1">IF('General Information'!K$140=0,"",IF(AND(IF('General Information'!M$140&gt;0,DevExp_second_Dev_name&lt;&gt;"",TRUE),IF('General Information'!M$141&gt;0,DevExp_second_Dev_City&lt;&gt;"",TRUE),IF('General Information'!M$142&gt;0,DevExp_second_Dev_State&lt;&gt;"",TRUE),IF('General Information'!M$143=1,DevExp_second_Dev_Principal&lt;&gt;"",TRUE),IF('General Information'!M$144&gt;0,OR(AND(DevExp_second_Dev_program&lt;&gt;"&lt;select one&gt;",DevExp_second_Dev_program&lt;&gt;""),CELL("protect",DevExp_second_Dev_program)=1),TRUE),IF(AND('General Information'!M$145&gt;0,DevExp_second_Dev_program="Other"),DevExp_second_Other_program&lt;&gt;IF(RIGHT(Excel_RFA_Number,3)="213","&lt;select one&gt;",""),TRUE),IF('General Information'!M$146&gt;0,DevExp_second_Dev_units&lt;&gt;"",TRUE),IF('General Information'!M$147&gt;0,DevExp_second_Dev_year&lt;&gt;"",TRUE)),"All required data fields have entries. ",IF(AND(IF('General Information'!M$140&gt;0,DevExp_second_Dev_name="",TRUE),IF('General Information'!M$141&gt;0,DevExp_second_Dev_City="",TRUE),IF('General Information'!M$142&gt;0,DevExp_second_Dev_State="",TRUE),IF('General Information'!M$144&gt;0,OR(DevExp_second_Dev_program="&lt;select one&gt;",DevExp_second_Dev_program="",CELL("protect",DevExp_second_Dev_program)=1),TRUE),IF('General Information'!M$145&gt;0,DevExp_second_Other_program=IF(RIGHT(Excel_RFA_Number,3)="213","&lt;select one&gt;",""),TRUE),IF('General Information'!M$146&gt;0,DevExp_second_Dev_units="",TRUE),IF('General Information'!M$147&gt;0,DevExp_second_Dev_year="",TRUE)),"",IF(IF(AND('General Information'!M$140&gt;0,DevExp_second_Dev_name=""),1,0)+IF(AND('General Information'!M$141&gt;0,DevExp_second_Dev_City=""),1,0)+IF(AND('General Information'!M$142&gt;0,DevExp_second_Dev_State=""),1,0)+IF(AND('General Information'!M$144&gt;0,OR(DevExp_second_Dev_program="&lt;select one&gt;",DevExp_second_Dev_program="")),1,0)+IF(AND(AND('General Information'!M$145&gt;0,DevExp_second_Dev_program="Other"),DevExp_second_Other_program=IF(RIGHT(Excel_RFA_Number,3)="213","&lt;select one&gt;","")),1,0)+IF(AND('General Information'!M$146&gt;0,DevExp_second_Dev_units=""),1,0)+IF(AND('General Information'!M$147&gt;0,DevExp_second_Dev_year=""),1,0)&gt;1,"Fields for the above development are","A field for the above development is")&amp;" missing. ")))</f>
        <v/>
      </c>
      <c r="R120" s="368"/>
      <c r="S120" s="368"/>
      <c r="T120" s="368"/>
      <c r="U120" s="368"/>
      <c r="V120" s="368"/>
      <c r="W120" s="368"/>
      <c r="X120" s="368"/>
      <c r="Y120" s="368"/>
      <c r="Z120" s="368"/>
      <c r="AA120" s="368"/>
      <c r="AB120" s="368"/>
      <c r="AC120" s="368"/>
      <c r="AD120" s="368"/>
      <c r="AE120" s="368"/>
    </row>
    <row r="121" spans="1:31" ht="15.5" thickTop="1" thickBot="1">
      <c r="A121" s="3026"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1 property that meets certain development experience criteria.</v>
      </c>
      <c r="B121" s="3026"/>
      <c r="C121" s="3026"/>
      <c r="D121" s="3026"/>
      <c r="E121" s="3027"/>
      <c r="F121" s="3026"/>
      <c r="G121" s="3026"/>
      <c r="H121" s="3026"/>
      <c r="I121" s="1778" t="str">
        <f ca="1">"List-"&amp;IF('General Information'!K130=0,"NS","S"&amp;IF(IFERROR(FIND("All",Q119),0)&gt;0,"Y","N"&amp;IF(Q119="","B","F")))</f>
        <v>List-SNF</v>
      </c>
      <c r="J121" s="1778" t="str">
        <f>"List-"&amp;IF('General Information'!K139=0,"NS","S"&amp;IF(IFERROR(FIND("All",Q120),0)&gt;0,"Y","N"&amp;IF(Q120="","B","F")))</f>
        <v>List-NS</v>
      </c>
      <c r="K121" s="1778" t="str">
        <f>"List-"&amp;IF('General Information'!K149=0,"NS","S"&amp;IF(IFERROR(FIND("All",Q121),0)&gt;0,"Y","N"&amp;IF(Q121="","B","F")))</f>
        <v>List-NS</v>
      </c>
      <c r="L121" s="1778" t="str">
        <f>"List-"&amp;IF('General Information'!K159=0,"NS","S"&amp;IF(IFERROR(FIND("All",Q122),0)&gt;0,"Y","N"&amp;IF(Q122="","B","F")))</f>
        <v>List-NS</v>
      </c>
      <c r="M121" s="1778" t="str">
        <f>"List-"&amp;IF('General Information'!K169=0,"NS","S"&amp;IF(IFERROR(FIND("All",Q123),0)&gt;0,"Y","N"&amp;IF(Q123="","B","F")))</f>
        <v>List-NS</v>
      </c>
      <c r="N121" s="1755"/>
      <c r="O121" s="1016"/>
      <c r="P121" s="1017" t="s">
        <v>1670</v>
      </c>
      <c r="Q121" s="1013" t="str" cm="1">
        <f t="array" aca="1" ref="Q121" ca="1">IF('General Information'!K$150=0,"",IF(AND(IF('General Information'!M$150&gt;0,DevExp_third_Dev_name&lt;&gt;"",TRUE),IF('General Information'!M$151&gt;0,DevExp_third_Dev_City&lt;&gt;"",TRUE),IF('General Information'!M$152&gt;0,DevExp_third_Dev_State&lt;&gt;"",TRUE),IF('General Information'!M$153=1,DevExp_third_Dev_Principal&lt;&gt;"",TRUE),IF('General Information'!M$154&gt;0,OR(AND(DevExp_third_Dev_program&lt;&gt;"&lt;select one&gt;",DevExp_third_Dev_program&lt;&gt;""),CELL("protect",DevExp_third_Dev_program)=1),TRUE),IF(AND('General Information'!M$155&gt;0,DevExp_third_Dev_program="Other"),DevExp_third_Other_program&lt;&gt;IF(RIGHT(Excel_RFA_Number,3)="213","&lt;select one&gt;",""),TRUE),IF('General Information'!M$156&gt;0,DevExp_third_Dev_units&lt;&gt;"",TRUE),IF('General Information'!M$157&gt;0,DevExp_third_Dev_year&lt;&gt;"",TRUE)),"All required data fields have entries. ",IF(AND(IF('General Information'!M$150&gt;0,DevExp_third_Dev_name="",TRUE),IF('General Information'!M$151&gt;0,DevExp_third_Dev_City="",TRUE),IF('General Information'!M$152&gt;0,DevExp_third_Dev_State="",TRUE),IF('General Information'!M$154&gt;0,OR(DevExp_third_Dev_program="&lt;select one&gt;",DevExp_third_Dev_program="",CELL("protect",DevExp_third_Dev_program)=1),TRUE),IF('General Information'!M$155&gt;0,DevExp_third_Other_program=IF(RIGHT(Excel_RFA_Number,3)="213","&lt;select one&gt;",""),TRUE),IF('General Information'!M$156&gt;0,DevExp_third_Dev_units="",TRUE),IF('General Information'!M$157&gt;0,DevExp_third_Dev_year="",TRUE)),"",IF(IF(AND('General Information'!M$150&gt;0,DevExp_third_Dev_name=""),1,0)+IF(AND('General Information'!M$151&gt;0,DevExp_third_Dev_City=""),1,0)+IF(AND('General Information'!M$152&gt;0,DevExp_third_Dev_State=""),1,0)+IF(AND('General Information'!M$154&gt;0,OR(DevExp_third_Dev_program="&lt;select one&gt;",DevExp_third_Dev_program="")),1,0)+IF(AND(AND('General Information'!M$155&gt;0,DevExp_third_Dev_program="Other"),DevExp_third_Other_program=IF(RIGHT(Excel_RFA_Number,3)="213","&lt;select one&gt;","")),1,0)+IF(AND('General Information'!M$156&gt;0,DevExp_third_Dev_units=""),1,0)+IF(AND('General Information'!M$157&gt;0,DevExp_third_Dev_year=""),1,0)&gt;1,"Fields for the above development are","A field for the above development is")&amp;" missing. ")))</f>
        <v/>
      </c>
      <c r="R121" s="368"/>
      <c r="S121" s="368"/>
      <c r="T121" s="368"/>
      <c r="U121" s="368"/>
      <c r="V121" s="368"/>
      <c r="W121" s="368"/>
      <c r="X121" s="368"/>
      <c r="Y121" s="368"/>
      <c r="Z121" s="368"/>
      <c r="AA121" s="368"/>
      <c r="AB121" s="368"/>
      <c r="AC121" s="368"/>
      <c r="AD121" s="368"/>
      <c r="AE121" s="368"/>
    </row>
    <row r="122" spans="1:31">
      <c r="A122" s="6"/>
      <c r="E122" s="2329"/>
      <c r="N122" s="1755"/>
      <c r="O122" s="1016"/>
      <c r="P122" s="1459" t="s">
        <v>2177</v>
      </c>
      <c r="Q122" s="1013" t="str" cm="1">
        <f t="array" aca="1" ref="Q122" ca="1">IF('General Information'!K$160=0,"",IF(AND(IF('General Information'!M$160&gt;0,DevExp_fourth_Dev_name&lt;&gt;"",TRUE),IF('General Information'!M$161&gt;0,DevExp_fourth_Dev_City&lt;&gt;"",TRUE),IF('General Information'!M$162&gt;0,DevExp_fourth_Dev_State&lt;&gt;"",TRUE),IF('General Information'!M$163=1,DevExp_fourth_Dev_Principal&lt;&gt;"",TRUE),IF('General Information'!M$164&gt;0,OR(AND(DevExp_fourth_Dev_program&lt;&gt;"&lt;select one&gt;",DevExp_fourth_Dev_program&lt;&gt;""),CELL("protect",DevExp_fourth_Dev_program)=1),TRUE),IF(AND('General Information'!M$165&gt;0,DevExp_fourth_Dev_program="Other"),DevExp_fourth_Other_program&lt;&gt;IF(RIGHT(Excel_RFA_Number,3)="213","&lt;select one&gt;",""),TRUE),IF('General Information'!M$166&gt;0,DevExp_fourth_Dev_units&lt;&gt;"",TRUE),IF('General Information'!M$167&gt;0,DevExp_fourth_Dev_year&lt;&gt;"",TRUE)),"All required data fields have entries. ",IF(AND(IF('General Information'!M$160&gt;0,DevExp_fourth_Dev_name="",TRUE),IF('General Information'!M$161&gt;0,DevExp_fourth_Dev_City="",TRUE),IF('General Information'!M$162&gt;0,DevExp_fourth_Dev_State="",TRUE),IF('General Information'!M$164&gt;0,OR(DevExp_fourth_Dev_program="&lt;select one&gt;",DevExp_fourth_Dev_program="",CELL("protect",DevExp_fourth_Dev_program)=1),TRUE),IF('General Information'!M$165&gt;0,DevExp_fourth_Other_program=IF(RIGHT(Excel_RFA_Number,3)="213","&lt;select one&gt;",""),TRUE),IF('General Information'!M$166&gt;0,DevExp_fourth_Dev_units="",TRUE),IF('General Information'!M$167&gt;0,DevExp_fourth_Dev_year="",TRUE)),"",IF(IF(AND('General Information'!M$160&gt;0,DevExp_fourth_Dev_name=""),1,0)+IF(AND('General Information'!M$161&gt;0,DevExp_fourth_Dev_City=""),1,0)+IF(AND('General Information'!M$162&gt;0,DevExp_fourth_Dev_State=""),1,0)+IF(AND('General Information'!M$164&gt;0,OR(DevExp_fourth_Dev_program="&lt;select one&gt;",DevExp_fourth_Dev_program="")),1,0)+IF(AND(AND('General Information'!M$165&gt;0,DevExp_fourth_Dev_program="Other"),DevExp_fourth_Other_program=IF(RIGHT(Excel_RFA_Number,3)="213","&lt;select one&gt;","")),1,0)+IF(AND('General Information'!M$166&gt;0,DevExp_fourth_Dev_units=""),1,0)+IF(AND('General Information'!M$167&gt;0,DevExp_fourth_Dev_year=""),1,0)&gt;1,"Fields for the above development are","A field for the above development is")&amp;" missing. ")))</f>
        <v/>
      </c>
      <c r="R122" s="368"/>
      <c r="S122" s="368"/>
      <c r="T122" s="368"/>
      <c r="U122" s="368"/>
      <c r="V122" s="368"/>
      <c r="W122" s="368"/>
      <c r="X122" s="368"/>
      <c r="Y122" s="368"/>
      <c r="Z122" s="368"/>
      <c r="AA122" s="368"/>
      <c r="AB122" s="368"/>
      <c r="AC122" s="368"/>
      <c r="AD122" s="368"/>
      <c r="AE122" s="368"/>
    </row>
    <row r="123" spans="1:31">
      <c r="A123" s="1759" t="str">
        <f>"# of Developments to meet Initial Date Requirement ("&amp;TEXT(DS_DevExp_MinDevs_List,"0")&amp;" or less)"</f>
        <v># of Developments to meet Initial Date Requirement (1 or less)</v>
      </c>
      <c r="B123" s="477"/>
      <c r="C123" s="477"/>
      <c r="D123" s="477"/>
      <c r="E123" s="2330">
        <v>1</v>
      </c>
      <c r="F123" s="65" t="s">
        <v>41</v>
      </c>
      <c r="G123" s="413" t="str">
        <f>IF(DevExp_DevsWithSinceDate_Count&gt;=DS_DevExp_DevsWithSinceDate,"Yes","No, "&amp;TEXT(DS_DevExp_DevsWithSinceDate-DevExp_DevsWithSinceDate_Count,"0")&amp;" shy")</f>
        <v>No, 1 shy</v>
      </c>
      <c r="H123" s="1760">
        <f>IF(AND('General Information'!M137&gt;0,YEAR(DS_DevExp_SinceDate)&lt;=N(DevExp_first_Dev_year),DevExp_first_Dev_year&lt;&gt;""),1,0)+IF(AND('General Information'!M147&gt;0,YEAR(DS_DevExp_SinceDate)&lt;=N(DevExp_second_Dev_year),DevExp_second_Dev_year&lt;&gt;""),1,0)+IF(AND('General Information'!M157&gt;0,YEAR(DS_DevExp_SinceDate)&lt;=N(DevExp_third_Dev_year),DevExp_third_Dev_year&lt;&gt;""),1,0)+IF(AND('General Information'!M167&gt;0,YEAR(DS_DevExp_SinceDate)&lt;=N(DevExp_fourth_Dev_year),DevExp_fourth_Dev_year&lt;&gt;""),1,0)+IF(AND('General Information'!M177&gt;0,YEAR(DS_DevExp_SinceDate)&lt;=N(DevExp_fifth_Dev_year),DevExp_fifth_Dev_year&lt;&gt;""),1,0)</f>
        <v>0</v>
      </c>
      <c r="I123" s="1761" t="s">
        <v>1507</v>
      </c>
      <c r="J123" s="1762"/>
      <c r="K123" s="1762"/>
      <c r="L123" s="1762"/>
      <c r="M123" s="1762"/>
      <c r="N123" s="1755"/>
      <c r="O123" s="1016"/>
      <c r="P123" s="1459" t="s">
        <v>2178</v>
      </c>
      <c r="Q123" s="1013" t="str" cm="1">
        <f t="array" aca="1" ref="Q123" ca="1">IF('General Information'!K$170=0,"",IF(AND(IF('General Information'!M$170&gt;0,DevExp_fifth_Dev_name&lt;&gt;"",TRUE),IF('General Information'!M$171&gt;0,DevExp_fifth_Dev_City&lt;&gt;"",TRUE),IF('General Information'!M$172&gt;0,DevExp_fifth_Dev_State&lt;&gt;"",TRUE),IF('General Information'!M$173=1,DevExp_fifth_Dev_Principal&lt;&gt;"",TRUE),IF('General Information'!M$174&gt;0,OR(AND(DevExp_fifth_Dev_program&lt;&gt;"&lt;select one&gt;",DevExp_fifth_Dev_program&lt;&gt;""),CELL("protect",DevExp_fifth_Dev_program)=1),TRUE),IF(AND('General Information'!M$175&gt;0,DevExp_fifth_Dev_program="Other"),DevExp_fifth_Other_program&lt;&gt;IF(RIGHT(Excel_RFA_Number,3)="213","&lt;select one&gt;",""),TRUE),IF('General Information'!M$176&gt;0,DevExp_fifth_Dev_units&lt;&gt;"",TRUE),IF('General Information'!M$177&gt;0,DevExp_fifth_Dev_year&lt;&gt;"",TRUE)),"All required data fields have entries. ",IF(AND(IF('General Information'!M$170&gt;0,DevExp_fifth_Dev_name="",TRUE),IF('General Information'!M$171&gt;0,DevExp_fifth_Dev_City="",TRUE),IF('General Information'!M$172&gt;0,DevExp_fifth_Dev_State="",TRUE),IF('General Information'!M$174&gt;0,OR(DevExp_fifth_Dev_program="&lt;select one&gt;",DevExp_fifth_Dev_program="",CELL("protect",DevExp_fifth_Dev_program)=1),TRUE),IF('General Information'!M$175&gt;0,DevExp_fifth_Other_program=IF(RIGHT(Excel_RFA_Number,3)="213","&lt;select one&gt;",""),TRUE),IF('General Information'!M$176&gt;0,DevExp_fifth_Dev_units="",TRUE),IF('General Information'!M$177&gt;0,DevExp_fifth_Dev_year="",TRUE)),"",IF(IF(AND('General Information'!M$170&gt;0,DevExp_fifth_Dev_name=""),1,0)+IF(AND('General Information'!M$171&gt;0,DevExp_fifth_Dev_City=""),1,0)+IF(AND('General Information'!M$172&gt;0,DevExp_fifth_Dev_State=""),1,0)+IF(AND('General Information'!M$174&gt;0,OR(DevExp_fifth_Dev_program="&lt;select one&gt;",DevExp_fifth_Dev_program="")),1,0)+IF(AND(AND('General Information'!M$175&gt;0,DevExp_fifth_Dev_program="Other"),DevExp_fifth_Other_program=IF(RIGHT(Excel_RFA_Number,3)="213","&lt;select one&gt;","")),1,0)+IF(AND('General Information'!M$176&gt;0,DevExp_fifth_Dev_units=""),1,0)+IF(AND('General Information'!M$177&gt;0,DevExp_fifth_Dev_year=""),1,0)&gt;1,"Fields for the above development are","A field for the above development is")&amp;" missing. ")))</f>
        <v/>
      </c>
      <c r="R123" s="368"/>
      <c r="S123" s="368"/>
      <c r="T123" s="368"/>
      <c r="U123" s="368"/>
      <c r="V123" s="368"/>
      <c r="W123" s="368"/>
      <c r="X123" s="368"/>
      <c r="Y123" s="368"/>
      <c r="Z123" s="368"/>
      <c r="AA123" s="368"/>
      <c r="AB123" s="368"/>
      <c r="AC123" s="368"/>
      <c r="AD123" s="368"/>
      <c r="AE123" s="368"/>
    </row>
    <row r="124" spans="1:31" ht="15" thickBot="1">
      <c r="A124" s="1758" t="s">
        <v>128</v>
      </c>
      <c r="E124" s="2331">
        <v>38718</v>
      </c>
      <c r="F124" s="65" t="s">
        <v>1665</v>
      </c>
      <c r="I124" s="1779" t="str">
        <f ca="1">"Gen-"&amp;IF('General Information'!K130=0,"NS","S"&amp;IF(AND('General Information'!M137&gt;0,YEAR(DS_DevExp_SinceDate)&lt;=N(DevExp_first_Dev_year),DevExp_first_Dev_year&lt;&gt;""),"Y","N"&amp;IF(Q126="","B","F")))</f>
        <v>Gen-SNB</v>
      </c>
      <c r="J124" s="1779" t="str">
        <f>"Gen-"&amp;IF('General Information'!K139=0,"NS","S"&amp;IF(AND('General Information'!M147&gt;0,YEAR(DS_DevExp_SinceDate)&lt;=N(DevExp_second_Dev_year),DevExp_second_Dev_year&lt;&gt;""),"Y","N"&amp;IF(Q127="","B","F")))</f>
        <v>Gen-NS</v>
      </c>
      <c r="K124" s="1779" t="str">
        <f>"Gen-"&amp;IF('General Information'!K149=0,"NS","S"&amp;IF(AND('General Information'!M157&gt;0,YEAR(DS_DevExp_SinceDate)&lt;=N(DevExp_third_Dev_year),DevExp_third_Dev_year&lt;&gt;""),"Y","N"&amp;IF(Q128="","B","F")))</f>
        <v>Gen-NS</v>
      </c>
      <c r="L124" s="1779" t="str">
        <f>"Gen-"&amp;IF('General Information'!K159=0,"NS","S"&amp;IF(AND('General Information'!M167&gt;0,YEAR(DS_DevExp_SinceDate)&lt;=N(DevExp_fourth_Dev_year),DevExp_fourth_Dev_year&lt;&gt;""),"Y","N"&amp;IF(Q129="","B","F")))</f>
        <v>Gen-NS</v>
      </c>
      <c r="M124" s="1780" t="str">
        <f>"Gen-"&amp;IF('General Information'!K169=0,"NS","S"&amp;IF(AND('General Information'!M177&gt;0,YEAR(DS_DevExp_SinceDate)&lt;=N(DevExp_fifth_Dev_year),DevExp_fifth_Dev_year&lt;&gt;""),"Y","N"&amp;IF(Q130="","B","F")))</f>
        <v>Gen-NS</v>
      </c>
      <c r="N124" s="1756"/>
      <c r="O124" s="1757"/>
      <c r="P124" s="1774" t="s">
        <v>1671</v>
      </c>
      <c r="Q124" s="1025" t="str">
        <f ca="1">IF(AND(DevExp_MinDevs_List_Count&gt;0,DS_DevExp_MinDevs_List&gt;0),"The minimum number of "&amp;TEXT(DS_DevExp_MinDevs_List,"0")&amp;" development"&amp;IF(DS_DevExp_MinDevs_List&gt;1,"s","")&amp;" to be listed is "&amp;IF(DevExp_MinDevs_List_Count&gt;=DS_DevExp_MinDevs_List,"","NOT ")&amp;"met.","")</f>
        <v/>
      </c>
      <c r="R124" s="366"/>
      <c r="S124" s="366"/>
      <c r="T124" s="366"/>
      <c r="U124" s="366"/>
      <c r="V124" s="366"/>
      <c r="W124" s="366"/>
      <c r="X124" s="366"/>
      <c r="Y124" s="366"/>
      <c r="Z124" s="366"/>
      <c r="AA124" s="366"/>
      <c r="AB124" s="366"/>
      <c r="AC124" s="366"/>
      <c r="AD124" s="366"/>
      <c r="AE124" s="366"/>
    </row>
    <row r="125" spans="1:31">
      <c r="A125" s="1814" t="s">
        <v>1667</v>
      </c>
      <c r="B125" s="3018" t="s">
        <v>1665</v>
      </c>
      <c r="C125" s="3018"/>
      <c r="D125" s="3018"/>
      <c r="E125" s="477"/>
      <c r="F125" s="1588" t="s">
        <v>1666</v>
      </c>
      <c r="G125" s="1639"/>
      <c r="H125" s="1639"/>
    </row>
    <row r="126" spans="1:31">
      <c r="A126" s="3024"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is 1 property that meets the minimimum date requirement of being delivered since January 1, 2006 as an affordable property.</v>
      </c>
      <c r="B126" s="3024"/>
      <c r="C126" s="3024"/>
      <c r="D126" s="3024"/>
      <c r="E126" s="3024"/>
      <c r="F126" s="3024"/>
      <c r="G126" s="3024"/>
      <c r="H126" s="3024"/>
      <c r="N126" s="1763"/>
      <c r="O126" s="1764"/>
      <c r="P126" s="1765" t="s">
        <v>1652</v>
      </c>
      <c r="Q126" s="1013"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65"/>
      <c r="S126" s="365"/>
      <c r="T126" s="365"/>
      <c r="U126" s="365"/>
      <c r="V126" s="365"/>
      <c r="W126" s="365"/>
      <c r="X126" s="365"/>
      <c r="Y126" s="365"/>
      <c r="Z126" s="365"/>
      <c r="AA126" s="365"/>
      <c r="AB126" s="365"/>
      <c r="AC126" s="365"/>
      <c r="AD126" s="365"/>
      <c r="AE126" s="365"/>
    </row>
    <row r="127" spans="1:31">
      <c r="N127" s="1763"/>
      <c r="O127" s="1764"/>
      <c r="P127" s="1766" t="s">
        <v>1653</v>
      </c>
      <c r="Q127" s="1015"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68"/>
      <c r="S127" s="368"/>
      <c r="T127" s="368"/>
      <c r="U127" s="368"/>
      <c r="V127" s="368"/>
      <c r="W127" s="368"/>
      <c r="X127" s="368"/>
      <c r="Y127" s="368"/>
      <c r="Z127" s="368"/>
      <c r="AA127" s="368"/>
      <c r="AB127" s="368"/>
      <c r="AC127" s="368"/>
      <c r="AD127" s="368"/>
      <c r="AE127" s="368"/>
    </row>
    <row r="128" spans="1:31">
      <c r="A128" s="1771" t="str">
        <f>"# of Developments to meet minimum Program Requirement ("&amp;TEXT(DS_DevExp_MinDevs_List,"0")&amp;" or less)"</f>
        <v># of Developments to meet minimum Program Requirement (1 or less)</v>
      </c>
      <c r="B128" s="477"/>
      <c r="C128" s="477"/>
      <c r="D128" s="477"/>
      <c r="E128" s="533">
        <v>0</v>
      </c>
      <c r="F128" s="1781"/>
      <c r="G128" s="413" t="str">
        <f>IF(DevExp_PrgmMinDevs_Count&gt;=DS_DevExp_PrgmMinDevs,"Yes","No, "&amp;TEXT(DS_DevExp_PrgmMinDevs-DevExp_PrgmMinDevs_Count,"0")&amp;" shy")</f>
        <v>Yes</v>
      </c>
      <c r="H128" s="1038">
        <f>IF(AND('General Information'!M134&gt;0,OR(AND(DS_DevExp_PrgmReq_Need="Yes",DS_DevExp_PrgmReq=DevExp_first_Dev_program),DS_DevExp_PrgmReq_Need="No"),YEAR(DS_DevExp_PrgmSinceDate)&lt;=N(DevExp_first_Dev_year)),1,0)+IF(AND('General Information'!M144&gt;0,OR(AND(DS_DevExp_PrgmReq_Need="Yes",DS_DevExp_PrgmReq=DevExp_second_Dev_program),DS_DevExp_PrgmReq_Need="No"),YEAR(DS_DevExp_PrgmSinceDate)&lt;=N(DevExp_second_Dev_year)),1,0)+IF(AND('General Information'!M154&gt;0,OR(AND(DS_DevExp_PrgmReq_Need="Yes",DS_DevExp_PrgmReq=DevExp_third_Dev_program),DS_DevExp_PrgmReq_Need="No"),YEAR(DS_DevExp_PrgmSinceDate)&lt;=N(DevExp_third_Dev_year)),1,0)+IF(AND('General Information'!M164&gt;0,OR(AND(DS_DevExp_PrgmReq_Need="Yes",DS_DevExp_PrgmReq=DevExp_fourth_Dev_program),DS_DevExp_PrgmReq_Need="No"),YEAR(DS_DevExp_PrgmSinceDate)&lt;=N(DevExp_fourth_Dev_year)),1,0)+IF(AND('General Information'!M174&gt;0,OR(AND(DS_DevExp_PrgmReq_Need="Yes",DS_DevExp_PrgmReq=DevExp_fifth_Dev_program),DS_DevExp_PrgmReq_Need="No"),YEAR(DS_DevExp_PrgmSinceDate)&lt;=N(DevExp_fifth_Dev_year)),1,0)</f>
        <v>0</v>
      </c>
      <c r="I128" s="1039" t="s">
        <v>1689</v>
      </c>
      <c r="J128" s="1040"/>
      <c r="K128" s="1040"/>
      <c r="L128" s="1040"/>
      <c r="M128" s="1040"/>
      <c r="N128" s="1763"/>
      <c r="O128" s="1764"/>
      <c r="P128" s="1766" t="s">
        <v>1654</v>
      </c>
      <c r="Q128" s="1015"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68"/>
      <c r="S128" s="368"/>
      <c r="T128" s="368"/>
      <c r="U128" s="368"/>
      <c r="V128" s="368"/>
      <c r="W128" s="368"/>
      <c r="X128" s="368"/>
      <c r="Y128" s="368"/>
      <c r="Z128" s="368"/>
      <c r="AA128" s="368"/>
      <c r="AB128" s="368"/>
      <c r="AC128" s="368"/>
      <c r="AD128" s="368"/>
      <c r="AE128" s="368"/>
    </row>
    <row r="129" spans="1:31">
      <c r="A129" s="1045" t="s">
        <v>131</v>
      </c>
      <c r="B129" s="251"/>
      <c r="C129" s="267"/>
      <c r="D129" s="267"/>
      <c r="E129" s="1753">
        <v>42370</v>
      </c>
      <c r="F129" s="267"/>
      <c r="G129" s="413"/>
      <c r="H129" s="267"/>
      <c r="I129" s="2462" t="str">
        <f>"Prgm-"&amp;IF(OR('General Information'!K130=0,DS_DevExp_PrgmReq_Need="No"),"NS","S"&amp;IF(AND('General Information'!M134&gt;0,AND(DS_DevExp_PrgmReq_Need="Yes",DS_DevExp_PrgmReq=DevExp_first_Dev_program),YEAR(DS_DevExp_PrgmSinceDate)&lt;=N(DevExp_first_Dev_year)),"Y","N"&amp;IF(Q133="","B","F")))</f>
        <v>Prgm-NS</v>
      </c>
      <c r="J129" s="2462" t="str">
        <f>"Prgm-"&amp;IF(OR('General Information'!K130=0,DS_DevExp_PrgmReq_Need="No"),"NS","S"&amp;IF(AND('General Information'!M134&gt;0,AND(DS_DevExp_PrgmReq_Need="Yes",DS_DevExp_PrgmReq=DevExp_second_Dev_program),YEAR(DS_DevExp_PrgmSinceDate)&lt;=N(DevExp_second_Dev_year)),"Y","N"&amp;IF(Q134="","B","F")))</f>
        <v>Prgm-NS</v>
      </c>
      <c r="K129" s="2462" t="str">
        <f>"Prgm-"&amp;IF(OR('General Information'!K130=0,DS_DevExp_PrgmReq_Need="No"),"NS","S"&amp;IF(AND('General Information'!M134&gt;0,AND(DS_DevExp_PrgmReq_Need="Yes",DS_DevExp_PrgmReq=DevExp_third_Dev_program),YEAR(DS_DevExp_PrgmSinceDate)&lt;=N(DevExp_third_Dev_year)),"Y","N"&amp;IF(Q135="","B","F")))</f>
        <v>Prgm-NS</v>
      </c>
      <c r="L129" s="2462" t="str">
        <f>"Prgm-"&amp;IF(OR('General Information'!K130=0,DS_DevExp_PrgmReq_Need="No"),"NS","S"&amp;IF(AND('General Information'!M134&gt;0,AND(DS_DevExp_PrgmReq_Need="Yes",DS_DevExp_PrgmReq=DevExp_fourth_Dev_program),YEAR(DS_DevExp_PrgmSinceDate)&lt;=N(DevExp_fourth_Dev_year)),"Y","N"&amp;IF(Q136="","B","F")))</f>
        <v>Prgm-NS</v>
      </c>
      <c r="M129" s="2463" t="str">
        <f>"Prgm-"&amp;IF(OR('General Information'!K130=0,DS_DevExp_PrgmReq_Need="No"),"NS","S"&amp;IF(AND('General Information'!M134&gt;0,AND(DS_DevExp_PrgmReq_Need="Yes",DS_DevExp_PrgmReq=DevExp_fifth_Dev_program),YEAR(DS_DevExp_PrgmSinceDate)&lt;=N(DevExp_fifth_Dev_year)),"Y","N"&amp;IF(Q137="","B","F")))</f>
        <v>Prgm-NS</v>
      </c>
      <c r="N129" s="1763"/>
      <c r="O129" s="1764"/>
      <c r="P129" s="1767" t="s">
        <v>2179</v>
      </c>
      <c r="Q129" s="1015"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68"/>
      <c r="S129" s="368"/>
      <c r="T129" s="368"/>
      <c r="U129" s="368"/>
      <c r="V129" s="368"/>
      <c r="W129" s="368"/>
      <c r="X129" s="368"/>
      <c r="Y129" s="368"/>
      <c r="Z129" s="368"/>
      <c r="AA129" s="368"/>
      <c r="AB129" s="368"/>
      <c r="AC129" s="368"/>
      <c r="AD129" s="368"/>
      <c r="AE129" s="368"/>
    </row>
    <row r="130" spans="1:31">
      <c r="A130" s="1815" t="s">
        <v>2609</v>
      </c>
      <c r="B130" s="330"/>
      <c r="C130" s="1816"/>
      <c r="D130" s="1816"/>
      <c r="E130" s="495" t="s">
        <v>436</v>
      </c>
      <c r="F130" s="330"/>
      <c r="G130" s="330"/>
      <c r="H130" s="1896" t="s">
        <v>2622</v>
      </c>
      <c r="I130" s="1897" t="str">
        <f>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1897" t="str">
        <f>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1897" t="str">
        <f>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No</v>
      </c>
      <c r="L130" s="1897" t="str">
        <f>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1897" t="str">
        <f>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763"/>
      <c r="O130" s="1764"/>
      <c r="P130" s="1767" t="s">
        <v>2180</v>
      </c>
      <c r="Q130" s="1015"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68"/>
      <c r="S130" s="368"/>
      <c r="T130" s="368"/>
      <c r="U130" s="368"/>
      <c r="V130" s="368"/>
      <c r="W130" s="368"/>
      <c r="X130" s="368"/>
      <c r="Y130" s="368"/>
      <c r="Z130" s="368"/>
      <c r="AA130" s="368"/>
      <c r="AB130" s="368"/>
      <c r="AC130" s="368"/>
      <c r="AD130" s="368"/>
      <c r="AE130" s="368"/>
    </row>
    <row r="131" spans="1:31" ht="14.65" customHeight="1">
      <c r="A131" s="1817" t="s">
        <v>130</v>
      </c>
      <c r="B131" s="3020" t="s">
        <v>98</v>
      </c>
      <c r="C131" s="3020"/>
      <c r="D131" s="3020"/>
      <c r="E131" s="267"/>
      <c r="F131" s="267"/>
      <c r="G131" s="267"/>
      <c r="H131" s="267"/>
      <c r="I131" s="267"/>
      <c r="J131" s="267"/>
      <c r="K131" s="267"/>
      <c r="L131" s="267"/>
      <c r="M131" s="267"/>
      <c r="N131" s="1768"/>
      <c r="O131" s="1769"/>
      <c r="P131" s="1770" t="s">
        <v>1662</v>
      </c>
      <c r="Q131" s="1031" t="str">
        <f>IF(OR(DevExp_DevsWithSinceDate_Count&gt;0,AND(DS_DevExp_DevsWithSinceDate=1,IFERROR(FIND("All",'General Information'!#REF!),0)&gt;0)),"The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66"/>
      <c r="S131" s="366"/>
      <c r="T131" s="366"/>
      <c r="U131" s="366"/>
      <c r="V131" s="366"/>
      <c r="W131" s="366"/>
      <c r="X131" s="366"/>
      <c r="Y131" s="366"/>
      <c r="Z131" s="366"/>
      <c r="AA131" s="366"/>
      <c r="AB131" s="366"/>
      <c r="AC131" s="366"/>
      <c r="AD131" s="366"/>
      <c r="AE131" s="366"/>
    </row>
    <row r="132" spans="1:31" ht="14.65" customHeight="1" thickBot="1">
      <c r="A132" s="3025"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There is no minimum Program experience for any property.</v>
      </c>
      <c r="B132" s="3025"/>
      <c r="C132" s="3025"/>
      <c r="D132" s="3025"/>
      <c r="E132" s="3025"/>
      <c r="F132" s="3025"/>
      <c r="G132" s="3025"/>
      <c r="H132" s="3025"/>
      <c r="I132" s="1821"/>
      <c r="J132" s="1821"/>
      <c r="K132" s="1821"/>
      <c r="L132" s="1821"/>
      <c r="M132" s="1821"/>
    </row>
    <row r="133" spans="1:31">
      <c r="E133" s="2332"/>
      <c r="N133" s="1775"/>
      <c r="O133" s="1023"/>
      <c r="P133" s="1024" t="s">
        <v>1655</v>
      </c>
      <c r="Q133" s="1013"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65"/>
      <c r="S133" s="365"/>
      <c r="T133" s="365"/>
      <c r="U133" s="365"/>
      <c r="V133" s="365"/>
      <c r="W133" s="365"/>
      <c r="X133" s="365"/>
      <c r="Y133" s="365"/>
      <c r="Z133" s="365"/>
      <c r="AA133" s="365"/>
      <c r="AB133" s="365"/>
      <c r="AC133" s="365"/>
      <c r="AD133" s="365"/>
      <c r="AE133" s="365"/>
    </row>
    <row r="134" spans="1:31">
      <c r="A134" s="1818" t="s">
        <v>132</v>
      </c>
      <c r="B134" s="3038">
        <f>IF(DS_DevExp_MinUnits_Criteria="Percentage",ROUNDUP(Total_Units*DS_DevExp_MinUnits_Percent,0),DS_DevExp_MinUnits_Number)</f>
        <v>0</v>
      </c>
      <c r="C134" s="3038"/>
      <c r="D134" s="3038"/>
      <c r="E134" s="2333">
        <v>0.5</v>
      </c>
      <c r="F134" s="65" t="s">
        <v>41</v>
      </c>
      <c r="G134" s="1639" t="str">
        <f>IF(DevExp_MinUnits_Count&gt;=DS_DevExp_MinUnits_Devs,"Yes","No, "&amp;TEXT(DS_DevExp_MinUnits_Devs-DevExp_MinUnits_Count,"0")&amp;" shy")</f>
        <v>No, 1 shy</v>
      </c>
      <c r="H134" s="1822">
        <f>IF(AND('General Information'!M136&gt;0,OR(AND(DS_DevExp_MinUnits_Criteria="Percentage",Total_Units&gt;0),DS_DevExp_MinUnits_Criteria="Number"),DS_DevExp_MinUnits&lt;=DevExp_first_Dev_units),1,0)+IF(AND('General Information'!M146&gt;0,OR(AND(DS_DevExp_MinUnits_Criteria="Percentage",Total_Units&gt;0),DS_DevExp_MinUnits_Criteria="Number"),DS_DevExp_MinUnits&lt;=DevExp_second_Dev_units),1,0)+IF(AND('General Information'!M156&gt;0,OR(AND(DS_DevExp_MinUnits_Criteria="Percentage",Total_Units&gt;0),DS_DevExp_MinUnits_Criteria="Number"),DS_DevExp_MinUnits&lt;=DevExp_third_Dev_units),1,0)+IF(AND('General Information'!M166&gt;0,OR(AND(DS_DevExp_MinUnits_Criteria="Percentage",Total_Units&gt;0),DS_DevExp_MinUnits_Criteria="Number"),DS_DevExp_MinUnits&lt;=DevExp_fourth_Dev_units),1,0)+IF(AND('General Information'!M176&gt;0,OR(AND(DS_DevExp_MinUnits_Criteria="Percentage",Total_Units&gt;0),DS_DevExp_MinUnits_Criteria="Number"),DS_DevExp_MinUnits&lt;=DevExp_fifth_Dev_units),1,0)</f>
        <v>0</v>
      </c>
      <c r="I134" s="1823" t="s">
        <v>1508</v>
      </c>
      <c r="J134" s="1824"/>
      <c r="K134" s="1824"/>
      <c r="L134" s="1824"/>
      <c r="M134" s="1825"/>
      <c r="N134" s="1775"/>
      <c r="O134" s="1023"/>
      <c r="P134" s="1024" t="s">
        <v>1657</v>
      </c>
      <c r="Q134" s="1013"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68"/>
      <c r="S134" s="368"/>
      <c r="T134" s="368"/>
      <c r="U134" s="368"/>
      <c r="V134" s="368"/>
      <c r="W134" s="368"/>
      <c r="X134" s="368"/>
      <c r="Y134" s="368"/>
      <c r="Z134" s="368"/>
      <c r="AA134" s="368"/>
      <c r="AB134" s="368"/>
      <c r="AC134" s="368"/>
      <c r="AD134" s="368"/>
      <c r="AE134" s="368"/>
    </row>
    <row r="135" spans="1:31">
      <c r="A135" s="1819" t="s">
        <v>133</v>
      </c>
      <c r="B135" s="3039"/>
      <c r="C135" s="3039"/>
      <c r="D135" s="3039"/>
      <c r="E135" s="2334">
        <v>12</v>
      </c>
      <c r="F135" s="65" t="s">
        <v>127</v>
      </c>
      <c r="G135" s="264"/>
      <c r="I135" s="1826" t="str">
        <f>"Units-"&amp;IF('General Information'!K130=0,"NS","S"&amp;IF(AND('General Information'!M136&gt;0,OR(AND(DS_DevExp_MinUnits_Criteria="Percentage",Total_Units&gt;0),DS_DevExp_MinUnits_Criteria="Number"),DS_DevExp_MinUnits&lt;=DevExp_first_Dev_units),"Y","N"&amp;IF(Q140="","B","F")))</f>
        <v>Units-SNB</v>
      </c>
      <c r="J135" s="1826" t="str">
        <f>"Units-"&amp;IF('General Information'!K139=0,"NS","S"&amp;IF(AND('General Information'!M146&gt;0,OR(AND(DS_DevExp_MinUnits_Criteria="Percentage",Total_Units&gt;0),DS_DevExp_MinUnits_Criteria="Number"),DS_DevExp_MinUnits&lt;=DevExp_second_Dev_units),"Y","N"&amp;IF(Q141="","B","F")))</f>
        <v>Units-NS</v>
      </c>
      <c r="K135" s="1826" t="str">
        <f>"Units-"&amp;IF('General Information'!K149=0,"NS","S"&amp;IF(AND('General Information'!M156&gt;0,OR(AND(DS_DevExp_MinUnits_Criteria="Percentage",Total_Units&gt;0),DS_DevExp_MinUnits_Criteria="Number"),DS_DevExp_MinUnits&lt;=DevExp_third_Dev_units),"Y","N"&amp;IF(Q142="","B","F")))</f>
        <v>Units-NS</v>
      </c>
      <c r="L135" s="1827" t="str" cm="1">
        <f t="array" ref="L135">"Units-"&amp;IF('General Information'!K159=0,"NS","S"&amp;IF(AND('General Information'!M166&gt;0,OR(AND(DS_DevExp_MinUnits_Criteria="Percentage",Total_Units&gt;0),DS_DevExp_MinUnits_Criteria="Number"),DS_DevExp_MinUnits&lt;=DevExp_fourth_Dev_units),"Y","N"&amp;IF(Q143="","B","F")))</f>
        <v>Units-NS</v>
      </c>
      <c r="M135" s="1827" t="str" cm="1">
        <f t="array" ref="M135">"Units-"&amp;IF('General Information'!K169=0,"NS","S"&amp;IF(AND('General Information'!M176&gt;0,OR(AND(DS_DevExp_MinUnits_Criteria="Percentage",Total_Units&gt;0),DS_DevExp_MinUnits_Criteria="Number"),DS_DevExp_MinUnits&lt;=DevExp_fifth_Dev_units),"Y","N"&amp;IF(Q144="","B","F")))</f>
        <v>Units-NS</v>
      </c>
      <c r="N135" s="1776"/>
      <c r="O135" s="1772"/>
      <c r="P135" s="1044" t="s">
        <v>1656</v>
      </c>
      <c r="Q135" s="1013"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68"/>
      <c r="S135" s="368"/>
      <c r="T135" s="368"/>
      <c r="U135" s="368"/>
      <c r="V135" s="368"/>
      <c r="W135" s="368"/>
      <c r="X135" s="368"/>
      <c r="Y135" s="368"/>
      <c r="Z135" s="368"/>
      <c r="AA135" s="368"/>
      <c r="AB135" s="368"/>
      <c r="AC135" s="368"/>
      <c r="AD135" s="368"/>
      <c r="AE135" s="368"/>
    </row>
    <row r="136" spans="1:31">
      <c r="A136" s="1819" t="s">
        <v>134</v>
      </c>
      <c r="E136" s="2334" t="s">
        <v>127</v>
      </c>
      <c r="F136" s="1588" t="s">
        <v>129</v>
      </c>
      <c r="G136" s="264"/>
      <c r="N136" s="1776"/>
      <c r="O136" s="1772"/>
      <c r="P136" s="1773" t="s">
        <v>2175</v>
      </c>
      <c r="Q136" s="1013"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68"/>
      <c r="S136" s="368"/>
      <c r="T136" s="368"/>
      <c r="U136" s="368"/>
      <c r="V136" s="368"/>
      <c r="W136" s="368"/>
      <c r="X136" s="368"/>
      <c r="Y136" s="368"/>
      <c r="Z136" s="368"/>
      <c r="AA136" s="368"/>
      <c r="AB136" s="368"/>
      <c r="AC136" s="368"/>
      <c r="AD136" s="368"/>
      <c r="AE136" s="368"/>
    </row>
    <row r="137" spans="1:31" ht="15" thickBot="1">
      <c r="A137" s="1820" t="str">
        <f>"# of Developments to meet minimum units ("&amp;TEXT(DS_DevExp_MinDevs_List,"0")&amp;" or less)"</f>
        <v># of Developments to meet minimum units (1 or less)</v>
      </c>
      <c r="B137" s="251"/>
      <c r="C137" s="251"/>
      <c r="D137" s="251"/>
      <c r="E137" s="2335">
        <v>1</v>
      </c>
      <c r="G137" s="264"/>
      <c r="N137" s="1776"/>
      <c r="O137" s="1772"/>
      <c r="P137" s="1773" t="s">
        <v>2176</v>
      </c>
      <c r="Q137" s="1013"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68"/>
      <c r="S137" s="368"/>
      <c r="T137" s="368"/>
      <c r="U137" s="368"/>
      <c r="V137" s="368"/>
      <c r="W137" s="368"/>
      <c r="X137" s="368"/>
      <c r="Y137" s="368"/>
      <c r="Z137" s="368"/>
      <c r="AA137" s="368"/>
      <c r="AB137" s="368"/>
      <c r="AC137" s="368"/>
      <c r="AD137" s="368"/>
      <c r="AE137" s="368"/>
    </row>
    <row r="138" spans="1:31">
      <c r="A138" s="3028"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3028"/>
      <c r="C138" s="3028"/>
      <c r="D138" s="3028"/>
      <c r="E138" s="3028"/>
      <c r="F138" s="3028"/>
      <c r="G138" s="3028"/>
      <c r="H138" s="3028"/>
      <c r="N138" s="1777"/>
      <c r="O138" s="1012"/>
      <c r="P138" s="1460" t="s">
        <v>1663</v>
      </c>
      <c r="Q138" s="1013"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66"/>
      <c r="S138" s="366"/>
      <c r="T138" s="366"/>
      <c r="U138" s="366"/>
      <c r="V138" s="366"/>
      <c r="W138" s="366"/>
      <c r="X138" s="366"/>
      <c r="Y138" s="366"/>
      <c r="Z138" s="366"/>
      <c r="AA138" s="366"/>
      <c r="AB138" s="366"/>
      <c r="AC138" s="366"/>
      <c r="AD138" s="366"/>
      <c r="AE138" s="366"/>
    </row>
    <row r="139" spans="1:31" ht="45" customHeight="1" thickBot="1">
      <c r="A139" s="3002"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One developments must be documented, of which one affordable developments must be listed with completion dates no earlier than 2006 and one must have at least 50% the number of units of the proposed Development. There is no minimum Program experience for any property.</v>
      </c>
      <c r="B139" s="3002"/>
      <c r="C139" s="3002"/>
      <c r="D139" s="3002"/>
      <c r="E139" s="3002"/>
      <c r="F139" s="3002"/>
      <c r="G139" s="3002"/>
      <c r="H139" s="3002"/>
      <c r="I139" s="683"/>
      <c r="J139" s="1497" t="s">
        <v>2248</v>
      </c>
      <c r="K139" s="1498">
        <f>IF('General Information'!K130=0,0,1)+IF('General Information'!K139=0,0,1)+IF('General Information'!K149=0,0,1)+IF('General Information'!K159=0,0,1)+IF('General Information'!K169=0,0,1)</f>
        <v>1</v>
      </c>
      <c r="L139" s="1441"/>
      <c r="M139" s="1441"/>
    </row>
    <row r="140" spans="1:31" ht="15" customHeight="1">
      <c r="A140" s="1782"/>
      <c r="B140" s="1782"/>
      <c r="C140" s="1782"/>
      <c r="D140" s="1782"/>
      <c r="E140" s="1782"/>
      <c r="F140" s="1782"/>
      <c r="G140" s="1782"/>
      <c r="H140" s="846"/>
      <c r="I140" s="6"/>
      <c r="J140" s="849"/>
      <c r="K140" s="823"/>
      <c r="L140" s="50"/>
      <c r="M140" s="50"/>
      <c r="N140" s="1828"/>
      <c r="O140" s="1829"/>
      <c r="P140" s="1830" t="s">
        <v>1658</v>
      </c>
      <c r="Q140" s="1013"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65"/>
      <c r="S140" s="365"/>
      <c r="T140" s="365"/>
      <c r="U140" s="365"/>
      <c r="V140" s="365"/>
      <c r="W140" s="365"/>
      <c r="X140" s="365"/>
      <c r="Y140" s="365"/>
      <c r="Z140" s="365"/>
      <c r="AA140" s="365"/>
      <c r="AB140" s="365"/>
      <c r="AC140" s="365"/>
      <c r="AD140" s="365"/>
      <c r="AE140" s="365"/>
    </row>
    <row r="141" spans="1:31" ht="18" customHeight="1">
      <c r="A141" s="846"/>
      <c r="B141" s="846"/>
      <c r="C141" s="846"/>
      <c r="D141" s="846"/>
      <c r="E141" s="846"/>
      <c r="F141" s="846"/>
      <c r="G141" s="846"/>
      <c r="H141" s="846"/>
      <c r="I141" s="6"/>
      <c r="J141" s="849"/>
      <c r="K141" s="823"/>
      <c r="L141" s="50"/>
      <c r="M141" s="50"/>
      <c r="N141" s="1828"/>
      <c r="O141" s="1829"/>
      <c r="P141" s="1830" t="s">
        <v>1660</v>
      </c>
      <c r="Q141" s="1015"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68"/>
      <c r="S141" s="368"/>
      <c r="T141" s="368"/>
      <c r="U141" s="368"/>
      <c r="V141" s="368"/>
      <c r="W141" s="368"/>
      <c r="X141" s="368"/>
      <c r="Y141" s="368"/>
      <c r="Z141" s="368"/>
      <c r="AA141" s="368"/>
      <c r="AB141" s="368"/>
      <c r="AC141" s="368"/>
      <c r="AD141" s="368"/>
      <c r="AE141" s="368"/>
    </row>
    <row r="142" spans="1:31" ht="15" thickBot="1">
      <c r="A142" s="846" t="s">
        <v>2250</v>
      </c>
      <c r="B142" s="533" t="s">
        <v>280</v>
      </c>
      <c r="C142" s="3003" t="s">
        <v>2258</v>
      </c>
      <c r="D142" s="3003"/>
      <c r="E142" s="3003"/>
      <c r="F142" s="3003"/>
      <c r="G142" s="3003"/>
      <c r="H142" s="839" t="s">
        <v>2257</v>
      </c>
      <c r="I142" s="848" t="s">
        <v>2255</v>
      </c>
      <c r="J142" s="849"/>
      <c r="K142" s="823"/>
      <c r="L142" s="50"/>
      <c r="M142" s="50"/>
      <c r="N142" s="1828"/>
      <c r="O142" s="1829"/>
      <c r="P142" s="1830" t="s">
        <v>1659</v>
      </c>
      <c r="Q142" s="1015"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68"/>
      <c r="S142" s="368"/>
      <c r="T142" s="368"/>
      <c r="U142" s="368"/>
      <c r="V142" s="368"/>
      <c r="W142" s="368"/>
      <c r="X142" s="368"/>
      <c r="Y142" s="368"/>
      <c r="Z142" s="368"/>
      <c r="AA142" s="368"/>
      <c r="AB142" s="368"/>
      <c r="AC142" s="368"/>
      <c r="AD142" s="368"/>
      <c r="AE142" s="368"/>
    </row>
    <row r="143" spans="1:31">
      <c r="A143" s="846" t="s">
        <v>2252</v>
      </c>
      <c r="B143" s="533" t="s">
        <v>436</v>
      </c>
      <c r="C143" s="1499">
        <v>1</v>
      </c>
      <c r="D143" s="2985">
        <v>4</v>
      </c>
      <c r="E143" s="1503"/>
      <c r="F143" s="2985">
        <v>6</v>
      </c>
      <c r="G143" s="1499">
        <v>7</v>
      </c>
      <c r="H143" s="3029">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3010">
        <f>CHOOSE(DS_DevExp_DB_Sequence+1,12,12,8,DS_DevExp_DB_Federal_Units,MIN(12,8),MIN(8,DS_DevExp_DB_Federal_Units),MIN(12,8,DS_DevExp_DB_Federal_Units),MIN(12,DS_DevExp_DB_Federal_Units))</f>
        <v>8</v>
      </c>
      <c r="J143" s="849"/>
      <c r="K143" s="823"/>
      <c r="L143" s="50"/>
      <c r="M143" s="50"/>
      <c r="N143" s="1828"/>
      <c r="O143" s="1829"/>
      <c r="P143" s="1831" t="s">
        <v>2173</v>
      </c>
      <c r="Q143" s="1015"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68"/>
      <c r="S143" s="368"/>
      <c r="T143" s="368"/>
      <c r="U143" s="368"/>
      <c r="V143" s="368"/>
      <c r="W143" s="368"/>
      <c r="X143" s="368"/>
      <c r="Y143" s="368"/>
      <c r="Z143" s="368"/>
      <c r="AA143" s="368"/>
      <c r="AB143" s="368"/>
      <c r="AC143" s="368"/>
      <c r="AD143" s="368"/>
      <c r="AE143" s="368"/>
    </row>
    <row r="144" spans="1:31">
      <c r="A144" s="846" t="s">
        <v>2253</v>
      </c>
      <c r="B144" s="533" t="s">
        <v>280</v>
      </c>
      <c r="C144" s="1500">
        <v>2</v>
      </c>
      <c r="D144" s="2986"/>
      <c r="E144" s="2986">
        <v>5</v>
      </c>
      <c r="F144" s="2986"/>
      <c r="G144" s="1502"/>
      <c r="H144" s="3030"/>
      <c r="I144" s="3011"/>
      <c r="J144" s="849"/>
      <c r="K144" s="823"/>
      <c r="L144" s="50"/>
      <c r="M144" s="50"/>
      <c r="N144" s="1828"/>
      <c r="O144" s="1829"/>
      <c r="P144" s="1831" t="s">
        <v>2174</v>
      </c>
      <c r="Q144" s="1015"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68"/>
      <c r="S144" s="368"/>
      <c r="T144" s="368"/>
      <c r="U144" s="368"/>
      <c r="V144" s="368"/>
      <c r="W144" s="368"/>
      <c r="X144" s="368"/>
      <c r="Y144" s="368"/>
      <c r="Z144" s="368"/>
      <c r="AA144" s="368"/>
      <c r="AB144" s="368"/>
      <c r="AC144" s="368"/>
      <c r="AD144" s="368"/>
      <c r="AE144" s="368"/>
    </row>
    <row r="145" spans="1:31" ht="15" thickBot="1">
      <c r="A145" s="846" t="s">
        <v>2251</v>
      </c>
      <c r="B145" s="533" t="s">
        <v>280</v>
      </c>
      <c r="C145" s="1501">
        <v>3</v>
      </c>
      <c r="D145" s="1504"/>
      <c r="E145" s="2987"/>
      <c r="F145" s="2987"/>
      <c r="G145" s="1501">
        <f>G143</f>
        <v>7</v>
      </c>
      <c r="H145" s="3031"/>
      <c r="I145" s="3012"/>
      <c r="J145" s="849"/>
      <c r="K145" s="823"/>
      <c r="L145" s="50"/>
      <c r="M145" s="50"/>
      <c r="N145" s="1832"/>
      <c r="O145" s="1833"/>
      <c r="P145" s="1834" t="s">
        <v>1664</v>
      </c>
      <c r="Q145" s="1014"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66"/>
      <c r="S145" s="366"/>
      <c r="T145" s="366"/>
      <c r="U145" s="366"/>
      <c r="V145" s="366"/>
      <c r="W145" s="366"/>
      <c r="X145" s="366"/>
      <c r="Y145" s="366"/>
      <c r="Z145" s="366"/>
      <c r="AA145" s="366"/>
      <c r="AB145" s="366"/>
      <c r="AC145" s="366"/>
      <c r="AD145" s="366"/>
      <c r="AE145" s="366"/>
    </row>
    <row r="146" spans="1:31">
      <c r="A146" s="846" t="s">
        <v>2249</v>
      </c>
      <c r="B146" s="533">
        <v>12</v>
      </c>
      <c r="C146" s="2579"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579"/>
      <c r="E146" s="2579"/>
      <c r="F146" s="2579"/>
      <c r="G146" s="2579"/>
      <c r="H146" s="2579"/>
      <c r="I146" s="2579"/>
      <c r="J146" s="849"/>
      <c r="K146" s="823"/>
      <c r="L146" s="50"/>
      <c r="M146" s="50"/>
    </row>
    <row r="147" spans="1:31">
      <c r="A147" s="846"/>
      <c r="B147" s="846"/>
      <c r="C147" s="846"/>
      <c r="D147" s="846"/>
      <c r="E147" s="846"/>
      <c r="F147" s="846"/>
      <c r="G147" s="846"/>
      <c r="H147" s="846"/>
      <c r="I147" s="6"/>
      <c r="J147" s="849"/>
      <c r="K147" s="823"/>
      <c r="L147" s="50"/>
      <c r="M147" s="50"/>
      <c r="N147" s="1783"/>
      <c r="O147" s="1784"/>
      <c r="P147" s="1785" t="s">
        <v>2121</v>
      </c>
      <c r="Q147" s="1786" t="s">
        <v>2122</v>
      </c>
      <c r="R147" s="1787"/>
      <c r="S147" s="1787"/>
      <c r="T147" s="1787"/>
      <c r="U147" s="1787"/>
      <c r="V147" s="1787"/>
      <c r="W147" s="1787"/>
      <c r="X147" s="1787"/>
      <c r="Y147" s="1787"/>
      <c r="Z147" s="1787"/>
      <c r="AA147" s="1787"/>
      <c r="AB147" s="1787"/>
      <c r="AC147" s="1787"/>
      <c r="AD147" s="1787"/>
      <c r="AE147" s="1787"/>
    </row>
    <row r="148" spans="1:31">
      <c r="A148" s="846"/>
      <c r="B148" s="846"/>
      <c r="C148" s="846"/>
      <c r="D148" s="846"/>
      <c r="E148" s="846"/>
      <c r="F148" s="846"/>
      <c r="G148" s="846"/>
      <c r="H148" s="846"/>
      <c r="I148" s="6"/>
      <c r="J148" s="849"/>
      <c r="K148" s="823"/>
      <c r="L148" s="50"/>
      <c r="M148" s="50"/>
    </row>
    <row r="149" spans="1:31">
      <c r="B149" s="1505" t="str">
        <f>$B$18</f>
        <v>Do NOT delete any formulas in any "Sequence" column (column C), it's controlled by column B entries (1 to use, 0 or delete to not use). [warning not repeated every instance]</v>
      </c>
      <c r="C149" s="1505"/>
      <c r="D149" s="1505"/>
      <c r="E149" s="1505"/>
      <c r="F149" s="1505"/>
      <c r="G149" s="1506"/>
      <c r="H149" s="1506"/>
      <c r="I149" s="1505"/>
    </row>
    <row r="150" spans="1:31" ht="18" customHeight="1">
      <c r="A150" s="531" t="s">
        <v>135</v>
      </c>
      <c r="B150" s="532" t="s">
        <v>37</v>
      </c>
      <c r="C150" s="532" t="s">
        <v>38</v>
      </c>
      <c r="D150" s="532" t="s">
        <v>39</v>
      </c>
      <c r="E150" s="483" t="s">
        <v>136</v>
      </c>
      <c r="F150" s="64" t="s">
        <v>41</v>
      </c>
    </row>
    <row r="151" spans="1:31" ht="15" customHeight="1">
      <c r="A151" s="59" t="s">
        <v>1908</v>
      </c>
      <c r="B151" s="57">
        <v>0</v>
      </c>
      <c r="C151" s="60" t="str">
        <f>IF(B151&lt;&gt;1,"",SUM(B$151:B151))</f>
        <v/>
      </c>
      <c r="D151" s="57">
        <v>1</v>
      </c>
      <c r="F151" s="85" t="str">
        <f>IF(COUNTA($A$151:$A151)&lt;=MAX(DS_Priority_Sequence)=TRUE,LOOKUP(COUNTA($A$151:$A151),DS_Priority_Sequence,DS_Priority_DataNames),"")</f>
        <v/>
      </c>
      <c r="J151" s="1030"/>
    </row>
    <row r="152" spans="1:31" ht="15" customHeight="1">
      <c r="A152" s="59" t="s">
        <v>1909</v>
      </c>
      <c r="B152" s="57">
        <v>0</v>
      </c>
      <c r="C152" s="60" t="str">
        <f>IF(B152&lt;&gt;1,"",SUM(B$151:B152))</f>
        <v/>
      </c>
      <c r="D152" s="57">
        <v>2</v>
      </c>
      <c r="F152" s="85" t="str">
        <f>IF(COUNTA($A$151:$A152)&lt;=MAX(DS_Priority_Sequence)=TRUE,LOOKUP(COUNTA($A$151:$A152),DS_Priority_Sequence,DS_Priority_DataNames),"")</f>
        <v/>
      </c>
    </row>
    <row r="154" spans="1:31">
      <c r="A154" s="531" t="s">
        <v>2594</v>
      </c>
      <c r="B154" s="532" t="s">
        <v>37</v>
      </c>
      <c r="C154" s="532" t="s">
        <v>38</v>
      </c>
      <c r="D154" s="532" t="s">
        <v>39</v>
      </c>
      <c r="E154" s="483" t="s">
        <v>136</v>
      </c>
      <c r="F154" s="64" t="s">
        <v>41</v>
      </c>
    </row>
    <row r="155" spans="1:31">
      <c r="A155" s="59" t="s">
        <v>650</v>
      </c>
      <c r="B155" s="57">
        <v>0</v>
      </c>
      <c r="C155" s="60" t="str">
        <f>IF(B155&lt;&gt;1,"",SUM(B$155:B155))</f>
        <v/>
      </c>
      <c r="D155" s="57">
        <v>1</v>
      </c>
      <c r="F155" s="85" t="str">
        <f>IF(COUNTA($A$155:$A155)&lt;=MAX(DS_Tier_Sequence)=TRUE,LOOKUP(COUNTA($A$155:$A155),DS_Tier_Sequence,DS_Tier_DataNames),"")</f>
        <v/>
      </c>
    </row>
    <row r="156" spans="1:31">
      <c r="A156" s="59" t="s">
        <v>653</v>
      </c>
      <c r="B156" s="57">
        <v>0</v>
      </c>
      <c r="C156" s="60" t="str">
        <f>IF(B156&lt;&gt;1,"",SUM(B$155:B156))</f>
        <v/>
      </c>
      <c r="D156" s="57">
        <v>2</v>
      </c>
      <c r="F156" s="85" t="str">
        <f>IF(COUNTA($A$155:$A156)&lt;=MAX(DS_Tier_Sequence)=TRUE,LOOKUP(COUNTA($A$155:$A156),DS_Tier_Sequence,DS_Tier_DataNames),"")</f>
        <v/>
      </c>
    </row>
    <row r="159" spans="1:31" ht="18" customHeight="1">
      <c r="A159" s="531" t="s">
        <v>137</v>
      </c>
      <c r="B159" s="532" t="s">
        <v>37</v>
      </c>
      <c r="C159" s="532" t="s">
        <v>38</v>
      </c>
      <c r="D159" s="532" t="s">
        <v>39</v>
      </c>
      <c r="E159" s="483" t="s">
        <v>138</v>
      </c>
      <c r="F159" s="64" t="s">
        <v>41</v>
      </c>
    </row>
    <row r="160" spans="1:31" ht="15" customHeight="1">
      <c r="A160" s="59" t="s">
        <v>139</v>
      </c>
      <c r="B160" s="57">
        <v>1</v>
      </c>
      <c r="C160" s="60">
        <f>IF(B160&lt;&gt;1,"",SUM(B$160:B160))</f>
        <v>1</v>
      </c>
      <c r="D160" s="57">
        <v>1</v>
      </c>
      <c r="F160" s="64" t="str">
        <f>IF(COUNTA($A$160:$A160)&lt;=MAX(DS_States_Sequence)=TRUE,LOOKUP(COUNTA($A$160:$A160),DS_States_Sequence,DS_States_DataNames),"")</f>
        <v>AK</v>
      </c>
      <c r="H160" s="332" t="s">
        <v>1677</v>
      </c>
      <c r="I160" s="332"/>
      <c r="J160" s="332"/>
      <c r="K160" s="332"/>
      <c r="L160" s="332"/>
      <c r="M160" s="332"/>
      <c r="N160" s="332"/>
      <c r="O160" s="332"/>
      <c r="P160" s="332"/>
    </row>
    <row r="161" spans="1:16" ht="15" customHeight="1">
      <c r="A161" s="59" t="s">
        <v>140</v>
      </c>
      <c r="B161" s="57">
        <v>1</v>
      </c>
      <c r="C161" s="60">
        <f>IF(B161&lt;&gt;1,"",SUM(B$160:B161))</f>
        <v>2</v>
      </c>
      <c r="D161" s="57">
        <v>2</v>
      </c>
      <c r="F161" s="64" t="str">
        <f>IF(COUNTA($A$160:$A161)&lt;=MAX(DS_States_Sequence)=TRUE,LOOKUP(COUNTA($A$160:$A161),DS_States_Sequence,DS_States_DataNames),"")</f>
        <v>AL</v>
      </c>
      <c r="H161" t="s">
        <v>1686</v>
      </c>
      <c r="I161" s="332"/>
      <c r="J161" s="332"/>
      <c r="K161" s="332"/>
      <c r="L161" s="332"/>
      <c r="M161" s="332"/>
      <c r="N161" s="332"/>
      <c r="O161" s="332"/>
      <c r="P161" s="332"/>
    </row>
    <row r="162" spans="1:16" ht="15" customHeight="1">
      <c r="A162" s="59" t="s">
        <v>141</v>
      </c>
      <c r="B162" s="57">
        <v>1</v>
      </c>
      <c r="C162" s="60">
        <f>IF(B162&lt;&gt;1,"",SUM(B$160:B162))</f>
        <v>3</v>
      </c>
      <c r="D162" s="57">
        <v>3</v>
      </c>
      <c r="F162" s="64" t="str">
        <f>IF(COUNTA($A$160:$A162)&lt;=MAX(DS_States_Sequence)=TRUE,LOOKUP(COUNTA($A$160:$A162),DS_States_Sequence,DS_States_DataNames),"")</f>
        <v>AR</v>
      </c>
      <c r="I162" s="332"/>
      <c r="J162" s="332"/>
      <c r="K162" s="332"/>
      <c r="L162" s="332"/>
      <c r="M162" s="332"/>
      <c r="N162" s="332"/>
      <c r="O162" s="332"/>
      <c r="P162" s="332"/>
    </row>
    <row r="163" spans="1:16">
      <c r="A163" s="59" t="s">
        <v>142</v>
      </c>
      <c r="B163" s="57">
        <v>1</v>
      </c>
      <c r="C163" s="60">
        <f>IF(B163&lt;&gt;1,"",SUM(B$160:B163))</f>
        <v>4</v>
      </c>
      <c r="D163" s="57">
        <v>4</v>
      </c>
      <c r="F163" s="64" t="str">
        <f>IF(COUNTA($A$160:$A163)&lt;=MAX(DS_States_Sequence)=TRUE,LOOKUP(COUNTA($A$160:$A163),DS_States_Sequence,DS_States_DataNames),"")</f>
        <v>AZ</v>
      </c>
      <c r="H163" s="332" t="s">
        <v>1678</v>
      </c>
    </row>
    <row r="164" spans="1:16">
      <c r="A164" s="59" t="s">
        <v>143</v>
      </c>
      <c r="B164" s="57">
        <v>1</v>
      </c>
      <c r="C164" s="60">
        <f>IF(B164&lt;&gt;1,"",SUM(B$160:B164))</f>
        <v>5</v>
      </c>
      <c r="D164" s="57">
        <v>5</v>
      </c>
      <c r="F164" s="64" t="str">
        <f>IF(COUNTA($A$160:$A164)&lt;=MAX(DS_States_Sequence)=TRUE,LOOKUP(COUNTA($A$160:$A164),DS_States_Sequence,DS_States_DataNames),"")</f>
        <v>CA</v>
      </c>
      <c r="H164" t="s">
        <v>1687</v>
      </c>
    </row>
    <row r="165" spans="1:16">
      <c r="A165" s="59" t="s">
        <v>144</v>
      </c>
      <c r="B165" s="57">
        <v>1</v>
      </c>
      <c r="C165" s="60">
        <f>IF(B165&lt;&gt;1,"",SUM(B$160:B165))</f>
        <v>6</v>
      </c>
      <c r="D165" s="57">
        <v>6</v>
      </c>
      <c r="F165" s="64" t="str">
        <f>IF(COUNTA($A$160:$A165)&lt;=MAX(DS_States_Sequence)=TRUE,LOOKUP(COUNTA($A$160:$A165),DS_States_Sequence,DS_States_DataNames),"")</f>
        <v>CO</v>
      </c>
    </row>
    <row r="166" spans="1:16">
      <c r="A166" s="59" t="s">
        <v>145</v>
      </c>
      <c r="B166" s="57">
        <v>1</v>
      </c>
      <c r="C166" s="60">
        <f>IF(B166&lt;&gt;1,"",SUM(B$160:B166))</f>
        <v>7</v>
      </c>
      <c r="D166" s="57">
        <v>7</v>
      </c>
      <c r="F166" s="64" t="str">
        <f>IF(COUNTA($A$160:$A166)&lt;=MAX(DS_States_Sequence)=TRUE,LOOKUP(COUNTA($A$160:$A166),DS_States_Sequence,DS_States_DataNames),"")</f>
        <v>CT</v>
      </c>
      <c r="H166" s="332" t="s">
        <v>1679</v>
      </c>
    </row>
    <row r="167" spans="1:16">
      <c r="A167" s="987" t="s">
        <v>146</v>
      </c>
      <c r="B167" s="57">
        <v>1</v>
      </c>
      <c r="C167" s="60">
        <f>IF(B167&lt;&gt;1,"",SUM(B$160:B167))</f>
        <v>8</v>
      </c>
      <c r="D167" s="57">
        <v>8</v>
      </c>
      <c r="F167" s="64" t="str">
        <f>IF(COUNTA($A$160:$A167)&lt;=MAX(DS_States_Sequence)=TRUE,LOOKUP(COUNTA($A$160:$A167),DS_States_Sequence,DS_States_DataNames),"")</f>
        <v>DC</v>
      </c>
      <c r="H167" t="s">
        <v>1688</v>
      </c>
    </row>
    <row r="168" spans="1:16">
      <c r="A168" s="59" t="s">
        <v>147</v>
      </c>
      <c r="B168" s="57">
        <v>1</v>
      </c>
      <c r="C168" s="60">
        <f>IF(B168&lt;&gt;1,"",SUM(B$160:B168))</f>
        <v>9</v>
      </c>
      <c r="D168" s="57">
        <v>9</v>
      </c>
      <c r="F168" s="64" t="str">
        <f>IF(COUNTA($A$160:$A168)&lt;=MAX(DS_States_Sequence)=TRUE,LOOKUP(COUNTA($A$160:$A168),DS_States_Sequence,DS_States_DataNames),"")</f>
        <v>DE</v>
      </c>
    </row>
    <row r="169" spans="1:16">
      <c r="A169" s="59" t="s">
        <v>148</v>
      </c>
      <c r="B169" s="57">
        <v>1</v>
      </c>
      <c r="C169" s="60">
        <f>IF(B169&lt;&gt;1,"",SUM(B$160:B169))</f>
        <v>10</v>
      </c>
      <c r="D169" s="57">
        <v>10</v>
      </c>
      <c r="F169" s="64" t="str">
        <f>IF(COUNTA($A$160:$A169)&lt;=MAX(DS_States_Sequence)=TRUE,LOOKUP(COUNTA($A$160:$A169),DS_States_Sequence,DS_States_DataNames),"")</f>
        <v>FL</v>
      </c>
    </row>
    <row r="170" spans="1:16">
      <c r="A170" s="59" t="s">
        <v>149</v>
      </c>
      <c r="B170" s="57">
        <v>1</v>
      </c>
      <c r="C170" s="60">
        <f>IF(B170&lt;&gt;1,"",SUM(B$160:B170))</f>
        <v>11</v>
      </c>
      <c r="D170" s="57">
        <v>11</v>
      </c>
      <c r="F170" s="64" t="str">
        <f>IF(COUNTA($A$160:$A170)&lt;=MAX(DS_States_Sequence)=TRUE,LOOKUP(COUNTA($A$160:$A170),DS_States_Sequence,DS_States_DataNames),"")</f>
        <v>GA</v>
      </c>
    </row>
    <row r="171" spans="1:16">
      <c r="A171" s="59" t="s">
        <v>150</v>
      </c>
      <c r="B171" s="57">
        <v>1</v>
      </c>
      <c r="C171" s="60">
        <f>IF(B171&lt;&gt;1,"",SUM(B$160:B171))</f>
        <v>12</v>
      </c>
      <c r="D171" s="57">
        <v>12</v>
      </c>
      <c r="F171" s="64" t="str">
        <f>IF(COUNTA($A$160:$A171)&lt;=MAX(DS_States_Sequence)=TRUE,LOOKUP(COUNTA($A$160:$A171),DS_States_Sequence,DS_States_DataNames),"")</f>
        <v>HI</v>
      </c>
    </row>
    <row r="172" spans="1:16">
      <c r="A172" s="59" t="s">
        <v>151</v>
      </c>
      <c r="B172" s="57">
        <v>1</v>
      </c>
      <c r="C172" s="60">
        <f>IF(B172&lt;&gt;1,"",SUM(B$160:B172))</f>
        <v>13</v>
      </c>
      <c r="D172" s="57">
        <v>13</v>
      </c>
      <c r="F172" s="64" t="str">
        <f>IF(COUNTA($A$160:$A172)&lt;=MAX(DS_States_Sequence)=TRUE,LOOKUP(COUNTA($A$160:$A172),DS_States_Sequence,DS_States_DataNames),"")</f>
        <v>IA</v>
      </c>
    </row>
    <row r="173" spans="1:16">
      <c r="A173" s="59" t="s">
        <v>152</v>
      </c>
      <c r="B173" s="57">
        <v>1</v>
      </c>
      <c r="C173" s="60">
        <f>IF(B173&lt;&gt;1,"",SUM(B$160:B173))</f>
        <v>14</v>
      </c>
      <c r="D173" s="57">
        <v>14</v>
      </c>
      <c r="F173" s="64" t="str">
        <f>IF(COUNTA($A$160:$A173)&lt;=MAX(DS_States_Sequence)=TRUE,LOOKUP(COUNTA($A$160:$A173),DS_States_Sequence,DS_States_DataNames),"")</f>
        <v>ID</v>
      </c>
    </row>
    <row r="174" spans="1:16">
      <c r="A174" s="59" t="s">
        <v>153</v>
      </c>
      <c r="B174" s="57">
        <v>1</v>
      </c>
      <c r="C174" s="60">
        <f>IF(B174&lt;&gt;1,"",SUM(B$160:B174))</f>
        <v>15</v>
      </c>
      <c r="D174" s="57">
        <v>15</v>
      </c>
      <c r="F174" s="64" t="str">
        <f>IF(COUNTA($A$160:$A174)&lt;=MAX(DS_States_Sequence)=TRUE,LOOKUP(COUNTA($A$160:$A174),DS_States_Sequence,DS_States_DataNames),"")</f>
        <v>IL</v>
      </c>
    </row>
    <row r="175" spans="1:16">
      <c r="A175" s="59" t="s">
        <v>154</v>
      </c>
      <c r="B175" s="57">
        <v>1</v>
      </c>
      <c r="C175" s="60">
        <f>IF(B175&lt;&gt;1,"",SUM(B$160:B175))</f>
        <v>16</v>
      </c>
      <c r="D175" s="57">
        <v>16</v>
      </c>
      <c r="F175" s="64" t="str">
        <f>IF(COUNTA($A$160:$A175)&lt;=MAX(DS_States_Sequence)=TRUE,LOOKUP(COUNTA($A$160:$A175),DS_States_Sequence,DS_States_DataNames),"")</f>
        <v>IN</v>
      </c>
    </row>
    <row r="176" spans="1:16">
      <c r="A176" s="59" t="s">
        <v>155</v>
      </c>
      <c r="B176" s="57">
        <v>1</v>
      </c>
      <c r="C176" s="60">
        <f>IF(B176&lt;&gt;1,"",SUM(B$160:B176))</f>
        <v>17</v>
      </c>
      <c r="D176" s="57">
        <v>17</v>
      </c>
      <c r="F176" s="64" t="str">
        <f>IF(COUNTA($A$160:$A176)&lt;=MAX(DS_States_Sequence)=TRUE,LOOKUP(COUNTA($A$160:$A176),DS_States_Sequence,DS_States_DataNames),"")</f>
        <v>KS</v>
      </c>
    </row>
    <row r="177" spans="1:6">
      <c r="A177" s="59" t="s">
        <v>156</v>
      </c>
      <c r="B177" s="57">
        <v>1</v>
      </c>
      <c r="C177" s="60">
        <f>IF(B177&lt;&gt;1,"",SUM(B$160:B177))</f>
        <v>18</v>
      </c>
      <c r="D177" s="57">
        <v>18</v>
      </c>
      <c r="F177" s="64" t="str">
        <f>IF(COUNTA($A$160:$A177)&lt;=MAX(DS_States_Sequence)=TRUE,LOOKUP(COUNTA($A$160:$A177),DS_States_Sequence,DS_States_DataNames),"")</f>
        <v>KY</v>
      </c>
    </row>
    <row r="178" spans="1:6">
      <c r="A178" s="59" t="s">
        <v>157</v>
      </c>
      <c r="B178" s="57">
        <v>1</v>
      </c>
      <c r="C178" s="60">
        <f>IF(B178&lt;&gt;1,"",SUM(B$160:B178))</f>
        <v>19</v>
      </c>
      <c r="D178" s="57">
        <v>19</v>
      </c>
      <c r="F178" s="64" t="str">
        <f>IF(COUNTA($A$160:$A178)&lt;=MAX(DS_States_Sequence)=TRUE,LOOKUP(COUNTA($A$160:$A178),DS_States_Sequence,DS_States_DataNames),"")</f>
        <v>LA</v>
      </c>
    </row>
    <row r="179" spans="1:6">
      <c r="A179" s="59" t="s">
        <v>158</v>
      </c>
      <c r="B179" s="57">
        <v>1</v>
      </c>
      <c r="C179" s="60">
        <f>IF(B179&lt;&gt;1,"",SUM(B$160:B179))</f>
        <v>20</v>
      </c>
      <c r="D179" s="57">
        <v>20</v>
      </c>
      <c r="F179" s="64" t="str">
        <f>IF(COUNTA($A$160:$A179)&lt;=MAX(DS_States_Sequence)=TRUE,LOOKUP(COUNTA($A$160:$A179),DS_States_Sequence,DS_States_DataNames),"")</f>
        <v>MA</v>
      </c>
    </row>
    <row r="180" spans="1:6">
      <c r="A180" s="59" t="s">
        <v>159</v>
      </c>
      <c r="B180" s="57">
        <v>1</v>
      </c>
      <c r="C180" s="60">
        <f>IF(B180&lt;&gt;1,"",SUM(B$160:B180))</f>
        <v>21</v>
      </c>
      <c r="D180" s="57">
        <v>21</v>
      </c>
      <c r="F180" s="64" t="str">
        <f>IF(COUNTA($A$160:$A180)&lt;=MAX(DS_States_Sequence)=TRUE,LOOKUP(COUNTA($A$160:$A180),DS_States_Sequence,DS_States_DataNames),"")</f>
        <v>MD</v>
      </c>
    </row>
    <row r="181" spans="1:6">
      <c r="A181" s="59" t="s">
        <v>160</v>
      </c>
      <c r="B181" s="57">
        <v>1</v>
      </c>
      <c r="C181" s="60">
        <f>IF(B181&lt;&gt;1,"",SUM(B$160:B181))</f>
        <v>22</v>
      </c>
      <c r="D181" s="57">
        <v>22</v>
      </c>
      <c r="F181" s="64" t="str">
        <f>IF(COUNTA($A$160:$A181)&lt;=MAX(DS_States_Sequence)=TRUE,LOOKUP(COUNTA($A$160:$A181),DS_States_Sequence,DS_States_DataNames),"")</f>
        <v>ME</v>
      </c>
    </row>
    <row r="182" spans="1:6">
      <c r="A182" s="59" t="s">
        <v>161</v>
      </c>
      <c r="B182" s="57">
        <v>1</v>
      </c>
      <c r="C182" s="60">
        <f>IF(B182&lt;&gt;1,"",SUM(B$160:B182))</f>
        <v>23</v>
      </c>
      <c r="D182" s="57">
        <v>23</v>
      </c>
      <c r="F182" s="64" t="str">
        <f>IF(COUNTA($A$160:$A182)&lt;=MAX(DS_States_Sequence)=TRUE,LOOKUP(COUNTA($A$160:$A182),DS_States_Sequence,DS_States_DataNames),"")</f>
        <v>MI</v>
      </c>
    </row>
    <row r="183" spans="1:6">
      <c r="A183" s="59" t="s">
        <v>162</v>
      </c>
      <c r="B183" s="57">
        <v>1</v>
      </c>
      <c r="C183" s="60">
        <f>IF(B183&lt;&gt;1,"",SUM(B$160:B183))</f>
        <v>24</v>
      </c>
      <c r="D183" s="57">
        <v>24</v>
      </c>
      <c r="F183" s="64" t="str">
        <f>IF(COUNTA($A$160:$A183)&lt;=MAX(DS_States_Sequence)=TRUE,LOOKUP(COUNTA($A$160:$A183),DS_States_Sequence,DS_States_DataNames),"")</f>
        <v>MN</v>
      </c>
    </row>
    <row r="184" spans="1:6">
      <c r="A184" s="59" t="s">
        <v>163</v>
      </c>
      <c r="B184" s="57">
        <v>1</v>
      </c>
      <c r="C184" s="60">
        <f>IF(B184&lt;&gt;1,"",SUM(B$160:B184))</f>
        <v>25</v>
      </c>
      <c r="D184" s="57">
        <v>25</v>
      </c>
      <c r="F184" s="64" t="str">
        <f>IF(COUNTA($A$160:$A184)&lt;=MAX(DS_States_Sequence)=TRUE,LOOKUP(COUNTA($A$160:$A184),DS_States_Sequence,DS_States_DataNames),"")</f>
        <v>MO</v>
      </c>
    </row>
    <row r="185" spans="1:6">
      <c r="A185" s="59" t="s">
        <v>164</v>
      </c>
      <c r="B185" s="57">
        <v>1</v>
      </c>
      <c r="C185" s="60">
        <f>IF(B185&lt;&gt;1,"",SUM(B$160:B185))</f>
        <v>26</v>
      </c>
      <c r="D185" s="57">
        <v>26</v>
      </c>
      <c r="F185" s="64" t="str">
        <f>IF(COUNTA($A$160:$A185)&lt;=MAX(DS_States_Sequence)=TRUE,LOOKUP(COUNTA($A$160:$A185),DS_States_Sequence,DS_States_DataNames),"")</f>
        <v>MS</v>
      </c>
    </row>
    <row r="186" spans="1:6">
      <c r="A186" s="59" t="s">
        <v>165</v>
      </c>
      <c r="B186" s="57">
        <v>1</v>
      </c>
      <c r="C186" s="60">
        <f>IF(B186&lt;&gt;1,"",SUM(B$160:B186))</f>
        <v>27</v>
      </c>
      <c r="D186" s="57">
        <v>27</v>
      </c>
      <c r="F186" s="64" t="str">
        <f>IF(COUNTA($A$160:$A186)&lt;=MAX(DS_States_Sequence)=TRUE,LOOKUP(COUNTA($A$160:$A186),DS_States_Sequence,DS_States_DataNames),"")</f>
        <v>MT</v>
      </c>
    </row>
    <row r="187" spans="1:6">
      <c r="A187" s="59" t="s">
        <v>166</v>
      </c>
      <c r="B187" s="57">
        <v>1</v>
      </c>
      <c r="C187" s="60">
        <f>IF(B187&lt;&gt;1,"",SUM(B$160:B187))</f>
        <v>28</v>
      </c>
      <c r="D187" s="57">
        <v>28</v>
      </c>
      <c r="F187" s="64" t="str">
        <f>IF(COUNTA($A$160:$A187)&lt;=MAX(DS_States_Sequence)=TRUE,LOOKUP(COUNTA($A$160:$A187),DS_States_Sequence,DS_States_DataNames),"")</f>
        <v>NC</v>
      </c>
    </row>
    <row r="188" spans="1:6">
      <c r="A188" s="59" t="s">
        <v>167</v>
      </c>
      <c r="B188" s="57">
        <v>1</v>
      </c>
      <c r="C188" s="60">
        <f>IF(B188&lt;&gt;1,"",SUM(B$160:B188))</f>
        <v>29</v>
      </c>
      <c r="D188" s="57">
        <v>29</v>
      </c>
      <c r="F188" s="64" t="str">
        <f>IF(COUNTA($A$160:$A188)&lt;=MAX(DS_States_Sequence)=TRUE,LOOKUP(COUNTA($A$160:$A188),DS_States_Sequence,DS_States_DataNames),"")</f>
        <v>ND</v>
      </c>
    </row>
    <row r="189" spans="1:6">
      <c r="A189" s="59" t="s">
        <v>168</v>
      </c>
      <c r="B189" s="57">
        <v>1</v>
      </c>
      <c r="C189" s="60">
        <f>IF(B189&lt;&gt;1,"",SUM(B$160:B189))</f>
        <v>30</v>
      </c>
      <c r="D189" s="57">
        <v>30</v>
      </c>
      <c r="F189" s="64" t="str">
        <f>IF(COUNTA($A$160:$A189)&lt;=MAX(DS_States_Sequence)=TRUE,LOOKUP(COUNTA($A$160:$A189),DS_States_Sequence,DS_States_DataNames),"")</f>
        <v>NE</v>
      </c>
    </row>
    <row r="190" spans="1:6">
      <c r="A190" s="59" t="s">
        <v>169</v>
      </c>
      <c r="B190" s="57">
        <v>1</v>
      </c>
      <c r="C190" s="60">
        <f>IF(B190&lt;&gt;1,"",SUM(B$160:B190))</f>
        <v>31</v>
      </c>
      <c r="D190" s="57">
        <v>31</v>
      </c>
      <c r="F190" s="64" t="str">
        <f>IF(COUNTA($A$160:$A190)&lt;=MAX(DS_States_Sequence)=TRUE,LOOKUP(COUNTA($A$160:$A190),DS_States_Sequence,DS_States_DataNames),"")</f>
        <v>NH</v>
      </c>
    </row>
    <row r="191" spans="1:6">
      <c r="A191" s="59" t="s">
        <v>170</v>
      </c>
      <c r="B191" s="57">
        <v>1</v>
      </c>
      <c r="C191" s="60">
        <f>IF(B191&lt;&gt;1,"",SUM(B$160:B191))</f>
        <v>32</v>
      </c>
      <c r="D191" s="57">
        <v>32</v>
      </c>
      <c r="F191" s="64" t="str">
        <f>IF(COUNTA($A$160:$A191)&lt;=MAX(DS_States_Sequence)=TRUE,LOOKUP(COUNTA($A$160:$A191),DS_States_Sequence,DS_States_DataNames),"")</f>
        <v>NJ</v>
      </c>
    </row>
    <row r="192" spans="1:6">
      <c r="A192" s="59" t="s">
        <v>171</v>
      </c>
      <c r="B192" s="57">
        <v>1</v>
      </c>
      <c r="C192" s="60">
        <f>IF(B192&lt;&gt;1,"",SUM(B$160:B192))</f>
        <v>33</v>
      </c>
      <c r="D192" s="57">
        <v>33</v>
      </c>
      <c r="F192" s="64" t="str">
        <f>IF(COUNTA($A$160:$A192)&lt;=MAX(DS_States_Sequence)=TRUE,LOOKUP(COUNTA($A$160:$A192),DS_States_Sequence,DS_States_DataNames),"")</f>
        <v>NM</v>
      </c>
    </row>
    <row r="193" spans="1:9">
      <c r="A193" s="59" t="s">
        <v>172</v>
      </c>
      <c r="B193" s="57">
        <v>1</v>
      </c>
      <c r="C193" s="60">
        <f>IF(B193&lt;&gt;1,"",SUM(B$160:B193))</f>
        <v>34</v>
      </c>
      <c r="D193" s="57">
        <v>34</v>
      </c>
      <c r="F193" s="64" t="str">
        <f>IF(COUNTA($A$160:$A193)&lt;=MAX(DS_States_Sequence)=TRUE,LOOKUP(COUNTA($A$160:$A193),DS_States_Sequence,DS_States_DataNames),"")</f>
        <v>NV</v>
      </c>
    </row>
    <row r="194" spans="1:9">
      <c r="A194" s="59" t="s">
        <v>173</v>
      </c>
      <c r="B194" s="57">
        <v>1</v>
      </c>
      <c r="C194" s="60">
        <f>IF(B194&lt;&gt;1,"",SUM(B$160:B194))</f>
        <v>35</v>
      </c>
      <c r="D194" s="57">
        <v>35</v>
      </c>
      <c r="F194" s="64" t="str">
        <f>IF(COUNTA($A$160:$A194)&lt;=MAX(DS_States_Sequence)=TRUE,LOOKUP(COUNTA($A$160:$A194),DS_States_Sequence,DS_States_DataNames),"")</f>
        <v>NY</v>
      </c>
    </row>
    <row r="195" spans="1:9">
      <c r="A195" s="59" t="s">
        <v>174</v>
      </c>
      <c r="B195" s="57">
        <v>1</v>
      </c>
      <c r="C195" s="60">
        <f>IF(B195&lt;&gt;1,"",SUM(B$160:B195))</f>
        <v>36</v>
      </c>
      <c r="D195" s="57">
        <v>36</v>
      </c>
      <c r="F195" s="64" t="str">
        <f>IF(COUNTA($A$160:$A195)&lt;=MAX(DS_States_Sequence)=TRUE,LOOKUP(COUNTA($A$160:$A195),DS_States_Sequence,DS_States_DataNames),"")</f>
        <v>OH</v>
      </c>
    </row>
    <row r="196" spans="1:9">
      <c r="A196" s="59" t="s">
        <v>175</v>
      </c>
      <c r="B196" s="57">
        <v>1</v>
      </c>
      <c r="C196" s="60">
        <f>IF(B196&lt;&gt;1,"",SUM(B$160:B196))</f>
        <v>37</v>
      </c>
      <c r="D196" s="57">
        <v>37</v>
      </c>
      <c r="F196" s="64" t="str">
        <f>IF(COUNTA($A$160:$A196)&lt;=MAX(DS_States_Sequence)=TRUE,LOOKUP(COUNTA($A$160:$A196),DS_States_Sequence,DS_States_DataNames),"")</f>
        <v>OK</v>
      </c>
    </row>
    <row r="197" spans="1:9">
      <c r="A197" s="59" t="s">
        <v>176</v>
      </c>
      <c r="B197" s="57">
        <v>1</v>
      </c>
      <c r="C197" s="60">
        <f>IF(B197&lt;&gt;1,"",SUM(B$160:B197))</f>
        <v>38</v>
      </c>
      <c r="D197" s="57">
        <v>38</v>
      </c>
      <c r="F197" s="64" t="str">
        <f>IF(COUNTA($A$160:$A197)&lt;=MAX(DS_States_Sequence)=TRUE,LOOKUP(COUNTA($A$160:$A197),DS_States_Sequence,DS_States_DataNames),"")</f>
        <v>OR</v>
      </c>
    </row>
    <row r="198" spans="1:9">
      <c r="A198" s="59" t="s">
        <v>177</v>
      </c>
      <c r="B198" s="57">
        <v>1</v>
      </c>
      <c r="C198" s="60">
        <f>IF(B198&lt;&gt;1,"",SUM(B$160:B198))</f>
        <v>39</v>
      </c>
      <c r="D198" s="57">
        <v>39</v>
      </c>
      <c r="F198" s="64" t="str">
        <f>IF(COUNTA($A$160:$A198)&lt;=MAX(DS_States_Sequence)=TRUE,LOOKUP(COUNTA($A$160:$A198),DS_States_Sequence,DS_States_DataNames),"")</f>
        <v>PA</v>
      </c>
    </row>
    <row r="199" spans="1:9">
      <c r="A199" s="987" t="s">
        <v>178</v>
      </c>
      <c r="B199" s="57">
        <v>1</v>
      </c>
      <c r="C199" s="60">
        <f>IF(B199&lt;&gt;1,"",SUM(B$160:B199))</f>
        <v>40</v>
      </c>
      <c r="D199" s="57">
        <v>40</v>
      </c>
      <c r="F199" s="64" t="str">
        <f>IF(COUNTA($A$160:$A199)&lt;=MAX(DS_States_Sequence)=TRUE,LOOKUP(COUNTA($A$160:$A199),DS_States_Sequence,DS_States_DataNames),"")</f>
        <v>PR</v>
      </c>
    </row>
    <row r="200" spans="1:9">
      <c r="A200" s="59" t="s">
        <v>179</v>
      </c>
      <c r="B200" s="57">
        <v>1</v>
      </c>
      <c r="C200" s="60">
        <f>IF(B200&lt;&gt;1,"",SUM(B$160:B200))</f>
        <v>41</v>
      </c>
      <c r="D200" s="57">
        <v>41</v>
      </c>
      <c r="F200" s="64" t="str">
        <f>IF(COUNTA($A$160:$A200)&lt;=MAX(DS_States_Sequence)=TRUE,LOOKUP(COUNTA($A$160:$A200),DS_States_Sequence,DS_States_DataNames),"")</f>
        <v>RI</v>
      </c>
    </row>
    <row r="201" spans="1:9">
      <c r="A201" s="59" t="s">
        <v>180</v>
      </c>
      <c r="B201" s="57">
        <v>1</v>
      </c>
      <c r="C201" s="60">
        <f>IF(B201&lt;&gt;1,"",SUM(B$160:B201))</f>
        <v>42</v>
      </c>
      <c r="D201" s="57">
        <v>42</v>
      </c>
      <c r="F201" s="64" t="str">
        <f>IF(COUNTA($A$160:$A201)&lt;=MAX(DS_States_Sequence)=TRUE,LOOKUP(COUNTA($A$160:$A201),DS_States_Sequence,DS_States_DataNames),"")</f>
        <v>SC</v>
      </c>
    </row>
    <row r="202" spans="1:9">
      <c r="A202" s="59" t="s">
        <v>181</v>
      </c>
      <c r="B202" s="57">
        <v>1</v>
      </c>
      <c r="C202" s="60">
        <f>IF(B202&lt;&gt;1,"",SUM(B$160:B202))</f>
        <v>43</v>
      </c>
      <c r="D202" s="57">
        <v>43</v>
      </c>
      <c r="F202" s="64" t="str">
        <f>IF(COUNTA($A$160:$A202)&lt;=MAX(DS_States_Sequence)=TRUE,LOOKUP(COUNTA($A$160:$A202),DS_States_Sequence,DS_States_DataNames),"")</f>
        <v>SD</v>
      </c>
    </row>
    <row r="203" spans="1:9">
      <c r="A203" s="59" t="s">
        <v>182</v>
      </c>
      <c r="B203" s="57">
        <v>1</v>
      </c>
      <c r="C203" s="60">
        <f>IF(B203&lt;&gt;1,"",SUM(B$160:B203))</f>
        <v>44</v>
      </c>
      <c r="D203" s="57">
        <v>44</v>
      </c>
      <c r="F203" s="64" t="str">
        <f>IF(COUNTA($A$160:$A203)&lt;=MAX(DS_States_Sequence)=TRUE,LOOKUP(COUNTA($A$160:$A203),DS_States_Sequence,DS_States_DataNames),"")</f>
        <v>TN</v>
      </c>
    </row>
    <row r="204" spans="1:9">
      <c r="A204" s="59" t="s">
        <v>183</v>
      </c>
      <c r="B204" s="57">
        <v>1</v>
      </c>
      <c r="C204" s="60">
        <f>IF(B204&lt;&gt;1,"",SUM(B$160:B204))</f>
        <v>45</v>
      </c>
      <c r="D204" s="57">
        <v>45</v>
      </c>
      <c r="F204" s="64" t="str">
        <f>IF(COUNTA($A$160:$A204)&lt;=MAX(DS_States_Sequence)=TRUE,LOOKUP(COUNTA($A$160:$A204),DS_States_Sequence,DS_States_DataNames),"")</f>
        <v>TX</v>
      </c>
    </row>
    <row r="205" spans="1:9">
      <c r="A205" s="59" t="s">
        <v>184</v>
      </c>
      <c r="B205" s="57">
        <v>1</v>
      </c>
      <c r="C205" s="60">
        <f>IF(B205&lt;&gt;1,"",SUM(B$160:B205))</f>
        <v>46</v>
      </c>
      <c r="D205" s="57">
        <v>46</v>
      </c>
      <c r="F205" s="64" t="str">
        <f>IF(COUNTA($A$160:$A205)&lt;=MAX(DS_States_Sequence)=TRUE,LOOKUP(COUNTA($A$160:$A205),DS_States_Sequence,DS_States_DataNames),"")</f>
        <v>UT</v>
      </c>
      <c r="I205" s="264"/>
    </row>
    <row r="206" spans="1:9">
      <c r="A206" s="59" t="s">
        <v>185</v>
      </c>
      <c r="B206" s="57">
        <v>1</v>
      </c>
      <c r="C206" s="60">
        <f>IF(B206&lt;&gt;1,"",SUM(B$160:B206))</f>
        <v>47</v>
      </c>
      <c r="D206" s="57">
        <v>47</v>
      </c>
      <c r="F206" s="64" t="str">
        <f>IF(COUNTA($A$160:$A206)&lt;=MAX(DS_States_Sequence)=TRUE,LOOKUP(COUNTA($A$160:$A206),DS_States_Sequence,DS_States_DataNames),"")</f>
        <v>VA</v>
      </c>
    </row>
    <row r="207" spans="1:9">
      <c r="A207" s="59" t="s">
        <v>186</v>
      </c>
      <c r="B207" s="57">
        <v>1</v>
      </c>
      <c r="C207" s="60">
        <f>IF(B207&lt;&gt;1,"",SUM(B$160:B207))</f>
        <v>48</v>
      </c>
      <c r="D207" s="57">
        <v>48</v>
      </c>
      <c r="F207" s="64" t="str">
        <f>IF(COUNTA($A$160:$A207)&lt;=MAX(DS_States_Sequence)=TRUE,LOOKUP(COUNTA($A$160:$A207),DS_States_Sequence,DS_States_DataNames),"")</f>
        <v>VT</v>
      </c>
    </row>
    <row r="208" spans="1:9">
      <c r="A208" s="59" t="s">
        <v>187</v>
      </c>
      <c r="B208" s="57">
        <v>1</v>
      </c>
      <c r="C208" s="60">
        <f>IF(B208&lt;&gt;1,"",SUM(B$160:B208))</f>
        <v>49</v>
      </c>
      <c r="D208" s="57">
        <v>49</v>
      </c>
      <c r="F208" s="64" t="str">
        <f>IF(COUNTA($A$160:$A208)&lt;=MAX(DS_States_Sequence)=TRUE,LOOKUP(COUNTA($A$160:$A208),DS_States_Sequence,DS_States_DataNames),"")</f>
        <v>WA</v>
      </c>
    </row>
    <row r="209" spans="1:31">
      <c r="A209" s="59" t="s">
        <v>188</v>
      </c>
      <c r="B209" s="57">
        <v>1</v>
      </c>
      <c r="C209" s="60">
        <f>IF(B209&lt;&gt;1,"",SUM(B$160:B209))</f>
        <v>50</v>
      </c>
      <c r="D209" s="57">
        <v>50</v>
      </c>
      <c r="F209" s="64" t="str">
        <f>IF(COUNTA($A$160:$A209)&lt;=MAX(DS_States_Sequence)=TRUE,LOOKUP(COUNTA($A$160:$A209),DS_States_Sequence,DS_States_DataNames),"")</f>
        <v>WI</v>
      </c>
    </row>
    <row r="210" spans="1:31">
      <c r="A210" s="59" t="s">
        <v>189</v>
      </c>
      <c r="B210" s="57">
        <v>1</v>
      </c>
      <c r="C210" s="60">
        <f>IF(B210&lt;&gt;1,"",SUM(B$160:B210))</f>
        <v>51</v>
      </c>
      <c r="D210" s="57">
        <v>51</v>
      </c>
      <c r="F210" s="64" t="str">
        <f>IF(COUNTA($A$160:$A210)&lt;=MAX(DS_States_Sequence)=TRUE,LOOKUP(COUNTA($A$160:$A210),DS_States_Sequence,DS_States_DataNames),"")</f>
        <v>WV</v>
      </c>
    </row>
    <row r="211" spans="1:31">
      <c r="A211" s="65" t="s">
        <v>190</v>
      </c>
      <c r="B211" s="57">
        <v>1</v>
      </c>
      <c r="C211" s="60">
        <f>IF(B211&lt;&gt;1,"",SUM(B$160:B211))</f>
        <v>52</v>
      </c>
      <c r="D211" s="57">
        <v>52</v>
      </c>
      <c r="F211" s="64" t="str">
        <f>IF(COUNTA($A$160:$A211)&lt;=MAX(DS_States_Sequence)=TRUE,LOOKUP(COUNTA($A$160:$A211),DS_States_Sequence,DS_States_DataNames),"")</f>
        <v>WY</v>
      </c>
      <c r="I211" s="806" t="s">
        <v>1680</v>
      </c>
      <c r="J211" s="806" t="s">
        <v>1682</v>
      </c>
      <c r="K211" s="806"/>
      <c r="L211" s="806" t="s">
        <v>1684</v>
      </c>
    </row>
    <row r="212" spans="1:31">
      <c r="I212" s="806" t="s">
        <v>1681</v>
      </c>
      <c r="J212" s="806" t="s">
        <v>1683</v>
      </c>
      <c r="K212" s="806"/>
      <c r="L212" s="806" t="s">
        <v>1685</v>
      </c>
    </row>
    <row r="213" spans="1:31" ht="15" thickBot="1">
      <c r="A213" s="531" t="s">
        <v>191</v>
      </c>
      <c r="E213" s="483" t="s">
        <v>192</v>
      </c>
      <c r="G213" s="111" t="s">
        <v>1510</v>
      </c>
      <c r="H213" s="111" t="s">
        <v>1511</v>
      </c>
    </row>
    <row r="214" spans="1:31">
      <c r="A214" s="36" t="s">
        <v>193</v>
      </c>
      <c r="E214" s="2336">
        <v>2</v>
      </c>
      <c r="G214" s="413" t="str">
        <f>IF(GCExp_MinDevs_List_Count&gt;=DS_GCExp_MinDevs_List,"Yes","No, "&amp;TEXT(DS_GCExp_MinDevs_List-GCExp_MinDevs_List_Count,"0")&amp;" shy")</f>
        <v>No, 2 shy</v>
      </c>
      <c r="H214" s="1036">
        <f>IF('General Information'!K194=0,0,IF(AND('General Information'!M201&gt;0,GCExp_Name_of_Development_1&lt;&gt;"",'General Information'!M202&gt;0,GCExp_Location_of_Development_1&lt;&gt;"",'General Information'!M203&gt;0,GCExp_Selected_Program_1&lt;&gt;"&lt;select one&gt;",'General Information'!M204&gt;0,GCExp_Other_Program_1&lt;&gt;"",'General Information'!M205&gt;0,GCExp_Development_Total_Units_1&lt;&gt;"",'General Information'!M206&gt;0,GCExp_Davis_Bacon_1&lt;&gt;"&lt;select one&gt;"),1,0)+IF(AND('General Information'!Q212&gt;0,GCExp_Name_of_Development_2&lt;&gt;"",'General Information'!Q213&gt;0,GCExp_Location_of_Development_2&lt;&gt;"",'General Information'!Q214&gt;0,GCExp_Selected_Program_2&lt;&gt;"&lt;select one&gt;",'General Information'!Q215&gt;0,GCExp_Other_Program_2&lt;&gt;"",'General Information'!Q216&gt;0,GCExp_Development_Total_Units_2&lt;&gt;"",'General Information'!Q217&gt;0,GCExp_Davis_Bacon_2&lt;&gt;"&lt;select one&gt;"),1,0))</f>
        <v>0</v>
      </c>
      <c r="I214" s="943" t="s">
        <v>1504</v>
      </c>
      <c r="J214" s="36"/>
      <c r="K214" s="36"/>
      <c r="L214" s="36"/>
      <c r="M214" s="36"/>
      <c r="N214" s="332" t="s">
        <v>1677</v>
      </c>
    </row>
    <row r="215" spans="1:31">
      <c r="A215" s="1040" t="s">
        <v>1503</v>
      </c>
      <c r="B215" s="2989">
        <f>ROUNDUP(DS_GCExp_MinUnits_Percent*Total_Units,0)</f>
        <v>0</v>
      </c>
      <c r="C215" s="2989"/>
      <c r="D215" s="2989"/>
      <c r="E215" s="2338">
        <v>0.5</v>
      </c>
      <c r="G215" s="414" t="str">
        <f>IF(GCExp_MinUnits_Percent_Count&gt;=DS_GCExp_MinDevs_List,"Yes","No, "&amp;TEXT(DS_GCExp_MinDevs_List-GCExp_MinUnits_Percent_Count,"0")&amp;" shy")</f>
        <v>No, 2 shy</v>
      </c>
      <c r="H215" s="1049">
        <f>IF(OR('General Information'!K194=0,N(Total_Units)=0),0,IF(AND('General Information'!M205&gt;0,GCExp_Development_Total_Units_1&gt;=DS_GCExp_MinUnits_Percent_ActualUnits,GCExp_Development_Total_Units_1&lt;&gt;""),1,0)+IF(AND('General Information'!Q216&gt;0,GCExp_Development_Total_Units_2&gt;=DS_GCExp_MinUnits_Percent_ActualUnits,GCExp_Development_Total_Units_2&lt;&gt;""),1,0))</f>
        <v>0</v>
      </c>
      <c r="I215" s="1039" t="s">
        <v>1505</v>
      </c>
      <c r="J215" s="1040"/>
      <c r="K215" s="1040"/>
      <c r="L215" s="1040"/>
      <c r="M215" s="1040"/>
      <c r="N215" s="332" t="s">
        <v>1678</v>
      </c>
    </row>
    <row r="216" spans="1:31" ht="15" thickBot="1">
      <c r="A216" s="1050" t="s">
        <v>194</v>
      </c>
      <c r="E216" s="2340">
        <v>1</v>
      </c>
      <c r="G216" s="414" t="str">
        <f>IF(GCExp_MinDevs_DB_Count&gt;=DS_GCExp_MinDevs_DB,"Yes","No, "&amp;TEXT(DS_GCExp_MinDevs_DB-GCExp_MinDevs_DB_Count,"0")&amp;" shy")</f>
        <v>No, 1 shy</v>
      </c>
      <c r="H216" s="1051">
        <f>IF('General Information'!K194=0,0,IF(AND('General Information'!M206&gt;0,GCExp_Davis_Bacon_1="Yes"),1,0)+IF(AND('General Information'!Q217&gt;0,GCExp_Davis_Bacon_2="Yes"),1,0))</f>
        <v>0</v>
      </c>
      <c r="I216" s="1052" t="s">
        <v>1506</v>
      </c>
      <c r="J216" s="1050"/>
      <c r="K216" s="1050"/>
      <c r="L216" s="1050"/>
      <c r="M216" s="1050"/>
      <c r="N216" s="332" t="s">
        <v>1679</v>
      </c>
    </row>
    <row r="217" spans="1:31">
      <c r="N217" s="6" t="s">
        <v>1694</v>
      </c>
    </row>
    <row r="218" spans="1:31" ht="18" customHeight="1" thickBot="1">
      <c r="A218" s="531" t="s">
        <v>195</v>
      </c>
      <c r="B218" s="6"/>
      <c r="C218" s="6"/>
      <c r="D218" s="6"/>
      <c r="E218" s="483" t="s">
        <v>196</v>
      </c>
      <c r="F218" s="243" t="s">
        <v>41</v>
      </c>
      <c r="I218" s="97" t="str">
        <f>"List-"&amp;IF('General Information'!L258=0,"NS","S"&amp;IF(IFERROR(FIND("All",Q219),0)&gt;0,"Y","N"&amp;IF(Q219="","B","F")))</f>
        <v>List-SNB</v>
      </c>
      <c r="J218" s="97" t="str">
        <f>"List-"&amp;IF('General Information'!L269=0,"NS","S"&amp;IF(IFERROR(FIND("All",Q220),0)&gt;0,"Y","N"&amp;IF(Q220="","B","F")))</f>
        <v>List-SNB</v>
      </c>
      <c r="Q218" s="5" t="s">
        <v>2455</v>
      </c>
    </row>
    <row r="219" spans="1:31">
      <c r="A219" s="36" t="s">
        <v>197</v>
      </c>
      <c r="D219" s="812"/>
      <c r="E219" s="2336">
        <v>2</v>
      </c>
      <c r="F219" s="85" t="s">
        <v>198</v>
      </c>
      <c r="G219" s="413" t="str">
        <f>IF(MgmtExp_MinDevs_List_Count&gt;=DS_MgmtExp_MinDevs_List,"Yes","No, "&amp;TEXT(DS_MgmtExp_MinDevs_List-MgmtExp_MinDevs_List_Count,"0")&amp;" shy")</f>
        <v>No, 2 shy</v>
      </c>
      <c r="H219" s="1036">
        <f>IF(AND('General Information'!L258&gt;0,IF('General Information'!R259&gt;0,MgmtExp_first_Dev_name&lt;&gt;"",TRUE),IF('General Information'!R260&gt;0,MgmtExp_first_location&lt;&gt;"",TRUE),IF('General Information'!R261&gt;0,MgmtExp_first_currently_or_formerly_managed&lt;&gt;"&lt;select one&gt;",TRUE),IF('General Information'!R265&gt;0,MgmtExp_first_units&lt;&gt;"",TRUE),IF('General Information'!R266&gt;0,MgmtExp_first_time&lt;&gt;"",TRUE)),1,0)+IF(AND('General Information'!L269&gt;0,IF('General Information'!R270&gt;0,MgmtExp_second_Dev_name&lt;&gt;"",TRUE),IF('General Information'!R271&gt;0,MgmtExp_second_location&lt;&gt;"",TRUE),IF('General Information'!R272&gt;0,MgmtExp_second_currently_or_formerly_managed&lt;&gt;"&lt;select one&gt;",TRUE),IF('General Information'!R276&gt;0,MgmtExp_second_units&lt;&gt;"",TRUE),IF('General Information'!R277&gt;0,MgmtExp_second_time&lt;&gt;"",TRUE)),1,0)</f>
        <v>0</v>
      </c>
      <c r="I219" s="943" t="s">
        <v>1504</v>
      </c>
      <c r="J219" s="36"/>
      <c r="K219" s="36"/>
      <c r="L219" s="36"/>
      <c r="M219" s="36"/>
      <c r="N219" s="1021"/>
      <c r="O219" s="1021"/>
      <c r="P219" s="1022" t="s">
        <v>1668</v>
      </c>
      <c r="Q219" s="1013" t="str">
        <f>IF('General Information'!L258=0,"",IF(AND(IF('General Information'!R259&gt;0,MgmtExp_first_Dev_name&lt;&gt;"",TRUE),IF('General Information'!R260&gt;0,MgmtExp_first_location&lt;&gt;"",TRUE),IF('General Information'!R261&gt;0,MgmtExp_first_currently_or_formerly_managed&lt;&gt;"&lt;select one&gt;",TRUE),IF('General Information'!R266&gt;0,MgmtExp_first_time&lt;&gt;"",TRUE),IF('General Information'!R265&gt;0,MgmtExp_first_units&lt;&gt;"",TRUE)),"All required data fields have entries. ",IF(AND(IF('General Information'!R259&gt;0,MgmtExp_first_Dev_name="",TRUE),IF('General Information'!R260&gt;0,MgmtExp_first_location="",TRUE),IF('General Information'!R261&gt;0,MgmtExp_first_currently_or_formerly_managed="&lt;select one&gt;",TRUE),IF('General Information'!R266&gt;0,MgmtExp_first_time="",TRUE),IF('General Information'!R265&gt;0,MgmtExp_first_units="",TRUE)),"",IF(IF(AND('General Information'!R259&gt;0,MgmtExp_first_Dev_name=""),1,0)+IF(AND('General Information'!R260&gt;0,MgmtExp_first_location=""),1,0)+IF(AND('General Information'!R261&gt;0,MgmtExp_first_currently_or_formerly_managed="&lt;select one&gt;"),1,0)+IF(AND('General Information'!R266&gt;0,MgmtExp_first_time=""),1,0)+IF(AND('General Information'!R265&gt;0,MgmtExp_first_units=""),1,0)&gt;1,"Fields for the above development are","A field for the above development is")&amp;" missing. ")))</f>
        <v/>
      </c>
      <c r="R219" s="365"/>
      <c r="S219" s="365"/>
      <c r="T219" s="365"/>
      <c r="U219" s="365"/>
      <c r="V219" s="365"/>
      <c r="W219" s="365"/>
      <c r="X219" s="365"/>
      <c r="Y219" s="365"/>
      <c r="Z219" s="365"/>
      <c r="AA219" s="365"/>
      <c r="AB219" s="365"/>
      <c r="AC219" s="365"/>
      <c r="AD219" s="365"/>
      <c r="AE219" s="365"/>
    </row>
    <row r="220" spans="1:31">
      <c r="A220" s="1033" t="s">
        <v>1502</v>
      </c>
      <c r="D220" s="812"/>
      <c r="E220" s="2337">
        <v>2</v>
      </c>
      <c r="F220" s="85" t="s">
        <v>200</v>
      </c>
      <c r="G220" s="413" t="str">
        <f>IF(MgmtExp_MinDevs_time_Count&gt;=DS_MgmtExp_MinDevs_List,"Yes","No, "&amp;TEXT(DS_MgmtExp_MinDevs_List-MgmtExp_MinDevs_time_Count,"0")&amp;" shy")</f>
        <v>No, 2 shy</v>
      </c>
      <c r="H220" s="1035">
        <f>IF(AND('General Information'!L258&gt;0,'General Information'!R266&gt;0,MgmtExp_first_time&gt;=DS_MgmtExp_Yrs,MgmtExp_first_time&lt;&gt;""),1,0)+IF(AND('General Information'!L269&gt;0,'General Information'!R277&gt;0,MgmtExp_second_time&gt;=DS_MgmtExp_Yrs,MgmtExp_second_time&lt;&gt;""),1,0)</f>
        <v>0</v>
      </c>
      <c r="I220" s="1032" t="s">
        <v>1509</v>
      </c>
      <c r="J220" s="1033"/>
      <c r="K220" s="1033"/>
      <c r="L220" s="1033"/>
      <c r="M220" s="1033"/>
      <c r="N220" s="1018"/>
      <c r="O220" s="1018"/>
      <c r="P220" s="1042" t="s">
        <v>1669</v>
      </c>
      <c r="Q220" s="1015" t="str">
        <f>IF('General Information'!L269=0,"",IF(AND(IF('General Information'!R270&gt;0,MgmtExp_second_Dev_name&lt;&gt;"",TRUE),IF('General Information'!R271&gt;0,MgmtExp_second_location&lt;&gt;"",TRUE),IF('General Information'!R272&gt;0,MgmtExp_second_currently_or_formerly_managed&lt;&gt;"&lt;select one&gt;",TRUE),IF('General Information'!R277&gt;0,MgmtExp_second_time&lt;&gt;"",TRUE),IF('General Information'!R276&gt;0,MgmtExp_second_units&lt;&gt;"",TRUE)),"All required data fields have entries. ",IF(AND(IF('General Information'!R270&gt;0,MgmtExp_second_Dev_name="",TRUE),IF('General Information'!R271&gt;0,MgmtExp_second_location="",TRUE),IF('General Information'!R272&gt;0,MgmtExp_second_currently_or_formerly_managed="&lt;select one&gt;",TRUE),IF('General Information'!R277&gt;0,MgmtExp_second_time="",TRUE),IF('General Information'!R276&gt;0,MgmtExp_second_units="",TRUE)),"",IF(IF(AND('General Information'!R270&gt;0,MgmtExp_second_Dev_name=""),1,0)+IF(AND('General Information'!R271&gt;0,MgmtExp_second_location=""),1,0)+IF(AND('General Information'!R272&gt;0,MgmtExp_second_currently_or_formerly_managed="&lt;select one&gt;"),1,0)+IF(AND('General Information'!R277&gt;0,MgmtExp_second_time=""),1,0)+IF(AND('General Information'!R276&gt;0,MgmtExp_second_units=""),1,0)&gt;1,"Fields for the above development are","A field for the above development is")&amp;" missing. ")))</f>
        <v/>
      </c>
      <c r="R220" s="368"/>
      <c r="S220" s="368"/>
      <c r="T220" s="368"/>
      <c r="U220" s="368"/>
      <c r="V220" s="368"/>
      <c r="W220" s="368"/>
      <c r="X220" s="368"/>
      <c r="Y220" s="368"/>
      <c r="Z220" s="368"/>
      <c r="AA220" s="368"/>
      <c r="AB220" s="368"/>
      <c r="AC220" s="368"/>
      <c r="AD220" s="368"/>
      <c r="AE220" s="368"/>
    </row>
    <row r="221" spans="1:31">
      <c r="A221" s="1040" t="s">
        <v>199</v>
      </c>
      <c r="B221" s="2989">
        <f>ROUNDUP(N(Total_Units)*DS_MgmtExp_MinUnits_Percent,0)</f>
        <v>0</v>
      </c>
      <c r="C221" s="2989"/>
      <c r="D221" s="2989"/>
      <c r="E221" s="2338">
        <v>0.5</v>
      </c>
      <c r="I221" s="1034" t="str">
        <f>"Years-"&amp;IF('General Information'!L258=0,"NS","S"&amp;IF(AND('General Information'!R266&gt;0,N(DS_MgmtExp_Yrs)&lt;=N(MgmtExp_first_time),MgmtExp_first_time&lt;&gt;""),"Y","N"&amp;IF(Q222="","B","F")))</f>
        <v>Years-SNB</v>
      </c>
      <c r="J221" s="1047" t="str">
        <f>"Years-"&amp;IF('General Information'!L269=0,"NS","S"&amp;IF(AND('General Information'!R277&gt;0,N(DS_MgmtExp_Yrs)&lt;=N(MgmtExp_second_time),MgmtExp_second_time&lt;&gt;""),"Y","N"&amp;IF(Q223="","B","F")))</f>
        <v>Years-SNB</v>
      </c>
      <c r="N221" s="1018"/>
      <c r="O221" s="1018"/>
      <c r="P221" s="1042" t="s">
        <v>1671</v>
      </c>
      <c r="Q221" s="1025" t="str">
        <f>IF(AND(MgmtExp_MinDevs_List_Count&gt;0,DS_MgmtExp_MinDevs_List&gt;0),"The minimum number of "&amp;TEXT(DS_MgmtExp_MinDevs_List,"0")&amp;" development"&amp;IF(DS_MgmtExp_MinDevs_List&gt;1,"s","")&amp;" to be listed is "&amp;IF(MgmtExp_MinDevs_List_Count&gt;=DS_MgmtExp_MinDevs_List,"","NOT ")&amp;"met.","")</f>
        <v/>
      </c>
      <c r="R221" s="366"/>
      <c r="S221" s="366"/>
      <c r="T221" s="366"/>
      <c r="U221" s="366"/>
      <c r="V221" s="366"/>
      <c r="W221" s="366"/>
      <c r="X221" s="366"/>
      <c r="Y221" s="366"/>
      <c r="Z221" s="366"/>
      <c r="AA221" s="366"/>
      <c r="AB221" s="366"/>
      <c r="AC221" s="366"/>
      <c r="AD221" s="366"/>
      <c r="AE221" s="366"/>
    </row>
    <row r="222" spans="1:31" ht="15" thickBot="1">
      <c r="A222" s="1040" t="str">
        <f>"# of developments needed with minimum total # of units (%) criteria (1"&amp;IF(DS_MgmtExp_MinDevs_List=2," or 2"&amp;")")</f>
        <v># of developments needed with minimum total # of units (%) criteria (1 or 2)</v>
      </c>
      <c r="D222" s="812"/>
      <c r="E222" s="2339">
        <v>1</v>
      </c>
      <c r="G222" s="413" t="str" cm="1">
        <f t="array" ref="G222">IF(MgmtExp_MinUnits_Count&gt;=DS_MgmtExp_MinUnits_Devs,"Yes","No, "&amp;TEXT(DS_MgmtExp_MinUnits_Devs-MgmtExp_MinUnits_Count,"0")&amp;" shy")</f>
        <v>No, 1 shy</v>
      </c>
      <c r="H222" s="1038">
        <f>IF(N(Total_Units)=0,0,IF(AND('General Information'!L258&gt;0,'General Information'!R265&gt;0,MgmtExp_first_units&gt;=DS_MgmtExp_MinUnits,MgmtExp_first_units&lt;&gt;""),1,0)+IF(AND('General Information'!L269&gt;0,'General Information'!R276&gt;0,MgmtExp_second_units&gt;=DS_MgmtExp_MinUnits,MgmtExp_second_units&lt;&gt;""),1,0))</f>
        <v>0</v>
      </c>
      <c r="I222" s="1039" t="s">
        <v>1508</v>
      </c>
      <c r="J222" s="1040"/>
      <c r="K222" s="1040"/>
      <c r="L222" s="1040"/>
      <c r="M222" s="1040"/>
      <c r="N222" s="991"/>
      <c r="O222" s="991"/>
      <c r="P222" s="1043" t="s">
        <v>1672</v>
      </c>
      <c r="Q222" s="1013" t="str">
        <f>IF(MgmtExp_first_time="","",IF(N(MgmtExp_first_time)&lt;DS_MgmtExp_Yrs,"The # of years indicated is less than the RFA minimum of "&amp;TEXT(DS_MgmtExp_Yrs,"0")&amp;" years. ","The # of years indicated meets the minimum RFA requirement. "))</f>
        <v/>
      </c>
      <c r="R222" s="365"/>
      <c r="S222" s="365"/>
      <c r="T222" s="365"/>
      <c r="U222" s="365"/>
      <c r="V222" s="365"/>
      <c r="W222" s="365"/>
      <c r="X222" s="365"/>
      <c r="Y222" s="365"/>
      <c r="Z222" s="365"/>
      <c r="AA222" s="365"/>
      <c r="AB222" s="365"/>
      <c r="AC222" s="365"/>
      <c r="AD222" s="365"/>
      <c r="AE222" s="365"/>
    </row>
    <row r="223" spans="1:31">
      <c r="I223" s="1041" t="str" cm="1">
        <f t="array" ref="I223">"Units-"&amp;IF('General Information'!L258=0,"NS","S"&amp;IF(AND('General Information'!R265&gt;0,DS_MgmtExp_MinUnits_Devs&gt;0,DS_MgmtExp_MinUnits&lt;=MgmtExp_first_units),"Y","N"&amp;IF(Q225="","B","F")))</f>
        <v>Units-SY</v>
      </c>
      <c r="J223" s="1048" t="str" cm="1">
        <f t="array" ref="J223">"Units-"&amp;IF('General Information'!L269=0,"NS","S"&amp;IF(AND('General Information'!R276&gt;0,DS_MgmtExp_MinUnits_Devs&gt;0,DS_MgmtExp_MinUnits&lt;=MgmtExp_second_units),"Y","N"&amp;IF(Q226="","B","F")))</f>
        <v>Units-SY</v>
      </c>
      <c r="N223" s="991"/>
      <c r="O223" s="991"/>
      <c r="P223" s="1019" t="s">
        <v>1673</v>
      </c>
      <c r="Q223" s="1015" t="str">
        <f>IF(MgmtExp_second_time="","",IF(N(MgmtExp_second_time)&lt;DS_MgmtExp_Yrs,"The # of years indicated is less than the RFA minimum of "&amp;TEXT(DS_MgmtExp_Yrs,"0")&amp;" years. ","The # of years indicated meets the minimum RFA requirement. "))</f>
        <v/>
      </c>
      <c r="R223" s="368"/>
      <c r="S223" s="368"/>
      <c r="T223" s="368"/>
      <c r="U223" s="368"/>
      <c r="V223" s="368"/>
      <c r="W223" s="368"/>
      <c r="X223" s="368"/>
      <c r="Y223" s="368"/>
      <c r="Z223" s="368"/>
      <c r="AA223" s="368"/>
      <c r="AB223" s="368"/>
      <c r="AC223" s="368"/>
      <c r="AD223" s="368"/>
      <c r="AE223" s="368"/>
    </row>
    <row r="224" spans="1:31">
      <c r="G224" s="6" t="s">
        <v>1676</v>
      </c>
      <c r="H224" s="6"/>
      <c r="I224" s="6"/>
      <c r="J224" s="6"/>
      <c r="K224" s="6"/>
      <c r="L224" s="1053">
        <f>IF('General Information'!L258=0,0,1)+IF('General Information'!L269=0,0,1)</f>
        <v>2</v>
      </c>
      <c r="N224" s="991"/>
      <c r="O224" s="991"/>
      <c r="P224" s="1019" t="s">
        <v>1674</v>
      </c>
      <c r="Q224" s="1046"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66"/>
      <c r="S224" s="366"/>
      <c r="T224" s="366"/>
      <c r="U224" s="366"/>
      <c r="V224" s="366"/>
      <c r="W224" s="366"/>
      <c r="X224" s="366"/>
      <c r="Y224" s="366"/>
      <c r="Z224" s="366"/>
      <c r="AA224" s="366"/>
      <c r="AB224" s="366"/>
      <c r="AC224" s="366"/>
      <c r="AD224" s="366"/>
      <c r="AE224" s="366"/>
    </row>
    <row r="225" spans="1:31" ht="18" customHeight="1" thickBot="1">
      <c r="A225" s="531" t="s">
        <v>201</v>
      </c>
      <c r="B225" s="6"/>
      <c r="C225" s="6"/>
      <c r="D225" s="6"/>
      <c r="E225" s="483" t="s">
        <v>202</v>
      </c>
      <c r="F225" s="6" t="s">
        <v>1942</v>
      </c>
      <c r="L225" s="823"/>
      <c r="N225" s="1045"/>
      <c r="O225" s="1045"/>
      <c r="P225" s="1044" t="s">
        <v>1658</v>
      </c>
      <c r="Q225" s="1013" t="str">
        <f>IF(OR(MgmtExp_first_units="",'General Information'!R265=0),"",IF(N(Total_Units)=0,"Please enter Total Units at Section 4.A.6.(a). ","The indicated units "&amp;IF(DS_MgmtExp_MinUnits&gt;N(MgmtExp_first_units),"do NOT ","")&amp;"meet the minimum requirement ("&amp;TEXT(DS_MgmtExp_MinUnits_Percent,"0%")&amp;" x "&amp;TEXT(Total_Units,"0")&amp;" = "&amp;TEXT(DS_MgmtExp_MinUnits,"0")&amp;"). "))</f>
        <v/>
      </c>
      <c r="R225" s="365"/>
      <c r="S225" s="365"/>
      <c r="T225" s="365"/>
      <c r="U225" s="365"/>
      <c r="V225" s="365"/>
      <c r="W225" s="365"/>
      <c r="X225" s="365"/>
      <c r="Y225" s="365"/>
      <c r="Z225" s="365"/>
      <c r="AA225" s="365"/>
      <c r="AB225" s="365"/>
      <c r="AC225" s="365"/>
      <c r="AD225" s="365"/>
      <c r="AE225" s="365"/>
    </row>
    <row r="226" spans="1:31" ht="15" thickBot="1">
      <c r="A226" t="s">
        <v>203</v>
      </c>
      <c r="F226" s="1273" t="str">
        <f>IF(Authorized_Contact_Middle_Initial&lt;&gt;"",CONCATENATE(Authorized_Contact_First_Name," ",Authorized_Contact_Middle_Initial," ",Authorized_Contact_Last_Name),CONCATENATE(Authorized_Contact_First_Name," ",Authorized_Contact_Last_Name))</f>
        <v xml:space="preserve"> </v>
      </c>
      <c r="N226" s="1045"/>
      <c r="O226" s="1045"/>
      <c r="P226" s="1044" t="s">
        <v>1660</v>
      </c>
      <c r="Q226" s="1015" t="str">
        <f>IF(OR(MgmtExp_second_units="",'General Information'!R276=0),"",IF(N(Total_Units)=0,"Please enter Total Units at Section 4.A.6.(a). ","The indicated units "&amp;IF(DS_MgmtExp_MinUnits&gt;N(MgmtExp_second_units),"do NOT ","")&amp;"meet the minimum requirement ("&amp;TEXT(DS_MgmtExp_MinUnits_Percent,"0%")&amp;" x "&amp;TEXT(Total_Units,"0")&amp;" = "&amp;TEXT(DS_MgmtExp_MinUnits,"0")&amp;"). "))</f>
        <v/>
      </c>
      <c r="R226" s="368"/>
      <c r="S226" s="368"/>
      <c r="T226" s="368"/>
      <c r="U226" s="368"/>
      <c r="V226" s="368"/>
      <c r="W226" s="368"/>
      <c r="X226" s="368"/>
      <c r="Y226" s="368"/>
      <c r="Z226" s="368"/>
      <c r="AA226" s="368"/>
      <c r="AB226" s="368"/>
      <c r="AC226" s="368"/>
      <c r="AD226" s="368"/>
      <c r="AE226" s="368"/>
    </row>
    <row r="227" spans="1:31" ht="15" thickBot="1">
      <c r="A227" t="s">
        <v>204</v>
      </c>
      <c r="F227" s="1274" t="str">
        <f>IF(Operational_Contact_Middle_Initial&lt;&gt;"",CONCATENATE(Operational_Contact_First_Name," ",Operational_Contact_Middle_Initial," ",Operational_Contact_Last_Name),CONCATENATE(Operational_Contact_First_Name," ",Operational_Contact_Last_Name))</f>
        <v xml:space="preserve"> </v>
      </c>
      <c r="N227" s="1045"/>
      <c r="O227" s="1045"/>
      <c r="P227" s="1044" t="s">
        <v>1664</v>
      </c>
      <c r="Q227" s="1025"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66"/>
      <c r="S227" s="366"/>
      <c r="T227" s="366"/>
      <c r="U227" s="366"/>
      <c r="V227" s="366"/>
      <c r="W227" s="366"/>
      <c r="X227" s="366"/>
      <c r="Y227" s="366"/>
      <c r="Z227" s="366"/>
      <c r="AA227" s="366"/>
      <c r="AB227" s="366"/>
      <c r="AC227" s="366"/>
      <c r="AD227" s="366"/>
      <c r="AE227" s="366"/>
    </row>
    <row r="228" spans="1:31">
      <c r="B228" s="1505" t="str">
        <f>$B$18</f>
        <v>Do NOT delete any formulas in any "Sequence" column (column C), it's controlled by column B entries (1 to use, 0 or delete to not use). [warning not repeated every instance]</v>
      </c>
      <c r="C228" s="1505"/>
      <c r="D228" s="1505"/>
      <c r="E228" s="1505"/>
      <c r="F228" s="1505"/>
      <c r="G228" s="1506"/>
      <c r="H228" s="1506"/>
      <c r="I228" s="1505"/>
    </row>
    <row r="229" spans="1:31" ht="18" customHeight="1">
      <c r="A229" s="531" t="s">
        <v>205</v>
      </c>
      <c r="B229" s="532" t="s">
        <v>37</v>
      </c>
      <c r="C229" s="532" t="s">
        <v>38</v>
      </c>
      <c r="D229" s="532" t="s">
        <v>39</v>
      </c>
      <c r="E229" s="483" t="s">
        <v>206</v>
      </c>
      <c r="F229" s="64" t="s">
        <v>41</v>
      </c>
    </row>
    <row r="230" spans="1:31">
      <c r="A230" s="59" t="s">
        <v>208</v>
      </c>
      <c r="B230" s="57">
        <v>0</v>
      </c>
      <c r="C230" s="60" t="str">
        <f>IF(B230&lt;&gt;1,"",SUM(B$230:B230))</f>
        <v/>
      </c>
      <c r="D230" s="57">
        <v>1</v>
      </c>
      <c r="F230" s="64" t="str">
        <f>IF(COUNTA($A$230:$A230)&lt;=MAX(DS_DevCat_Sequence)=TRUE,LOOKUP(COUNTA($A$230:$A230),DS_DevCat_Sequence,DS_DevCat_DataNames),"")</f>
        <v>Acquisition and Rehabilitation</v>
      </c>
    </row>
    <row r="231" spans="1:31">
      <c r="A231" s="61" t="s">
        <v>212</v>
      </c>
      <c r="B231" s="58">
        <v>1</v>
      </c>
      <c r="C231" s="60">
        <f>IF(B231&lt;&gt;1,"",SUM(B$230:B231))</f>
        <v>1</v>
      </c>
      <c r="D231" s="58">
        <v>2</v>
      </c>
      <c r="F231" s="64" t="str">
        <f>IF(COUNTA($A$230:$A231)&lt;=MAX(DS_DevCat_Sequence)=TRUE,LOOKUP(COUNTA($A$230:$A231),DS_DevCat_Sequence,DS_DevCat_DataNames),"")</f>
        <v>Rehabilitation</v>
      </c>
    </row>
    <row r="232" spans="1:31">
      <c r="A232" s="61" t="s">
        <v>210</v>
      </c>
      <c r="B232" s="58">
        <v>1</v>
      </c>
      <c r="C232" s="60">
        <f>IF(B232&lt;&gt;1,"",SUM(B$230:B232))</f>
        <v>2</v>
      </c>
      <c r="D232" s="58">
        <v>3</v>
      </c>
      <c r="F232" s="64" t="str">
        <f>IF(COUNTA($A$230:$A232)&lt;=MAX(DS_DevCat_Sequence)=TRUE,LOOKUP(COUNTA($A$230:$A232),DS_DevCat_Sequence,DS_DevCat_DataNames),"")</f>
        <v/>
      </c>
    </row>
    <row r="233" spans="1:31">
      <c r="A233" s="61" t="s">
        <v>648</v>
      </c>
      <c r="B233" s="58">
        <v>0</v>
      </c>
      <c r="C233" s="60" t="str">
        <f>IF(B233&lt;&gt;1,"",SUM(B$230:B233))</f>
        <v/>
      </c>
      <c r="D233" s="58">
        <v>4</v>
      </c>
      <c r="F233" s="64" t="str">
        <f>IF(COUNTA($A$230:$A233)&lt;=MAX(DS_DevCat_Sequence)=TRUE,LOOKUP(COUNTA($A$230:$A233),DS_DevCat_Sequence,DS_DevCat_DataNames),"")</f>
        <v/>
      </c>
    </row>
    <row r="234" spans="1:31">
      <c r="A234" s="61" t="s">
        <v>648</v>
      </c>
      <c r="B234" s="58">
        <v>0</v>
      </c>
      <c r="C234" s="60" t="str">
        <f>IF(B234&lt;&gt;1,"",SUM(B$230:B234))</f>
        <v/>
      </c>
      <c r="D234" s="58">
        <v>5</v>
      </c>
      <c r="E234" s="528" t="s">
        <v>215</v>
      </c>
      <c r="F234" s="64" t="str">
        <f>IF(COUNTA($A$230:$A234)&lt;=MAX(DS_DevCat_Sequence)=TRUE,LOOKUP(COUNTA($A$230:$A234),DS_DevCat_Sequence,DS_DevCat_DataNames),"")</f>
        <v/>
      </c>
    </row>
    <row r="235" spans="1:31">
      <c r="A235" s="61" t="s">
        <v>648</v>
      </c>
      <c r="B235" s="58">
        <v>0</v>
      </c>
      <c r="C235" s="60" t="str">
        <f>IF(B235&lt;&gt;1,"",SUM(B$230:B235))</f>
        <v/>
      </c>
      <c r="D235" s="58">
        <v>6</v>
      </c>
      <c r="E235" s="823">
        <f>IF(OR(IFERROR(MATCH("Rehabilitation",DS_DevCat_DDMenu,0),0)&gt;0,IFERROR(MATCH("Acquisition and Rehabilitation",DS_DevCat_DDMenu,0),0)&gt;0),2,0)</f>
        <v>2</v>
      </c>
      <c r="F235" s="64" t="str">
        <f>IF(COUNTA($A$230:$A235)&lt;=MAX(DS_DevCat_Sequence)=TRUE,LOOKUP(COUNTA($A$230:$A235),DS_DevCat_Sequence,DS_DevCat_DataNames),"")</f>
        <v/>
      </c>
    </row>
    <row r="236" spans="1:31">
      <c r="A236" s="61" t="s">
        <v>648</v>
      </c>
      <c r="B236" s="58">
        <v>0</v>
      </c>
      <c r="C236" s="60" t="str">
        <f>IF(B236&lt;&gt;1,"",SUM(B$230:B236))</f>
        <v/>
      </c>
      <c r="D236" s="58">
        <v>7</v>
      </c>
      <c r="E236" s="823">
        <f>IF(IFERROR(MATCH("Preservation (w/ or w/o Acquisition)",DS_DevSubCat_DDMenu,0),0)&gt;0,1,0)</f>
        <v>1</v>
      </c>
      <c r="F236" s="64" t="str">
        <f>IF(COUNTA($A$230:$A236)&lt;=MAX(DS_DevCat_Sequence)=TRUE,LOOKUP(COUNTA($A$230:$A236),DS_DevCat_Sequence,DS_DevCat_DataNames),"")</f>
        <v/>
      </c>
    </row>
    <row r="237" spans="1:31">
      <c r="A237" s="24"/>
      <c r="G237" s="5" t="s">
        <v>207</v>
      </c>
    </row>
    <row r="238" spans="1:31">
      <c r="A238" s="531" t="s">
        <v>1794</v>
      </c>
      <c r="B238" s="532" t="s">
        <v>37</v>
      </c>
      <c r="C238" s="532" t="s">
        <v>38</v>
      </c>
      <c r="D238" s="532" t="s">
        <v>39</v>
      </c>
      <c r="E238" s="483" t="s">
        <v>1543</v>
      </c>
      <c r="F238" s="64" t="s">
        <v>41</v>
      </c>
      <c r="G238" s="857" t="s">
        <v>209</v>
      </c>
      <c r="H238" s="6" t="s">
        <v>1626</v>
      </c>
    </row>
    <row r="239" spans="1:31">
      <c r="A239" s="61" t="s">
        <v>1795</v>
      </c>
      <c r="B239" s="57">
        <v>0</v>
      </c>
      <c r="C239" s="60" t="str">
        <f>IF(B239&lt;&gt;1,"",SUM(B$239:B239))</f>
        <v/>
      </c>
      <c r="D239" s="57">
        <v>1</v>
      </c>
      <c r="F239" s="64" t="str">
        <f>IF(COUNTA($A$239:$A239)&lt;=MAX(DS_DevSubCat_Sequence)=TRUE,LOOKUP(COUNTA($A$239:$A239),DS_DevSubCat_Sequence,DS_DevSubCat_DataNames),"")</f>
        <v>Preservation (w/ or w/o Acquisition)</v>
      </c>
      <c r="G239" s="857" t="s">
        <v>211</v>
      </c>
      <c r="H239" s="6" t="str" cm="1">
        <f t="array" aca="1" ref="H239"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40" spans="1:31">
      <c r="A240" s="61" t="s">
        <v>1796</v>
      </c>
      <c r="B240" s="58">
        <v>1</v>
      </c>
      <c r="C240" s="60">
        <f>IF(B240&lt;&gt;1,"",SUM(B$239:B240))</f>
        <v>1</v>
      </c>
      <c r="D240" s="58">
        <v>2</v>
      </c>
      <c r="F240" s="64" t="str">
        <f>IF(COUNTA($A$239:$A240)&lt;=MAX(DS_DevSubCat_Sequence)=TRUE,LOOKUP(COUNTA($A$239:$A240),DS_DevSubCat_Sequence,DS_DevSubCat_DataNames),"")</f>
        <v/>
      </c>
      <c r="G240" s="857" t="s">
        <v>213</v>
      </c>
      <c r="H240" s="6" t="str">
        <f>"Applicant still needs to complete the Unit Characteristics chart in Section 4.A.4."&amp;'Proposed Development Info'!A133&amp;". below. "</f>
        <v xml:space="preserve">Applicant still needs to complete the Unit Characteristics chart in Section 4.A.4.e. below. </v>
      </c>
    </row>
    <row r="241" spans="1:8">
      <c r="A241" s="61" t="s">
        <v>648</v>
      </c>
      <c r="B241" s="58"/>
      <c r="C241" s="921" t="str">
        <f>IF(B241&lt;&gt;1,"",SUM(B$239:B241))</f>
        <v/>
      </c>
      <c r="D241" s="58">
        <v>3</v>
      </c>
      <c r="F241" s="64" t="str">
        <f>IF(COUNTA($A$239:$A241)&lt;=MAX(DS_DevSubCat_Sequence)=TRUE,LOOKUP(COUNTA($A$239:$A241),DS_DevSubCat_Sequence,DS_DevSubCat_DataNames),"")</f>
        <v/>
      </c>
      <c r="G241" s="857" t="s">
        <v>214</v>
      </c>
      <c r="H241" t="str" cm="1">
        <f t="array" aca="1" ref="H241"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42" spans="1:8">
      <c r="G242" s="857" t="s">
        <v>216</v>
      </c>
      <c r="H242" t="str" cm="1">
        <f t="array" aca="1" ref="H242"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43" spans="1:8">
      <c r="A243" s="531" t="s">
        <v>218</v>
      </c>
      <c r="E243" s="483" t="s">
        <v>1543</v>
      </c>
      <c r="G243" s="857" t="s">
        <v>217</v>
      </c>
      <c r="H243" t="str" cm="1">
        <f t="array" aca="1" ref="H243"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44" spans="1:8">
      <c r="A244" s="671" t="s">
        <v>1632</v>
      </c>
      <c r="B244" s="2988" t="s">
        <v>280</v>
      </c>
      <c r="C244" s="2988"/>
      <c r="D244" s="1624" t="s">
        <v>2415</v>
      </c>
      <c r="E244" s="969"/>
      <c r="F244" s="273"/>
      <c r="G244" s="857" t="s">
        <v>1562</v>
      </c>
      <c r="H244" t="str">
        <f>"Existing Development was not built at least "&amp;TEXT(IF(Development_SubCategory="Redevelopment (w/ or w/o Acquisition)",DS_Redev_MinAge,IF(In_Corporation_Portfolio="Yes",DS_Preserv_MinAge_Per_RFA,DS_Preserv_MinAge_Per_Rule)),"0")&amp;" years ago. "</f>
        <v xml:space="preserve">Existing Development was not built at least 20 years ago. </v>
      </c>
    </row>
    <row r="245" spans="1:8">
      <c r="A245" s="15" t="s">
        <v>1910</v>
      </c>
      <c r="B245" s="3048" t="s">
        <v>436</v>
      </c>
      <c r="C245" s="3048"/>
      <c r="G245" s="857" t="s">
        <v>1563</v>
      </c>
      <c r="H245"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or ACC. </v>
      </c>
    </row>
    <row r="246" spans="1:8" ht="15" thickBot="1">
      <c r="A246" s="15"/>
      <c r="B246" s="494"/>
      <c r="C246" s="494"/>
      <c r="G246" s="857" t="s">
        <v>1564</v>
      </c>
      <c r="H246" t="s">
        <v>1590</v>
      </c>
    </row>
    <row r="247" spans="1:8">
      <c r="A247" s="2260"/>
      <c r="B247" s="2261"/>
      <c r="C247" s="2262" t="s">
        <v>2895</v>
      </c>
      <c r="D247" s="3049" t="str">
        <f>IF(AND(OR(Development_Category="Rehabilitation",Development_Category="Acquisition and Rehabilitation"),Development_SubCategory&lt;&gt;"Preservation (w/ or w/o Acquisition)"),Data1!B316,IF(AND(OR(Development_Category="Rehabilitation",Development_Category="Acquisition and Rehabilitation"),Development_SubCategory="Preservation (w/ or w/o Acquisition)"),Data1!B283,IF(AND(Development_Category="New Construction",Development_SubCategory="Redevelopment (w/ or w/o Acquisition)"),Data1!B267,Data1!B259)))</f>
        <v>NA</v>
      </c>
      <c r="E247" s="3050"/>
      <c r="G247" s="857" t="s">
        <v>1565</v>
      </c>
      <c r="H247"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8" spans="1:8">
      <c r="A248" s="2263"/>
      <c r="C248" s="849" t="s">
        <v>3350</v>
      </c>
      <c r="D248" s="2993" t="str">
        <f>IF(Data1!B$244="Yes",IF(AND(OR(Development_Category="Rehabilitation",Development_Category="Acquisition and Rehabilitation"),Development_SubCategory&lt;&gt;"Preservation (w/ or w/o Acquisition)"),Data1!B326,IF(AND(OR(Development_Category="Rehabilitation",Development_Category="Acquisition and Rehabilitation"),Development_SubCategory="Preservation (w/ or w/o Acquisition)"),Data1!B294,"NA")),"NA")</f>
        <v>NA</v>
      </c>
      <c r="E248" s="2994"/>
      <c r="G248" s="857" t="s">
        <v>1589</v>
      </c>
      <c r="H248" t="s">
        <v>1591</v>
      </c>
    </row>
    <row r="249" spans="1:8">
      <c r="A249" s="2263"/>
      <c r="C249" s="849" t="s">
        <v>3351</v>
      </c>
      <c r="D249" s="2993" t="str">
        <f>IF(Data1!B$244="Yes",IF(AND(OR(Development_Category="Rehabilitation",Development_Category="Acquisition and Rehabilitation"),Development_SubCategory&lt;&gt;"Preservation (w/ or w/o Acquisition)"),Data1!B333,IF(AND(OR(Development_Category="Rehabilitation",Development_Category="Acquisition and Rehabilitation"),Development_SubCategory="Preservation (w/ or w/o Acquisition)"),Data1!B301,"NA")),"NA")</f>
        <v>NA</v>
      </c>
      <c r="E249" s="2994"/>
      <c r="G249" s="857" t="s">
        <v>1625</v>
      </c>
      <c r="H249" t="str">
        <f>"The Applicant did not indicate it or the General Partner or managing member of the Applicant meets the Rule definition of a Non-Profit at Section 4.A.3.a.("&amp;'General Information'!B77&amp;"). "</f>
        <v xml:space="preserve">The Applicant did not indicate it or the General Partner or managing member of the Applicant meets the Rule definition of a Non-Profit at Section 4.A.3.a.(3). </v>
      </c>
    </row>
    <row r="250" spans="1:8">
      <c r="A250" s="2263"/>
      <c r="C250" s="849" t="s">
        <v>2896</v>
      </c>
      <c r="D250" s="2993" t="str">
        <f>IF(Data1!B$244="Yes",IF(AND(OR(Development_Category="Rehabilitation",Development_Category="Acquisition and Rehabilitation"),Development_SubCategory&lt;&gt;"Preservation (w/ or w/o Acquisition)"),Data1!B337,IF(AND(OR(Development_Category="Rehabilitation",Development_Category="Acquisition and Rehabilitation"),Development_SubCategory="Preservation (w/ or w/o Acquisition)"),Data1!B305,"NA")),"NA")</f>
        <v>NA</v>
      </c>
      <c r="E250" s="2994"/>
      <c r="G250" s="857" t="s">
        <v>1639</v>
      </c>
      <c r="H250"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Acquisition)"),B256,IF(AND(Development_Category="New Construction",Development_SubCategory="Redevelopment (w/ or w/o Acquisition)"),B264,IF(AND(OR(Development_Category="Rehabilitation",Development_Category="Acquisition and Rehabilitation"),Development_SubCategory="Preservation (w/ or w/o Acquisition)"),B280,B313)))*100,"0")&amp;" percent of total units. "</f>
        <v xml:space="preserve">The Development did not demonsrate the requirement to have the number of new construction units be less than 50 percent of total units. </v>
      </c>
    </row>
    <row r="251" spans="1:8">
      <c r="A251" s="2263"/>
      <c r="C251" s="849" t="s">
        <v>2897</v>
      </c>
      <c r="D251" s="2993" t="str">
        <f>IF(DS_NC_NP_Req="Yes",IF(NonProfit_Applicant="Yes","Yes","No"),"NA")</f>
        <v>NA</v>
      </c>
      <c r="E251" s="2994"/>
      <c r="G251" s="857" t="s">
        <v>1802</v>
      </c>
      <c r="H251" t="str" cm="1">
        <f t="array" aca="1" ref="H251"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52" spans="1:8" ht="15" thickBot="1">
      <c r="A252" s="2264"/>
      <c r="B252" s="684"/>
      <c r="C252" s="1497" t="str">
        <f>"Does the proposed Development meet the criteria for the selected Dev. Category "&amp;IF(Development_SubCategory&lt;&gt;"&lt;select one&gt;","and Dev. Subcategory ","")</f>
        <v xml:space="preserve">Does the proposed Development meet the criteria for the selected Dev. Category and Dev. Subcategory </v>
      </c>
      <c r="D252" s="3004"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244="Yes",AND(OR(Data1!B318="Yes",Data1!B318="NA"),OR(Data1!B319="Yes",Data1!B319="NA"),OR(Data1!B320="Yes",Data1!B320="NA")),TRUE),IF(AND(RIGHT(Excel_RFA_Number,3)="104",AND(OR(Development_Category="Rehabilitation",Development_Category="Acquisition and Rehabilitation"),Development_SubCategory&lt;&gt;"Preservation (w/ or w/o Acquisition)")),AND(Data1!B318="Yes",Data1!B319="Yes",Data1!B320="Yes"),TRUE)),"Yes","No"),IF(AND(Development_Category="New Construction",Development_SubCategory&lt;&gt;"Redevelopment (w/ or w/o Acquisition)"),IF(AND(DevCat_Test_Units="Yes",IF(DS_NC_NP_Req="Yes",IF('General Information'!D79="Yes","Yes","No"),"Yes")="Yes"),"Yes","No"),IF(AND(Development_Category="New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NA</v>
      </c>
      <c r="E252" s="3005"/>
      <c r="G252" s="857" t="s">
        <v>1803</v>
      </c>
      <c r="H252" t="s">
        <v>1804</v>
      </c>
    </row>
    <row r="253" spans="1:8">
      <c r="C253" s="849"/>
      <c r="D253" s="733"/>
      <c r="E253" s="733"/>
      <c r="G253" s="857" t="s">
        <v>2234</v>
      </c>
      <c r="H253" s="24" t="str" cm="1">
        <f t="array" aca="1" ref="H253" ca="1">"Applicant still needs to enter data in the "&amp;IF(Minimum_SetAside_per_Sec_42=DS_IRS_AIT,DS_IRS_AIT,IF(Minimum_SetAside_per_Sec_42=DS_IRS_2050,"20% @ 50%","40% @ 60%"))&amp;" Total Set-Aside Breakdown Chart at Section 4.A.6."&amp;'Units, Set-Asides, Bldgs'!A32&amp;"."&amp;IF(Minimum_SetAside_per_Sec_42="&lt;select one&gt;","",'Units, Set-Asides, Bldgs'!B45&amp;"("&amp;IF(Minimum_SetAside_per_Sec_42=DS_IRS_AIT,'Units, Set-Asides, Bldgs'!C68,'Units, Set-Asides, Bldgs'!C47)&amp;").")&amp;"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54" spans="1:8" ht="14.65" customHeight="1">
      <c r="A254" s="398" t="s">
        <v>1983</v>
      </c>
      <c r="E254" s="2997" t="str">
        <f>IF(AND(Development_Category="New Construction",Development_SubCategory&lt;&gt;"Redevelopment (w/ or w/o Acquisition)"),"Does proposed development meet the Development Category criteria? "&amp;IF(AND(Data1!B259="Yes",IF(DS_NC_NP_Req="Yes",NonProfit_Applicant="Yes",TRUE)),"Yes","No"),"Development Category does not match (with no SubCategory).")</f>
        <v>Development Category does not match (with no SubCategory).</v>
      </c>
      <c r="F254" s="2997"/>
      <c r="G254" s="857" t="s">
        <v>1966</v>
      </c>
      <c r="H254" t="s">
        <v>2240</v>
      </c>
    </row>
    <row r="255" spans="1:8" ht="14.65" customHeight="1">
      <c r="A255" s="6" t="s">
        <v>1623</v>
      </c>
      <c r="B255" s="3047" t="s">
        <v>436</v>
      </c>
      <c r="C255" s="3047"/>
      <c r="D255" s="308" t="s">
        <v>1624</v>
      </c>
      <c r="G255" s="857" t="s">
        <v>1967</v>
      </c>
      <c r="H255" t="s">
        <v>2241</v>
      </c>
    </row>
    <row r="256" spans="1:8" ht="14.65" customHeight="1">
      <c r="A256" s="272" t="s">
        <v>219</v>
      </c>
      <c r="B256" s="2996">
        <f>IF(DS_100Percent_NC_Units="Yes",1,50%)</f>
        <v>0.5</v>
      </c>
      <c r="C256" s="2996"/>
      <c r="D256" s="272" t="s">
        <v>1843</v>
      </c>
      <c r="E256" s="267"/>
      <c r="F256" s="267"/>
      <c r="G256" s="857" t="s">
        <v>1968</v>
      </c>
      <c r="H256"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7" spans="1:38">
      <c r="A257" s="272" t="s">
        <v>220</v>
      </c>
      <c r="B257" s="2995">
        <f>SUM('Proposed Development Info'!H$138:H$146)</f>
        <v>0</v>
      </c>
      <c r="C257" s="2995"/>
      <c r="D257" s="272"/>
      <c r="E257" s="267"/>
      <c r="F257" s="267"/>
      <c r="G257" s="857"/>
    </row>
    <row r="258" spans="1:38">
      <c r="A258" s="273" t="s">
        <v>221</v>
      </c>
      <c r="B258" s="297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(1) (2)</v>
      </c>
      <c r="C258" s="2973"/>
      <c r="D258" s="273" t="s">
        <v>222</v>
      </c>
      <c r="E258" s="251"/>
      <c r="F258" s="251"/>
      <c r="G258" s="65" t="str">
        <f ca="1">IF($B258="(1) (2) (3)",$H$238&amp;" "&amp;$H$239&amp;" "&amp;$H$240,IF($B258="(1) (2)",$H$238&amp;" "&amp;$H$239,IF($B258="(1) (3)",$H$238&amp;" "&amp;$H$240,IF($B258="(2) (3)",$H$239&amp;" "&amp;$H$240,IF($B258="(1)",$H$238,IF($B258="(2)",$H$239,IF($B258="(3)",$H$240,"")))))))</f>
        <v xml:space="preserve">Applicant still needs to select a Development Category at Section 4.A.4.b.(1) above.  Applicant still needs to enter Total Units in Section 4.A.6.a. in the 'Units, Set-Asides, Bldgs' worksheet tab. </v>
      </c>
      <c r="H258" s="85"/>
      <c r="I258" s="85"/>
      <c r="J258" s="85"/>
      <c r="K258" s="85"/>
      <c r="L258" s="85"/>
      <c r="M258" s="85"/>
      <c r="N258" s="85"/>
      <c r="O258" s="85"/>
      <c r="P258" s="85"/>
      <c r="Q258" s="85"/>
      <c r="R258" s="85"/>
      <c r="S258" s="85"/>
      <c r="T258" s="85"/>
      <c r="U258" s="85"/>
      <c r="V258" s="85"/>
      <c r="W258" s="85"/>
      <c r="X258" s="85"/>
      <c r="Y258" s="85"/>
      <c r="Z258" s="85"/>
      <c r="AA258" s="85"/>
    </row>
    <row r="259" spans="1:38">
      <c r="A259" s="671" t="s">
        <v>223</v>
      </c>
      <c r="B259" s="3036" t="str">
        <f>IF(Development_Category="New Construction",IF(LEFT(Data1!B258,1)="(","TBD",IF(Data1!B258&gt;=B256,"Yes","No")),"NA")</f>
        <v>NA</v>
      </c>
      <c r="C259" s="3036"/>
      <c r="D259" s="273" t="s">
        <v>1965</v>
      </c>
      <c r="E259" s="251"/>
      <c r="F259" s="251"/>
    </row>
    <row r="260" spans="1:38" ht="25.15" customHeight="1" thickBot="1">
      <c r="A260" s="682" t="s">
        <v>1982</v>
      </c>
      <c r="B260" s="3013" t="str">
        <f>IF(Development_Category="&lt;select one&gt;","(1)","")&amp;IF(Total_Units=0,"(2)","")&amp;IF(OR(total_units_in_unit_desc_chart=0,total_units_in_unit_desc_chart&lt;Total_Units),"(3)","")&amp;IF(AND(DS_NC_NP_Req="Yes",NonProfit_Applicant&lt;&gt;"Yes"),"(12)","")&amp;IF(B259="No","(13)","")</f>
        <v>(1)(2)(3)</v>
      </c>
      <c r="C260" s="3001"/>
      <c r="D260" s="683" t="s">
        <v>1963</v>
      </c>
      <c r="E260" s="1007"/>
      <c r="F260" s="1007"/>
      <c r="G260" s="685" t="str">
        <f ca="1">IF(IFERROR(FIND("(1)",$B260)&gt;0,0)&gt;0,DS_DevCat_Note_01,"")&amp;IF(IFERROR(FIND("(2)",$B260)&gt;0,0)&gt;0,DS_DevCat_Note_02,"")&amp;IF(IFERROR(FIND("(3)",$B260)&gt;0,0)&gt;0,DS_DevCat_Note_03,"")&amp;IF(IFERROR(FIND("(4)",$B260)&gt;0,0)&gt;0,DS_DevCat_Note_04,"")&amp;IF(IFERROR(FIND("(5)",$B260)&gt;0,0)&gt;0,DS_DevCat_Note_05,"")&amp;IF(IFERROR(FIND("(6)",$B260)&gt;0,0)&gt;0,DS_DevCat_Note_06,"")&amp;IF(IFERROR(FIND("(7)",$B260)&gt;0,0)&gt;0,DS_DevCat_Note_07,"")&amp;IF(IFERROR(FIND("(8)",$B260)&gt;0,0)&gt;0,DS_DevCat_Note_08,"")&amp;IF(IFERROR(FIND("(9)",$B260)&gt;0,0)&gt;0,DS_DevCat_Note_09,"")&amp;IF(IFERROR(FIND("(10)",$B260)&gt;0,0)&gt;0,DS_DevCat_Note_10,"")&amp;IF(IFERROR(FIND("(11)",$B260)&gt;0,0)&gt;0,DS_DevCat_Note_11,"")&amp;IF(IFERROR(FIND("(12)",$B260)&gt;0,0)&gt;0,DS_DevCat_Note_12,"")&amp;IF(IFERROR(FIND("(13)",$B260)&gt;0,0)&gt;0,DS_DevCat_Note_13,"")&amp;IF(AND(IFERROR(FIND("(1)",$B260)&gt;0,0)=0,IFERROR(FIND("(2)",$B260)&gt;0,0)=0,IFERROR(FIND("(3)",$B260)&gt;0,0)=0,IFERROR(FIND("(4)",$B260)&gt;0,0)=0,IFERROR(FIND("(5)",$B260)&gt;0,0)=0,IFERROR(FIND("(6)",$B260)&gt;0,0)=0,IFERROR(FIND("(7)",$B260)&gt;0,0)=0,IFERROR(FIND("(8)",$B260)&gt;0,0)=0,IFERROR(FIND("(9)",$B260)&gt;0,0)=0,IFERROR(FIND("(10)",$B260)&gt;0,0)=0,IFERROR(FIND("(11)",$B260)&gt;0,0)=0,IFERROR(FIND("(12)",$B260)&gt;0,0)=0,IFERROR(FIND("(13)",$B260)&gt;0,0)=0),"This area intentionally left blank.","")</f>
        <v xml:space="preserve">Applicant still needs to select a Development Category at Section 4.A.4.b.(1) above. Applicant still needs to enter Total Units in Section 4.A.6.a. in the 'Units, Set-Asides, Bldgs' worksheet tab. Applicant still needs to complete the Unit Characteristics chart in Section 4.A.4.e. below. </v>
      </c>
      <c r="H260" s="686"/>
      <c r="I260" s="686"/>
      <c r="J260" s="686"/>
      <c r="K260" s="686"/>
      <c r="L260" s="686"/>
      <c r="M260" s="686"/>
      <c r="N260" s="686"/>
      <c r="O260" s="686"/>
      <c r="P260" s="686"/>
      <c r="Q260" s="686"/>
      <c r="R260" s="686"/>
      <c r="S260" s="686"/>
      <c r="T260" s="686"/>
      <c r="U260" s="686"/>
      <c r="V260" s="686"/>
      <c r="W260" s="686"/>
      <c r="X260" s="686"/>
      <c r="Y260" s="686"/>
      <c r="Z260" s="686"/>
      <c r="AA260" s="686"/>
      <c r="AB260" s="686"/>
      <c r="AC260" s="686"/>
      <c r="AD260" s="686"/>
      <c r="AE260" s="686"/>
      <c r="AF260" s="686"/>
      <c r="AG260" s="686"/>
      <c r="AH260" s="686"/>
      <c r="AI260" s="686"/>
      <c r="AJ260" s="686"/>
      <c r="AK260" s="686"/>
      <c r="AL260" s="686"/>
    </row>
    <row r="261" spans="1:38">
      <c r="B261" s="264"/>
      <c r="G261" s="6"/>
    </row>
    <row r="262" spans="1:38" ht="15" customHeight="1">
      <c r="A262" s="411" t="s">
        <v>1980</v>
      </c>
      <c r="B262" s="264"/>
      <c r="G262" s="6" t="s">
        <v>2006</v>
      </c>
    </row>
    <row r="263" spans="1:38" ht="15" customHeight="1">
      <c r="A263" s="1299" t="s">
        <v>1988</v>
      </c>
      <c r="B263" s="2949" t="str">
        <f>IF(OR(Development_Category="&lt;select one&gt;",Development_Category="",Development_SubCategory="&lt;select one&gt;"),"NA",IF(AND(Development_Category="New Construction",Development_SubCategory="Redevelopment (w/ or w/o Acquisition)"),"Yes","No"))</f>
        <v>NA</v>
      </c>
      <c r="C263" s="2949"/>
      <c r="D263" s="1295"/>
      <c r="E263" s="2968" t="str">
        <f>IF(AND(Development_Category="New Construction",Development_SubCategory="Redevelopment (w/ or w/o Acquisition)"),"Does proposed development meet the Development Category criteria? "&amp;IF(AND(Data1!B283="Yes",Data1!B284="Yes",Data1!B286="Yes",Data1!B287="Yes",Data1!B288="Yes",IF(DS_HC_Funding="Yes",AND(Data1!B294="Yes",Data1!B301="Yes"),TRUE),Data1!B305="Yes"),"Yes","No"),"Development Category/SubCategory does not match.")</f>
        <v>Development Category/SubCategory does not match.</v>
      </c>
      <c r="F263" s="2969"/>
      <c r="G263" s="3006"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63" s="3007"/>
      <c r="I263" s="3007"/>
      <c r="J263" s="3007"/>
      <c r="K263" s="3007"/>
      <c r="L263" s="3007"/>
      <c r="M263" s="3007"/>
      <c r="N263" s="3007"/>
      <c r="O263" s="3007"/>
      <c r="P263" s="715" t="s">
        <v>41</v>
      </c>
      <c r="Q263" s="1308"/>
      <c r="R263" s="1306">
        <f>IF(OR(AND(Development_Category="New Construction",Development_SubCategory="Redevelopment (w/ or w/o Acquisition)"),AND(OR(Development_Category="Rehabilitation",Development_Category="Acquisition and Rehabilitation"),Development_SubCategory="Preservation (w/ or w/o Acquisition)")),U263,0)</f>
        <v>0</v>
      </c>
      <c r="S263" s="1309">
        <f>IF(AND(R263&lt;&gt;0,AND(Data1!K263&lt;&gt;"&lt;select one&gt;",Data1!K263&lt;&gt;"")),R263,0)</f>
        <v>0</v>
      </c>
      <c r="T263" s="1310" t="str">
        <f>CHOOSE(R263+1,"Not to be included in this RFA","A REQUIRED input field for this RFA","An OPTIONAL input field for this RFA")</f>
        <v>Not to be included in this RFA</v>
      </c>
      <c r="U263" s="677">
        <v>0</v>
      </c>
    </row>
    <row r="264" spans="1:38">
      <c r="A264" s="272" t="s">
        <v>219</v>
      </c>
      <c r="B264" s="2996">
        <f>IF(DS_100Percent_NC_Units="Yes",1,50%)</f>
        <v>0.5</v>
      </c>
      <c r="C264" s="2996"/>
      <c r="D264" s="272" t="s">
        <v>1843</v>
      </c>
      <c r="E264" s="267"/>
      <c r="F264" s="267"/>
      <c r="G264" s="3008"/>
      <c r="H264" s="3009"/>
      <c r="I264" s="3009"/>
      <c r="J264" s="3009"/>
      <c r="K264" s="3009"/>
      <c r="L264" s="3009"/>
      <c r="M264" s="3009"/>
      <c r="N264" s="3009"/>
      <c r="O264" s="3009"/>
      <c r="P264" s="1307"/>
      <c r="Q264" s="1307"/>
      <c r="R264" s="1311"/>
      <c r="S264" s="1311"/>
      <c r="T264" s="1311"/>
      <c r="U264" s="1312"/>
    </row>
    <row r="265" spans="1:38">
      <c r="A265" s="273" t="s">
        <v>220</v>
      </c>
      <c r="B265" s="2992">
        <f>SUM(All_NC_Units)</f>
        <v>0</v>
      </c>
      <c r="C265" s="2992"/>
      <c r="D265" s="273"/>
      <c r="E265" s="251"/>
      <c r="F265" s="251"/>
      <c r="G265" s="6"/>
    </row>
    <row r="266" spans="1:38">
      <c r="A266" s="273" t="s">
        <v>221</v>
      </c>
      <c r="B266" s="297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(1) (2)</v>
      </c>
      <c r="C266" s="2973"/>
      <c r="D266" s="273" t="s">
        <v>222</v>
      </c>
      <c r="E266" s="251"/>
      <c r="F266" s="251"/>
      <c r="G266" s="65" t="str">
        <f ca="1">IF($B266="(1) (2) (3)",$H$238&amp;" "&amp;$H$239&amp;" "&amp;$H$240,IF($B266="(1) (2)",$H$238&amp;" "&amp;$H$239,IF($B266="(1) (3)",$H$238&amp;" "&amp;$H$240,IF($B266="(2) (3)",$H$239&amp;" "&amp;$H$240,IF($B266="(1)",$H$238,IF($B266="(2)",$H$239,IF($B266="(3)",$H$240,"")))))))</f>
        <v xml:space="preserve">Applicant still needs to select a Development Category at Section 4.A.4.b.(1) above.  Applicant still needs to enter Total Units in Section 4.A.6.a. in the 'Units, Set-Asides, Bldgs' worksheet tab. </v>
      </c>
      <c r="H266" s="85"/>
      <c r="I266" s="85"/>
      <c r="J266" s="85"/>
      <c r="K266" s="85"/>
      <c r="L266" s="85"/>
      <c r="M266" s="85"/>
      <c r="N266" s="85"/>
      <c r="O266" s="85"/>
      <c r="P266" s="85"/>
      <c r="Q266" s="85"/>
      <c r="R266" s="85"/>
      <c r="S266" s="85"/>
      <c r="T266" s="85"/>
      <c r="U266" s="85"/>
      <c r="V266" s="85"/>
      <c r="W266" s="85"/>
      <c r="X266" s="85"/>
      <c r="Y266" s="85"/>
      <c r="Z266" s="85"/>
      <c r="AA266" s="85"/>
    </row>
    <row r="267" spans="1:38">
      <c r="A267" s="1283" t="s">
        <v>1971</v>
      </c>
      <c r="B267" s="3014" t="str">
        <f>IF(AND(Development_Category="New Construction",Development_SubCategory="Redevelopment (w/ or w/o Acquisition)"),IF(LEFT(Data1!B266,1)="(","TBD",IF(Data1!B266&gt;=B264,"Yes","No")),"NA")</f>
        <v>NA</v>
      </c>
      <c r="C267" s="3014"/>
      <c r="D267" s="1290" t="s">
        <v>1965</v>
      </c>
      <c r="E267" s="1284"/>
      <c r="F267" s="1284"/>
      <c r="G267" s="6"/>
      <c r="H267" s="6"/>
      <c r="L267" s="6"/>
      <c r="M267" s="6"/>
    </row>
    <row r="268" spans="1:38">
      <c r="A268" s="1298" t="s">
        <v>1990</v>
      </c>
      <c r="B268" s="2991" t="str">
        <f ca="1">IF(N(Age_of_Development)&gt;=DS_Redev_MinAge,"Yes","No")</f>
        <v>No</v>
      </c>
      <c r="C268" s="2991"/>
      <c r="D268" s="2228">
        <v>7</v>
      </c>
      <c r="E268" s="1288">
        <v>30</v>
      </c>
      <c r="F268" s="1289" t="str">
        <f>"Minimum Age for Redevelopment  Rule Chapter 67-"&amp;IF(Funding!M$310=1,"21","48")&amp;".002(99)(a)&amp;(b): Definition of Redevelopment"</f>
        <v>Minimum Age for Redevelopment  Rule Chapter 67-21.002(99)(a)&amp;(b): Definition of Redevelopment</v>
      </c>
    </row>
    <row r="269" spans="1:38">
      <c r="A269" s="272" t="s">
        <v>1975</v>
      </c>
      <c r="B269" s="2990" t="str">
        <f>IF(AND(Development_Category="New Construction",Development_SubCategory="Redevelopment (w/ or w/o Acquisition)"),IF(OR(AND(DevCat_Redev_FinProgram&lt;&gt;"&lt;select one&gt;",DevCat_Redev_FinProgram&lt;&gt;""),N(PBRA_Units_Currently)&gt;0),"Yes","No"),"NA")</f>
        <v>NA</v>
      </c>
      <c r="C269" s="2990"/>
      <c r="D269" s="1285" t="str">
        <f>"8   Rule Chapter 67-"&amp;IF(Funding!M$310=1,"21","48")&amp;".002(99)(a): Definition of Redevelopment"</f>
        <v>8   Rule Chapter 67-21.002(99)(a): Definition of Redevelopment</v>
      </c>
      <c r="E269" s="1021"/>
      <c r="F269" s="1021"/>
    </row>
    <row r="270" spans="1:38">
      <c r="A270" s="1290" t="s">
        <v>1976</v>
      </c>
      <c r="B270" s="3040" t="str">
        <f>IF(AND(Development_Category="New Construction",Development_SubCategory="Redevelopment (w/ or w/o Acquisition)"),IF(N(PBRA_Units_Currently)&lt;=N(PBRA_Units_Future),"Yes","No"),"NA")</f>
        <v>NA</v>
      </c>
      <c r="C270" s="3040"/>
      <c r="D270" s="1291" t="str">
        <f>"9   Rule Chapter 67-"&amp;IF(Funding!M$310=1,"21","48")&amp;".002(99)(a): Definition of Redevelopment"</f>
        <v>9   Rule Chapter 67-21.002(99)(a): Definition of Redevelopment</v>
      </c>
      <c r="E270" s="1292"/>
      <c r="F270" s="1020"/>
      <c r="G270" s="15"/>
      <c r="H270" s="6"/>
      <c r="L270" s="6"/>
      <c r="M270" s="6"/>
    </row>
    <row r="271" spans="1:38">
      <c r="A271" s="272" t="s">
        <v>1977</v>
      </c>
      <c r="B271" s="2990" t="str">
        <f>IF(AND(Development_Category="New Construction",Development_SubCategory="Redevelopment (w/ or w/o Acquisition)"),IF(AND(DevCat_PHA_DOT_or_Rehabbed="Yes",N(ACC_Units_Currently)&gt;0),"Yes","No"),"NA")</f>
        <v>NA</v>
      </c>
      <c r="C271" s="2990"/>
      <c r="D271" s="1286" t="str">
        <f>"10 Rule Chapter 67-"&amp;IF(Funding!M$310=1,"21","48")&amp;".002(99)(b): Definition of Redevelopment"</f>
        <v>10 Rule Chapter 67-21.002(99)(b): Definition of Redevelopment</v>
      </c>
      <c r="E271" s="1020"/>
      <c r="G271" s="6"/>
      <c r="H271" s="6"/>
      <c r="L271" s="6"/>
      <c r="M271" s="6"/>
    </row>
    <row r="272" spans="1:38">
      <c r="A272" s="1290" t="s">
        <v>1978</v>
      </c>
      <c r="B272" s="3043" t="str">
        <f>IF(AND(Development_Category="New Construction",Development_SubCategory="Redevelopment (w/ or w/o Acquisition)"),IF(N(PBRA_Units_Future)+N(ACC_Units_Future)&gt;=ROUNDUP(25%*Total_Units,0),"Yes","No"),"NA")</f>
        <v>NA</v>
      </c>
      <c r="C272" s="3043"/>
      <c r="D272" s="1293" t="str">
        <f>"11 Rule Chapter 67-"&amp;IF(Funding!M$310=1,"21","48")&amp;".002(99)(b): Definition of Redevelopment"</f>
        <v>11 Rule Chapter 67-21.002(99)(b): Definition of Redevelopment</v>
      </c>
      <c r="E272" s="1294"/>
      <c r="F272" s="1294"/>
      <c r="G272" s="6"/>
      <c r="H272" s="6"/>
      <c r="L272" s="6"/>
      <c r="M272" s="6"/>
    </row>
    <row r="273" spans="1:38">
      <c r="A273" s="6" t="s">
        <v>2876</v>
      </c>
      <c r="B273" s="2232"/>
      <c r="C273" s="2232"/>
      <c r="D273" s="1032"/>
      <c r="E273" s="1033"/>
      <c r="F273" s="1033"/>
      <c r="G273" s="6"/>
      <c r="H273" s="6"/>
      <c r="L273" s="6"/>
      <c r="M273" s="6"/>
    </row>
    <row r="274" spans="1:38">
      <c r="A274" s="1287" t="str">
        <f>"     (e) Meets the Rule Definition (67-"&amp;IF(Funding!M$310=1,"21","48")&amp;".002) for Redevelopment &amp; NC?"</f>
        <v xml:space="preserve">     (e) Meets the Rule Definition (67-21.002) for Redevelopment &amp; NC?</v>
      </c>
      <c r="B274" s="3041" t="str">
        <f>IF(AND(Development_Category="New Construction",Development_SubCategory="Redevelopment (w/ or w/o Acquisition)"),IF(AND(Data1!B268="Yes",OR(AND(Data1!B269="Yes",Data1!B270="Yes"),AND(Data1!B271="Yes",Data1!B272="Yes"))),"Yes","No"),"Did not select Redevelopment")</f>
        <v>Did not select Redevelopment</v>
      </c>
      <c r="C274" s="3042"/>
      <c r="D274" s="3042"/>
      <c r="E274" s="3042"/>
      <c r="F274" s="314" t="s">
        <v>1806</v>
      </c>
      <c r="G274" s="6"/>
      <c r="H274" s="6"/>
      <c r="L274" s="6"/>
      <c r="M274" s="6"/>
    </row>
    <row r="275" spans="1:38">
      <c r="A275" s="673" t="s">
        <v>1979</v>
      </c>
      <c r="B275" s="2950" t="str">
        <f>IF(AND(Development_Category="New Construction",Development_SubCategory="Redevelopment (w/ or w/o Acquisition)"),IF(DS_DevCat_Qual_Letter="Yes","Yes",IF(DS_DevCat_Qual_Letter="No","No","Need Response at 4.A.4.b.(2)")),"NA")</f>
        <v>NA</v>
      </c>
      <c r="C275" s="2950"/>
      <c r="D275" s="2950"/>
      <c r="E275" s="2950"/>
      <c r="F275" s="273" t="str">
        <f>"(Question is not active. Temporarily placed at cell "&amp;CHAR(64+COLUMN(G263))&amp;ROW(G263)&amp;" )"</f>
        <v>(Question is not active. Temporarily placed at cell G263 )</v>
      </c>
      <c r="G275" s="6"/>
      <c r="H275" s="6"/>
      <c r="L275" s="6"/>
      <c r="M275" s="6"/>
    </row>
    <row r="276" spans="1:38" ht="25.15" customHeight="1" thickBot="1">
      <c r="A276" s="682" t="s">
        <v>1981</v>
      </c>
      <c r="B276" s="3001" t="str" cm="1">
        <f t="array" aca="1" ref="B276"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267="No","(13)","")</f>
        <v>(1)(2)(7)(8)(10)</v>
      </c>
      <c r="C276" s="3001"/>
      <c r="D276" s="683" t="s">
        <v>1964</v>
      </c>
      <c r="E276" s="684"/>
      <c r="F276" s="986"/>
      <c r="G276" s="685" t="str">
        <f ca="1">IF(IFERROR(FIND("(1)",$B276)&gt;0,0)&gt;0,DS_DevCat_Note_01,"")&amp;IF(IFERROR(FIND("(2)",$B276)&gt;0,0)&gt;0,DS_DevCat_Note_02,"")&amp;IF(IFERROR(FIND("(3)",$B276)&gt;0,0)&gt;0,DS_DevCat_Note_03,"")&amp;IF(IFERROR(FIND("(4)",$B276)&gt;0,0)&gt;0,DS_DevCat_Note_04,"")&amp;IF(IFERROR(FIND("(5)",$B276)&gt;0,0)&gt;0,DS_DevCat_Note_05,"")&amp;IF(IFERROR(FIND("(6)",$B276)&gt;0,0)&gt;0,DS_DevCat_Note_06,"")&amp;IF(IFERROR(FIND("(7)",$B276)&gt;0,0)&gt;0,DS_DevCat_Note_07,"")&amp;IF(IFERROR(FIND("(8)",$B276)&gt;0,0)&gt;0,DS_DevCat_Note_08,"")&amp;IF(IFERROR(FIND("(9)",$B276)&gt;0,0)&gt;0,DS_DevCat_Note_09,"")&amp;IF(IFERROR(FIND("(10)",$B276)&gt;0,0)&gt;0,DS_DevCat_Note_10,"")&amp;IF(IFERROR(FIND("(11)",$B276)&gt;0,0)&gt;0,DS_DevCat_Note_11,"")&amp;IF(IFERROR(FIND("(12)",$B276)&gt;0,0)&gt;0,DS_DevCat_Note_12,"")&amp;IF(IFERROR(FIND("(13)",$B276)&gt;0,0)&gt;0,DS_DevCat_Note_13,"")&amp;IF(IFERROR(FIND("(14)",$B276)&gt;0,0)&gt;0,DS_DevCat_Note_14,"")&amp;IF(IFERROR(FIND("(15)",$B276)&gt;0,0)&gt;0,DS_DevCat_Note_15,"")&amp;IF(AND(IFERROR(FIND("(1)",$B276)&gt;0,0)=0,IFERROR(FIND("(2)",$B276)&gt;0,0)=0,IFERROR(FIND("(3)",$B276)&gt;0,0)=0,IFERROR(FIND("(4)",$B276)&gt;0,0)=0,IFERROR(FIND("(5)",$B276)&gt;0,0)=0,IFERROR(FIND("(6)",$B276)&gt;0,0)=0,IFERROR(FIND("(7)",$B276)&gt;0,0)=0,IFERROR(FIND("(8)",$B276)&gt;0,0)=0,IFERROR(FIND("(9)",$B276)&gt;0,0)=0,IFERROR(FIND("(10)",$B276)&gt;0,0)=0,IFERROR(FIND("(11)",$B276)&gt;0,0)=0,IFERROR(FIND("(12)",$B276)&gt;0,0)=0,IFERROR(FIND("(13)",$B276)&gt;0,0)=0,IFERROR(FIND("(14)",$B276)&gt;0,0)=0,IFERROR(FIND("(15)",$B276)&gt;0,0)=0),"This area intentionally left blank.","")</f>
        <v xml:space="preserve">Applicant still needs to select a Development Category at Section 4.A.4.b.(1) above. Applicant still needs to enter Total Units in Section 4.A.6.a. in the 'Units, Set-Asides, Bldgs' worksheet tab. Existing Development was not built at least 20 years ago. Applicant did not (1) identify one of the HUD/RD financing programs, and/or (2) indicate it currently has PBRA or ACC. Applicant did not indicate if the Development received any funding from HUD or RD within the 20 years prior to an Application Deadline in a competitive solicitation where the budget was at least $10,000 per unit for rehabilitation in any year. </v>
      </c>
      <c r="H276" s="686"/>
      <c r="I276" s="686"/>
      <c r="J276" s="686"/>
      <c r="K276" s="686"/>
      <c r="L276" s="686"/>
      <c r="M276" s="686"/>
      <c r="N276" s="686"/>
      <c r="O276" s="686"/>
      <c r="P276" s="686"/>
      <c r="Q276" s="686"/>
      <c r="R276" s="686"/>
      <c r="S276" s="686"/>
      <c r="T276" s="686"/>
      <c r="U276" s="686"/>
      <c r="V276" s="686"/>
      <c r="W276" s="686"/>
      <c r="X276" s="686"/>
      <c r="Y276" s="686"/>
      <c r="Z276" s="686"/>
      <c r="AA276" s="686"/>
      <c r="AB276" s="686"/>
      <c r="AC276" s="686"/>
      <c r="AD276" s="686"/>
      <c r="AE276" s="686"/>
      <c r="AF276" s="686"/>
      <c r="AG276" s="686"/>
      <c r="AH276" s="686"/>
      <c r="AI276" s="686"/>
      <c r="AJ276" s="686"/>
      <c r="AK276" s="686"/>
      <c r="AL276" s="686"/>
    </row>
    <row r="277" spans="1:38">
      <c r="G277" s="846"/>
      <c r="H277" s="861"/>
      <c r="I277" s="2529"/>
      <c r="J277" s="861"/>
      <c r="K277" s="861"/>
      <c r="L277" s="861"/>
      <c r="M277" s="861"/>
      <c r="N277" s="861"/>
    </row>
    <row r="278" spans="1:38" ht="15.75" customHeight="1">
      <c r="A278" s="411" t="s">
        <v>1984</v>
      </c>
      <c r="B278" s="264"/>
      <c r="I278" s="823"/>
      <c r="J278" s="823"/>
      <c r="K278" s="823"/>
      <c r="L278" s="823"/>
    </row>
    <row r="279" spans="1:38" ht="15.75" customHeight="1">
      <c r="A279" s="1295" t="s">
        <v>1989</v>
      </c>
      <c r="B279" s="2949" t="str">
        <f>IF(OR(Development_Category="&lt;select one&gt;",Development_Category="",Development_SubCategory="&lt;select one&gt;"),"NA",IF(AND(OR(Development_Category="Rehabilitation",Development_Category="Acquisition and Rehabilitation"),Development_SubCategory="Preservation (w/ or w/o Acquisition)"),"Yes","No"))</f>
        <v>NA</v>
      </c>
      <c r="C279" s="2949"/>
      <c r="D279" s="1295"/>
      <c r="E279" s="2968" t="str">
        <f>IF(AND(OR(Development_Category="Rehabilitation",Development_Category="Acquisition and Rehabilitation"),Development_SubCategory="Preservation (w/ or w/o Acquisition)"),"Does proposed development meet the Development Category criteria? "&amp;IF(AND(Data1!B283="Yes",Data1!B284="Yes",Data1!B286="Yes",Data1!B287="Yes",Data1!B288="Yes",IF(DS_HC_Funding="Yes",AND(Data1!B294="Yes",Data1!B301="Yes"),TRUE),Data1!B305="Yes"),"Yes","No"),"Development Category/SubCategory does not match.")</f>
        <v>Development Category/SubCategory does not match.</v>
      </c>
      <c r="F279" s="2968"/>
      <c r="I279" s="823"/>
      <c r="J279" s="823"/>
      <c r="K279" s="823"/>
      <c r="L279" s="823"/>
      <c r="T279" s="106"/>
    </row>
    <row r="280" spans="1:38">
      <c r="A280" s="272" t="s">
        <v>219</v>
      </c>
      <c r="B280" s="3037">
        <v>0.5</v>
      </c>
      <c r="C280" s="3037"/>
      <c r="D280" s="272" t="s">
        <v>2873</v>
      </c>
      <c r="E280" s="267"/>
      <c r="F280" s="267"/>
      <c r="I280" s="823"/>
      <c r="J280" s="823"/>
      <c r="K280" s="823"/>
      <c r="L280" s="823"/>
    </row>
    <row r="281" spans="1:38">
      <c r="A281" s="272" t="s">
        <v>220</v>
      </c>
      <c r="B281" s="2992">
        <f>SUM('Proposed Development Info'!H$138:H$146)</f>
        <v>0</v>
      </c>
      <c r="C281" s="2992"/>
      <c r="D281" s="272"/>
      <c r="E281" s="267"/>
      <c r="F281" s="267"/>
      <c r="G281" s="6"/>
      <c r="I281" s="823"/>
      <c r="J281" s="823"/>
      <c r="K281" s="823"/>
      <c r="L281" s="823"/>
    </row>
    <row r="282" spans="1:38">
      <c r="A282" s="273" t="s">
        <v>221</v>
      </c>
      <c r="B282" s="297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(1) (2)</v>
      </c>
      <c r="C282" s="2973"/>
      <c r="D282" s="273" t="s">
        <v>222</v>
      </c>
      <c r="E282" s="251"/>
      <c r="F282" s="251"/>
      <c r="G282" s="65" t="str">
        <f ca="1">IF($B282="(1) (2) (3)",$H$238&amp;" "&amp;$H$239&amp;" "&amp;$H$240,IF($B282="(1) (2)",$H$238&amp;" "&amp;$H$239,IF($B282="(1) (3)",$H$238&amp;" "&amp;$H$240,IF($B282="(2) (3)",$H$239&amp;" "&amp;$H$240,IF($B282="(1)",$H$238,IF($B282="(2)",$H$239,IF($B282="(3)",$H$240,"")))))))</f>
        <v xml:space="preserve">Applicant still needs to select a Development Category at Section 4.A.4.b.(1) above.  Applicant still needs to enter Total Units in Section 4.A.6.a. in the 'Units, Set-Asides, Bldgs' worksheet tab. </v>
      </c>
      <c r="H282" s="85"/>
      <c r="I282" s="85"/>
      <c r="J282" s="85"/>
      <c r="K282" s="85"/>
      <c r="L282" s="85"/>
      <c r="M282" s="85"/>
      <c r="N282" s="85"/>
      <c r="O282" s="85"/>
      <c r="P282" s="85"/>
      <c r="Q282" s="85"/>
      <c r="R282" s="85"/>
      <c r="S282" s="85"/>
      <c r="T282" s="85"/>
      <c r="U282" s="85"/>
      <c r="V282" s="85"/>
      <c r="W282" s="85"/>
      <c r="X282" s="85"/>
      <c r="Y282" s="85"/>
      <c r="Z282" s="85"/>
      <c r="AA282" s="85"/>
    </row>
    <row r="283" spans="1:38">
      <c r="A283" s="1283" t="s">
        <v>1971</v>
      </c>
      <c r="B283" s="3014" t="str">
        <f>IF(AND(OR(Development_Category="Rehabilitation",Development_Category="Acquisition and Rehabilitation"),Development_SubCategory="Preservation (w/ or w/o Acquisition)"),IF(LEFT(Data1!B282,1)="(","TBD",IF(Data1!B282&lt;B280,"Yes","No")),"NA")</f>
        <v>NA</v>
      </c>
      <c r="C283" s="3014"/>
      <c r="D283" s="1290" t="s">
        <v>1965</v>
      </c>
      <c r="E283" s="1284"/>
      <c r="F283" s="1284"/>
      <c r="G283" s="111"/>
      <c r="H283" s="111"/>
      <c r="I283" s="2524"/>
      <c r="J283" s="111"/>
      <c r="K283" s="111"/>
      <c r="L283" s="2524"/>
    </row>
    <row r="284" spans="1:38" ht="15" thickBot="1">
      <c r="A284" s="2532" t="s">
        <v>1990</v>
      </c>
      <c r="B284" s="3044" t="str">
        <f ca="1">IF(N(Age_of_Development)&gt;=IF(In_Corporation_Portfolio="Yes",DS_Preserv_MinAge_Per_RFA,DS_Preserv_MinAge_Per_Rule),"Yes","No")</f>
        <v>No</v>
      </c>
      <c r="C284" s="3044"/>
      <c r="D284" s="2538">
        <v>7</v>
      </c>
      <c r="E284" s="2533">
        <v>20</v>
      </c>
      <c r="F284" s="2534" t="str">
        <f>"7   Rule Chapter 67-"&amp;IF(Funding!M$310=1,"21","48")&amp;".002(93): Definition of Preservation"</f>
        <v>7   Rule Chapter 67-21.002(93): Definition of Preservation</v>
      </c>
      <c r="I284" s="823"/>
      <c r="J284" s="823"/>
      <c r="L284" s="823"/>
      <c r="Q284" s="106"/>
      <c r="R284" s="106"/>
      <c r="S284" s="106"/>
      <c r="T284" s="106"/>
      <c r="U284" s="106"/>
    </row>
    <row r="285" spans="1:38" ht="15" thickBot="1">
      <c r="A285" s="2535" t="s">
        <v>3407</v>
      </c>
      <c r="B285" s="3015" t="s">
        <v>3405</v>
      </c>
      <c r="C285" s="3016"/>
      <c r="D285" s="2539">
        <f ca="1">IF(year_built&lt;&gt;"",IF(year_built&gt;YEAR(NOW()),0,YEAR(DS_AppDeadline)-year_built),0)</f>
        <v>0</v>
      </c>
      <c r="E285" s="2536">
        <v>13</v>
      </c>
      <c r="F285" s="2537" t="s">
        <v>3406</v>
      </c>
      <c r="G285" s="823"/>
      <c r="I285" s="823"/>
      <c r="J285" s="823"/>
      <c r="L285" s="823"/>
      <c r="Q285" s="106"/>
      <c r="R285" s="106"/>
      <c r="S285" s="106"/>
      <c r="T285" s="106"/>
      <c r="U285" s="106"/>
    </row>
    <row r="286" spans="1:38">
      <c r="A286" s="272" t="s">
        <v>1986</v>
      </c>
      <c r="B286" s="2998"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86" s="2998"/>
      <c r="D286" s="1285" t="str">
        <f>"8   Rule Chapter 67-"&amp;IF(Funding!M$310=1,"21","48")&amp;".002(93): Definition of Preservation"</f>
        <v>8   Rule Chapter 67-21.002(93): Definition of Preservation</v>
      </c>
      <c r="E286" s="1021"/>
      <c r="F286" s="1021"/>
      <c r="I286" s="823"/>
      <c r="J286" s="823"/>
      <c r="L286" s="823"/>
      <c r="Q286" s="106"/>
      <c r="R286" s="106"/>
      <c r="S286" s="106"/>
      <c r="T286" s="106"/>
      <c r="U286" s="106"/>
    </row>
    <row r="287" spans="1:38">
      <c r="A287" s="273" t="s">
        <v>1987</v>
      </c>
      <c r="B287" s="2999" t="str">
        <f>IF(AND(OR(Development_Category="Rehabilitation",Development_Category="Acquisition and Rehabilitation"),Development_SubCategory="Preservation (w/ or w/o Acquisition)"),IF(N(PBRA_Units_Currently)+N(ACC_Units_Currently)&lt;=N(PBRA_Units_Future)+N(ACC_Units_Future),"Yes","No"),"NA")</f>
        <v>NA</v>
      </c>
      <c r="C287" s="2999"/>
      <c r="D287" s="1249" t="str">
        <f>"9   Rule Chapter 67-"&amp;IF(Funding!M$310=1,"21","48")&amp;".002(93): Definition of Preservation"</f>
        <v>9   Rule Chapter 67-21.002(93): Definition of Preservation</v>
      </c>
      <c r="E287" s="1018"/>
      <c r="F287" s="1018"/>
      <c r="I287" s="823"/>
      <c r="J287" s="823"/>
      <c r="L287" s="823"/>
      <c r="Q287" s="106"/>
      <c r="R287" s="106"/>
      <c r="S287" s="106"/>
      <c r="T287" s="106"/>
      <c r="U287" s="106"/>
    </row>
    <row r="288" spans="1:38">
      <c r="A288" s="1290" t="s">
        <v>2005</v>
      </c>
      <c r="B288" s="3000" t="str">
        <f>IF(AND(OR(Development_Category="Rehabilitation",Development_Category="Acquisition and Rehabilitation"),Development_SubCategory="Preservation (w/ or w/o Acquisition)"),IF(DevCat_PHA_DOT_or_Rehabbed="No","Yes","No"),"NA")</f>
        <v>NA</v>
      </c>
      <c r="C288" s="3000"/>
      <c r="D288" s="1291" t="str">
        <f>"10 Rule Chapter 67-"&amp;IF(Funding!M$310=1,"21","48")&amp;".002(93): Definition of Preservation"</f>
        <v>10 Rule Chapter 67-21.002(93): Definition of Preservation</v>
      </c>
      <c r="E288" s="1292"/>
      <c r="F288" s="1292"/>
      <c r="I288" s="823"/>
      <c r="J288" s="823"/>
      <c r="L288" s="823"/>
      <c r="Q288" s="106"/>
      <c r="R288" s="106"/>
      <c r="S288" s="106"/>
      <c r="T288" s="106"/>
      <c r="U288" s="106"/>
    </row>
    <row r="289" spans="1:28">
      <c r="A289" s="272" t="s">
        <v>2456</v>
      </c>
      <c r="B289" s="2996">
        <v>0.2</v>
      </c>
      <c r="C289" s="2996"/>
      <c r="D289" s="272" t="s">
        <v>1797</v>
      </c>
      <c r="E289" s="272"/>
      <c r="F289" s="272"/>
      <c r="I289" s="823"/>
      <c r="J289" s="823"/>
      <c r="L289" s="823"/>
      <c r="Q289" s="106"/>
      <c r="R289" s="106"/>
      <c r="S289" s="106"/>
      <c r="T289" s="106"/>
      <c r="U289" s="106"/>
    </row>
    <row r="290" spans="1:28">
      <c r="A290" s="273" t="s">
        <v>1991</v>
      </c>
      <c r="B290" s="2976" t="str">
        <f>IF(AND(Development_Category="&lt;select one&gt;",N(Development_Cost_eligible)-N(Acquisition_eligible)+N(Developer_fee_non_acq_eligible)=0),"(1) (4)",IF(Development_Category="&lt;select one&gt;","(1)",IF(N(Development_Cost_eligible)-N(Acquisition_eligible)+N(Developer_fee_non_acq_eligible)=0,"(4)",H324)))</f>
        <v>(1) (4)</v>
      </c>
      <c r="C290" s="2976"/>
      <c r="D290" s="273" t="s">
        <v>229</v>
      </c>
      <c r="E290" s="3045" t="s">
        <v>1937</v>
      </c>
      <c r="F290" s="3045"/>
      <c r="I290" s="823"/>
      <c r="J290" s="823"/>
      <c r="L290" s="823"/>
    </row>
    <row r="291" spans="1:28">
      <c r="A291" s="273" t="s">
        <v>1992</v>
      </c>
      <c r="B291" s="2976" t="str">
        <f>IF(N('Pro Forma'!H$106)=0,"(5)",'Pro Forma'!H$106+'Pro Forma'!H$112)</f>
        <v>(5)</v>
      </c>
      <c r="C291" s="2976"/>
      <c r="D291" s="678" t="s">
        <v>230</v>
      </c>
      <c r="E291" s="2579"/>
      <c r="F291" s="2579"/>
      <c r="I291" s="823"/>
      <c r="J291" s="823"/>
      <c r="L291" s="823"/>
    </row>
    <row r="292" spans="1:28">
      <c r="A292" s="273" t="str">
        <f>"     (d) "&amp;TEXT(B289,"0%")&amp;" of adjusted basis of acquired building"</f>
        <v xml:space="preserve">     (d) 20% of adjusted basis of acquired building</v>
      </c>
      <c r="B292" s="2977">
        <f>ROUND(IF(LEFT(B291,1)="(",0,B291)*B289,2)</f>
        <v>0</v>
      </c>
      <c r="C292" s="2977"/>
      <c r="D292" s="273"/>
      <c r="E292" s="2579"/>
      <c r="F292" s="2579"/>
      <c r="G292" s="6"/>
      <c r="I292" s="823"/>
      <c r="J292" s="823"/>
      <c r="L292" s="823"/>
    </row>
    <row r="293" spans="1:28">
      <c r="A293" s="273" t="str">
        <f>"     (d) Ratio of Rehab Exp to "&amp;TEXT(B289,"0%")&amp;" of Adj Basis"</f>
        <v xml:space="preserve">     (d) Ratio of Rehab Exp to 20% of Adj Basis</v>
      </c>
      <c r="B293" s="3035" t="str">
        <f>IF(OR(LEFT(B290,1)="(",LEFT(B291,1)="("),IF(IFERROR(FIND("(1)",B290)&gt;0,0)&gt;0,"(1)","")&amp;IF(IFERROR(FIND("(4)",B290)&gt;0,0)&gt;0,"(4)","")&amp;IF(IFERROR(FIND("(5)",B291)&gt;0,0)&gt;0,"(5)",""),B290/B292)</f>
        <v>(4)(5)</v>
      </c>
      <c r="C293" s="3035"/>
      <c r="D293" s="273" t="s">
        <v>231</v>
      </c>
      <c r="E293" s="2579"/>
      <c r="F293" s="2579"/>
      <c r="G293" s="85"/>
      <c r="H293" s="85"/>
      <c r="I293" s="2527"/>
      <c r="J293" s="2527"/>
      <c r="K293" s="85"/>
      <c r="L293" s="2527"/>
      <c r="M293" s="85"/>
      <c r="N293" s="85"/>
      <c r="O293" s="85"/>
      <c r="P293" s="85"/>
      <c r="Q293" s="85"/>
      <c r="R293" s="85"/>
      <c r="S293" s="85"/>
      <c r="T293" s="85"/>
      <c r="U293" s="85"/>
      <c r="V293" s="85"/>
      <c r="W293" s="85"/>
      <c r="X293" s="85"/>
      <c r="Y293" s="85"/>
      <c r="Z293" s="85"/>
      <c r="AA293" s="85"/>
      <c r="AB293" s="85"/>
    </row>
    <row r="294" spans="1:28">
      <c r="A294" s="1283" t="s">
        <v>1993</v>
      </c>
      <c r="B294" s="2983" t="str">
        <f>IF(AND(DS_HC_Funding="Yes",AND(OR(Development_Category="Rehabilitation",Development_Category="Acquisition and Rehabilitation"),Development_SubCategory="Preservation (w/ or w/o Acquisition)")),IF(AND(IF(LEFT(Data1!B290,1)="(",0,Data1!B290)&gt;0,IF(LEFT(Data1!B290,1)="(",0,Data1!B290)&gt;=B292),"Yes","No"),"NA")</f>
        <v>NA</v>
      </c>
      <c r="C294" s="2983"/>
      <c r="D294" s="1290"/>
      <c r="E294" s="3046"/>
      <c r="F294" s="3046"/>
      <c r="I294" s="823"/>
      <c r="J294" s="823"/>
      <c r="L294" s="823"/>
    </row>
    <row r="295" spans="1:28">
      <c r="A295" s="272" t="s">
        <v>2457</v>
      </c>
      <c r="B295" s="2975">
        <v>8700</v>
      </c>
      <c r="C295" s="2975"/>
      <c r="D295" s="1535" t="s">
        <v>2316</v>
      </c>
      <c r="E295" s="273"/>
      <c r="F295" s="273"/>
      <c r="I295" s="823"/>
      <c r="J295" s="823"/>
      <c r="L295" s="823"/>
    </row>
    <row r="296" spans="1:28">
      <c r="A296" s="273" t="s">
        <v>1994</v>
      </c>
      <c r="B296" s="2972">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96" s="2972"/>
      <c r="D296" s="273" t="s">
        <v>232</v>
      </c>
      <c r="E296" s="273"/>
      <c r="F296" s="2227" t="s">
        <v>2872</v>
      </c>
      <c r="I296" s="823"/>
      <c r="J296" s="823"/>
      <c r="L296" s="823"/>
    </row>
    <row r="297" spans="1:28">
      <c r="A297" s="273" t="s">
        <v>1995</v>
      </c>
      <c r="B297" s="3034"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97" s="3034"/>
      <c r="D297" s="273" t="s">
        <v>2235</v>
      </c>
      <c r="E297" s="273"/>
      <c r="F297" s="1277"/>
      <c r="I297" s="823"/>
      <c r="J297" s="823"/>
      <c r="L297" s="823"/>
    </row>
    <row r="298" spans="1:28">
      <c r="A298" s="273" t="s">
        <v>1996</v>
      </c>
      <c r="B298" s="2970"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98" s="2970"/>
      <c r="D298" s="273" t="s">
        <v>2235</v>
      </c>
      <c r="E298" s="273"/>
      <c r="F298" s="1277"/>
      <c r="I298" s="823"/>
      <c r="J298" s="823"/>
      <c r="L298" s="823"/>
    </row>
    <row r="299" spans="1:28">
      <c r="A299" s="273" t="s">
        <v>2458</v>
      </c>
      <c r="B299" s="3032"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290*MAX(N(B297),0)))))))))))))))</f>
        <v>(1) (4) (6) (16)</v>
      </c>
      <c r="C299" s="3033"/>
      <c r="D299" s="273" t="s">
        <v>2236</v>
      </c>
      <c r="E299" s="273"/>
      <c r="F299" s="273" t="str">
        <f>"[ Rehab $ (B"&amp;TEXT(ROW(B290),"0")&amp;") x App Fraction (B"&amp;TEXT(ROW(B297),"0")&amp;") x Basis Boost (B"&amp;TEXT(ROW(B296),"0")&amp;") ]"</f>
        <v>[ Rehab $ (B290) x App Fraction (B297) x Basis Boost (B296) ]</v>
      </c>
      <c r="I299" s="823"/>
      <c r="J299" s="823"/>
      <c r="L299" s="823"/>
    </row>
    <row r="300" spans="1:28">
      <c r="A300" s="273" t="s">
        <v>2459</v>
      </c>
      <c r="B300" s="2977" t="str">
        <f>IF(LEFT(B299,1)="(",B299,IF(MAX('Units, Set-Asides, Bldgs'!F$65,total_HC_units_AIT)=0,0,B299/MAX('Units, Set-Asides, Bldgs'!F$65,total_HC_units_AIT)))</f>
        <v>(1) (4) (6) (16)</v>
      </c>
      <c r="C300" s="2977"/>
      <c r="D300" s="273"/>
      <c r="E300" s="273"/>
      <c r="F300" s="273"/>
      <c r="G300" s="65"/>
      <c r="H300" s="85"/>
      <c r="I300" s="2527"/>
      <c r="J300" s="2527"/>
      <c r="K300" s="85"/>
      <c r="L300" s="2527"/>
      <c r="M300" s="85"/>
      <c r="N300" s="85"/>
      <c r="O300" s="85"/>
      <c r="P300" s="85"/>
      <c r="Q300" s="85"/>
      <c r="R300" s="85"/>
      <c r="S300" s="85"/>
      <c r="T300" s="85"/>
      <c r="U300" s="85"/>
      <c r="V300" s="85"/>
      <c r="W300" s="85"/>
      <c r="X300" s="85"/>
      <c r="Y300" s="85"/>
      <c r="Z300" s="85"/>
      <c r="AA300" s="85"/>
      <c r="AB300" s="85"/>
    </row>
    <row r="301" spans="1:28">
      <c r="A301" s="1283" t="s">
        <v>1997</v>
      </c>
      <c r="B301" s="2978" t="str">
        <f>IF(AND(DS_HC_Funding="Yes",AND(OR(Development_Category="Rehabilitation",Development_Category="Acquisition and Rehabilitation"),Development_SubCategory="Preservation (w/ or w/o Acquisition)")),IF(IF(LEFT(Data1!B300,1)="(",0,Data1!B300)&gt;=B295,"Yes","No"),"NA")</f>
        <v>NA</v>
      </c>
      <c r="C301" s="2978"/>
      <c r="D301" s="1290"/>
      <c r="E301" s="1290"/>
      <c r="F301" s="1290"/>
      <c r="I301" s="823"/>
      <c r="J301" s="823"/>
      <c r="L301" s="823"/>
    </row>
    <row r="302" spans="1:28">
      <c r="A302" s="272" t="s">
        <v>1998</v>
      </c>
      <c r="B302" s="2975">
        <v>40000</v>
      </c>
      <c r="C302" s="2975"/>
      <c r="D302" s="272" t="s">
        <v>1798</v>
      </c>
      <c r="E302" s="272"/>
      <c r="F302" s="272"/>
      <c r="I302" s="823"/>
      <c r="J302" s="823"/>
      <c r="L302" s="823"/>
    </row>
    <row r="303" spans="1:28">
      <c r="A303" s="273" t="s">
        <v>1999</v>
      </c>
      <c r="B303" s="2976" t="str">
        <f>IF(N('Pro Forma'!N$56)+N('Pro Forma'!N$64)=0,"(14)",N('Pro Forma'!N$56)+N('Pro Forma'!N$64))</f>
        <v>(14)</v>
      </c>
      <c r="C303" s="2976"/>
      <c r="D303" s="68">
        <v>14</v>
      </c>
      <c r="E303" s="273"/>
      <c r="F303" s="273" t="s">
        <v>1956</v>
      </c>
      <c r="I303" s="823"/>
      <c r="J303" s="823"/>
      <c r="L303" s="823"/>
    </row>
    <row r="304" spans="1:28">
      <c r="A304" s="273" t="s">
        <v>2000</v>
      </c>
      <c r="B304" s="2977" t="str">
        <f>IF(Total_Units=0,"(2)",B303/Total_Units)</f>
        <v>(2)</v>
      </c>
      <c r="C304" s="2977"/>
      <c r="D304" s="68" t="s">
        <v>1811</v>
      </c>
      <c r="E304" s="273"/>
      <c r="F304" s="273"/>
      <c r="I304" s="823"/>
      <c r="J304" s="823"/>
      <c r="L304" s="823"/>
    </row>
    <row r="305" spans="1:38">
      <c r="A305" s="1283" t="s">
        <v>2001</v>
      </c>
      <c r="B305" s="2978" t="str">
        <f>IF(AND(DS_HC_Funding="Yes",AND(OR(Development_Category="Rehabilitation",Development_Category="Acquisition and Rehabilitation"),Development_SubCategory="Preservation (w/ or w/o Acquisition)")),IF(N(B304)&gt;=N(B302),"Yes","No"),"NA")</f>
        <v>NA</v>
      </c>
      <c r="C305" s="2978"/>
      <c r="D305" s="2229" t="s">
        <v>1805</v>
      </c>
      <c r="E305" s="1290"/>
      <c r="F305" s="1290"/>
      <c r="I305" s="823"/>
      <c r="J305" s="823"/>
      <c r="L305" s="823"/>
    </row>
    <row r="306" spans="1:38">
      <c r="A306" s="1313" t="s">
        <v>2002</v>
      </c>
      <c r="B306" s="2982" t="str">
        <f>IF(3&gt;2,"NA",IF(AND(OR(Development_Category="Rehabilitation",Development_Category="Acquisition and Rehabilitation"),Development_SubCategory="Preservation (w/ or w/o Acquisition)"),IF(DevCat_Min_Occ="Yes","Yes",IF(DevCat_Min_Occ="No","No","Need Response at 4.A.4.b.(2)")),"NA"))</f>
        <v>NA</v>
      </c>
      <c r="C306" s="2982"/>
      <c r="D306" s="2982"/>
      <c r="E306" s="2982"/>
      <c r="F306" s="1314" t="str">
        <f>"(Question is not active. Temporarily placed at cell "&amp;CHAR(64+COLUMN(G279))&amp;ROW(G279)&amp;" )"</f>
        <v>(Question is not active. Temporarily placed at cell G279 )</v>
      </c>
      <c r="G306" s="6"/>
    </row>
    <row r="307" spans="1:38">
      <c r="A307" s="1297" t="str">
        <f>"     (h) Meets the Rule Definition (67-"&amp;IF(Funding!M$310=1,"21","48")&amp;".002) for Preservation &amp; Rehab?"</f>
        <v xml:space="preserve">     (h) Meets the Rule Definition (67-21.002) for Preservation &amp; Rehab?</v>
      </c>
      <c r="B307" s="2974" t="str">
        <f>IF(AND(OR(Development_Category="Rehabilitation",Development_Category="Acquisition and Rehabilitation"),Development_SubCategory="Preservation (w/ or w/o Acquisition)"),IF(AND(B283="Yes",B284="Yes",B286="Yes",B287="Yes",B288="Yes"),"Yes","No"),"Did not select Preservation")</f>
        <v>Did not select Preservation</v>
      </c>
      <c r="C307" s="2974"/>
      <c r="D307" s="2974"/>
      <c r="E307" s="2974"/>
      <c r="F307" s="1304"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Acquisition)"),IF(B283="No","-Too many NC units  ",""),"")&amp;IF(AND(OR(Development_Category="Rehabilitation",Development_Category="Acquisition and Rehabilitation"),Development_SubCategory="Preservation (w/ or w/o Acquisition)"),IF(B284="No","-Not old enough  ",""),"")&amp;IF(AND(OR(Development_Category="Rehabilitation",Development_Category="Acquisition and Rehabilitation"),Development_SubCategory="Preservation (w/ or w/o Acquisition)"),IF(B286="No","-Exisitng Program issue  ",""),"")&amp;IF(AND(OR(Development_Category="Rehabilitation",Development_Category="Acquisition and Rehabilitation"),Development_SubCategory="Preservation (w/ or w/o Acquisition)"),IF(B287="No","-Future Program issue  ",""),"")&amp;IF(AND(OR(Development_Category="Rehabilitation",Development_Category="Acquisition and Rehabilitation"),Development_SubCategory="Preservation (w/ or w/o Acquisition)"),IF(B288="No","-DOT/Rehab Budget",""),"")&amp;IF(AND(OR(Development_Category="Rehabilitation",Development_Category="Acquisition and Rehabilitation"),Development_SubCategory="Preservation (w/ or w/o Acquisition)")," ]","")</f>
        <v/>
      </c>
      <c r="G307" s="6"/>
    </row>
    <row r="308" spans="1:38">
      <c r="A308" s="1296" t="s">
        <v>2003</v>
      </c>
      <c r="B308" s="2984" t="str">
        <f>IF(3&gt;2,"NA",IF(AND(OR(Development_Category="Rehabilitation",Development_Category="Acquisition and Rehabilitation"),Development_SubCategory="Preservation (w/ or w/o Acquisition)"),IF(DS_DevCat_Qual_Letter="Yes","Yes",IF(DS_DevCat_Qual_Letter="No","No","Need Response at 4.A.4.b.(2)")),"NA"))</f>
        <v>NA</v>
      </c>
      <c r="C308" s="2984"/>
      <c r="D308" s="2984"/>
      <c r="E308" s="2984"/>
      <c r="F308" s="273" t="str">
        <f>"(Question is not active. Temporarily placed at cell "&amp;CHAR(64+COLUMN(G263))&amp;ROW(G263)&amp;" )"</f>
        <v>(Question is not active. Temporarily placed at cell G263 )</v>
      </c>
      <c r="G308" s="312" t="s">
        <v>3312</v>
      </c>
    </row>
    <row r="309" spans="1:38" ht="30" customHeight="1" thickBot="1">
      <c r="A309" s="682" t="s">
        <v>1985</v>
      </c>
      <c r="B309" s="2980"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one&gt;","(6)","")&amp;IF(B284&lt;&gt;"Yes","(7)","")&amp;IF(B286&lt;&gt;"Yes","(8)","")&amp;IF(B287&lt;&gt;"Yes","(9)","")&amp;IF(B288&lt;&gt;"Yes","(10)","")&amp;IF(B283="No","(13)","")&amp;IF(N('Pro Forma'!N$56)+N('Pro Forma'!N$64)=0,"(14)","")&amp;IF(Development_SubCategory="&lt;select one&gt;","(15)","")&amp;IF(IF(Minimum_SetAside_per_Sec_42=DS_IRS_AIT,AIT_HC_SA_Percent,NonAIT_HC_SA_Percent)=0,"(16)",""),"")</f>
        <v>(1)(2)(4)(5)(6)(7)(8)(9)(10)(14)(16)</v>
      </c>
      <c r="C309" s="2981"/>
      <c r="D309" s="1305" t="s">
        <v>2237</v>
      </c>
      <c r="E309" s="684"/>
      <c r="F309" s="684"/>
      <c r="G309" s="685" t="str">
        <f ca="1">IF(IFERROR(FIND("(1)",$B309)&gt;0,0)&gt;0,DS_DevCat_Note_01,"")&amp;IF(IFERROR(FIND("(2)",$B309)&gt;0,0)&gt;0,DS_DevCat_Note_02,"")&amp;IF(IFERROR(FIND("(3)",$B309)&gt;0,0)&gt;0,DS_DevCat_Note_03,"")&amp;IF(IFERROR(FIND("(4)",$B309)&gt;0,0)&gt;0,DS_DevCat_Note_04,"")&amp;IF(IFERROR(FIND("(5)",$B309)&gt;0,0)&gt;0,DS_DevCat_Note_05,"")&amp;IF(IFERROR(FIND("(6)",$B309)&gt;0,0)&gt;0,DS_DevCat_Note_06,"")&amp;IF(IFERROR(FIND("(7)",$B309)&gt;0,0)&gt;0,DS_DevCat_Note_07,"")&amp;IF(IFERROR(FIND("(8)",$B309)&gt;0,0)&gt;0,DS_DevCat_Note_08,"")&amp;IF(IFERROR(FIND("(9)",$B309)&gt;0,0)&gt;0,DS_DevCat_Note_09,"")&amp;IF(IFERROR(FIND("(10)",$B309)&gt;0,0)&gt;0,DS_DevCat_Note_10,"")&amp;IF(IFERROR(FIND("(11)",$B309)&gt;0,0)&gt;0,DS_DevCat_Note_11,"")&amp;IF(IFERROR(FIND("(12)",$B309)&gt;0,0)&gt;0,DS_DevCat_Note_12,"")&amp;IF(IFERROR(FIND("(13)",$B309)&gt;0,0)&gt;0,DS_DevCat_Note_13,"")&amp;IF(IFERROR(FIND("(14)",$B309)&gt;0,0)&gt;0,DS_DevCat_Note_14,"")&amp;IF(IFERROR(FIND("(15)",$B309)&gt;0,0)&gt;0,DS_DevCat_Note_15,"")&amp;IF(IFERROR(FIND("(16)",$B309)&gt;0,0)&gt;0,DS_DevCat_Note_16,"")&amp;IF(AND(IFERROR(FIND("(1)",$B309)&gt;0,0)=0,IFERROR(FIND("(2)",$B309)&gt;0,0)=0,IFERROR(FIND("(3)",$B309)&gt;0,0)=0,IFERROR(FIND("(4)",$B309)&gt;0,0)=0,IFERROR(FIND("(5)",$B309)&gt;0,0)=0,IFERROR(FIND("(6)",$B309)&gt;0,0)=0,IFERROR(FIND("(7)",$B309)&gt;0,0)=0,IFERROR(FIND("(8)",$B309)&gt;0,0)=0,IFERROR(FIND("(9)",$B309)&gt;0,0)=0,IFERROR(FIND("(10)",$B309)&gt;0,0)=0,IFERROR(FIND("(11)",$B309)&gt;0,0)=0,IFERROR(FIND("(12)",$B309)&gt;0,0)=0,IFERROR(FIND("(13)",$B309)&gt;0,0)=0,IFERROR(FIND("(14)",$B309)&gt;0,0)=0,IFERROR(FIND("(15)",$B309)&gt;0,0)=0,IFERROR(FIND("(16)",$B309)&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or ACC.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09" s="686"/>
      <c r="I309" s="686"/>
      <c r="J309" s="686"/>
      <c r="K309" s="686"/>
      <c r="L309" s="686"/>
      <c r="M309" s="686"/>
      <c r="N309" s="686"/>
      <c r="O309" s="686"/>
      <c r="P309" s="686"/>
      <c r="Q309" s="686"/>
      <c r="R309" s="686"/>
      <c r="S309" s="686"/>
      <c r="T309" s="686"/>
      <c r="U309" s="686"/>
      <c r="V309" s="686"/>
      <c r="W309" s="686"/>
      <c r="X309" s="686"/>
      <c r="Y309" s="686"/>
      <c r="Z309" s="686"/>
      <c r="AA309" s="686"/>
      <c r="AB309" s="686"/>
      <c r="AC309" s="686"/>
      <c r="AD309" s="686"/>
      <c r="AE309" s="686"/>
      <c r="AF309" s="686"/>
      <c r="AG309" s="686"/>
      <c r="AH309" s="686"/>
      <c r="AI309" s="686"/>
      <c r="AJ309" s="686"/>
      <c r="AK309" s="686"/>
      <c r="AL309" s="686"/>
    </row>
    <row r="310" spans="1:38">
      <c r="G310" s="6"/>
    </row>
    <row r="311" spans="1:38" ht="15.5">
      <c r="A311" s="411" t="s">
        <v>2014</v>
      </c>
    </row>
    <row r="312" spans="1:38" ht="15.5">
      <c r="A312" s="1295" t="s">
        <v>2015</v>
      </c>
      <c r="B312" s="2949" t="str">
        <f>IF(OR(Development_Category="&lt;select one&gt;",Development_Category="",Development_SubCategory="&lt;select one&gt;"),"NA",IF(OR(Development_Category="Rehabilitation",Development_Category="Acquisition and Rehabilitation"),"Yes","No"))</f>
        <v>NA</v>
      </c>
      <c r="C312" s="2949"/>
      <c r="D312" s="1295"/>
      <c r="E312" s="2968" t="str">
        <f>IF(AND(OR(Development_Category="Rehabilitation",Development_Category="Acquisition and Rehabilitation"),Development_SubCategory&lt;&gt;"Preservation (w/ or w/o Acquisition)"),"Does proposed development meet the Development Category criteria? "&amp;IF(AND(Data1!B316="Yes",IF(DS_HC_Funding="Yes",AND(Data1!B326="Yes",Data1!B333="Yes",Data1!B337="Yes"),TRUE)),"Yes","No"),"Development Category does not match (with no SubCategory).")</f>
        <v>Development Category does not match (with no SubCategory).</v>
      </c>
      <c r="F312" s="2969"/>
      <c r="G312" s="3143"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12" s="3144"/>
      <c r="I312" s="3144"/>
      <c r="J312" s="3144"/>
      <c r="K312" s="3144"/>
      <c r="L312" s="3144"/>
      <c r="M312" s="3144"/>
      <c r="N312" s="3144"/>
      <c r="O312" s="3144"/>
      <c r="P312" s="3144"/>
      <c r="Q312" s="3144"/>
      <c r="R312" s="715" t="s">
        <v>41</v>
      </c>
      <c r="S312" s="674"/>
      <c r="T312" s="675">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Acquisition)")),W312,0)</f>
        <v>0</v>
      </c>
      <c r="U312" s="676">
        <f>IF(AND(T312&lt;&gt;0,AND(Data1!K312&lt;&gt;"&lt;select one&gt;",Data1!K312&lt;&gt;"")),T312,0)</f>
        <v>0</v>
      </c>
      <c r="V312" s="827" t="str">
        <f>CHOOSE(T312+1,"Not to be included in this RFA","A REQUIRED input field for this RFA","An OPTIONAL input field for this RFA")</f>
        <v>Not to be included in this RFA</v>
      </c>
      <c r="W312" s="677">
        <v>0</v>
      </c>
    </row>
    <row r="313" spans="1:38">
      <c r="A313" s="272" t="s">
        <v>225</v>
      </c>
      <c r="B313" s="2971">
        <f>B280</f>
        <v>0.5</v>
      </c>
      <c r="C313" s="2971"/>
      <c r="D313" s="272" t="s">
        <v>2874</v>
      </c>
      <c r="E313" s="272"/>
      <c r="F313" s="272"/>
      <c r="G313" s="3079"/>
      <c r="H313" s="3145"/>
      <c r="I313" s="3145"/>
      <c r="J313" s="3145"/>
      <c r="K313" s="3145"/>
      <c r="L313" s="3145"/>
      <c r="M313" s="3145"/>
      <c r="N313" s="3146"/>
      <c r="O313" s="3146"/>
      <c r="P313" s="3146"/>
      <c r="Q313" s="3145"/>
      <c r="R313" s="876"/>
      <c r="S313" s="876"/>
      <c r="T313" s="876"/>
      <c r="U313" s="876"/>
      <c r="V313" s="876"/>
      <c r="W313" s="679"/>
    </row>
    <row r="314" spans="1:38">
      <c r="A314" s="272" t="s">
        <v>226</v>
      </c>
      <c r="B314" s="2992">
        <f>SUM('Proposed Development Info'!H$138:H$146)</f>
        <v>0</v>
      </c>
      <c r="C314" s="2992"/>
      <c r="D314" s="272"/>
      <c r="E314" s="272"/>
      <c r="F314" s="272"/>
      <c r="G314" s="6"/>
    </row>
    <row r="315" spans="1:38">
      <c r="A315" s="273" t="s">
        <v>227</v>
      </c>
      <c r="B315" s="297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(1) (2)</v>
      </c>
      <c r="C315" s="2973"/>
      <c r="D315" s="273" t="s">
        <v>222</v>
      </c>
      <c r="E315" s="273"/>
      <c r="F315" s="273"/>
      <c r="G315" s="65" t="str">
        <f ca="1">IF($B315="(1) (2) (3)",$H$238&amp;" "&amp;$H$239&amp;" "&amp;$H$240,IF($B315="(1) (2)",$H$238&amp;" "&amp;$H$239,IF($B315="(1) (3)",$H$238&amp;" "&amp;$H$240,IF($B315="(2) (3)",$H$239&amp;" "&amp;$H$240,IF($B315="(1)",$H$238,IF($B315="(2)",$H$239,IF($B315="(3)",$H$240,"")))))))</f>
        <v xml:space="preserve">Applicant still needs to select a Development Category at Section 4.A.4.b.(1) above.  Applicant still needs to enter Total Units in Section 4.A.6.a. in the 'Units, Set-Asides, Bldgs' worksheet tab. </v>
      </c>
      <c r="H315" s="85"/>
      <c r="I315" s="85"/>
      <c r="J315" s="85"/>
      <c r="K315" s="85"/>
      <c r="L315" s="85"/>
      <c r="M315" s="85"/>
      <c r="N315" s="85"/>
      <c r="O315" s="85"/>
      <c r="P315" s="85"/>
      <c r="Q315" s="85"/>
      <c r="R315" s="85"/>
      <c r="S315" s="85"/>
      <c r="T315" s="85"/>
      <c r="U315" s="85"/>
      <c r="V315" s="85"/>
      <c r="W315" s="85"/>
      <c r="X315" s="85"/>
      <c r="Y315" s="85"/>
      <c r="Z315" s="85"/>
      <c r="AA315" s="85"/>
      <c r="AB315" s="85"/>
      <c r="AC315" s="85"/>
      <c r="AD315" s="85"/>
    </row>
    <row r="316" spans="1:38">
      <c r="A316" s="671" t="s">
        <v>228</v>
      </c>
      <c r="B316" s="3142" t="str">
        <f>IF(AND(OR(Development_Category="Rehabilitation",Development_Category="Acquisition and Rehabilitation"),Development_SubCategory&lt;&gt;"Preservation (w/ or w/o Acquisition)"),IF(LEFT(Data1!B315,1)="(","TBD",IF(Data1!B315&lt;B313,"Yes","No")),"NA")</f>
        <v>NA</v>
      </c>
      <c r="C316" s="3142"/>
      <c r="D316" s="671" t="s">
        <v>1965</v>
      </c>
      <c r="E316" s="273"/>
      <c r="F316" s="273"/>
      <c r="G316" s="1276" t="s">
        <v>1955</v>
      </c>
      <c r="H316" s="1065" t="s">
        <v>2460</v>
      </c>
      <c r="I316" s="1065" t="s">
        <v>1954</v>
      </c>
    </row>
    <row r="317" spans="1:38">
      <c r="A317" s="673" t="str">
        <f>"     (ii) Meets the Rule Definition (67-"&amp;IF(Funding!M$310=1,"21","48")&amp;".002) for Rehabilitation?"</f>
        <v xml:space="preserve">     (ii) Meets the Rule Definition (67-21.002) for Rehabilitation?</v>
      </c>
      <c r="B317" s="2950" t="str">
        <f>IF(AND(OR(Development_Category="Rehabilitation",Development_Category="Acquisition and Rehabilitation"),Development_SubCategory&lt;&gt;"Preservation (w/ or w/o Acquisition)"),IF(Data1!R$312="Yes","Yes",IF(Data1!R$312="No","No","Need Response at 4.A.4.b.(2)")),"Not a Rehabilitation development")</f>
        <v>Not a Rehabilitation development</v>
      </c>
      <c r="C317" s="2950"/>
      <c r="D317" s="2950"/>
      <c r="E317" s="2950"/>
      <c r="F317" s="968"/>
      <c r="G317" s="6" t="s">
        <v>1946</v>
      </c>
      <c r="H317" s="307">
        <f>N(Actual_Constructioncost_eligible)+IF(N(Actual_GCfee_total)=0,DS_MaxGCFee*N(Actual_Constructioncost_total),MIN(N(Actual_GCfee_eligible),DS_MaxGCFee*N(Actual_Constructioncost_total)))</f>
        <v>0</v>
      </c>
      <c r="I317" s="307" t="str">
        <f>Actual_TotalConstructioncost_eligible</f>
        <v/>
      </c>
      <c r="J317" t="s">
        <v>1957</v>
      </c>
    </row>
    <row r="318" spans="1:38">
      <c r="A318" s="671" t="s">
        <v>1640</v>
      </c>
      <c r="B318" s="2948" t="str">
        <f>IF(RIGHT(Excel_RFA_Number,3)="104",IF(OR(DS_ExcelCheckBox_DevCat_CorpPortfolio=TRUE,DS_ExcelCheckBox_DevCat_RDPortfolio=TRUE),"Yes","No"),"NA")</f>
        <v>NA</v>
      </c>
      <c r="C318" s="2948"/>
      <c r="D318" s="68" t="s">
        <v>1807</v>
      </c>
      <c r="E318" s="2230" t="s">
        <v>2875</v>
      </c>
      <c r="F318" s="273"/>
      <c r="G318" s="6" t="s">
        <v>1947</v>
      </c>
      <c r="H318" s="307">
        <f>MIN(N(Contingency_Hard_eligible),IF(Development_Category="New Construction",DS_MaxHCCNC,DS_MaxHCCR)*N(Actual_TotalConstructioncost_total))</f>
        <v>0</v>
      </c>
      <c r="I318" s="307">
        <f>Contingency_Hard_eligible</f>
        <v>0</v>
      </c>
      <c r="J318" t="s">
        <v>1958</v>
      </c>
    </row>
    <row r="319" spans="1:38">
      <c r="A319" s="671" t="s">
        <v>1641</v>
      </c>
      <c r="B319" s="2948" t="str">
        <f>IF(RIGHT(Excel_RFA_Number,3)="104",IF(DS_ExcelCheckBox_DevCat_CorpPortfolio=TRUE,IF(SAIL_CorpPortfolio_AppNumber&lt;&gt;"","Yes","No"),"NA"),"NA")</f>
        <v>NA</v>
      </c>
      <c r="C319" s="2948"/>
      <c r="D319" s="273" t="s">
        <v>1808</v>
      </c>
      <c r="E319" s="2230" t="s">
        <v>2875</v>
      </c>
      <c r="F319" s="671"/>
      <c r="G319" s="6" t="s">
        <v>1948</v>
      </c>
      <c r="H319" s="307">
        <f>N(General_totaldevelopmentcost_eligible)</f>
        <v>0</v>
      </c>
      <c r="I319" s="307" t="str">
        <f>General_totaldevelopmentcost_eligible</f>
        <v/>
      </c>
      <c r="J319" t="s">
        <v>1959</v>
      </c>
    </row>
    <row r="320" spans="1:38">
      <c r="A320" s="671" t="s">
        <v>1642</v>
      </c>
      <c r="B320" s="2948" t="str">
        <f>IF(RIGHT(Excel_RFA_Number,3)="104",IF(FarmFish_Waivers="No","Yes","No"),"NA")</f>
        <v>NA</v>
      </c>
      <c r="C320" s="2948"/>
      <c r="D320" s="273" t="s">
        <v>1809</v>
      </c>
      <c r="E320" s="2230" t="s">
        <v>2875</v>
      </c>
      <c r="F320" s="394"/>
      <c r="G320" s="6" t="s">
        <v>1949</v>
      </c>
      <c r="H320" s="307">
        <f>MIN(N(Contingency_Soft_eligible),DS_MaxSCC*N(General_totaldevelopmentcost_total))</f>
        <v>0</v>
      </c>
      <c r="I320" s="307">
        <f>Contingency_Soft_eligible</f>
        <v>0</v>
      </c>
      <c r="J320" t="s">
        <v>1960</v>
      </c>
    </row>
    <row r="321" spans="1:31">
      <c r="A321" s="273" t="s">
        <v>2461</v>
      </c>
      <c r="B321" s="2979">
        <f>B289</f>
        <v>0.2</v>
      </c>
      <c r="C321" s="2979"/>
      <c r="D321" s="273" t="s">
        <v>1846</v>
      </c>
      <c r="E321" s="273"/>
      <c r="F321" s="273"/>
      <c r="G321" s="6" t="s">
        <v>1950</v>
      </c>
      <c r="H321" s="307">
        <f>N(Financial_total_eligible)</f>
        <v>0</v>
      </c>
      <c r="I321" s="307" t="str">
        <f>Financial_total_eligible</f>
        <v/>
      </c>
      <c r="J321" t="s">
        <v>1291</v>
      </c>
    </row>
    <row r="322" spans="1:31" ht="15" customHeight="1">
      <c r="A322" s="273" t="s">
        <v>233</v>
      </c>
      <c r="B322" s="2976" t="str">
        <f>IF(AND(Development_Category="&lt;select one&gt;",N(Development_Cost_eligible)-N(Acquisition_eligible)+N(Developer_fee_non_acq_eligible)=0),"(1) (4)",IF(Development_Category="&lt;select one&gt;","(1)",IF(N(Development_Cost_eligible)-N(Acquisition_eligible)+N(Developer_fee_non_acq_eligible)=0,"(4)",H324)))</f>
        <v>(1) (4)</v>
      </c>
      <c r="C322" s="2976"/>
      <c r="D322" s="273" t="s">
        <v>229</v>
      </c>
      <c r="E322" s="3045" t="s">
        <v>1937</v>
      </c>
      <c r="F322" s="3045"/>
      <c r="G322" s="6" t="s">
        <v>1951</v>
      </c>
      <c r="H322" s="307">
        <f>SUM(H317:H321)</f>
        <v>0</v>
      </c>
      <c r="I322" s="307">
        <f>SUM(I317:I321)</f>
        <v>0</v>
      </c>
      <c r="J322" t="s">
        <v>1299</v>
      </c>
    </row>
    <row r="323" spans="1:31">
      <c r="A323" s="273" t="s">
        <v>234</v>
      </c>
      <c r="B323" s="2976" t="str">
        <f>IF(N('Pro Forma'!H$106)=0,"(5)",'Pro Forma'!H$106+'Pro Forma'!H$112)</f>
        <v>(5)</v>
      </c>
      <c r="C323" s="2976"/>
      <c r="D323" s="678" t="s">
        <v>230</v>
      </c>
      <c r="E323" s="2579"/>
      <c r="F323" s="2579"/>
      <c r="G323" s="1278" t="s">
        <v>1953</v>
      </c>
      <c r="H323" s="307">
        <f>IF(Developer_fee_non_acq_total=0,ROUNDDOWN(DS_MaxDevFeeNonAcq_Percent*(N(Development_Cost_total)-N(Acquisition_total)),0),MIN(N(Developer_fee_non_acq_eligible),ROUNDDOWN(DS_MaxDevFeeNonAcq_Percent*(N(Development_Cost_total)-N(Acquisition_total)),0)))</f>
        <v>0</v>
      </c>
      <c r="I323" s="307">
        <f>Developer_fee_non_acq_eligible</f>
        <v>0</v>
      </c>
      <c r="J323" t="s">
        <v>1304</v>
      </c>
    </row>
    <row r="324" spans="1:31">
      <c r="A324" s="273" t="str">
        <f>"     (iii)(A) "&amp;TEXT(B321,"0%")&amp;" of adjusted basis of acquired building"</f>
        <v xml:space="preserve">     (iii)(A) 20% of adjusted basis of acquired building</v>
      </c>
      <c r="B324" s="2977">
        <f>ROUND(IF(LEFT(B323,1)="(",0,B323)*B321,2)</f>
        <v>0</v>
      </c>
      <c r="C324" s="2977"/>
      <c r="D324" s="273"/>
      <c r="E324" s="2579"/>
      <c r="F324" s="2579"/>
      <c r="G324" s="681" t="s">
        <v>1952</v>
      </c>
      <c r="H324" s="307">
        <f>H322+H323</f>
        <v>0</v>
      </c>
      <c r="I324" s="307">
        <f>I322+I323</f>
        <v>0</v>
      </c>
    </row>
    <row r="325" spans="1:31">
      <c r="A325" s="273" t="s">
        <v>235</v>
      </c>
      <c r="B325" s="2973" t="str">
        <f>IF(OR(LEFT(B322,1)="(",LEFT(B323,1)="("),IF(IFERROR(FIND("(1)",B322)&gt;0,0)&gt;0,"(1)","")&amp;IF(IFERROR(FIND("(4)",B322)&gt;0,0)&gt;0,"(4)","")&amp;IF(IFERROR(FIND("(5)",B323)&gt;0,0)&gt;0,"(5)",""),B322/B324)</f>
        <v>(4)(5)</v>
      </c>
      <c r="C325" s="2973"/>
      <c r="D325" s="273" t="s">
        <v>231</v>
      </c>
      <c r="E325" s="2579"/>
      <c r="F325" s="2579"/>
      <c r="G325" s="680" t="str">
        <f>IF($B325="(1) (4) (5)",$H$238&amp;" "&amp;$H$241&amp;" "&amp;$H$242,IF($B325="(1) (4)",$H$238&amp;" "&amp;$H$241,IF($B325="(1) (5)",$H$238&amp;" "&amp;$H$242,IF($B325="(4) (5)",$H$241&amp;" "&amp;$H$242,IF($B325="(1)",$H$238,IF($B325="(4)",$H$241,IF($B325="(5)",$H$242,"")))))))</f>
        <v/>
      </c>
      <c r="H325" s="85"/>
      <c r="I325" s="85"/>
      <c r="J325" s="85"/>
      <c r="K325" s="85"/>
      <c r="L325" s="85"/>
      <c r="M325" s="85"/>
      <c r="N325" s="85"/>
      <c r="O325" s="85"/>
      <c r="P325" s="85"/>
      <c r="Q325" s="85"/>
      <c r="R325" s="85"/>
      <c r="S325" s="85"/>
      <c r="T325" s="85"/>
      <c r="U325" s="85"/>
      <c r="V325" s="85"/>
      <c r="W325" s="85"/>
      <c r="X325" s="85"/>
      <c r="Y325" s="85"/>
      <c r="Z325" s="85"/>
      <c r="AA325" s="85"/>
      <c r="AB325" s="85"/>
      <c r="AC325" s="85"/>
      <c r="AD325" s="85"/>
      <c r="AE325" s="85"/>
    </row>
    <row r="326" spans="1:31">
      <c r="A326" s="671" t="s">
        <v>1972</v>
      </c>
      <c r="B326" s="3072" t="str">
        <f>IF(AND(DS_HC_Funding="Yes",AND(OR(Development_Category="Rehabilitation",Development_Category="Acquisition and Rehabilitation"),Development_SubCategory&lt;&gt;"Preservation (w/ or w/o Acquisition)")),IF(AND(IF(LEFT(Data1!B322,1)="(",0,Data1!B322)&gt;0,IF(LEFT(Data1!B322,1)="(",0,Data1!B322)&gt;=B324),"Yes","No"),"NA")</f>
        <v>NA</v>
      </c>
      <c r="C326" s="3072"/>
      <c r="D326" s="273"/>
      <c r="E326" s="2574"/>
      <c r="F326" s="2574"/>
      <c r="G326" s="6"/>
    </row>
    <row r="327" spans="1:31">
      <c r="A327" s="273" t="s">
        <v>2462</v>
      </c>
      <c r="B327" s="3073">
        <f>DS_IRC_Min_Pres_Costs_PU</f>
        <v>8700</v>
      </c>
      <c r="C327" s="3073"/>
      <c r="D327" s="1535" t="s">
        <v>2316</v>
      </c>
      <c r="E327" s="273"/>
      <c r="F327" s="273"/>
      <c r="G327" s="1061" t="s">
        <v>1961</v>
      </c>
    </row>
    <row r="328" spans="1:31">
      <c r="A328" s="273" t="s">
        <v>236</v>
      </c>
      <c r="B328" s="2972">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28" s="2972"/>
      <c r="D328" s="273" t="s">
        <v>232</v>
      </c>
      <c r="E328" s="273"/>
      <c r="F328" s="2227" t="s">
        <v>2872</v>
      </c>
      <c r="G328" s="6" t="s">
        <v>1962</v>
      </c>
    </row>
    <row r="329" spans="1:31">
      <c r="A329" s="273" t="s">
        <v>237</v>
      </c>
      <c r="B329" s="3034"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9" s="3034"/>
      <c r="D329" s="273" t="s">
        <v>2235</v>
      </c>
      <c r="E329" s="273"/>
      <c r="F329" s="273" t="s">
        <v>2239</v>
      </c>
      <c r="G329" s="6"/>
    </row>
    <row r="330" spans="1:31">
      <c r="A330" s="273" t="s">
        <v>238</v>
      </c>
      <c r="B330" s="2970"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30" s="2970"/>
      <c r="D330" s="273" t="s">
        <v>2235</v>
      </c>
      <c r="E330" s="273"/>
      <c r="F330" s="273"/>
      <c r="G330" s="6"/>
    </row>
    <row r="331" spans="1:31">
      <c r="A331" s="273" t="s">
        <v>2463</v>
      </c>
      <c r="B331" s="3033"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322*MAX(N(B329),0)))))))))))))))</f>
        <v>(1) (4) (6) (16)</v>
      </c>
      <c r="C331" s="3033"/>
      <c r="D331" s="273" t="s">
        <v>2236</v>
      </c>
      <c r="E331" s="273"/>
      <c r="F331" s="273" t="str">
        <f>"[ Rehab $ (B"&amp;TEXT(ROW(B322),"0")&amp;") x App Fraction (B"&amp;TEXT(ROW(B329),"0")&amp;") x Basis Boost (B"&amp;TEXT(ROW(B328),"0")&amp;") ]"</f>
        <v>[ Rehab $ (B322) x App Fraction (B329) x Basis Boost (B328) ]</v>
      </c>
      <c r="G331" s="6"/>
    </row>
    <row r="332" spans="1:31">
      <c r="A332" s="273" t="s">
        <v>2464</v>
      </c>
      <c r="B332" s="2977" t="str">
        <f>IF(LEFT(B331,1)="(",B331,IF(MAX('Units, Set-Asides, Bldgs'!F$65,total_HC_units_AIT)=0,0,B331/MAX('Units, Set-Asides, Bldgs'!F$65,total_HC_units_AIT)))</f>
        <v>(1) (4) (6) (16)</v>
      </c>
      <c r="C332" s="2977"/>
      <c r="D332" s="273"/>
      <c r="E332" s="273"/>
      <c r="F332" s="273"/>
      <c r="G332" s="65" t="str">
        <f>IF($B331="(1) (4) (6)",$H$238&amp;" "&amp;$H$241&amp;" "&amp;$H$243,IF($B331="(1) (4)",$H$238&amp;" "&amp;$H$241,IF($B331="(1) (6)",$H$238&amp;" "&amp;$H$243,IF($B331="(4) (6)",$H$241&amp;" "&amp;$H$243,IF($B331="(1)",$H$238,IF($B331="(4)",$H$241,IF($B331="(6)",$H$243,"")))))))</f>
        <v/>
      </c>
      <c r="H332" s="85"/>
      <c r="I332" s="85"/>
      <c r="J332" s="85"/>
      <c r="K332" s="85"/>
      <c r="L332" s="85"/>
      <c r="M332" s="85"/>
      <c r="N332" s="85"/>
      <c r="O332" s="85"/>
      <c r="P332" s="85"/>
      <c r="Q332" s="85"/>
      <c r="R332" s="85"/>
      <c r="S332" s="85"/>
      <c r="T332" s="85"/>
      <c r="U332" s="85"/>
      <c r="V332" s="85"/>
      <c r="W332" s="85"/>
      <c r="X332" s="85"/>
      <c r="Y332" s="85"/>
      <c r="Z332" s="85"/>
      <c r="AA332" s="85"/>
      <c r="AB332" s="85"/>
      <c r="AC332" s="85"/>
      <c r="AD332" s="85"/>
      <c r="AE332" s="85"/>
    </row>
    <row r="333" spans="1:31">
      <c r="A333" s="671" t="s">
        <v>1973</v>
      </c>
      <c r="B333" s="2948" t="str">
        <f>IF(AND(DS_HC_Funding="Yes",AND(OR(Development_Category="Rehabilitation",Development_Category="Acquisition and Rehabilitation"),Development_SubCategory&lt;&gt;"Preservation (w/ or w/o Acquisition)")),IF(IF(LEFT(Data1!B332,1)="(",0,Data1!B332)&gt;=B327,"Yes","No"),"NA")</f>
        <v>NA</v>
      </c>
      <c r="C333" s="2948"/>
      <c r="D333" s="273"/>
      <c r="E333" s="273"/>
      <c r="F333" s="273"/>
      <c r="G333" s="6"/>
    </row>
    <row r="334" spans="1:31">
      <c r="A334" s="328" t="s">
        <v>1799</v>
      </c>
      <c r="B334" s="3073">
        <f>B302</f>
        <v>40000</v>
      </c>
      <c r="C334" s="3073"/>
      <c r="D334" s="328" t="s">
        <v>1798</v>
      </c>
      <c r="E334" s="328"/>
      <c r="F334" s="328"/>
      <c r="G334" s="6"/>
    </row>
    <row r="335" spans="1:31">
      <c r="A335" s="328" t="s">
        <v>1800</v>
      </c>
      <c r="B335" s="3070" t="str">
        <f>IF(N('Pro Forma'!N$56)+N('Pro Forma'!N$64)=0,"(14)",N('Pro Forma'!N$56)+N('Pro Forma'!N$64))</f>
        <v>(14)</v>
      </c>
      <c r="C335" s="3070"/>
      <c r="D335" s="500">
        <v>14</v>
      </c>
      <c r="E335" s="328"/>
      <c r="F335" s="273" t="s">
        <v>1956</v>
      </c>
      <c r="G335" s="6"/>
    </row>
    <row r="336" spans="1:31">
      <c r="A336" s="328" t="s">
        <v>1801</v>
      </c>
      <c r="B336" s="3071" t="str">
        <f>IF(Total_Units=0,"(2)",B303/Total_Units)</f>
        <v>(2)</v>
      </c>
      <c r="C336" s="3071"/>
      <c r="D336" s="500">
        <v>2</v>
      </c>
      <c r="E336" s="328"/>
      <c r="F336" s="328"/>
      <c r="G336" s="6"/>
    </row>
    <row r="337" spans="1:41">
      <c r="A337" s="328" t="s">
        <v>1974</v>
      </c>
      <c r="B337" s="2999" t="str">
        <f>IF(AND(DS_HC_Funding="Yes",OR(Development_Category="Rehabilitation",Development_Category="Acquisition and Rehabilitation")),IF(N(B336)&gt;=N(B334),"Yes","No"),"NA")</f>
        <v>NA</v>
      </c>
      <c r="C337" s="2999"/>
      <c r="D337" s="328" t="s">
        <v>1810</v>
      </c>
      <c r="E337" s="328"/>
      <c r="F337" s="328"/>
      <c r="G337" s="6"/>
    </row>
    <row r="338" spans="1:41" ht="25.15" customHeight="1" thickBot="1">
      <c r="A338" s="1006" t="s">
        <v>224</v>
      </c>
      <c r="B338" s="3001"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one&gt;","(6)",""),"")&amp;IF(B316="No","(13)","")&amp;IF(N('Pro Forma'!N$56)+N('Pro Forma'!N$64)=0,"(14)","")&amp;IF(IF(Minimum_SetAside_per_Sec_42=DS_IRS_AIT,AIT_HC_SA_Percent,NonAIT_HC_SA_Percent)=0,"(16)","")&amp;IF(B318="No","(R1)","")&amp;IF(B319="No","(R2)","")&amp;IF(B320="No","(R3)","")</f>
        <v>(1)(2)(4)(5)(6)(14)(16)</v>
      </c>
      <c r="C338" s="3001"/>
      <c r="D338" s="1007" t="s">
        <v>2238</v>
      </c>
      <c r="E338" s="1007"/>
      <c r="F338" s="1007"/>
      <c r="G338" s="685" t="str">
        <f ca="1">IF(IFERROR(FIND("(1)",$B338)&gt;0,0)&gt;0,DS_DevCat_Note_01,"")&amp;IF(IFERROR(FIND("(2)",$B338)&gt;0,0)&gt;0,DS_DevCat_Note_02,"")&amp;IF(IFERROR(FIND("(3)",$B338)&gt;0,0)&gt;0,DS_DevCat_Note_03,"")&amp;IF(IFERROR(FIND("(4)",$B338)&gt;0,0)&gt;0,DS_DevCat_Note_04,"")&amp;IF(IFERROR(FIND("(5)",$B338)&gt;0,0)&gt;0,DS_DevCat_Note_05,"")&amp;IF(IFERROR(FIND("(6)",$B338)&gt;0,0)&gt;0,DS_DevCat_Note_06,"")&amp;IF(IFERROR(FIND("(7)",$B338)&gt;0,0)&gt;0,DS_DevCat_Note_07,"")&amp;IF(IFERROR(FIND("(8)",$B338)&gt;0,0)&gt;0,DS_DevCat_Note_08,"")&amp;IF(IFERROR(FIND("(9)",$B338)&gt;0,0)&gt;0,DS_DevCat_Note_09,"")&amp;IF(IFERROR(FIND("(10)",$B338)&gt;0,0)&gt;0,DS_DevCat_Note_10,"")&amp;IF(IFERROR(FIND("(11)",$B338)&gt;0,0)&gt;0,DS_DevCat_Note_11,"")&amp;IF(IFERROR(FIND("(12)",$B338)&gt;0,0)&gt;0,DS_DevCat_Note_12,"")&amp;IF(IFERROR(FIND("(13)",$B338)&gt;0,0)&gt;0,DS_DevCat_Note_13,"")&amp;IF(IFERROR(FIND("(14)",$B338)&gt;0,0)&gt;0,DS_DevCat_Note_14,"")&amp;IF(IFERROR(FIND("(15)",$B338)&gt;0,0)&gt;0,DS_DevCat_Note_15,"")&amp;IF(IFERROR(FIND("(16)",$B338)&gt;0,0)&gt;0,DS_DevCat_Note_16,"")&amp;IF(IFERROR(FIND("(R1)",$B338)&gt;0,0)&gt;0,DS_DevCat_Note_R1,"")&amp;IF(IFERROR(FIND("(R2)",$B338)&gt;0,0)&gt;0,DS_DevCat_Note_R2,"")&amp;IF(IFERROR(FIND("(R3)",$B338)&gt;0,0)&gt;0,DS_DevCat_Note_R3,"")&amp;IF(AND(IFERROR(FIND("(1)",$B338)&gt;0,0)=0,IFERROR(FIND("(2)",$B338)&gt;0,0)=0,IFERROR(FIND("(3)",$B338)&gt;0,0)=0,IFERROR(FIND("(4)",$B338)&gt;0,0)=0,IFERROR(FIND("(5)",$B338)&gt;0,0)=0,IFERROR(FIND("(6)",$B338)&gt;0,0)=0,IFERROR(FIND("(7)",$B338)&gt;0,0)=0,IFERROR(FIND("(8)",$B338)&gt;0,0)=0,IFERROR(FIND("(9)",$B338)&gt;0,0)=0,IFERROR(FIND("(10)",$B338)&gt;0,0)=0,IFERROR(FIND("(11)",$B338)&gt;0,0)=0,IFERROR(FIND("(12)",$B338)&gt;0,0)=0,IFERROR(FIND("(13)",$B338)&gt;0,0)=0,IFERROR(FIND("(14)",$B338)&gt;0,0)=0,IFERROR(FIND("(15)",$B338)&gt;0,0)=0,IFERROR(FIND("(16)",$B338)&gt;0,0)=0,IFERROR(FIND("(R1)",$B338)&gt;0,0)=0,IFERROR(FIND("(R2)",$B338)&gt;0,0)=0,IFERROR(FIND("(R3)",$B338)&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38" s="686"/>
      <c r="I338" s="686"/>
      <c r="J338" s="686"/>
      <c r="K338" s="686"/>
      <c r="L338" s="686"/>
      <c r="M338" s="686"/>
      <c r="N338" s="686"/>
      <c r="O338" s="686"/>
      <c r="P338" s="686"/>
      <c r="Q338" s="686"/>
      <c r="R338" s="686"/>
      <c r="S338" s="686"/>
      <c r="T338" s="686"/>
      <c r="U338" s="686"/>
      <c r="V338" s="686"/>
      <c r="W338" s="686"/>
      <c r="X338" s="686"/>
      <c r="Y338" s="686"/>
      <c r="Z338" s="686"/>
      <c r="AA338" s="686"/>
      <c r="AB338" s="686"/>
      <c r="AC338" s="686"/>
      <c r="AD338" s="686"/>
      <c r="AE338" s="686"/>
      <c r="AF338" s="686"/>
      <c r="AG338" s="686"/>
      <c r="AH338" s="686"/>
      <c r="AI338" s="686"/>
      <c r="AJ338" s="686"/>
      <c r="AK338" s="686"/>
      <c r="AL338" s="686"/>
      <c r="AM338" s="686"/>
      <c r="AN338" s="686"/>
      <c r="AO338" s="686"/>
    </row>
    <row r="339" spans="1:41">
      <c r="A339" s="6"/>
      <c r="B339" s="6"/>
      <c r="C339" s="6"/>
      <c r="D339" s="6"/>
      <c r="E339" s="6"/>
      <c r="F339" s="1484" t="s">
        <v>2217</v>
      </c>
      <c r="G339" s="1484" t="s">
        <v>2216</v>
      </c>
    </row>
    <row r="340" spans="1:41" ht="18" customHeight="1">
      <c r="A340" s="531" t="s">
        <v>1544</v>
      </c>
      <c r="B340" s="532" t="s">
        <v>37</v>
      </c>
      <c r="C340" s="532" t="s">
        <v>38</v>
      </c>
      <c r="D340" s="532" t="s">
        <v>39</v>
      </c>
      <c r="E340" s="483" t="s">
        <v>1543</v>
      </c>
      <c r="F340" s="64" t="str">
        <f>IF(AND($E$346="Yes",OR(AND(Development_Category="New Construction",Development_SubCategory="Redevelopment (w/ or w/o Acquisition)"),AND(OR(Development_Category="Rehabilitation",Development_Category="Acquisition and Rehabilitation"),Development_SubCategory="Preservation (w/ or w/o Acquisition)"))),"&lt;select one&gt;","")</f>
        <v/>
      </c>
      <c r="G340" s="1256" t="str">
        <f>IF(AND($E$346="Yes",OR(AND(Development_Category="New Construction",Development_SubCategory="Redevelopment (w/ or w/o Acquisition)"),AND(OR(Development_Category="Rehabilitation",Development_Category="Acquisition and Rehabilitation"),Development_SubCategory="Preservation (w/ or w/o Acquisition)"))),"&lt;select one&gt;","")</f>
        <v/>
      </c>
      <c r="H340" s="6"/>
      <c r="I340" s="17"/>
    </row>
    <row r="341" spans="1:41">
      <c r="A341" s="918" t="s">
        <v>2533</v>
      </c>
      <c r="B341" s="57">
        <v>1</v>
      </c>
      <c r="C341" s="60">
        <f>IF(B341&lt;&gt;1,"",SUM(B$341:B341))</f>
        <v>1</v>
      </c>
      <c r="D341" s="58">
        <v>1</v>
      </c>
      <c r="E341" s="3065" t="s">
        <v>1935</v>
      </c>
      <c r="F341" s="64" t="str">
        <f>IF(AND(COUNTA($A341:$A$341)&lt;=MAX(DS_RedevCat_Financing_Sequence)=TRUE,OR($E$346&lt;&gt;"Yes",AND($E$346="Yes",OR(AND(Development_Category="New Construction",Development_SubCategory="Redevelopment (w/ or w/o Acquisition)"),AND(OR(Development_Category="Rehabilitation",Development_Category="Acquisition and Rehabilitation"),Development_SubCategory="Preservation (w/ or w/o Acquisition)"))))),LOOKUP(COUNTA($A341:$A$341),DS_RedevCat_Financing_Sequence,DS_RedevCat_Financing_DataNames),"")</f>
        <v/>
      </c>
      <c r="G341" s="1257" t="str">
        <f>IF(AND($E$346="Yes",OR(AND(Development_Category="New Construction",Development_SubCategory="Redevelopment (w/ or w/o Acquisition)"),AND(OR(Development_Category="Rehabilitation",Development_Category="Acquisition and Rehabilitation"),Development_SubCategory="Preservation (w/ or w/o Acquisition)"))),"Yes","")</f>
        <v/>
      </c>
    </row>
    <row r="342" spans="1:41">
      <c r="A342" s="61" t="s">
        <v>241</v>
      </c>
      <c r="B342" s="58">
        <v>1</v>
      </c>
      <c r="C342" s="60">
        <f>IF(B342&lt;&gt;1,"",SUM(B341:B$342))</f>
        <v>2</v>
      </c>
      <c r="D342" s="58">
        <v>2</v>
      </c>
      <c r="E342" s="3066"/>
      <c r="F342" s="64" t="str">
        <f>IF(AND(COUNTA($A$341:$A342)&lt;=MAX(DS_RedevCat_Financing_Sequence)=TRUE,OR($E$346&lt;&gt;"Yes",AND($E$346="Yes",OR(AND(Development_Category="New Construction",Development_SubCategory="Redevelopment (w/ or w/o Acquisition)"),AND(OR(Development_Category="Rehabilitation",Development_Category="Acquisition and Rehabilitation"),Development_SubCategory="Preservation (w/ or w/o Acquisition)"))))),LOOKUP(COUNTA($A$341:$A342),DS_RedevCat_Financing_Sequence,DS_RedevCat_Financing_DataNames),"")</f>
        <v/>
      </c>
      <c r="G342" s="1258" t="str">
        <f>IF(AND($E$346="Yes",OR(AND(Development_Category="New Construction",Development_SubCategory="Redevelopment (w/ or w/o Acquisition)"),AND(OR(Development_Category="Rehabilitation",Development_Category="Acquisition and Rehabilitation"),Development_SubCategory="Preservation (w/ or w/o Acquisition)"))),"No","")</f>
        <v/>
      </c>
    </row>
    <row r="343" spans="1:41">
      <c r="A343" s="61" t="s">
        <v>242</v>
      </c>
      <c r="B343" s="58">
        <v>1</v>
      </c>
      <c r="C343" s="60">
        <f>IF(B343&lt;&gt;1,"",SUM(B$341:B343))</f>
        <v>3</v>
      </c>
      <c r="D343" s="58">
        <v>3</v>
      </c>
      <c r="E343" s="1255" t="str">
        <f>IF(OR(AND(Development_Category="New Construction",Development_SubCategory="Redevelopment (w/ or w/o Acquisition)"),AND(OR(Development_Category="Rehabilitation",Development_Category="Acquisition and Rehabilitation"),Development_SubCategory="Preservation (w/ or w/o Acquisition)")),"Yes","No")</f>
        <v>No</v>
      </c>
      <c r="F343" s="64" t="str">
        <f>IF(AND(COUNTA($A$341:$A343)&lt;=MAX(DS_RedevCat_Financing_Sequence)=TRUE,OR($E$346&lt;&gt;"Yes",AND($E$346="Yes",OR(AND(Development_Category="New Construction",Development_SubCategory="Redevelopment (w/ or w/o Acquisition)"),AND(OR(Development_Category="Rehabilitation",Development_Category="Acquisition and Rehabilitation"),Development_SubCategory="Preservation (w/ or w/o Acquisition)"))))),LOOKUP(COUNTA($A$341:$A343),DS_RedevCat_Financing_Sequence,DS_RedevCat_Financing_DataNames),"")</f>
        <v/>
      </c>
      <c r="G343" s="1484" t="str">
        <f>"[ for row "&amp;ROW(DevCat_PHA_DOT_or_Rehabbed)&amp;" ]"</f>
        <v>[ for row 66 ]</v>
      </c>
    </row>
    <row r="344" spans="1:41">
      <c r="A344" s="61" t="s">
        <v>243</v>
      </c>
      <c r="B344" s="58">
        <v>1</v>
      </c>
      <c r="C344" s="60">
        <f>IF(B344&lt;&gt;1,"",SUM(B$341:B344))</f>
        <v>4</v>
      </c>
      <c r="D344" s="58">
        <v>4</v>
      </c>
      <c r="E344" s="3065" t="s">
        <v>1936</v>
      </c>
      <c r="F344" s="64" t="str">
        <f>IF(AND(COUNTA($A$341:$A344)&lt;=MAX(DS_RedevCat_Financing_Sequence)=TRUE,OR($E$346&lt;&gt;"Yes",AND($E$346="Yes",OR(AND(Development_Category="New Construction",Development_SubCategory="Redevelopment (w/ or w/o Acquisition)"),AND(OR(Development_Category="Rehabilitation",Development_Category="Acquisition and Rehabilitation"),Development_SubCategory="Preservation (w/ or w/o Acquisition)"))))),LOOKUP(COUNTA($A$341:$A344),DS_RedevCat_Financing_Sequence,DS_RedevCat_Financing_DataNames),"")</f>
        <v/>
      </c>
      <c r="G344" s="6"/>
    </row>
    <row r="345" spans="1:41">
      <c r="A345" s="61" t="s">
        <v>244</v>
      </c>
      <c r="B345" s="58">
        <v>1</v>
      </c>
      <c r="C345" s="60">
        <f>IF(B345&lt;&gt;1,"",SUM(B$341:B345))</f>
        <v>5</v>
      </c>
      <c r="D345" s="58">
        <v>5</v>
      </c>
      <c r="E345" s="3066"/>
      <c r="F345" s="64" t="str">
        <f>IF(AND(COUNTA($A$341:$A345)&lt;=MAX(DS_RedevCat_Financing_Sequence)=TRUE,OR($E$346&lt;&gt;"Yes",AND($E$346="Yes",OR(AND(Development_Category="New Construction",Development_SubCategory="Redevelopment (w/ or w/o Acquisition)"),AND(OR(Development_Category="Rehabilitation",Development_Category="Acquisition and Rehabilitation"),Development_SubCategory="Preservation (w/ or w/o Acquisition)"))))),LOOKUP(COUNTA($A$341:$A345),DS_RedevCat_Financing_Sequence,DS_RedevCat_Financing_DataNames),"")</f>
        <v/>
      </c>
      <c r="G345" s="6"/>
    </row>
    <row r="346" spans="1:41">
      <c r="A346" s="61" t="s">
        <v>245</v>
      </c>
      <c r="B346" s="58">
        <v>1</v>
      </c>
      <c r="C346" s="60">
        <f>IF(B346&lt;&gt;1,"",SUM(B$341:B346))</f>
        <v>6</v>
      </c>
      <c r="D346" s="58">
        <v>6</v>
      </c>
      <c r="E346" s="1259" t="s">
        <v>280</v>
      </c>
      <c r="F346" s="64" t="str">
        <f>IF(AND(COUNTA($A$341:$A346)&lt;=MAX(DS_RedevCat_Financing_Sequence)=TRUE,OR($E$346&lt;&gt;"Yes",AND($E$346="Yes",OR(AND(Development_Category="New Construction",Development_SubCategory="Redevelopment (w/ or w/o Acquisition)"),AND(OR(Development_Category="Rehabilitation",Development_Category="Acquisition and Rehabilitation"),Development_SubCategory="Preservation (w/ or w/o Acquisition)"))))),LOOKUP(COUNTA($A$341:$A346),DS_RedevCat_Financing_Sequence,DS_RedevCat_Financing_DataNames),"")</f>
        <v/>
      </c>
      <c r="G346" s="111" t="s">
        <v>3315</v>
      </c>
      <c r="H346" s="111"/>
      <c r="I346" s="2524" t="s">
        <v>3313</v>
      </c>
      <c r="J346" s="111" t="s">
        <v>3314</v>
      </c>
      <c r="K346" s="111" t="s">
        <v>3339</v>
      </c>
      <c r="L346" s="2524"/>
    </row>
    <row r="347" spans="1:41">
      <c r="A347" s="61" t="s">
        <v>246</v>
      </c>
      <c r="B347" s="58">
        <v>1</v>
      </c>
      <c r="C347" s="60">
        <f>IF(B347&lt;&gt;1,"",SUM(B$341:B347))</f>
        <v>7</v>
      </c>
      <c r="D347" s="58">
        <v>7</v>
      </c>
      <c r="F347" s="64" t="str">
        <f>IF(AND(COUNTA($A$341:$A347)&lt;=MAX(DS_RedevCat_Financing_Sequence)=TRUE,OR($E$346&lt;&gt;"Yes",AND($E$346="Yes",OR(AND(Development_Category="New Construction",Development_SubCategory="Redevelopment (w/ or w/o Acquisition)"),AND(OR(Development_Category="Rehabilitation",Development_Category="Acquisition and Rehabilitation"),Development_SubCategory="Preservation (w/ or w/o Acquisition)"))))),LOOKUP(COUNTA($A$341:$A347),DS_RedevCat_Financing_Sequence,DS_RedevCat_Financing_DataNames),"")</f>
        <v/>
      </c>
      <c r="G347" s="6" t="s">
        <v>3332</v>
      </c>
      <c r="H347" s="6"/>
      <c r="I347" s="2528" t="s">
        <v>3349</v>
      </c>
      <c r="J347" s="1674" t="s">
        <v>3340</v>
      </c>
      <c r="K347" s="6" t="s">
        <v>3369</v>
      </c>
      <c r="L347" s="823"/>
      <c r="M347" s="6"/>
    </row>
    <row r="348" spans="1:41">
      <c r="A348" s="65" t="s">
        <v>2534</v>
      </c>
      <c r="B348" s="58">
        <v>1</v>
      </c>
      <c r="C348" s="60">
        <f>IF(B348&lt;&gt;1,"",SUM(B$341:B348))</f>
        <v>8</v>
      </c>
      <c r="D348" s="494">
        <v>8</v>
      </c>
      <c r="F348" s="64" t="str">
        <f>IF(AND(COUNTA($A$341:$A348)&lt;=MAX(DS_RedevCat_Financing_Sequence)=TRUE,OR($E$346&lt;&gt;"Yes",AND($E$346="Yes",OR(AND(Development_Category="New Construction",Development_SubCategory="Redevelopment (w/ or w/o Acquisition)"),AND(OR(Development_Category="Rehabilitation",Development_Category="Acquisition and Rehabilitation"),Development_SubCategory="Preservation (w/ or w/o Acquisition)"))))),LOOKUP(COUNTA($A$341:$A348),DS_RedevCat_Financing_Sequence,DS_RedevCat_Financing_DataNames),"")</f>
        <v/>
      </c>
      <c r="G348" s="6" t="s">
        <v>3391</v>
      </c>
      <c r="H348" s="6"/>
      <c r="I348" s="2528" t="s">
        <v>3353</v>
      </c>
      <c r="J348" s="1674" t="s">
        <v>3354</v>
      </c>
      <c r="K348" s="6" t="s">
        <v>3320</v>
      </c>
      <c r="L348" s="6"/>
      <c r="M348" s="6" t="s">
        <v>2456</v>
      </c>
    </row>
    <row r="349" spans="1:41">
      <c r="A349" s="6"/>
      <c r="B349" s="6"/>
      <c r="C349" s="6"/>
      <c r="D349" s="6"/>
      <c r="E349" s="6"/>
      <c r="F349" s="1484" t="str">
        <f>"[ for row "&amp;ROW(DevCat_Redev_FinProgram)&amp;" ]"</f>
        <v>[ for row 64 ]</v>
      </c>
      <c r="G349" s="6" t="s">
        <v>3392</v>
      </c>
      <c r="H349" s="6"/>
      <c r="I349" s="2528" t="s">
        <v>3358</v>
      </c>
      <c r="J349" s="1674" t="s">
        <v>3321</v>
      </c>
      <c r="K349" s="6" t="s">
        <v>3320</v>
      </c>
      <c r="L349" s="823"/>
      <c r="M349" s="6" t="s">
        <v>1991</v>
      </c>
    </row>
    <row r="350" spans="1:41">
      <c r="A350" s="531" t="s">
        <v>1633</v>
      </c>
      <c r="E350" s="483" t="s">
        <v>1543</v>
      </c>
      <c r="F350" s="6"/>
      <c r="G350" s="6" t="s">
        <v>3393</v>
      </c>
      <c r="H350" s="6"/>
      <c r="I350" s="2528" t="s">
        <v>3363</v>
      </c>
      <c r="J350" s="1674" t="s">
        <v>3345</v>
      </c>
      <c r="K350" s="6" t="s">
        <v>3320</v>
      </c>
      <c r="L350" s="6"/>
      <c r="M350" s="6" t="s">
        <v>1992</v>
      </c>
    </row>
    <row r="351" spans="1:41">
      <c r="A351" t="s">
        <v>1634</v>
      </c>
      <c r="B351" s="590" t="b">
        <v>0</v>
      </c>
      <c r="F351" s="6"/>
      <c r="G351" s="6" t="s">
        <v>3394</v>
      </c>
      <c r="H351" s="6"/>
      <c r="I351" s="2528" t="s">
        <v>3361</v>
      </c>
      <c r="J351" s="1674" t="s">
        <v>3362</v>
      </c>
      <c r="K351" s="6" t="s">
        <v>3320</v>
      </c>
      <c r="L351" s="6"/>
      <c r="M351" s="6" t="s">
        <v>3376</v>
      </c>
    </row>
    <row r="352" spans="1:41">
      <c r="A352" s="592" t="s">
        <v>1635</v>
      </c>
      <c r="B352" s="593" t="b">
        <v>0</v>
      </c>
      <c r="F352" s="6"/>
      <c r="G352" s="6" t="s">
        <v>3395</v>
      </c>
      <c r="H352" s="6"/>
      <c r="I352" s="2528" t="s">
        <v>3357</v>
      </c>
      <c r="J352" s="1674" t="s">
        <v>3355</v>
      </c>
      <c r="K352" s="6" t="s">
        <v>3320</v>
      </c>
      <c r="L352" s="6"/>
      <c r="M352" s="6" t="s">
        <v>1993</v>
      </c>
    </row>
    <row r="353" spans="1:13">
      <c r="A353" s="6"/>
      <c r="B353" s="6"/>
      <c r="C353" s="6"/>
      <c r="D353" s="6"/>
      <c r="E353" s="6"/>
      <c r="F353" s="6"/>
      <c r="G353" s="6" t="s">
        <v>3396</v>
      </c>
      <c r="H353" s="6"/>
      <c r="I353" s="2528" t="s">
        <v>3365</v>
      </c>
      <c r="J353" s="1674" t="s">
        <v>3322</v>
      </c>
      <c r="K353" s="6" t="s">
        <v>3320</v>
      </c>
      <c r="L353" s="823"/>
      <c r="M353" s="6" t="s">
        <v>2457</v>
      </c>
    </row>
    <row r="354" spans="1:13" ht="18" customHeight="1">
      <c r="A354" s="531" t="s">
        <v>239</v>
      </c>
      <c r="B354" s="532" t="s">
        <v>37</v>
      </c>
      <c r="C354" s="532" t="s">
        <v>38</v>
      </c>
      <c r="D354" s="532" t="s">
        <v>39</v>
      </c>
      <c r="E354" s="483" t="s">
        <v>240</v>
      </c>
      <c r="F354" s="64" t="s">
        <v>41</v>
      </c>
      <c r="G354" s="6" t="s">
        <v>3397</v>
      </c>
      <c r="H354" s="6"/>
      <c r="I354" s="2528" t="s">
        <v>3333</v>
      </c>
      <c r="J354" s="1674" t="s">
        <v>3323</v>
      </c>
      <c r="K354" s="6" t="s">
        <v>3320</v>
      </c>
      <c r="L354" s="823"/>
      <c r="M354" s="6" t="s">
        <v>1994</v>
      </c>
    </row>
    <row r="355" spans="1:13">
      <c r="A355" s="59" t="s">
        <v>241</v>
      </c>
      <c r="B355" s="57">
        <v>1</v>
      </c>
      <c r="C355" s="60">
        <f>IF(B355&lt;&gt;1,"",SUM(B$355:B355))</f>
        <v>1</v>
      </c>
      <c r="D355" s="57">
        <v>1</v>
      </c>
      <c r="F355" s="64" t="str">
        <f>IF(COUNTA($A$355:$A355)&lt;=MAX(DS_RA_Source_Sequence)=TRUE,LOOKUP(COUNTA($A$355:$A355),DS_RA_Source_Sequence,DS_RA_Source_DataNames),"")</f>
        <v>Section 202</v>
      </c>
      <c r="G355" s="6" t="s">
        <v>3398</v>
      </c>
      <c r="H355" s="6"/>
      <c r="I355" s="2528" t="s">
        <v>3372</v>
      </c>
      <c r="J355" s="1674" t="s">
        <v>3317</v>
      </c>
      <c r="K355" s="6" t="s">
        <v>3320</v>
      </c>
      <c r="L355" s="823"/>
      <c r="M355" s="6" t="s">
        <v>1995</v>
      </c>
    </row>
    <row r="356" spans="1:13">
      <c r="A356" s="65" t="s">
        <v>242</v>
      </c>
      <c r="B356" s="58">
        <v>1</v>
      </c>
      <c r="C356" s="60">
        <f>IF(B356&lt;&gt;1,"",SUM(B$355:B356))</f>
        <v>2</v>
      </c>
      <c r="D356" s="58">
        <v>2</v>
      </c>
      <c r="F356" s="64" t="str">
        <f>IF(COUNTA($A$355:$A356)&lt;=MAX(DS_RA_Source_Sequence)=TRUE,LOOKUP(COUNTA($A$355:$A356),DS_RA_Source_Sequence,DS_RA_Source_DataNames),"")</f>
        <v>Section 236</v>
      </c>
      <c r="G356" s="6" t="s">
        <v>3399</v>
      </c>
      <c r="H356" s="6"/>
      <c r="I356" s="2528" t="s">
        <v>3343</v>
      </c>
      <c r="J356" s="1674" t="s">
        <v>3324</v>
      </c>
      <c r="K356" s="6" t="s">
        <v>3320</v>
      </c>
      <c r="L356" s="823"/>
      <c r="M356" s="6" t="s">
        <v>2458</v>
      </c>
    </row>
    <row r="357" spans="1:13">
      <c r="A357" s="59" t="s">
        <v>243</v>
      </c>
      <c r="B357" s="58">
        <v>1</v>
      </c>
      <c r="C357" s="60">
        <f>IF(B357&lt;&gt;1,"",SUM(B$355:B357))</f>
        <v>3</v>
      </c>
      <c r="D357" s="58">
        <v>3</v>
      </c>
      <c r="F357" s="64" t="str">
        <f>IF(COUNTA($A$355:$A357)&lt;=MAX(DS_RA_Source_Sequence)=TRUE,LOOKUP(COUNTA($A$355:$A357),DS_RA_Source_Sequence,DS_RA_Source_DataNames),"")</f>
        <v>Section 811</v>
      </c>
      <c r="G357" s="6" t="s">
        <v>3400</v>
      </c>
      <c r="H357" s="6"/>
      <c r="I357" s="2528" t="s">
        <v>3374</v>
      </c>
      <c r="J357" s="1674" t="s">
        <v>3325</v>
      </c>
      <c r="K357" s="6" t="s">
        <v>3320</v>
      </c>
      <c r="L357" s="823"/>
      <c r="M357" s="6" t="s">
        <v>2459</v>
      </c>
    </row>
    <row r="358" spans="1:13">
      <c r="A358" s="65" t="s">
        <v>244</v>
      </c>
      <c r="B358" s="58">
        <v>1</v>
      </c>
      <c r="C358" s="60">
        <f>IF(B358&lt;&gt;1,"",SUM(B$355:B358))</f>
        <v>4</v>
      </c>
      <c r="D358" s="58">
        <v>4</v>
      </c>
      <c r="F358" s="64" t="str">
        <f>IF(COUNTA($A$355:$A358)&lt;=MAX(DS_RA_Source_Sequence)=TRUE,LOOKUP(COUNTA($A$355:$A358),DS_RA_Source_Sequence,DS_RA_Source_DataNames),"")</f>
        <v>RD 514</v>
      </c>
      <c r="G358" s="6" t="s">
        <v>3401</v>
      </c>
      <c r="H358" s="6"/>
      <c r="I358" s="2528" t="s">
        <v>3367</v>
      </c>
      <c r="J358" s="1674" t="s">
        <v>3334</v>
      </c>
      <c r="K358" s="6" t="s">
        <v>3320</v>
      </c>
      <c r="L358" s="823"/>
      <c r="M358" s="6" t="s">
        <v>1997</v>
      </c>
    </row>
    <row r="359" spans="1:13">
      <c r="A359" s="59" t="s">
        <v>245</v>
      </c>
      <c r="B359" s="58">
        <v>1</v>
      </c>
      <c r="C359" s="60">
        <f>IF(B359&lt;&gt;1,"",SUM(B$355:B359))</f>
        <v>5</v>
      </c>
      <c r="D359" s="58">
        <v>5</v>
      </c>
      <c r="F359" s="64" t="str">
        <f>IF(COUNTA($A$355:$A359)&lt;=MAX(DS_RA_Source_Sequence)=TRUE,LOOKUP(COUNTA($A$355:$A359),DS_RA_Source_Sequence,DS_RA_Source_DataNames),"")</f>
        <v>RD 515</v>
      </c>
      <c r="G359" s="6" t="s">
        <v>3402</v>
      </c>
      <c r="H359" s="6"/>
      <c r="I359" s="2528" t="s">
        <v>3346</v>
      </c>
      <c r="J359" s="1674" t="s">
        <v>3319</v>
      </c>
      <c r="K359" s="6" t="s">
        <v>3320</v>
      </c>
      <c r="L359" s="823"/>
      <c r="M359" s="6" t="s">
        <v>1998</v>
      </c>
    </row>
    <row r="360" spans="1:13">
      <c r="A360" s="65" t="s">
        <v>246</v>
      </c>
      <c r="B360" s="58">
        <v>1</v>
      </c>
      <c r="C360" s="60">
        <f>IF(B360&lt;&gt;1,"",SUM(B$355:B360))</f>
        <v>6</v>
      </c>
      <c r="D360" s="58">
        <v>6</v>
      </c>
      <c r="F360" s="64" t="str">
        <f>IF(COUNTA($A$355:$A360)&lt;=MAX(DS_RA_Source_Sequence)=TRUE,LOOKUP(COUNTA($A$355:$A360),DS_RA_Source_Sequence,DS_RA_Source_DataNames),"")</f>
        <v>RD 516</v>
      </c>
      <c r="G360" s="6" t="s">
        <v>3403</v>
      </c>
      <c r="H360" s="6"/>
      <c r="I360" s="2528" t="s">
        <v>3375</v>
      </c>
      <c r="J360" s="1674" t="s">
        <v>3335</v>
      </c>
      <c r="K360" s="6" t="s">
        <v>3320</v>
      </c>
      <c r="L360" s="823"/>
      <c r="M360" s="6" t="s">
        <v>2001</v>
      </c>
    </row>
    <row r="361" spans="1:13">
      <c r="A361" s="59" t="s">
        <v>124</v>
      </c>
      <c r="B361" s="58">
        <v>1</v>
      </c>
      <c r="C361" s="60">
        <f>IF(B361&lt;&gt;1,"",SUM(B$355:B361))</f>
        <v>7</v>
      </c>
      <c r="D361" s="58">
        <v>7</v>
      </c>
      <c r="F361" s="64" t="str">
        <f>IF(COUNTA($A$355:$A361)&lt;=MAX(DS_RA_Source_Sequence)=TRUE,LOOKUP(COUNTA($A$355:$A361),DS_RA_Source_Sequence,DS_RA_Source_DataNames),"")</f>
        <v>Other</v>
      </c>
      <c r="G361" s="6" t="s">
        <v>3387</v>
      </c>
      <c r="H361" s="6"/>
      <c r="I361" s="2528" t="s">
        <v>3352</v>
      </c>
      <c r="J361" s="1674" t="s">
        <v>3341</v>
      </c>
      <c r="K361" s="6" t="s">
        <v>945</v>
      </c>
      <c r="L361" s="6"/>
      <c r="M361" s="6" t="s">
        <v>2461</v>
      </c>
    </row>
    <row r="362" spans="1:13">
      <c r="A362" s="6"/>
      <c r="B362" s="6"/>
      <c r="C362" s="1180" t="s">
        <v>1847</v>
      </c>
      <c r="D362" s="1187" t="s">
        <v>1848</v>
      </c>
      <c r="E362" s="1184" t="s">
        <v>1847</v>
      </c>
      <c r="F362" s="1191" t="s">
        <v>1848</v>
      </c>
      <c r="G362" s="6" t="s">
        <v>3379</v>
      </c>
      <c r="H362" s="6"/>
      <c r="I362" s="2528" t="s">
        <v>3342</v>
      </c>
      <c r="J362" s="1674" t="s">
        <v>3326</v>
      </c>
      <c r="K362" s="6" t="s">
        <v>945</v>
      </c>
      <c r="L362" s="823"/>
      <c r="M362" s="6" t="s">
        <v>233</v>
      </c>
    </row>
    <row r="363" spans="1:13">
      <c r="A363" s="6" t="s">
        <v>247</v>
      </c>
      <c r="B363" s="51"/>
      <c r="C363" s="1181">
        <f>IF(N(Total_Units)=0,0,C364/N(Total_Units))</f>
        <v>0</v>
      </c>
      <c r="D363" s="1188">
        <f>IF(N(Total_Units)=0,0,D364/N(Total_Units))</f>
        <v>0</v>
      </c>
      <c r="E363" s="1185">
        <f>VALUE(IF(C363&lt;=$C374,$A374,IF(C363&lt;=$C373,$A373,IF(C363&lt;=$C372,$A372,IF(C363&lt;=$C371,$A371,IF(C363&lt;$C370,$A370,$A369))))))</f>
        <v>6</v>
      </c>
      <c r="F363" s="1192">
        <f>VALUE(IF(D363&lt;=$C374,$A374,IF(D363&lt;=$C373,$A373,IF(D363&lt;=$C372,$A372,IF(D363&lt;=$C371,$A371,IF(D363&lt;$C370,$A370,$A369))))))</f>
        <v>6</v>
      </c>
      <c r="G363" s="6" t="s">
        <v>3388</v>
      </c>
      <c r="H363" s="6"/>
      <c r="I363" s="2528" t="s">
        <v>3344</v>
      </c>
      <c r="J363" s="1674" t="s">
        <v>3364</v>
      </c>
      <c r="K363" s="6" t="s">
        <v>945</v>
      </c>
      <c r="L363" s="6"/>
      <c r="M363" s="6" t="s">
        <v>234</v>
      </c>
    </row>
    <row r="364" spans="1:13">
      <c r="A364" s="6" t="s">
        <v>248</v>
      </c>
      <c r="B364" s="51"/>
      <c r="C364" s="1182">
        <f>SUM('Proposed Development Info'!F111)+0*IF(OR(Development_Category="New Construction",Development_Category="Rehabilitation",Development_Category="Acquisition and Rehabilitation"),Other_Federal_assist_units_currently,0)</f>
        <v>0</v>
      </c>
      <c r="D364" s="1189">
        <f>SUM('Proposed Development Info'!G111)+0*IF(OR(Development_Category="New Construction",Development_Category="Rehabilitation",Development_Category="Acquisition and Rehabilitation"),Other_Federal_assist_units_future,0)</f>
        <v>0</v>
      </c>
      <c r="E364" s="1186" t="str">
        <f>IF(OR(C364&lt;$D371,C363&lt;=$F371),"NA",VALUE(IF(AND(C364&lt;$E371,C363&gt;$F371),$A371,IF(AND(C364&lt;$E370,C363&gt;$F370),$A370,IF(AND(C364&gt;=$D369,C363&gt;$F369),$A369,"NA")))))</f>
        <v>NA</v>
      </c>
      <c r="F364" s="1193" t="str">
        <f>IF(OR(D364&lt;$D371,D363&lt;=$F371),"NA",VALUE(IF(AND(D364&lt;$E371,D363&gt;$F371),$A371,IF(AND(D364&lt;$E370,D363&gt;$F370),$A370,IF(AND(D364&gt;=$D369,D363&gt;$F369),$A369,"NA")))))</f>
        <v>NA</v>
      </c>
      <c r="G364" s="6" t="s">
        <v>3389</v>
      </c>
      <c r="H364" s="6"/>
      <c r="I364" s="2528" t="s">
        <v>3360</v>
      </c>
      <c r="J364" s="1674" t="s">
        <v>3359</v>
      </c>
      <c r="K364" s="6" t="s">
        <v>945</v>
      </c>
      <c r="L364" s="6"/>
      <c r="M364" s="6" t="s">
        <v>3377</v>
      </c>
    </row>
    <row r="365" spans="1:13">
      <c r="A365" s="6" t="s">
        <v>249</v>
      </c>
      <c r="B365" s="51"/>
      <c r="C365" s="1183" t="str">
        <f>IF(E363&lt;IF(E364="NA",6,N(E364)),"Percent",IF(IF(E364="NA",6,N(E364))&lt;E363,"Num",IF(E363=IF(E364="NA",6,N(E364)),"Both","Neither")))</f>
        <v>Both</v>
      </c>
      <c r="D365" s="1190" t="str">
        <f>IF(F363&lt;IF(F364="NA",6,N(F364)),"Percent",IF(IF(F364="NA",6,N(F364))&lt;F363,"Num",IF(F363=IF(F364="NA",6,N(F364)),"Both","Neither")))</f>
        <v>Both</v>
      </c>
      <c r="E365" s="1185">
        <f>MIN(E363,IF(E364="NA",6,N(E364)))</f>
        <v>6</v>
      </c>
      <c r="F365" s="1192">
        <f>MIN(F363,IF(F364="NA",6,N(F364)))</f>
        <v>6</v>
      </c>
      <c r="G365" s="6" t="s">
        <v>3390</v>
      </c>
      <c r="H365" s="6"/>
      <c r="I365" s="2528" t="s">
        <v>3347</v>
      </c>
      <c r="J365" s="1674" t="s">
        <v>3356</v>
      </c>
      <c r="K365" s="6" t="s">
        <v>945</v>
      </c>
      <c r="L365" s="6"/>
      <c r="M365" s="6" t="s">
        <v>1972</v>
      </c>
    </row>
    <row r="366" spans="1:13">
      <c r="G366" s="6" t="s">
        <v>3378</v>
      </c>
      <c r="H366" s="6"/>
      <c r="I366" s="2528" t="s">
        <v>3366</v>
      </c>
      <c r="J366" s="1674" t="s">
        <v>3327</v>
      </c>
      <c r="K366" s="6" t="s">
        <v>945</v>
      </c>
      <c r="L366" s="823"/>
      <c r="M366" s="6" t="s">
        <v>2462</v>
      </c>
    </row>
    <row r="367" spans="1:13">
      <c r="A367" s="3091" t="s">
        <v>250</v>
      </c>
      <c r="B367" s="3067" t="s">
        <v>251</v>
      </c>
      <c r="C367" s="3067"/>
      <c r="D367" s="3067" t="s">
        <v>252</v>
      </c>
      <c r="E367" s="3067"/>
      <c r="F367" s="3067"/>
      <c r="G367" s="6" t="s">
        <v>3380</v>
      </c>
      <c r="H367" s="6"/>
      <c r="I367" s="2528" t="s">
        <v>3370</v>
      </c>
      <c r="J367" s="1674" t="s">
        <v>3328</v>
      </c>
      <c r="K367" s="6" t="s">
        <v>945</v>
      </c>
      <c r="L367" s="823"/>
      <c r="M367" s="6" t="s">
        <v>236</v>
      </c>
    </row>
    <row r="368" spans="1:13">
      <c r="A368" s="3092"/>
      <c r="B368" s="707" t="s">
        <v>253</v>
      </c>
      <c r="C368" s="708" t="s">
        <v>254</v>
      </c>
      <c r="D368" s="709" t="s">
        <v>255</v>
      </c>
      <c r="E368" s="710" t="s">
        <v>256</v>
      </c>
      <c r="F368" s="708" t="s">
        <v>257</v>
      </c>
      <c r="G368" s="6" t="s">
        <v>3381</v>
      </c>
      <c r="H368" s="6"/>
      <c r="I368" s="2528" t="s">
        <v>3371</v>
      </c>
      <c r="J368" s="1674" t="s">
        <v>3329</v>
      </c>
      <c r="K368" s="6" t="s">
        <v>945</v>
      </c>
      <c r="L368" s="823"/>
      <c r="M368" s="6" t="s">
        <v>237</v>
      </c>
    </row>
    <row r="369" spans="1:13">
      <c r="A369" s="699">
        <v>1</v>
      </c>
      <c r="B369" s="742">
        <f>IF(Total_Units=0,1,(Total_Units-2)/Total_Units)</f>
        <v>1</v>
      </c>
      <c r="C369" s="690">
        <v>1</v>
      </c>
      <c r="D369" s="703">
        <v>100</v>
      </c>
      <c r="E369" s="691"/>
      <c r="F369" s="705">
        <v>0.5</v>
      </c>
      <c r="G369" s="6" t="s">
        <v>3382</v>
      </c>
      <c r="H369" s="6"/>
      <c r="I369" s="2528" t="s">
        <v>3318</v>
      </c>
      <c r="J369" s="1674" t="s">
        <v>3330</v>
      </c>
      <c r="K369" s="6" t="s">
        <v>945</v>
      </c>
      <c r="L369" s="823"/>
      <c r="M369" s="6" t="s">
        <v>2463</v>
      </c>
    </row>
    <row r="370" spans="1:13">
      <c r="A370" s="700">
        <v>2</v>
      </c>
      <c r="B370" s="702">
        <v>0.9</v>
      </c>
      <c r="C370" s="743">
        <f>B369</f>
        <v>1</v>
      </c>
      <c r="D370" s="704">
        <v>90</v>
      </c>
      <c r="E370" s="692">
        <f>D369</f>
        <v>100</v>
      </c>
      <c r="F370" s="706">
        <v>0.5</v>
      </c>
      <c r="G370" s="6" t="s">
        <v>3383</v>
      </c>
      <c r="H370" s="6"/>
      <c r="I370" s="2528" t="s">
        <v>3373</v>
      </c>
      <c r="J370" s="1674" t="s">
        <v>3331</v>
      </c>
      <c r="K370" s="6" t="s">
        <v>945</v>
      </c>
      <c r="L370" s="823"/>
      <c r="M370" s="6" t="s">
        <v>2464</v>
      </c>
    </row>
    <row r="371" spans="1:13">
      <c r="A371" s="700">
        <v>3</v>
      </c>
      <c r="B371" s="702">
        <v>0.75</v>
      </c>
      <c r="C371" s="687">
        <f>B370</f>
        <v>0.9</v>
      </c>
      <c r="D371" s="704">
        <v>75</v>
      </c>
      <c r="E371" s="692">
        <f>D370</f>
        <v>90</v>
      </c>
      <c r="F371" s="706">
        <v>0.5</v>
      </c>
      <c r="G371" s="6" t="s">
        <v>3384</v>
      </c>
      <c r="H371" s="6"/>
      <c r="I371" s="2528" t="s">
        <v>3368</v>
      </c>
      <c r="J371" s="1674" t="s">
        <v>3336</v>
      </c>
      <c r="K371" s="6" t="s">
        <v>945</v>
      </c>
      <c r="L371" s="823"/>
      <c r="M371" s="6" t="s">
        <v>1973</v>
      </c>
    </row>
    <row r="372" spans="1:13">
      <c r="A372" s="700">
        <v>4</v>
      </c>
      <c r="B372" s="702">
        <v>0.5</v>
      </c>
      <c r="C372" s="687">
        <f>B371</f>
        <v>0.75</v>
      </c>
      <c r="D372" s="693"/>
      <c r="E372" s="694"/>
      <c r="F372" s="695"/>
      <c r="G372" s="6" t="s">
        <v>3385</v>
      </c>
      <c r="H372" s="6"/>
      <c r="I372" s="2528" t="s">
        <v>3348</v>
      </c>
      <c r="J372" s="1674" t="s">
        <v>3337</v>
      </c>
      <c r="K372" s="6" t="s">
        <v>945</v>
      </c>
      <c r="L372" s="823"/>
      <c r="M372" s="6" t="s">
        <v>1799</v>
      </c>
    </row>
    <row r="373" spans="1:13">
      <c r="A373" s="700">
        <v>5</v>
      </c>
      <c r="B373" s="702">
        <v>0.1</v>
      </c>
      <c r="C373" s="687">
        <f>B372</f>
        <v>0.5</v>
      </c>
      <c r="D373" s="693"/>
      <c r="E373" s="694"/>
      <c r="F373" s="695"/>
      <c r="G373" s="6" t="s">
        <v>3386</v>
      </c>
      <c r="H373" s="6"/>
      <c r="I373" s="2528" t="s">
        <v>3316</v>
      </c>
      <c r="J373" s="1674" t="s">
        <v>3338</v>
      </c>
      <c r="K373" s="6" t="s">
        <v>945</v>
      </c>
      <c r="L373" s="823"/>
      <c r="M373" s="6" t="s">
        <v>1974</v>
      </c>
    </row>
    <row r="374" spans="1:13">
      <c r="A374" s="701">
        <v>6</v>
      </c>
      <c r="B374" s="688">
        <v>0</v>
      </c>
      <c r="C374" s="689">
        <f>B373</f>
        <v>0.1</v>
      </c>
      <c r="D374" s="696"/>
      <c r="E374" s="697"/>
      <c r="F374" s="698"/>
      <c r="I374" s="823"/>
      <c r="J374" s="823"/>
      <c r="L374" s="823"/>
    </row>
    <row r="375" spans="1:13">
      <c r="G375" s="6" t="str">
        <f>IF($B374="(1) (4) (6)",$H$214&amp;" "&amp;$H$217&amp;" "&amp;$H$219,IF($B374="(1) (4)",$H$214&amp;" "&amp;$H$217,IF($B374="(1) (6)",$H$214&amp;" "&amp;$H$219,IF($B374="(4) (6)",$H$217&amp;" "&amp;$H$219,IF($B374="(1)",$H$214,IF($B374="(4)",$H$217,IF($B374="(6)",$H$219,"")))))))</f>
        <v/>
      </c>
      <c r="I375" s="823"/>
      <c r="J375" s="823"/>
      <c r="L375" s="823"/>
    </row>
    <row r="376" spans="1:13">
      <c r="A376" s="531" t="s">
        <v>367</v>
      </c>
      <c r="B376" s="532" t="s">
        <v>37</v>
      </c>
      <c r="C376" s="532" t="s">
        <v>38</v>
      </c>
      <c r="D376" s="532" t="s">
        <v>39</v>
      </c>
      <c r="E376" s="483" t="s">
        <v>1943</v>
      </c>
      <c r="F376" s="64" t="s">
        <v>41</v>
      </c>
      <c r="I376" s="823"/>
      <c r="J376" s="823"/>
      <c r="L376" s="823"/>
    </row>
    <row r="377" spans="1:13">
      <c r="A377" s="59" t="s">
        <v>368</v>
      </c>
      <c r="B377" s="57">
        <v>1</v>
      </c>
      <c r="C377" s="60">
        <f>IF(B377&lt;&gt;1,"",SUM(B$377:B377))</f>
        <v>1</v>
      </c>
      <c r="D377" s="57">
        <v>1</v>
      </c>
      <c r="F377" s="64" t="str">
        <f>IF(COUNTA($A$377:$A377)&lt;=MAX(DS_DevType_Sequence)=TRUE,LOOKUP(COUNTA($A$377:$A377),DS_DevType_Sequence,DS_DevType_DataNames),"")</f>
        <v>Garden Apartments</v>
      </c>
      <c r="I377" s="823"/>
      <c r="J377" s="823"/>
      <c r="L377" s="823"/>
    </row>
    <row r="378" spans="1:13">
      <c r="A378" s="59" t="s">
        <v>272</v>
      </c>
      <c r="B378" s="57">
        <v>0</v>
      </c>
      <c r="C378" s="60" t="str">
        <f>IF(B378&lt;&gt;1,"",SUM(B$377:B378))</f>
        <v/>
      </c>
      <c r="D378" s="57">
        <v>2</v>
      </c>
      <c r="F378" s="64" t="str">
        <f>IF(COUNTA($A$377:$A378)&lt;=MAX(DS_DevType_Sequence)=TRUE,LOOKUP(COUNTA($A$377:$A378),DS_DevType_Sequence,DS_DevType_DataNames),"")</f>
        <v>Mid-Rise (4 Stories)</v>
      </c>
      <c r="I378" s="823"/>
      <c r="J378" s="823"/>
      <c r="L378" s="823"/>
    </row>
    <row r="379" spans="1:13">
      <c r="A379" s="59" t="s">
        <v>369</v>
      </c>
      <c r="B379" s="57">
        <v>0</v>
      </c>
      <c r="C379" s="60" t="str">
        <f>IF(B379&lt;&gt;1,"",SUM(B$377:B379))</f>
        <v/>
      </c>
      <c r="D379" s="57">
        <v>3</v>
      </c>
      <c r="F379" s="64" t="str">
        <f>IF(COUNTA($A$377:$A379)&lt;=MAX(DS_DevType_Sequence)=TRUE,LOOKUP(COUNTA($A$377:$A379),DS_DevType_Sequence,DS_DevType_DataNames),"")</f>
        <v>Mid-Rise (5-6 Stories)</v>
      </c>
      <c r="I379" s="823"/>
      <c r="J379" s="823"/>
      <c r="L379" s="823"/>
    </row>
    <row r="380" spans="1:13">
      <c r="A380" s="59" t="s">
        <v>370</v>
      </c>
      <c r="B380" s="57">
        <v>0</v>
      </c>
      <c r="C380" s="60" t="str">
        <f>IF(B380&lt;&gt;1,"",SUM(B$377:B380))</f>
        <v/>
      </c>
      <c r="D380" s="57">
        <v>4</v>
      </c>
      <c r="F380" s="64" t="str">
        <f>IF(COUNTA($A$377:$A380)&lt;=MAX(DS_DevType_Sequence)=TRUE,LOOKUP(COUNTA($A$377:$A380),DS_DevType_Sequence,DS_DevType_DataNames),"")</f>
        <v>High-Rise</v>
      </c>
      <c r="I380" s="823"/>
      <c r="J380" s="823"/>
      <c r="L380" s="823"/>
    </row>
    <row r="381" spans="1:13">
      <c r="A381" s="59" t="s">
        <v>371</v>
      </c>
      <c r="B381" s="57">
        <v>0</v>
      </c>
      <c r="C381" s="60" t="str">
        <f>IF(B381&lt;&gt;1,"",SUM(B$377:B381))</f>
        <v/>
      </c>
      <c r="D381" s="57">
        <v>5</v>
      </c>
      <c r="F381" s="64" t="str">
        <f>IF(COUNTA($A$377:$A381)&lt;=MAX(DS_DevType_Sequence)=TRUE,LOOKUP(COUNTA($A$377:$A381),DS_DevType_Sequence,DS_DevType_DataNames),"")</f>
        <v/>
      </c>
      <c r="I381" s="823"/>
      <c r="J381" s="823"/>
      <c r="L381" s="823"/>
    </row>
    <row r="382" spans="1:13">
      <c r="A382" s="59" t="s">
        <v>372</v>
      </c>
      <c r="B382" s="57">
        <v>0</v>
      </c>
      <c r="C382" s="60" t="str">
        <f>IF(B382&lt;&gt;1,"",SUM(B$377:B382))</f>
        <v/>
      </c>
      <c r="D382" s="57">
        <v>6</v>
      </c>
      <c r="F382" s="64" t="str">
        <f>IF(COUNTA($A$377:$A382)&lt;=MAX(DS_DevType_Sequence)=TRUE,LOOKUP(COUNTA($A$377:$A382),DS_DevType_Sequence,DS_DevType_DataNames),"")</f>
        <v/>
      </c>
    </row>
    <row r="383" spans="1:13">
      <c r="A383" s="59" t="s">
        <v>373</v>
      </c>
      <c r="B383" s="57">
        <v>1</v>
      </c>
      <c r="C383" s="60">
        <f>IF(B383&lt;&gt;1,"",SUM(B$377:B383))</f>
        <v>2</v>
      </c>
      <c r="D383" s="57">
        <v>7</v>
      </c>
      <c r="F383" s="64" t="str">
        <f>IF(COUNTA($A$377:$A383)&lt;=MAX(DS_DevType_Sequence)=TRUE,LOOKUP(COUNTA($A$377:$A383),DS_DevType_Sequence,DS_DevType_DataNames),"")</f>
        <v/>
      </c>
    </row>
    <row r="384" spans="1:13">
      <c r="A384" s="59" t="s">
        <v>374</v>
      </c>
      <c r="B384" s="57">
        <v>1</v>
      </c>
      <c r="C384" s="60">
        <f>IF(B384&lt;&gt;1,"",SUM(B$377:B384))</f>
        <v>3</v>
      </c>
      <c r="D384" s="57">
        <v>8</v>
      </c>
      <c r="F384" s="64" t="str">
        <f>IF(COUNTA($A$377:$A384)&lt;=MAX(DS_DevType_Sequence)=TRUE,LOOKUP(COUNTA($A$377:$A384),DS_DevType_Sequence,DS_DevType_DataNames),"")</f>
        <v/>
      </c>
    </row>
    <row r="385" spans="1:24">
      <c r="A385" s="59" t="s">
        <v>269</v>
      </c>
      <c r="B385" s="57">
        <v>1</v>
      </c>
      <c r="C385" s="60">
        <f>IF(B385&lt;&gt;1,"",SUM(B$377:B385))</f>
        <v>4</v>
      </c>
      <c r="D385" s="57">
        <v>9</v>
      </c>
      <c r="F385" s="64" t="str">
        <f>IF(COUNTA($A$377:$A385)&lt;=MAX(DS_DevType_Sequence)=TRUE,LOOKUP(COUNTA($A$377:$A385),DS_DevType_Sequence,DS_DevType_DataNames),"")</f>
        <v/>
      </c>
    </row>
    <row r="386" spans="1:24">
      <c r="A386" s="59" t="s">
        <v>375</v>
      </c>
      <c r="B386" s="57">
        <v>0</v>
      </c>
      <c r="C386" s="60" t="str">
        <f>IF(B386&lt;&gt;1,"",SUM(B$377:B386))</f>
        <v/>
      </c>
      <c r="D386" s="57">
        <v>10</v>
      </c>
      <c r="F386" s="64" t="str">
        <f>IF(COUNTA($A$377:$A386)&lt;=MAX(DS_DevType_Sequence)=TRUE,LOOKUP(COUNTA($A$377:$A386),DS_DevType_Sequence,DS_DevType_DataNames),"")</f>
        <v/>
      </c>
    </row>
    <row r="387" spans="1:24">
      <c r="A387" s="59" t="s">
        <v>376</v>
      </c>
      <c r="B387" s="57">
        <v>0</v>
      </c>
      <c r="C387" s="60" t="str">
        <f>IF(B387&lt;&gt;1,"",SUM(B$377:B387))</f>
        <v/>
      </c>
      <c r="D387" s="57">
        <v>11</v>
      </c>
      <c r="F387" s="64" t="str">
        <f>IF(COUNTA($A$377:$A387)&lt;=MAX(DS_DevType_Sequence)=TRUE,LOOKUP(COUNTA($A$377:$A387),DS_DevType_Sequence,DS_DevType_DataNames),"")</f>
        <v/>
      </c>
    </row>
    <row r="388" spans="1:24">
      <c r="A388" s="59" t="s">
        <v>124</v>
      </c>
      <c r="B388" s="57">
        <v>0</v>
      </c>
      <c r="C388" s="60" t="str">
        <f>IF(B388&lt;&gt;1,"",SUM(B$377:B388))</f>
        <v/>
      </c>
      <c r="D388" s="57">
        <v>12</v>
      </c>
      <c r="F388" s="64" t="str">
        <f>IF(COUNTA($A$377:$A388)&lt;=MAX(DS_DevType_Sequence)=TRUE,LOOKUP(COUNTA($A$377:$A388),DS_DevType_Sequence,DS_DevType_DataNames),"")</f>
        <v/>
      </c>
    </row>
    <row r="389" spans="1:24" ht="15" thickBot="1"/>
    <row r="390" spans="1:24" ht="18" customHeight="1" thickBot="1">
      <c r="A390" s="531" t="s">
        <v>1643</v>
      </c>
      <c r="B390" s="6"/>
      <c r="C390" s="6"/>
      <c r="D390" s="6"/>
      <c r="E390" s="483" t="s">
        <v>258</v>
      </c>
      <c r="G390" s="3105" t="s">
        <v>259</v>
      </c>
      <c r="H390" s="3106"/>
      <c r="I390" s="3106"/>
      <c r="J390" s="3107"/>
      <c r="K390" s="1835" t="s">
        <v>260</v>
      </c>
      <c r="L390" s="1836"/>
      <c r="M390" s="1836"/>
      <c r="N390" s="1837"/>
      <c r="O390" s="3138">
        <f>COUNTIF(K393:N397,1)</f>
        <v>0</v>
      </c>
      <c r="P390" s="3139"/>
      <c r="Q390" s="3139"/>
      <c r="R390" s="3140"/>
      <c r="S390" s="3105" t="s">
        <v>261</v>
      </c>
      <c r="T390" s="3107"/>
      <c r="U390" s="3105" t="s">
        <v>262</v>
      </c>
      <c r="V390" s="3107"/>
      <c r="W390" s="3105" t="s">
        <v>263</v>
      </c>
      <c r="X390" s="3107"/>
    </row>
    <row r="391" spans="1:24" ht="15" thickBot="1">
      <c r="C391" s="623" t="str">
        <f>IF(AND(A398&lt;&gt;"Other Dev Type*",VLOOKUP("Other Dev Type*",A393:C397,2)&gt;B398),VLOOKUP("Other Dev Type*",A393:C397,2)-B398,"NA")</f>
        <v>NA</v>
      </c>
      <c r="E391" s="239"/>
      <c r="F391" s="829"/>
      <c r="G391" s="3152" t="s">
        <v>208</v>
      </c>
      <c r="H391" s="3153"/>
      <c r="I391" s="3165" t="s">
        <v>210</v>
      </c>
      <c r="J391" s="3165"/>
      <c r="K391" s="2824" t="s">
        <v>208</v>
      </c>
      <c r="L391" s="3134"/>
      <c r="M391" s="1838" t="s">
        <v>210</v>
      </c>
      <c r="N391" s="1839"/>
      <c r="O391" s="2824" t="s">
        <v>208</v>
      </c>
      <c r="P391" s="3134"/>
      <c r="Q391" s="3077" t="s">
        <v>210</v>
      </c>
      <c r="R391" s="2825"/>
      <c r="S391" s="3119" t="s">
        <v>208</v>
      </c>
      <c r="T391" s="3120"/>
      <c r="U391" s="3119" t="s">
        <v>208</v>
      </c>
      <c r="V391" s="3120"/>
      <c r="W391" s="3119" t="s">
        <v>208</v>
      </c>
      <c r="X391" s="3120"/>
    </row>
    <row r="392" spans="1:24">
      <c r="B392" s="528" t="s">
        <v>264</v>
      </c>
      <c r="C392" s="528" t="s">
        <v>265</v>
      </c>
      <c r="D392" s="528" t="s">
        <v>264</v>
      </c>
      <c r="E392" s="528" t="s">
        <v>265</v>
      </c>
      <c r="F392" s="829"/>
      <c r="G392" s="624" t="s">
        <v>266</v>
      </c>
      <c r="H392" s="625" t="s">
        <v>267</v>
      </c>
      <c r="I392" s="111" t="s">
        <v>266</v>
      </c>
      <c r="J392" s="111" t="s">
        <v>267</v>
      </c>
      <c r="K392" s="624" t="s">
        <v>266</v>
      </c>
      <c r="L392" s="626" t="s">
        <v>267</v>
      </c>
      <c r="M392" s="111" t="s">
        <v>266</v>
      </c>
      <c r="N392" s="627" t="s">
        <v>267</v>
      </c>
      <c r="O392" s="628" t="s">
        <v>266</v>
      </c>
      <c r="P392" s="626" t="s">
        <v>267</v>
      </c>
      <c r="Q392" s="629" t="s">
        <v>266</v>
      </c>
      <c r="R392" s="630" t="s">
        <v>267</v>
      </c>
      <c r="S392" s="628" t="s">
        <v>266</v>
      </c>
      <c r="T392" s="630" t="s">
        <v>267</v>
      </c>
      <c r="U392" s="628" t="s">
        <v>266</v>
      </c>
      <c r="V392" s="630" t="s">
        <v>267</v>
      </c>
      <c r="W392" s="628" t="s">
        <v>266</v>
      </c>
      <c r="X392" s="630" t="s">
        <v>267</v>
      </c>
    </row>
    <row r="393" spans="1:24">
      <c r="A393" s="6" t="s">
        <v>268</v>
      </c>
      <c r="B393" s="239">
        <f>Garden_ESS_NC_units+Garden_non_ESS_NC_units+Garden_ESS_AR_units+Garden_non_ESS_AR_units+Garden_ESS_Rehab_units+Garden_non_ESS_Rehab_units</f>
        <v>0</v>
      </c>
      <c r="C393" s="823">
        <f>RANK(B393,B$393:B$397,0)</f>
        <v>1</v>
      </c>
      <c r="D393" s="239">
        <f>Garden_ESS_NC_units+Garden_non_ESS_NC_units+MR_ESS_NC_units+MR_Non_ESS_NC_units+HR_ESS_NC_units+SiF_ESS_NC_Units+SiF_Non_ESS_NC_Units+Other_ESS_NC_units+Other_Non_ESS_NC_units</f>
        <v>0</v>
      </c>
      <c r="E393" s="823">
        <f>RANK(D393,D$393:D$397,0)</f>
        <v>1</v>
      </c>
      <c r="F393" s="829" t="s">
        <v>208</v>
      </c>
      <c r="G393" s="631">
        <f>Garden_ESS_NC_units</f>
        <v>0</v>
      </c>
      <c r="H393" s="632">
        <f>Garden_non_ESS_NC_units</f>
        <v>0</v>
      </c>
      <c r="I393" s="823">
        <f>Garden_ESS_AR_units+Garden_ESS_Rehab_units</f>
        <v>0</v>
      </c>
      <c r="J393" s="823">
        <f>Garden_non_ESS_AR_units+Garden_non_ESS_Rehab_units</f>
        <v>0</v>
      </c>
      <c r="K393" s="631" t="str">
        <f>IF(G393=0,"",RANK(G393,$G$393:$J$397))</f>
        <v/>
      </c>
      <c r="L393" s="632" t="str">
        <f>IF(H393=0,"",RANK(H393,$G$393:$J$397))</f>
        <v/>
      </c>
      <c r="M393" s="823" t="str">
        <f>IF(I393=0,"",RANK(I393,$G$393:$J$397))</f>
        <v/>
      </c>
      <c r="N393" s="825" t="str">
        <f>IF(J393=0,"",RANK(J393,$G$393:$J$397))</f>
        <v/>
      </c>
      <c r="O393" s="828" t="str">
        <f>IF(K393=1,"New Construction Garden ESS Construction","")</f>
        <v/>
      </c>
      <c r="P393" s="633" t="str">
        <f>IF(L393=1,"New Construction Garden Non-ESS Construction","")</f>
        <v/>
      </c>
      <c r="Q393" s="858" t="str">
        <f>IF(M393=1,"Rehab Garden ESS Construction","")</f>
        <v/>
      </c>
      <c r="R393" s="634" t="str">
        <f>IF(N393=1,"Rehab Garden Non-ESS Construction","")</f>
        <v/>
      </c>
      <c r="S393" s="828" t="str">
        <f>IF(O393&lt;&gt;"",IF(OR(County="Broward",County="Miami-Dade",County="Palm Beach"),"SF","PF")&amp;"NCGAE","")</f>
        <v/>
      </c>
      <c r="T393" s="830" t="str">
        <f>IF(P393&lt;&gt;"",IF(OR(County="Broward",County="Miami-Dade",County="Palm Beach"),"SF","PF")&amp;"NCGAW","")</f>
        <v/>
      </c>
      <c r="U393" s="635" t="str">
        <f>IFERROR(VLOOKUP(S393,DS_Max_NHTF,IF(Data3!L$132=Data3!M$319,8,9)),"")</f>
        <v/>
      </c>
      <c r="V393" s="636" t="str">
        <f>IFERROR(VLOOKUP(T393,DS_Max_NHTF,IF(Data3!M$129=Data3!N$319,8,9)),"")</f>
        <v/>
      </c>
      <c r="W393" s="635">
        <f>IF(Data3!$L$132=Data3!$N$319,IF(OR(County="Broward",County="Miami-Dade",County="Palm Beach"),Data3!$N$328,Data3!$N$321),IF(OR(County="Broward",County="Miami-Dade",County="Palm Beach"),Data3!$M$328,Data3!$M$321))</f>
        <v>275000</v>
      </c>
      <c r="X393" s="636">
        <f>IF(Data3!$L$132=Data3!$N$319,IF(OR(County="Broward",County="Miami-Dade",County="Palm Beach"),Data3!$N$329,Data3!$N$322),IF(OR(County="Broward",County="Miami-Dade",County="Palm Beach"),Data3!$M$329,Data3!$M$322))</f>
        <v>260000</v>
      </c>
    </row>
    <row r="394" spans="1:24">
      <c r="A394" s="6" t="s">
        <v>269</v>
      </c>
      <c r="B394" s="1608">
        <f>HR_ESS_NC_units+HR_ESS_AR_units+HR_ESS_Rehab_units</f>
        <v>0</v>
      </c>
      <c r="C394" s="823">
        <f>RANK(B394,B$393:B$397,0)</f>
        <v>1</v>
      </c>
      <c r="D394" s="1609">
        <f>Garden_ESS_AR_units+Garden_non_ESS_AR_units+MR_ESS_AR_units+MR_non_ESS_AR_units+HR_ESS_AR_units+Other_ESS_AR_units+Other_non_ESS_AR_units</f>
        <v>0</v>
      </c>
      <c r="E394" s="823">
        <f>RANK(D394,D$393:D$397,0)</f>
        <v>1</v>
      </c>
      <c r="F394" t="s">
        <v>141</v>
      </c>
      <c r="G394" s="631">
        <f>HR_ESS_NC_units</f>
        <v>0</v>
      </c>
      <c r="H394" s="637"/>
      <c r="I394" s="3135">
        <f>MR_ESS_AR_units+HR_ESS_AR_units+MR_ESS_Rehab_units+HR_ESS_Rehab_units</f>
        <v>0</v>
      </c>
      <c r="J394" s="3136">
        <f>MR_non_ESS_AR_units+MR_non_ESS_Rehab_units</f>
        <v>0</v>
      </c>
      <c r="K394" s="631" t="str">
        <f>IF(G394=0,"",RANK(G394,$G$393:$J$397))</f>
        <v/>
      </c>
      <c r="L394" s="637"/>
      <c r="M394" s="2609" t="str">
        <f>IF(I394=0,"",RANK(I394,$G$393:$J$397))</f>
        <v/>
      </c>
      <c r="N394" s="3137" t="str">
        <f>IF(J394=0,"",RANK(J394,$G$393:$J$397))</f>
        <v/>
      </c>
      <c r="O394" s="638" t="str">
        <f>IF(K394=1,"New Construction High-Rise ESS Construction","")</f>
        <v/>
      </c>
      <c r="P394" s="639"/>
      <c r="Q394" s="858" t="str">
        <f>IF(M394=1,"Rehab "&amp;C399&amp;" ESS Construction","")</f>
        <v/>
      </c>
      <c r="R394" s="634" t="str">
        <f>IF(N394=1,"Rehab "&amp;C399&amp;" Non-ESS Construction","")</f>
        <v/>
      </c>
      <c r="S394" s="828" t="str">
        <f>IF(O394&lt;&gt;"",IF(OR(County="Broward",County="Miami-Dade",County="Palm Beach"),"SF","PF")&amp;"NCHRE","")</f>
        <v/>
      </c>
      <c r="T394" s="640"/>
      <c r="U394" s="635" t="str">
        <f>IFERROR(VLOOKUP(S394,DS_Max_NHTF,IF(Data3!L$132=Data3!M$319,8,9)),"")</f>
        <v/>
      </c>
      <c r="V394" s="641"/>
      <c r="W394" s="635">
        <f>IF(Data3!$L$132=Data3!$N$319,IF(OR(County="Broward",County="Miami-Dade",County="Palm Beach"),Data3!$N$330,Data3!$N$323),IF(OR(County="Broward",County="Miami-Dade",County="Palm Beach"),Data3!$M$330,Data3!$M$323))</f>
        <v>335000</v>
      </c>
      <c r="X394" s="641"/>
    </row>
    <row r="395" spans="1:24">
      <c r="A395" s="6" t="s">
        <v>270</v>
      </c>
      <c r="B395" s="1608">
        <f>MR_ESS_NC_units+MR_Non_ESS_NC_units+MR_ESS_AR_units+MR_non_ESS_AR_units+MR_ESS_Rehab_units+MR_non_ESS_Rehab_units</f>
        <v>0</v>
      </c>
      <c r="C395" s="823">
        <f>RANK(B395,B$393:B$397,0)</f>
        <v>1</v>
      </c>
      <c r="D395" s="1608">
        <f>Garden_ESS_Rehab_units+Garden_non_ESS_Rehab_units+MR_ESS_Rehab_units+MR_non_ESS_Rehab_units+HR_ESS_Rehab_units+Other_ESS_Rehab_units+Other_non_ESS_Rehab_units</f>
        <v>0</v>
      </c>
      <c r="E395" s="823">
        <f>RANK(D395,D$393:D$397,0)</f>
        <v>1</v>
      </c>
      <c r="F395" t="s">
        <v>945</v>
      </c>
      <c r="G395" s="631">
        <f>MR_ESS_NC_units</f>
        <v>0</v>
      </c>
      <c r="H395" s="632">
        <f>MR_Non_ESS_NC_units</f>
        <v>0</v>
      </c>
      <c r="I395" s="3135"/>
      <c r="J395" s="3136"/>
      <c r="K395" s="631" t="str">
        <f>IF(G395=0,"",RANK(G395,$G$393:$J$397))</f>
        <v/>
      </c>
      <c r="L395" s="632" t="str">
        <f>IF(H395=0,"",RANK(H395,$G$393:$J$397))</f>
        <v/>
      </c>
      <c r="M395" s="2609"/>
      <c r="N395" s="3137"/>
      <c r="O395" s="638" t="str">
        <f>IF(K395=1,"New Construction Mid-Rise ESS Construction","")</f>
        <v/>
      </c>
      <c r="P395" s="642" t="str">
        <f>IF(L395=1,"New Construction Mid-Rise Non-ESS Construction","")</f>
        <v/>
      </c>
      <c r="Q395" s="643"/>
      <c r="R395" s="640"/>
      <c r="S395" s="828" t="str">
        <f>IF(O395&lt;&gt;"",IF(OR(County="Broward",County="Miami-Dade",County="Palm Beach"),"SF","PF")&amp;"NCMRE","")</f>
        <v/>
      </c>
      <c r="T395" s="830" t="str">
        <f>IF(P395&lt;&gt;"",IF(OR(County="Broward",County="Miami-Dade",County="Palm Beach"),"SF","PF")&amp;"NCMRW","")</f>
        <v/>
      </c>
      <c r="U395" s="635" t="str">
        <f>IFERROR(VLOOKUP(S395,DS_Max_NHTF,IF(Data3!L$132=Data3!M$319,8,9)),"")</f>
        <v/>
      </c>
      <c r="V395" s="636" t="str">
        <f>IFERROR(VLOOKUP(T395,DS_Max_NHTF,IF(Data3!M$129=Data3!N$319,8,9)),"")</f>
        <v/>
      </c>
      <c r="W395" s="635">
        <f>IF(Data3!$L$132=Data3!$N$319,IF(OR(County="Broward",County="Miami-Dade",County="Palm Beach"),Data3!$N$331,Data3!$N$324),IF(OR(County="Broward",County="Miami-Dade",County="Palm Beach"),Data3!$M$331,Data3!$M$324))</f>
        <v>290000</v>
      </c>
      <c r="X395" s="636">
        <f>IF(Data3!$L$132=Data3!$N$319,IF(OR(County="Broward",County="Miami-Dade",County="Palm Beach"),Data3!$N$332,Data3!$N$325),IF(OR(County="Broward",County="Miami-Dade",County="Palm Beach"),Data3!$M$332,Data3!$M$325))</f>
        <v>275000</v>
      </c>
    </row>
    <row r="396" spans="1:24">
      <c r="A396" s="6" t="s">
        <v>271</v>
      </c>
      <c r="B396" s="239">
        <f>Other_ESS_NC_units+Other_Non_ESS_NC_units+Other_ESS_AR_units+Other_non_ESS_AR_units+Other_ESS_Rehab_units+Other_non_ESS_Rehab_units</f>
        <v>0</v>
      </c>
      <c r="C396" s="823">
        <f>RANK(B396,B$393:B$397,0)</f>
        <v>1</v>
      </c>
      <c r="E396" s="823"/>
      <c r="G396" s="631">
        <f>Other_ESS_NC_units</f>
        <v>0</v>
      </c>
      <c r="H396" s="632" cm="1">
        <f t="array" ref="H396">Other_Non_ESS_NC_units</f>
        <v>0</v>
      </c>
      <c r="I396" s="823">
        <f>Other_ESS_AR_units+Other_ESS_Rehab_units</f>
        <v>0</v>
      </c>
      <c r="J396" s="823">
        <f>Other_non_ESS_AR_units+Other_non_ESS_Rehab_units</f>
        <v>0</v>
      </c>
      <c r="K396" s="631" t="str">
        <f>IF(G396=0,"",RANK(G396,$G$393:$J$397))</f>
        <v/>
      </c>
      <c r="L396" s="632" t="str">
        <f>IF(H396=0,"",RANK(H396,$G$393:$J$397))</f>
        <v/>
      </c>
      <c r="M396" s="823" t="str">
        <f>IF(I396=0,"",RANK(I396,$G$393:$J$397))</f>
        <v/>
      </c>
      <c r="N396" s="825" t="str">
        <f>IF(J396=0,"",RANK(J396,$G$393:$J$397))</f>
        <v/>
      </c>
      <c r="O396" s="828" t="str">
        <f>IF(K396=1,"New Construction Other Dev Type* ESS Construction","")</f>
        <v/>
      </c>
      <c r="P396" s="642" t="str">
        <f>IF(L396=1,"New Construction Other Dev Type* Non-ESS Construction","")</f>
        <v/>
      </c>
      <c r="Q396" s="858" t="str">
        <f>IF(M396=1,"Rehab Other Dev Type* ESS Construction","")</f>
        <v/>
      </c>
      <c r="R396" s="634" t="str">
        <f>IF(N396=1,"Rehab Other Dev Type* Non-ESS Construction","")</f>
        <v/>
      </c>
      <c r="S396" s="828" t="str">
        <f>IF(O396&lt;&gt;"",IF(OR(County="Broward",County="Miami-Dade",County="Palm Beach"),"SF","PF")&amp;"NCGAE","")</f>
        <v/>
      </c>
      <c r="T396" s="830" t="str">
        <f>IF(P396&lt;&gt;"",IF(OR(County="Broward",County="Miami-Dade",County="Palm Beach"),"SF","PF")&amp;"NCGAW","")</f>
        <v/>
      </c>
      <c r="U396" s="635" t="str">
        <f>IFERROR(VLOOKUP(S396,DS_Max_NHTF,IF(Data3!L$132=Data3!M$319,8,9)),"")</f>
        <v/>
      </c>
      <c r="V396" s="636" t="str">
        <f>IFERROR(VLOOKUP(T396,DS_Max_NHTF,IF(Data3!M$129=Data3!N$319,8,9)),"")</f>
        <v/>
      </c>
      <c r="W396" s="635">
        <f>W393</f>
        <v>275000</v>
      </c>
      <c r="X396" s="636">
        <f>X393</f>
        <v>260000</v>
      </c>
    </row>
    <row r="397" spans="1:24" ht="15" thickBot="1">
      <c r="A397" s="6" t="s">
        <v>272</v>
      </c>
      <c r="B397" s="239">
        <f>SiF_ESS_NC_Units+SiF_Non_ESS_NC_Units</f>
        <v>0</v>
      </c>
      <c r="C397" s="823">
        <f>RANK(B397,B$393:B$397,0)</f>
        <v>1</v>
      </c>
      <c r="D397" s="239"/>
      <c r="G397" s="644">
        <f>SiF_ESS_NC_Units</f>
        <v>0</v>
      </c>
      <c r="H397" s="645">
        <f>SiF_Non_ESS_NC_Units</f>
        <v>0</v>
      </c>
      <c r="I397" s="877"/>
      <c r="J397" s="877"/>
      <c r="K397" s="644" t="str">
        <f>IF(G397=0,"",RANK(G397,$G$393:$J$397))</f>
        <v/>
      </c>
      <c r="L397" s="645" t="str">
        <f>IF(H397=0,"",RANK(H397,$G$393:$J$397))</f>
        <v/>
      </c>
      <c r="M397" s="877"/>
      <c r="N397" s="878"/>
      <c r="O397" s="646" t="str">
        <f>IF(K397=1,"New Construction Single Family ESS Construction","")</f>
        <v/>
      </c>
      <c r="P397" s="647" t="str">
        <f>IF(L397=1,"New Construction Single Family Non-ESS Construction","")</f>
        <v/>
      </c>
      <c r="Q397" s="879"/>
      <c r="R397" s="880"/>
      <c r="S397" s="831" t="str">
        <f>IF(O397&lt;&gt;"",IF(OR(County="Broward",County="Miami-Dade",County="Palm Beach"),"SF","PF")&amp;"NCGAE","")</f>
        <v/>
      </c>
      <c r="T397" s="832" t="str">
        <f>IF(P397&lt;&gt;"",IF(OR(County="Broward",County="Miami-Dade",County="Palm Beach"),"SF","PF")&amp;"NCGAW","")</f>
        <v/>
      </c>
      <c r="U397" s="635" t="str">
        <f>IFERROR(VLOOKUP(S397,DS_Max_NHTF,IF(Data3!L$132=Data3!M$319,8,9)),"")</f>
        <v/>
      </c>
      <c r="V397" s="636" t="str">
        <f>IFERROR(VLOOKUP(T397,DS_Max_NHTF,IF(Data3!M$129=Data3!N$319,8,9)),"")</f>
        <v/>
      </c>
      <c r="W397" s="648">
        <f>W393</f>
        <v>275000</v>
      </c>
      <c r="X397" s="881">
        <f>X393</f>
        <v>260000</v>
      </c>
    </row>
    <row r="398" spans="1:24" ht="15" thickBot="1">
      <c r="A398" s="620" t="str">
        <f>IF(DevType=A377,"Garden",IF(AND(OR(DevType=A383,DevType=A384),Development_Category="New Construction"),"Mid-Rise",IF(AND(OR(DevType=A383,DevType=A384,DevType=A385),Development_Category&lt;&gt;"New Construction"),"Mid-Rise, High-Rise",IF(OR(AND(DevType=A378,Development_Category&lt;&gt;"New Construction"),DevType=A379,DevType=A380,DevType=A381,DevType=A382,DevType=A386,DevType=A387,DevType=A388),"Other Dev Type*",DevType))))</f>
        <v>&lt;select one&gt;</v>
      </c>
      <c r="B398" s="621">
        <f>IFERROR(VLOOKUP(A398,A393:C397,2,FALSE),0)+IF(A398="Mid-Rise, High-Rise",B394+B395,0)</f>
        <v>0</v>
      </c>
      <c r="C398" s="622">
        <f>IF(IFERROR(VLOOKUP(A398,A393:C397,2),0)=0,IF(A398="Mid-Rise, High-Rise",MIN(C394:C395),0),IFERROR(VLOOKUP(A398,A393:C397,3),0))</f>
        <v>0</v>
      </c>
      <c r="D398" s="621">
        <f>SUMIF(F393:F397,F398,D393:D397)</f>
        <v>0</v>
      </c>
      <c r="E398" s="622">
        <f>IF(AND(F398=F393,D393&gt;0),E393,IF(AND(F398=F394,D394&gt;0),E394,IF(AND(F398=F395,D395&gt;0),E395,IF(AND(F398=F396,D396&gt;0),E396,IF(AND(F398=F397,D397&gt;0),E397,0)))))</f>
        <v>0</v>
      </c>
      <c r="F398" s="620" t="str">
        <f>IF(Development_Category="New Construction","New Construction",IF(Development_Category="Acquisition and Rehabilitation","AR","Rehab"))</f>
        <v>Rehab</v>
      </c>
      <c r="G398" s="823"/>
      <c r="H398" s="823"/>
      <c r="I398" s="303"/>
      <c r="J398" s="823"/>
      <c r="O398" s="3143" t="str">
        <f>IF(K393=1,O393&amp;IF(O390-1&gt;1,", ",IF(O390-1=1," and ","")),"")&amp;IF(K394=1,O394&amp;IF(O390-SUM(K393:K394)&gt;1,", ",IF(O390-SUM(K393:K394)=1," and ","")),"")&amp;IF(K395=1,O395&amp;IF(O390-SUM(K393:K395)&gt;1,", ",IF(O390-SUM(K393:K395)=1," and ","")),"")&amp;IF(K396=1,O396&amp;IF(O390-SUM(K393:K396)&gt;1,", ",IF(O390-SUM(K393:K396)=1," and ","")),"")&amp;IF(K397=1,O397&amp;IF(O390-SUM(K393:K397)&gt;1,", ",IF(O390-SUM(K393:K397)=1," and ","")),"")&amp;IF(K397=1,O397&amp;IF(O390-SUM(K393:K397)&gt;1,", ",IF(O390-SUM(K393:K397)=1," and ","")),"")&amp;IF(L393=1,P393&amp;IF(O390-SUM(K393:K397)-1&gt;1,", ",IF(O390-SUM(K393:K397)-1=1," and ","")),"")&amp;IF(L395=1,P395&amp;IF(O390-SUM(K393:K397)-SUM(L393:L395)&gt;1,", ",IF(O390-SUM(K393:K397)-SUM(L393:L395)=1," and ","")),"")&amp;IF(L396=1,P396&amp;IF(O390-SUM(K393:K397)-SUM(L393:L396)&gt;1,", ",IF(O390-SUM(K393:K397)-SUM(L393:L396)=1," and ","")),"")&amp;IF(L397=1,P397&amp;IF(O390-SUM(K393:K397)-SUM(L393:L397)&gt;1,", ",IF(O390-SUM(K393:K397)-SUM(L393:L397)=1," and ","")),"")&amp;IF(L397=1,P397&amp;IF(O390-SUM(K393:K397)-SUM(L393:L397)&gt;1,", ",IF(O390-SUM(K393:K397)-SUM(L393:L397)=1," and ","")),"")&amp;IF(M393=1,Q393&amp;IF(O390-SUM(K393:K397)-SUM(L393:L397)-1&gt;1,", ",IF(O390-SUM(K393:K397)-SUM(L393:L397)-1=1," and ","")),"")&amp;IF(M394=1,Q394&amp;IF(O390-SUM(K393:K397)-SUM(L393:L397)-SUM(M393:M394)&gt;1,", ",IF(O390-SUM(K393:K397)-SUM(L393:L397)-SUM(M393:M394)=1," and ","")),"")&amp;IF(M396=1,Q396&amp;IF(O390-SUM(K393:K397)-SUM(L393:L397)-SUM(M393:M396)&gt;1,", ",IF(O390-SUM(K393:K397)-SUM(L393:L397)-SUM(M393:M396)=1," and ","")),"")&amp;IF(N393=1,R393&amp;IF(O390-SUM(K393:K397)-SUM(L393:L397)-SUM(M393:M396)-1&gt;1,", ",IF(O390-SUM(K393:K397)-SUM(L393:L397)-SUM(M393:M396)-1=1," and ","")),"")&amp;IF(N394=1,R394&amp;IF(O390-SUM(K393:K397)-SUM(L393:L397)-SUM(M393:M396)-SUM(N393:N394)=1," and ",""),"")&amp;IF(N396=1,R396,"")</f>
        <v/>
      </c>
      <c r="P398" s="3144"/>
      <c r="Q398" s="3144"/>
      <c r="R398" s="3166"/>
      <c r="U398" s="3150">
        <f>IF(SUM(U393:V397)=0,0,AVERAGEIF(U393:V397,"&gt;0"))</f>
        <v>0</v>
      </c>
      <c r="V398" s="3151"/>
      <c r="W398" s="3117">
        <f>IF(SUM(G393:H397)=0,0,(G393*W393+G394*W394+G395*W395+G396*W396+G397*W397+H393*X393+H395*X395+H396*X396+H397*X397)/SUM(G393:H397))</f>
        <v>0</v>
      </c>
      <c r="X398" s="3118"/>
    </row>
    <row r="399" spans="1:24" ht="15" thickBot="1">
      <c r="A399" s="1788" t="s">
        <v>2574</v>
      </c>
      <c r="B399" s="1353">
        <f>SUM('Proposed Development Info'!H138:H146)</f>
        <v>0</v>
      </c>
      <c r="C399" s="848" t="str">
        <f>IF(A398="Mid-Rise, High-Rise",IF(C394=1,"High-Rise","Mid-Rise"),A398)</f>
        <v>&lt;select one&gt;</v>
      </c>
      <c r="D399" s="1353"/>
      <c r="E399" s="9"/>
      <c r="F399" s="25"/>
      <c r="G399" s="823"/>
      <c r="H399" s="823"/>
      <c r="I399" s="823"/>
      <c r="J399" s="823"/>
      <c r="O399" s="3078"/>
      <c r="P399" s="2544"/>
      <c r="Q399" s="2544"/>
      <c r="R399" s="2558"/>
      <c r="U399" s="3154">
        <f>MAX(U393:V397)</f>
        <v>0</v>
      </c>
      <c r="V399" s="3155"/>
      <c r="W399" s="1354"/>
      <c r="X399" s="1354"/>
    </row>
    <row r="400" spans="1:24">
      <c r="A400" s="1788" t="s">
        <v>2575</v>
      </c>
      <c r="B400" s="1353">
        <f>SUM('Proposed Development Info'!H147:H153)</f>
        <v>0</v>
      </c>
      <c r="C400" s="9"/>
      <c r="D400" s="1353"/>
      <c r="E400" s="25"/>
      <c r="F400" s="25"/>
      <c r="G400" s="823"/>
      <c r="H400" s="823"/>
      <c r="I400" s="823"/>
      <c r="J400" s="823"/>
      <c r="K400" s="3124" t="s">
        <v>275</v>
      </c>
      <c r="L400" s="3125"/>
      <c r="O400" s="3078"/>
      <c r="P400" s="2544"/>
      <c r="Q400" s="3080"/>
      <c r="R400" s="3081"/>
      <c r="W400" s="1354"/>
      <c r="X400" s="1354"/>
    </row>
    <row r="401" spans="1:38">
      <c r="A401" s="25" t="s">
        <v>2576</v>
      </c>
      <c r="B401" s="9"/>
      <c r="C401" s="9"/>
      <c r="D401" s="9"/>
      <c r="E401" s="9"/>
      <c r="F401" s="9"/>
      <c r="G401" s="9"/>
      <c r="H401" s="9"/>
      <c r="I401" s="823"/>
      <c r="J401" s="823"/>
      <c r="K401" t="s">
        <v>279</v>
      </c>
      <c r="L401" s="822" t="s">
        <v>280</v>
      </c>
      <c r="N401" s="3159" t="str">
        <f>"Programmed for Section 4.A.5, Location tab - row "&amp;ROW('Development Location'!I49)&amp;" and Proximity tab - row "&amp;ROW('Proximity, Mand.Dist., RECAP'!H68)&amp;"."</f>
        <v>Programmed for Section 4.A.5, Location tab - row 49 and Proximity tab - row 68.</v>
      </c>
      <c r="O401" s="3160"/>
      <c r="P401" s="3161"/>
      <c r="W401" s="1354"/>
      <c r="X401" s="1354"/>
    </row>
    <row r="402" spans="1:38">
      <c r="A402" s="585"/>
      <c r="B402" s="1505" t="str">
        <f>$B$18</f>
        <v>Do NOT delete any formulas in any "Sequence" column (column C), it's controlled by column B entries (1 to use, 0 or delete to not use). [warning not repeated every instance]</v>
      </c>
      <c r="C402" s="1505"/>
      <c r="D402" s="1505"/>
      <c r="E402" s="1505"/>
      <c r="F402" s="1505"/>
      <c r="G402" s="1506"/>
      <c r="H402" s="1506"/>
      <c r="I402" s="1506"/>
      <c r="J402" s="1483" t="s">
        <v>2213</v>
      </c>
      <c r="K402" t="s">
        <v>284</v>
      </c>
      <c r="L402" s="833" t="s">
        <v>280</v>
      </c>
      <c r="N402" s="3162"/>
      <c r="O402" s="3163"/>
      <c r="P402" s="3164"/>
      <c r="Z402" s="1354"/>
      <c r="AA402" s="1354"/>
    </row>
    <row r="403" spans="1:38">
      <c r="A403" s="585"/>
      <c r="E403" s="483" t="s">
        <v>274</v>
      </c>
      <c r="I403" s="43" t="s">
        <v>1780</v>
      </c>
      <c r="J403" s="822" t="s">
        <v>436</v>
      </c>
      <c r="K403" t="s">
        <v>286</v>
      </c>
      <c r="L403" s="833" t="s">
        <v>280</v>
      </c>
      <c r="M403" s="788" t="s">
        <v>1838</v>
      </c>
      <c r="N403" s="2963" t="s">
        <v>2608</v>
      </c>
      <c r="O403" s="2964"/>
      <c r="P403" s="2965"/>
      <c r="S403" s="3156" t="s">
        <v>2682</v>
      </c>
      <c r="T403" s="3157"/>
      <c r="U403" s="3157"/>
      <c r="V403" s="3157"/>
      <c r="W403" s="3158"/>
      <c r="X403" s="2956" t="s">
        <v>2068</v>
      </c>
      <c r="Y403" s="2957"/>
      <c r="Z403" s="2957"/>
      <c r="AA403" s="2957"/>
      <c r="AB403" s="2958"/>
      <c r="AC403" s="2954" t="s">
        <v>2112</v>
      </c>
      <c r="AD403" s="2955"/>
      <c r="AE403" s="2955"/>
      <c r="AF403" s="2955"/>
      <c r="AG403" s="2955"/>
      <c r="AH403" s="2951" t="s">
        <v>2515</v>
      </c>
      <c r="AI403" s="2952"/>
      <c r="AJ403" s="2952"/>
      <c r="AK403" s="2952"/>
      <c r="AL403" s="2953"/>
    </row>
    <row r="404" spans="1:38" ht="18" customHeight="1">
      <c r="A404" s="531" t="s">
        <v>273</v>
      </c>
      <c r="B404" s="532" t="s">
        <v>37</v>
      </c>
      <c r="C404" s="532" t="s">
        <v>38</v>
      </c>
      <c r="D404" s="532" t="s">
        <v>39</v>
      </c>
      <c r="E404" s="532" t="s">
        <v>2159</v>
      </c>
      <c r="F404" s="64" t="s">
        <v>41</v>
      </c>
      <c r="G404" s="1463" t="s">
        <v>2182</v>
      </c>
      <c r="H404" s="66" t="s">
        <v>2972</v>
      </c>
      <c r="I404" s="66" t="s">
        <v>2973</v>
      </c>
      <c r="J404" s="1155" t="s">
        <v>1781</v>
      </c>
      <c r="K404" s="532" t="s">
        <v>2465</v>
      </c>
      <c r="L404" s="2306"/>
      <c r="M404" s="1179" t="s">
        <v>1837</v>
      </c>
      <c r="N404" s="1812" t="s">
        <v>44</v>
      </c>
      <c r="O404" s="1812" t="s">
        <v>2606</v>
      </c>
      <c r="P404" s="1812" t="s">
        <v>2607</v>
      </c>
      <c r="Q404" s="2961" t="s">
        <v>2219</v>
      </c>
      <c r="R404" s="2962"/>
      <c r="S404" s="1393" t="s">
        <v>2069</v>
      </c>
      <c r="T404" s="1394" t="s">
        <v>2070</v>
      </c>
      <c r="U404" s="1394" t="s">
        <v>2071</v>
      </c>
      <c r="V404" s="1394" t="s">
        <v>2725</v>
      </c>
      <c r="W404" s="1394" t="s">
        <v>2726</v>
      </c>
      <c r="X404" s="1393" t="s">
        <v>2069</v>
      </c>
      <c r="Y404" s="1394" t="s">
        <v>2070</v>
      </c>
      <c r="Z404" s="1394" t="s">
        <v>2071</v>
      </c>
      <c r="AA404" s="1394" t="s">
        <v>2725</v>
      </c>
      <c r="AB404" s="1394" t="s">
        <v>2726</v>
      </c>
      <c r="AC404" s="1393" t="s">
        <v>2069</v>
      </c>
      <c r="AD404" s="1394" t="s">
        <v>2070</v>
      </c>
      <c r="AE404" s="1394" t="s">
        <v>2071</v>
      </c>
      <c r="AF404" s="1394" t="s">
        <v>2725</v>
      </c>
      <c r="AG404" s="1394" t="s">
        <v>2726</v>
      </c>
      <c r="AH404" s="1393" t="s">
        <v>2069</v>
      </c>
      <c r="AI404" s="1394" t="s">
        <v>2070</v>
      </c>
      <c r="AJ404" s="1394" t="s">
        <v>2071</v>
      </c>
      <c r="AK404" s="1394" t="s">
        <v>2725</v>
      </c>
      <c r="AL404" s="1395" t="s">
        <v>2726</v>
      </c>
    </row>
    <row r="405" spans="1:38" ht="15" customHeight="1">
      <c r="A405" s="59" t="s">
        <v>276</v>
      </c>
      <c r="B405" s="57">
        <f t="shared" ref="B405:B436" si="0">IF(AND(H405="Large",L$401="Yes"),1,IF(AND(H405="Medium",L$402="Yes"),1,IF(AND(H405="Small",L$403="Yes"),1,0)))</f>
        <v>1</v>
      </c>
      <c r="C405" s="60">
        <f>IF(B405&lt;&gt;1,"",SUM(B$405:B405))</f>
        <v>1</v>
      </c>
      <c r="D405" s="57">
        <v>1</v>
      </c>
      <c r="E405" s="60" t="s">
        <v>2160</v>
      </c>
      <c r="F405" s="64" t="str">
        <f>IF(COUNTA($A$405:$A405)&lt;=MAX(DS_Counties_Sequence)=TRUE,LOOKUP(COUNTA($A$405:$A405),DS_Counties_Sequence,DS_Counties_DataNames),"")</f>
        <v>Alachua</v>
      </c>
      <c r="G405" s="264" t="s">
        <v>276</v>
      </c>
      <c r="H405" s="67" t="s">
        <v>277</v>
      </c>
      <c r="I405" s="67" t="s">
        <v>278</v>
      </c>
      <c r="J405" s="919"/>
      <c r="K405" s="376" t="s">
        <v>640</v>
      </c>
      <c r="L405" s="267"/>
      <c r="M405" s="58" t="s">
        <v>436</v>
      </c>
      <c r="N405" s="1813">
        <v>0</v>
      </c>
      <c r="O405" s="1813">
        <v>0</v>
      </c>
      <c r="P405" s="1813">
        <v>0</v>
      </c>
      <c r="Q405" s="376">
        <f>IF(M405="Yes",1+MAX(Q$404:Q404),0)</f>
        <v>0</v>
      </c>
      <c r="R405" s="376" t="str">
        <f t="shared" ref="R405:R436" si="1">IF(AND(Q405&gt;0,IFERROR(VLOOKUP(A405,DS_Counties_DDMenu,1),"No")&lt;&gt;"No"),"Yes","No")</f>
        <v>No</v>
      </c>
      <c r="S405" s="2307">
        <f t="shared" ref="S405:S436" si="2">COUNTIF(DS_2026_ZCTAs,$A405)</f>
        <v>1</v>
      </c>
      <c r="T405" s="267">
        <f t="shared" ref="T405:T436" si="3">COUNTIF(DS_2026_Metro_QCTs,$A405)</f>
        <v>14</v>
      </c>
      <c r="U405" s="267">
        <f t="shared" ref="U405:U436" si="4">COUNTIF(DS_2026_NonMetro_QCTs,$A405)</f>
        <v>0</v>
      </c>
      <c r="V405" s="267">
        <f t="shared" ref="V405:V436" si="5">COUNTIF(DS_2026_2F_GAO_CTs,$A405)</f>
        <v>32</v>
      </c>
      <c r="W405" s="2308">
        <f t="shared" ref="W405:W436" si="6">COUNTIF(DS_2026_3F_GAO_CTs,$A405)</f>
        <v>0</v>
      </c>
      <c r="X405" s="267">
        <f t="shared" ref="X405:X436" si="7">COUNTIF(DS_2023_ZCTAs,$A405)</f>
        <v>0</v>
      </c>
      <c r="Y405" s="267">
        <f t="shared" ref="Y405:Y436" si="8">COUNTIF(DS_2023_Metro_QCTs,$A405)</f>
        <v>16</v>
      </c>
      <c r="Z405" s="267">
        <f t="shared" ref="Z405:Z436" si="9">COUNTIF(DS_2023_NonMetro_QCTs,$A405)</f>
        <v>0</v>
      </c>
      <c r="AA405" s="267">
        <f t="shared" ref="AA405:AA436" si="10">COUNTIF(DS_2023_GAO_QCTs,$A405)</f>
        <v>31</v>
      </c>
      <c r="AB405" s="2308"/>
      <c r="AC405" s="2307">
        <f t="shared" ref="AC405:AC436" si="11">COUNTIF(DS_2024_ZCTAs,$A405)</f>
        <v>0</v>
      </c>
      <c r="AD405" s="267">
        <f t="shared" ref="AD405:AD436" si="12">COUNTIF(DS_2024_Metro_QCTs,$A405)</f>
        <v>58</v>
      </c>
      <c r="AE405" s="267">
        <f t="shared" ref="AE405:AE436" si="13">COUNTIF(DS_2024_NonMetro_QCTs,$A405)</f>
        <v>0</v>
      </c>
      <c r="AF405" s="267">
        <f t="shared" ref="AF405:AF436" si="14">COUNTIF(DS_2024_GAO_QCTs,$A405)</f>
        <v>30</v>
      </c>
      <c r="AG405" s="2309"/>
      <c r="AH405" s="2307">
        <f t="shared" ref="AH405:AH436" si="15">COUNTIF(DS_2025_ZCTAs,$A405)</f>
        <v>1</v>
      </c>
      <c r="AI405" s="267">
        <f t="shared" ref="AI405:AI436" si="16">COUNTIF(DS_2025_Metro_QCTs,$A405)</f>
        <v>14</v>
      </c>
      <c r="AJ405" s="267">
        <f t="shared" ref="AJ405:AJ436" si="17">COUNTIF(DS_2025_NonMetro_QCTs,$A405)</f>
        <v>0</v>
      </c>
      <c r="AK405" s="267">
        <f t="shared" ref="AK405:AK436" si="18">COUNTIF(DS_2025_GAO_QCTs,$A405)</f>
        <v>31</v>
      </c>
      <c r="AL405" s="2308"/>
    </row>
    <row r="406" spans="1:38">
      <c r="A406" s="59" t="s">
        <v>281</v>
      </c>
      <c r="B406" s="57">
        <f t="shared" si="0"/>
        <v>1</v>
      </c>
      <c r="C406" s="60">
        <f>IF(B406&lt;&gt;1,"",SUM(B$405:B406))</f>
        <v>2</v>
      </c>
      <c r="D406" s="57">
        <v>2</v>
      </c>
      <c r="E406" s="376" t="s">
        <v>640</v>
      </c>
      <c r="F406" s="64" t="str">
        <f>IF(COUNTA($A$405:$A406)&lt;=MAX(DS_Counties_Sequence)=TRUE,LOOKUP(COUNTA($A$405:$A406),DS_Counties_Sequence,DS_Counties_DataNames),"")</f>
        <v>Baker</v>
      </c>
      <c r="G406" s="264" t="s">
        <v>281</v>
      </c>
      <c r="H406" s="68" t="s">
        <v>282</v>
      </c>
      <c r="I406" s="68" t="s">
        <v>283</v>
      </c>
      <c r="J406" s="58">
        <v>3</v>
      </c>
      <c r="K406" s="2316" t="s">
        <v>2210</v>
      </c>
      <c r="L406" s="251"/>
      <c r="M406" s="58" t="s">
        <v>436</v>
      </c>
      <c r="N406" s="1813">
        <v>0</v>
      </c>
      <c r="O406" s="1813">
        <v>0</v>
      </c>
      <c r="P406" s="1813">
        <v>0</v>
      </c>
      <c r="Q406" s="394">
        <f>IF(M406="Yes",1+MAX(Q$404:Q405),0)</f>
        <v>0</v>
      </c>
      <c r="R406" s="394" t="str">
        <f t="shared" si="1"/>
        <v>No</v>
      </c>
      <c r="S406" s="2310">
        <f t="shared" si="2"/>
        <v>0</v>
      </c>
      <c r="T406" s="251">
        <f t="shared" si="3"/>
        <v>0</v>
      </c>
      <c r="U406" s="251">
        <f t="shared" si="4"/>
        <v>0</v>
      </c>
      <c r="V406" s="251">
        <f t="shared" si="5"/>
        <v>2</v>
      </c>
      <c r="W406" s="2311">
        <f t="shared" si="6"/>
        <v>0</v>
      </c>
      <c r="X406" s="251">
        <f t="shared" si="7"/>
        <v>0</v>
      </c>
      <c r="Y406" s="251">
        <f t="shared" si="8"/>
        <v>0</v>
      </c>
      <c r="Z406" s="251">
        <f t="shared" si="9"/>
        <v>0</v>
      </c>
      <c r="AA406" s="251">
        <f t="shared" si="10"/>
        <v>3</v>
      </c>
      <c r="AB406" s="2311"/>
      <c r="AC406" s="2310">
        <f t="shared" si="11"/>
        <v>0</v>
      </c>
      <c r="AD406" s="251">
        <f t="shared" si="12"/>
        <v>4</v>
      </c>
      <c r="AE406" s="251">
        <f t="shared" si="13"/>
        <v>0</v>
      </c>
      <c r="AF406" s="251">
        <f t="shared" si="14"/>
        <v>3</v>
      </c>
      <c r="AG406" s="2312"/>
      <c r="AH406" s="2310">
        <f t="shared" si="15"/>
        <v>0</v>
      </c>
      <c r="AI406" s="251">
        <f t="shared" si="16"/>
        <v>0</v>
      </c>
      <c r="AJ406" s="251">
        <f t="shared" si="17"/>
        <v>0</v>
      </c>
      <c r="AK406" s="251">
        <f t="shared" si="18"/>
        <v>2</v>
      </c>
      <c r="AL406" s="2311"/>
    </row>
    <row r="407" spans="1:38">
      <c r="A407" s="59" t="s">
        <v>285</v>
      </c>
      <c r="B407" s="57">
        <f t="shared" si="0"/>
        <v>1</v>
      </c>
      <c r="C407" s="60">
        <f>IF(B407&lt;&gt;1,"",SUM(B$405:B407))</f>
        <v>3</v>
      </c>
      <c r="D407" s="57">
        <v>3</v>
      </c>
      <c r="E407" s="60" t="s">
        <v>2160</v>
      </c>
      <c r="F407" s="64" t="str">
        <f>IF(COUNTA($A$405:$A407)&lt;=MAX(DS_Counties_Sequence)=TRUE,LOOKUP(COUNTA($A$405:$A407),DS_Counties_Sequence,DS_Counties_DataNames),"")</f>
        <v>Bay</v>
      </c>
      <c r="G407" s="264" t="s">
        <v>285</v>
      </c>
      <c r="H407" s="68" t="s">
        <v>277</v>
      </c>
      <c r="I407" s="68" t="s">
        <v>164</v>
      </c>
      <c r="J407" s="58"/>
      <c r="K407" s="394" t="s">
        <v>640</v>
      </c>
      <c r="L407" s="251"/>
      <c r="M407" s="58" t="s">
        <v>436</v>
      </c>
      <c r="N407" s="1813">
        <v>0</v>
      </c>
      <c r="O407" s="1813">
        <v>0</v>
      </c>
      <c r="P407" s="1813">
        <v>0</v>
      </c>
      <c r="Q407" s="394">
        <f>IF(M407="Yes",1+MAX(Q$404:Q406),0)</f>
        <v>0</v>
      </c>
      <c r="R407" s="394" t="str">
        <f t="shared" si="1"/>
        <v>No</v>
      </c>
      <c r="S407" s="2310">
        <f t="shared" si="2"/>
        <v>4</v>
      </c>
      <c r="T407" s="251">
        <f t="shared" si="3"/>
        <v>6</v>
      </c>
      <c r="U407" s="251">
        <f t="shared" si="4"/>
        <v>0</v>
      </c>
      <c r="V407" s="251">
        <f t="shared" si="5"/>
        <v>26</v>
      </c>
      <c r="W407" s="2311">
        <f t="shared" si="6"/>
        <v>0</v>
      </c>
      <c r="X407" s="251">
        <f t="shared" si="7"/>
        <v>3</v>
      </c>
      <c r="Y407" s="251">
        <f t="shared" si="8"/>
        <v>8</v>
      </c>
      <c r="Z407" s="251">
        <f t="shared" si="9"/>
        <v>0</v>
      </c>
      <c r="AA407" s="251">
        <f t="shared" si="10"/>
        <v>25</v>
      </c>
      <c r="AB407" s="2311"/>
      <c r="AC407" s="2310">
        <f t="shared" si="11"/>
        <v>4</v>
      </c>
      <c r="AD407" s="251">
        <f t="shared" si="12"/>
        <v>50</v>
      </c>
      <c r="AE407" s="251">
        <f t="shared" si="13"/>
        <v>0</v>
      </c>
      <c r="AF407" s="251">
        <f t="shared" si="14"/>
        <v>30</v>
      </c>
      <c r="AG407" s="2312"/>
      <c r="AH407" s="2310">
        <f t="shared" si="15"/>
        <v>4</v>
      </c>
      <c r="AI407" s="251">
        <f t="shared" si="16"/>
        <v>9</v>
      </c>
      <c r="AJ407" s="251">
        <f t="shared" si="17"/>
        <v>0</v>
      </c>
      <c r="AK407" s="251">
        <f t="shared" si="18"/>
        <v>28</v>
      </c>
      <c r="AL407" s="2311"/>
    </row>
    <row r="408" spans="1:38">
      <c r="A408" s="59" t="s">
        <v>287</v>
      </c>
      <c r="B408" s="57">
        <f t="shared" si="0"/>
        <v>1</v>
      </c>
      <c r="C408" s="60">
        <f>IF(B408&lt;&gt;1,"",SUM(B$405:B408))</f>
        <v>4</v>
      </c>
      <c r="D408" s="57">
        <v>4</v>
      </c>
      <c r="E408" s="376" t="s">
        <v>640</v>
      </c>
      <c r="F408" s="64" t="str">
        <f>IF(COUNTA($A$405:$A408)&lt;=MAX(DS_Counties_Sequence)=TRUE,LOOKUP(COUNTA($A$405:$A408),DS_Counties_Sequence,DS_Counties_DataNames),"")</f>
        <v>Bradford</v>
      </c>
      <c r="G408" s="264" t="s">
        <v>287</v>
      </c>
      <c r="H408" s="68" t="s">
        <v>282</v>
      </c>
      <c r="I408" s="68" t="s">
        <v>283</v>
      </c>
      <c r="J408" s="58">
        <v>3</v>
      </c>
      <c r="K408" s="2316" t="s">
        <v>2210</v>
      </c>
      <c r="L408" s="251"/>
      <c r="M408" s="58" t="s">
        <v>280</v>
      </c>
      <c r="N408" s="1813">
        <v>1</v>
      </c>
      <c r="O408" s="1813">
        <v>1</v>
      </c>
      <c r="P408" s="1813">
        <v>0</v>
      </c>
      <c r="Q408" s="394">
        <f>IF(M408="Yes",1+MAX(Q$404:Q407),0)</f>
        <v>1</v>
      </c>
      <c r="R408" s="394" t="str">
        <f t="shared" si="1"/>
        <v>Yes</v>
      </c>
      <c r="S408" s="2310">
        <f t="shared" si="2"/>
        <v>0</v>
      </c>
      <c r="T408" s="251">
        <f t="shared" si="3"/>
        <v>0</v>
      </c>
      <c r="U408" s="251">
        <f t="shared" si="4"/>
        <v>0</v>
      </c>
      <c r="V408" s="251">
        <f t="shared" si="5"/>
        <v>4</v>
      </c>
      <c r="W408" s="2311">
        <f t="shared" si="6"/>
        <v>0</v>
      </c>
      <c r="X408" s="251">
        <f t="shared" si="7"/>
        <v>0</v>
      </c>
      <c r="Y408" s="251">
        <f t="shared" si="8"/>
        <v>0</v>
      </c>
      <c r="Z408" s="251">
        <f t="shared" si="9"/>
        <v>0</v>
      </c>
      <c r="AA408" s="251">
        <f t="shared" si="10"/>
        <v>3</v>
      </c>
      <c r="AB408" s="2311"/>
      <c r="AC408" s="2310">
        <f t="shared" si="11"/>
        <v>0</v>
      </c>
      <c r="AD408" s="251">
        <f t="shared" si="12"/>
        <v>0</v>
      </c>
      <c r="AE408" s="251">
        <f t="shared" si="13"/>
        <v>6</v>
      </c>
      <c r="AF408" s="251">
        <f t="shared" si="14"/>
        <v>3</v>
      </c>
      <c r="AG408" s="2312"/>
      <c r="AH408" s="2310">
        <f t="shared" si="15"/>
        <v>0</v>
      </c>
      <c r="AI408" s="251">
        <f t="shared" si="16"/>
        <v>0</v>
      </c>
      <c r="AJ408" s="251">
        <f t="shared" si="17"/>
        <v>0</v>
      </c>
      <c r="AK408" s="251">
        <f t="shared" si="18"/>
        <v>2</v>
      </c>
      <c r="AL408" s="2311"/>
    </row>
    <row r="409" spans="1:38">
      <c r="A409" s="59" t="s">
        <v>288</v>
      </c>
      <c r="B409" s="57">
        <f t="shared" si="0"/>
        <v>1</v>
      </c>
      <c r="C409" s="60">
        <f>IF(B409&lt;&gt;1,"",SUM(B$405:B409))</f>
        <v>5</v>
      </c>
      <c r="D409" s="57">
        <v>5</v>
      </c>
      <c r="E409" s="60" t="s">
        <v>2161</v>
      </c>
      <c r="F409" s="64" t="str">
        <f>IF(COUNTA($A$405:$A409)&lt;=MAX(DS_Counties_Sequence)=TRUE,LOOKUP(COUNTA($A$405:$A409),DS_Counties_Sequence,DS_Counties_DataNames),"")</f>
        <v>Brevard</v>
      </c>
      <c r="G409" s="264" t="s">
        <v>288</v>
      </c>
      <c r="H409" s="68" t="s">
        <v>277</v>
      </c>
      <c r="I409" s="68" t="s">
        <v>278</v>
      </c>
      <c r="J409" s="58"/>
      <c r="K409" s="394" t="s">
        <v>640</v>
      </c>
      <c r="L409" s="251"/>
      <c r="M409" s="58" t="s">
        <v>436</v>
      </c>
      <c r="N409" s="1813">
        <v>0</v>
      </c>
      <c r="O409" s="1813">
        <v>0</v>
      </c>
      <c r="P409" s="1813">
        <v>0</v>
      </c>
      <c r="Q409" s="394">
        <f>IF(M409="Yes",1+MAX(Q$404:Q408),0)</f>
        <v>0</v>
      </c>
      <c r="R409" s="394" t="str">
        <f t="shared" si="1"/>
        <v>No</v>
      </c>
      <c r="S409" s="2310">
        <f t="shared" si="2"/>
        <v>9</v>
      </c>
      <c r="T409" s="251">
        <f t="shared" si="3"/>
        <v>13</v>
      </c>
      <c r="U409" s="251">
        <f t="shared" si="4"/>
        <v>0</v>
      </c>
      <c r="V409" s="251">
        <f t="shared" si="5"/>
        <v>76</v>
      </c>
      <c r="W409" s="2311">
        <f t="shared" si="6"/>
        <v>0</v>
      </c>
      <c r="X409" s="251">
        <f t="shared" si="7"/>
        <v>9</v>
      </c>
      <c r="Y409" s="251">
        <f t="shared" si="8"/>
        <v>13</v>
      </c>
      <c r="Z409" s="251">
        <f t="shared" si="9"/>
        <v>0</v>
      </c>
      <c r="AA409" s="251">
        <f t="shared" si="10"/>
        <v>82</v>
      </c>
      <c r="AB409" s="2311"/>
      <c r="AC409" s="2310">
        <f t="shared" si="11"/>
        <v>10</v>
      </c>
      <c r="AD409" s="251">
        <f t="shared" si="12"/>
        <v>148</v>
      </c>
      <c r="AE409" s="251">
        <f t="shared" si="13"/>
        <v>0</v>
      </c>
      <c r="AF409" s="251">
        <f t="shared" si="14"/>
        <v>81</v>
      </c>
      <c r="AG409" s="2312"/>
      <c r="AH409" s="2310">
        <f t="shared" si="15"/>
        <v>5</v>
      </c>
      <c r="AI409" s="251">
        <f t="shared" si="16"/>
        <v>18</v>
      </c>
      <c r="AJ409" s="251">
        <f t="shared" si="17"/>
        <v>0</v>
      </c>
      <c r="AK409" s="251">
        <f t="shared" si="18"/>
        <v>80</v>
      </c>
      <c r="AL409" s="2311"/>
    </row>
    <row r="410" spans="1:38">
      <c r="A410" s="59" t="s">
        <v>289</v>
      </c>
      <c r="B410" s="57">
        <f t="shared" si="0"/>
        <v>1</v>
      </c>
      <c r="C410" s="60">
        <f>IF(B410&lt;&gt;1,"",SUM(B$405:B410))</f>
        <v>6</v>
      </c>
      <c r="D410" s="57">
        <v>6</v>
      </c>
      <c r="E410" s="60" t="s">
        <v>2162</v>
      </c>
      <c r="F410" s="64" t="str">
        <f>IF(COUNTA($A$405:$A410)&lt;=MAX(DS_Counties_Sequence)=TRUE,LOOKUP(COUNTA($A$405:$A410),DS_Counties_Sequence,DS_Counties_DataNames),"")</f>
        <v>Broward</v>
      </c>
      <c r="G410" s="264" t="s">
        <v>289</v>
      </c>
      <c r="H410" s="68" t="s">
        <v>290</v>
      </c>
      <c r="I410" s="68" t="s">
        <v>291</v>
      </c>
      <c r="J410" s="58"/>
      <c r="K410" s="394" t="s">
        <v>640</v>
      </c>
      <c r="L410" s="251"/>
      <c r="M410" s="58" t="s">
        <v>436</v>
      </c>
      <c r="N410" s="1813">
        <v>0</v>
      </c>
      <c r="O410" s="1813">
        <v>0</v>
      </c>
      <c r="P410" s="1813">
        <v>0</v>
      </c>
      <c r="Q410" s="394">
        <f>IF(M410="Yes",1+MAX(Q$404:Q409),0)</f>
        <v>0</v>
      </c>
      <c r="R410" s="394" t="str">
        <f t="shared" si="1"/>
        <v>No</v>
      </c>
      <c r="S410" s="2310">
        <f t="shared" si="2"/>
        <v>49</v>
      </c>
      <c r="T410" s="251">
        <f t="shared" si="3"/>
        <v>71</v>
      </c>
      <c r="U410" s="251">
        <f t="shared" si="4"/>
        <v>0</v>
      </c>
      <c r="V410" s="251">
        <f t="shared" si="5"/>
        <v>210</v>
      </c>
      <c r="W410" s="2311">
        <f t="shared" si="6"/>
        <v>0</v>
      </c>
      <c r="X410" s="251">
        <f t="shared" si="7"/>
        <v>31</v>
      </c>
      <c r="Y410" s="251">
        <f t="shared" si="8"/>
        <v>51</v>
      </c>
      <c r="Z410" s="251">
        <f t="shared" si="9"/>
        <v>0</v>
      </c>
      <c r="AA410" s="251">
        <f t="shared" si="10"/>
        <v>223</v>
      </c>
      <c r="AB410" s="2311"/>
      <c r="AC410" s="2310">
        <f t="shared" si="11"/>
        <v>41</v>
      </c>
      <c r="AD410" s="251">
        <f t="shared" si="12"/>
        <v>417</v>
      </c>
      <c r="AE410" s="251">
        <f t="shared" si="13"/>
        <v>0</v>
      </c>
      <c r="AF410" s="251">
        <f t="shared" si="14"/>
        <v>224</v>
      </c>
      <c r="AG410" s="2312"/>
      <c r="AH410" s="2310">
        <f t="shared" si="15"/>
        <v>40</v>
      </c>
      <c r="AI410" s="251">
        <f t="shared" si="16"/>
        <v>67</v>
      </c>
      <c r="AJ410" s="251">
        <f t="shared" si="17"/>
        <v>0</v>
      </c>
      <c r="AK410" s="251">
        <f t="shared" si="18"/>
        <v>219</v>
      </c>
      <c r="AL410" s="2311"/>
    </row>
    <row r="411" spans="1:38">
      <c r="A411" s="59" t="s">
        <v>292</v>
      </c>
      <c r="B411" s="57">
        <f t="shared" si="0"/>
        <v>1</v>
      </c>
      <c r="C411" s="60">
        <f>IF(B411&lt;&gt;1,"",SUM(B$405:B411))</f>
        <v>7</v>
      </c>
      <c r="D411" s="57">
        <v>7</v>
      </c>
      <c r="E411" s="376" t="s">
        <v>640</v>
      </c>
      <c r="F411" s="64" t="str">
        <f>IF(COUNTA($A$405:$A411)&lt;=MAX(DS_Counties_Sequence)=TRUE,LOOKUP(COUNTA($A$405:$A411),DS_Counties_Sequence,DS_Counties_DataNames),"")</f>
        <v>Calhoun</v>
      </c>
      <c r="G411" s="264" t="s">
        <v>292</v>
      </c>
      <c r="H411" s="68" t="s">
        <v>282</v>
      </c>
      <c r="I411" s="68" t="s">
        <v>293</v>
      </c>
      <c r="J411" s="58">
        <v>3</v>
      </c>
      <c r="K411" s="921" t="s">
        <v>2208</v>
      </c>
      <c r="L411" s="251"/>
      <c r="M411" s="58" t="s">
        <v>436</v>
      </c>
      <c r="N411" s="1813">
        <v>0</v>
      </c>
      <c r="O411" s="1813">
        <v>0</v>
      </c>
      <c r="P411" s="1813">
        <v>0</v>
      </c>
      <c r="Q411" s="394">
        <f>IF(M411="Yes",1+MAX(Q$404:Q410),0)</f>
        <v>0</v>
      </c>
      <c r="R411" s="394" t="str">
        <f t="shared" si="1"/>
        <v>No</v>
      </c>
      <c r="S411" s="2310">
        <f t="shared" si="2"/>
        <v>0</v>
      </c>
      <c r="T411" s="251">
        <f t="shared" si="3"/>
        <v>0</v>
      </c>
      <c r="U411" s="251">
        <f t="shared" si="4"/>
        <v>0</v>
      </c>
      <c r="V411" s="251">
        <f t="shared" si="5"/>
        <v>2</v>
      </c>
      <c r="W411" s="2311">
        <f t="shared" si="6"/>
        <v>0</v>
      </c>
      <c r="X411" s="251">
        <f t="shared" si="7"/>
        <v>0</v>
      </c>
      <c r="Y411" s="251">
        <f t="shared" si="8"/>
        <v>0</v>
      </c>
      <c r="Z411" s="251">
        <f t="shared" si="9"/>
        <v>0</v>
      </c>
      <c r="AA411" s="251">
        <f t="shared" si="10"/>
        <v>3</v>
      </c>
      <c r="AB411" s="2311"/>
      <c r="AC411" s="2310">
        <f t="shared" si="11"/>
        <v>0</v>
      </c>
      <c r="AD411" s="251">
        <f t="shared" si="12"/>
        <v>0</v>
      </c>
      <c r="AE411" s="251">
        <f t="shared" si="13"/>
        <v>4</v>
      </c>
      <c r="AF411" s="251">
        <f t="shared" si="14"/>
        <v>3</v>
      </c>
      <c r="AG411" s="2312"/>
      <c r="AH411" s="2310">
        <f t="shared" si="15"/>
        <v>0</v>
      </c>
      <c r="AI411" s="251">
        <f t="shared" si="16"/>
        <v>0</v>
      </c>
      <c r="AJ411" s="251">
        <f t="shared" si="17"/>
        <v>0</v>
      </c>
      <c r="AK411" s="251">
        <f t="shared" si="18"/>
        <v>2</v>
      </c>
      <c r="AL411" s="2311"/>
    </row>
    <row r="412" spans="1:38">
      <c r="A412" s="59" t="s">
        <v>294</v>
      </c>
      <c r="B412" s="57">
        <f t="shared" si="0"/>
        <v>1</v>
      </c>
      <c r="C412" s="60">
        <f>IF(B412&lt;&gt;1,"",SUM(B$405:B412))</f>
        <v>8</v>
      </c>
      <c r="D412" s="57">
        <v>8</v>
      </c>
      <c r="E412" s="60" t="s">
        <v>2163</v>
      </c>
      <c r="F412" s="64" t="str">
        <f>IF(COUNTA($A$405:$A412)&lt;=MAX(DS_Counties_Sequence)=TRUE,LOOKUP(COUNTA($A$405:$A412),DS_Counties_Sequence,DS_Counties_DataNames),"")</f>
        <v>Charlotte</v>
      </c>
      <c r="G412" s="264" t="s">
        <v>294</v>
      </c>
      <c r="H412" s="68" t="s">
        <v>277</v>
      </c>
      <c r="I412" s="68" t="s">
        <v>164</v>
      </c>
      <c r="J412" s="58"/>
      <c r="K412" s="394" t="s">
        <v>640</v>
      </c>
      <c r="L412" s="251"/>
      <c r="M412" s="58" t="s">
        <v>436</v>
      </c>
      <c r="N412" s="1813">
        <v>0</v>
      </c>
      <c r="O412" s="1813">
        <v>0</v>
      </c>
      <c r="P412" s="1813">
        <v>0</v>
      </c>
      <c r="Q412" s="394">
        <f>IF(M412="Yes",1+MAX(Q$404:Q411),0)</f>
        <v>0</v>
      </c>
      <c r="R412" s="394" t="str">
        <f t="shared" si="1"/>
        <v>No</v>
      </c>
      <c r="S412" s="2310">
        <f t="shared" si="2"/>
        <v>7</v>
      </c>
      <c r="T412" s="251">
        <f t="shared" si="3"/>
        <v>3</v>
      </c>
      <c r="U412" s="251">
        <f t="shared" si="4"/>
        <v>0</v>
      </c>
      <c r="V412" s="251">
        <f t="shared" si="5"/>
        <v>26</v>
      </c>
      <c r="W412" s="2311">
        <f t="shared" si="6"/>
        <v>0</v>
      </c>
      <c r="X412" s="251">
        <f t="shared" si="7"/>
        <v>6</v>
      </c>
      <c r="Y412" s="251">
        <f t="shared" si="8"/>
        <v>1</v>
      </c>
      <c r="Z412" s="251">
        <f t="shared" si="9"/>
        <v>0</v>
      </c>
      <c r="AA412" s="251">
        <f t="shared" si="10"/>
        <v>30</v>
      </c>
      <c r="AB412" s="2311"/>
      <c r="AC412" s="2310">
        <f t="shared" si="11"/>
        <v>6</v>
      </c>
      <c r="AD412" s="251">
        <f t="shared" si="12"/>
        <v>47</v>
      </c>
      <c r="AE412" s="251">
        <f t="shared" si="13"/>
        <v>0</v>
      </c>
      <c r="AF412" s="251">
        <f t="shared" si="14"/>
        <v>25</v>
      </c>
      <c r="AG412" s="2312"/>
      <c r="AH412" s="2310">
        <f t="shared" si="15"/>
        <v>6</v>
      </c>
      <c r="AI412" s="251">
        <f t="shared" si="16"/>
        <v>2</v>
      </c>
      <c r="AJ412" s="251">
        <f t="shared" si="17"/>
        <v>0</v>
      </c>
      <c r="AK412" s="251">
        <f t="shared" si="18"/>
        <v>27</v>
      </c>
      <c r="AL412" s="2311"/>
    </row>
    <row r="413" spans="1:38">
      <c r="A413" s="59" t="s">
        <v>295</v>
      </c>
      <c r="B413" s="57">
        <f t="shared" si="0"/>
        <v>1</v>
      </c>
      <c r="C413" s="60">
        <f>IF(B413&lt;&gt;1,"",SUM(B$405:B413))</f>
        <v>9</v>
      </c>
      <c r="D413" s="57">
        <v>9</v>
      </c>
      <c r="E413" s="60" t="s">
        <v>2163</v>
      </c>
      <c r="F413" s="64" t="str">
        <f>IF(COUNTA($A$405:$A413)&lt;=MAX(DS_Counties_Sequence)=TRUE,LOOKUP(COUNTA($A$405:$A413),DS_Counties_Sequence,DS_Counties_DataNames),"")</f>
        <v>Citrus</v>
      </c>
      <c r="G413" s="264" t="s">
        <v>295</v>
      </c>
      <c r="H413" s="68" t="s">
        <v>277</v>
      </c>
      <c r="I413" s="68" t="s">
        <v>164</v>
      </c>
      <c r="J413" s="58"/>
      <c r="K413" s="394" t="s">
        <v>640</v>
      </c>
      <c r="L413" s="251"/>
      <c r="M413" s="58" t="s">
        <v>436</v>
      </c>
      <c r="N413" s="1813">
        <v>0</v>
      </c>
      <c r="O413" s="1813">
        <v>0</v>
      </c>
      <c r="P413" s="1813">
        <v>0</v>
      </c>
      <c r="Q413" s="394">
        <f>IF(M413="Yes",1+MAX(Q$404:Q412),0)</f>
        <v>0</v>
      </c>
      <c r="R413" s="394" t="str">
        <f t="shared" si="1"/>
        <v>No</v>
      </c>
      <c r="S413" s="2310">
        <f t="shared" si="2"/>
        <v>2</v>
      </c>
      <c r="T413" s="251">
        <f t="shared" si="3"/>
        <v>3</v>
      </c>
      <c r="U413" s="251">
        <f t="shared" si="4"/>
        <v>0</v>
      </c>
      <c r="V413" s="251">
        <f t="shared" si="5"/>
        <v>19</v>
      </c>
      <c r="W413" s="2311">
        <f t="shared" si="6"/>
        <v>0</v>
      </c>
      <c r="X413" s="251">
        <f t="shared" si="7"/>
        <v>3</v>
      </c>
      <c r="Y413" s="251">
        <f t="shared" si="8"/>
        <v>5</v>
      </c>
      <c r="Z413" s="251">
        <f t="shared" si="9"/>
        <v>0</v>
      </c>
      <c r="AA413" s="251">
        <f t="shared" si="10"/>
        <v>22</v>
      </c>
      <c r="AB413" s="2311"/>
      <c r="AC413" s="2310">
        <f t="shared" si="11"/>
        <v>1</v>
      </c>
      <c r="AD413" s="251">
        <f t="shared" si="12"/>
        <v>42</v>
      </c>
      <c r="AE413" s="251">
        <f t="shared" si="13"/>
        <v>0</v>
      </c>
      <c r="AF413" s="251">
        <f t="shared" si="14"/>
        <v>23</v>
      </c>
      <c r="AG413" s="2312"/>
      <c r="AH413" s="2310">
        <f t="shared" si="15"/>
        <v>1</v>
      </c>
      <c r="AI413" s="251">
        <f t="shared" si="16"/>
        <v>2</v>
      </c>
      <c r="AJ413" s="251">
        <f t="shared" si="17"/>
        <v>0</v>
      </c>
      <c r="AK413" s="251">
        <f t="shared" si="18"/>
        <v>20</v>
      </c>
      <c r="AL413" s="2311"/>
    </row>
    <row r="414" spans="1:38" ht="15" customHeight="1">
      <c r="A414" s="59" t="s">
        <v>296</v>
      </c>
      <c r="B414" s="57">
        <f t="shared" si="0"/>
        <v>1</v>
      </c>
      <c r="C414" s="60">
        <f>IF(B414&lt;&gt;1,"",SUM(B$405:B414))</f>
        <v>10</v>
      </c>
      <c r="D414" s="57">
        <v>10</v>
      </c>
      <c r="E414" s="60" t="s">
        <v>2160</v>
      </c>
      <c r="F414" s="64" t="str">
        <f>IF(COUNTA($A$405:$A414)&lt;=MAX(DS_Counties_Sequence)=TRUE,LOOKUP(COUNTA($A$405:$A414),DS_Counties_Sequence,DS_Counties_DataNames),"")</f>
        <v>Clay</v>
      </c>
      <c r="G414" s="264" t="s">
        <v>296</v>
      </c>
      <c r="H414" s="68" t="s">
        <v>277</v>
      </c>
      <c r="I414" s="68" t="s">
        <v>164</v>
      </c>
      <c r="J414" s="58"/>
      <c r="K414" s="394" t="s">
        <v>640</v>
      </c>
      <c r="L414" s="251"/>
      <c r="M414" s="58" t="s">
        <v>436</v>
      </c>
      <c r="N414" s="1813">
        <v>0</v>
      </c>
      <c r="O414" s="1813">
        <v>0</v>
      </c>
      <c r="P414" s="1813">
        <v>0</v>
      </c>
      <c r="Q414" s="394">
        <f>IF(M414="Yes",1+MAX(Q$404:Q413),0)</f>
        <v>0</v>
      </c>
      <c r="R414" s="394" t="str">
        <f t="shared" si="1"/>
        <v>No</v>
      </c>
      <c r="S414" s="2310">
        <f t="shared" si="2"/>
        <v>3</v>
      </c>
      <c r="T414" s="251">
        <f t="shared" si="3"/>
        <v>2</v>
      </c>
      <c r="U414" s="251">
        <f t="shared" si="4"/>
        <v>0</v>
      </c>
      <c r="V414" s="251">
        <f t="shared" si="5"/>
        <v>26</v>
      </c>
      <c r="W414" s="2311">
        <f t="shared" si="6"/>
        <v>0</v>
      </c>
      <c r="X414" s="251">
        <f t="shared" si="7"/>
        <v>2</v>
      </c>
      <c r="Y414" s="251">
        <f t="shared" si="8"/>
        <v>1</v>
      </c>
      <c r="Z414" s="251">
        <f t="shared" si="9"/>
        <v>0</v>
      </c>
      <c r="AA414" s="251">
        <f t="shared" si="10"/>
        <v>21</v>
      </c>
      <c r="AB414" s="2311"/>
      <c r="AC414" s="2310">
        <f t="shared" si="11"/>
        <v>2</v>
      </c>
      <c r="AD414" s="251">
        <f t="shared" si="12"/>
        <v>45</v>
      </c>
      <c r="AE414" s="251">
        <f t="shared" si="13"/>
        <v>0</v>
      </c>
      <c r="AF414" s="251">
        <f t="shared" si="14"/>
        <v>25</v>
      </c>
      <c r="AG414" s="2312"/>
      <c r="AH414" s="2310">
        <f t="shared" si="15"/>
        <v>2</v>
      </c>
      <c r="AI414" s="251">
        <f t="shared" si="16"/>
        <v>5</v>
      </c>
      <c r="AJ414" s="251">
        <f t="shared" si="17"/>
        <v>0</v>
      </c>
      <c r="AK414" s="251">
        <f t="shared" si="18"/>
        <v>23</v>
      </c>
      <c r="AL414" s="2311"/>
    </row>
    <row r="415" spans="1:38">
      <c r="A415" s="59" t="s">
        <v>297</v>
      </c>
      <c r="B415" s="57">
        <f t="shared" si="0"/>
        <v>1</v>
      </c>
      <c r="C415" s="60">
        <f>IF(B415&lt;&gt;1,"",SUM(B$405:B415))</f>
        <v>11</v>
      </c>
      <c r="D415" s="57">
        <v>11</v>
      </c>
      <c r="E415" s="60" t="s">
        <v>2162</v>
      </c>
      <c r="F415" s="64" t="str">
        <f>IF(COUNTA($A$405:$A415)&lt;=MAX(DS_Counties_Sequence)=TRUE,LOOKUP(COUNTA($A$405:$A415),DS_Counties_Sequence,DS_Counties_DataNames),"")</f>
        <v>Collier</v>
      </c>
      <c r="G415" s="264" t="s">
        <v>297</v>
      </c>
      <c r="H415" s="68" t="s">
        <v>277</v>
      </c>
      <c r="I415" s="68" t="s">
        <v>278</v>
      </c>
      <c r="J415" s="58" t="s">
        <v>2214</v>
      </c>
      <c r="K415" s="2316" t="s">
        <v>2212</v>
      </c>
      <c r="L415" s="251"/>
      <c r="M415" s="58" t="s">
        <v>436</v>
      </c>
      <c r="N415" s="1813">
        <v>0</v>
      </c>
      <c r="O415" s="1813">
        <v>0</v>
      </c>
      <c r="P415" s="1813">
        <v>0</v>
      </c>
      <c r="Q415" s="394">
        <f>IF(M415="Yes",1+MAX(Q$404:Q414),0)</f>
        <v>0</v>
      </c>
      <c r="R415" s="394" t="str">
        <f t="shared" si="1"/>
        <v>No</v>
      </c>
      <c r="S415" s="2310">
        <f t="shared" si="2"/>
        <v>5</v>
      </c>
      <c r="T415" s="251">
        <f t="shared" si="3"/>
        <v>11</v>
      </c>
      <c r="U415" s="251">
        <f t="shared" si="4"/>
        <v>0</v>
      </c>
      <c r="V415" s="251">
        <f t="shared" si="5"/>
        <v>64</v>
      </c>
      <c r="W415" s="2311">
        <f t="shared" si="6"/>
        <v>0</v>
      </c>
      <c r="X415" s="251">
        <f t="shared" si="7"/>
        <v>10</v>
      </c>
      <c r="Y415" s="251">
        <f t="shared" si="8"/>
        <v>10</v>
      </c>
      <c r="Z415" s="251">
        <f t="shared" si="9"/>
        <v>0</v>
      </c>
      <c r="AA415" s="251">
        <f t="shared" si="10"/>
        <v>70</v>
      </c>
      <c r="AB415" s="2311"/>
      <c r="AC415" s="2310">
        <f t="shared" si="11"/>
        <v>12</v>
      </c>
      <c r="AD415" s="251">
        <f t="shared" si="12"/>
        <v>109</v>
      </c>
      <c r="AE415" s="251">
        <f t="shared" si="13"/>
        <v>0</v>
      </c>
      <c r="AF415" s="251">
        <f t="shared" si="14"/>
        <v>65</v>
      </c>
      <c r="AG415" s="2312"/>
      <c r="AH415" s="2310">
        <f t="shared" si="15"/>
        <v>7</v>
      </c>
      <c r="AI415" s="251">
        <f t="shared" si="16"/>
        <v>13</v>
      </c>
      <c r="AJ415" s="251">
        <f t="shared" si="17"/>
        <v>0</v>
      </c>
      <c r="AK415" s="251">
        <f t="shared" si="18"/>
        <v>61</v>
      </c>
      <c r="AL415" s="2311"/>
    </row>
    <row r="416" spans="1:38" ht="15" customHeight="1">
      <c r="A416" s="59" t="s">
        <v>298</v>
      </c>
      <c r="B416" s="57">
        <f t="shared" si="0"/>
        <v>1</v>
      </c>
      <c r="C416" s="60">
        <f>IF(B416&lt;&gt;1,"",SUM(B$405:B416))</f>
        <v>12</v>
      </c>
      <c r="D416" s="57">
        <v>12</v>
      </c>
      <c r="E416" s="376" t="s">
        <v>640</v>
      </c>
      <c r="F416" s="64" t="str">
        <f>IF(COUNTA($A$405:$A416)&lt;=MAX(DS_Counties_Sequence)=TRUE,LOOKUP(COUNTA($A$405:$A416),DS_Counties_Sequence,DS_Counties_DataNames),"")</f>
        <v>Columbia</v>
      </c>
      <c r="G416" s="264" t="s">
        <v>298</v>
      </c>
      <c r="H416" s="68" t="s">
        <v>282</v>
      </c>
      <c r="I416" s="68" t="s">
        <v>299</v>
      </c>
      <c r="J416" s="58">
        <v>2</v>
      </c>
      <c r="K416" s="2316" t="s">
        <v>2210</v>
      </c>
      <c r="L416" s="251"/>
      <c r="M416" s="58" t="s">
        <v>436</v>
      </c>
      <c r="N416" s="1813">
        <v>0</v>
      </c>
      <c r="O416" s="1813">
        <v>0</v>
      </c>
      <c r="P416" s="1813">
        <v>0</v>
      </c>
      <c r="Q416" s="394">
        <f>IF(M416="Yes",1+MAX(Q$404:Q415),0)</f>
        <v>0</v>
      </c>
      <c r="R416" s="394" t="str">
        <f t="shared" si="1"/>
        <v>No</v>
      </c>
      <c r="S416" s="2310">
        <f t="shared" si="2"/>
        <v>0</v>
      </c>
      <c r="T416" s="251">
        <f t="shared" si="3"/>
        <v>0</v>
      </c>
      <c r="U416" s="251">
        <f t="shared" si="4"/>
        <v>3</v>
      </c>
      <c r="V416" s="251">
        <f t="shared" si="5"/>
        <v>8</v>
      </c>
      <c r="W416" s="2311">
        <f t="shared" si="6"/>
        <v>0</v>
      </c>
      <c r="X416" s="251">
        <f t="shared" si="7"/>
        <v>0</v>
      </c>
      <c r="Y416" s="251">
        <f t="shared" si="8"/>
        <v>0</v>
      </c>
      <c r="Z416" s="251">
        <f t="shared" si="9"/>
        <v>1</v>
      </c>
      <c r="AA416" s="251">
        <f t="shared" si="10"/>
        <v>6</v>
      </c>
      <c r="AB416" s="2311"/>
      <c r="AC416" s="2310">
        <f t="shared" si="11"/>
        <v>0</v>
      </c>
      <c r="AD416" s="251">
        <f t="shared" si="12"/>
        <v>0</v>
      </c>
      <c r="AE416" s="251">
        <f t="shared" si="13"/>
        <v>13</v>
      </c>
      <c r="AF416" s="251">
        <f t="shared" si="14"/>
        <v>7</v>
      </c>
      <c r="AG416" s="2312"/>
      <c r="AH416" s="2310">
        <f t="shared" si="15"/>
        <v>0</v>
      </c>
      <c r="AI416" s="251">
        <f t="shared" si="16"/>
        <v>2</v>
      </c>
      <c r="AJ416" s="251">
        <f t="shared" si="17"/>
        <v>2</v>
      </c>
      <c r="AK416" s="251">
        <f t="shared" si="18"/>
        <v>7</v>
      </c>
      <c r="AL416" s="2311"/>
    </row>
    <row r="417" spans="1:38">
      <c r="A417" s="59" t="s">
        <v>300</v>
      </c>
      <c r="B417" s="57">
        <f t="shared" si="0"/>
        <v>1</v>
      </c>
      <c r="C417" s="60">
        <f>IF(B417&lt;&gt;1,"",SUM(B$405:B417))</f>
        <v>13</v>
      </c>
      <c r="D417" s="57">
        <v>13</v>
      </c>
      <c r="E417" s="376" t="s">
        <v>640</v>
      </c>
      <c r="F417" s="64" t="str">
        <f>IF(COUNTA($A$405:$A417)&lt;=MAX(DS_Counties_Sequence)=TRUE,LOOKUP(COUNTA($A$405:$A417),DS_Counties_Sequence,DS_Counties_DataNames),"")</f>
        <v>DeSoto</v>
      </c>
      <c r="G417" s="264" t="s">
        <v>300</v>
      </c>
      <c r="H417" s="68" t="s">
        <v>282</v>
      </c>
      <c r="I417" s="68" t="s">
        <v>283</v>
      </c>
      <c r="J417" s="58">
        <v>3</v>
      </c>
      <c r="K417" s="2316" t="s">
        <v>2209</v>
      </c>
      <c r="L417" s="251"/>
      <c r="M417" s="58" t="s">
        <v>436</v>
      </c>
      <c r="N417" s="1813">
        <v>0</v>
      </c>
      <c r="O417" s="1813">
        <v>0</v>
      </c>
      <c r="P417" s="1813">
        <v>0</v>
      </c>
      <c r="Q417" s="394">
        <f>IF(M417="Yes",1+MAX(Q$404:Q416),0)</f>
        <v>0</v>
      </c>
      <c r="R417" s="394" t="str">
        <f t="shared" si="1"/>
        <v>No</v>
      </c>
      <c r="S417" s="2310">
        <f t="shared" si="2"/>
        <v>0</v>
      </c>
      <c r="T417" s="251">
        <f t="shared" si="3"/>
        <v>0</v>
      </c>
      <c r="U417" s="251">
        <f t="shared" si="4"/>
        <v>4</v>
      </c>
      <c r="V417" s="251">
        <f t="shared" si="5"/>
        <v>4</v>
      </c>
      <c r="W417" s="2311">
        <f t="shared" si="6"/>
        <v>0</v>
      </c>
      <c r="X417" s="251">
        <f t="shared" si="7"/>
        <v>0</v>
      </c>
      <c r="Y417" s="251">
        <f t="shared" si="8"/>
        <v>0</v>
      </c>
      <c r="Z417" s="251">
        <f t="shared" si="9"/>
        <v>3</v>
      </c>
      <c r="AA417" s="251">
        <f t="shared" si="10"/>
        <v>5</v>
      </c>
      <c r="AB417" s="2311"/>
      <c r="AC417" s="2310">
        <f t="shared" si="11"/>
        <v>0</v>
      </c>
      <c r="AD417" s="251">
        <f t="shared" si="12"/>
        <v>0</v>
      </c>
      <c r="AE417" s="251">
        <f t="shared" si="13"/>
        <v>9</v>
      </c>
      <c r="AF417" s="251">
        <f t="shared" si="14"/>
        <v>5</v>
      </c>
      <c r="AG417" s="2312"/>
      <c r="AH417" s="2310">
        <f t="shared" si="15"/>
        <v>0</v>
      </c>
      <c r="AI417" s="251">
        <f t="shared" si="16"/>
        <v>0</v>
      </c>
      <c r="AJ417" s="251">
        <f t="shared" si="17"/>
        <v>4</v>
      </c>
      <c r="AK417" s="251">
        <f t="shared" si="18"/>
        <v>3</v>
      </c>
      <c r="AL417" s="2311"/>
    </row>
    <row r="418" spans="1:38">
      <c r="A418" s="59" t="s">
        <v>301</v>
      </c>
      <c r="B418" s="57">
        <f t="shared" si="0"/>
        <v>1</v>
      </c>
      <c r="C418" s="60">
        <f>IF(B418&lt;&gt;1,"",SUM(B$405:B418))</f>
        <v>14</v>
      </c>
      <c r="D418" s="57">
        <v>14</v>
      </c>
      <c r="E418" s="376" t="s">
        <v>640</v>
      </c>
      <c r="F418" s="64" t="str">
        <f>IF(COUNTA($A$405:$A418)&lt;=MAX(DS_Counties_Sequence)=TRUE,LOOKUP(COUNTA($A$405:$A418),DS_Counties_Sequence,DS_Counties_DataNames),"")</f>
        <v>Dixie</v>
      </c>
      <c r="G418" s="264" t="s">
        <v>301</v>
      </c>
      <c r="H418" s="68" t="s">
        <v>282</v>
      </c>
      <c r="I418" s="68" t="s">
        <v>293</v>
      </c>
      <c r="J418" s="58">
        <v>1</v>
      </c>
      <c r="K418" s="2316" t="s">
        <v>2210</v>
      </c>
      <c r="L418" s="251"/>
      <c r="M418" s="58" t="s">
        <v>436</v>
      </c>
      <c r="N418" s="1813">
        <v>0</v>
      </c>
      <c r="O418" s="1813">
        <v>0</v>
      </c>
      <c r="P418" s="1813">
        <v>0</v>
      </c>
      <c r="Q418" s="394">
        <f>IF(M418="Yes",1+MAX(Q$404:Q417),0)</f>
        <v>0</v>
      </c>
      <c r="R418" s="394" t="str">
        <f t="shared" si="1"/>
        <v>No</v>
      </c>
      <c r="S418" s="2310">
        <f t="shared" si="2"/>
        <v>0</v>
      </c>
      <c r="T418" s="251">
        <f t="shared" si="3"/>
        <v>0</v>
      </c>
      <c r="U418" s="251">
        <f t="shared" si="4"/>
        <v>0</v>
      </c>
      <c r="V418" s="251">
        <f t="shared" si="5"/>
        <v>3</v>
      </c>
      <c r="W418" s="2311">
        <f t="shared" si="6"/>
        <v>0</v>
      </c>
      <c r="X418" s="251">
        <f t="shared" si="7"/>
        <v>0</v>
      </c>
      <c r="Y418" s="251">
        <f t="shared" si="8"/>
        <v>0</v>
      </c>
      <c r="Z418" s="251">
        <f t="shared" si="9"/>
        <v>1</v>
      </c>
      <c r="AA418" s="251">
        <f t="shared" si="10"/>
        <v>5</v>
      </c>
      <c r="AB418" s="2311"/>
      <c r="AC418" s="2310">
        <f t="shared" si="11"/>
        <v>0</v>
      </c>
      <c r="AD418" s="251">
        <f t="shared" si="12"/>
        <v>0</v>
      </c>
      <c r="AE418" s="251">
        <f t="shared" si="13"/>
        <v>6</v>
      </c>
      <c r="AF418" s="251">
        <f t="shared" si="14"/>
        <v>3</v>
      </c>
      <c r="AG418" s="2312"/>
      <c r="AH418" s="2310">
        <f t="shared" si="15"/>
        <v>0</v>
      </c>
      <c r="AI418" s="251">
        <f t="shared" si="16"/>
        <v>1</v>
      </c>
      <c r="AJ418" s="251">
        <f t="shared" si="17"/>
        <v>1</v>
      </c>
      <c r="AK418" s="251">
        <f t="shared" si="18"/>
        <v>2</v>
      </c>
      <c r="AL418" s="2311"/>
    </row>
    <row r="419" spans="1:38">
      <c r="A419" s="59" t="s">
        <v>302</v>
      </c>
      <c r="B419" s="57">
        <f t="shared" si="0"/>
        <v>1</v>
      </c>
      <c r="C419" s="60">
        <f>IF(B419&lt;&gt;1,"",SUM(B$405:B419))</f>
        <v>15</v>
      </c>
      <c r="D419" s="57">
        <v>15</v>
      </c>
      <c r="E419" s="60" t="s">
        <v>2160</v>
      </c>
      <c r="F419" s="64" t="str">
        <f>IF(COUNTA($A$405:$A419)&lt;=MAX(DS_Counties_Sequence)=TRUE,LOOKUP(COUNTA($A$405:$A419),DS_Counties_Sequence,DS_Counties_DataNames),"")</f>
        <v>Duval</v>
      </c>
      <c r="G419" s="264" t="s">
        <v>302</v>
      </c>
      <c r="H419" s="68" t="s">
        <v>290</v>
      </c>
      <c r="I419" s="68" t="s">
        <v>303</v>
      </c>
      <c r="J419" s="58"/>
      <c r="K419" s="394" t="s">
        <v>640</v>
      </c>
      <c r="L419" s="251"/>
      <c r="M419" s="58" t="s">
        <v>436</v>
      </c>
      <c r="N419" s="1813">
        <v>0</v>
      </c>
      <c r="O419" s="1813">
        <v>0</v>
      </c>
      <c r="P419" s="1813">
        <v>0</v>
      </c>
      <c r="Q419" s="394">
        <f>IF(M419="Yes",1+MAX(Q$404:Q418),0)</f>
        <v>0</v>
      </c>
      <c r="R419" s="394" t="str">
        <f t="shared" si="1"/>
        <v>No</v>
      </c>
      <c r="S419" s="2310">
        <f t="shared" si="2"/>
        <v>14</v>
      </c>
      <c r="T419" s="251">
        <f t="shared" si="3"/>
        <v>54</v>
      </c>
      <c r="U419" s="251">
        <f t="shared" si="4"/>
        <v>0</v>
      </c>
      <c r="V419" s="251">
        <f t="shared" si="5"/>
        <v>123</v>
      </c>
      <c r="W419" s="2311">
        <f t="shared" si="6"/>
        <v>0</v>
      </c>
      <c r="X419" s="251">
        <f t="shared" si="7"/>
        <v>10</v>
      </c>
      <c r="Y419" s="251">
        <f t="shared" si="8"/>
        <v>47</v>
      </c>
      <c r="Z419" s="251">
        <f t="shared" si="9"/>
        <v>0</v>
      </c>
      <c r="AA419" s="251">
        <f t="shared" si="10"/>
        <v>118</v>
      </c>
      <c r="AB419" s="2311"/>
      <c r="AC419" s="2310">
        <f t="shared" si="11"/>
        <v>6</v>
      </c>
      <c r="AD419" s="251">
        <f t="shared" si="12"/>
        <v>219</v>
      </c>
      <c r="AE419" s="251">
        <f t="shared" si="13"/>
        <v>0</v>
      </c>
      <c r="AF419" s="251">
        <f t="shared" si="14"/>
        <v>130</v>
      </c>
      <c r="AG419" s="2312"/>
      <c r="AH419" s="2310">
        <f t="shared" si="15"/>
        <v>12</v>
      </c>
      <c r="AI419" s="251">
        <f t="shared" si="16"/>
        <v>59</v>
      </c>
      <c r="AJ419" s="251">
        <f t="shared" si="17"/>
        <v>0</v>
      </c>
      <c r="AK419" s="251">
        <f t="shared" si="18"/>
        <v>126</v>
      </c>
      <c r="AL419" s="2311"/>
    </row>
    <row r="420" spans="1:38">
      <c r="A420" s="59" t="s">
        <v>304</v>
      </c>
      <c r="B420" s="57">
        <f t="shared" si="0"/>
        <v>1</v>
      </c>
      <c r="C420" s="60">
        <f>IF(B420&lt;&gt;1,"",SUM(B$405:B420))</f>
        <v>16</v>
      </c>
      <c r="D420" s="57">
        <v>16</v>
      </c>
      <c r="E420" s="60" t="s">
        <v>2160</v>
      </c>
      <c r="F420" s="64" t="str">
        <f>IF(COUNTA($A$405:$A420)&lt;=MAX(DS_Counties_Sequence)=TRUE,LOOKUP(COUNTA($A$405:$A420),DS_Counties_Sequence,DS_Counties_DataNames),"")</f>
        <v>Escambia</v>
      </c>
      <c r="G420" s="264" t="s">
        <v>304</v>
      </c>
      <c r="H420" s="68" t="s">
        <v>277</v>
      </c>
      <c r="I420" s="68" t="s">
        <v>278</v>
      </c>
      <c r="J420" s="58"/>
      <c r="K420" s="394" t="s">
        <v>640</v>
      </c>
      <c r="L420" s="251"/>
      <c r="M420" s="58" t="s">
        <v>436</v>
      </c>
      <c r="N420" s="1813">
        <v>0</v>
      </c>
      <c r="O420" s="1813">
        <v>0</v>
      </c>
      <c r="P420" s="1813">
        <v>0</v>
      </c>
      <c r="Q420" s="394">
        <f>IF(M420="Yes",1+MAX(Q$404:Q419),0)</f>
        <v>0</v>
      </c>
      <c r="R420" s="394" t="str">
        <f t="shared" si="1"/>
        <v>No</v>
      </c>
      <c r="S420" s="2310">
        <f t="shared" si="2"/>
        <v>1</v>
      </c>
      <c r="T420" s="251">
        <f t="shared" si="3"/>
        <v>17</v>
      </c>
      <c r="U420" s="251">
        <f t="shared" si="4"/>
        <v>0</v>
      </c>
      <c r="V420" s="251">
        <f t="shared" si="5"/>
        <v>42</v>
      </c>
      <c r="W420" s="2311">
        <f t="shared" si="6"/>
        <v>0</v>
      </c>
      <c r="X420" s="251">
        <f t="shared" si="7"/>
        <v>0</v>
      </c>
      <c r="Y420" s="251">
        <f t="shared" si="8"/>
        <v>14</v>
      </c>
      <c r="Z420" s="251">
        <f t="shared" si="9"/>
        <v>0</v>
      </c>
      <c r="AA420" s="251">
        <f t="shared" si="10"/>
        <v>42</v>
      </c>
      <c r="AB420" s="2311"/>
      <c r="AC420" s="2310">
        <f t="shared" si="11"/>
        <v>1</v>
      </c>
      <c r="AD420" s="251">
        <f t="shared" si="12"/>
        <v>79</v>
      </c>
      <c r="AE420" s="251">
        <f t="shared" si="13"/>
        <v>0</v>
      </c>
      <c r="AF420" s="251">
        <f t="shared" si="14"/>
        <v>42</v>
      </c>
      <c r="AG420" s="2312"/>
      <c r="AH420" s="2310">
        <f t="shared" si="15"/>
        <v>0</v>
      </c>
      <c r="AI420" s="251">
        <f t="shared" si="16"/>
        <v>16</v>
      </c>
      <c r="AJ420" s="251">
        <f t="shared" si="17"/>
        <v>0</v>
      </c>
      <c r="AK420" s="251">
        <f t="shared" si="18"/>
        <v>41</v>
      </c>
      <c r="AL420" s="2311"/>
    </row>
    <row r="421" spans="1:38">
      <c r="A421" s="59" t="s">
        <v>305</v>
      </c>
      <c r="B421" s="57">
        <f t="shared" si="0"/>
        <v>1</v>
      </c>
      <c r="C421" s="60">
        <f>IF(B421&lt;&gt;1,"",SUM(B$405:B421))</f>
        <v>17</v>
      </c>
      <c r="D421" s="57">
        <v>17</v>
      </c>
      <c r="E421" s="60" t="s">
        <v>2160</v>
      </c>
      <c r="F421" s="64" t="str">
        <f>IF(COUNTA($A$405:$A421)&lt;=MAX(DS_Counties_Sequence)=TRUE,LOOKUP(COUNTA($A$405:$A421),DS_Counties_Sequence,DS_Counties_DataNames),"")</f>
        <v>Flagler</v>
      </c>
      <c r="G421" s="264" t="s">
        <v>305</v>
      </c>
      <c r="H421" s="68" t="s">
        <v>277</v>
      </c>
      <c r="I421" s="68" t="s">
        <v>164</v>
      </c>
      <c r="J421" s="58"/>
      <c r="K421" s="394" t="s">
        <v>640</v>
      </c>
      <c r="L421" s="251"/>
      <c r="M421" s="58" t="s">
        <v>436</v>
      </c>
      <c r="N421" s="1813">
        <v>0</v>
      </c>
      <c r="O421" s="1813">
        <v>0</v>
      </c>
      <c r="P421" s="1813">
        <v>0</v>
      </c>
      <c r="Q421" s="394">
        <f>IF(M421="Yes",1+MAX(Q$404:Q420),0)</f>
        <v>0</v>
      </c>
      <c r="R421" s="394" t="str">
        <f t="shared" si="1"/>
        <v>No</v>
      </c>
      <c r="S421" s="2310">
        <f t="shared" si="2"/>
        <v>1</v>
      </c>
      <c r="T421" s="251">
        <f t="shared" si="3"/>
        <v>0</v>
      </c>
      <c r="U421" s="251">
        <f t="shared" si="4"/>
        <v>0</v>
      </c>
      <c r="V421" s="251">
        <f t="shared" si="5"/>
        <v>14</v>
      </c>
      <c r="W421" s="2311">
        <f t="shared" si="6"/>
        <v>0</v>
      </c>
      <c r="X421" s="251">
        <f t="shared" si="7"/>
        <v>0</v>
      </c>
      <c r="Y421" s="251">
        <f t="shared" si="8"/>
        <v>0</v>
      </c>
      <c r="Z421" s="251">
        <f t="shared" si="9"/>
        <v>0</v>
      </c>
      <c r="AA421" s="251">
        <f t="shared" si="10"/>
        <v>15</v>
      </c>
      <c r="AB421" s="2311"/>
      <c r="AC421" s="2310">
        <f t="shared" si="11"/>
        <v>1</v>
      </c>
      <c r="AD421" s="251">
        <f t="shared" si="12"/>
        <v>24</v>
      </c>
      <c r="AE421" s="251">
        <f t="shared" si="13"/>
        <v>0</v>
      </c>
      <c r="AF421" s="251">
        <f t="shared" si="14"/>
        <v>13</v>
      </c>
      <c r="AG421" s="2312"/>
      <c r="AH421" s="2310">
        <f t="shared" si="15"/>
        <v>0</v>
      </c>
      <c r="AI421" s="251">
        <f t="shared" si="16"/>
        <v>0</v>
      </c>
      <c r="AJ421" s="251">
        <f t="shared" si="17"/>
        <v>0</v>
      </c>
      <c r="AK421" s="251">
        <f t="shared" si="18"/>
        <v>13</v>
      </c>
      <c r="AL421" s="2311"/>
    </row>
    <row r="422" spans="1:38">
      <c r="A422" s="59" t="s">
        <v>306</v>
      </c>
      <c r="B422" s="57">
        <f t="shared" si="0"/>
        <v>1</v>
      </c>
      <c r="C422" s="60">
        <f>IF(B422&lt;&gt;1,"",SUM(B$405:B422))</f>
        <v>18</v>
      </c>
      <c r="D422" s="57">
        <v>18</v>
      </c>
      <c r="E422" s="376" t="s">
        <v>640</v>
      </c>
      <c r="F422" s="64" t="str">
        <f>IF(COUNTA($A$405:$A422)&lt;=MAX(DS_Counties_Sequence)=TRUE,LOOKUP(COUNTA($A$405:$A422),DS_Counties_Sequence,DS_Counties_DataNames),"")</f>
        <v>Franklin</v>
      </c>
      <c r="G422" s="264" t="s">
        <v>306</v>
      </c>
      <c r="H422" s="68" t="s">
        <v>282</v>
      </c>
      <c r="I422" s="68" t="s">
        <v>293</v>
      </c>
      <c r="J422" s="58"/>
      <c r="K422" s="394" t="s">
        <v>640</v>
      </c>
      <c r="L422" s="1139"/>
      <c r="M422" s="58" t="str">
        <f>IF(IFERROR(MATCH("Family",DS_Demo_DDMenu,0),0)+IFERROR(MATCH("Elderly Non-ALF",DS_Demo_DDMenu,0),0)+IFERROR(MATCH("Elderly ALF",DS_Demo_DDMenu,0),0)+IFERROR(MATCH("Elderly ALF",DS_Demo_DDMenu,0),0)&gt;0,"Yes","No")</f>
        <v>Yes</v>
      </c>
      <c r="N422" s="1813">
        <v>1</v>
      </c>
      <c r="O422" s="1813">
        <v>1</v>
      </c>
      <c r="P422" s="1813">
        <v>0</v>
      </c>
      <c r="Q422" s="394">
        <f>IF(M422="Yes",1+MAX(Q$404:Q421),0)</f>
        <v>2</v>
      </c>
      <c r="R422" s="394" t="str">
        <f t="shared" si="1"/>
        <v>Yes</v>
      </c>
      <c r="S422" s="2310">
        <f t="shared" si="2"/>
        <v>0</v>
      </c>
      <c r="T422" s="251">
        <f t="shared" si="3"/>
        <v>0</v>
      </c>
      <c r="U422" s="251">
        <f t="shared" si="4"/>
        <v>1</v>
      </c>
      <c r="V422" s="251">
        <f t="shared" si="5"/>
        <v>2</v>
      </c>
      <c r="W422" s="2311">
        <f t="shared" si="6"/>
        <v>0</v>
      </c>
      <c r="X422" s="251">
        <f t="shared" si="7"/>
        <v>0</v>
      </c>
      <c r="Y422" s="251">
        <f t="shared" si="8"/>
        <v>0</v>
      </c>
      <c r="Z422" s="251">
        <f t="shared" si="9"/>
        <v>0</v>
      </c>
      <c r="AA422" s="251">
        <f t="shared" si="10"/>
        <v>3</v>
      </c>
      <c r="AB422" s="2311"/>
      <c r="AC422" s="2310">
        <f t="shared" si="11"/>
        <v>0</v>
      </c>
      <c r="AD422" s="251">
        <f t="shared" si="12"/>
        <v>0</v>
      </c>
      <c r="AE422" s="251">
        <f t="shared" si="13"/>
        <v>7</v>
      </c>
      <c r="AF422" s="251">
        <f t="shared" si="14"/>
        <v>2</v>
      </c>
      <c r="AG422" s="2312"/>
      <c r="AH422" s="2310">
        <f t="shared" si="15"/>
        <v>0</v>
      </c>
      <c r="AI422" s="251">
        <f t="shared" si="16"/>
        <v>0</v>
      </c>
      <c r="AJ422" s="251">
        <f t="shared" si="17"/>
        <v>0</v>
      </c>
      <c r="AK422" s="251">
        <f t="shared" si="18"/>
        <v>2</v>
      </c>
      <c r="AL422" s="2311"/>
    </row>
    <row r="423" spans="1:38">
      <c r="A423" s="59" t="s">
        <v>307</v>
      </c>
      <c r="B423" s="57">
        <f t="shared" si="0"/>
        <v>1</v>
      </c>
      <c r="C423" s="60">
        <f>IF(B423&lt;&gt;1,"",SUM(B$405:B423))</f>
        <v>19</v>
      </c>
      <c r="D423" s="57">
        <v>19</v>
      </c>
      <c r="E423" s="376" t="s">
        <v>640</v>
      </c>
      <c r="F423" s="64" t="str">
        <f>IF(COUNTA($A$405:$A423)&lt;=MAX(DS_Counties_Sequence)=TRUE,LOOKUP(COUNTA($A$405:$A423),DS_Counties_Sequence,DS_Counties_DataNames),"")</f>
        <v>Gadsden</v>
      </c>
      <c r="G423" s="264" t="s">
        <v>307</v>
      </c>
      <c r="H423" s="68" t="s">
        <v>282</v>
      </c>
      <c r="I423" s="68" t="s">
        <v>283</v>
      </c>
      <c r="J423" s="58">
        <v>3</v>
      </c>
      <c r="K423" s="921" t="s">
        <v>2208</v>
      </c>
      <c r="L423" s="251"/>
      <c r="M423" s="58" t="s">
        <v>436</v>
      </c>
      <c r="N423" s="1813">
        <v>0</v>
      </c>
      <c r="O423" s="1813">
        <v>0</v>
      </c>
      <c r="P423" s="1813">
        <v>0</v>
      </c>
      <c r="Q423" s="394">
        <f>IF(M423="Yes",1+MAX(Q$404:Q422),0)</f>
        <v>0</v>
      </c>
      <c r="R423" s="394" t="str">
        <f t="shared" si="1"/>
        <v>No</v>
      </c>
      <c r="S423" s="2310">
        <f t="shared" si="2"/>
        <v>0</v>
      </c>
      <c r="T423" s="251">
        <f t="shared" si="3"/>
        <v>4</v>
      </c>
      <c r="U423" s="251">
        <f t="shared" si="4"/>
        <v>0</v>
      </c>
      <c r="V423" s="251">
        <f t="shared" si="5"/>
        <v>6</v>
      </c>
      <c r="W423" s="2311">
        <f t="shared" si="6"/>
        <v>0</v>
      </c>
      <c r="X423" s="251">
        <f t="shared" si="7"/>
        <v>0</v>
      </c>
      <c r="Y423" s="251">
        <f t="shared" si="8"/>
        <v>2</v>
      </c>
      <c r="Z423" s="251">
        <f t="shared" si="9"/>
        <v>0</v>
      </c>
      <c r="AA423" s="251">
        <f t="shared" si="10"/>
        <v>7</v>
      </c>
      <c r="AB423" s="2311"/>
      <c r="AC423" s="2310">
        <f t="shared" si="11"/>
        <v>0</v>
      </c>
      <c r="AD423" s="251">
        <f t="shared" si="12"/>
        <v>10</v>
      </c>
      <c r="AE423" s="251">
        <f t="shared" si="13"/>
        <v>0</v>
      </c>
      <c r="AF423" s="251">
        <f t="shared" si="14"/>
        <v>6</v>
      </c>
      <c r="AG423" s="2312"/>
      <c r="AH423" s="2310">
        <f t="shared" si="15"/>
        <v>0</v>
      </c>
      <c r="AI423" s="251">
        <f t="shared" si="16"/>
        <v>3</v>
      </c>
      <c r="AJ423" s="251">
        <f t="shared" si="17"/>
        <v>0</v>
      </c>
      <c r="AK423" s="251">
        <f t="shared" si="18"/>
        <v>6</v>
      </c>
      <c r="AL423" s="2311"/>
    </row>
    <row r="424" spans="1:38">
      <c r="A424" s="59" t="s">
        <v>308</v>
      </c>
      <c r="B424" s="57">
        <f t="shared" si="0"/>
        <v>1</v>
      </c>
      <c r="C424" s="60">
        <f>IF(B424&lt;&gt;1,"",SUM(B$405:B424))</f>
        <v>20</v>
      </c>
      <c r="D424" s="57">
        <v>20</v>
      </c>
      <c r="E424" s="376" t="s">
        <v>640</v>
      </c>
      <c r="F424" s="64" t="str">
        <f>IF(COUNTA($A$405:$A424)&lt;=MAX(DS_Counties_Sequence)=TRUE,LOOKUP(COUNTA($A$405:$A424),DS_Counties_Sequence,DS_Counties_DataNames),"")</f>
        <v>Gilchrist</v>
      </c>
      <c r="G424" s="264" t="s">
        <v>308</v>
      </c>
      <c r="H424" s="68" t="s">
        <v>282</v>
      </c>
      <c r="I424" s="1797" t="s">
        <v>283</v>
      </c>
      <c r="J424" s="58">
        <v>3</v>
      </c>
      <c r="K424" s="2316" t="s">
        <v>2210</v>
      </c>
      <c r="L424" s="251"/>
      <c r="M424" s="58" t="s">
        <v>436</v>
      </c>
      <c r="N424" s="1813">
        <v>0</v>
      </c>
      <c r="O424" s="1813">
        <v>0</v>
      </c>
      <c r="P424" s="1813">
        <v>0</v>
      </c>
      <c r="Q424" s="394">
        <f>IF(M424="Yes",1+MAX(Q$404:Q423),0)</f>
        <v>0</v>
      </c>
      <c r="R424" s="394" t="str">
        <f t="shared" si="1"/>
        <v>No</v>
      </c>
      <c r="S424" s="2310">
        <f t="shared" si="2"/>
        <v>0</v>
      </c>
      <c r="T424" s="251">
        <f t="shared" si="3"/>
        <v>0</v>
      </c>
      <c r="U424" s="251">
        <f t="shared" si="4"/>
        <v>0</v>
      </c>
      <c r="V424" s="251">
        <f t="shared" si="5"/>
        <v>2</v>
      </c>
      <c r="W424" s="2311">
        <f t="shared" si="6"/>
        <v>0</v>
      </c>
      <c r="X424" s="251">
        <f t="shared" si="7"/>
        <v>0</v>
      </c>
      <c r="Y424" s="251">
        <f t="shared" si="8"/>
        <v>0</v>
      </c>
      <c r="Z424" s="251">
        <f t="shared" si="9"/>
        <v>0</v>
      </c>
      <c r="AA424" s="251">
        <f t="shared" si="10"/>
        <v>3</v>
      </c>
      <c r="AB424" s="2311"/>
      <c r="AC424" s="2310">
        <f t="shared" si="11"/>
        <v>0</v>
      </c>
      <c r="AD424" s="251">
        <f t="shared" si="12"/>
        <v>5</v>
      </c>
      <c r="AE424" s="251">
        <f t="shared" si="13"/>
        <v>0</v>
      </c>
      <c r="AF424" s="251">
        <f t="shared" si="14"/>
        <v>3</v>
      </c>
      <c r="AG424" s="2312"/>
      <c r="AH424" s="2310">
        <f t="shared" si="15"/>
        <v>0</v>
      </c>
      <c r="AI424" s="251">
        <f t="shared" si="16"/>
        <v>0</v>
      </c>
      <c r="AJ424" s="251">
        <f t="shared" si="17"/>
        <v>0</v>
      </c>
      <c r="AK424" s="251">
        <f t="shared" si="18"/>
        <v>2</v>
      </c>
      <c r="AL424" s="2311"/>
    </row>
    <row r="425" spans="1:38">
      <c r="A425" s="59" t="s">
        <v>309</v>
      </c>
      <c r="B425" s="57">
        <f t="shared" si="0"/>
        <v>1</v>
      </c>
      <c r="C425" s="60">
        <f>IF(B425&lt;&gt;1,"",SUM(B$405:B425))</f>
        <v>21</v>
      </c>
      <c r="D425" s="57">
        <v>21</v>
      </c>
      <c r="E425" s="376" t="s">
        <v>640</v>
      </c>
      <c r="F425" s="64" t="str">
        <f>IF(COUNTA($A$405:$A425)&lt;=MAX(DS_Counties_Sequence)=TRUE,LOOKUP(COUNTA($A$405:$A425),DS_Counties_Sequence,DS_Counties_DataNames),"")</f>
        <v>Glades</v>
      </c>
      <c r="G425" s="264" t="s">
        <v>309</v>
      </c>
      <c r="H425" s="68" t="s">
        <v>282</v>
      </c>
      <c r="I425" s="68" t="s">
        <v>293</v>
      </c>
      <c r="J425" s="58">
        <v>3</v>
      </c>
      <c r="K425" s="2316" t="s">
        <v>2209</v>
      </c>
      <c r="L425" s="251"/>
      <c r="M425" s="58" t="s">
        <v>436</v>
      </c>
      <c r="N425" s="1813">
        <v>0</v>
      </c>
      <c r="O425" s="1813">
        <v>0</v>
      </c>
      <c r="P425" s="1813">
        <v>0</v>
      </c>
      <c r="Q425" s="394">
        <f>IF(M425="Yes",1+MAX(Q$404:Q424),0)</f>
        <v>0</v>
      </c>
      <c r="R425" s="394" t="str">
        <f t="shared" si="1"/>
        <v>No</v>
      </c>
      <c r="S425" s="2310">
        <f t="shared" si="2"/>
        <v>0</v>
      </c>
      <c r="T425" s="251">
        <f t="shared" si="3"/>
        <v>0</v>
      </c>
      <c r="U425" s="251">
        <f t="shared" si="4"/>
        <v>2</v>
      </c>
      <c r="V425" s="251">
        <f t="shared" si="5"/>
        <v>2</v>
      </c>
      <c r="W425" s="2311">
        <f t="shared" si="6"/>
        <v>0</v>
      </c>
      <c r="X425" s="251">
        <f t="shared" si="7"/>
        <v>0</v>
      </c>
      <c r="Y425" s="251">
        <f t="shared" si="8"/>
        <v>0</v>
      </c>
      <c r="Z425" s="251">
        <f t="shared" si="9"/>
        <v>0</v>
      </c>
      <c r="AA425" s="251">
        <f t="shared" si="10"/>
        <v>3</v>
      </c>
      <c r="AB425" s="2311"/>
      <c r="AC425" s="2310">
        <f t="shared" si="11"/>
        <v>0</v>
      </c>
      <c r="AD425" s="251">
        <f t="shared" si="12"/>
        <v>0</v>
      </c>
      <c r="AE425" s="251">
        <f t="shared" si="13"/>
        <v>5</v>
      </c>
      <c r="AF425" s="251">
        <f t="shared" si="14"/>
        <v>2</v>
      </c>
      <c r="AG425" s="2312"/>
      <c r="AH425" s="2310">
        <f t="shared" si="15"/>
        <v>0</v>
      </c>
      <c r="AI425" s="251">
        <f t="shared" si="16"/>
        <v>1</v>
      </c>
      <c r="AJ425" s="251">
        <f t="shared" si="17"/>
        <v>1</v>
      </c>
      <c r="AK425" s="251">
        <f t="shared" si="18"/>
        <v>1</v>
      </c>
      <c r="AL425" s="2311"/>
    </row>
    <row r="426" spans="1:38">
      <c r="A426" s="59" t="s">
        <v>310</v>
      </c>
      <c r="B426" s="57">
        <f t="shared" si="0"/>
        <v>1</v>
      </c>
      <c r="C426" s="60">
        <f>IF(B426&lt;&gt;1,"",SUM(B$405:B426))</f>
        <v>22</v>
      </c>
      <c r="D426" s="57">
        <v>22</v>
      </c>
      <c r="E426" s="376" t="s">
        <v>640</v>
      </c>
      <c r="F426" s="64" t="str">
        <f>IF(COUNTA($A$405:$A426)&lt;=MAX(DS_Counties_Sequence)=TRUE,LOOKUP(COUNTA($A$405:$A426),DS_Counties_Sequence,DS_Counties_DataNames),"")</f>
        <v>Gulf</v>
      </c>
      <c r="G426" s="264" t="s">
        <v>310</v>
      </c>
      <c r="H426" s="68" t="s">
        <v>282</v>
      </c>
      <c r="I426" s="68" t="s">
        <v>293</v>
      </c>
      <c r="J426" s="58">
        <v>3</v>
      </c>
      <c r="K426" s="921" t="s">
        <v>2208</v>
      </c>
      <c r="L426" s="251"/>
      <c r="M426" s="58" t="s">
        <v>436</v>
      </c>
      <c r="N426" s="1813">
        <v>0</v>
      </c>
      <c r="O426" s="1813">
        <v>0</v>
      </c>
      <c r="P426" s="1813">
        <v>0</v>
      </c>
      <c r="Q426" s="394">
        <f>IF(M426="Yes",1+MAX(Q$404:Q425),0)</f>
        <v>0</v>
      </c>
      <c r="R426" s="394" t="str">
        <f t="shared" si="1"/>
        <v>No</v>
      </c>
      <c r="S426" s="2310">
        <f t="shared" si="2"/>
        <v>0</v>
      </c>
      <c r="T426" s="251">
        <f t="shared" si="3"/>
        <v>0</v>
      </c>
      <c r="U426" s="251">
        <f t="shared" si="4"/>
        <v>0</v>
      </c>
      <c r="V426" s="251">
        <f t="shared" si="5"/>
        <v>3</v>
      </c>
      <c r="W426" s="2311">
        <f t="shared" si="6"/>
        <v>0</v>
      </c>
      <c r="X426" s="251">
        <f t="shared" si="7"/>
        <v>1</v>
      </c>
      <c r="Y426" s="251">
        <f t="shared" si="8"/>
        <v>0</v>
      </c>
      <c r="Z426" s="251">
        <f t="shared" si="9"/>
        <v>0</v>
      </c>
      <c r="AA426" s="251">
        <f t="shared" si="10"/>
        <v>4</v>
      </c>
      <c r="AB426" s="2311"/>
      <c r="AC426" s="2310">
        <f t="shared" si="11"/>
        <v>1</v>
      </c>
      <c r="AD426" s="251">
        <f t="shared" si="12"/>
        <v>0</v>
      </c>
      <c r="AE426" s="251">
        <f t="shared" si="13"/>
        <v>6</v>
      </c>
      <c r="AF426" s="251">
        <f t="shared" si="14"/>
        <v>3</v>
      </c>
      <c r="AG426" s="2312"/>
      <c r="AH426" s="2310">
        <f t="shared" si="15"/>
        <v>1</v>
      </c>
      <c r="AI426" s="251">
        <f t="shared" si="16"/>
        <v>0</v>
      </c>
      <c r="AJ426" s="251">
        <f t="shared" si="17"/>
        <v>0</v>
      </c>
      <c r="AK426" s="251">
        <f t="shared" si="18"/>
        <v>3</v>
      </c>
      <c r="AL426" s="2311"/>
    </row>
    <row r="427" spans="1:38">
      <c r="A427" s="59" t="s">
        <v>311</v>
      </c>
      <c r="B427" s="57">
        <f t="shared" si="0"/>
        <v>1</v>
      </c>
      <c r="C427" s="60">
        <f>IF(B427&lt;&gt;1,"",SUM(B$405:B427))</f>
        <v>23</v>
      </c>
      <c r="D427" s="57">
        <v>23</v>
      </c>
      <c r="E427" s="376" t="s">
        <v>640</v>
      </c>
      <c r="F427" s="64" t="str">
        <f>IF(COUNTA($A$405:$A427)&lt;=MAX(DS_Counties_Sequence)=TRUE,LOOKUP(COUNTA($A$405:$A427),DS_Counties_Sequence,DS_Counties_DataNames),"")</f>
        <v>Hamilton</v>
      </c>
      <c r="G427" s="264" t="s">
        <v>311</v>
      </c>
      <c r="H427" s="68" t="s">
        <v>282</v>
      </c>
      <c r="I427" s="68" t="s">
        <v>293</v>
      </c>
      <c r="J427" s="58">
        <v>1</v>
      </c>
      <c r="K427" s="2316" t="s">
        <v>2210</v>
      </c>
      <c r="L427" s="251"/>
      <c r="M427" s="58" t="s">
        <v>280</v>
      </c>
      <c r="N427" s="1813">
        <v>1</v>
      </c>
      <c r="O427" s="1813">
        <v>1</v>
      </c>
      <c r="P427" s="1813">
        <v>0</v>
      </c>
      <c r="Q427" s="394">
        <f>IF(M427="Yes",1+MAX(Q$404:Q426),0)</f>
        <v>3</v>
      </c>
      <c r="R427" s="394" t="str">
        <f t="shared" si="1"/>
        <v>Yes</v>
      </c>
      <c r="S427" s="2310">
        <f t="shared" si="2"/>
        <v>0</v>
      </c>
      <c r="T427" s="251">
        <f t="shared" si="3"/>
        <v>0</v>
      </c>
      <c r="U427" s="251">
        <f t="shared" si="4"/>
        <v>2</v>
      </c>
      <c r="V427" s="251">
        <f t="shared" si="5"/>
        <v>2</v>
      </c>
      <c r="W427" s="2311">
        <f t="shared" si="6"/>
        <v>0</v>
      </c>
      <c r="X427" s="251">
        <f t="shared" si="7"/>
        <v>0</v>
      </c>
      <c r="Y427" s="251">
        <f t="shared" si="8"/>
        <v>0</v>
      </c>
      <c r="Z427" s="251">
        <f t="shared" si="9"/>
        <v>2</v>
      </c>
      <c r="AA427" s="251">
        <f t="shared" si="10"/>
        <v>2</v>
      </c>
      <c r="AB427" s="2311"/>
      <c r="AC427" s="2310">
        <f t="shared" si="11"/>
        <v>0</v>
      </c>
      <c r="AD427" s="251">
        <f t="shared" si="12"/>
        <v>0</v>
      </c>
      <c r="AE427" s="251">
        <f t="shared" si="13"/>
        <v>6</v>
      </c>
      <c r="AF427" s="251">
        <f t="shared" si="14"/>
        <v>2</v>
      </c>
      <c r="AG427" s="2312"/>
      <c r="AH427" s="2310">
        <f t="shared" si="15"/>
        <v>0</v>
      </c>
      <c r="AI427" s="251">
        <f t="shared" si="16"/>
        <v>2</v>
      </c>
      <c r="AJ427" s="251">
        <f t="shared" si="17"/>
        <v>2</v>
      </c>
      <c r="AK427" s="251">
        <f t="shared" si="18"/>
        <v>2</v>
      </c>
      <c r="AL427" s="2311"/>
    </row>
    <row r="428" spans="1:38">
      <c r="A428" s="59" t="s">
        <v>312</v>
      </c>
      <c r="B428" s="57">
        <f t="shared" si="0"/>
        <v>1</v>
      </c>
      <c r="C428" s="60">
        <f>IF(B428&lt;&gt;1,"",SUM(B$405:B428))</f>
        <v>24</v>
      </c>
      <c r="D428" s="57">
        <v>24</v>
      </c>
      <c r="E428" s="376" t="s">
        <v>640</v>
      </c>
      <c r="F428" s="64" t="str">
        <f>IF(COUNTA($A$405:$A428)&lt;=MAX(DS_Counties_Sequence)=TRUE,LOOKUP(COUNTA($A$405:$A428),DS_Counties_Sequence,DS_Counties_DataNames),"")</f>
        <v>Hardee</v>
      </c>
      <c r="G428" s="264" t="s">
        <v>312</v>
      </c>
      <c r="H428" s="68" t="s">
        <v>282</v>
      </c>
      <c r="I428" s="68" t="s">
        <v>283</v>
      </c>
      <c r="J428" s="58">
        <v>3</v>
      </c>
      <c r="K428" s="2316" t="s">
        <v>2209</v>
      </c>
      <c r="L428" s="251"/>
      <c r="M428" s="58" t="s">
        <v>436</v>
      </c>
      <c r="N428" s="1813">
        <v>0</v>
      </c>
      <c r="O428" s="1813">
        <v>0</v>
      </c>
      <c r="P428" s="1813">
        <v>0</v>
      </c>
      <c r="Q428" s="394">
        <f>IF(M428="Yes",1+MAX(Q$404:Q427),0)</f>
        <v>0</v>
      </c>
      <c r="R428" s="394" t="str">
        <f t="shared" si="1"/>
        <v>No</v>
      </c>
      <c r="S428" s="2310">
        <f t="shared" si="2"/>
        <v>0</v>
      </c>
      <c r="T428" s="251">
        <f t="shared" si="3"/>
        <v>0</v>
      </c>
      <c r="U428" s="251">
        <f t="shared" si="4"/>
        <v>0</v>
      </c>
      <c r="V428" s="251">
        <f t="shared" si="5"/>
        <v>2</v>
      </c>
      <c r="W428" s="2311">
        <f t="shared" si="6"/>
        <v>0</v>
      </c>
      <c r="X428" s="251">
        <f t="shared" si="7"/>
        <v>0</v>
      </c>
      <c r="Y428" s="251">
        <f t="shared" si="8"/>
        <v>0</v>
      </c>
      <c r="Z428" s="251">
        <f t="shared" si="9"/>
        <v>4</v>
      </c>
      <c r="AA428" s="251">
        <f t="shared" si="10"/>
        <v>3</v>
      </c>
      <c r="AB428" s="2311"/>
      <c r="AC428" s="2310">
        <f t="shared" si="11"/>
        <v>0</v>
      </c>
      <c r="AD428" s="251">
        <f t="shared" si="12"/>
        <v>0</v>
      </c>
      <c r="AE428" s="251">
        <f t="shared" si="13"/>
        <v>8</v>
      </c>
      <c r="AF428" s="251">
        <f t="shared" si="14"/>
        <v>3</v>
      </c>
      <c r="AG428" s="2312"/>
      <c r="AH428" s="2310">
        <f t="shared" si="15"/>
        <v>0</v>
      </c>
      <c r="AI428" s="251">
        <f t="shared" si="16"/>
        <v>3</v>
      </c>
      <c r="AJ428" s="251">
        <f t="shared" si="17"/>
        <v>3</v>
      </c>
      <c r="AK428" s="251">
        <f t="shared" si="18"/>
        <v>2</v>
      </c>
      <c r="AL428" s="2311"/>
    </row>
    <row r="429" spans="1:38">
      <c r="A429" s="59" t="s">
        <v>313</v>
      </c>
      <c r="B429" s="57">
        <f t="shared" si="0"/>
        <v>1</v>
      </c>
      <c r="C429" s="60">
        <f>IF(B429&lt;&gt;1,"",SUM(B$405:B429))</f>
        <v>25</v>
      </c>
      <c r="D429" s="57">
        <v>25</v>
      </c>
      <c r="E429" s="376" t="s">
        <v>640</v>
      </c>
      <c r="F429" s="64" t="str">
        <f>IF(COUNTA($A$405:$A429)&lt;=MAX(DS_Counties_Sequence)=TRUE,LOOKUP(COUNTA($A$405:$A429),DS_Counties_Sequence,DS_Counties_DataNames),"")</f>
        <v>Hendry</v>
      </c>
      <c r="G429" s="264" t="s">
        <v>313</v>
      </c>
      <c r="H429" s="68" t="s">
        <v>282</v>
      </c>
      <c r="I429" s="68" t="s">
        <v>283</v>
      </c>
      <c r="J429" s="58">
        <v>3</v>
      </c>
      <c r="K429" s="2316" t="s">
        <v>2209</v>
      </c>
      <c r="L429" s="1139"/>
      <c r="M429" s="58" t="str">
        <f>IF(IFERROR(MATCH("orker",DS_Demo_DDMenu,0),0)&gt;0,"Yes","No")</f>
        <v>No</v>
      </c>
      <c r="N429" s="1813">
        <v>0</v>
      </c>
      <c r="O429" s="1813">
        <v>0</v>
      </c>
      <c r="P429" s="1813">
        <v>0</v>
      </c>
      <c r="Q429" s="394">
        <f>IF(M429="Yes",1+MAX(Q$404:Q428),0)</f>
        <v>0</v>
      </c>
      <c r="R429" s="394" t="str">
        <f t="shared" si="1"/>
        <v>No</v>
      </c>
      <c r="S429" s="2310">
        <f t="shared" si="2"/>
        <v>0</v>
      </c>
      <c r="T429" s="251">
        <f t="shared" si="3"/>
        <v>0</v>
      </c>
      <c r="U429" s="251">
        <f t="shared" si="4"/>
        <v>2</v>
      </c>
      <c r="V429" s="251">
        <f t="shared" si="5"/>
        <v>5</v>
      </c>
      <c r="W429" s="2311">
        <f t="shared" si="6"/>
        <v>0</v>
      </c>
      <c r="X429" s="251">
        <f t="shared" si="7"/>
        <v>0</v>
      </c>
      <c r="Y429" s="251">
        <f t="shared" si="8"/>
        <v>0</v>
      </c>
      <c r="Z429" s="251">
        <f t="shared" si="9"/>
        <v>4</v>
      </c>
      <c r="AA429" s="251">
        <f t="shared" si="10"/>
        <v>5</v>
      </c>
      <c r="AB429" s="2311"/>
      <c r="AC429" s="2310">
        <f t="shared" si="11"/>
        <v>0</v>
      </c>
      <c r="AD429" s="251">
        <f t="shared" si="12"/>
        <v>0</v>
      </c>
      <c r="AE429" s="251">
        <f t="shared" si="13"/>
        <v>10</v>
      </c>
      <c r="AF429" s="251">
        <f t="shared" si="14"/>
        <v>5</v>
      </c>
      <c r="AG429" s="2312"/>
      <c r="AH429" s="2310">
        <f t="shared" si="15"/>
        <v>0</v>
      </c>
      <c r="AI429" s="251">
        <f t="shared" si="16"/>
        <v>3</v>
      </c>
      <c r="AJ429" s="251">
        <f t="shared" si="17"/>
        <v>3</v>
      </c>
      <c r="AK429" s="251">
        <f t="shared" si="18"/>
        <v>5</v>
      </c>
      <c r="AL429" s="2311"/>
    </row>
    <row r="430" spans="1:38">
      <c r="A430" s="59" t="s">
        <v>314</v>
      </c>
      <c r="B430" s="57">
        <f t="shared" si="0"/>
        <v>1</v>
      </c>
      <c r="C430" s="60">
        <f>IF(B430&lt;&gt;1,"",SUM(B$405:B430))</f>
        <v>26</v>
      </c>
      <c r="D430" s="57">
        <v>26</v>
      </c>
      <c r="E430" s="60" t="s">
        <v>2163</v>
      </c>
      <c r="F430" s="64" t="str">
        <f>IF(COUNTA($A$405:$A430)&lt;=MAX(DS_Counties_Sequence)=TRUE,LOOKUP(COUNTA($A$405:$A430),DS_Counties_Sequence,DS_Counties_DataNames),"")</f>
        <v>Hernando</v>
      </c>
      <c r="G430" s="264" t="s">
        <v>314</v>
      </c>
      <c r="H430" s="68" t="s">
        <v>277</v>
      </c>
      <c r="I430" s="68" t="s">
        <v>164</v>
      </c>
      <c r="J430" s="58"/>
      <c r="K430" s="394" t="s">
        <v>640</v>
      </c>
      <c r="L430" s="251"/>
      <c r="M430" s="58" t="s">
        <v>436</v>
      </c>
      <c r="N430" s="1813">
        <v>0</v>
      </c>
      <c r="O430" s="1813">
        <v>0</v>
      </c>
      <c r="P430" s="1813">
        <v>0</v>
      </c>
      <c r="Q430" s="394">
        <f>IF(M430="Yes",1+MAX(Q$404:Q429),0)</f>
        <v>0</v>
      </c>
      <c r="R430" s="394" t="str">
        <f t="shared" si="1"/>
        <v>No</v>
      </c>
      <c r="S430" s="2310">
        <f t="shared" si="2"/>
        <v>1</v>
      </c>
      <c r="T430" s="251">
        <f t="shared" si="3"/>
        <v>5</v>
      </c>
      <c r="U430" s="251">
        <f t="shared" si="4"/>
        <v>0</v>
      </c>
      <c r="V430" s="251">
        <f t="shared" si="5"/>
        <v>26</v>
      </c>
      <c r="W430" s="2311">
        <f t="shared" si="6"/>
        <v>0</v>
      </c>
      <c r="X430" s="251">
        <f t="shared" si="7"/>
        <v>0</v>
      </c>
      <c r="Y430" s="251">
        <f t="shared" si="8"/>
        <v>4</v>
      </c>
      <c r="Z430" s="251">
        <f t="shared" si="9"/>
        <v>0</v>
      </c>
      <c r="AA430" s="251">
        <f t="shared" si="10"/>
        <v>24</v>
      </c>
      <c r="AB430" s="2311"/>
      <c r="AC430" s="2310">
        <f t="shared" si="11"/>
        <v>1</v>
      </c>
      <c r="AD430" s="251">
        <f t="shared" si="12"/>
        <v>47</v>
      </c>
      <c r="AE430" s="251">
        <f t="shared" si="13"/>
        <v>0</v>
      </c>
      <c r="AF430" s="251">
        <f t="shared" si="14"/>
        <v>24</v>
      </c>
      <c r="AG430" s="2312"/>
      <c r="AH430" s="2310">
        <f t="shared" si="15"/>
        <v>1</v>
      </c>
      <c r="AI430" s="251">
        <f t="shared" si="16"/>
        <v>6</v>
      </c>
      <c r="AJ430" s="251">
        <f t="shared" si="17"/>
        <v>0</v>
      </c>
      <c r="AK430" s="251">
        <f t="shared" si="18"/>
        <v>24</v>
      </c>
      <c r="AL430" s="2311"/>
    </row>
    <row r="431" spans="1:38">
      <c r="A431" s="59" t="s">
        <v>315</v>
      </c>
      <c r="B431" s="57">
        <f t="shared" si="0"/>
        <v>1</v>
      </c>
      <c r="C431" s="60">
        <f>IF(B431&lt;&gt;1,"",SUM(B$405:B431))</f>
        <v>27</v>
      </c>
      <c r="D431" s="57">
        <v>27</v>
      </c>
      <c r="E431" s="60" t="s">
        <v>2162</v>
      </c>
      <c r="F431" s="64" t="str">
        <f>IF(COUNTA($A$405:$A431)&lt;=MAX(DS_Counties_Sequence)=TRUE,LOOKUP(COUNTA($A$405:$A431),DS_Counties_Sequence,DS_Counties_DataNames),"")</f>
        <v>Highlands</v>
      </c>
      <c r="G431" s="264" t="s">
        <v>315</v>
      </c>
      <c r="H431" s="68" t="s">
        <v>277</v>
      </c>
      <c r="I431" s="68" t="s">
        <v>164</v>
      </c>
      <c r="J431" s="58">
        <v>3</v>
      </c>
      <c r="K431" s="2316" t="s">
        <v>2209</v>
      </c>
      <c r="L431" s="251"/>
      <c r="M431" s="58" t="s">
        <v>436</v>
      </c>
      <c r="N431" s="1813">
        <v>0</v>
      </c>
      <c r="O431" s="1813">
        <v>0</v>
      </c>
      <c r="P431" s="1813">
        <v>0</v>
      </c>
      <c r="Q431" s="394">
        <f>IF(M431="Yes",1+MAX(Q$404:Q430),0)</f>
        <v>0</v>
      </c>
      <c r="R431" s="394" t="str">
        <f t="shared" si="1"/>
        <v>No</v>
      </c>
      <c r="S431" s="2310">
        <f t="shared" si="2"/>
        <v>1</v>
      </c>
      <c r="T431" s="251">
        <f t="shared" si="3"/>
        <v>4</v>
      </c>
      <c r="U431" s="251">
        <f t="shared" si="4"/>
        <v>0</v>
      </c>
      <c r="V431" s="251">
        <f t="shared" si="5"/>
        <v>14</v>
      </c>
      <c r="W431" s="2311">
        <f t="shared" si="6"/>
        <v>0</v>
      </c>
      <c r="X431" s="251">
        <f t="shared" si="7"/>
        <v>2</v>
      </c>
      <c r="Y431" s="251">
        <f t="shared" si="8"/>
        <v>6</v>
      </c>
      <c r="Z431" s="251">
        <f t="shared" si="9"/>
        <v>0</v>
      </c>
      <c r="AA431" s="251">
        <f t="shared" si="10"/>
        <v>18</v>
      </c>
      <c r="AB431" s="2311"/>
      <c r="AC431" s="2310">
        <f t="shared" si="11"/>
        <v>1</v>
      </c>
      <c r="AD431" s="251">
        <f t="shared" si="12"/>
        <v>35</v>
      </c>
      <c r="AE431" s="251">
        <f t="shared" si="13"/>
        <v>0</v>
      </c>
      <c r="AF431" s="251">
        <f t="shared" si="14"/>
        <v>17</v>
      </c>
      <c r="AG431" s="2312"/>
      <c r="AH431" s="2310">
        <f t="shared" si="15"/>
        <v>0</v>
      </c>
      <c r="AI431" s="251">
        <f t="shared" si="16"/>
        <v>5</v>
      </c>
      <c r="AJ431" s="251">
        <f t="shared" si="17"/>
        <v>0</v>
      </c>
      <c r="AK431" s="251">
        <f t="shared" si="18"/>
        <v>16</v>
      </c>
      <c r="AL431" s="2311"/>
    </row>
    <row r="432" spans="1:38">
      <c r="A432" s="59" t="s">
        <v>316</v>
      </c>
      <c r="B432" s="57">
        <f t="shared" si="0"/>
        <v>1</v>
      </c>
      <c r="C432" s="60">
        <f>IF(B432&lt;&gt;1,"",SUM(B$405:B432))</f>
        <v>28</v>
      </c>
      <c r="D432" s="57">
        <v>28</v>
      </c>
      <c r="E432" s="60" t="s">
        <v>2163</v>
      </c>
      <c r="F432" s="64" t="str">
        <f>IF(COUNTA($A$405:$A432)&lt;=MAX(DS_Counties_Sequence)=TRUE,LOOKUP(COUNTA($A$405:$A432),DS_Counties_Sequence,DS_Counties_DataNames),"")</f>
        <v>Hillsborough</v>
      </c>
      <c r="G432" s="264" t="s">
        <v>316</v>
      </c>
      <c r="H432" s="68" t="s">
        <v>290</v>
      </c>
      <c r="I432" s="1797" t="s">
        <v>291</v>
      </c>
      <c r="J432" s="58"/>
      <c r="K432" s="394" t="s">
        <v>640</v>
      </c>
      <c r="L432" s="251"/>
      <c r="M432" s="58" t="s">
        <v>436</v>
      </c>
      <c r="N432" s="1813">
        <v>0</v>
      </c>
      <c r="O432" s="1813">
        <v>0</v>
      </c>
      <c r="P432" s="1813">
        <v>0</v>
      </c>
      <c r="Q432" s="394">
        <f>IF(M432="Yes",1+MAX(Q$404:Q431),0)</f>
        <v>0</v>
      </c>
      <c r="R432" s="394" t="str">
        <f t="shared" si="1"/>
        <v>No</v>
      </c>
      <c r="S432" s="2310">
        <f t="shared" si="2"/>
        <v>32</v>
      </c>
      <c r="T432" s="251">
        <f t="shared" si="3"/>
        <v>78</v>
      </c>
      <c r="U432" s="251">
        <f t="shared" si="4"/>
        <v>0</v>
      </c>
      <c r="V432" s="251">
        <f t="shared" si="5"/>
        <v>188</v>
      </c>
      <c r="W432" s="2311">
        <f t="shared" si="6"/>
        <v>0</v>
      </c>
      <c r="X432" s="251">
        <f t="shared" si="7"/>
        <v>29</v>
      </c>
      <c r="Y432" s="251">
        <f t="shared" si="8"/>
        <v>73</v>
      </c>
      <c r="Z432" s="251">
        <f t="shared" si="9"/>
        <v>0</v>
      </c>
      <c r="AA432" s="251">
        <f t="shared" si="10"/>
        <v>188</v>
      </c>
      <c r="AB432" s="2311"/>
      <c r="AC432" s="2310">
        <f t="shared" si="11"/>
        <v>37</v>
      </c>
      <c r="AD432" s="251">
        <f t="shared" si="12"/>
        <v>335</v>
      </c>
      <c r="AE432" s="251">
        <f t="shared" si="13"/>
        <v>0</v>
      </c>
      <c r="AF432" s="251">
        <f t="shared" si="14"/>
        <v>191</v>
      </c>
      <c r="AG432" s="2312"/>
      <c r="AH432" s="2310">
        <f t="shared" si="15"/>
        <v>36</v>
      </c>
      <c r="AI432" s="251">
        <f t="shared" si="16"/>
        <v>83</v>
      </c>
      <c r="AJ432" s="251">
        <f t="shared" si="17"/>
        <v>0</v>
      </c>
      <c r="AK432" s="251">
        <f t="shared" si="18"/>
        <v>185</v>
      </c>
      <c r="AL432" s="2311"/>
    </row>
    <row r="433" spans="1:38">
      <c r="A433" s="59" t="s">
        <v>317</v>
      </c>
      <c r="B433" s="57">
        <f t="shared" si="0"/>
        <v>1</v>
      </c>
      <c r="C433" s="60">
        <f>IF(B433&lt;&gt;1,"",SUM(B$405:B433))</f>
        <v>29</v>
      </c>
      <c r="D433" s="57">
        <v>29</v>
      </c>
      <c r="E433" s="376" t="s">
        <v>640</v>
      </c>
      <c r="F433" s="64" t="str">
        <f>IF(COUNTA($A$405:$A433)&lt;=MAX(DS_Counties_Sequence)=TRUE,LOOKUP(COUNTA($A$405:$A433),DS_Counties_Sequence,DS_Counties_DataNames),"")</f>
        <v>Holmes</v>
      </c>
      <c r="G433" s="264" t="s">
        <v>317</v>
      </c>
      <c r="H433" s="68" t="s">
        <v>282</v>
      </c>
      <c r="I433" s="1797" t="s">
        <v>283</v>
      </c>
      <c r="J433" s="58">
        <v>3</v>
      </c>
      <c r="K433" s="921" t="s">
        <v>2208</v>
      </c>
      <c r="L433" s="251"/>
      <c r="M433" s="58" t="s">
        <v>436</v>
      </c>
      <c r="N433" s="1813">
        <v>0</v>
      </c>
      <c r="O433" s="1813">
        <v>0</v>
      </c>
      <c r="P433" s="1813">
        <v>0</v>
      </c>
      <c r="Q433" s="394">
        <f>IF(M433="Yes",1+MAX(Q$404:Q432),0)</f>
        <v>0</v>
      </c>
      <c r="R433" s="394" t="str">
        <f t="shared" si="1"/>
        <v>No</v>
      </c>
      <c r="S433" s="2310">
        <f t="shared" si="2"/>
        <v>0</v>
      </c>
      <c r="T433" s="251">
        <f t="shared" si="3"/>
        <v>0</v>
      </c>
      <c r="U433" s="251">
        <f t="shared" si="4"/>
        <v>1</v>
      </c>
      <c r="V433" s="251">
        <f t="shared" si="5"/>
        <v>3</v>
      </c>
      <c r="W433" s="2311">
        <f t="shared" si="6"/>
        <v>0</v>
      </c>
      <c r="X433" s="251">
        <f t="shared" si="7"/>
        <v>0</v>
      </c>
      <c r="Y433" s="251">
        <f t="shared" si="8"/>
        <v>0</v>
      </c>
      <c r="Z433" s="251">
        <f t="shared" si="9"/>
        <v>3</v>
      </c>
      <c r="AA433" s="251">
        <f t="shared" si="10"/>
        <v>5</v>
      </c>
      <c r="AB433" s="2311"/>
      <c r="AC433" s="2310">
        <f t="shared" si="11"/>
        <v>0</v>
      </c>
      <c r="AD433" s="251">
        <f t="shared" si="12"/>
        <v>0</v>
      </c>
      <c r="AE433" s="251">
        <f t="shared" si="13"/>
        <v>7</v>
      </c>
      <c r="AF433" s="251">
        <f t="shared" si="14"/>
        <v>4</v>
      </c>
      <c r="AG433" s="2312"/>
      <c r="AH433" s="2310">
        <f t="shared" si="15"/>
        <v>0</v>
      </c>
      <c r="AI433" s="251">
        <f t="shared" si="16"/>
        <v>1</v>
      </c>
      <c r="AJ433" s="251">
        <f t="shared" si="17"/>
        <v>1</v>
      </c>
      <c r="AK433" s="251">
        <f t="shared" si="18"/>
        <v>3</v>
      </c>
      <c r="AL433" s="2311"/>
    </row>
    <row r="434" spans="1:38">
      <c r="A434" s="59" t="s">
        <v>318</v>
      </c>
      <c r="B434" s="57">
        <f t="shared" si="0"/>
        <v>1</v>
      </c>
      <c r="C434" s="60">
        <f>IF(B434&lt;&gt;1,"",SUM(B$405:B434))</f>
        <v>30</v>
      </c>
      <c r="D434" s="57">
        <v>30</v>
      </c>
      <c r="E434" s="60" t="s">
        <v>2161</v>
      </c>
      <c r="F434" s="64" t="str">
        <f>IF(COUNTA($A$405:$A434)&lt;=MAX(DS_Counties_Sequence)=TRUE,LOOKUP(COUNTA($A$405:$A434),DS_Counties_Sequence,DS_Counties_DataNames),"")</f>
        <v>Indian River</v>
      </c>
      <c r="G434" s="264" t="s">
        <v>318</v>
      </c>
      <c r="H434" s="68" t="s">
        <v>277</v>
      </c>
      <c r="I434" s="68" t="s">
        <v>164</v>
      </c>
      <c r="J434" s="58"/>
      <c r="K434" s="394" t="s">
        <v>640</v>
      </c>
      <c r="L434" s="1139"/>
      <c r="M434" s="58" t="str">
        <f>IF(IFERROR(MATCH("orker",DS_Demo_DDMenu,0),0)&gt;0,"Yes","No")</f>
        <v>No</v>
      </c>
      <c r="N434" s="1813">
        <v>0</v>
      </c>
      <c r="O434" s="1813">
        <v>0</v>
      </c>
      <c r="P434" s="1813">
        <v>1</v>
      </c>
      <c r="Q434" s="394">
        <f>IF(M434="Yes",1+MAX(Q$404:Q433),0)</f>
        <v>0</v>
      </c>
      <c r="R434" s="394" t="str">
        <f t="shared" si="1"/>
        <v>No</v>
      </c>
      <c r="S434" s="2310">
        <f t="shared" si="2"/>
        <v>3</v>
      </c>
      <c r="T434" s="251">
        <f t="shared" si="3"/>
        <v>4</v>
      </c>
      <c r="U434" s="251">
        <f t="shared" si="4"/>
        <v>0</v>
      </c>
      <c r="V434" s="251">
        <f t="shared" si="5"/>
        <v>22</v>
      </c>
      <c r="W434" s="2311">
        <f t="shared" si="6"/>
        <v>0</v>
      </c>
      <c r="X434" s="251">
        <f t="shared" si="7"/>
        <v>2</v>
      </c>
      <c r="Y434" s="251">
        <f t="shared" si="8"/>
        <v>3</v>
      </c>
      <c r="Z434" s="251">
        <f t="shared" si="9"/>
        <v>0</v>
      </c>
      <c r="AA434" s="251">
        <f t="shared" si="10"/>
        <v>25</v>
      </c>
      <c r="AB434" s="2311"/>
      <c r="AC434" s="2310">
        <f t="shared" si="11"/>
        <v>2</v>
      </c>
      <c r="AD434" s="251">
        <f t="shared" si="12"/>
        <v>45</v>
      </c>
      <c r="AE434" s="251">
        <f t="shared" si="13"/>
        <v>0</v>
      </c>
      <c r="AF434" s="251">
        <f t="shared" si="14"/>
        <v>26</v>
      </c>
      <c r="AG434" s="2312"/>
      <c r="AH434" s="2310">
        <f t="shared" si="15"/>
        <v>3</v>
      </c>
      <c r="AI434" s="251">
        <f t="shared" si="16"/>
        <v>6</v>
      </c>
      <c r="AJ434" s="251">
        <f t="shared" si="17"/>
        <v>0</v>
      </c>
      <c r="AK434" s="251">
        <f t="shared" si="18"/>
        <v>20</v>
      </c>
      <c r="AL434" s="2311"/>
    </row>
    <row r="435" spans="1:38">
      <c r="A435" s="59" t="s">
        <v>319</v>
      </c>
      <c r="B435" s="57">
        <f t="shared" si="0"/>
        <v>1</v>
      </c>
      <c r="C435" s="60">
        <f>IF(B435&lt;&gt;1,"",SUM(B$405:B435))</f>
        <v>31</v>
      </c>
      <c r="D435" s="57">
        <v>31</v>
      </c>
      <c r="E435" s="376" t="s">
        <v>640</v>
      </c>
      <c r="F435" s="64" t="str">
        <f>IF(COUNTA($A$405:$A435)&lt;=MAX(DS_Counties_Sequence)=TRUE,LOOKUP(COUNTA($A$405:$A435),DS_Counties_Sequence,DS_Counties_DataNames),"")</f>
        <v>Jackson</v>
      </c>
      <c r="G435" s="264" t="s">
        <v>319</v>
      </c>
      <c r="H435" s="68" t="s">
        <v>282</v>
      </c>
      <c r="I435" s="68" t="s">
        <v>283</v>
      </c>
      <c r="J435" s="58">
        <v>3</v>
      </c>
      <c r="K435" s="921" t="s">
        <v>2208</v>
      </c>
      <c r="L435" s="251"/>
      <c r="M435" s="58" t="s">
        <v>436</v>
      </c>
      <c r="N435" s="1813">
        <v>0</v>
      </c>
      <c r="O435" s="1813">
        <v>0</v>
      </c>
      <c r="P435" s="1813">
        <v>0</v>
      </c>
      <c r="Q435" s="394">
        <f>IF(M435="Yes",1+MAX(Q$404:Q434),0)</f>
        <v>0</v>
      </c>
      <c r="R435" s="394" t="str">
        <f t="shared" si="1"/>
        <v>No</v>
      </c>
      <c r="S435" s="2310">
        <f t="shared" si="2"/>
        <v>0</v>
      </c>
      <c r="T435" s="251">
        <f t="shared" si="3"/>
        <v>0</v>
      </c>
      <c r="U435" s="251">
        <f t="shared" si="4"/>
        <v>2</v>
      </c>
      <c r="V435" s="251">
        <f t="shared" si="5"/>
        <v>9</v>
      </c>
      <c r="W435" s="2311">
        <f t="shared" si="6"/>
        <v>0</v>
      </c>
      <c r="X435" s="251">
        <f t="shared" si="7"/>
        <v>0</v>
      </c>
      <c r="Y435" s="251">
        <f t="shared" si="8"/>
        <v>0</v>
      </c>
      <c r="Z435" s="251">
        <f t="shared" si="9"/>
        <v>1</v>
      </c>
      <c r="AA435" s="251">
        <f t="shared" si="10"/>
        <v>8</v>
      </c>
      <c r="AB435" s="2311"/>
      <c r="AC435" s="2310">
        <f t="shared" si="11"/>
        <v>0</v>
      </c>
      <c r="AD435" s="251">
        <f t="shared" si="12"/>
        <v>0</v>
      </c>
      <c r="AE435" s="251">
        <f t="shared" si="13"/>
        <v>13</v>
      </c>
      <c r="AF435" s="251">
        <f t="shared" si="14"/>
        <v>8</v>
      </c>
      <c r="AG435" s="2312"/>
      <c r="AH435" s="2310">
        <f t="shared" si="15"/>
        <v>0</v>
      </c>
      <c r="AI435" s="251">
        <f t="shared" si="16"/>
        <v>2</v>
      </c>
      <c r="AJ435" s="251">
        <f t="shared" si="17"/>
        <v>2</v>
      </c>
      <c r="AK435" s="251">
        <f t="shared" si="18"/>
        <v>8</v>
      </c>
      <c r="AL435" s="2311"/>
    </row>
    <row r="436" spans="1:38">
      <c r="A436" s="59" t="s">
        <v>320</v>
      </c>
      <c r="B436" s="57">
        <f t="shared" si="0"/>
        <v>1</v>
      </c>
      <c r="C436" s="60">
        <f>IF(B436&lt;&gt;1,"",SUM(B$405:B436))</f>
        <v>32</v>
      </c>
      <c r="D436" s="57">
        <v>32</v>
      </c>
      <c r="E436" s="376" t="s">
        <v>640</v>
      </c>
      <c r="F436" s="64" t="str">
        <f>IF(COUNTA($A$405:$A436)&lt;=MAX(DS_Counties_Sequence)=TRUE,LOOKUP(COUNTA($A$405:$A436),DS_Counties_Sequence,DS_Counties_DataNames),"")</f>
        <v>Jefferson</v>
      </c>
      <c r="G436" s="264" t="s">
        <v>320</v>
      </c>
      <c r="H436" s="68" t="s">
        <v>282</v>
      </c>
      <c r="I436" s="68" t="s">
        <v>293</v>
      </c>
      <c r="J436" s="58">
        <v>3</v>
      </c>
      <c r="K436" s="2316" t="s">
        <v>2210</v>
      </c>
      <c r="L436" s="251"/>
      <c r="M436" s="58" t="s">
        <v>436</v>
      </c>
      <c r="N436" s="1813">
        <v>0</v>
      </c>
      <c r="O436" s="1813">
        <v>0</v>
      </c>
      <c r="P436" s="1813">
        <v>0</v>
      </c>
      <c r="Q436" s="394">
        <f>IF(M436="Yes",1+MAX(Q$404:Q435),0)</f>
        <v>0</v>
      </c>
      <c r="R436" s="394" t="str">
        <f t="shared" si="1"/>
        <v>No</v>
      </c>
      <c r="S436" s="2310">
        <f t="shared" si="2"/>
        <v>0</v>
      </c>
      <c r="T436" s="251">
        <f t="shared" si="3"/>
        <v>1</v>
      </c>
      <c r="U436" s="251">
        <f t="shared" si="4"/>
        <v>0</v>
      </c>
      <c r="V436" s="251">
        <f t="shared" si="5"/>
        <v>2</v>
      </c>
      <c r="W436" s="2311">
        <f t="shared" si="6"/>
        <v>0</v>
      </c>
      <c r="X436" s="251">
        <f t="shared" si="7"/>
        <v>0</v>
      </c>
      <c r="Y436" s="251">
        <f t="shared" si="8"/>
        <v>0</v>
      </c>
      <c r="Z436" s="251">
        <f t="shared" si="9"/>
        <v>0</v>
      </c>
      <c r="AA436" s="251">
        <f t="shared" si="10"/>
        <v>4</v>
      </c>
      <c r="AB436" s="2311"/>
      <c r="AC436" s="2310">
        <f t="shared" si="11"/>
        <v>0</v>
      </c>
      <c r="AD436" s="251">
        <f t="shared" si="12"/>
        <v>6</v>
      </c>
      <c r="AE436" s="251">
        <f t="shared" si="13"/>
        <v>0</v>
      </c>
      <c r="AF436" s="251">
        <f t="shared" si="14"/>
        <v>3</v>
      </c>
      <c r="AG436" s="2312"/>
      <c r="AH436" s="2310">
        <f t="shared" si="15"/>
        <v>0</v>
      </c>
      <c r="AI436" s="251">
        <f t="shared" si="16"/>
        <v>1</v>
      </c>
      <c r="AJ436" s="251">
        <f t="shared" si="17"/>
        <v>0</v>
      </c>
      <c r="AK436" s="251">
        <f t="shared" si="18"/>
        <v>2</v>
      </c>
      <c r="AL436" s="2311"/>
    </row>
    <row r="437" spans="1:38">
      <c r="A437" s="59" t="s">
        <v>321</v>
      </c>
      <c r="B437" s="57">
        <f t="shared" ref="B437:B471" si="19">IF(AND(H437="Large",L$401="Yes"),1,IF(AND(H437="Medium",L$402="Yes"),1,IF(AND(H437="Small",L$403="Yes"),1,0)))</f>
        <v>1</v>
      </c>
      <c r="C437" s="60">
        <f>IF(B437&lt;&gt;1,"",SUM(B$405:B437))</f>
        <v>33</v>
      </c>
      <c r="D437" s="57">
        <v>33</v>
      </c>
      <c r="E437" s="376" t="s">
        <v>640</v>
      </c>
      <c r="F437" s="64" t="str">
        <f>IF(COUNTA($A$405:$A437)&lt;=MAX(DS_Counties_Sequence)=TRUE,LOOKUP(COUNTA($A$405:$A437),DS_Counties_Sequence,DS_Counties_DataNames),"")</f>
        <v>Lafayette</v>
      </c>
      <c r="G437" s="264" t="s">
        <v>321</v>
      </c>
      <c r="H437" s="68" t="s">
        <v>282</v>
      </c>
      <c r="I437" s="68" t="s">
        <v>293</v>
      </c>
      <c r="J437" s="58">
        <v>2</v>
      </c>
      <c r="K437" s="2316" t="s">
        <v>2210</v>
      </c>
      <c r="L437" s="251"/>
      <c r="M437" s="58" t="s">
        <v>436</v>
      </c>
      <c r="N437" s="1813">
        <v>0</v>
      </c>
      <c r="O437" s="1813">
        <v>0</v>
      </c>
      <c r="P437" s="1813">
        <v>0</v>
      </c>
      <c r="Q437" s="394">
        <f>IF(M437="Yes",1+MAX(Q$404:Q436),0)</f>
        <v>0</v>
      </c>
      <c r="R437" s="394" t="str">
        <f t="shared" ref="R437:R468" si="20">IF(AND(Q437&gt;0,IFERROR(VLOOKUP(A437,DS_Counties_DDMenu,1),"No")&lt;&gt;"No"),"Yes","No")</f>
        <v>No</v>
      </c>
      <c r="S437" s="2310">
        <f t="shared" ref="S437:S471" si="21">COUNTIF(DS_2026_ZCTAs,$A437)</f>
        <v>0</v>
      </c>
      <c r="T437" s="251">
        <f t="shared" ref="T437:T471" si="22">COUNTIF(DS_2026_Metro_QCTs,$A437)</f>
        <v>0</v>
      </c>
      <c r="U437" s="251">
        <f t="shared" ref="U437:U471" si="23">COUNTIF(DS_2026_NonMetro_QCTs,$A437)</f>
        <v>0</v>
      </c>
      <c r="V437" s="251">
        <f t="shared" ref="V437:V471" si="24">COUNTIF(DS_2026_2F_GAO_CTs,$A437)</f>
        <v>1</v>
      </c>
      <c r="W437" s="2311">
        <f t="shared" ref="W437:W468" si="25">COUNTIF(DS_2026_3F_GAO_CTs,$A437)</f>
        <v>0</v>
      </c>
      <c r="X437" s="251">
        <f t="shared" ref="X437:X471" si="26">COUNTIF(DS_2023_ZCTAs,$A437)</f>
        <v>0</v>
      </c>
      <c r="Y437" s="251">
        <f t="shared" ref="Y437:Y471" si="27">COUNTIF(DS_2023_Metro_QCTs,$A437)</f>
        <v>0</v>
      </c>
      <c r="Z437" s="251">
        <f t="shared" ref="Z437:Z471" si="28">COUNTIF(DS_2023_NonMetro_QCTs,$A437)</f>
        <v>0</v>
      </c>
      <c r="AA437" s="251">
        <f t="shared" ref="AA437:AA471" si="29">COUNTIF(DS_2023_GAO_QCTs,$A437)</f>
        <v>1</v>
      </c>
      <c r="AB437" s="2311"/>
      <c r="AC437" s="2310">
        <f t="shared" ref="AC437:AC471" si="30">COUNTIF(DS_2024_ZCTAs,$A437)</f>
        <v>0</v>
      </c>
      <c r="AD437" s="251">
        <f t="shared" ref="AD437:AD471" si="31">COUNTIF(DS_2024_Metro_QCTs,$A437)</f>
        <v>0</v>
      </c>
      <c r="AE437" s="251">
        <f t="shared" ref="AE437:AE471" si="32">COUNTIF(DS_2024_NonMetro_QCTs,$A437)</f>
        <v>3</v>
      </c>
      <c r="AF437" s="251">
        <f t="shared" ref="AF437:AF471" si="33">COUNTIF(DS_2024_GAO_QCTs,$A437)</f>
        <v>1</v>
      </c>
      <c r="AG437" s="2312"/>
      <c r="AH437" s="2310">
        <f t="shared" ref="AH437:AH471" si="34">COUNTIF(DS_2025_ZCTAs,$A437)</f>
        <v>0</v>
      </c>
      <c r="AI437" s="251">
        <f t="shared" ref="AI437:AI471" si="35">COUNTIF(DS_2025_Metro_QCTs,$A437)</f>
        <v>0</v>
      </c>
      <c r="AJ437" s="251">
        <f t="shared" ref="AJ437:AJ471" si="36">COUNTIF(DS_2025_NonMetro_QCTs,$A437)</f>
        <v>0</v>
      </c>
      <c r="AK437" s="251">
        <f t="shared" ref="AK437:AK471" si="37">COUNTIF(DS_2025_GAO_QCTs,$A437)</f>
        <v>1</v>
      </c>
      <c r="AL437" s="2311"/>
    </row>
    <row r="438" spans="1:38">
      <c r="A438" s="59" t="s">
        <v>322</v>
      </c>
      <c r="B438" s="57">
        <f t="shared" si="19"/>
        <v>1</v>
      </c>
      <c r="C438" s="60">
        <f>IF(B438&lt;&gt;1,"",SUM(B$405:B438))</f>
        <v>34</v>
      </c>
      <c r="D438" s="57">
        <v>34</v>
      </c>
      <c r="E438" s="60" t="s">
        <v>2163</v>
      </c>
      <c r="F438" s="64" t="str">
        <f>IF(COUNTA($A$405:$A438)&lt;=MAX(DS_Counties_Sequence)=TRUE,LOOKUP(COUNTA($A$405:$A438),DS_Counties_Sequence,DS_Counties_DataNames),"")</f>
        <v>Lake</v>
      </c>
      <c r="G438" s="264" t="s">
        <v>322</v>
      </c>
      <c r="H438" s="68" t="s">
        <v>277</v>
      </c>
      <c r="I438" s="68" t="s">
        <v>278</v>
      </c>
      <c r="J438" s="58"/>
      <c r="K438" s="394" t="s">
        <v>640</v>
      </c>
      <c r="L438" s="251"/>
      <c r="M438" s="58" t="s">
        <v>436</v>
      </c>
      <c r="N438" s="1813">
        <v>0</v>
      </c>
      <c r="O438" s="1813">
        <v>0</v>
      </c>
      <c r="P438" s="1813">
        <v>0</v>
      </c>
      <c r="Q438" s="394">
        <f>IF(M438="Yes",1+MAX(Q$404:Q437),0)</f>
        <v>0</v>
      </c>
      <c r="R438" s="394" t="str">
        <f t="shared" si="20"/>
        <v>No</v>
      </c>
      <c r="S438" s="2310">
        <f t="shared" si="21"/>
        <v>9</v>
      </c>
      <c r="T438" s="251">
        <f t="shared" si="22"/>
        <v>12</v>
      </c>
      <c r="U438" s="251">
        <f t="shared" si="23"/>
        <v>0</v>
      </c>
      <c r="V438" s="251">
        <f t="shared" si="24"/>
        <v>43</v>
      </c>
      <c r="W438" s="2311">
        <f t="shared" si="25"/>
        <v>0</v>
      </c>
      <c r="X438" s="251">
        <f t="shared" si="26"/>
        <v>8</v>
      </c>
      <c r="Y438" s="251">
        <f t="shared" si="27"/>
        <v>6</v>
      </c>
      <c r="Z438" s="251">
        <f t="shared" si="28"/>
        <v>0</v>
      </c>
      <c r="AA438" s="251">
        <f t="shared" si="29"/>
        <v>40</v>
      </c>
      <c r="AB438" s="2311"/>
      <c r="AC438" s="2310">
        <f t="shared" si="30"/>
        <v>8</v>
      </c>
      <c r="AD438" s="251">
        <f t="shared" si="31"/>
        <v>75</v>
      </c>
      <c r="AE438" s="251">
        <f t="shared" si="32"/>
        <v>0</v>
      </c>
      <c r="AF438" s="251">
        <f t="shared" si="33"/>
        <v>41</v>
      </c>
      <c r="AG438" s="2312"/>
      <c r="AH438" s="2310">
        <f t="shared" si="34"/>
        <v>7</v>
      </c>
      <c r="AI438" s="251">
        <f t="shared" si="35"/>
        <v>14</v>
      </c>
      <c r="AJ438" s="251">
        <f t="shared" si="36"/>
        <v>0</v>
      </c>
      <c r="AK438" s="251">
        <f t="shared" si="37"/>
        <v>43</v>
      </c>
      <c r="AL438" s="2311"/>
    </row>
    <row r="439" spans="1:38">
      <c r="A439" s="59" t="s">
        <v>323</v>
      </c>
      <c r="B439" s="57">
        <f t="shared" si="19"/>
        <v>1</v>
      </c>
      <c r="C439" s="60">
        <f>IF(B439&lt;&gt;1,"",SUM(B$405:B439))</f>
        <v>35</v>
      </c>
      <c r="D439" s="57">
        <v>35</v>
      </c>
      <c r="E439" s="60" t="s">
        <v>2163</v>
      </c>
      <c r="F439" s="64" t="str">
        <f>IF(COUNTA($A$405:$A439)&lt;=MAX(DS_Counties_Sequence)=TRUE,LOOKUP(COUNTA($A$405:$A439),DS_Counties_Sequence,DS_Counties_DataNames),"")</f>
        <v>Lee</v>
      </c>
      <c r="G439" s="1798" t="s">
        <v>323</v>
      </c>
      <c r="H439" s="1797" t="s">
        <v>290</v>
      </c>
      <c r="I439" s="1797" t="s">
        <v>343</v>
      </c>
      <c r="J439" s="58"/>
      <c r="K439" s="394" t="s">
        <v>640</v>
      </c>
      <c r="L439" s="251"/>
      <c r="M439" s="58" t="s">
        <v>436</v>
      </c>
      <c r="N439" s="1813">
        <v>0</v>
      </c>
      <c r="O439" s="1813">
        <v>0</v>
      </c>
      <c r="P439" s="1813">
        <v>0</v>
      </c>
      <c r="Q439" s="394">
        <f>IF(M439="Yes",1+MAX(Q$404:Q438),0)</f>
        <v>0</v>
      </c>
      <c r="R439" s="394" t="str">
        <f t="shared" si="20"/>
        <v>No</v>
      </c>
      <c r="S439" s="2310">
        <f t="shared" si="21"/>
        <v>21</v>
      </c>
      <c r="T439" s="251">
        <f t="shared" si="22"/>
        <v>24</v>
      </c>
      <c r="U439" s="251">
        <f t="shared" si="23"/>
        <v>0</v>
      </c>
      <c r="V439" s="251">
        <f t="shared" si="24"/>
        <v>125</v>
      </c>
      <c r="W439" s="2311">
        <f t="shared" si="25"/>
        <v>0</v>
      </c>
      <c r="X439" s="251">
        <f t="shared" si="26"/>
        <v>11</v>
      </c>
      <c r="Y439" s="251">
        <f t="shared" si="27"/>
        <v>21</v>
      </c>
      <c r="Z439" s="251">
        <f t="shared" si="28"/>
        <v>0</v>
      </c>
      <c r="AA439" s="251">
        <f t="shared" si="29"/>
        <v>131</v>
      </c>
      <c r="AB439" s="2311"/>
      <c r="AC439" s="2310">
        <f t="shared" si="30"/>
        <v>13</v>
      </c>
      <c r="AD439" s="251">
        <f t="shared" si="31"/>
        <v>223</v>
      </c>
      <c r="AE439" s="251">
        <f t="shared" si="32"/>
        <v>0</v>
      </c>
      <c r="AF439" s="251">
        <f t="shared" si="33"/>
        <v>135</v>
      </c>
      <c r="AG439" s="2312"/>
      <c r="AH439" s="2310">
        <f t="shared" si="34"/>
        <v>17</v>
      </c>
      <c r="AI439" s="251">
        <f t="shared" si="35"/>
        <v>28</v>
      </c>
      <c r="AJ439" s="251">
        <f t="shared" si="36"/>
        <v>0</v>
      </c>
      <c r="AK439" s="251">
        <f t="shared" si="37"/>
        <v>129</v>
      </c>
      <c r="AL439" s="2311"/>
    </row>
    <row r="440" spans="1:38">
      <c r="A440" s="59" t="s">
        <v>324</v>
      </c>
      <c r="B440" s="57">
        <f t="shared" si="19"/>
        <v>1</v>
      </c>
      <c r="C440" s="60">
        <f>IF(B440&lt;&gt;1,"",SUM(B$405:B440))</f>
        <v>36</v>
      </c>
      <c r="D440" s="57">
        <v>36</v>
      </c>
      <c r="E440" s="60" t="s">
        <v>2160</v>
      </c>
      <c r="F440" s="64" t="str">
        <f>IF(COUNTA($A$405:$A440)&lt;=MAX(DS_Counties_Sequence)=TRUE,LOOKUP(COUNTA($A$405:$A440),DS_Counties_Sequence,DS_Counties_DataNames),"")</f>
        <v>Leon</v>
      </c>
      <c r="G440" s="264" t="s">
        <v>324</v>
      </c>
      <c r="H440" s="68" t="s">
        <v>277</v>
      </c>
      <c r="I440" s="68" t="s">
        <v>278</v>
      </c>
      <c r="J440" s="58"/>
      <c r="K440" s="394" t="s">
        <v>640</v>
      </c>
      <c r="L440" s="251"/>
      <c r="M440" s="58" t="s">
        <v>436</v>
      </c>
      <c r="N440" s="1813">
        <v>0</v>
      </c>
      <c r="O440" s="1813">
        <v>0</v>
      </c>
      <c r="P440" s="1813">
        <v>0</v>
      </c>
      <c r="Q440" s="394">
        <f>IF(M440="Yes",1+MAX(Q$404:Q439),0)</f>
        <v>0</v>
      </c>
      <c r="R440" s="394" t="str">
        <f t="shared" si="20"/>
        <v>No</v>
      </c>
      <c r="S440" s="2310">
        <f t="shared" si="21"/>
        <v>0</v>
      </c>
      <c r="T440" s="251">
        <f t="shared" si="22"/>
        <v>17</v>
      </c>
      <c r="U440" s="251">
        <f t="shared" si="23"/>
        <v>0</v>
      </c>
      <c r="V440" s="251">
        <f t="shared" si="24"/>
        <v>42</v>
      </c>
      <c r="W440" s="2311">
        <f t="shared" si="25"/>
        <v>0</v>
      </c>
      <c r="X440" s="251">
        <f t="shared" si="26"/>
        <v>2</v>
      </c>
      <c r="Y440" s="251">
        <f t="shared" si="27"/>
        <v>20</v>
      </c>
      <c r="Z440" s="251">
        <f t="shared" si="28"/>
        <v>0</v>
      </c>
      <c r="AA440" s="251">
        <f t="shared" si="29"/>
        <v>45</v>
      </c>
      <c r="AB440" s="2311"/>
      <c r="AC440" s="2310">
        <f t="shared" si="30"/>
        <v>0</v>
      </c>
      <c r="AD440" s="251">
        <f t="shared" si="31"/>
        <v>79</v>
      </c>
      <c r="AE440" s="251">
        <f t="shared" si="32"/>
        <v>0</v>
      </c>
      <c r="AF440" s="251">
        <f t="shared" si="33"/>
        <v>43</v>
      </c>
      <c r="AG440" s="2312"/>
      <c r="AH440" s="2310">
        <f t="shared" si="34"/>
        <v>1</v>
      </c>
      <c r="AI440" s="251">
        <f t="shared" si="35"/>
        <v>17</v>
      </c>
      <c r="AJ440" s="251">
        <f t="shared" si="36"/>
        <v>0</v>
      </c>
      <c r="AK440" s="251">
        <f t="shared" si="37"/>
        <v>42</v>
      </c>
      <c r="AL440" s="2311"/>
    </row>
    <row r="441" spans="1:38">
      <c r="A441" s="59" t="s">
        <v>325</v>
      </c>
      <c r="B441" s="57">
        <f t="shared" si="19"/>
        <v>1</v>
      </c>
      <c r="C441" s="60">
        <f>IF(B441&lt;&gt;1,"",SUM(B$405:B441))</f>
        <v>37</v>
      </c>
      <c r="D441" s="57">
        <v>37</v>
      </c>
      <c r="E441" s="376" t="s">
        <v>640</v>
      </c>
      <c r="F441" s="64" t="str">
        <f>IF(COUNTA($A$405:$A441)&lt;=MAX(DS_Counties_Sequence)=TRUE,LOOKUP(COUNTA($A$405:$A441),DS_Counties_Sequence,DS_Counties_DataNames),"")</f>
        <v>Levy</v>
      </c>
      <c r="G441" s="264" t="s">
        <v>325</v>
      </c>
      <c r="H441" s="68" t="s">
        <v>282</v>
      </c>
      <c r="I441" s="68" t="s">
        <v>283</v>
      </c>
      <c r="J441" s="58">
        <v>2</v>
      </c>
      <c r="K441" s="2316" t="s">
        <v>2210</v>
      </c>
      <c r="L441" s="251"/>
      <c r="M441" s="58" t="s">
        <v>436</v>
      </c>
      <c r="N441" s="1813">
        <v>0</v>
      </c>
      <c r="O441" s="1813">
        <v>0</v>
      </c>
      <c r="P441" s="1813">
        <v>0</v>
      </c>
      <c r="Q441" s="394">
        <f>IF(M441="Yes",1+MAX(Q$404:Q440),0)</f>
        <v>0</v>
      </c>
      <c r="R441" s="394" t="str">
        <f t="shared" si="20"/>
        <v>No</v>
      </c>
      <c r="S441" s="2310">
        <f t="shared" si="21"/>
        <v>1</v>
      </c>
      <c r="T441" s="251">
        <f t="shared" si="22"/>
        <v>0</v>
      </c>
      <c r="U441" s="251">
        <f t="shared" si="23"/>
        <v>0</v>
      </c>
      <c r="V441" s="251">
        <f t="shared" si="24"/>
        <v>8</v>
      </c>
      <c r="W441" s="2311">
        <f t="shared" si="25"/>
        <v>0</v>
      </c>
      <c r="X441" s="251">
        <f t="shared" si="26"/>
        <v>0</v>
      </c>
      <c r="Y441" s="251">
        <f t="shared" si="27"/>
        <v>0</v>
      </c>
      <c r="Z441" s="251">
        <f t="shared" si="28"/>
        <v>0</v>
      </c>
      <c r="AA441" s="251">
        <f t="shared" si="29"/>
        <v>8</v>
      </c>
      <c r="AB441" s="2311"/>
      <c r="AC441" s="2310">
        <f t="shared" si="30"/>
        <v>0</v>
      </c>
      <c r="AD441" s="251">
        <f t="shared" si="31"/>
        <v>13</v>
      </c>
      <c r="AE441" s="251">
        <f t="shared" si="32"/>
        <v>0</v>
      </c>
      <c r="AF441" s="251">
        <f t="shared" si="33"/>
        <v>7</v>
      </c>
      <c r="AG441" s="2312"/>
      <c r="AH441" s="2310">
        <f t="shared" si="34"/>
        <v>0</v>
      </c>
      <c r="AI441" s="251">
        <f t="shared" si="35"/>
        <v>0</v>
      </c>
      <c r="AJ441" s="251">
        <f t="shared" si="36"/>
        <v>0</v>
      </c>
      <c r="AK441" s="251">
        <f t="shared" si="37"/>
        <v>8</v>
      </c>
      <c r="AL441" s="2311"/>
    </row>
    <row r="442" spans="1:38">
      <c r="A442" s="59" t="s">
        <v>326</v>
      </c>
      <c r="B442" s="57">
        <f t="shared" si="19"/>
        <v>1</v>
      </c>
      <c r="C442" s="60">
        <f>IF(B442&lt;&gt;1,"",SUM(B$405:B442))</f>
        <v>38</v>
      </c>
      <c r="D442" s="57">
        <v>38</v>
      </c>
      <c r="E442" s="376" t="s">
        <v>640</v>
      </c>
      <c r="F442" s="64" t="str">
        <f>IF(COUNTA($A$405:$A442)&lt;=MAX(DS_Counties_Sequence)=TRUE,LOOKUP(COUNTA($A$405:$A442),DS_Counties_Sequence,DS_Counties_DataNames),"")</f>
        <v>Liberty</v>
      </c>
      <c r="G442" s="264" t="s">
        <v>326</v>
      </c>
      <c r="H442" s="68" t="s">
        <v>282</v>
      </c>
      <c r="I442" s="68" t="s">
        <v>293</v>
      </c>
      <c r="J442" s="58">
        <v>3</v>
      </c>
      <c r="K442" s="921" t="s">
        <v>2208</v>
      </c>
      <c r="L442" s="251"/>
      <c r="M442" s="58" t="s">
        <v>436</v>
      </c>
      <c r="N442" s="1813">
        <v>0</v>
      </c>
      <c r="O442" s="1813">
        <v>0</v>
      </c>
      <c r="P442" s="1813">
        <v>0</v>
      </c>
      <c r="Q442" s="394">
        <f>IF(M442="Yes",1+MAX(Q$404:Q441),0)</f>
        <v>0</v>
      </c>
      <c r="R442" s="394" t="str">
        <f t="shared" si="20"/>
        <v>No</v>
      </c>
      <c r="S442" s="2310">
        <f t="shared" si="21"/>
        <v>0</v>
      </c>
      <c r="T442" s="251">
        <f t="shared" si="22"/>
        <v>0</v>
      </c>
      <c r="U442" s="251">
        <f t="shared" si="23"/>
        <v>1</v>
      </c>
      <c r="V442" s="251">
        <f t="shared" si="24"/>
        <v>1</v>
      </c>
      <c r="W442" s="2311">
        <f t="shared" si="25"/>
        <v>0</v>
      </c>
      <c r="X442" s="251">
        <f t="shared" si="26"/>
        <v>0</v>
      </c>
      <c r="Y442" s="251">
        <f t="shared" si="27"/>
        <v>0</v>
      </c>
      <c r="Z442" s="251">
        <f t="shared" si="28"/>
        <v>1</v>
      </c>
      <c r="AA442" s="251">
        <f t="shared" si="29"/>
        <v>3</v>
      </c>
      <c r="AB442" s="2311"/>
      <c r="AC442" s="2310">
        <f t="shared" si="30"/>
        <v>0</v>
      </c>
      <c r="AD442" s="251">
        <f t="shared" si="31"/>
        <v>0</v>
      </c>
      <c r="AE442" s="251">
        <f t="shared" si="32"/>
        <v>4</v>
      </c>
      <c r="AF442" s="251">
        <f t="shared" si="33"/>
        <v>2</v>
      </c>
      <c r="AG442" s="2312"/>
      <c r="AH442" s="2310">
        <f t="shared" si="34"/>
        <v>0</v>
      </c>
      <c r="AI442" s="251">
        <f t="shared" si="35"/>
        <v>1</v>
      </c>
      <c r="AJ442" s="251">
        <f t="shared" si="36"/>
        <v>1</v>
      </c>
      <c r="AK442" s="251">
        <f t="shared" si="37"/>
        <v>1</v>
      </c>
      <c r="AL442" s="2311"/>
    </row>
    <row r="443" spans="1:38">
      <c r="A443" s="59" t="s">
        <v>327</v>
      </c>
      <c r="B443" s="57">
        <f t="shared" si="19"/>
        <v>1</v>
      </c>
      <c r="C443" s="60">
        <f>IF(B443&lt;&gt;1,"",SUM(B$405:B443))</f>
        <v>39</v>
      </c>
      <c r="D443" s="57">
        <v>39</v>
      </c>
      <c r="E443" s="376" t="s">
        <v>640</v>
      </c>
      <c r="F443" s="64" t="str">
        <f>IF(COUNTA($A$405:$A443)&lt;=MAX(DS_Counties_Sequence)=TRUE,LOOKUP(COUNTA($A$405:$A443),DS_Counties_Sequence,DS_Counties_DataNames),"")</f>
        <v>Madison</v>
      </c>
      <c r="G443" s="264" t="s">
        <v>327</v>
      </c>
      <c r="H443" s="68" t="s">
        <v>282</v>
      </c>
      <c r="I443" s="68" t="s">
        <v>293</v>
      </c>
      <c r="J443" s="58">
        <v>1</v>
      </c>
      <c r="K443" s="2316" t="s">
        <v>2210</v>
      </c>
      <c r="L443" s="251"/>
      <c r="M443" s="58" t="s">
        <v>436</v>
      </c>
      <c r="N443" s="1813">
        <v>0</v>
      </c>
      <c r="O443" s="1813">
        <v>0</v>
      </c>
      <c r="P443" s="1813">
        <v>0</v>
      </c>
      <c r="Q443" s="394">
        <f>IF(M443="Yes",1+MAX(Q$404:Q442),0)</f>
        <v>0</v>
      </c>
      <c r="R443" s="394" t="str">
        <f t="shared" si="20"/>
        <v>No</v>
      </c>
      <c r="S443" s="2310">
        <f t="shared" si="21"/>
        <v>0</v>
      </c>
      <c r="T443" s="251">
        <f t="shared" si="22"/>
        <v>0</v>
      </c>
      <c r="U443" s="251">
        <f t="shared" si="23"/>
        <v>1</v>
      </c>
      <c r="V443" s="251">
        <f t="shared" si="24"/>
        <v>3</v>
      </c>
      <c r="W443" s="2311">
        <f t="shared" si="25"/>
        <v>0</v>
      </c>
      <c r="X443" s="251">
        <f t="shared" si="26"/>
        <v>0</v>
      </c>
      <c r="Y443" s="251">
        <f t="shared" si="27"/>
        <v>0</v>
      </c>
      <c r="Z443" s="251">
        <f t="shared" si="28"/>
        <v>2</v>
      </c>
      <c r="AA443" s="251">
        <f t="shared" si="29"/>
        <v>2</v>
      </c>
      <c r="AB443" s="2311"/>
      <c r="AC443" s="2310">
        <f t="shared" si="30"/>
        <v>0</v>
      </c>
      <c r="AD443" s="251">
        <f t="shared" si="31"/>
        <v>0</v>
      </c>
      <c r="AE443" s="251">
        <f t="shared" si="32"/>
        <v>5</v>
      </c>
      <c r="AF443" s="251">
        <f t="shared" si="33"/>
        <v>4</v>
      </c>
      <c r="AG443" s="2312"/>
      <c r="AH443" s="2310">
        <f t="shared" si="34"/>
        <v>0</v>
      </c>
      <c r="AI443" s="251">
        <f t="shared" si="35"/>
        <v>2</v>
      </c>
      <c r="AJ443" s="251">
        <f t="shared" si="36"/>
        <v>2</v>
      </c>
      <c r="AK443" s="251">
        <f t="shared" si="37"/>
        <v>3</v>
      </c>
      <c r="AL443" s="2311"/>
    </row>
    <row r="444" spans="1:38">
      <c r="A444" s="59" t="s">
        <v>328</v>
      </c>
      <c r="B444" s="57">
        <f t="shared" si="19"/>
        <v>1</v>
      </c>
      <c r="C444" s="60">
        <f>IF(B444&lt;&gt;1,"",SUM(B$405:B444))</f>
        <v>40</v>
      </c>
      <c r="D444" s="57">
        <v>40</v>
      </c>
      <c r="E444" s="60" t="s">
        <v>2163</v>
      </c>
      <c r="F444" s="64" t="str">
        <f>IF(COUNTA($A$405:$A444)&lt;=MAX(DS_Counties_Sequence)=TRUE,LOOKUP(COUNTA($A$405:$A444),DS_Counties_Sequence,DS_Counties_DataNames),"")</f>
        <v>Manatee</v>
      </c>
      <c r="G444" s="264" t="s">
        <v>328</v>
      </c>
      <c r="H444" s="68" t="s">
        <v>277</v>
      </c>
      <c r="I444" s="68" t="s">
        <v>278</v>
      </c>
      <c r="J444" s="58"/>
      <c r="K444" s="394" t="s">
        <v>640</v>
      </c>
      <c r="L444" s="251"/>
      <c r="M444" s="58" t="s">
        <v>436</v>
      </c>
      <c r="N444" s="1813">
        <v>0</v>
      </c>
      <c r="O444" s="1813">
        <v>0</v>
      </c>
      <c r="P444" s="1813">
        <v>0</v>
      </c>
      <c r="Q444" s="394">
        <f>IF(M444="Yes",1+MAX(Q$404:Q443),0)</f>
        <v>0</v>
      </c>
      <c r="R444" s="394" t="str">
        <f t="shared" si="20"/>
        <v>No</v>
      </c>
      <c r="S444" s="2310">
        <f t="shared" si="21"/>
        <v>8</v>
      </c>
      <c r="T444" s="251">
        <f t="shared" si="22"/>
        <v>17</v>
      </c>
      <c r="U444" s="251">
        <f t="shared" si="23"/>
        <v>0</v>
      </c>
      <c r="V444" s="251">
        <f t="shared" si="24"/>
        <v>55</v>
      </c>
      <c r="W444" s="2311">
        <f t="shared" si="25"/>
        <v>0</v>
      </c>
      <c r="X444" s="251">
        <f t="shared" si="26"/>
        <v>9</v>
      </c>
      <c r="Y444" s="251">
        <f t="shared" si="27"/>
        <v>18</v>
      </c>
      <c r="Z444" s="251">
        <f t="shared" si="28"/>
        <v>0</v>
      </c>
      <c r="AA444" s="251">
        <f t="shared" si="29"/>
        <v>57</v>
      </c>
      <c r="AB444" s="2311"/>
      <c r="AC444" s="2310">
        <f t="shared" si="30"/>
        <v>10</v>
      </c>
      <c r="AD444" s="251">
        <f t="shared" si="31"/>
        <v>94</v>
      </c>
      <c r="AE444" s="251">
        <f t="shared" si="32"/>
        <v>0</v>
      </c>
      <c r="AF444" s="251">
        <f t="shared" si="33"/>
        <v>55</v>
      </c>
      <c r="AG444" s="2312"/>
      <c r="AH444" s="2310">
        <f t="shared" si="34"/>
        <v>10</v>
      </c>
      <c r="AI444" s="251">
        <f t="shared" si="35"/>
        <v>22</v>
      </c>
      <c r="AJ444" s="251">
        <f t="shared" si="36"/>
        <v>0</v>
      </c>
      <c r="AK444" s="251">
        <f t="shared" si="37"/>
        <v>53</v>
      </c>
      <c r="AL444" s="2311"/>
    </row>
    <row r="445" spans="1:38">
      <c r="A445" s="59" t="s">
        <v>329</v>
      </c>
      <c r="B445" s="57">
        <f t="shared" si="19"/>
        <v>1</v>
      </c>
      <c r="C445" s="60">
        <f>IF(B445&lt;&gt;1,"",SUM(B$405:B445))</f>
        <v>41</v>
      </c>
      <c r="D445" s="57">
        <v>41</v>
      </c>
      <c r="E445" s="60" t="s">
        <v>2160</v>
      </c>
      <c r="F445" s="64" t="str">
        <f>IF(COUNTA($A$405:$A445)&lt;=MAX(DS_Counties_Sequence)=TRUE,LOOKUP(COUNTA($A$405:$A445),DS_Counties_Sequence,DS_Counties_DataNames),"")</f>
        <v>Marion</v>
      </c>
      <c r="G445" s="264" t="s">
        <v>329</v>
      </c>
      <c r="H445" s="68" t="s">
        <v>277</v>
      </c>
      <c r="I445" s="68" t="s">
        <v>278</v>
      </c>
      <c r="J445" s="58"/>
      <c r="K445" s="394" t="s">
        <v>640</v>
      </c>
      <c r="L445" s="251"/>
      <c r="M445" s="58" t="s">
        <v>436</v>
      </c>
      <c r="N445" s="1813">
        <v>0</v>
      </c>
      <c r="O445" s="1813">
        <v>0</v>
      </c>
      <c r="P445" s="1813">
        <v>0</v>
      </c>
      <c r="Q445" s="394">
        <f>IF(M445="Yes",1+MAX(Q$404:Q444),0)</f>
        <v>0</v>
      </c>
      <c r="R445" s="394" t="str">
        <f t="shared" si="20"/>
        <v>No</v>
      </c>
      <c r="S445" s="2310">
        <f t="shared" si="21"/>
        <v>3</v>
      </c>
      <c r="T445" s="251">
        <f t="shared" si="22"/>
        <v>8</v>
      </c>
      <c r="U445" s="251">
        <f t="shared" si="23"/>
        <v>0</v>
      </c>
      <c r="V445" s="251">
        <f t="shared" si="24"/>
        <v>52</v>
      </c>
      <c r="W445" s="2311">
        <f t="shared" si="25"/>
        <v>0</v>
      </c>
      <c r="X445" s="251">
        <f t="shared" si="26"/>
        <v>5</v>
      </c>
      <c r="Y445" s="251">
        <f t="shared" si="27"/>
        <v>14</v>
      </c>
      <c r="Z445" s="251">
        <f t="shared" si="28"/>
        <v>0</v>
      </c>
      <c r="AA445" s="251">
        <f t="shared" si="29"/>
        <v>48</v>
      </c>
      <c r="AB445" s="2311"/>
      <c r="AC445" s="2310">
        <f t="shared" si="30"/>
        <v>6</v>
      </c>
      <c r="AD445" s="251">
        <f t="shared" si="31"/>
        <v>93</v>
      </c>
      <c r="AE445" s="251">
        <f t="shared" si="32"/>
        <v>0</v>
      </c>
      <c r="AF445" s="251">
        <f t="shared" si="33"/>
        <v>50</v>
      </c>
      <c r="AG445" s="2312"/>
      <c r="AH445" s="2310">
        <f t="shared" si="34"/>
        <v>2</v>
      </c>
      <c r="AI445" s="251">
        <f t="shared" si="35"/>
        <v>14</v>
      </c>
      <c r="AJ445" s="251">
        <f t="shared" si="36"/>
        <v>0</v>
      </c>
      <c r="AK445" s="251">
        <f t="shared" si="37"/>
        <v>48</v>
      </c>
      <c r="AL445" s="2311"/>
    </row>
    <row r="446" spans="1:38">
      <c r="A446" s="59" t="s">
        <v>330</v>
      </c>
      <c r="B446" s="57">
        <f t="shared" si="19"/>
        <v>1</v>
      </c>
      <c r="C446" s="60">
        <f>IF(B446&lt;&gt;1,"",SUM(B$405:B446))</f>
        <v>42</v>
      </c>
      <c r="D446" s="57">
        <v>42</v>
      </c>
      <c r="E446" s="60" t="s">
        <v>2161</v>
      </c>
      <c r="F446" s="64" t="str">
        <f>IF(COUNTA($A$405:$A446)&lt;=MAX(DS_Counties_Sequence)=TRUE,LOOKUP(COUNTA($A$405:$A446),DS_Counties_Sequence,DS_Counties_DataNames),"")</f>
        <v>Martin</v>
      </c>
      <c r="G446" s="264" t="s">
        <v>330</v>
      </c>
      <c r="H446" s="68" t="s">
        <v>277</v>
      </c>
      <c r="I446" s="68" t="s">
        <v>164</v>
      </c>
      <c r="J446" s="58"/>
      <c r="K446" s="394" t="s">
        <v>640</v>
      </c>
      <c r="L446" s="251"/>
      <c r="M446" s="58" t="s">
        <v>436</v>
      </c>
      <c r="N446" s="1813">
        <v>0</v>
      </c>
      <c r="O446" s="1813">
        <v>0</v>
      </c>
      <c r="P446" s="1813">
        <v>0</v>
      </c>
      <c r="Q446" s="394">
        <f>IF(M446="Yes",1+MAX(Q$404:Q445),0)</f>
        <v>0</v>
      </c>
      <c r="R446" s="394" t="str">
        <f t="shared" si="20"/>
        <v>No</v>
      </c>
      <c r="S446" s="2310">
        <f t="shared" si="21"/>
        <v>4</v>
      </c>
      <c r="T446" s="251">
        <f t="shared" si="22"/>
        <v>3</v>
      </c>
      <c r="U446" s="251">
        <f t="shared" si="23"/>
        <v>0</v>
      </c>
      <c r="V446" s="251">
        <f t="shared" si="24"/>
        <v>23</v>
      </c>
      <c r="W446" s="2311">
        <f t="shared" si="25"/>
        <v>0</v>
      </c>
      <c r="X446" s="251">
        <f t="shared" si="26"/>
        <v>1</v>
      </c>
      <c r="Y446" s="251">
        <f t="shared" si="27"/>
        <v>4</v>
      </c>
      <c r="Z446" s="251">
        <f t="shared" si="28"/>
        <v>0</v>
      </c>
      <c r="AA446" s="251">
        <f t="shared" si="29"/>
        <v>27</v>
      </c>
      <c r="AB446" s="2311"/>
      <c r="AC446" s="2310">
        <f t="shared" si="30"/>
        <v>1</v>
      </c>
      <c r="AD446" s="251">
        <f t="shared" si="31"/>
        <v>43</v>
      </c>
      <c r="AE446" s="251">
        <f t="shared" si="32"/>
        <v>0</v>
      </c>
      <c r="AF446" s="251">
        <f t="shared" si="33"/>
        <v>26</v>
      </c>
      <c r="AG446" s="2312"/>
      <c r="AH446" s="2310">
        <f t="shared" si="34"/>
        <v>1</v>
      </c>
      <c r="AI446" s="251">
        <f t="shared" si="35"/>
        <v>3</v>
      </c>
      <c r="AJ446" s="251">
        <f t="shared" si="36"/>
        <v>0</v>
      </c>
      <c r="AK446" s="251">
        <f t="shared" si="37"/>
        <v>25</v>
      </c>
      <c r="AL446" s="2311"/>
    </row>
    <row r="447" spans="1:38">
      <c r="A447" s="59" t="s">
        <v>331</v>
      </c>
      <c r="B447" s="57">
        <f t="shared" si="19"/>
        <v>1</v>
      </c>
      <c r="C447" s="60">
        <f>IF(B447&lt;&gt;1,"",SUM(B$405:B447))</f>
        <v>43</v>
      </c>
      <c r="D447" s="57">
        <v>43</v>
      </c>
      <c r="E447" s="60" t="s">
        <v>2162</v>
      </c>
      <c r="F447" s="64" t="str">
        <f>IF(COUNTA($A$405:$A447)&lt;=MAX(DS_Counties_Sequence)=TRUE,LOOKUP(COUNTA($A$405:$A447),DS_Counties_Sequence,DS_Counties_DataNames),"")</f>
        <v>Miami-Dade</v>
      </c>
      <c r="G447" s="264" t="s">
        <v>331</v>
      </c>
      <c r="H447" s="68" t="s">
        <v>290</v>
      </c>
      <c r="I447" s="68" t="s">
        <v>332</v>
      </c>
      <c r="J447" s="58"/>
      <c r="K447" s="394" t="s">
        <v>640</v>
      </c>
      <c r="L447" s="251"/>
      <c r="M447" s="58" t="s">
        <v>436</v>
      </c>
      <c r="N447" s="1813">
        <v>0</v>
      </c>
      <c r="O447" s="1813">
        <v>0</v>
      </c>
      <c r="P447" s="1813">
        <v>0</v>
      </c>
      <c r="Q447" s="394">
        <f>IF(M447="Yes",1+MAX(Q$404:Q446),0)</f>
        <v>0</v>
      </c>
      <c r="R447" s="394" t="str">
        <f t="shared" si="20"/>
        <v>No</v>
      </c>
      <c r="S447" s="2310">
        <f t="shared" si="21"/>
        <v>47</v>
      </c>
      <c r="T447" s="251">
        <f t="shared" si="22"/>
        <v>162</v>
      </c>
      <c r="U447" s="251">
        <f t="shared" si="23"/>
        <v>0</v>
      </c>
      <c r="V447" s="251">
        <f t="shared" si="24"/>
        <v>386</v>
      </c>
      <c r="W447" s="2311">
        <f t="shared" si="25"/>
        <v>0</v>
      </c>
      <c r="X447" s="251">
        <f t="shared" si="26"/>
        <v>47</v>
      </c>
      <c r="Y447" s="251">
        <f t="shared" si="27"/>
        <v>214</v>
      </c>
      <c r="Z447" s="251">
        <f t="shared" si="28"/>
        <v>0</v>
      </c>
      <c r="AA447" s="251">
        <f t="shared" si="29"/>
        <v>426</v>
      </c>
      <c r="AB447" s="2311"/>
      <c r="AC447" s="2310">
        <f t="shared" si="30"/>
        <v>48</v>
      </c>
      <c r="AD447" s="251">
        <f t="shared" si="31"/>
        <v>707</v>
      </c>
      <c r="AE447" s="251">
        <f t="shared" si="32"/>
        <v>0</v>
      </c>
      <c r="AF447" s="251">
        <f t="shared" si="33"/>
        <v>414</v>
      </c>
      <c r="AG447" s="2312"/>
      <c r="AH447" s="2310">
        <f t="shared" si="34"/>
        <v>54</v>
      </c>
      <c r="AI447" s="251">
        <f t="shared" si="35"/>
        <v>163</v>
      </c>
      <c r="AJ447" s="251">
        <f t="shared" si="36"/>
        <v>0</v>
      </c>
      <c r="AK447" s="251">
        <f t="shared" si="37"/>
        <v>388</v>
      </c>
      <c r="AL447" s="2311"/>
    </row>
    <row r="448" spans="1:38">
      <c r="A448" s="59" t="s">
        <v>333</v>
      </c>
      <c r="B448" s="57">
        <f t="shared" si="19"/>
        <v>1</v>
      </c>
      <c r="C448" s="60">
        <f>IF(B448&lt;&gt;1,"",SUM(B$405:B448))</f>
        <v>44</v>
      </c>
      <c r="D448" s="57">
        <v>44</v>
      </c>
      <c r="E448" s="376" t="s">
        <v>640</v>
      </c>
      <c r="F448" s="64" t="str">
        <f>IF(COUNTA($A$405:$A448)&lt;=MAX(DS_Counties_Sequence)=TRUE,LOOKUP(COUNTA($A$405:$A448),DS_Counties_Sequence,DS_Counties_DataNames),"")</f>
        <v>Monroe</v>
      </c>
      <c r="G448" s="264" t="s">
        <v>333</v>
      </c>
      <c r="H448" s="68" t="s">
        <v>282</v>
      </c>
      <c r="I448" s="68" t="s">
        <v>334</v>
      </c>
      <c r="J448" s="58"/>
      <c r="K448" s="394" t="s">
        <v>640</v>
      </c>
      <c r="L448" s="251"/>
      <c r="M448" s="58" t="s">
        <v>436</v>
      </c>
      <c r="N448" s="1813">
        <v>0</v>
      </c>
      <c r="O448" s="1813">
        <v>0</v>
      </c>
      <c r="P448" s="1813">
        <v>0</v>
      </c>
      <c r="Q448" s="394">
        <f>IF(M448="Yes",1+MAX(Q$404:Q447),0)</f>
        <v>0</v>
      </c>
      <c r="R448" s="394" t="str">
        <f t="shared" si="20"/>
        <v>No</v>
      </c>
      <c r="S448" s="2310">
        <f t="shared" si="21"/>
        <v>0</v>
      </c>
      <c r="T448" s="251">
        <f t="shared" si="22"/>
        <v>0</v>
      </c>
      <c r="U448" s="251">
        <f t="shared" si="23"/>
        <v>2</v>
      </c>
      <c r="V448" s="251">
        <f t="shared" si="24"/>
        <v>15</v>
      </c>
      <c r="W448" s="2311">
        <f t="shared" si="25"/>
        <v>0</v>
      </c>
      <c r="X448" s="251">
        <f t="shared" si="26"/>
        <v>0</v>
      </c>
      <c r="Y448" s="251">
        <f t="shared" si="27"/>
        <v>0</v>
      </c>
      <c r="Z448" s="251">
        <f t="shared" si="28"/>
        <v>0</v>
      </c>
      <c r="AA448" s="251">
        <f t="shared" si="29"/>
        <v>16</v>
      </c>
      <c r="AB448" s="2311"/>
      <c r="AC448" s="2310">
        <f t="shared" si="30"/>
        <v>0</v>
      </c>
      <c r="AD448" s="251">
        <f t="shared" si="31"/>
        <v>0</v>
      </c>
      <c r="AE448" s="251">
        <f t="shared" si="32"/>
        <v>29</v>
      </c>
      <c r="AF448" s="251">
        <f t="shared" si="33"/>
        <v>16</v>
      </c>
      <c r="AG448" s="2312"/>
      <c r="AH448" s="2310">
        <f t="shared" si="34"/>
        <v>0</v>
      </c>
      <c r="AI448" s="251">
        <f t="shared" si="35"/>
        <v>2</v>
      </c>
      <c r="AJ448" s="251">
        <f t="shared" si="36"/>
        <v>2</v>
      </c>
      <c r="AK448" s="251">
        <f t="shared" si="37"/>
        <v>17</v>
      </c>
      <c r="AL448" s="2311"/>
    </row>
    <row r="449" spans="1:38">
      <c r="A449" s="59" t="s">
        <v>335</v>
      </c>
      <c r="B449" s="57">
        <f t="shared" si="19"/>
        <v>1</v>
      </c>
      <c r="C449" s="60">
        <f>IF(B449&lt;&gt;1,"",SUM(B$405:B449))</f>
        <v>45</v>
      </c>
      <c r="D449" s="57">
        <v>45</v>
      </c>
      <c r="E449" s="376" t="s">
        <v>640</v>
      </c>
      <c r="F449" s="64" t="str">
        <f>IF(COUNTA($A$405:$A449)&lt;=MAX(DS_Counties_Sequence)=TRUE,LOOKUP(COUNTA($A$405:$A449),DS_Counties_Sequence,DS_Counties_DataNames),"")</f>
        <v>Nassau</v>
      </c>
      <c r="G449" s="264" t="s">
        <v>335</v>
      </c>
      <c r="H449" s="68" t="s">
        <v>277</v>
      </c>
      <c r="I449" s="68" t="s">
        <v>164</v>
      </c>
      <c r="J449" s="58"/>
      <c r="K449" s="394" t="s">
        <v>640</v>
      </c>
      <c r="L449" s="251"/>
      <c r="M449" s="58" t="s">
        <v>436</v>
      </c>
      <c r="N449" s="1813">
        <v>0</v>
      </c>
      <c r="O449" s="1813">
        <v>0</v>
      </c>
      <c r="P449" s="1813">
        <v>0</v>
      </c>
      <c r="Q449" s="394">
        <f>IF(M449="Yes",1+MAX(Q$404:Q448),0)</f>
        <v>0</v>
      </c>
      <c r="R449" s="394" t="str">
        <f t="shared" si="20"/>
        <v>No</v>
      </c>
      <c r="S449" s="2310">
        <f t="shared" si="21"/>
        <v>1</v>
      </c>
      <c r="T449" s="251">
        <f t="shared" si="22"/>
        <v>1</v>
      </c>
      <c r="U449" s="251">
        <f t="shared" si="23"/>
        <v>0</v>
      </c>
      <c r="V449" s="251">
        <f t="shared" si="24"/>
        <v>15</v>
      </c>
      <c r="W449" s="2311">
        <f t="shared" si="25"/>
        <v>0</v>
      </c>
      <c r="X449" s="251">
        <f t="shared" si="26"/>
        <v>0</v>
      </c>
      <c r="Y449" s="251">
        <f t="shared" si="27"/>
        <v>0</v>
      </c>
      <c r="Z449" s="251">
        <f t="shared" si="28"/>
        <v>0</v>
      </c>
      <c r="AA449" s="251">
        <f t="shared" si="29"/>
        <v>15</v>
      </c>
      <c r="AB449" s="2311"/>
      <c r="AC449" s="2310">
        <f t="shared" si="30"/>
        <v>0</v>
      </c>
      <c r="AD449" s="251">
        <f t="shared" si="31"/>
        <v>24</v>
      </c>
      <c r="AE449" s="251">
        <f t="shared" si="32"/>
        <v>0</v>
      </c>
      <c r="AF449" s="251">
        <f t="shared" si="33"/>
        <v>15</v>
      </c>
      <c r="AG449" s="2312"/>
      <c r="AH449" s="2310">
        <f t="shared" si="34"/>
        <v>1</v>
      </c>
      <c r="AI449" s="251">
        <f t="shared" si="35"/>
        <v>2</v>
      </c>
      <c r="AJ449" s="251">
        <f t="shared" si="36"/>
        <v>0</v>
      </c>
      <c r="AK449" s="251">
        <f t="shared" si="37"/>
        <v>15</v>
      </c>
      <c r="AL449" s="2311"/>
    </row>
    <row r="450" spans="1:38">
      <c r="A450" s="59" t="s">
        <v>336</v>
      </c>
      <c r="B450" s="57">
        <f t="shared" si="19"/>
        <v>1</v>
      </c>
      <c r="C450" s="60">
        <f>IF(B450&lt;&gt;1,"",SUM(B$405:B450))</f>
        <v>46</v>
      </c>
      <c r="D450" s="57">
        <v>46</v>
      </c>
      <c r="E450" s="60" t="s">
        <v>2160</v>
      </c>
      <c r="F450" s="64" t="str">
        <f>IF(COUNTA($A$405:$A450)&lt;=MAX(DS_Counties_Sequence)=TRUE,LOOKUP(COUNTA($A$405:$A450),DS_Counties_Sequence,DS_Counties_DataNames),"")</f>
        <v>Okaloosa</v>
      </c>
      <c r="G450" s="264" t="s">
        <v>336</v>
      </c>
      <c r="H450" s="68" t="s">
        <v>277</v>
      </c>
      <c r="I450" s="68" t="s">
        <v>164</v>
      </c>
      <c r="J450" s="58"/>
      <c r="K450" s="394" t="s">
        <v>640</v>
      </c>
      <c r="L450" s="251"/>
      <c r="M450" s="58" t="s">
        <v>436</v>
      </c>
      <c r="N450" s="1813">
        <v>0</v>
      </c>
      <c r="O450" s="1813">
        <v>0</v>
      </c>
      <c r="P450" s="1813">
        <v>0</v>
      </c>
      <c r="Q450" s="394">
        <f>IF(M450="Yes",1+MAX(Q$404:Q449),0)</f>
        <v>0</v>
      </c>
      <c r="R450" s="394" t="str">
        <f t="shared" si="20"/>
        <v>No</v>
      </c>
      <c r="S450" s="2310">
        <f t="shared" si="21"/>
        <v>3</v>
      </c>
      <c r="T450" s="251">
        <f t="shared" si="22"/>
        <v>4</v>
      </c>
      <c r="U450" s="251">
        <f t="shared" si="23"/>
        <v>0</v>
      </c>
      <c r="V450" s="251">
        <f t="shared" si="24"/>
        <v>26</v>
      </c>
      <c r="W450" s="2311">
        <f t="shared" si="25"/>
        <v>0</v>
      </c>
      <c r="X450" s="251">
        <f t="shared" si="26"/>
        <v>3</v>
      </c>
      <c r="Y450" s="251">
        <f t="shared" si="27"/>
        <v>2</v>
      </c>
      <c r="Z450" s="251">
        <f t="shared" si="28"/>
        <v>0</v>
      </c>
      <c r="AA450" s="251">
        <f t="shared" si="29"/>
        <v>23</v>
      </c>
      <c r="AB450" s="2311"/>
      <c r="AC450" s="2310">
        <f t="shared" si="30"/>
        <v>3</v>
      </c>
      <c r="AD450" s="251">
        <f t="shared" si="31"/>
        <v>49</v>
      </c>
      <c r="AE450" s="251">
        <f t="shared" si="32"/>
        <v>0</v>
      </c>
      <c r="AF450" s="251">
        <f t="shared" si="33"/>
        <v>31</v>
      </c>
      <c r="AG450" s="2312"/>
      <c r="AH450" s="2310">
        <f t="shared" si="34"/>
        <v>4</v>
      </c>
      <c r="AI450" s="251">
        <f t="shared" si="35"/>
        <v>5</v>
      </c>
      <c r="AJ450" s="251">
        <f t="shared" si="36"/>
        <v>0</v>
      </c>
      <c r="AK450" s="251">
        <f t="shared" si="37"/>
        <v>29</v>
      </c>
      <c r="AL450" s="2311"/>
    </row>
    <row r="451" spans="1:38">
      <c r="A451" s="59" t="s">
        <v>337</v>
      </c>
      <c r="B451" s="57">
        <f t="shared" si="19"/>
        <v>1</v>
      </c>
      <c r="C451" s="60">
        <f>IF(B451&lt;&gt;1,"",SUM(B$405:B451))</f>
        <v>47</v>
      </c>
      <c r="D451" s="57">
        <v>47</v>
      </c>
      <c r="E451" s="376" t="s">
        <v>640</v>
      </c>
      <c r="F451" s="64" t="str">
        <f>IF(COUNTA($A$405:$A451)&lt;=MAX(DS_Counties_Sequence)=TRUE,LOOKUP(COUNTA($A$405:$A451),DS_Counties_Sequence,DS_Counties_DataNames),"")</f>
        <v>Okeechobee</v>
      </c>
      <c r="G451" s="264" t="s">
        <v>337</v>
      </c>
      <c r="H451" s="68" t="s">
        <v>282</v>
      </c>
      <c r="I451" s="68" t="s">
        <v>283</v>
      </c>
      <c r="J451" s="58">
        <v>3</v>
      </c>
      <c r="K451" s="2316" t="s">
        <v>2209</v>
      </c>
      <c r="L451" s="251"/>
      <c r="M451" s="58" t="s">
        <v>436</v>
      </c>
      <c r="N451" s="1813">
        <v>0</v>
      </c>
      <c r="O451" s="1813">
        <v>0</v>
      </c>
      <c r="P451" s="1813">
        <v>0</v>
      </c>
      <c r="Q451" s="394">
        <f>IF(M451="Yes",1+MAX(Q$404:Q450),0)</f>
        <v>0</v>
      </c>
      <c r="R451" s="394" t="str">
        <f t="shared" si="20"/>
        <v>No</v>
      </c>
      <c r="S451" s="2310">
        <f t="shared" si="21"/>
        <v>0</v>
      </c>
      <c r="T451" s="251">
        <f t="shared" si="22"/>
        <v>0</v>
      </c>
      <c r="U451" s="251">
        <f t="shared" si="23"/>
        <v>2</v>
      </c>
      <c r="V451" s="251">
        <f t="shared" si="24"/>
        <v>5</v>
      </c>
      <c r="W451" s="2311">
        <f t="shared" si="25"/>
        <v>0</v>
      </c>
      <c r="X451" s="251">
        <f t="shared" si="26"/>
        <v>0</v>
      </c>
      <c r="Y451" s="251">
        <f t="shared" si="27"/>
        <v>0</v>
      </c>
      <c r="Z451" s="251">
        <f t="shared" si="28"/>
        <v>1</v>
      </c>
      <c r="AA451" s="251">
        <f t="shared" si="29"/>
        <v>7</v>
      </c>
      <c r="AB451" s="2311"/>
      <c r="AC451" s="2310">
        <f t="shared" si="30"/>
        <v>0</v>
      </c>
      <c r="AD451" s="251">
        <f t="shared" si="31"/>
        <v>0</v>
      </c>
      <c r="AE451" s="251">
        <f t="shared" si="32"/>
        <v>12</v>
      </c>
      <c r="AF451" s="251">
        <f t="shared" si="33"/>
        <v>7</v>
      </c>
      <c r="AG451" s="2312"/>
      <c r="AH451" s="2310">
        <f t="shared" si="34"/>
        <v>0</v>
      </c>
      <c r="AI451" s="251">
        <f t="shared" si="35"/>
        <v>2</v>
      </c>
      <c r="AJ451" s="251">
        <f t="shared" si="36"/>
        <v>2</v>
      </c>
      <c r="AK451" s="251">
        <f t="shared" si="37"/>
        <v>6</v>
      </c>
      <c r="AL451" s="2311"/>
    </row>
    <row r="452" spans="1:38">
      <c r="A452" s="59" t="s">
        <v>338</v>
      </c>
      <c r="B452" s="57">
        <f t="shared" si="19"/>
        <v>1</v>
      </c>
      <c r="C452" s="60">
        <f>IF(B452&lt;&gt;1,"",SUM(B$405:B452))</f>
        <v>48</v>
      </c>
      <c r="D452" s="57">
        <v>48</v>
      </c>
      <c r="E452" s="60" t="s">
        <v>2161</v>
      </c>
      <c r="F452" s="64" t="str">
        <f>IF(COUNTA($A$405:$A452)&lt;=MAX(DS_Counties_Sequence)=TRUE,LOOKUP(COUNTA($A$405:$A452),DS_Counties_Sequence,DS_Counties_DataNames),"")</f>
        <v>Orange</v>
      </c>
      <c r="G452" s="264" t="s">
        <v>338</v>
      </c>
      <c r="H452" s="68" t="s">
        <v>290</v>
      </c>
      <c r="I452" s="1797" t="s">
        <v>291</v>
      </c>
      <c r="J452" s="58"/>
      <c r="K452" s="394" t="s">
        <v>640</v>
      </c>
      <c r="L452" s="251"/>
      <c r="M452" s="58" t="s">
        <v>436</v>
      </c>
      <c r="N452" s="1813">
        <v>0</v>
      </c>
      <c r="O452" s="1813">
        <v>0</v>
      </c>
      <c r="P452" s="1813">
        <v>0</v>
      </c>
      <c r="Q452" s="394">
        <f>IF(M452="Yes",1+MAX(Q$404:Q451),0)</f>
        <v>0</v>
      </c>
      <c r="R452" s="394" t="str">
        <f t="shared" si="20"/>
        <v>No</v>
      </c>
      <c r="S452" s="2310">
        <f t="shared" si="21"/>
        <v>26</v>
      </c>
      <c r="T452" s="251">
        <f t="shared" si="22"/>
        <v>53</v>
      </c>
      <c r="U452" s="251">
        <f t="shared" si="23"/>
        <v>0</v>
      </c>
      <c r="V452" s="251">
        <f t="shared" si="24"/>
        <v>147</v>
      </c>
      <c r="W452" s="2311">
        <f t="shared" si="25"/>
        <v>0</v>
      </c>
      <c r="X452" s="251">
        <f t="shared" si="26"/>
        <v>30</v>
      </c>
      <c r="Y452" s="251">
        <f t="shared" si="27"/>
        <v>54</v>
      </c>
      <c r="Z452" s="251">
        <f t="shared" si="28"/>
        <v>0</v>
      </c>
      <c r="AA452" s="251">
        <f t="shared" si="29"/>
        <v>148</v>
      </c>
      <c r="AB452" s="2311"/>
      <c r="AC452" s="2310">
        <f t="shared" si="30"/>
        <v>31</v>
      </c>
      <c r="AD452" s="251">
        <f t="shared" si="31"/>
        <v>267</v>
      </c>
      <c r="AE452" s="251">
        <f t="shared" si="32"/>
        <v>0</v>
      </c>
      <c r="AF452" s="251">
        <f t="shared" si="33"/>
        <v>147</v>
      </c>
      <c r="AG452" s="2312"/>
      <c r="AH452" s="2310">
        <f t="shared" si="34"/>
        <v>32</v>
      </c>
      <c r="AI452" s="251">
        <f t="shared" si="35"/>
        <v>58</v>
      </c>
      <c r="AJ452" s="251">
        <f t="shared" si="36"/>
        <v>0</v>
      </c>
      <c r="AK452" s="251">
        <f t="shared" si="37"/>
        <v>145</v>
      </c>
      <c r="AL452" s="2311"/>
    </row>
    <row r="453" spans="1:38">
      <c r="A453" s="59" t="s">
        <v>339</v>
      </c>
      <c r="B453" s="57">
        <f t="shared" si="19"/>
        <v>1</v>
      </c>
      <c r="C453" s="60">
        <f>IF(B453&lt;&gt;1,"",SUM(B$405:B453))</f>
        <v>49</v>
      </c>
      <c r="D453" s="57">
        <v>49</v>
      </c>
      <c r="E453" s="60" t="s">
        <v>2161</v>
      </c>
      <c r="F453" s="64" t="str">
        <f>IF(COUNTA($A$405:$A453)&lt;=MAX(DS_Counties_Sequence)=TRUE,LOOKUP(COUNTA($A$405:$A453),DS_Counties_Sequence,DS_Counties_DataNames),"")</f>
        <v>Osceola</v>
      </c>
      <c r="G453" s="264" t="s">
        <v>339</v>
      </c>
      <c r="H453" s="68" t="s">
        <v>277</v>
      </c>
      <c r="I453" s="68" t="s">
        <v>278</v>
      </c>
      <c r="J453" s="58"/>
      <c r="K453" s="394" t="s">
        <v>640</v>
      </c>
      <c r="L453" s="251"/>
      <c r="M453" s="58" t="s">
        <v>436</v>
      </c>
      <c r="N453" s="1813">
        <v>0</v>
      </c>
      <c r="O453" s="1813">
        <v>0</v>
      </c>
      <c r="P453" s="1813">
        <v>0</v>
      </c>
      <c r="Q453" s="394">
        <f>IF(M453="Yes",1+MAX(Q$404:Q452),0)</f>
        <v>0</v>
      </c>
      <c r="R453" s="394" t="str">
        <f t="shared" si="20"/>
        <v>No</v>
      </c>
      <c r="S453" s="2310">
        <f t="shared" si="21"/>
        <v>8</v>
      </c>
      <c r="T453" s="251">
        <f t="shared" si="22"/>
        <v>16</v>
      </c>
      <c r="U453" s="251">
        <f t="shared" si="23"/>
        <v>0</v>
      </c>
      <c r="V453" s="251">
        <f t="shared" si="24"/>
        <v>29</v>
      </c>
      <c r="W453" s="2311">
        <f t="shared" si="25"/>
        <v>0</v>
      </c>
      <c r="X453" s="251">
        <f t="shared" si="26"/>
        <v>8</v>
      </c>
      <c r="Y453" s="251">
        <f t="shared" si="27"/>
        <v>9</v>
      </c>
      <c r="Z453" s="251">
        <f t="shared" si="28"/>
        <v>0</v>
      </c>
      <c r="AA453" s="251">
        <f t="shared" si="29"/>
        <v>31</v>
      </c>
      <c r="AB453" s="2311"/>
      <c r="AC453" s="2310">
        <f t="shared" si="30"/>
        <v>8</v>
      </c>
      <c r="AD453" s="251">
        <f t="shared" si="31"/>
        <v>59</v>
      </c>
      <c r="AE453" s="251">
        <f t="shared" si="32"/>
        <v>0</v>
      </c>
      <c r="AF453" s="251">
        <f t="shared" si="33"/>
        <v>30</v>
      </c>
      <c r="AG453" s="2312"/>
      <c r="AH453" s="2310">
        <f t="shared" si="34"/>
        <v>6</v>
      </c>
      <c r="AI453" s="251">
        <f t="shared" si="35"/>
        <v>18</v>
      </c>
      <c r="AJ453" s="251">
        <f t="shared" si="36"/>
        <v>0</v>
      </c>
      <c r="AK453" s="251">
        <f t="shared" si="37"/>
        <v>33</v>
      </c>
      <c r="AL453" s="2311"/>
    </row>
    <row r="454" spans="1:38">
      <c r="A454" s="59" t="s">
        <v>340</v>
      </c>
      <c r="B454" s="57">
        <f t="shared" si="19"/>
        <v>1</v>
      </c>
      <c r="C454" s="60">
        <f>IF(B454&lt;&gt;1,"",SUM(B$405:B454))</f>
        <v>50</v>
      </c>
      <c r="D454" s="57">
        <v>50</v>
      </c>
      <c r="E454" s="60" t="s">
        <v>2162</v>
      </c>
      <c r="F454" s="64" t="str">
        <f>IF(COUNTA($A$405:$A454)&lt;=MAX(DS_Counties_Sequence)=TRUE,LOOKUP(COUNTA($A$405:$A454),DS_Counties_Sequence,DS_Counties_DataNames),"")</f>
        <v>Palm Beach</v>
      </c>
      <c r="G454" s="264" t="s">
        <v>340</v>
      </c>
      <c r="H454" s="68" t="s">
        <v>290</v>
      </c>
      <c r="I454" s="68" t="s">
        <v>291</v>
      </c>
      <c r="J454" s="58" t="s">
        <v>2214</v>
      </c>
      <c r="K454" s="2316" t="s">
        <v>2212</v>
      </c>
      <c r="L454" s="251"/>
      <c r="M454" s="58" t="s">
        <v>436</v>
      </c>
      <c r="N454" s="1813">
        <v>0</v>
      </c>
      <c r="O454" s="1813">
        <v>0</v>
      </c>
      <c r="P454" s="1813">
        <v>0</v>
      </c>
      <c r="Q454" s="394">
        <f>IF(M454="Yes",1+MAX(Q$404:Q453),0)</f>
        <v>0</v>
      </c>
      <c r="R454" s="394" t="str">
        <f t="shared" si="20"/>
        <v>No</v>
      </c>
      <c r="S454" s="2310">
        <f t="shared" si="21"/>
        <v>32</v>
      </c>
      <c r="T454" s="251">
        <f t="shared" si="22"/>
        <v>55</v>
      </c>
      <c r="U454" s="251">
        <f t="shared" si="23"/>
        <v>0</v>
      </c>
      <c r="V454" s="251">
        <f t="shared" si="24"/>
        <v>196</v>
      </c>
      <c r="W454" s="2311">
        <f t="shared" si="25"/>
        <v>0</v>
      </c>
      <c r="X454" s="251">
        <f t="shared" si="26"/>
        <v>30</v>
      </c>
      <c r="Y454" s="251">
        <f t="shared" si="27"/>
        <v>43</v>
      </c>
      <c r="Z454" s="251">
        <f t="shared" si="28"/>
        <v>0</v>
      </c>
      <c r="AA454" s="251">
        <f t="shared" si="29"/>
        <v>203</v>
      </c>
      <c r="AB454" s="2311"/>
      <c r="AC454" s="2310">
        <f t="shared" si="30"/>
        <v>36</v>
      </c>
      <c r="AD454" s="251">
        <f t="shared" si="31"/>
        <v>373</v>
      </c>
      <c r="AE454" s="251">
        <f t="shared" si="32"/>
        <v>0</v>
      </c>
      <c r="AF454" s="251">
        <f t="shared" si="33"/>
        <v>200</v>
      </c>
      <c r="AG454" s="2312"/>
      <c r="AH454" s="2310">
        <f t="shared" si="34"/>
        <v>39</v>
      </c>
      <c r="AI454" s="251">
        <f t="shared" si="35"/>
        <v>57</v>
      </c>
      <c r="AJ454" s="251">
        <f t="shared" si="36"/>
        <v>0</v>
      </c>
      <c r="AK454" s="251">
        <f t="shared" si="37"/>
        <v>197</v>
      </c>
      <c r="AL454" s="2311"/>
    </row>
    <row r="455" spans="1:38">
      <c r="A455" s="59" t="s">
        <v>341</v>
      </c>
      <c r="B455" s="57">
        <f t="shared" si="19"/>
        <v>1</v>
      </c>
      <c r="C455" s="60">
        <f>IF(B455&lt;&gt;1,"",SUM(B$405:B455))</f>
        <v>51</v>
      </c>
      <c r="D455" s="57">
        <v>51</v>
      </c>
      <c r="E455" s="60" t="s">
        <v>2163</v>
      </c>
      <c r="F455" s="64" t="str">
        <f>IF(COUNTA($A$405:$A455)&lt;=MAX(DS_Counties_Sequence)=TRUE,LOOKUP(COUNTA($A$405:$A455),DS_Counties_Sequence,DS_Counties_DataNames),"")</f>
        <v>Pasco</v>
      </c>
      <c r="G455" s="264" t="s">
        <v>341</v>
      </c>
      <c r="H455" s="68" t="s">
        <v>277</v>
      </c>
      <c r="I455" s="68" t="s">
        <v>278</v>
      </c>
      <c r="J455" s="58"/>
      <c r="K455" s="394" t="s">
        <v>640</v>
      </c>
      <c r="L455" s="251"/>
      <c r="M455" s="58" t="s">
        <v>436</v>
      </c>
      <c r="N455" s="1813">
        <v>0</v>
      </c>
      <c r="O455" s="1813">
        <v>0</v>
      </c>
      <c r="P455" s="1813">
        <v>0</v>
      </c>
      <c r="Q455" s="394">
        <f>IF(M455="Yes",1+MAX(Q$404:Q454),0)</f>
        <v>0</v>
      </c>
      <c r="R455" s="394" t="str">
        <f t="shared" si="20"/>
        <v>No</v>
      </c>
      <c r="S455" s="2310">
        <f t="shared" si="21"/>
        <v>9</v>
      </c>
      <c r="T455" s="251">
        <f t="shared" si="22"/>
        <v>41</v>
      </c>
      <c r="U455" s="251">
        <f t="shared" si="23"/>
        <v>0</v>
      </c>
      <c r="V455" s="251">
        <f t="shared" si="24"/>
        <v>70</v>
      </c>
      <c r="W455" s="2311">
        <f t="shared" si="25"/>
        <v>0</v>
      </c>
      <c r="X455" s="251">
        <f t="shared" si="26"/>
        <v>7</v>
      </c>
      <c r="Y455" s="251">
        <f t="shared" si="27"/>
        <v>33</v>
      </c>
      <c r="Z455" s="251">
        <f t="shared" si="28"/>
        <v>0</v>
      </c>
      <c r="AA455" s="251">
        <f t="shared" si="29"/>
        <v>75</v>
      </c>
      <c r="AB455" s="2311"/>
      <c r="AC455" s="2310">
        <f t="shared" si="30"/>
        <v>8</v>
      </c>
      <c r="AD455" s="251">
        <f t="shared" si="31"/>
        <v>131</v>
      </c>
      <c r="AE455" s="251">
        <f t="shared" si="32"/>
        <v>0</v>
      </c>
      <c r="AF455" s="251">
        <f t="shared" si="33"/>
        <v>73</v>
      </c>
      <c r="AG455" s="2312"/>
      <c r="AH455" s="2310">
        <f t="shared" si="34"/>
        <v>8</v>
      </c>
      <c r="AI455" s="251">
        <f t="shared" si="35"/>
        <v>44</v>
      </c>
      <c r="AJ455" s="251">
        <f t="shared" si="36"/>
        <v>0</v>
      </c>
      <c r="AK455" s="251">
        <f t="shared" si="37"/>
        <v>73</v>
      </c>
      <c r="AL455" s="2311"/>
    </row>
    <row r="456" spans="1:38">
      <c r="A456" s="59" t="s">
        <v>342</v>
      </c>
      <c r="B456" s="57">
        <f t="shared" si="19"/>
        <v>1</v>
      </c>
      <c r="C456" s="60">
        <f>IF(B456&lt;&gt;1,"",SUM(B$405:B456))</f>
        <v>52</v>
      </c>
      <c r="D456" s="57">
        <v>52</v>
      </c>
      <c r="E456" s="60" t="s">
        <v>2163</v>
      </c>
      <c r="F456" s="64" t="str">
        <f>IF(COUNTA($A$405:$A456)&lt;=MAX(DS_Counties_Sequence)=TRUE,LOOKUP(COUNTA($A$405:$A456),DS_Counties_Sequence,DS_Counties_DataNames),"")</f>
        <v>Pinellas</v>
      </c>
      <c r="G456" s="264" t="s">
        <v>342</v>
      </c>
      <c r="H456" s="68" t="s">
        <v>290</v>
      </c>
      <c r="I456" s="68" t="s">
        <v>343</v>
      </c>
      <c r="J456" s="58"/>
      <c r="K456" s="394" t="s">
        <v>640</v>
      </c>
      <c r="L456" s="251"/>
      <c r="M456" s="58" t="s">
        <v>436</v>
      </c>
      <c r="N456" s="1813">
        <v>0</v>
      </c>
      <c r="O456" s="1813">
        <v>0</v>
      </c>
      <c r="P456" s="1813">
        <v>0</v>
      </c>
      <c r="Q456" s="394">
        <f>IF(M456="Yes",1+MAX(Q$404:Q455),0)</f>
        <v>0</v>
      </c>
      <c r="R456" s="394" t="str">
        <f t="shared" si="20"/>
        <v>No</v>
      </c>
      <c r="S456" s="2310">
        <f t="shared" si="21"/>
        <v>33</v>
      </c>
      <c r="T456" s="251">
        <f t="shared" si="22"/>
        <v>37</v>
      </c>
      <c r="U456" s="251">
        <f t="shared" si="23"/>
        <v>0</v>
      </c>
      <c r="V456" s="251">
        <f t="shared" si="24"/>
        <v>153</v>
      </c>
      <c r="W456" s="2311">
        <f t="shared" si="25"/>
        <v>0</v>
      </c>
      <c r="X456" s="251">
        <f t="shared" si="26"/>
        <v>26</v>
      </c>
      <c r="Y456" s="251">
        <f t="shared" si="27"/>
        <v>29</v>
      </c>
      <c r="Z456" s="251">
        <f t="shared" si="28"/>
        <v>0</v>
      </c>
      <c r="AA456" s="251">
        <f t="shared" si="29"/>
        <v>160</v>
      </c>
      <c r="AB456" s="2311"/>
      <c r="AC456" s="2310">
        <f t="shared" si="30"/>
        <v>40</v>
      </c>
      <c r="AD456" s="251">
        <f t="shared" si="31"/>
        <v>275</v>
      </c>
      <c r="AE456" s="251">
        <f t="shared" si="32"/>
        <v>0</v>
      </c>
      <c r="AF456" s="251">
        <f t="shared" si="33"/>
        <v>164</v>
      </c>
      <c r="AG456" s="2312"/>
      <c r="AH456" s="2310">
        <f t="shared" si="34"/>
        <v>38</v>
      </c>
      <c r="AI456" s="251">
        <f t="shared" si="35"/>
        <v>43</v>
      </c>
      <c r="AJ456" s="251">
        <f t="shared" si="36"/>
        <v>0</v>
      </c>
      <c r="AK456" s="251">
        <f t="shared" si="37"/>
        <v>158</v>
      </c>
      <c r="AL456" s="2311"/>
    </row>
    <row r="457" spans="1:38">
      <c r="A457" s="59" t="s">
        <v>344</v>
      </c>
      <c r="B457" s="57">
        <f t="shared" si="19"/>
        <v>1</v>
      </c>
      <c r="C457" s="60">
        <f>IF(B457&lt;&gt;1,"",SUM(B$405:B457))</f>
        <v>53</v>
      </c>
      <c r="D457" s="57">
        <v>53</v>
      </c>
      <c r="E457" s="60" t="s">
        <v>2161</v>
      </c>
      <c r="F457" s="64" t="str">
        <f>IF(COUNTA($A$405:$A457)&lt;=MAX(DS_Counties_Sequence)=TRUE,LOOKUP(COUNTA($A$405:$A457),DS_Counties_Sequence,DS_Counties_DataNames),"")</f>
        <v>Polk</v>
      </c>
      <c r="G457" s="1798" t="s">
        <v>344</v>
      </c>
      <c r="H457" s="1797" t="s">
        <v>290</v>
      </c>
      <c r="I457" s="1797" t="s">
        <v>343</v>
      </c>
      <c r="J457" s="58"/>
      <c r="K457" s="394" t="s">
        <v>640</v>
      </c>
      <c r="L457" s="251"/>
      <c r="M457" s="58" t="s">
        <v>436</v>
      </c>
      <c r="N457" s="1813">
        <v>0</v>
      </c>
      <c r="O457" s="1813">
        <v>0</v>
      </c>
      <c r="P457" s="1813">
        <v>0</v>
      </c>
      <c r="Q457" s="394">
        <f>IF(M457="Yes",1+MAX(Q$404:Q456),0)</f>
        <v>0</v>
      </c>
      <c r="R457" s="394" t="str">
        <f t="shared" si="20"/>
        <v>No</v>
      </c>
      <c r="S457" s="2310">
        <f t="shared" si="21"/>
        <v>10</v>
      </c>
      <c r="T457" s="251">
        <f t="shared" si="22"/>
        <v>32</v>
      </c>
      <c r="U457" s="251">
        <f t="shared" si="23"/>
        <v>0</v>
      </c>
      <c r="V457" s="251">
        <f t="shared" si="24"/>
        <v>101</v>
      </c>
      <c r="W457" s="2311">
        <f t="shared" si="25"/>
        <v>0</v>
      </c>
      <c r="X457" s="251">
        <f t="shared" si="26"/>
        <v>14</v>
      </c>
      <c r="Y457" s="251">
        <f t="shared" si="27"/>
        <v>39</v>
      </c>
      <c r="Z457" s="251">
        <f t="shared" si="28"/>
        <v>0</v>
      </c>
      <c r="AA457" s="251">
        <f t="shared" si="29"/>
        <v>101</v>
      </c>
      <c r="AB457" s="2311"/>
      <c r="AC457" s="2310">
        <f t="shared" si="30"/>
        <v>10</v>
      </c>
      <c r="AD457" s="251">
        <f t="shared" si="31"/>
        <v>174</v>
      </c>
      <c r="AE457" s="251">
        <f t="shared" si="32"/>
        <v>0</v>
      </c>
      <c r="AF457" s="251">
        <f t="shared" si="33"/>
        <v>100</v>
      </c>
      <c r="AG457" s="2312"/>
      <c r="AH457" s="2310">
        <f t="shared" si="34"/>
        <v>11</v>
      </c>
      <c r="AI457" s="251">
        <f t="shared" si="35"/>
        <v>34</v>
      </c>
      <c r="AJ457" s="251">
        <f t="shared" si="36"/>
        <v>0</v>
      </c>
      <c r="AK457" s="251">
        <f t="shared" si="37"/>
        <v>99</v>
      </c>
      <c r="AL457" s="2311"/>
    </row>
    <row r="458" spans="1:38">
      <c r="A458" s="59" t="s">
        <v>345</v>
      </c>
      <c r="B458" s="57">
        <f t="shared" si="19"/>
        <v>1</v>
      </c>
      <c r="C458" s="60">
        <f>IF(B458&lt;&gt;1,"",SUM(B$405:B458))</f>
        <v>54</v>
      </c>
      <c r="D458" s="57">
        <v>54</v>
      </c>
      <c r="E458" s="376" t="s">
        <v>640</v>
      </c>
      <c r="F458" s="64" t="str">
        <f>IF(COUNTA($A$405:$A458)&lt;=MAX(DS_Counties_Sequence)=TRUE,LOOKUP(COUNTA($A$405:$A458),DS_Counties_Sequence,DS_Counties_DataNames),"")</f>
        <v>Putnam</v>
      </c>
      <c r="G458" s="264" t="s">
        <v>345</v>
      </c>
      <c r="H458" s="68" t="s">
        <v>282</v>
      </c>
      <c r="I458" s="68" t="s">
        <v>299</v>
      </c>
      <c r="J458" s="58">
        <v>3</v>
      </c>
      <c r="K458" s="2316" t="s">
        <v>2210</v>
      </c>
      <c r="L458" s="251"/>
      <c r="M458" s="58" t="s">
        <v>436</v>
      </c>
      <c r="N458" s="1813">
        <v>0</v>
      </c>
      <c r="O458" s="1813">
        <v>0</v>
      </c>
      <c r="P458" s="1813">
        <v>0</v>
      </c>
      <c r="Q458" s="394">
        <f>IF(M458="Yes",1+MAX(Q$404:Q457),0)</f>
        <v>0</v>
      </c>
      <c r="R458" s="394" t="str">
        <f t="shared" si="20"/>
        <v>No</v>
      </c>
      <c r="S458" s="2310">
        <f t="shared" si="21"/>
        <v>0</v>
      </c>
      <c r="T458" s="251">
        <f t="shared" si="22"/>
        <v>0</v>
      </c>
      <c r="U458" s="251">
        <f t="shared" si="23"/>
        <v>9</v>
      </c>
      <c r="V458" s="251">
        <f t="shared" si="24"/>
        <v>6</v>
      </c>
      <c r="W458" s="2311">
        <f t="shared" si="25"/>
        <v>0</v>
      </c>
      <c r="X458" s="251">
        <f t="shared" si="26"/>
        <v>0</v>
      </c>
      <c r="Y458" s="251">
        <f t="shared" si="27"/>
        <v>0</v>
      </c>
      <c r="Z458" s="251">
        <f t="shared" si="28"/>
        <v>7</v>
      </c>
      <c r="AA458" s="251">
        <f t="shared" si="29"/>
        <v>8</v>
      </c>
      <c r="AB458" s="2311"/>
      <c r="AC458" s="2310">
        <f t="shared" si="30"/>
        <v>0</v>
      </c>
      <c r="AD458" s="251">
        <f t="shared" si="31"/>
        <v>0</v>
      </c>
      <c r="AE458" s="251">
        <f t="shared" si="32"/>
        <v>17</v>
      </c>
      <c r="AF458" s="251">
        <f t="shared" si="33"/>
        <v>9</v>
      </c>
      <c r="AG458" s="2312"/>
      <c r="AH458" s="2310">
        <f t="shared" si="34"/>
        <v>0</v>
      </c>
      <c r="AI458" s="251">
        <f t="shared" si="35"/>
        <v>7</v>
      </c>
      <c r="AJ458" s="251">
        <f t="shared" si="36"/>
        <v>7</v>
      </c>
      <c r="AK458" s="251">
        <f t="shared" si="37"/>
        <v>7</v>
      </c>
      <c r="AL458" s="2311"/>
    </row>
    <row r="459" spans="1:38">
      <c r="A459" s="59" t="s">
        <v>346</v>
      </c>
      <c r="B459" s="57">
        <f t="shared" si="19"/>
        <v>1</v>
      </c>
      <c r="C459" s="60">
        <f>IF(B459&lt;&gt;1,"",SUM(B$405:B459))</f>
        <v>55</v>
      </c>
      <c r="D459" s="57">
        <v>55</v>
      </c>
      <c r="E459" s="60" t="s">
        <v>2160</v>
      </c>
      <c r="F459" s="64" t="str">
        <f>IF(COUNTA($A$405:$A459)&lt;=MAX(DS_Counties_Sequence)=TRUE,LOOKUP(COUNTA($A$405:$A459),DS_Counties_Sequence,DS_Counties_DataNames),"")</f>
        <v>Santa Rosa</v>
      </c>
      <c r="G459" s="264" t="s">
        <v>346</v>
      </c>
      <c r="H459" s="68" t="s">
        <v>277</v>
      </c>
      <c r="I459" s="68" t="s">
        <v>164</v>
      </c>
      <c r="J459" s="58"/>
      <c r="K459" s="394" t="s">
        <v>640</v>
      </c>
      <c r="L459" s="251"/>
      <c r="M459" s="58" t="s">
        <v>436</v>
      </c>
      <c r="N459" s="1813">
        <v>0</v>
      </c>
      <c r="O459" s="1813">
        <v>0</v>
      </c>
      <c r="P459" s="1813">
        <v>0</v>
      </c>
      <c r="Q459" s="394">
        <f>IF(M459="Yes",1+MAX(Q$404:Q458),0)</f>
        <v>0</v>
      </c>
      <c r="R459" s="394" t="str">
        <f t="shared" si="20"/>
        <v>No</v>
      </c>
      <c r="S459" s="2310">
        <f t="shared" si="21"/>
        <v>3</v>
      </c>
      <c r="T459" s="251">
        <f t="shared" si="22"/>
        <v>0</v>
      </c>
      <c r="U459" s="251">
        <f t="shared" si="23"/>
        <v>0</v>
      </c>
      <c r="V459" s="251">
        <f t="shared" si="24"/>
        <v>23</v>
      </c>
      <c r="W459" s="2311">
        <f t="shared" si="25"/>
        <v>0</v>
      </c>
      <c r="X459" s="251">
        <f t="shared" si="26"/>
        <v>2</v>
      </c>
      <c r="Y459" s="251">
        <f t="shared" si="27"/>
        <v>1</v>
      </c>
      <c r="Z459" s="251">
        <f t="shared" si="28"/>
        <v>0</v>
      </c>
      <c r="AA459" s="251">
        <f t="shared" si="29"/>
        <v>20</v>
      </c>
      <c r="AB459" s="2311"/>
      <c r="AC459" s="2310">
        <f t="shared" si="30"/>
        <v>2</v>
      </c>
      <c r="AD459" s="251">
        <f t="shared" si="31"/>
        <v>37</v>
      </c>
      <c r="AE459" s="251">
        <f t="shared" si="32"/>
        <v>0</v>
      </c>
      <c r="AF459" s="251">
        <f t="shared" si="33"/>
        <v>21</v>
      </c>
      <c r="AG459" s="2312"/>
      <c r="AH459" s="2310">
        <f t="shared" si="34"/>
        <v>2</v>
      </c>
      <c r="AI459" s="251">
        <f t="shared" si="35"/>
        <v>0</v>
      </c>
      <c r="AJ459" s="251">
        <f t="shared" si="36"/>
        <v>0</v>
      </c>
      <c r="AK459" s="251">
        <f t="shared" si="37"/>
        <v>21</v>
      </c>
      <c r="AL459" s="2311"/>
    </row>
    <row r="460" spans="1:38">
      <c r="A460" s="59" t="s">
        <v>347</v>
      </c>
      <c r="B460" s="57">
        <f t="shared" si="19"/>
        <v>1</v>
      </c>
      <c r="C460" s="60">
        <f>IF(B460&lt;&gt;1,"",SUM(B$405:B460))</f>
        <v>56</v>
      </c>
      <c r="D460" s="57">
        <v>56</v>
      </c>
      <c r="E460" s="60" t="s">
        <v>2163</v>
      </c>
      <c r="F460" s="64" t="str">
        <f>IF(COUNTA($A$405:$A460)&lt;=MAX(DS_Counties_Sequence)=TRUE,LOOKUP(COUNTA($A$405:$A460),DS_Counties_Sequence,DS_Counties_DataNames),"")</f>
        <v>Sarasota</v>
      </c>
      <c r="G460" s="264" t="s">
        <v>347</v>
      </c>
      <c r="H460" s="68" t="s">
        <v>277</v>
      </c>
      <c r="I460" s="68" t="s">
        <v>278</v>
      </c>
      <c r="J460" s="58"/>
      <c r="K460" s="394" t="s">
        <v>640</v>
      </c>
      <c r="L460" s="2317">
        <f>MAX($Q$405:$Q$471)</f>
        <v>3</v>
      </c>
      <c r="M460" s="58" t="s">
        <v>436</v>
      </c>
      <c r="N460" s="1813">
        <v>0</v>
      </c>
      <c r="O460" s="1813">
        <v>0</v>
      </c>
      <c r="P460" s="1813">
        <v>0</v>
      </c>
      <c r="Q460" s="394">
        <f>IF(M460="Yes",1+MAX(Q$404:Q459),0)</f>
        <v>0</v>
      </c>
      <c r="R460" s="394" t="str">
        <f t="shared" si="20"/>
        <v>No</v>
      </c>
      <c r="S460" s="2310">
        <f t="shared" si="21"/>
        <v>14</v>
      </c>
      <c r="T460" s="251">
        <f t="shared" si="22"/>
        <v>6</v>
      </c>
      <c r="U460" s="251">
        <f t="shared" si="23"/>
        <v>0</v>
      </c>
      <c r="V460" s="251">
        <f t="shared" si="24"/>
        <v>74</v>
      </c>
      <c r="W460" s="2311">
        <f t="shared" si="25"/>
        <v>0</v>
      </c>
      <c r="X460" s="251">
        <f t="shared" si="26"/>
        <v>13</v>
      </c>
      <c r="Y460" s="251">
        <f t="shared" si="27"/>
        <v>5</v>
      </c>
      <c r="Z460" s="251">
        <f t="shared" si="28"/>
        <v>0</v>
      </c>
      <c r="AA460" s="251">
        <f t="shared" si="29"/>
        <v>76</v>
      </c>
      <c r="AB460" s="2311"/>
      <c r="AC460" s="2310">
        <f t="shared" si="30"/>
        <v>14</v>
      </c>
      <c r="AD460" s="251">
        <f t="shared" si="31"/>
        <v>123</v>
      </c>
      <c r="AE460" s="251">
        <f t="shared" si="32"/>
        <v>0</v>
      </c>
      <c r="AF460" s="251">
        <f t="shared" si="33"/>
        <v>76</v>
      </c>
      <c r="AG460" s="2312"/>
      <c r="AH460" s="2310">
        <f t="shared" si="34"/>
        <v>14</v>
      </c>
      <c r="AI460" s="251">
        <f t="shared" si="35"/>
        <v>7</v>
      </c>
      <c r="AJ460" s="251">
        <f t="shared" si="36"/>
        <v>0</v>
      </c>
      <c r="AK460" s="251">
        <f t="shared" si="37"/>
        <v>74</v>
      </c>
      <c r="AL460" s="2311"/>
    </row>
    <row r="461" spans="1:38">
      <c r="A461" s="59" t="s">
        <v>348</v>
      </c>
      <c r="B461" s="57">
        <f t="shared" si="19"/>
        <v>1</v>
      </c>
      <c r="C461" s="60">
        <f>IF(B461&lt;&gt;1,"",SUM(B$405:B461))</f>
        <v>57</v>
      </c>
      <c r="D461" s="57">
        <v>57</v>
      </c>
      <c r="E461" s="60" t="s">
        <v>2161</v>
      </c>
      <c r="F461" s="64" t="str">
        <f>IF(COUNTA($A$405:$A461)&lt;=MAX(DS_Counties_Sequence)=TRUE,LOOKUP(COUNTA($A$405:$A461),DS_Counties_Sequence,DS_Counties_DataNames),"")</f>
        <v>Seminole</v>
      </c>
      <c r="G461" s="264" t="s">
        <v>348</v>
      </c>
      <c r="H461" s="68" t="s">
        <v>277</v>
      </c>
      <c r="I461" s="68" t="s">
        <v>278</v>
      </c>
      <c r="J461" s="58"/>
      <c r="K461" s="394" t="s">
        <v>640</v>
      </c>
      <c r="L461" s="818" t="s">
        <v>2060</v>
      </c>
      <c r="M461" s="58" t="s">
        <v>436</v>
      </c>
      <c r="N461" s="1813">
        <v>0</v>
      </c>
      <c r="O461" s="1813">
        <v>0</v>
      </c>
      <c r="P461" s="1813">
        <v>0</v>
      </c>
      <c r="Q461" s="394">
        <f>IF(M461="Yes",1+MAX(Q$404:Q460),0)</f>
        <v>0</v>
      </c>
      <c r="R461" s="394" t="str">
        <f t="shared" si="20"/>
        <v>No</v>
      </c>
      <c r="S461" s="2310">
        <f t="shared" si="21"/>
        <v>7</v>
      </c>
      <c r="T461" s="251">
        <f t="shared" si="22"/>
        <v>7</v>
      </c>
      <c r="U461" s="251">
        <f t="shared" si="23"/>
        <v>0</v>
      </c>
      <c r="V461" s="251">
        <f t="shared" si="24"/>
        <v>53</v>
      </c>
      <c r="W461" s="2311">
        <f t="shared" si="25"/>
        <v>0</v>
      </c>
      <c r="X461" s="251">
        <f t="shared" si="26"/>
        <v>10</v>
      </c>
      <c r="Y461" s="251">
        <f t="shared" si="27"/>
        <v>5</v>
      </c>
      <c r="Z461" s="251">
        <f t="shared" si="28"/>
        <v>0</v>
      </c>
      <c r="AA461" s="251">
        <f t="shared" si="29"/>
        <v>56</v>
      </c>
      <c r="AB461" s="2311"/>
      <c r="AC461" s="2310">
        <f t="shared" si="30"/>
        <v>10</v>
      </c>
      <c r="AD461" s="251">
        <f t="shared" si="31"/>
        <v>89</v>
      </c>
      <c r="AE461" s="251">
        <f t="shared" si="32"/>
        <v>0</v>
      </c>
      <c r="AF461" s="251">
        <f t="shared" si="33"/>
        <v>57</v>
      </c>
      <c r="AG461" s="2312"/>
      <c r="AH461" s="2310">
        <f t="shared" si="34"/>
        <v>9</v>
      </c>
      <c r="AI461" s="251">
        <f t="shared" si="35"/>
        <v>8</v>
      </c>
      <c r="AJ461" s="251">
        <f t="shared" si="36"/>
        <v>0</v>
      </c>
      <c r="AK461" s="251">
        <f t="shared" si="37"/>
        <v>55</v>
      </c>
      <c r="AL461" s="2311"/>
    </row>
    <row r="462" spans="1:38">
      <c r="A462" s="59" t="s">
        <v>349</v>
      </c>
      <c r="B462" s="57">
        <f t="shared" si="19"/>
        <v>1</v>
      </c>
      <c r="C462" s="60">
        <f>IF(B462&lt;&gt;1,"",SUM(B$405:B462))</f>
        <v>58</v>
      </c>
      <c r="D462" s="57">
        <v>58</v>
      </c>
      <c r="E462" s="60" t="s">
        <v>2160</v>
      </c>
      <c r="F462" s="64" t="str">
        <f>IF(COUNTA($A$405:$A462)&lt;=MAX(DS_Counties_Sequence)=TRUE,LOOKUP(COUNTA($A$405:$A462),DS_Counties_Sequence,DS_Counties_DataNames),"")</f>
        <v>St. Johns</v>
      </c>
      <c r="G462" s="264" t="s">
        <v>349</v>
      </c>
      <c r="H462" s="68" t="s">
        <v>277</v>
      </c>
      <c r="I462" s="68" t="s">
        <v>278</v>
      </c>
      <c r="J462" s="58"/>
      <c r="K462" s="394" t="s">
        <v>640</v>
      </c>
      <c r="L462" s="2318" t="str">
        <f>IF(OR(N(MAX($Q$405:$Q$471))=0,N(MAX($Q$405:$Q$471))&lt;COUNTA($L$461:$L461)),"",INDEX(DS_Counties_DataNames,MATCH(COUNTA($L$461:$L461),$Q$405:$Q$471,0)))</f>
        <v>Bradford</v>
      </c>
      <c r="M462" s="58" t="s">
        <v>436</v>
      </c>
      <c r="N462" s="1813">
        <v>0</v>
      </c>
      <c r="O462" s="1813">
        <v>0</v>
      </c>
      <c r="P462" s="1813">
        <v>0</v>
      </c>
      <c r="Q462" s="394">
        <f>IF(M462="Yes",1+MAX(Q$404:Q461),0)</f>
        <v>0</v>
      </c>
      <c r="R462" s="394" t="str">
        <f t="shared" si="20"/>
        <v>No</v>
      </c>
      <c r="S462" s="2310">
        <f t="shared" si="21"/>
        <v>6</v>
      </c>
      <c r="T462" s="251">
        <f t="shared" si="22"/>
        <v>1</v>
      </c>
      <c r="U462" s="251">
        <f t="shared" si="23"/>
        <v>0</v>
      </c>
      <c r="V462" s="251">
        <f t="shared" si="24"/>
        <v>28</v>
      </c>
      <c r="W462" s="2311">
        <f t="shared" si="25"/>
        <v>0</v>
      </c>
      <c r="X462" s="251">
        <f t="shared" si="26"/>
        <v>4</v>
      </c>
      <c r="Y462" s="251">
        <f t="shared" si="27"/>
        <v>3</v>
      </c>
      <c r="Z462" s="251">
        <f t="shared" si="28"/>
        <v>0</v>
      </c>
      <c r="AA462" s="251">
        <f t="shared" si="29"/>
        <v>32</v>
      </c>
      <c r="AB462" s="2311"/>
      <c r="AC462" s="2310">
        <f t="shared" si="30"/>
        <v>4</v>
      </c>
      <c r="AD462" s="251">
        <f t="shared" si="31"/>
        <v>51</v>
      </c>
      <c r="AE462" s="251">
        <f t="shared" si="32"/>
        <v>0</v>
      </c>
      <c r="AF462" s="251">
        <f t="shared" si="33"/>
        <v>31</v>
      </c>
      <c r="AG462" s="2312"/>
      <c r="AH462" s="2310">
        <f t="shared" si="34"/>
        <v>6</v>
      </c>
      <c r="AI462" s="251">
        <f t="shared" si="35"/>
        <v>2</v>
      </c>
      <c r="AJ462" s="251">
        <f t="shared" si="36"/>
        <v>0</v>
      </c>
      <c r="AK462" s="251">
        <f t="shared" si="37"/>
        <v>31</v>
      </c>
      <c r="AL462" s="2311"/>
    </row>
    <row r="463" spans="1:38">
      <c r="A463" s="59" t="s">
        <v>350</v>
      </c>
      <c r="B463" s="57">
        <f t="shared" si="19"/>
        <v>1</v>
      </c>
      <c r="C463" s="60">
        <f>IF(B463&lt;&gt;1,"",SUM(B$405:B463))</f>
        <v>59</v>
      </c>
      <c r="D463" s="57">
        <v>59</v>
      </c>
      <c r="E463" s="60" t="s">
        <v>2161</v>
      </c>
      <c r="F463" s="64" t="str">
        <f>IF(COUNTA($A$405:$A463)&lt;=MAX(DS_Counties_Sequence)=TRUE,LOOKUP(COUNTA($A$405:$A463),DS_Counties_Sequence,DS_Counties_DataNames),"")</f>
        <v>St. Lucie</v>
      </c>
      <c r="G463" s="264" t="s">
        <v>350</v>
      </c>
      <c r="H463" s="68" t="s">
        <v>277</v>
      </c>
      <c r="I463" s="68" t="s">
        <v>278</v>
      </c>
      <c r="J463" s="58"/>
      <c r="K463" s="394" t="s">
        <v>640</v>
      </c>
      <c r="L463" s="2318" t="str">
        <f>IF(OR(N(MAX($Q$405:$Q$471))=0,N(MAX($Q$405:$Q$471))&lt;COUNTA($L$461:$L462)),"",INDEX(DS_Counties_DataNames,MATCH(COUNTA($L$461:$L462),$Q$405:$Q$471,0)))</f>
        <v>Franklin</v>
      </c>
      <c r="M463" s="58" t="s">
        <v>436</v>
      </c>
      <c r="N463" s="1813">
        <v>0</v>
      </c>
      <c r="O463" s="1813">
        <v>0</v>
      </c>
      <c r="P463" s="1813">
        <v>0</v>
      </c>
      <c r="Q463" s="394">
        <f>IF(M463="Yes",1+MAX(Q$404:Q462),0)</f>
        <v>0</v>
      </c>
      <c r="R463" s="394" t="str">
        <f t="shared" si="20"/>
        <v>No</v>
      </c>
      <c r="S463" s="2310">
        <f t="shared" si="21"/>
        <v>6</v>
      </c>
      <c r="T463" s="251">
        <f t="shared" si="22"/>
        <v>9</v>
      </c>
      <c r="U463" s="251">
        <f t="shared" si="23"/>
        <v>0</v>
      </c>
      <c r="V463" s="251">
        <f t="shared" si="24"/>
        <v>35</v>
      </c>
      <c r="W463" s="2311">
        <f t="shared" si="25"/>
        <v>0</v>
      </c>
      <c r="X463" s="251">
        <f t="shared" si="26"/>
        <v>6</v>
      </c>
      <c r="Y463" s="251">
        <f t="shared" si="27"/>
        <v>9</v>
      </c>
      <c r="Z463" s="251">
        <f t="shared" si="28"/>
        <v>0</v>
      </c>
      <c r="AA463" s="251">
        <f t="shared" si="29"/>
        <v>37</v>
      </c>
      <c r="AB463" s="2311"/>
      <c r="AC463" s="2310">
        <f t="shared" si="30"/>
        <v>7</v>
      </c>
      <c r="AD463" s="251">
        <f t="shared" si="31"/>
        <v>68</v>
      </c>
      <c r="AE463" s="251">
        <f t="shared" si="32"/>
        <v>0</v>
      </c>
      <c r="AF463" s="251">
        <f t="shared" si="33"/>
        <v>35</v>
      </c>
      <c r="AG463" s="2312"/>
      <c r="AH463" s="2310">
        <f t="shared" si="34"/>
        <v>6</v>
      </c>
      <c r="AI463" s="251">
        <f t="shared" si="35"/>
        <v>12</v>
      </c>
      <c r="AJ463" s="251">
        <f t="shared" si="36"/>
        <v>0</v>
      </c>
      <c r="AK463" s="251">
        <f t="shared" si="37"/>
        <v>36</v>
      </c>
      <c r="AL463" s="2311"/>
    </row>
    <row r="464" spans="1:38">
      <c r="A464" s="59" t="s">
        <v>351</v>
      </c>
      <c r="B464" s="57">
        <f t="shared" si="19"/>
        <v>1</v>
      </c>
      <c r="C464" s="60">
        <f>IF(B464&lt;&gt;1,"",SUM(B$405:B464))</f>
        <v>60</v>
      </c>
      <c r="D464" s="57">
        <v>60</v>
      </c>
      <c r="E464" s="60" t="s">
        <v>2163</v>
      </c>
      <c r="F464" s="64" t="str">
        <f>IF(COUNTA($A$405:$A464)&lt;=MAX(DS_Counties_Sequence)=TRUE,LOOKUP(COUNTA($A$405:$A464),DS_Counties_Sequence,DS_Counties_DataNames),"")</f>
        <v>Sumter</v>
      </c>
      <c r="G464" s="264" t="s">
        <v>351</v>
      </c>
      <c r="H464" s="68" t="s">
        <v>277</v>
      </c>
      <c r="I464" s="68" t="s">
        <v>164</v>
      </c>
      <c r="J464" s="58"/>
      <c r="K464" s="394" t="s">
        <v>640</v>
      </c>
      <c r="L464" s="2318" t="str">
        <f>IF(OR(N(MAX($Q$405:$Q$471))=0,N(MAX($Q$405:$Q$471))&lt;COUNTA($L$461:$L463)),"",INDEX(DS_Counties_DataNames,MATCH(COUNTA($L$461:$L463),$Q$405:$Q$471,0)))</f>
        <v>Hamilton</v>
      </c>
      <c r="M464" s="58" t="s">
        <v>436</v>
      </c>
      <c r="N464" s="1813">
        <v>0</v>
      </c>
      <c r="O464" s="1813">
        <v>0</v>
      </c>
      <c r="P464" s="1813">
        <v>0</v>
      </c>
      <c r="Q464" s="394">
        <f>IF(M464="Yes",1+MAX(Q$404:Q463),0)</f>
        <v>0</v>
      </c>
      <c r="R464" s="394" t="str">
        <f t="shared" si="20"/>
        <v>No</v>
      </c>
      <c r="S464" s="2310">
        <f t="shared" si="21"/>
        <v>2</v>
      </c>
      <c r="T464" s="251">
        <f t="shared" si="22"/>
        <v>1</v>
      </c>
      <c r="U464" s="251">
        <f t="shared" si="23"/>
        <v>0</v>
      </c>
      <c r="V464" s="251">
        <f t="shared" si="24"/>
        <v>13</v>
      </c>
      <c r="W464" s="2311">
        <f t="shared" si="25"/>
        <v>0</v>
      </c>
      <c r="X464" s="251">
        <f t="shared" si="26"/>
        <v>1</v>
      </c>
      <c r="Y464" s="251">
        <f t="shared" si="27"/>
        <v>0</v>
      </c>
      <c r="Z464" s="251">
        <f t="shared" si="28"/>
        <v>0</v>
      </c>
      <c r="AA464" s="251">
        <f t="shared" si="29"/>
        <v>15</v>
      </c>
      <c r="AB464" s="2311"/>
      <c r="AC464" s="2310">
        <f t="shared" si="30"/>
        <v>1</v>
      </c>
      <c r="AD464" s="251">
        <f t="shared" si="31"/>
        <v>28</v>
      </c>
      <c r="AE464" s="251">
        <f t="shared" si="32"/>
        <v>0</v>
      </c>
      <c r="AF464" s="251">
        <f t="shared" si="33"/>
        <v>15</v>
      </c>
      <c r="AG464" s="2312"/>
      <c r="AH464" s="2310">
        <f t="shared" si="34"/>
        <v>1</v>
      </c>
      <c r="AI464" s="251">
        <f t="shared" si="35"/>
        <v>2</v>
      </c>
      <c r="AJ464" s="251">
        <f t="shared" si="36"/>
        <v>0</v>
      </c>
      <c r="AK464" s="251">
        <f t="shared" si="37"/>
        <v>13</v>
      </c>
      <c r="AL464" s="2311"/>
    </row>
    <row r="465" spans="1:38">
      <c r="A465" s="59" t="s">
        <v>352</v>
      </c>
      <c r="B465" s="57">
        <f t="shared" si="19"/>
        <v>1</v>
      </c>
      <c r="C465" s="60">
        <f>IF(B465&lt;&gt;1,"",SUM(B$405:B465))</f>
        <v>61</v>
      </c>
      <c r="D465" s="57">
        <v>61</v>
      </c>
      <c r="E465" s="376" t="s">
        <v>640</v>
      </c>
      <c r="F465" s="64" t="str">
        <f>IF(COUNTA($A$405:$A465)&lt;=MAX(DS_Counties_Sequence)=TRUE,LOOKUP(COUNTA($A$405:$A465),DS_Counties_Sequence,DS_Counties_DataNames),"")</f>
        <v>Suwannee</v>
      </c>
      <c r="G465" s="264" t="s">
        <v>352</v>
      </c>
      <c r="H465" s="68" t="s">
        <v>282</v>
      </c>
      <c r="I465" s="68" t="s">
        <v>283</v>
      </c>
      <c r="J465" s="58">
        <v>1</v>
      </c>
      <c r="K465" s="2316" t="s">
        <v>2210</v>
      </c>
      <c r="L465" s="2318" t="str">
        <f>IF(OR(N(MAX($Q$405:$Q$471))=0,N(MAX($Q$405:$Q$471))&lt;COUNTA($L$461:$L464)),"",INDEX(DS_Counties_DataNames,MATCH(COUNTA($L$461:$L464),$Q$405:$Q$471,0)))</f>
        <v/>
      </c>
      <c r="M465" s="58" t="s">
        <v>436</v>
      </c>
      <c r="N465" s="1813">
        <v>0</v>
      </c>
      <c r="O465" s="1813">
        <v>0</v>
      </c>
      <c r="P465" s="1813">
        <v>0</v>
      </c>
      <c r="Q465" s="394">
        <f>IF(M465="Yes",1+MAX(Q$404:Q464),0)</f>
        <v>0</v>
      </c>
      <c r="R465" s="394" t="str">
        <f t="shared" si="20"/>
        <v>No</v>
      </c>
      <c r="S465" s="2310">
        <f t="shared" si="21"/>
        <v>0</v>
      </c>
      <c r="T465" s="251">
        <f t="shared" si="22"/>
        <v>0</v>
      </c>
      <c r="U465" s="251">
        <f t="shared" si="23"/>
        <v>0</v>
      </c>
      <c r="V465" s="251">
        <f t="shared" si="24"/>
        <v>6</v>
      </c>
      <c r="W465" s="2311">
        <f t="shared" si="25"/>
        <v>0</v>
      </c>
      <c r="X465" s="251">
        <f t="shared" si="26"/>
        <v>0</v>
      </c>
      <c r="Y465" s="251">
        <f t="shared" si="27"/>
        <v>0</v>
      </c>
      <c r="Z465" s="251">
        <f t="shared" si="28"/>
        <v>0</v>
      </c>
      <c r="AA465" s="251">
        <f t="shared" si="29"/>
        <v>8</v>
      </c>
      <c r="AB465" s="2311"/>
      <c r="AC465" s="2310">
        <f t="shared" si="30"/>
        <v>0</v>
      </c>
      <c r="AD465" s="251">
        <f t="shared" si="31"/>
        <v>0</v>
      </c>
      <c r="AE465" s="251">
        <f t="shared" si="32"/>
        <v>11</v>
      </c>
      <c r="AF465" s="251">
        <f t="shared" si="33"/>
        <v>8</v>
      </c>
      <c r="AG465" s="2312"/>
      <c r="AH465" s="2310">
        <f t="shared" si="34"/>
        <v>0</v>
      </c>
      <c r="AI465" s="251">
        <f t="shared" si="35"/>
        <v>0</v>
      </c>
      <c r="AJ465" s="251">
        <f t="shared" si="36"/>
        <v>0</v>
      </c>
      <c r="AK465" s="251">
        <f t="shared" si="37"/>
        <v>6</v>
      </c>
      <c r="AL465" s="2311"/>
    </row>
    <row r="466" spans="1:38">
      <c r="A466" s="59" t="s">
        <v>353</v>
      </c>
      <c r="B466" s="57">
        <f t="shared" si="19"/>
        <v>1</v>
      </c>
      <c r="C466" s="60">
        <f>IF(B466&lt;&gt;1,"",SUM(B$405:B466))</f>
        <v>62</v>
      </c>
      <c r="D466" s="57">
        <v>62</v>
      </c>
      <c r="E466" s="376" t="s">
        <v>640</v>
      </c>
      <c r="F466" s="64" t="str">
        <f>IF(COUNTA($A$405:$A466)&lt;=MAX(DS_Counties_Sequence)=TRUE,LOOKUP(COUNTA($A$405:$A466),DS_Counties_Sequence,DS_Counties_DataNames),"")</f>
        <v>Taylor</v>
      </c>
      <c r="G466" s="264" t="s">
        <v>353</v>
      </c>
      <c r="H466" s="68" t="s">
        <v>282</v>
      </c>
      <c r="I466" s="68" t="s">
        <v>283</v>
      </c>
      <c r="J466" s="58">
        <v>1</v>
      </c>
      <c r="K466" s="2316" t="s">
        <v>2210</v>
      </c>
      <c r="L466" s="2318" t="str">
        <f>IF(OR(N(MAX($Q$405:$Q$471))=0,N(MAX($Q$405:$Q$471))&lt;COUNTA($L$461:$L465)),"",INDEX(DS_Counties_DataNames,MATCH(COUNTA($L$461:$L465),$Q$405:$Q$471,0)))</f>
        <v/>
      </c>
      <c r="M466" s="58" t="s">
        <v>436</v>
      </c>
      <c r="N466" s="1813">
        <v>0</v>
      </c>
      <c r="O466" s="1813">
        <v>0</v>
      </c>
      <c r="P466" s="1813">
        <v>0</v>
      </c>
      <c r="Q466" s="394">
        <f>IF(M466="Yes",1+MAX(Q$404:Q465),0)</f>
        <v>0</v>
      </c>
      <c r="R466" s="394" t="str">
        <f t="shared" si="20"/>
        <v>No</v>
      </c>
      <c r="S466" s="2310">
        <f t="shared" si="21"/>
        <v>0</v>
      </c>
      <c r="T466" s="251">
        <f t="shared" si="22"/>
        <v>0</v>
      </c>
      <c r="U466" s="251">
        <f t="shared" si="23"/>
        <v>0</v>
      </c>
      <c r="V466" s="251">
        <f t="shared" si="24"/>
        <v>2</v>
      </c>
      <c r="W466" s="2311">
        <f t="shared" si="25"/>
        <v>0</v>
      </c>
      <c r="X466" s="251">
        <f t="shared" si="26"/>
        <v>0</v>
      </c>
      <c r="Y466" s="251">
        <f t="shared" si="27"/>
        <v>0</v>
      </c>
      <c r="Z466" s="251">
        <f t="shared" si="28"/>
        <v>2</v>
      </c>
      <c r="AA466" s="251">
        <f t="shared" si="29"/>
        <v>5</v>
      </c>
      <c r="AB466" s="2311"/>
      <c r="AC466" s="2310">
        <f t="shared" si="30"/>
        <v>0</v>
      </c>
      <c r="AD466" s="251">
        <f t="shared" si="31"/>
        <v>0</v>
      </c>
      <c r="AE466" s="251">
        <f t="shared" si="32"/>
        <v>8</v>
      </c>
      <c r="AF466" s="251">
        <f t="shared" si="33"/>
        <v>4</v>
      </c>
      <c r="AG466" s="2312"/>
      <c r="AH466" s="2310">
        <f t="shared" si="34"/>
        <v>0</v>
      </c>
      <c r="AI466" s="251">
        <f t="shared" si="35"/>
        <v>0</v>
      </c>
      <c r="AJ466" s="251">
        <f t="shared" si="36"/>
        <v>0</v>
      </c>
      <c r="AK466" s="251">
        <f t="shared" si="37"/>
        <v>1</v>
      </c>
      <c r="AL466" s="2311"/>
    </row>
    <row r="467" spans="1:38">
      <c r="A467" s="59" t="s">
        <v>354</v>
      </c>
      <c r="B467" s="57">
        <f t="shared" si="19"/>
        <v>1</v>
      </c>
      <c r="C467" s="60">
        <f>IF(B467&lt;&gt;1,"",SUM(B$405:B467))</f>
        <v>63</v>
      </c>
      <c r="D467" s="57">
        <v>63</v>
      </c>
      <c r="E467" s="376" t="s">
        <v>640</v>
      </c>
      <c r="F467" s="64" t="str">
        <f>IF(COUNTA($A$405:$A467)&lt;=MAX(DS_Counties_Sequence)=TRUE,LOOKUP(COUNTA($A$405:$A467),DS_Counties_Sequence,DS_Counties_DataNames),"")</f>
        <v>Union</v>
      </c>
      <c r="G467" s="264" t="s">
        <v>354</v>
      </c>
      <c r="H467" s="68" t="s">
        <v>282</v>
      </c>
      <c r="I467" s="68" t="s">
        <v>293</v>
      </c>
      <c r="J467" s="58">
        <v>3</v>
      </c>
      <c r="K467" s="2316" t="s">
        <v>2210</v>
      </c>
      <c r="L467" s="2318" t="str">
        <f>IF(OR(N(MAX($Q$405:$Q$471))=0,N(MAX($Q$405:$Q$471))&lt;COUNTA($L$461:$L466)),"",INDEX(DS_Counties_DataNames,MATCH(COUNTA($L$461:$L466),$Q$405:$Q$471,0)))</f>
        <v/>
      </c>
      <c r="M467" s="58" t="s">
        <v>436</v>
      </c>
      <c r="N467" s="1813">
        <v>0</v>
      </c>
      <c r="O467" s="1813">
        <v>0</v>
      </c>
      <c r="P467" s="1813">
        <v>0</v>
      </c>
      <c r="Q467" s="394">
        <f>IF(M467="Yes",1+MAX(Q$404:Q466),0)</f>
        <v>0</v>
      </c>
      <c r="R467" s="394" t="str">
        <f t="shared" si="20"/>
        <v>No</v>
      </c>
      <c r="S467" s="2310">
        <f t="shared" si="21"/>
        <v>0</v>
      </c>
      <c r="T467" s="251">
        <f t="shared" si="22"/>
        <v>0</v>
      </c>
      <c r="U467" s="251">
        <f t="shared" si="23"/>
        <v>0</v>
      </c>
      <c r="V467" s="251">
        <f t="shared" si="24"/>
        <v>1</v>
      </c>
      <c r="W467" s="2311">
        <f t="shared" si="25"/>
        <v>0</v>
      </c>
      <c r="X467" s="251">
        <f t="shared" si="26"/>
        <v>0</v>
      </c>
      <c r="Y467" s="251">
        <f t="shared" si="27"/>
        <v>0</v>
      </c>
      <c r="Z467" s="251">
        <f t="shared" si="28"/>
        <v>0</v>
      </c>
      <c r="AA467" s="251">
        <f t="shared" si="29"/>
        <v>3</v>
      </c>
      <c r="AB467" s="2311"/>
      <c r="AC467" s="2310">
        <f t="shared" si="30"/>
        <v>0</v>
      </c>
      <c r="AD467" s="251">
        <f t="shared" si="31"/>
        <v>0</v>
      </c>
      <c r="AE467" s="251">
        <f t="shared" si="32"/>
        <v>4</v>
      </c>
      <c r="AF467" s="251">
        <f t="shared" si="33"/>
        <v>3</v>
      </c>
      <c r="AG467" s="2312"/>
      <c r="AH467" s="2310">
        <f t="shared" si="34"/>
        <v>0</v>
      </c>
      <c r="AI467" s="251">
        <f t="shared" si="35"/>
        <v>0</v>
      </c>
      <c r="AJ467" s="251">
        <f t="shared" si="36"/>
        <v>0</v>
      </c>
      <c r="AK467" s="251">
        <f t="shared" si="37"/>
        <v>2</v>
      </c>
      <c r="AL467" s="2311"/>
    </row>
    <row r="468" spans="1:38">
      <c r="A468" s="59" t="s">
        <v>355</v>
      </c>
      <c r="B468" s="57">
        <f t="shared" si="19"/>
        <v>1</v>
      </c>
      <c r="C468" s="60">
        <f>IF(B468&lt;&gt;1,"",SUM(B$405:B468))</f>
        <v>64</v>
      </c>
      <c r="D468" s="57">
        <v>64</v>
      </c>
      <c r="E468" s="60" t="s">
        <v>2160</v>
      </c>
      <c r="F468" s="64" t="str">
        <f>IF(COUNTA($A$405:$A468)&lt;=MAX(DS_Counties_Sequence)=TRUE,LOOKUP(COUNTA($A$405:$A468),DS_Counties_Sequence,DS_Counties_DataNames),"")</f>
        <v>Volusia</v>
      </c>
      <c r="G468" s="264" t="s">
        <v>355</v>
      </c>
      <c r="H468" s="68" t="s">
        <v>277</v>
      </c>
      <c r="I468" s="68" t="s">
        <v>278</v>
      </c>
      <c r="J468" s="58"/>
      <c r="K468" s="394" t="s">
        <v>640</v>
      </c>
      <c r="L468" s="2318" t="str">
        <f>IF(OR(N(MAX($Q$405:$Q$471))=0,N(MAX($Q$405:$Q$471))&lt;COUNTA($L$461:$L467)),"",INDEX(DS_Counties_DataNames,MATCH(COUNTA($L$461:$L467),$Q$405:$Q$471,0)))</f>
        <v/>
      </c>
      <c r="M468" s="58" t="s">
        <v>436</v>
      </c>
      <c r="N468" s="1813">
        <v>0</v>
      </c>
      <c r="O468" s="1813">
        <v>0</v>
      </c>
      <c r="P468" s="1813">
        <v>0</v>
      </c>
      <c r="Q468" s="394">
        <f>IF(M468="Yes",1+MAX(Q$404:Q467),0)</f>
        <v>0</v>
      </c>
      <c r="R468" s="394" t="str">
        <f t="shared" si="20"/>
        <v>No</v>
      </c>
      <c r="S468" s="2310">
        <f t="shared" si="21"/>
        <v>15</v>
      </c>
      <c r="T468" s="251">
        <f t="shared" si="22"/>
        <v>19</v>
      </c>
      <c r="U468" s="251">
        <f t="shared" si="23"/>
        <v>0</v>
      </c>
      <c r="V468" s="251">
        <f t="shared" si="24"/>
        <v>76</v>
      </c>
      <c r="W468" s="2311">
        <f t="shared" si="25"/>
        <v>0</v>
      </c>
      <c r="X468" s="251">
        <f t="shared" si="26"/>
        <v>6</v>
      </c>
      <c r="Y468" s="251">
        <f t="shared" si="27"/>
        <v>18</v>
      </c>
      <c r="Z468" s="251">
        <f t="shared" si="28"/>
        <v>0</v>
      </c>
      <c r="AA468" s="251">
        <f t="shared" si="29"/>
        <v>81</v>
      </c>
      <c r="AB468" s="2311"/>
      <c r="AC468" s="2310">
        <f t="shared" si="30"/>
        <v>9</v>
      </c>
      <c r="AD468" s="251">
        <f t="shared" si="31"/>
        <v>130</v>
      </c>
      <c r="AE468" s="251">
        <f t="shared" si="32"/>
        <v>0</v>
      </c>
      <c r="AF468" s="251">
        <f t="shared" si="33"/>
        <v>80</v>
      </c>
      <c r="AG468" s="2312"/>
      <c r="AH468" s="2310">
        <f t="shared" si="34"/>
        <v>5</v>
      </c>
      <c r="AI468" s="251">
        <f t="shared" si="35"/>
        <v>18</v>
      </c>
      <c r="AJ468" s="251">
        <f t="shared" si="36"/>
        <v>0</v>
      </c>
      <c r="AK468" s="251">
        <f t="shared" si="37"/>
        <v>79</v>
      </c>
      <c r="AL468" s="2311"/>
    </row>
    <row r="469" spans="1:38">
      <c r="A469" s="59" t="s">
        <v>356</v>
      </c>
      <c r="B469" s="57">
        <f t="shared" si="19"/>
        <v>1</v>
      </c>
      <c r="C469" s="60">
        <f>IF(B469&lt;&gt;1,"",SUM(B$405:B469))</f>
        <v>65</v>
      </c>
      <c r="D469" s="57">
        <v>65</v>
      </c>
      <c r="E469" s="376" t="s">
        <v>640</v>
      </c>
      <c r="F469" s="64" t="str">
        <f>IF(COUNTA($A$405:$A469)&lt;=MAX(DS_Counties_Sequence)=TRUE,LOOKUP(COUNTA($A$405:$A469),DS_Counties_Sequence,DS_Counties_DataNames),"")</f>
        <v>Wakulla</v>
      </c>
      <c r="G469" s="264" t="s">
        <v>356</v>
      </c>
      <c r="H469" s="68" t="s">
        <v>282</v>
      </c>
      <c r="I469" s="68" t="s">
        <v>283</v>
      </c>
      <c r="J469" s="58">
        <v>3</v>
      </c>
      <c r="K469" s="921" t="s">
        <v>2208</v>
      </c>
      <c r="L469" s="2318" t="str">
        <f>IF(OR(N(MAX($Q$405:$Q$471))=0,N(MAX($Q$405:$Q$471))&lt;COUNTA($L$461:$L468)),"",INDEX(DS_Counties_DataNames,MATCH(COUNTA($L$461:$L468),$Q$405:$Q$471,0)))</f>
        <v/>
      </c>
      <c r="M469" s="58" t="s">
        <v>436</v>
      </c>
      <c r="N469" s="1813">
        <v>0</v>
      </c>
      <c r="O469" s="1813">
        <v>0</v>
      </c>
      <c r="P469" s="1813">
        <v>0</v>
      </c>
      <c r="Q469" s="394">
        <f>IF(M469="Yes",1+MAX(Q$404:Q468),0)</f>
        <v>0</v>
      </c>
      <c r="R469" s="394" t="str">
        <f t="shared" ref="R469:R471" si="38">IF(AND(Q469&gt;0,IFERROR(VLOOKUP(A469,DS_Counties_DDMenu,1),"No")&lt;&gt;"No"),"Yes","No")</f>
        <v>No</v>
      </c>
      <c r="S469" s="2310">
        <f t="shared" si="21"/>
        <v>1</v>
      </c>
      <c r="T469" s="251">
        <f t="shared" si="22"/>
        <v>0</v>
      </c>
      <c r="U469" s="251">
        <f t="shared" si="23"/>
        <v>0</v>
      </c>
      <c r="V469" s="251">
        <f t="shared" si="24"/>
        <v>5</v>
      </c>
      <c r="W469" s="2311"/>
      <c r="X469" s="2310">
        <f t="shared" si="26"/>
        <v>1</v>
      </c>
      <c r="Y469" s="251">
        <f t="shared" si="27"/>
        <v>0</v>
      </c>
      <c r="Z469" s="251">
        <f t="shared" si="28"/>
        <v>0</v>
      </c>
      <c r="AA469" s="251">
        <f t="shared" si="29"/>
        <v>6</v>
      </c>
      <c r="AB469" s="2311"/>
      <c r="AC469" s="2310">
        <f t="shared" si="30"/>
        <v>1</v>
      </c>
      <c r="AD469" s="251">
        <f t="shared" si="31"/>
        <v>9</v>
      </c>
      <c r="AE469" s="251">
        <f t="shared" si="32"/>
        <v>0</v>
      </c>
      <c r="AF469" s="251">
        <f t="shared" si="33"/>
        <v>5</v>
      </c>
      <c r="AG469" s="2312"/>
      <c r="AH469" s="2310">
        <f t="shared" si="34"/>
        <v>1</v>
      </c>
      <c r="AI469" s="251">
        <f t="shared" si="35"/>
        <v>0</v>
      </c>
      <c r="AJ469" s="251">
        <f t="shared" si="36"/>
        <v>0</v>
      </c>
      <c r="AK469" s="251">
        <f t="shared" si="37"/>
        <v>6</v>
      </c>
      <c r="AL469" s="2311"/>
    </row>
    <row r="470" spans="1:38">
      <c r="A470" s="59" t="s">
        <v>357</v>
      </c>
      <c r="B470" s="57">
        <f t="shared" si="19"/>
        <v>1</v>
      </c>
      <c r="C470" s="60">
        <f>IF(B470&lt;&gt;1,"",SUM(B$405:B470))</f>
        <v>66</v>
      </c>
      <c r="D470" s="57">
        <v>66</v>
      </c>
      <c r="E470" s="376" t="s">
        <v>640</v>
      </c>
      <c r="F470" s="64" t="str">
        <f>IF(COUNTA($A$405:$A470)&lt;=MAX(DS_Counties_Sequence)=TRUE,LOOKUP(COUNTA($A$405:$A470),DS_Counties_Sequence,DS_Counties_DataNames),"")</f>
        <v>Walton</v>
      </c>
      <c r="G470" s="264" t="s">
        <v>357</v>
      </c>
      <c r="H470" s="68" t="s">
        <v>282</v>
      </c>
      <c r="I470" s="68" t="s">
        <v>299</v>
      </c>
      <c r="J470" s="58" t="s">
        <v>2214</v>
      </c>
      <c r="K470" s="921" t="s">
        <v>2211</v>
      </c>
      <c r="L470" s="2318" t="str">
        <f>IF(OR(N(MAX($Q$405:$Q$471))=0,N(MAX($Q$405:$Q$471))&lt;COUNTA($L$461:$L469)),"",INDEX(DS_Counties_DataNames,MATCH(COUNTA($L$461:$L469),$Q$405:$Q$471,0)))</f>
        <v/>
      </c>
      <c r="M470" s="58" t="s">
        <v>436</v>
      </c>
      <c r="N470" s="1813">
        <v>0</v>
      </c>
      <c r="O470" s="1813">
        <v>0</v>
      </c>
      <c r="P470" s="1813">
        <v>0</v>
      </c>
      <c r="Q470" s="394">
        <f>IF(M470="Yes",1+MAX(Q$404:Q469),0)</f>
        <v>0</v>
      </c>
      <c r="R470" s="394" t="str">
        <f t="shared" si="38"/>
        <v>No</v>
      </c>
      <c r="S470" s="2310">
        <f t="shared" si="21"/>
        <v>4</v>
      </c>
      <c r="T470" s="251">
        <f t="shared" si="22"/>
        <v>1</v>
      </c>
      <c r="U470" s="251">
        <f t="shared" si="23"/>
        <v>0</v>
      </c>
      <c r="V470" s="251">
        <f t="shared" si="24"/>
        <v>10</v>
      </c>
      <c r="W470" s="2311"/>
      <c r="X470" s="2310">
        <f t="shared" si="26"/>
        <v>1</v>
      </c>
      <c r="Y470" s="251">
        <f t="shared" si="27"/>
        <v>1</v>
      </c>
      <c r="Z470" s="251">
        <f t="shared" si="28"/>
        <v>0</v>
      </c>
      <c r="AA470" s="251">
        <f t="shared" si="29"/>
        <v>13</v>
      </c>
      <c r="AB470" s="2311"/>
      <c r="AC470" s="2310">
        <f t="shared" si="30"/>
        <v>2</v>
      </c>
      <c r="AD470" s="251">
        <f t="shared" si="31"/>
        <v>21</v>
      </c>
      <c r="AE470" s="251">
        <f t="shared" si="32"/>
        <v>0</v>
      </c>
      <c r="AF470" s="251">
        <f t="shared" si="33"/>
        <v>10</v>
      </c>
      <c r="AG470" s="2312"/>
      <c r="AH470" s="2310">
        <f t="shared" si="34"/>
        <v>2</v>
      </c>
      <c r="AI470" s="251">
        <f t="shared" si="35"/>
        <v>2</v>
      </c>
      <c r="AJ470" s="251">
        <f t="shared" si="36"/>
        <v>0</v>
      </c>
      <c r="AK470" s="251">
        <f t="shared" si="37"/>
        <v>9</v>
      </c>
      <c r="AL470" s="2311"/>
    </row>
    <row r="471" spans="1:38">
      <c r="A471" s="59" t="s">
        <v>358</v>
      </c>
      <c r="B471" s="57">
        <f t="shared" si="19"/>
        <v>1</v>
      </c>
      <c r="C471" s="60">
        <f>IF(B471&lt;&gt;1,"",SUM(B$405:B471))</f>
        <v>67</v>
      </c>
      <c r="D471" s="57">
        <v>67</v>
      </c>
      <c r="E471" s="376" t="s">
        <v>640</v>
      </c>
      <c r="F471" s="64" t="str">
        <f>IF(COUNTA($A$405:$A471)&lt;=MAX(DS_Counties_Sequence)=TRUE,LOOKUP(COUNTA($A$405:$A471),DS_Counties_Sequence,DS_Counties_DataNames),"")</f>
        <v>Washington</v>
      </c>
      <c r="G471" s="264" t="s">
        <v>358</v>
      </c>
      <c r="H471" s="68" t="s">
        <v>282</v>
      </c>
      <c r="I471" s="68" t="s">
        <v>283</v>
      </c>
      <c r="J471" s="58">
        <v>3</v>
      </c>
      <c r="K471" s="2319" t="s">
        <v>2208</v>
      </c>
      <c r="L471" s="2320" t="str">
        <f>IF(OR(N(MAX($Q$405:$Q$471))=0,N(MAX($Q$405:$Q$471))&lt;COUNTA($L$461:$L470)),"",INDEX(DS_Counties_DataNames,MATCH(COUNTA($L$461:$L470),$Q$405:$Q$471,0)))</f>
        <v/>
      </c>
      <c r="M471" s="58" t="s">
        <v>436</v>
      </c>
      <c r="N471" s="1813">
        <v>0</v>
      </c>
      <c r="O471" s="1813">
        <v>0</v>
      </c>
      <c r="P471" s="1813">
        <v>0</v>
      </c>
      <c r="Q471" s="490">
        <f>IF(M471="Yes",1+MAX(Q$404:Q470),0)</f>
        <v>0</v>
      </c>
      <c r="R471" s="490" t="str">
        <f t="shared" si="38"/>
        <v>No</v>
      </c>
      <c r="S471" s="1399">
        <f t="shared" si="21"/>
        <v>0</v>
      </c>
      <c r="T471" s="2313">
        <f t="shared" si="22"/>
        <v>1</v>
      </c>
      <c r="U471" s="2313">
        <f t="shared" si="23"/>
        <v>0</v>
      </c>
      <c r="V471" s="2313">
        <f t="shared" si="24"/>
        <v>4</v>
      </c>
      <c r="W471" s="2314"/>
      <c r="X471" s="1399">
        <f t="shared" si="26"/>
        <v>0</v>
      </c>
      <c r="Y471" s="2313">
        <f t="shared" si="27"/>
        <v>0</v>
      </c>
      <c r="Z471" s="2313">
        <f t="shared" si="28"/>
        <v>4</v>
      </c>
      <c r="AA471" s="2313">
        <f t="shared" si="29"/>
        <v>5</v>
      </c>
      <c r="AB471" s="2314"/>
      <c r="AC471" s="1399">
        <f t="shared" si="30"/>
        <v>0</v>
      </c>
      <c r="AD471" s="2313">
        <f t="shared" si="31"/>
        <v>0</v>
      </c>
      <c r="AE471" s="2313">
        <f t="shared" si="32"/>
        <v>7</v>
      </c>
      <c r="AF471" s="2313">
        <f t="shared" si="33"/>
        <v>5</v>
      </c>
      <c r="AG471" s="2315"/>
      <c r="AH471" s="1399">
        <f t="shared" si="34"/>
        <v>0</v>
      </c>
      <c r="AI471" s="2313">
        <f t="shared" si="35"/>
        <v>2</v>
      </c>
      <c r="AJ471" s="2313">
        <f t="shared" si="36"/>
        <v>2</v>
      </c>
      <c r="AK471" s="2313">
        <f t="shared" si="37"/>
        <v>5</v>
      </c>
      <c r="AL471" s="2314"/>
    </row>
    <row r="473" spans="1:38" ht="18" customHeight="1">
      <c r="A473" s="531" t="s">
        <v>359</v>
      </c>
      <c r="B473" s="6"/>
      <c r="C473" s="6"/>
      <c r="D473" s="6"/>
      <c r="E473" s="483" t="s">
        <v>360</v>
      </c>
      <c r="F473" s="64" t="s">
        <v>41</v>
      </c>
    </row>
    <row r="474" spans="1:38">
      <c r="F474" s="64" t="s">
        <v>361</v>
      </c>
    </row>
    <row r="475" spans="1:38">
      <c r="F475" s="64" t="s">
        <v>362</v>
      </c>
    </row>
    <row r="477" spans="1:38" ht="18" customHeight="1">
      <c r="A477" s="531" t="s">
        <v>363</v>
      </c>
      <c r="B477" s="6"/>
      <c r="C477" s="6"/>
      <c r="D477" s="6"/>
      <c r="E477" s="483" t="s">
        <v>364</v>
      </c>
      <c r="F477" s="64" t="s">
        <v>41</v>
      </c>
    </row>
    <row r="478" spans="1:38">
      <c r="F478" s="64" t="s">
        <v>365</v>
      </c>
    </row>
    <row r="479" spans="1:38">
      <c r="F479" s="64" t="s">
        <v>366</v>
      </c>
    </row>
    <row r="480" spans="1:38">
      <c r="F480" s="15"/>
      <c r="Z480" s="264" t="s">
        <v>2432</v>
      </c>
    </row>
    <row r="481" spans="1:26">
      <c r="E481" s="483" t="s">
        <v>364</v>
      </c>
      <c r="F481" s="15"/>
      <c r="Z481" s="540"/>
    </row>
    <row r="482" spans="1:26">
      <c r="A482" s="531" t="s">
        <v>2396</v>
      </c>
      <c r="B482" s="532" t="s">
        <v>37</v>
      </c>
      <c r="C482" s="532" t="s">
        <v>38</v>
      </c>
      <c r="D482" s="532" t="s">
        <v>39</v>
      </c>
      <c r="E482" s="532" t="s">
        <v>2409</v>
      </c>
      <c r="F482" s="64" t="s">
        <v>41</v>
      </c>
      <c r="H482" s="444" t="s">
        <v>2418</v>
      </c>
      <c r="Z482" s="540"/>
    </row>
    <row r="483" spans="1:26">
      <c r="A483" t="s">
        <v>2399</v>
      </c>
      <c r="B483" s="57">
        <v>1</v>
      </c>
      <c r="C483" s="60">
        <f>IF(B483&lt;&gt;1,"",SUM(B$483:B483))</f>
        <v>1</v>
      </c>
      <c r="D483" s="57">
        <v>1</v>
      </c>
      <c r="E483" s="1102" t="s">
        <v>2411</v>
      </c>
      <c r="F483" s="64" t="str">
        <f>IF(COUNTA($A$483:$A483)&lt;=MAX(DS_Military_Sequence)=TRUE,LOOKUP(COUNTA($A$483:$A483),DS_Military_Sequence,DS_Military_DataNames),"")</f>
        <v>Bay County - NSA Panama City</v>
      </c>
      <c r="H483" s="823">
        <v>10</v>
      </c>
      <c r="Z483" s="540"/>
    </row>
    <row r="484" spans="1:26">
      <c r="A484" t="s">
        <v>2400</v>
      </c>
      <c r="B484" s="57">
        <v>1</v>
      </c>
      <c r="C484" s="60">
        <f>IF(B484&lt;&gt;1,"",SUM(B$483:B484))</f>
        <v>2</v>
      </c>
      <c r="D484" s="57">
        <v>2</v>
      </c>
      <c r="E484" s="394" t="s">
        <v>2411</v>
      </c>
      <c r="F484" s="64" t="str">
        <f>IF(COUNTA($A$483:$A484)&lt;=MAX(DS_Military_Sequence)=TRUE,LOOKUP(COUNTA($A$483:$A484),DS_Military_Sequence,DS_Military_DataNames),"")</f>
        <v>Bay County - Tyndall AFB</v>
      </c>
      <c r="H484" s="823">
        <v>11</v>
      </c>
      <c r="Z484" s="540"/>
    </row>
    <row r="485" spans="1:26">
      <c r="A485" t="s">
        <v>2581</v>
      </c>
      <c r="B485" s="57">
        <v>1</v>
      </c>
      <c r="C485" s="60">
        <f>IF(B485&lt;&gt;1,"",SUM(B$483:B485))</f>
        <v>3</v>
      </c>
      <c r="D485" s="57">
        <v>3</v>
      </c>
      <c r="E485" s="394" t="s">
        <v>2410</v>
      </c>
      <c r="F485" s="64" t="str">
        <f>IF(COUNTA($A$483:$A485)&lt;=MAX(DS_Military_Sequence)=TRUE,LOOKUP(COUNTA($A$483:$A485),DS_Military_Sequence,DS_Military_DataNames),"")</f>
        <v>Bradford or Clay County - Camp Blanding</v>
      </c>
      <c r="H485" s="823">
        <v>7</v>
      </c>
      <c r="Z485" s="540"/>
    </row>
    <row r="486" spans="1:26">
      <c r="A486" t="s">
        <v>2582</v>
      </c>
      <c r="B486" s="57">
        <v>1</v>
      </c>
      <c r="C486" s="60">
        <f>IF(B486&lt;&gt;1,"",SUM(B$483:B486))</f>
        <v>4</v>
      </c>
      <c r="D486" s="57">
        <v>4</v>
      </c>
      <c r="E486" s="394" t="s">
        <v>2587</v>
      </c>
      <c r="F486" s="64" t="str">
        <f>IF(COUNTA($A$483:$A486)&lt;=MAX(DS_Military_Sequence)=TRUE,LOOKUP(COUNTA($A$483:$A486),DS_Military_Sequence,DS_Military_DataNames),"")</f>
        <v>Brevard County - Patrick Space Force Base</v>
      </c>
      <c r="H486" s="823">
        <v>2</v>
      </c>
      <c r="Z486" s="540"/>
    </row>
    <row r="487" spans="1:26">
      <c r="A487" t="s">
        <v>2583</v>
      </c>
      <c r="B487" s="57">
        <v>1</v>
      </c>
      <c r="C487" s="60">
        <f>IF(B487&lt;&gt;1,"",SUM(B$483:B487))</f>
        <v>5</v>
      </c>
      <c r="D487" s="57">
        <v>5</v>
      </c>
      <c r="E487" s="394" t="s">
        <v>2587</v>
      </c>
      <c r="F487" s="64" t="str">
        <f>IF(COUNTA($A$483:$A487)&lt;=MAX(DS_Military_Sequence)=TRUE,LOOKUP(COUNTA($A$483:$A487),DS_Military_Sequence,DS_Military_DataNames),"")</f>
        <v>Brevard County - Cape Canaveral Space Force Station</v>
      </c>
      <c r="H487" s="823">
        <v>3</v>
      </c>
      <c r="Z487" s="540"/>
    </row>
    <row r="488" spans="1:26">
      <c r="A488" t="s">
        <v>2584</v>
      </c>
      <c r="B488" s="57">
        <v>1</v>
      </c>
      <c r="C488" s="60">
        <f>IF(B488&lt;&gt;1,"",SUM(B$483:B488))</f>
        <v>6</v>
      </c>
      <c r="D488" s="57">
        <v>6</v>
      </c>
      <c r="E488" s="394" t="s">
        <v>2587</v>
      </c>
      <c r="F488" s="64" t="str">
        <f>IF(COUNTA($A$483:$A488)&lt;=MAX(DS_Military_Sequence)=TRUE,LOOKUP(COUNTA($A$483:$A488),DS_Military_Sequence,DS_Military_DataNames),"")</f>
        <v>Brevard County - Naval Ordnance Test Unit</v>
      </c>
      <c r="H488" s="823">
        <v>4</v>
      </c>
      <c r="Z488" s="540"/>
    </row>
    <row r="489" spans="1:26">
      <c r="A489" t="s">
        <v>2397</v>
      </c>
      <c r="B489" s="57">
        <v>1</v>
      </c>
      <c r="C489" s="60">
        <f>IF(B489&lt;&gt;1,"",SUM(B$483:B489))</f>
        <v>7</v>
      </c>
      <c r="D489" s="57">
        <v>7</v>
      </c>
      <c r="E489" s="394" t="s">
        <v>2410</v>
      </c>
      <c r="F489" s="64" t="str">
        <f>IF(COUNTA($A$483:$A489)&lt;=MAX(DS_Military_Sequence)=TRUE,LOOKUP(COUNTA($A$483:$A489),DS_Military_Sequence,DS_Military_DataNames),"")</f>
        <v>Duval County - NAS Jacksonville</v>
      </c>
      <c r="H489" s="823">
        <v>8</v>
      </c>
      <c r="Z489" s="540"/>
    </row>
    <row r="490" spans="1:26">
      <c r="A490" t="s">
        <v>2398</v>
      </c>
      <c r="B490" s="57">
        <v>1</v>
      </c>
      <c r="C490" s="60">
        <f>IF(B490&lt;&gt;1,"",SUM(B$483:B490))</f>
        <v>8</v>
      </c>
      <c r="D490" s="57">
        <v>8</v>
      </c>
      <c r="E490" s="394" t="s">
        <v>2410</v>
      </c>
      <c r="F490" s="64" t="str">
        <f>IF(COUNTA($A$483:$A490)&lt;=MAX(DS_Military_Sequence)=TRUE,LOOKUP(COUNTA($A$483:$A490),DS_Military_Sequence,DS_Military_DataNames),"")</f>
        <v>Duval County - NS Mayport</v>
      </c>
      <c r="H490" s="823">
        <v>9</v>
      </c>
      <c r="Z490" s="540"/>
    </row>
    <row r="491" spans="1:26">
      <c r="A491" t="s">
        <v>2401</v>
      </c>
      <c r="B491" s="57">
        <v>1</v>
      </c>
      <c r="C491" s="60">
        <f>IF(B491&lt;&gt;1,"",SUM(B$483:B491))</f>
        <v>9</v>
      </c>
      <c r="D491" s="57">
        <v>9</v>
      </c>
      <c r="E491" s="394" t="s">
        <v>2411</v>
      </c>
      <c r="F491" s="64" t="str">
        <f>IF(COUNTA($A$483:$A491)&lt;=MAX(DS_Military_Sequence)=TRUE,LOOKUP(COUNTA($A$483:$A491),DS_Military_Sequence,DS_Military_DataNames),"")</f>
        <v>Escambia County - NAS Pensacola</v>
      </c>
      <c r="H491" s="823">
        <v>12</v>
      </c>
      <c r="Z491" s="540"/>
    </row>
    <row r="492" spans="1:26">
      <c r="A492" t="s">
        <v>2408</v>
      </c>
      <c r="B492" s="57">
        <v>1</v>
      </c>
      <c r="C492" s="60">
        <f>IF(B492&lt;&gt;1,"",SUM(B$483:B492))</f>
        <v>10</v>
      </c>
      <c r="D492" s="57">
        <v>10</v>
      </c>
      <c r="E492" s="394" t="s">
        <v>2163</v>
      </c>
      <c r="F492" s="64" t="str">
        <f>IF(COUNTA($A$483:$A492)&lt;=MAX(DS_Military_Sequence)=TRUE,LOOKUP(COUNTA($A$483:$A492),DS_Military_Sequence,DS_Military_DataNames),"")</f>
        <v>Hillsborough County - MacDill AFB</v>
      </c>
      <c r="H492" s="823">
        <v>1</v>
      </c>
      <c r="Z492" s="540"/>
    </row>
    <row r="493" spans="1:26">
      <c r="A493" t="s">
        <v>2585</v>
      </c>
      <c r="B493" s="57">
        <v>1</v>
      </c>
      <c r="C493" s="60">
        <f>IF(B493&lt;&gt;1,"",SUM(B$483:B493))</f>
        <v>11</v>
      </c>
      <c r="D493" s="57">
        <v>11</v>
      </c>
      <c r="E493" s="394" t="s">
        <v>2587</v>
      </c>
      <c r="F493" s="64" t="str">
        <f>IF(COUNTA($A$483:$A493)&lt;=MAX(DS_Military_Sequence)=TRUE,LOOKUP(COUNTA($A$483:$A493),DS_Military_Sequence,DS_Military_DataNames),"")</f>
        <v>Lake County - Bugg Spring</v>
      </c>
      <c r="H493" s="823">
        <v>5</v>
      </c>
      <c r="Z493" s="540"/>
    </row>
    <row r="494" spans="1:26">
      <c r="A494" t="s">
        <v>2405</v>
      </c>
      <c r="B494" s="57">
        <v>1</v>
      </c>
      <c r="C494" s="60">
        <f>IF(B494&lt;&gt;1,"",SUM(B$483:B494))</f>
        <v>12</v>
      </c>
      <c r="D494" s="57">
        <v>12</v>
      </c>
      <c r="E494" s="394" t="s">
        <v>2412</v>
      </c>
      <c r="F494" s="64" t="str">
        <f>IF(COUNTA($A$483:$A494)&lt;=MAX(DS_Military_Sequence)=TRUE,LOOKUP(COUNTA($A$483:$A494),DS_Military_Sequence,DS_Military_DataNames),"")</f>
        <v xml:space="preserve">Miami-Dade County - Homestead Air Reserve Base </v>
      </c>
      <c r="H494" s="823">
        <v>16</v>
      </c>
      <c r="Z494" s="540"/>
    </row>
    <row r="495" spans="1:26">
      <c r="A495" t="s">
        <v>2406</v>
      </c>
      <c r="B495" s="57">
        <v>1</v>
      </c>
      <c r="C495" s="60">
        <f>IF(B495&lt;&gt;1,"",SUM(B$483:B495))</f>
        <v>13</v>
      </c>
      <c r="D495" s="57">
        <v>13</v>
      </c>
      <c r="E495" s="394" t="s">
        <v>2412</v>
      </c>
      <c r="F495" s="64" t="str">
        <f>IF(COUNTA($A$483:$A495)&lt;=MAX(DS_Military_Sequence)=TRUE,LOOKUP(COUNTA($A$483:$A495),DS_Military_Sequence,DS_Military_DataNames),"")</f>
        <v xml:space="preserve">Miami-Dade County - US Coast Guard 7th District Base </v>
      </c>
      <c r="H495" s="823">
        <v>17</v>
      </c>
      <c r="Z495" s="540"/>
    </row>
    <row r="496" spans="1:26">
      <c r="A496" t="s">
        <v>2407</v>
      </c>
      <c r="B496" s="57">
        <v>1</v>
      </c>
      <c r="C496" s="60">
        <f>IF(B496&lt;&gt;1,"",SUM(B$483:B496))</f>
        <v>14</v>
      </c>
      <c r="D496" s="57">
        <v>14</v>
      </c>
      <c r="E496" s="394" t="s">
        <v>2412</v>
      </c>
      <c r="F496" s="64" t="str">
        <f>IF(COUNTA($A$483:$A496)&lt;=MAX(DS_Military_Sequence)=TRUE,LOOKUP(COUNTA($A$483:$A496),DS_Military_Sequence,DS_Military_DataNames),"")</f>
        <v xml:space="preserve">Miami-Dade County - US Southern Command </v>
      </c>
      <c r="H496" s="823">
        <v>18</v>
      </c>
      <c r="Z496" s="540"/>
    </row>
    <row r="497" spans="1:41">
      <c r="A497" t="s">
        <v>2417</v>
      </c>
      <c r="B497" s="57">
        <v>1</v>
      </c>
      <c r="C497" s="60">
        <f>IF(B497&lt;&gt;1,"",SUM(B$483:B497))</f>
        <v>15</v>
      </c>
      <c r="D497" s="57">
        <v>15</v>
      </c>
      <c r="E497" s="394" t="s">
        <v>2412</v>
      </c>
      <c r="F497" s="64" t="str">
        <f>IF(COUNTA($A$483:$A497)&lt;=MAX(DS_Military_Sequence)=TRUE,LOOKUP(COUNTA($A$483:$A497),DS_Military_Sequence,DS_Military_DataNames),"")</f>
        <v>Monroe County - NAS Key West</v>
      </c>
      <c r="H497" s="823">
        <v>19</v>
      </c>
      <c r="Z497" s="540"/>
    </row>
    <row r="498" spans="1:41">
      <c r="A498" t="s">
        <v>2402</v>
      </c>
      <c r="B498" s="57">
        <v>1</v>
      </c>
      <c r="C498" s="60">
        <f>IF(B498&lt;&gt;1,"",SUM(B$483:B498))</f>
        <v>16</v>
      </c>
      <c r="D498" s="57">
        <v>16</v>
      </c>
      <c r="E498" s="394" t="s">
        <v>2411</v>
      </c>
      <c r="F498" s="64" t="str">
        <f>IF(COUNTA($A$483:$A498)&lt;=MAX(DS_Military_Sequence)=TRUE,LOOKUP(COUNTA($A$483:$A498),DS_Military_Sequence,DS_Military_DataNames),"")</f>
        <v>Okaloosa County - Eglin AFB</v>
      </c>
      <c r="H498" s="823">
        <v>13</v>
      </c>
      <c r="Z498" s="540"/>
    </row>
    <row r="499" spans="1:41">
      <c r="A499" t="s">
        <v>2403</v>
      </c>
      <c r="B499" s="57">
        <v>1</v>
      </c>
      <c r="C499" s="60">
        <f>IF(B499&lt;&gt;1,"",SUM(B$483:B499))</f>
        <v>17</v>
      </c>
      <c r="D499" s="57">
        <v>17</v>
      </c>
      <c r="E499" s="394" t="s">
        <v>2411</v>
      </c>
      <c r="F499" s="64" t="str">
        <f>IF(COUNTA($A$483:$A499)&lt;=MAX(DS_Military_Sequence)=TRUE,LOOKUP(COUNTA($A$483:$A499),DS_Military_Sequence,DS_Military_DataNames),"")</f>
        <v>Okaloosa County - Hurlburt Field</v>
      </c>
      <c r="H499" s="823">
        <v>14</v>
      </c>
      <c r="Z499" s="540"/>
    </row>
    <row r="500" spans="1:41">
      <c r="A500" t="s">
        <v>2586</v>
      </c>
      <c r="B500" s="57">
        <v>1</v>
      </c>
      <c r="C500" s="60">
        <f>IF(B500&lt;&gt;1,"",SUM(B$483:B500))</f>
        <v>18</v>
      </c>
      <c r="D500" s="57">
        <v>18</v>
      </c>
      <c r="E500" s="394" t="s">
        <v>2587</v>
      </c>
      <c r="F500" s="64" t="str">
        <f>IF(COUNTA($A$483:$A500)&lt;=MAX(DS_Military_Sequence)=TRUE,LOOKUP(COUNTA($A$483:$A500),DS_Military_Sequence,DS_Military_DataNames),"")</f>
        <v>Orange County - Naval Suppport Activity Orlando</v>
      </c>
      <c r="H500" s="823">
        <v>6</v>
      </c>
      <c r="Z500" s="540"/>
    </row>
    <row r="501" spans="1:41">
      <c r="A501" t="s">
        <v>2404</v>
      </c>
      <c r="B501" s="57">
        <v>1</v>
      </c>
      <c r="C501" s="60">
        <f>IF(B501&lt;&gt;1,"",SUM(B$483:B501))</f>
        <v>19</v>
      </c>
      <c r="D501" s="57">
        <v>19</v>
      </c>
      <c r="E501" s="394" t="s">
        <v>2411</v>
      </c>
      <c r="F501" s="64" t="str">
        <f>IF(COUNTA($A$483:$A501)&lt;=MAX(DS_Military_Sequence)=TRUE,LOOKUP(COUNTA($A$483:$A501),DS_Military_Sequence,DS_Military_DataNames),"")</f>
        <v xml:space="preserve">Santa Rosa County - NAS Whiting Field </v>
      </c>
      <c r="H501" s="823">
        <v>15</v>
      </c>
      <c r="P501" s="264" t="s">
        <v>2651</v>
      </c>
      <c r="Z501" s="540"/>
    </row>
    <row r="502" spans="1:41" ht="16.5" customHeight="1">
      <c r="F502" s="15"/>
      <c r="P502" s="264" t="s">
        <v>2652</v>
      </c>
      <c r="Z502" s="540"/>
      <c r="AH502" s="2959" t="s">
        <v>2657</v>
      </c>
      <c r="AI502" s="2959"/>
      <c r="AJ502" s="2959"/>
      <c r="AK502" s="2959"/>
    </row>
    <row r="503" spans="1:41" ht="18" customHeight="1" thickBot="1">
      <c r="A503" s="531" t="s">
        <v>379</v>
      </c>
      <c r="B503" s="6"/>
      <c r="C503" s="6"/>
      <c r="D503" s="6"/>
      <c r="E503" s="483" t="s">
        <v>380</v>
      </c>
      <c r="F503" s="543" t="s">
        <v>381</v>
      </c>
      <c r="G503" s="528" t="s">
        <v>282</v>
      </c>
      <c r="H503" s="528" t="s">
        <v>1518</v>
      </c>
      <c r="I503" s="528" t="s">
        <v>382</v>
      </c>
      <c r="J503" s="528" t="s">
        <v>383</v>
      </c>
      <c r="K503" s="528" t="s">
        <v>1527</v>
      </c>
      <c r="L503" s="528" t="s">
        <v>1526</v>
      </c>
      <c r="W503" s="264" t="s">
        <v>2431</v>
      </c>
      <c r="AH503" s="2959"/>
      <c r="AI503" s="2959"/>
      <c r="AJ503" s="2959"/>
      <c r="AK503" s="2959"/>
    </row>
    <row r="504" spans="1:41" ht="14.65" customHeight="1">
      <c r="A504" s="6" t="s">
        <v>385</v>
      </c>
      <c r="B504" s="874">
        <v>3</v>
      </c>
      <c r="C504" s="956">
        <f>IF(PHA_Prox_boost="Yes",B504,0)</f>
        <v>0</v>
      </c>
      <c r="D504" s="3129">
        <f>C504+C505+C507</f>
        <v>0</v>
      </c>
      <c r="E504" s="483"/>
      <c r="F504" s="957" t="s">
        <v>386</v>
      </c>
      <c r="G504" s="535">
        <v>0.3</v>
      </c>
      <c r="H504" s="535">
        <v>0.3</v>
      </c>
      <c r="I504" s="995">
        <v>2</v>
      </c>
      <c r="J504" s="995">
        <v>4</v>
      </c>
      <c r="K504" s="995">
        <v>6</v>
      </c>
      <c r="L504" s="995">
        <v>6</v>
      </c>
      <c r="M504" s="1058" t="s">
        <v>1522</v>
      </c>
      <c r="O504" s="932"/>
      <c r="P504" s="933">
        <f>SQRT(((((6378137/1000)^2*COS(P506))^2)+(((6356752.3142245/1000)^2*SIN(P506))^2))/((((6378137/1000)*COS(P506))^2)+(((6356752.3142245/1000)*SIN(P506))^2)))/1.609343834</f>
        <v>3960.5661225585404</v>
      </c>
      <c r="Q504" s="934"/>
      <c r="R504" s="934"/>
      <c r="S504" s="934"/>
      <c r="T504" s="934"/>
      <c r="U504" s="934"/>
      <c r="V504" s="934"/>
      <c r="W504" s="934"/>
      <c r="X504" s="934"/>
      <c r="Y504" s="934"/>
      <c r="Z504" s="934"/>
      <c r="AA504" s="934"/>
      <c r="AB504" s="934"/>
      <c r="AC504" s="934"/>
      <c r="AD504" s="934"/>
      <c r="AE504" s="934"/>
      <c r="AF504" s="935"/>
      <c r="AH504" s="2959"/>
      <c r="AI504" s="2959"/>
      <c r="AJ504" s="2959"/>
      <c r="AK504" s="2959"/>
    </row>
    <row r="505" spans="1:41" ht="14.65" customHeight="1">
      <c r="A505" s="6" t="s">
        <v>388</v>
      </c>
      <c r="B505" s="874">
        <v>3</v>
      </c>
      <c r="C505" s="955">
        <f>IF(AND(PHA_Prox_boost&lt;&gt;"Yes",RD_Prox_boost="Yes"),B505,0)</f>
        <v>0</v>
      </c>
      <c r="D505" s="3130"/>
      <c r="E505" s="483"/>
      <c r="F505" s="957" t="s">
        <v>386</v>
      </c>
      <c r="G505" s="536">
        <v>0.75</v>
      </c>
      <c r="H505" s="536">
        <v>0.4</v>
      </c>
      <c r="I505" s="996">
        <v>1.5</v>
      </c>
      <c r="J505" s="996">
        <v>3</v>
      </c>
      <c r="K505" s="996">
        <v>5.5</v>
      </c>
      <c r="L505" s="996">
        <v>5.5</v>
      </c>
      <c r="M505" s="1058" t="s">
        <v>1523</v>
      </c>
      <c r="O505" s="936"/>
      <c r="P505" s="937" t="s">
        <v>377</v>
      </c>
      <c r="Q505" s="6"/>
      <c r="R505" s="6"/>
      <c r="S505" s="6"/>
      <c r="T505" s="6"/>
      <c r="U505" s="6"/>
      <c r="V505" s="6"/>
      <c r="W505" s="6"/>
      <c r="X505" s="6"/>
      <c r="Y505" s="6"/>
      <c r="Z505" s="6"/>
      <c r="AA505" s="6"/>
      <c r="AB505" s="6"/>
      <c r="AC505" s="6"/>
      <c r="AD505" s="6"/>
      <c r="AE505" s="6"/>
      <c r="AF505" s="938"/>
      <c r="AH505" s="1925" t="s">
        <v>2653</v>
      </c>
      <c r="AN505" s="1065" t="s">
        <v>2670</v>
      </c>
      <c r="AO505" s="1065" t="s">
        <v>2671</v>
      </c>
    </row>
    <row r="506" spans="1:41" ht="14.65" customHeight="1">
      <c r="A506" s="398" t="s">
        <v>392</v>
      </c>
      <c r="C506" s="538"/>
      <c r="D506" s="3130"/>
      <c r="E506" s="483"/>
      <c r="F506" s="957" t="s">
        <v>386</v>
      </c>
      <c r="G506" s="546">
        <v>1</v>
      </c>
      <c r="H506" s="546">
        <v>0.5</v>
      </c>
      <c r="I506" s="997">
        <v>1</v>
      </c>
      <c r="J506" s="997">
        <v>2</v>
      </c>
      <c r="K506" s="997">
        <v>5</v>
      </c>
      <c r="L506" s="997">
        <v>5.5</v>
      </c>
      <c r="M506" s="1058" t="s">
        <v>1524</v>
      </c>
      <c r="O506" s="939" t="s">
        <v>378</v>
      </c>
      <c r="P506" s="1064">
        <f>IF(VALUE(DLP_latitude)=0,27.812095,DLP_latitude)</f>
        <v>27.812094999999999</v>
      </c>
      <c r="Q506" s="6"/>
      <c r="R506" s="6"/>
      <c r="S506" s="6"/>
      <c r="T506" s="6"/>
      <c r="U506" s="6"/>
      <c r="V506" s="6"/>
      <c r="X506" s="6"/>
      <c r="Y506" s="6"/>
      <c r="Z506" s="6"/>
      <c r="AA506" s="6"/>
      <c r="AB506" s="6"/>
      <c r="AC506" s="6"/>
      <c r="AD506" s="849" t="s">
        <v>1700</v>
      </c>
      <c r="AE506" s="494">
        <v>6</v>
      </c>
      <c r="AF506" s="938"/>
      <c r="AH506" s="1926" t="s">
        <v>2654</v>
      </c>
      <c r="AK506">
        <v>6378.1369999999997</v>
      </c>
      <c r="AM506" s="849" t="s">
        <v>2660</v>
      </c>
      <c r="AN506" s="1927">
        <f>P507/W$507</f>
        <v>3963.1909999999998</v>
      </c>
      <c r="AO506" s="1927">
        <v>6378.1369999999997</v>
      </c>
    </row>
    <row r="507" spans="1:41" ht="14.65" customHeight="1" thickBot="1">
      <c r="A507" s="6" t="s">
        <v>1501</v>
      </c>
      <c r="B507" s="874">
        <v>6</v>
      </c>
      <c r="C507" s="955">
        <f>MIN(B507,SUM(C508:C512))</f>
        <v>0</v>
      </c>
      <c r="D507" s="3131"/>
      <c r="E507" s="483"/>
      <c r="F507" s="957" t="s">
        <v>386</v>
      </c>
      <c r="G507" s="546">
        <v>1.25</v>
      </c>
      <c r="H507" s="546">
        <v>0.75</v>
      </c>
      <c r="I507" s="996">
        <v>0.5</v>
      </c>
      <c r="J507" s="996">
        <v>1</v>
      </c>
      <c r="K507" s="996">
        <v>4.5</v>
      </c>
      <c r="L507" s="996">
        <v>5</v>
      </c>
      <c r="M507" s="1058" t="s">
        <v>1525</v>
      </c>
      <c r="O507" s="940" t="s">
        <v>384</v>
      </c>
      <c r="P507" s="1063">
        <f>(6378137*1+0*6378800)/1000</f>
        <v>6378.1369999999997</v>
      </c>
      <c r="Q507" s="328">
        <f>P507^2</f>
        <v>40680631.590768993</v>
      </c>
      <c r="R507" s="328">
        <f>Q507*Q508</f>
        <v>-36411455.79754369</v>
      </c>
      <c r="S507" s="328">
        <f>R507^2</f>
        <v>1325794113296478</v>
      </c>
      <c r="T507" s="941"/>
      <c r="U507" s="6"/>
      <c r="V507" s="849" t="s">
        <v>1699</v>
      </c>
      <c r="W507" s="494">
        <f>1.609347*0+0*6356.7523142/3949.9027642+1*6378.137/3963.191</f>
        <v>1.6093438342991797</v>
      </c>
      <c r="Y507" s="6"/>
      <c r="Z507" s="6"/>
      <c r="AA507" s="6"/>
      <c r="AB507" s="823" t="s">
        <v>390</v>
      </c>
      <c r="AC507" s="823" t="s">
        <v>391</v>
      </c>
      <c r="AD507" s="1060" t="s">
        <v>390</v>
      </c>
      <c r="AE507" s="1060" t="s">
        <v>391</v>
      </c>
      <c r="AF507" s="938"/>
      <c r="AH507" s="1926" t="s">
        <v>2655</v>
      </c>
      <c r="AK507">
        <v>6356.7523142245</v>
      </c>
      <c r="AM507" s="849" t="s">
        <v>2661</v>
      </c>
      <c r="AN507" s="1927">
        <f>P509/W$507</f>
        <v>3949.9031709359188</v>
      </c>
      <c r="AO507" s="1927">
        <v>6356.7520000000004</v>
      </c>
    </row>
    <row r="508" spans="1:41" ht="14.65" customHeight="1" thickBot="1">
      <c r="A508" s="94" t="s">
        <v>394</v>
      </c>
      <c r="B508" s="874">
        <v>2</v>
      </c>
      <c r="C508" s="538">
        <f>IF(AND(OR(Demographic="Elderly Non-ALF",Demographic="Elderly ALF"),Private_transportation="Yes"),B508,0)</f>
        <v>0</v>
      </c>
      <c r="D508" s="823"/>
      <c r="E508" s="483"/>
      <c r="F508" s="957" t="s">
        <v>386</v>
      </c>
      <c r="G508" s="1000">
        <f>G507</f>
        <v>1.25</v>
      </c>
      <c r="H508" s="536">
        <v>1</v>
      </c>
      <c r="I508" s="996">
        <v>0</v>
      </c>
      <c r="J508" s="996">
        <v>0</v>
      </c>
      <c r="K508" s="996">
        <v>0</v>
      </c>
      <c r="L508" s="996">
        <v>4.5</v>
      </c>
      <c r="M508" s="1058" t="s">
        <v>1528</v>
      </c>
      <c r="O508" s="939" t="s">
        <v>387</v>
      </c>
      <c r="P508" s="6">
        <f>COS(P$506)</f>
        <v>-0.89505630502074007</v>
      </c>
      <c r="Q508" s="6">
        <f>P508</f>
        <v>-0.89505630502074007</v>
      </c>
      <c r="R508" s="6"/>
      <c r="S508" s="6"/>
      <c r="T508" s="942">
        <f>S507+S509</f>
        <v>1650522031715820.5</v>
      </c>
      <c r="U508" s="6"/>
      <c r="V508" s="6"/>
      <c r="W508" s="6"/>
      <c r="X508" s="6"/>
      <c r="Y508" s="6"/>
      <c r="Z508" s="6"/>
      <c r="AA508" s="6" t="s">
        <v>416</v>
      </c>
      <c r="AB508" s="1937">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$510)</f>
        <v>0</v>
      </c>
      <c r="AC508" s="1072">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$510)</f>
        <v>0</v>
      </c>
      <c r="AD508" s="1069">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$506)</f>
        <v>0</v>
      </c>
      <c r="AE508" s="1066">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$506)</f>
        <v>0</v>
      </c>
      <c r="AF508" s="938"/>
      <c r="AH508" s="1926" t="s">
        <v>2656</v>
      </c>
      <c r="AM508" s="849" t="s">
        <v>2662</v>
      </c>
      <c r="AN508" s="1927">
        <f>6371/W507</f>
        <v>3958.7562733443947</v>
      </c>
      <c r="AO508" s="1927">
        <v>6371</v>
      </c>
    </row>
    <row r="509" spans="1:41" ht="14.65" customHeight="1">
      <c r="A509" s="94" t="s">
        <v>395</v>
      </c>
      <c r="B509" s="874">
        <v>6</v>
      </c>
      <c r="C509" s="538">
        <f>MIN(B509,C529)</f>
        <v>0</v>
      </c>
      <c r="D509" s="823"/>
      <c r="E509" s="483"/>
      <c r="F509" s="951" t="s">
        <v>386</v>
      </c>
      <c r="G509" s="882"/>
      <c r="H509" s="882">
        <f>DS_BS_ML_5</f>
        <v>1</v>
      </c>
      <c r="I509" s="998">
        <v>0</v>
      </c>
      <c r="J509" s="998">
        <v>0</v>
      </c>
      <c r="K509" s="998">
        <v>0</v>
      </c>
      <c r="L509" s="998">
        <v>0</v>
      </c>
      <c r="M509" s="1059" t="s">
        <v>1529</v>
      </c>
      <c r="O509" s="939" t="s">
        <v>389</v>
      </c>
      <c r="P509" s="15">
        <f>6356752.3142245/1000</f>
        <v>6356.7523142245</v>
      </c>
      <c r="Q509" s="6">
        <f>P509^2</f>
        <v>40408299.984398536</v>
      </c>
      <c r="R509" s="6">
        <f>Q509*Q510</f>
        <v>18020208.611981787</v>
      </c>
      <c r="S509" s="6">
        <f>R509^2</f>
        <v>324727918419342.56</v>
      </c>
      <c r="T509" s="942"/>
      <c r="U509" s="6"/>
      <c r="V509" s="1930" t="s">
        <v>390</v>
      </c>
      <c r="W509" s="1931" t="s">
        <v>391</v>
      </c>
      <c r="X509" s="1932"/>
      <c r="Y509" s="6"/>
      <c r="Z509" s="6"/>
      <c r="AA509" s="6" t="s">
        <v>417</v>
      </c>
      <c r="AB509" s="1938">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$510)</f>
        <v>0</v>
      </c>
      <c r="AC509" s="1073">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$510)</f>
        <v>0</v>
      </c>
      <c r="AD509" s="1070">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$506)</f>
        <v>0</v>
      </c>
      <c r="AE509" s="1067">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$506)</f>
        <v>0</v>
      </c>
      <c r="AF509" s="938"/>
    </row>
    <row r="510" spans="1:41" ht="14.65" customHeight="1">
      <c r="A510" s="94" t="s">
        <v>396</v>
      </c>
      <c r="B510" s="874">
        <v>6</v>
      </c>
      <c r="C510" s="538">
        <f>MIN(B510,C532)</f>
        <v>0</v>
      </c>
      <c r="D510" s="823"/>
      <c r="F510" s="957" t="s">
        <v>397</v>
      </c>
      <c r="G510" s="535">
        <v>0.3</v>
      </c>
      <c r="H510" s="930">
        <v>0.3</v>
      </c>
      <c r="I510" s="995">
        <v>6</v>
      </c>
      <c r="K510" s="823"/>
      <c r="L510" s="823">
        <v>1</v>
      </c>
      <c r="M510" s="1058" t="s">
        <v>1512</v>
      </c>
      <c r="O510" s="939" t="s">
        <v>393</v>
      </c>
      <c r="P510" s="6">
        <f>SIN(P$506)</f>
        <v>0.44595314870804531</v>
      </c>
      <c r="Q510" s="6">
        <f>P510</f>
        <v>0.44595314870804531</v>
      </c>
      <c r="R510" s="6"/>
      <c r="S510" s="6"/>
      <c r="T510" s="6"/>
      <c r="U510" s="2966">
        <f>T508/T512</f>
        <v>40626762.705522977</v>
      </c>
      <c r="V510" s="936">
        <f>SQRT(U510)</f>
        <v>6373.9126684888752</v>
      </c>
      <c r="W510" s="6">
        <f>V510/$W$507</f>
        <v>3960.5661218222644</v>
      </c>
      <c r="X510" s="1933" t="s">
        <v>2663</v>
      </c>
      <c r="Y510" s="6"/>
      <c r="Z510" s="6"/>
      <c r="AA510" s="6" t="s">
        <v>418</v>
      </c>
      <c r="AB510" s="1938">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$510)</f>
        <v>0</v>
      </c>
      <c r="AC510" s="1073">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$510)</f>
        <v>0</v>
      </c>
      <c r="AD510" s="1070">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$506)</f>
        <v>0</v>
      </c>
      <c r="AE510" s="1067">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$506)</f>
        <v>0</v>
      </c>
      <c r="AF510" s="938"/>
    </row>
    <row r="511" spans="1:41" ht="14.65" customHeight="1">
      <c r="A511" s="94" t="s">
        <v>398</v>
      </c>
      <c r="B511" s="874">
        <v>6</v>
      </c>
      <c r="C511" s="538">
        <f>MIN(B511,C533)</f>
        <v>0</v>
      </c>
      <c r="D511" s="823"/>
      <c r="F511" s="957" t="s">
        <v>397</v>
      </c>
      <c r="G511" s="535">
        <v>0.75</v>
      </c>
      <c r="H511" s="535">
        <v>0.5</v>
      </c>
      <c r="I511" s="996">
        <v>5.5</v>
      </c>
      <c r="K511" s="823"/>
      <c r="L511" s="823">
        <v>2</v>
      </c>
      <c r="M511" s="1058" t="s">
        <v>1519</v>
      </c>
      <c r="O511" s="944" t="s">
        <v>384</v>
      </c>
      <c r="P511" s="945">
        <f>P507</f>
        <v>6378.1369999999997</v>
      </c>
      <c r="Q511" s="945">
        <f>P511*P512</f>
        <v>-5708.7917361360678</v>
      </c>
      <c r="R511" s="945">
        <f>Q511^2</f>
        <v>32590303.08657546</v>
      </c>
      <c r="S511" s="945"/>
      <c r="T511" s="945"/>
      <c r="U511" s="2967"/>
      <c r="V511" s="936">
        <f>P509</f>
        <v>6356.7523142245</v>
      </c>
      <c r="W511" s="6">
        <f>V511/$W$507</f>
        <v>3949.9031709359188</v>
      </c>
      <c r="X511" s="1933" t="s">
        <v>2664</v>
      </c>
      <c r="Y511" s="6"/>
      <c r="Z511" s="6"/>
      <c r="AA511" s="6" t="s">
        <v>419</v>
      </c>
      <c r="AB511" s="1938">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$510)</f>
        <v>0</v>
      </c>
      <c r="AC511" s="1073">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$510)</f>
        <v>0</v>
      </c>
      <c r="AD511" s="1070">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$506)</f>
        <v>0</v>
      </c>
      <c r="AE511" s="1067">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$506)</f>
        <v>0</v>
      </c>
      <c r="AF511" s="938"/>
    </row>
    <row r="512" spans="1:41" ht="14.65" customHeight="1" thickBot="1">
      <c r="A512" s="94" t="s">
        <v>399</v>
      </c>
      <c r="B512" s="874">
        <v>6</v>
      </c>
      <c r="C512" s="538">
        <f>MIN(B512,C534)</f>
        <v>0</v>
      </c>
      <c r="D512" s="823"/>
      <c r="F512" s="957" t="s">
        <v>397</v>
      </c>
      <c r="G512" s="535">
        <v>1</v>
      </c>
      <c r="H512" s="535">
        <v>0.75</v>
      </c>
      <c r="I512" s="996">
        <v>5</v>
      </c>
      <c r="K512" s="823"/>
      <c r="L512" s="823">
        <v>3</v>
      </c>
      <c r="M512" s="1058" t="s">
        <v>1515</v>
      </c>
      <c r="O512" s="939" t="s">
        <v>387</v>
      </c>
      <c r="P512" s="6">
        <f>COS(P$506)</f>
        <v>-0.89505630502074007</v>
      </c>
      <c r="Q512" s="6"/>
      <c r="R512" s="6"/>
      <c r="S512" s="6"/>
      <c r="T512" s="942">
        <f>R511+R513</f>
        <v>40626471.857464574</v>
      </c>
      <c r="U512" s="6"/>
      <c r="V512" s="1928">
        <f>P507</f>
        <v>6378.1369999999997</v>
      </c>
      <c r="W512" s="1929">
        <f>V512/$W$507</f>
        <v>3963.1909999999998</v>
      </c>
      <c r="X512" s="1934" t="s">
        <v>2665</v>
      </c>
      <c r="Y512" s="6"/>
      <c r="Z512" s="6"/>
      <c r="AA512" s="6" t="s">
        <v>420</v>
      </c>
      <c r="AB512" s="1938">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$510)</f>
        <v>0</v>
      </c>
      <c r="AC512" s="1073">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$510)</f>
        <v>0</v>
      </c>
      <c r="AD512" s="1070">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$506)</f>
        <v>0</v>
      </c>
      <c r="AE512" s="1067">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$506)</f>
        <v>0</v>
      </c>
      <c r="AF512" s="938"/>
    </row>
    <row r="513" spans="1:38" ht="14.65" customHeight="1">
      <c r="A513" s="6" t="s">
        <v>400</v>
      </c>
      <c r="B513" s="874">
        <v>12</v>
      </c>
      <c r="C513" s="539">
        <f>IF(IFERROR(_xlfn.XLOOKUP(5,E536:E539,E536:E539),0)=5,SUMIF(C536:C539,"&lt;&gt;"""),IF(OR(LEFT(DS_GMPPS_Score_Rank,2)="14",LEFT(DS_GMPPS_Score_Rank,2)="24",LEFT(DS_GMPPS_Score_Rank,2)="34"),SUMIF(E536:E539,"&lt;4",C536:C539),IF(OR(LEFT(DS_GMPPS_Distance_Rank,2)="14",LEFT(DS_GMPPS_Distance_Rank,2)="24",LEFT(DS_GMPPS_Distance_Rank,2)="34"),SUMIF(D536:D539,"&lt;4",C536:C539),IF(LEFT(DS_GMPPS_Distance_Rank,2)="33",SUMIF(D$536:D$539,"&lt;3",C$536:C$539)+_xlfn.XLOOKUP(3,D$536:D$539,C$536:C$539,0,0,1),IF(DS_GMPPS_Distance_Rank="1222",SUMIF(D$536:D$539,1,C$536:C$539)+_xlfn.XLOOKUP(2,D$536:D$539,C$536:C$539,0,0,1),_xlfn.XLOOKUP(1,E536:E539,C536:C539,0,0,1)+2*_xlfn.XLOOKUP(2,E536:E539,C536:C539,0,0,1))))))</f>
        <v>0</v>
      </c>
      <c r="D513" s="106"/>
      <c r="F513" s="957" t="s">
        <v>397</v>
      </c>
      <c r="G513" s="535">
        <v>1.25</v>
      </c>
      <c r="H513" s="535">
        <v>1</v>
      </c>
      <c r="I513" s="996">
        <v>4.5</v>
      </c>
      <c r="K513" s="823"/>
      <c r="L513" s="823">
        <v>4</v>
      </c>
      <c r="O513" s="939" t="s">
        <v>389</v>
      </c>
      <c r="P513" s="6">
        <f>P509</f>
        <v>6356.7523142245</v>
      </c>
      <c r="Q513" s="6">
        <f>P513*P514</f>
        <v>2834.8137100855697</v>
      </c>
      <c r="R513" s="6">
        <f>Q513^2</f>
        <v>8036168.7708891127</v>
      </c>
      <c r="S513" s="6"/>
      <c r="T513" s="942"/>
      <c r="U513" s="6"/>
      <c r="V513" s="6"/>
      <c r="W513" s="6"/>
      <c r="X513" s="6"/>
      <c r="Y513" s="6"/>
      <c r="Z513" s="6"/>
      <c r="AA513" s="6" t="s">
        <v>421</v>
      </c>
      <c r="AB513" s="1939">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$510)</f>
        <v>0</v>
      </c>
      <c r="AC513" s="1074">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$510)</f>
        <v>0</v>
      </c>
      <c r="AD513" s="1071">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$506)</f>
        <v>0</v>
      </c>
      <c r="AE513" s="1068">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$506)</f>
        <v>0</v>
      </c>
      <c r="AF513" s="938"/>
      <c r="AG513" s="1936" t="str">
        <f>"Radius ("&amp;IF(AG514&lt;4000,"mi","km")&amp;")"</f>
        <v>Radius (mi)</v>
      </c>
      <c r="AH513" s="1936" t="str">
        <f>"Radius ("&amp;IF(AH514&lt;4000,"mi","km")&amp;")"</f>
        <v>Radius (mi)</v>
      </c>
    </row>
    <row r="514" spans="1:38" ht="14.65" customHeight="1">
      <c r="A514" s="94" t="s">
        <v>401</v>
      </c>
      <c r="B514" s="874">
        <v>4</v>
      </c>
      <c r="C514" s="538"/>
      <c r="D514" s="823"/>
      <c r="F514" s="957" t="s">
        <v>397</v>
      </c>
      <c r="G514" s="535">
        <v>1.5</v>
      </c>
      <c r="H514" s="535">
        <v>1.25</v>
      </c>
      <c r="I514" s="996">
        <v>4</v>
      </c>
      <c r="K514" s="823"/>
      <c r="L514" s="823">
        <v>5</v>
      </c>
      <c r="O514" s="946" t="s">
        <v>393</v>
      </c>
      <c r="P514" s="386">
        <f>SIN(P$506)</f>
        <v>0.44595314870804531</v>
      </c>
      <c r="Q514" s="386"/>
      <c r="R514" s="386"/>
      <c r="S514" s="386"/>
      <c r="T514" s="947"/>
      <c r="V514" s="6"/>
      <c r="W514" s="6"/>
      <c r="X514" s="6"/>
      <c r="Y514" s="6"/>
      <c r="Z514" s="6"/>
      <c r="AA514" s="6"/>
      <c r="AB514" s="6"/>
      <c r="AC514" s="6"/>
      <c r="AD514" s="6"/>
      <c r="AE514" s="6"/>
      <c r="AF514" s="938"/>
      <c r="AG514" s="1935">
        <f>(6371*0+1*ROUND(6371/W507,10))</f>
        <v>3958.7562733444001</v>
      </c>
      <c r="AH514" s="1935">
        <v>3959</v>
      </c>
    </row>
    <row r="515" spans="1:38" ht="14.65" customHeight="1" thickBot="1">
      <c r="A515" s="94" t="s">
        <v>402</v>
      </c>
      <c r="B515" s="874">
        <v>3</v>
      </c>
      <c r="C515" s="538"/>
      <c r="D515" s="823"/>
      <c r="F515" s="957" t="s">
        <v>397</v>
      </c>
      <c r="G515" s="535">
        <v>1.75</v>
      </c>
      <c r="H515" s="535">
        <v>1.5</v>
      </c>
      <c r="I515" s="995">
        <v>3.5</v>
      </c>
      <c r="K515" s="823"/>
      <c r="L515" s="823">
        <v>6</v>
      </c>
      <c r="O515" s="948"/>
      <c r="P515" s="949"/>
      <c r="Q515" s="949"/>
      <c r="R515" s="949"/>
      <c r="S515" s="949"/>
      <c r="T515" s="949"/>
      <c r="U515" s="683"/>
      <c r="V515" s="683"/>
      <c r="W515" s="683"/>
      <c r="X515" s="683"/>
      <c r="Y515" s="683"/>
      <c r="Z515" s="683"/>
      <c r="AA515" s="683"/>
      <c r="AB515" s="683"/>
      <c r="AC515" s="683"/>
      <c r="AD515" s="683"/>
      <c r="AE515" s="683"/>
      <c r="AF515" s="950"/>
      <c r="AG515" s="2960" t="s">
        <v>2668</v>
      </c>
      <c r="AH515" s="2960"/>
      <c r="AI515" s="2960" t="s">
        <v>2673</v>
      </c>
      <c r="AJ515" s="2960"/>
    </row>
    <row r="516" spans="1:38" ht="14.65" customHeight="1">
      <c r="A516" s="10" t="s">
        <v>403</v>
      </c>
      <c r="C516" s="544">
        <f>C$504+C$505+C$507+C$513</f>
        <v>0</v>
      </c>
      <c r="D516" s="823"/>
      <c r="F516" s="957" t="s">
        <v>397</v>
      </c>
      <c r="G516" s="535">
        <v>2</v>
      </c>
      <c r="H516" s="535">
        <v>1.75</v>
      </c>
      <c r="I516" s="996">
        <v>3</v>
      </c>
      <c r="K516" s="823"/>
      <c r="L516" s="823">
        <v>7</v>
      </c>
      <c r="O516" s="934"/>
      <c r="P516" s="934"/>
      <c r="Q516" s="934"/>
      <c r="R516" s="934"/>
      <c r="S516" s="934"/>
      <c r="T516" s="934"/>
      <c r="U516" s="934"/>
      <c r="V516" s="934"/>
      <c r="W516" s="934"/>
      <c r="X516" s="934"/>
      <c r="Y516" s="934"/>
      <c r="Z516" s="43" t="s">
        <v>2648</v>
      </c>
      <c r="AA516" s="849" t="s">
        <v>2650</v>
      </c>
      <c r="AB516" s="1065" t="s">
        <v>2</v>
      </c>
      <c r="AC516" s="1065" t="s">
        <v>3</v>
      </c>
      <c r="AD516" s="1065" t="s">
        <v>2658</v>
      </c>
      <c r="AE516" s="1065" t="s">
        <v>2659</v>
      </c>
      <c r="AF516" s="1065" t="s">
        <v>2649</v>
      </c>
      <c r="AG516" s="1065" t="s">
        <v>2666</v>
      </c>
      <c r="AH516" s="1065" t="s">
        <v>2667</v>
      </c>
      <c r="AI516" s="1065" t="s">
        <v>2672</v>
      </c>
      <c r="AJ516" s="111" t="s">
        <v>2669</v>
      </c>
      <c r="AL516" s="1065"/>
    </row>
    <row r="517" spans="1:38" ht="14.65" customHeight="1">
      <c r="A517" s="398" t="s">
        <v>1534</v>
      </c>
      <c r="D517" s="823"/>
      <c r="F517" s="957" t="s">
        <v>397</v>
      </c>
      <c r="G517" s="535">
        <v>2.5</v>
      </c>
      <c r="H517" s="535">
        <v>2</v>
      </c>
      <c r="I517" s="996">
        <v>2.5</v>
      </c>
      <c r="K517" s="823"/>
      <c r="L517" s="823">
        <v>8</v>
      </c>
      <c r="O517" s="6"/>
      <c r="P517" s="6"/>
      <c r="Q517" s="6"/>
      <c r="R517" s="6"/>
      <c r="S517" s="6"/>
      <c r="T517" s="6"/>
      <c r="U517" s="6"/>
      <c r="V517" s="6"/>
      <c r="W517" s="6"/>
      <c r="X517" s="6"/>
      <c r="Y517" s="6"/>
      <c r="Z517" s="1062">
        <f>AA517-AF517</f>
        <v>2.6863389719425368E-5</v>
      </c>
      <c r="AA517" s="1062">
        <f>IF($AD517=0,0,2*ATAN2(SQRT(1-SIN(ABS($AD517-$AB517)*PI()/180/2)^2+COS($AB517*PI()/180)*COS($AD517*PI()/180)*SIN(ABS($AE517-$AC517)*PI()/180/2)^2),SQRT(SIN(ABS($AD517-$AB517)*PI()/180/2)^2+COS($AB517*PI()/180)*COS($AD517*PI()/180)*SIN(ABS($AE517-$AC517)*PI()/180/2)^2))*SQRT((($AK$506^2*COS(AB517))^2+($AK$507^2*SIN(AB517))^2)/(($AK$506*COS(AB517))^2+($AK$507*SIN(AB517))^2))/$W$507)</f>
        <v>8.5829905472669957E-2</v>
      </c>
      <c r="AB517" s="1447">
        <v>28.766825000000001</v>
      </c>
      <c r="AC517" s="1447">
        <v>-82.550539000000001</v>
      </c>
      <c r="AD517" s="1447">
        <v>28.765781</v>
      </c>
      <c r="AE517" s="1447">
        <v>-82.549772000000004</v>
      </c>
      <c r="AF517" s="1924">
        <v>8.5803042082950531E-2</v>
      </c>
      <c r="AG517" s="849">
        <f>AG$514*2*ASIN(SQRT(SIN((RADIANS(AD517)-RADIANS(AB517))/2)^2+COS(RADIANS(AB517))*COS(RADIANS(AD517))*SIN((RADIANS(AE517)-RADIANS(AC517))/2)^2))</f>
        <v>8.5797755781473639E-2</v>
      </c>
      <c r="AH517">
        <f>ACOS(COS(RADIANS(90-AB517))*COS(RADIANS(90-AD517))+SIN(RADIANS(90-AB517))*SIN(RADIANS(90-AD517))*COS(RADIANS(AC517-AE517)))*3959</f>
        <v>8.5803042082950531E-2</v>
      </c>
      <c r="AI517" s="849">
        <f>IF($AD517=0,0,2*ATAN2(SQRT(1-SIN(ABS($AD517-$AB517)*PI()/180/2)^2+COS($AB517*PI()/180)*COS($AD517*PI()/180)*SIN(ABS($AE517-$AC517)*PI()/180/2)^2),SQRT(SIN(ABS($AD517-$AB517)*PI()/180/2)^2+COS($AB517*PI()/180)*COS($AD517*PI()/180)*SIN(ABS($AE517-$AC517)*PI()/180/2)^2))*SQRT((($AK$506^2*COS(AB517))^2+($AK$507^2*SIN(AB517))^2)/(($AK$506*COS(AB517))^2+($AK$507*SIN(AB517))^2))/$W$507)</f>
        <v>8.5829905472669957E-2</v>
      </c>
      <c r="AJ517" s="1927">
        <f>SQRT((($AK$506^2*COS(AB517))^2+($AK$507^2*SIN(AB517))^2)/(($AK$506*COS(AB517))^2+($AK$507*SIN(AB517))^2))/$W$507</f>
        <v>3960.2396781440812</v>
      </c>
      <c r="AK517" s="849" t="s">
        <v>2674</v>
      </c>
      <c r="AL517" s="849" t="str">
        <f>INT(ABS(AB517))&amp;":"&amp;INT((ABS(AB517)-INT(ABS(AB517)))*60)&amp;":"&amp;ROUND(((ABS(AB517)-INT(ABS(AB517)))*60-INT((ABS(AB517)-INT(ABS(AB517)))*60))*60,2)</f>
        <v>28:46:0.57</v>
      </c>
    </row>
    <row r="518" spans="1:38" ht="14.65" customHeight="1">
      <c r="A518" s="6" t="s">
        <v>404</v>
      </c>
      <c r="B518" s="316">
        <v>10.5</v>
      </c>
      <c r="C518" s="1900" t="str">
        <f>IF(OR(C$516&gt;=IF(AND(County&lt;&gt;"Lee",County&lt;&gt;"Polk",County_Size="Large"),B518,IF(OR(County="Lee",County="Polk",County_Size="Medium"),B519,B520)),LGAO_Designation="Yes",SunRail_Prox_Score="Yes"),"Meets","Fails")</f>
        <v>Fails</v>
      </c>
      <c r="D518" s="106"/>
      <c r="E518" s="528" t="s">
        <v>1539</v>
      </c>
      <c r="F518" s="951" t="s">
        <v>397</v>
      </c>
      <c r="G518" s="537">
        <f>G517</f>
        <v>2.5</v>
      </c>
      <c r="H518" s="537">
        <f>H517</f>
        <v>2</v>
      </c>
      <c r="I518" s="999">
        <v>0</v>
      </c>
      <c r="J518" s="876"/>
      <c r="K518" s="811"/>
      <c r="L518" s="811"/>
      <c r="M518" s="876"/>
      <c r="O518" s="6"/>
      <c r="P518" s="6"/>
      <c r="Q518" s="6"/>
      <c r="R518" s="6"/>
      <c r="S518" s="6"/>
      <c r="T518" s="6"/>
      <c r="U518" s="6"/>
      <c r="V518" s="6"/>
      <c r="W518" s="6"/>
      <c r="X518" s="6"/>
      <c r="Y518" s="6"/>
      <c r="Z518" s="1062">
        <f t="shared" ref="Z518:Z523" si="39">AA518-AF518</f>
        <v>1.0716986907334525E-4</v>
      </c>
      <c r="AA518" s="1062">
        <f t="shared" ref="AA518:AA523" si="40">IF($AD518=0,0,2*ATAN2(SQRT(1-SIN(ABS($AD518-$AB518)*PI()/180/2)^2+COS($AB518*PI()/180)*COS($AD518*PI()/180)*SIN(ABS($AE518-$AC518)*PI()/180/2)^2),SQRT(SIN(ABS($AD518-$AB518)*PI()/180/2)^2+COS($AB518*PI()/180)*COS($AD518*PI()/180)*SIN(ABS($AE518-$AC518)*PI()/180/2)^2))*SQRT((($AK$506^2*COS(AB518))^2+($AK$507^2*SIN(AB518))^2)/(($AK$506*COS(AB518))^2+($AK$507*SIN(AB518))^2))/$W$507)</f>
        <v>0.10144015768905691</v>
      </c>
      <c r="AB518" s="1447">
        <v>28.2563037</v>
      </c>
      <c r="AC518" s="1447">
        <v>-81.481339899999995</v>
      </c>
      <c r="AD518" s="1447">
        <v>28.257769</v>
      </c>
      <c r="AE518" s="1447">
        <v>-81.481272000000004</v>
      </c>
      <c r="AF518" s="7">
        <v>0.10133298781998357</v>
      </c>
      <c r="AG518" s="849">
        <f>AG$514*2*ASIN(SQRT(SIN((RADIANS(AD518)-RADIANS(AB518))/2)^2+COS(RADIANS(AB518))*COS(RADIANS(AD518))*SIN((RADIANS(AE518)-RADIANS(AC518))/2)^2))</f>
        <v>0.10132675781136991</v>
      </c>
      <c r="AH518">
        <f>ACOS(COS(RADIANS(90-AB518))*COS(RADIANS(90-AD518))+SIN(RADIANS(90-AB518))*SIN(RADIANS(90-AD518))*COS(RADIANS(AC518-AE518)))*3959</f>
        <v>0.10133298781998357</v>
      </c>
      <c r="AI518" s="849">
        <f>IF($AD518=0,0,2*ATAN2(SQRT(1-SIN(ABS($AD518-$AB518)*PI()/180/2)^2+COS($AB518*PI()/180)*COS($AD518*PI()/180)*SIN(ABS($AE518-$AC518)*PI()/180/2)^2),SQRT(SIN(ABS($AD518-$AB518)*PI()/180/2)^2+COS($AB518*PI()/180)*COS($AD518*PI()/180)*SIN(ABS($AE518-$AC518)*PI()/180/2)^2))*SQRT((($AK$506^2*COS(AB518))^2+($AK$507^2*SIN(AB518))^2)/(($AK$506*COS(AB518))^2+($AK$507*SIN(AB518))^2))/$W$507)</f>
        <v>0.10144015768905691</v>
      </c>
      <c r="AJ518" s="1927">
        <f>SQRT((($AK$506^2*COS(AB518))^2+($AK$507^2*SIN(AB518))^2)/(($AK$506*COS(AB518))^2+($AK$507*SIN(AB518))^2))/$W$507</f>
        <v>3963.1867168565996</v>
      </c>
      <c r="AK518" s="849" t="s">
        <v>2675</v>
      </c>
      <c r="AL518" s="849" t="str">
        <f>INT(ABS(AB518))&amp;":"&amp;ROUND((ABS(AB518)-INT(ABS(AB518)))*60,3)&amp;""</f>
        <v>28:15.378</v>
      </c>
    </row>
    <row r="519" spans="1:38" ht="14.65" customHeight="1">
      <c r="A519" s="6" t="s">
        <v>405</v>
      </c>
      <c r="B519" s="316">
        <v>7</v>
      </c>
      <c r="C519" s="1900" t="str">
        <f>IF(OR(County="Lee",County="Polk",County_Size="Medium"),IF(C$516&gt;=B519,"Meets","Fails"),"")</f>
        <v/>
      </c>
      <c r="D519" s="106"/>
      <c r="E519" s="2">
        <v>1111</v>
      </c>
      <c r="F519" s="957" t="s">
        <v>406</v>
      </c>
      <c r="G519" s="535">
        <v>0.3</v>
      </c>
      <c r="H519" s="535">
        <v>0.3</v>
      </c>
      <c r="I519" s="995">
        <v>4</v>
      </c>
      <c r="K519" s="823"/>
      <c r="L519" s="823">
        <v>1</v>
      </c>
      <c r="M519" s="1058" t="s">
        <v>1513</v>
      </c>
      <c r="O519" s="5" t="s">
        <v>2466</v>
      </c>
      <c r="Z519" s="1062">
        <f t="shared" si="39"/>
        <v>-1.6112642182494752E-4</v>
      </c>
      <c r="AA519" s="1062">
        <f t="shared" si="40"/>
        <v>0.12085635891444815</v>
      </c>
      <c r="AB519" s="1447">
        <v>30.409600999999999</v>
      </c>
      <c r="AC519" s="1447">
        <v>-86.616276999999997</v>
      </c>
      <c r="AD519" s="1447">
        <v>30.410454999999999</v>
      </c>
      <c r="AE519" s="1447">
        <v>-86.614503999999997</v>
      </c>
      <c r="AF519" s="7">
        <v>0.1210174853362731</v>
      </c>
      <c r="AG519" s="849">
        <f>AG$514*2*ASIN(SQRT(SIN((RADIANS(AD519)-RADIANS(AB519))/2)^2+COS(RADIANS(AB519))*COS(RADIANS(AD519))*SIN((RADIANS(AE519)-RADIANS(AC519))/2)^2))</f>
        <v>0.12101003505089671</v>
      </c>
      <c r="AH519">
        <f>ACOS(COS(RADIANS(90-AB519))*COS(RADIANS(90-AD519))+SIN(RADIANS(90-AB519))*SIN(RADIANS(90-AD519))*COS(RADIANS(AC519-AE519)))*3959</f>
        <v>0.1210174853362731</v>
      </c>
      <c r="AI519" s="849">
        <f>IF($AD519=0,0,2*ATAN2(SQRT(1-SIN(ABS($AD519-$AB519)*PI()/180/2)^2+COS($AB519*PI()/180)*COS($AD519*PI()/180)*SIN(ABS($AE519-$AC519)*PI()/180/2)^2),SQRT(SIN(ABS($AD519-$AB519)*PI()/180/2)^2+COS($AB519*PI()/180)*COS($AD519*PI()/180)*SIN(ABS($AE519-$AC519)*PI()/180/2)^2))*SQRT((($AK$506^2*COS(AB519))^2+($AK$507^2*SIN(AB519))^2)/(($AK$506*COS(AB519))^2+($AK$507*SIN(AB519))^2))/$W$507)</f>
        <v>0.12085635891444815</v>
      </c>
      <c r="AJ519" s="1927">
        <f>SQRT((($AK$506^2*COS(AB519))^2+($AK$507^2*SIN(AB519))^2)/(($AK$506*COS(AB519))^2+($AK$507*SIN(AB519))^2))/$W$507</f>
        <v>3953.7288697586582</v>
      </c>
    </row>
    <row r="520" spans="1:38" ht="14.65" customHeight="1">
      <c r="A520" s="6" t="s">
        <v>407</v>
      </c>
      <c r="B520" s="316">
        <v>4</v>
      </c>
      <c r="C520" s="538" t="str">
        <f>IF(County_Size="Small",IF(C$516&gt;=B520,"Meets","Fails"),"")</f>
        <v/>
      </c>
      <c r="D520" s="823"/>
      <c r="E520" s="2">
        <v>1114</v>
      </c>
      <c r="F520" s="957" t="s">
        <v>406</v>
      </c>
      <c r="G520" s="535">
        <v>0.75</v>
      </c>
      <c r="H520" s="535">
        <v>0.5</v>
      </c>
      <c r="I520" s="995">
        <v>3.5</v>
      </c>
      <c r="K520" s="823"/>
      <c r="L520" s="823">
        <v>2</v>
      </c>
      <c r="M520" s="1058" t="s">
        <v>1521</v>
      </c>
      <c r="O520" s="3147"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20" s="3148"/>
      <c r="Q520" s="3148"/>
      <c r="R520" s="3148"/>
      <c r="S520" s="3148"/>
      <c r="T520" s="3148"/>
      <c r="U520" s="3148"/>
      <c r="V520" s="3148"/>
      <c r="W520" s="3149"/>
      <c r="Z520" s="1062">
        <f t="shared" si="39"/>
        <v>-1.9496109547600948E-5</v>
      </c>
      <c r="AA520" s="1062">
        <f t="shared" si="40"/>
        <v>0.12223753659230857</v>
      </c>
      <c r="AB520" s="1447">
        <v>28.922899000000001</v>
      </c>
      <c r="AC520" s="1447">
        <v>-82.608227999999997</v>
      </c>
      <c r="AD520" s="1447">
        <v>28.922747000000001</v>
      </c>
      <c r="AE520" s="1447">
        <v>-82.610242</v>
      </c>
      <c r="AF520" s="7">
        <v>0.12225703270185617</v>
      </c>
      <c r="AG520" s="849">
        <f>AG$514*2*ASIN(SQRT(SIN((RADIANS(AD520)-RADIANS(AB520))/2)^2+COS(RADIANS(AB520))*COS(RADIANS(AD520))*SIN((RADIANS(AE520)-RADIANS(AC520))/2)^2))</f>
        <v>0.12224951097411089</v>
      </c>
      <c r="AH520">
        <f>ACOS(COS(RADIANS(90-AB520))*COS(RADIANS(90-AD520))+SIN(RADIANS(90-AB520))*SIN(RADIANS(90-AD520))*COS(RADIANS(AC520-AE520)))*3959</f>
        <v>0.12225703270185617</v>
      </c>
      <c r="AI520" s="849">
        <f>IF($AD520=0,0,2*ATAN2(SQRT(1-SIN(ABS($AD520-$AB520)*PI()/180/2)^2+COS($AB520*PI()/180)*COS($AD520*PI()/180)*SIN(ABS($AE520-$AC520)*PI()/180/2)^2),SQRT(SIN(ABS($AD520-$AB520)*PI()/180/2)^2+COS($AB520*PI()/180)*COS($AD520*PI()/180)*SIN(ABS($AE520-$AC520)*PI()/180/2)^2))*SQRT((($AK$506^2*COS(AB520))^2+($AK$507^2*SIN(AB520))^2)/(($AK$506*COS(AB520))^2+($AK$507*SIN(AB520))^2))/$W$507)</f>
        <v>0.12223753659230857</v>
      </c>
      <c r="AJ520" s="1927">
        <f>SQRT((($AK$506^2*COS(AB520))^2+($AK$507^2*SIN(AB520))^2)/(($AK$506*COS(AB520))^2+($AK$507*SIN(AB520))^2))/$W$507</f>
        <v>3958.3685127551594</v>
      </c>
    </row>
    <row r="521" spans="1:38" ht="14.65" customHeight="1">
      <c r="A521" s="398" t="s">
        <v>408</v>
      </c>
      <c r="D521" s="823"/>
      <c r="E521" s="2">
        <v>1133</v>
      </c>
      <c r="F521" s="957" t="s">
        <v>406</v>
      </c>
      <c r="G521" s="535">
        <v>1</v>
      </c>
      <c r="H521" s="535">
        <v>0.75</v>
      </c>
      <c r="I521" s="996">
        <v>3</v>
      </c>
      <c r="K521" s="823"/>
      <c r="L521" s="823">
        <v>3</v>
      </c>
      <c r="M521" s="1058" t="s">
        <v>1516</v>
      </c>
      <c r="O521" s="3126"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21" s="3127"/>
      <c r="Q521" s="3127"/>
      <c r="R521" s="3127"/>
      <c r="S521" s="3127"/>
      <c r="T521" s="3127"/>
      <c r="U521" s="3127"/>
      <c r="V521" s="3127"/>
      <c r="W521" s="3128"/>
      <c r="Z521" s="1062">
        <f t="shared" si="39"/>
        <v>1.9793638837112271E-4</v>
      </c>
      <c r="AA521" s="1062">
        <f t="shared" si="40"/>
        <v>0.18736773875123697</v>
      </c>
      <c r="AB521" s="1447">
        <v>28.2563037</v>
      </c>
      <c r="AC521" s="1447">
        <v>-81.481339899999995</v>
      </c>
      <c r="AD521" s="1447">
        <v>28.254057</v>
      </c>
      <c r="AE521" s="1447">
        <v>-81.479622000000006</v>
      </c>
      <c r="AF521" s="7">
        <v>0.18716980236286584</v>
      </c>
      <c r="AG521" s="849">
        <f>AG$514*2*ASIN(SQRT(SIN((RADIANS(AD521)-RADIANS(AB521))/2)^2+COS(RADIANS(AB521))*COS(RADIANS(AD521))*SIN((RADIANS(AE521)-RADIANS(AC521))/2)^2))</f>
        <v>0.18715828052676114</v>
      </c>
      <c r="AH521">
        <f>ACOS(COS(RADIANS(90-AB521))*COS(RADIANS(90-AD521))+SIN(RADIANS(90-AB521))*SIN(RADIANS(90-AD521))*COS(RADIANS(AC521-AE521)))*3959</f>
        <v>0.18716980236286584</v>
      </c>
      <c r="AI521" s="849">
        <f>IF($AD521=0,0,2*ATAN2(SQRT(1-SIN(ABS($AD521-$AB521)*PI()/180/2)^2+COS($AB521*PI()/180)*COS($AD521*PI()/180)*SIN(ABS($AE521-$AC521)*PI()/180/2)^2),SQRT(SIN(ABS($AD521-$AB521)*PI()/180/2)^2+COS($AB521*PI()/180)*COS($AD521*PI()/180)*SIN(ABS($AE521-$AC521)*PI()/180/2)^2))*SQRT((($AK$506^2*COS(AB521))^2+($AK$507^2*SIN(AB521))^2)/(($AK$506*COS(AB521))^2+($AK$507*SIN(AB521))^2))/$W$507)</f>
        <v>0.18736773875123697</v>
      </c>
      <c r="AJ521" s="1927">
        <f>SQRT((($AK$506^2*COS(AB521))^2+($AK$507^2*SIN(AB521))^2)/(($AK$506*COS(AB521))^2+($AK$507*SIN(AB521))^2))/$W$507</f>
        <v>3963.1867168565996</v>
      </c>
    </row>
    <row r="522" spans="1:38" ht="14.65" customHeight="1">
      <c r="A522" s="6" t="s">
        <v>404</v>
      </c>
      <c r="B522" s="316">
        <v>12.5</v>
      </c>
      <c r="C522" s="1898" t="str">
        <f>IF(C$516&gt;=IF(AND(County&lt;&gt;"Lee",County&lt;&gt;"Polk",County_Size="Large"),B522,IF(OR(County="Lee",County="Polk",County_Size="Medium"),B523,B524)),"Meets","Fails")</f>
        <v>Fails</v>
      </c>
      <c r="D522" s="823"/>
      <c r="E522" s="2">
        <v>1134</v>
      </c>
      <c r="F522" s="957" t="s">
        <v>406</v>
      </c>
      <c r="G522" s="535">
        <v>1.25</v>
      </c>
      <c r="H522" s="535">
        <v>1</v>
      </c>
      <c r="I522" s="996">
        <v>2.5</v>
      </c>
      <c r="K522" s="823"/>
      <c r="L522" s="823">
        <v>4</v>
      </c>
      <c r="O522" s="3126"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22" s="3127"/>
      <c r="Q522" s="3127"/>
      <c r="R522" s="3127"/>
      <c r="S522" s="3127"/>
      <c r="T522" s="3127"/>
      <c r="U522" s="3127"/>
      <c r="V522" s="3127"/>
      <c r="W522" s="3128"/>
      <c r="Z522" s="1062">
        <f t="shared" si="39"/>
        <v>-2.5575655814791265E-4</v>
      </c>
      <c r="AA522" s="1062">
        <f t="shared" si="40"/>
        <v>0.19231023500389999</v>
      </c>
      <c r="AB522" s="1447">
        <v>30.410668000000001</v>
      </c>
      <c r="AC522" s="1447">
        <v>-86.617726000000005</v>
      </c>
      <c r="AD522" s="1447">
        <v>30.410454999999999</v>
      </c>
      <c r="AE522" s="1447">
        <v>-86.614503999999997</v>
      </c>
      <c r="AF522" s="7">
        <v>0.1925659915620479</v>
      </c>
      <c r="AG522" s="849">
        <f t="shared" ref="AG522:AG523" si="41">AG$514*2*ASIN(SQRT(SIN((RADIANS(AD522)-RADIANS(AB522))/2)^2+COS(RADIANS(AB522))*COS(RADIANS(AD522))*SIN((RADIANS(AE522)-RADIANS(AC522))/2)^2))</f>
        <v>0.19255414239321525</v>
      </c>
      <c r="AH522">
        <f t="shared" ref="AH522:AH523" si="42">ACOS(COS(RADIANS(90-AB522))*COS(RADIANS(90-AD522))+SIN(RADIANS(90-AB522))*SIN(RADIANS(90-AD522))*COS(RADIANS(AC522-AE522)))*3959</f>
        <v>0.1925659915620479</v>
      </c>
      <c r="AI522" s="849">
        <f t="shared" ref="AI522:AI523" si="43">IF($AD522=0,0,2*ATAN2(SQRT(1-SIN(ABS($AD522-$AB522)*PI()/180/2)^2+COS($AB522*PI()/180)*COS($AD522*PI()/180)*SIN(ABS($AE522-$AC522)*PI()/180/2)^2),SQRT(SIN(ABS($AD522-$AB522)*PI()/180/2)^2+COS($AB522*PI()/180)*COS($AD522*PI()/180)*SIN(ABS($AE522-$AC522)*PI()/180/2)^2))*SQRT((($AK$506^2*COS(AB522))^2+($AK$507^2*SIN(AB522))^2)/(($AK$506*COS(AB522))^2+($AK$507*SIN(AB522))^2))/$W$507)</f>
        <v>0.19231023500389999</v>
      </c>
      <c r="AJ522" s="1927">
        <f t="shared" ref="AJ522:AJ523" si="44">SQRT((($AK$506^2*COS(AB522))^2+($AK$507^2*SIN(AB522))^2)/(($AK$506*COS(AB522))^2+($AK$507*SIN(AB522))^2))/$W$507</f>
        <v>3953.7417384937612</v>
      </c>
    </row>
    <row r="523" spans="1:38" ht="14.65" customHeight="1">
      <c r="A523" s="6" t="s">
        <v>409</v>
      </c>
      <c r="B523" s="316">
        <v>9</v>
      </c>
      <c r="C523" s="1898" t="str">
        <f>IF(OR(County="Lee",County="Polk",County_Size="Medium"),IF(C$516&gt;=B523,"Meets","Fails"),"")</f>
        <v/>
      </c>
      <c r="D523" s="823"/>
      <c r="E523" s="2">
        <v>1222</v>
      </c>
      <c r="F523" s="957" t="s">
        <v>406</v>
      </c>
      <c r="G523" s="535">
        <v>1.5</v>
      </c>
      <c r="H523" s="535">
        <v>1.25</v>
      </c>
      <c r="I523" s="996">
        <v>2</v>
      </c>
      <c r="K523" s="823"/>
      <c r="L523" s="823">
        <v>5</v>
      </c>
      <c r="O523" s="3126"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23" s="3127"/>
      <c r="Q523" s="3127"/>
      <c r="R523" s="3127"/>
      <c r="S523" s="3127"/>
      <c r="T523" s="3127"/>
      <c r="U523" s="3127"/>
      <c r="V523" s="3127"/>
      <c r="W523" s="3128"/>
      <c r="Z523" s="1062">
        <f t="shared" si="39"/>
        <v>2.4258312456856834E-4</v>
      </c>
      <c r="AA523" s="1062">
        <f t="shared" si="40"/>
        <v>0.22962534913390162</v>
      </c>
      <c r="AB523" s="1447">
        <v>28.2563037</v>
      </c>
      <c r="AC523" s="1447">
        <v>-81.481339899999995</v>
      </c>
      <c r="AD523" s="1447">
        <v>28.253426999999999</v>
      </c>
      <c r="AE523" s="1447">
        <v>-81.479459000000006</v>
      </c>
      <c r="AF523" s="7">
        <v>0.22938276600933305</v>
      </c>
      <c r="AG523" s="849">
        <f t="shared" si="41"/>
        <v>0.22936865117303937</v>
      </c>
      <c r="AH523">
        <f t="shared" si="42"/>
        <v>0.22938276600933305</v>
      </c>
      <c r="AI523" s="849">
        <f t="shared" si="43"/>
        <v>0.22962534913390162</v>
      </c>
      <c r="AJ523" s="1927">
        <f t="shared" si="44"/>
        <v>3963.1867168565996</v>
      </c>
    </row>
    <row r="524" spans="1:38">
      <c r="A524" s="6" t="s">
        <v>410</v>
      </c>
      <c r="B524" s="316">
        <v>6</v>
      </c>
      <c r="C524" s="823" t="str">
        <f>IF(County_Size="Small",IF(C$516&gt;=B524,"Meets","Fails"),"")</f>
        <v/>
      </c>
      <c r="D524" s="823"/>
      <c r="E524" s="2">
        <v>1224</v>
      </c>
      <c r="F524" s="957" t="s">
        <v>406</v>
      </c>
      <c r="G524" s="535">
        <v>1.75</v>
      </c>
      <c r="H524" s="535">
        <v>1.5</v>
      </c>
      <c r="I524" s="995">
        <v>1.5</v>
      </c>
      <c r="K524" s="823"/>
      <c r="L524" s="823">
        <v>6</v>
      </c>
      <c r="O524" s="3126"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24" s="3127"/>
      <c r="Q524" s="3127"/>
      <c r="R524" s="3127"/>
      <c r="S524" s="3127"/>
      <c r="T524" s="3127"/>
      <c r="U524" s="3127"/>
      <c r="V524" s="3127"/>
      <c r="W524" s="3128"/>
      <c r="Z524" s="1062"/>
      <c r="AA524" s="1062"/>
      <c r="AB524" s="1447"/>
      <c r="AC524" s="1447"/>
      <c r="AD524" s="1447"/>
      <c r="AE524" s="1447"/>
      <c r="AF524" s="7"/>
      <c r="AG524" s="849"/>
      <c r="AI524" s="849"/>
      <c r="AJ524" s="1927"/>
    </row>
    <row r="525" spans="1:38">
      <c r="A525" s="398" t="s">
        <v>1533</v>
      </c>
      <c r="D525" s="106"/>
      <c r="E525" s="2">
        <v>1233</v>
      </c>
      <c r="F525" s="957" t="s">
        <v>406</v>
      </c>
      <c r="G525" s="535">
        <v>2</v>
      </c>
      <c r="H525" s="535">
        <v>1.75</v>
      </c>
      <c r="I525" s="996">
        <v>1</v>
      </c>
      <c r="K525" s="823"/>
      <c r="L525" s="823">
        <v>7</v>
      </c>
      <c r="O525" s="3114"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25" s="3115"/>
      <c r="Q525" s="3115"/>
      <c r="R525" s="3115"/>
      <c r="S525" s="3115"/>
      <c r="T525" s="3115"/>
      <c r="U525" s="3115"/>
      <c r="V525" s="3115"/>
      <c r="W525" s="3116"/>
      <c r="Z525" s="1062"/>
      <c r="AA525" s="1062"/>
      <c r="AB525" s="1447"/>
      <c r="AC525" s="1447"/>
      <c r="AD525" s="1447"/>
      <c r="AE525" s="1447"/>
      <c r="AF525" s="7"/>
      <c r="AG525" s="849"/>
      <c r="AI525" s="849"/>
      <c r="AJ525" s="1927"/>
    </row>
    <row r="526" spans="1:38">
      <c r="A526" s="6" t="s">
        <v>411</v>
      </c>
      <c r="B526" s="316">
        <v>1.5</v>
      </c>
      <c r="C526" s="1898" t="str">
        <f>IF(AND(County&lt;&gt;"Lee",County&lt;&gt;"Polk",County_Size="Large",OR(PHA_Prox_boost="Yes",RD_Prox_boost="Yes")),IF(C$507&gt;=B526,"Meets","Fails"),"")</f>
        <v/>
      </c>
      <c r="D526" s="823"/>
      <c r="E526" s="2">
        <v>1234</v>
      </c>
      <c r="F526" s="957" t="s">
        <v>406</v>
      </c>
      <c r="G526" s="535">
        <v>2.25</v>
      </c>
      <c r="H526" s="535">
        <v>2</v>
      </c>
      <c r="I526" s="996">
        <v>0.5</v>
      </c>
      <c r="K526" s="823"/>
      <c r="L526" s="823">
        <v>8</v>
      </c>
      <c r="Z526" s="1062"/>
      <c r="AA526" s="1062"/>
      <c r="AB526" s="1447"/>
      <c r="AC526" s="1447"/>
      <c r="AD526" s="1447"/>
      <c r="AE526" s="1447"/>
      <c r="AF526" s="7"/>
      <c r="AG526" s="849"/>
      <c r="AI526" s="849"/>
      <c r="AJ526" s="1927"/>
    </row>
    <row r="527" spans="1:38">
      <c r="A527" s="6" t="s">
        <v>412</v>
      </c>
      <c r="B527" s="316">
        <v>2</v>
      </c>
      <c r="C527" s="1898" t="str">
        <f>IF(AND(County&lt;&gt;"Lee",County&lt;&gt;"Polk",County_Size="Large",PHA_Prox_boost&lt;&gt;"Yes",RD_Prox_boost&lt;&gt;"Yes"),IF(C$507&gt;=B527,"Meets","Fails"),"")</f>
        <v/>
      </c>
      <c r="D527" s="823"/>
      <c r="E527" s="2">
        <v>1115</v>
      </c>
      <c r="F527" s="951" t="s">
        <v>406</v>
      </c>
      <c r="G527" s="537">
        <f>G526</f>
        <v>2.25</v>
      </c>
      <c r="H527" s="537">
        <f>H526</f>
        <v>2</v>
      </c>
      <c r="I527" s="999">
        <v>0</v>
      </c>
      <c r="J527" s="876"/>
      <c r="K527" s="811"/>
      <c r="L527" s="811"/>
      <c r="M527" s="876"/>
      <c r="Z527" s="1062"/>
      <c r="AA527" s="1062"/>
      <c r="AB527" s="1447"/>
      <c r="AC527" s="1447"/>
      <c r="AD527" s="1447"/>
      <c r="AE527" s="1447"/>
      <c r="AF527" s="7"/>
      <c r="AG527" s="849"/>
      <c r="AI527" s="849"/>
      <c r="AJ527" s="1927"/>
    </row>
    <row r="528" spans="1:38">
      <c r="A528" s="6"/>
      <c r="B528" s="528" t="s">
        <v>1537</v>
      </c>
      <c r="C528" s="528" t="s">
        <v>413</v>
      </c>
      <c r="D528" s="961" t="s">
        <v>414</v>
      </c>
      <c r="E528" s="2">
        <v>1135</v>
      </c>
      <c r="F528" s="958" t="s">
        <v>415</v>
      </c>
      <c r="G528" s="535">
        <v>0.75</v>
      </c>
      <c r="H528" s="535">
        <v>0.5</v>
      </c>
      <c r="I528" s="995">
        <v>4</v>
      </c>
      <c r="K528" s="823"/>
      <c r="L528" s="823">
        <v>1</v>
      </c>
      <c r="M528" s="1058" t="s">
        <v>1514</v>
      </c>
      <c r="Z528" s="1062"/>
      <c r="AA528" s="1062"/>
      <c r="AB528" s="1447"/>
      <c r="AC528" s="1447"/>
      <c r="AD528" s="1447"/>
      <c r="AE528" s="1447"/>
      <c r="AF528" s="7"/>
      <c r="AG528" s="849"/>
      <c r="AI528" s="849"/>
      <c r="AJ528" s="1927"/>
    </row>
    <row r="529" spans="1:36">
      <c r="A529" s="6" t="s">
        <v>416</v>
      </c>
      <c r="B529" s="509">
        <f>Transit_PBS1_distance</f>
        <v>0</v>
      </c>
      <c r="C529" s="3108">
        <f>IF(C508=2,0,IF(SUM(B529:B531)=0,0,IF(County_Size="Small",IF(MAX(B529:B531)&lt;=DS_BS_S_1,CHOOSE(COUNTIF(B529:B531,"&gt;0")+1,0,DS_BS_Score1_1,DS_BS_Score2_1,DS_BS_Score3S_1),IF(MAX(B529:B531)&lt;=DS_BS_S_2,CHOOSE(COUNTIF(B529:B531,"&gt;0")+1,0,DS_BS_Score1_2,DS_BS_Score2_2,DS_BS_Score3S_2),IF(MAX(B529:B531)&lt;=DS_BS_S_3,CHOOSE(COUNTIF(B529:B531,"&gt;0")+1,0,DS_BS_Score1_3,DS_BS_Score2_3,DS_BS_Score3S_3),IF(MAX(B529:B531)&lt;=DS_BS_S_4,CHOOSE(COUNTIF(B529:B531,"&gt;0")+1,0,DS_BS_Score1_4,DS_BS_Score2_4,DS_BS_Score3S_4),0)))),IF(MAX(B529:B531)&lt;=DS_BS_ML_1,CHOOSE(COUNTIF(B529:B531,"&gt;0")+1,0,DS_BS_Score1_1,DS_BS_Score2_1,DS_BS_Score3ML_1),IF(MAX(B529:B531)&lt;=DS_BS_ML_2,CHOOSE(COUNTIF(B529:B531,"&gt;0")+1,0,DS_BS_Score1_2,DS_BS_Score2_2,DS_BS_Score3ML_2),IF(MAX(B529:B531)&lt;=DS_BS_ML_3,CHOOSE(COUNTIF(B529:B531,"&gt;0")+1,0,DS_BS_Score1_3,DS_BS_Score2_3,DS_BS_Score3ML_3),IF(MAX(B529:B531)&lt;=DS_BS_ML_4,CHOOSE(COUNTIF(B529:B531,"&gt;0")+1,0,DS_BS_Score1_4,DS_BS_Score2_4,DS_BS_Score3ML_4),IF(MAX(B529:B531)&lt;=DS_BS_ML_5,CHOOSE(COUNTIF(B529:B531,"&gt;0")+1,0,DS_BS_Score1_5,DS_BS_Score2_5,DS_BS_Score3ML_5),0))))))))</f>
        <v>0</v>
      </c>
      <c r="D529" s="962">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9" s="2">
        <v>1225</v>
      </c>
      <c r="F529" s="957" t="s">
        <v>415</v>
      </c>
      <c r="G529" s="535">
        <v>1</v>
      </c>
      <c r="H529" s="535">
        <v>0.75</v>
      </c>
      <c r="I529" s="995">
        <v>3.5</v>
      </c>
      <c r="K529" s="823"/>
      <c r="L529" s="823">
        <v>2</v>
      </c>
      <c r="M529" s="1058" t="s">
        <v>1520</v>
      </c>
      <c r="Z529" s="1062"/>
      <c r="AA529" s="1062"/>
      <c r="AB529" s="1447"/>
      <c r="AC529" s="1447"/>
      <c r="AD529" s="1447"/>
      <c r="AE529" s="1447"/>
      <c r="AF529" s="7"/>
      <c r="AG529" s="849"/>
      <c r="AI529" s="849"/>
      <c r="AJ529" s="1927"/>
    </row>
    <row r="530" spans="1:36">
      <c r="A530" s="6" t="s">
        <v>417</v>
      </c>
      <c r="B530" s="509">
        <f>Transit_PBS2_distance</f>
        <v>0</v>
      </c>
      <c r="C530" s="3108"/>
      <c r="D530" s="962">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30" s="2">
        <v>1235</v>
      </c>
      <c r="F530" s="957" t="s">
        <v>415</v>
      </c>
      <c r="G530" s="535">
        <v>1.25</v>
      </c>
      <c r="H530" s="535">
        <v>1</v>
      </c>
      <c r="I530" s="996">
        <v>3</v>
      </c>
      <c r="K530" s="823"/>
      <c r="L530" s="823">
        <v>3</v>
      </c>
      <c r="M530" s="1058" t="s">
        <v>1517</v>
      </c>
      <c r="Z530" s="1062"/>
      <c r="AA530" s="1062"/>
      <c r="AB530" s="1447"/>
      <c r="AC530" s="1447"/>
      <c r="AD530" s="1447"/>
      <c r="AE530" s="1447"/>
      <c r="AF530" s="7"/>
      <c r="AG530" s="849"/>
      <c r="AI530" s="849"/>
      <c r="AJ530" s="1927"/>
    </row>
    <row r="531" spans="1:36">
      <c r="A531" s="931" t="s">
        <v>418</v>
      </c>
      <c r="B531" s="883">
        <f>Transit_PBS3_distance</f>
        <v>0</v>
      </c>
      <c r="C531" s="3109"/>
      <c r="D531" s="963">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31" s="2">
        <v>1155</v>
      </c>
      <c r="F531" s="957" t="s">
        <v>415</v>
      </c>
      <c r="G531" s="535">
        <v>1.5</v>
      </c>
      <c r="H531" s="535">
        <v>1.25</v>
      </c>
      <c r="I531" s="996">
        <v>2.5</v>
      </c>
      <c r="K531" s="823"/>
      <c r="L531" s="823">
        <v>4</v>
      </c>
      <c r="Z531" s="1062"/>
      <c r="AA531" s="1062"/>
      <c r="AB531" s="1447"/>
      <c r="AC531" s="1447"/>
      <c r="AD531" s="1447"/>
      <c r="AE531" s="1447"/>
      <c r="AF531" s="7"/>
      <c r="AG531" s="849"/>
      <c r="AI531" s="849"/>
      <c r="AJ531" s="1927"/>
    </row>
    <row r="532" spans="1:36">
      <c r="A532" s="6" t="s">
        <v>419</v>
      </c>
      <c r="B532" s="509">
        <f>Transit_BTS_distance</f>
        <v>0</v>
      </c>
      <c r="C532" s="538">
        <f>IF(C508=2,0,IF(B532=0,0,IF(County_Size="Small",IF(B532&lt;=DS_RBR_S_1,DS_RBR_Score_1,IF(B532&lt;=DS_RBR_S_2,DS_RBR_Score_2,IF(B532&lt;=DS_RBR_S_3,DS_RBR_Score_3,IF(B532&lt;=DS_RBR_S_4,DS_RBR_Score_4,IF(B532&lt;=DS_RBR_S_5,DS_RBR_Score_5,IF(B532&lt;=DS_RBR_S_6,DS_RBR_Score_6,IF(B532&lt;=DS_RBR_S_7,DS_RBR_Score_7,IF(B532&lt;=DS_RBR_S_8,DS_RBR_Score_8,0)))))))),IF(B532&lt;=DS_RBR_ML_1,DS_RBR_Score_1,IF(B532&lt;=DS_RBR_ML_2,DS_RBR_Score_2,IF(B532&lt;=DS_RBR_ML_3,DS_RBR_Score_3,IF(B532&lt;=DS_RBR_ML_4,DS_RBR_Score_4,IF(B532&lt;=DS_RBR_ML_5,DS_RBR_Score_5,IF(B532&lt;=DS_RBR_ML_6,DS_RBR_Score_6,IF(B532&lt;=DS_RBR_ML_7,DS_RBR_Score_7,IF(B532&lt;=DS_RBR_ML_8,DS_RBR_Score_8,0)))))))))))</f>
        <v>0</v>
      </c>
      <c r="D532" s="962">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32" s="2">
        <v>1255</v>
      </c>
      <c r="F532" s="957" t="s">
        <v>415</v>
      </c>
      <c r="G532" s="535">
        <v>1.75</v>
      </c>
      <c r="H532" s="535">
        <v>1.5</v>
      </c>
      <c r="I532" s="996">
        <v>2</v>
      </c>
      <c r="K532" s="823"/>
      <c r="L532" s="823">
        <v>5</v>
      </c>
      <c r="Z532" s="1062"/>
      <c r="AA532" s="1062"/>
      <c r="AB532" s="1447"/>
      <c r="AC532" s="1447"/>
      <c r="AD532" s="1447"/>
      <c r="AE532" s="1447"/>
      <c r="AF532" s="7"/>
      <c r="AG532" s="849"/>
      <c r="AI532" s="849"/>
      <c r="AJ532" s="1927"/>
    </row>
    <row r="533" spans="1:36">
      <c r="A533" s="6" t="s">
        <v>420</v>
      </c>
      <c r="B533" s="509">
        <f>Transit_PBRTS_distance</f>
        <v>0</v>
      </c>
      <c r="C533" s="538">
        <f>IF(C508=2,0,IF(B533=0,0,IF(County_Size="Small",IF(B533&lt;=DS_RBR_S_1,DS_RBR_Score_1,IF(B533&lt;=DS_RBR_S_2,DS_RBR_Score_2,IF(B533&lt;=DS_RBR_S_3,DS_RBR_Score_3,IF(B533&lt;=DS_RBR_S_4,DS_RBR_Score_4,IF(B533&lt;=DS_RBR_S_5,DS_RBR_Score_5,IF(B533&lt;=DS_RBR_S_6,DS_RBR_Score_6,IF(B533&lt;=DS_RBR_S_7,DS_RBR_Score_7,IF(B533&lt;=DS_RBR_S_8,DS_RBR_Score_8,0)))))))),IF(B533&lt;=DS_RBR_ML_1,DS_RBR_Score_1,IF(B533&lt;=DS_RBR_ML_2,DS_RBR_Score_2,IF(B533&lt;=DS_RBR_ML_3,DS_RBR_Score_3,IF(B533&lt;=DS_RBR_ML_4,DS_RBR_Score_4,IF(B533&lt;=DS_RBR_ML_5,DS_RBR_Score_5,IF(B533&lt;=DS_RBR_ML_6,DS_RBR_Score_6,IF(B533&lt;=DS_RBR_ML_7,DS_RBR_Score_7,IF(B533&lt;=DS_RBR_ML_8,DS_RBR_Score_8,0)))))))))))</f>
        <v>0</v>
      </c>
      <c r="D533" s="962">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33" s="2">
        <v>1555</v>
      </c>
      <c r="F533" s="957" t="s">
        <v>415</v>
      </c>
      <c r="G533" s="535">
        <v>2</v>
      </c>
      <c r="H533" s="535">
        <v>1.75</v>
      </c>
      <c r="I533" s="995">
        <v>1.5</v>
      </c>
      <c r="K533" s="823"/>
      <c r="L533" s="823">
        <v>6</v>
      </c>
      <c r="Z533" s="1062"/>
      <c r="AA533" s="1062"/>
      <c r="AB533" s="1447"/>
      <c r="AC533" s="1447"/>
      <c r="AD533" s="1447"/>
      <c r="AE533" s="1447"/>
      <c r="AF533" s="7"/>
      <c r="AG533" s="849"/>
      <c r="AI533" s="849"/>
      <c r="AJ533" s="1927"/>
    </row>
    <row r="534" spans="1:36">
      <c r="A534" s="931" t="s">
        <v>421</v>
      </c>
      <c r="B534" s="883">
        <f>Transit_Rail_distance</f>
        <v>0</v>
      </c>
      <c r="C534" s="884">
        <f>IF(C508=2,0,IF(B534=0,0,IF(County_Size="Small",IF(B534&lt;=DS_RBR_S_1,DS_RBR_Score_1,IF(B534&lt;=DS_RBR_S_2,DS_RBR_Score_2,IF(B534&lt;=DS_RBR_S_3,DS_RBR_Score_3,IF(B534&lt;=DS_RBR_S_4,DS_RBR_Score_4,IF(B534&lt;=DS_RBR_S_5,DS_RBR_Score_5,IF(B534&lt;=DS_RBR_S_6,DS_RBR_Score_6,IF(B534&lt;=DS_RBR_S_7,DS_RBR_Score_7,IF(B534&lt;=DS_RBR_S_8,DS_RBR_Score_8,0)))))))),IF(B534&lt;=DS_RBR_ML_1,DS_RBR_Score_1,IF(B534&lt;=DS_RBR_ML_2,DS_RBR_Score_2,IF(B534&lt;=DS_RBR_ML_3,DS_RBR_Score_3,IF(B534&lt;=DS_RBR_ML_4,DS_RBR_Score_4,IF(B534&lt;=DS_RBR_ML_5,DS_RBR_Score_5,IF(B534&lt;=DS_RBR_ML_6,DS_RBR_Score_6,IF(B534&lt;=DS_RBR_ML_7,DS_RBR_Score_7,IF(B534&lt;=DS_RBR_ML_8,DS_RBR_Score_8,0)))))))))))</f>
        <v>0</v>
      </c>
      <c r="D534" s="963">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34" s="2">
        <v>5555</v>
      </c>
      <c r="F534" s="957" t="s">
        <v>415</v>
      </c>
      <c r="G534" s="535">
        <v>2.25</v>
      </c>
      <c r="H534" s="535">
        <v>2</v>
      </c>
      <c r="I534" s="996">
        <v>1</v>
      </c>
      <c r="K534" s="823"/>
      <c r="L534" s="823">
        <v>7</v>
      </c>
      <c r="Z534" s="1062"/>
      <c r="AA534" s="1062"/>
      <c r="AB534" s="1447"/>
      <c r="AC534" s="1447"/>
      <c r="AD534" s="1447"/>
      <c r="AE534" s="1447"/>
      <c r="AF534" s="7"/>
      <c r="AG534" s="849"/>
      <c r="AI534" s="849"/>
      <c r="AJ534" s="1927"/>
    </row>
    <row r="535" spans="1:36">
      <c r="A535" s="6"/>
      <c r="B535" s="966" t="str">
        <f>SMALL(D$536:D$539,1)&amp;SMALL(D$536:D$539,2)&amp;SMALL(D$536:D$539,3)&amp;SMALL(D$536:D$539,4)</f>
        <v>5555</v>
      </c>
      <c r="C535" s="967" t="str">
        <f>SMALL(E$536:E$539,1)&amp;SMALL(E$536:E$539,2)&amp;SMALL(E$536:E$539,3)&amp;SMALL(E$536:E$539,4)</f>
        <v>5555</v>
      </c>
      <c r="D535" s="965" t="s">
        <v>1538</v>
      </c>
      <c r="E535" s="964" t="s">
        <v>1536</v>
      </c>
      <c r="F535" s="951" t="s">
        <v>415</v>
      </c>
      <c r="G535" s="537">
        <f>G534</f>
        <v>2.25</v>
      </c>
      <c r="H535" s="537">
        <f>H534</f>
        <v>2</v>
      </c>
      <c r="I535" s="999">
        <v>0</v>
      </c>
      <c r="J535" s="876"/>
      <c r="K535" s="876"/>
      <c r="L535" s="811"/>
      <c r="M535" s="876"/>
      <c r="Z535" s="1062"/>
      <c r="AA535" s="1062"/>
      <c r="AB535" s="1447"/>
      <c r="AC535" s="1447"/>
      <c r="AD535" s="1447"/>
      <c r="AE535" s="1447"/>
      <c r="AF535" s="7"/>
      <c r="AG535" s="849"/>
      <c r="AI535" s="849"/>
      <c r="AJ535" s="1927"/>
    </row>
    <row r="536" spans="1:36">
      <c r="A536" s="6" t="s">
        <v>422</v>
      </c>
      <c r="B536" s="509" t="str">
        <f>IF(AND(Grocery_Name&lt;&gt;"",Grocery_Address&lt;&gt;"",Grocery_Distance&lt;&gt;""),Grocery_Distance,"")</f>
        <v/>
      </c>
      <c r="C536" s="538" t="str">
        <f>IF(B536="","",IF(B536=0,0,MIN(B$514,IF(County_Size="Small",IF(B536&lt;=DS_GMP_S_1,DS_GMP_Score_1,IF(B536&lt;=DS_GMP_S_2,DS_GMP_Score_2,IF(B536&lt;=DS_GMP_S_3,DS_GMP_Score_3,IF(B536&lt;=DS_GMP_S_4,DS_GMP_Score_4,IF(B536&lt;=DS_GMP_S_5,DS_GMP_Score_5,IF(B536&lt;=DS_GMP_S_6,DS_GMP_Score_6,IF(B536&lt;=DS_GMP_S_7,DS_GMP_Score_7,IF(B536&lt;=DS_GMP_S_8,DS_GMP_Score_8,0)))))))),IF(B536&lt;=DS_GMP_ML_1,DS_GMP_Score_1,IF(B536&lt;=DS_GMP_ML_2,DS_GMP_Score_2,IF(B536&lt;=DS_GMP_ML_3,DS_GMP_Score_3,IF(B536&lt;=DS_GMP_ML_4,DS_GMP_Score_4,IF(B536&lt;=DS_GMP_ML_5,DS_GMP_Score_5,IF(B536&lt;=DS_GMP_ML_6,DS_GMP_Score_6,IF(B536&lt;=DS_GMP_ML_7,DS_GMP_Score_7,IF(B536&lt;=DS_GMP_ML_8,DS_GMP_Score_8,0))))))))))))</f>
        <v/>
      </c>
      <c r="D536" s="823">
        <f>IFERROR(RANK(B536,B$536:B$539,1),5)</f>
        <v>5</v>
      </c>
      <c r="E536" s="823">
        <f>IFERROR(RANK(C536,C$536:C$539,0),5)</f>
        <v>5</v>
      </c>
      <c r="Z536" s="1062"/>
      <c r="AA536" s="1062"/>
      <c r="AB536" s="1447"/>
      <c r="AC536" s="1447"/>
      <c r="AD536" s="1447"/>
      <c r="AE536" s="1447"/>
      <c r="AF536" s="7"/>
      <c r="AG536" s="849"/>
      <c r="AI536" s="849"/>
      <c r="AJ536" s="1927"/>
    </row>
    <row r="537" spans="1:36">
      <c r="A537" s="6" t="s">
        <v>423</v>
      </c>
      <c r="B537" s="509" t="str">
        <f>IF(AND(Medical_Name&lt;&gt;"",Medical_Address&lt;&gt;"",Medical_Distance&lt;&gt;""),Medical_Distance,"")</f>
        <v/>
      </c>
      <c r="C537" s="538" t="str">
        <f>IF(B537="","",IF(B537=0,0,MIN(B$514,IF(County_Size="Small",IF(B537&lt;=DS_GMP_S_1,DS_GMP_Score_1,IF(B537&lt;=DS_GMP_S_2,DS_GMP_Score_2,IF(B537&lt;=DS_GMP_S_3,DS_GMP_Score_3,IF(B537&lt;=DS_GMP_S_4,DS_GMP_Score_4,IF(B537&lt;=DS_GMP_S_5,DS_GMP_Score_5,IF(B537&lt;=DS_GMP_S_6,DS_GMP_Score_6,IF(B537&lt;=DS_GMP_S_7,DS_GMP_Score_7,IF(B537&lt;=DS_GMP_S_8,DS_GMP_Score_8,0)))))))),IF(B537&lt;=DS_GMP_ML_1,DS_GMP_Score_1,IF(B537&lt;=DS_GMP_ML_2,DS_GMP_Score_2,IF(B537&lt;=DS_GMP_ML_3,DS_GMP_Score_3,IF(B537&lt;=DS_GMP_ML_4,DS_GMP_Score_4,IF(B537&lt;=DS_GMP_ML_5,DS_GMP_Score_5,IF(B537&lt;=DS_GMP_ML_6,DS_GMP_Score_6,IF(B537&lt;=DS_GMP_ML_7,DS_GMP_Score_7,IF(B537&lt;=DS_GMP_ML_8,DS_GMP_Score_8,0))))))))))))</f>
        <v/>
      </c>
      <c r="D537" s="823">
        <f>IFERROR(RANK(B537,B$536:B$539,1),5)</f>
        <v>5</v>
      </c>
      <c r="E537" s="823">
        <f>IFERROR(RANK(C537,C$536:C$539,0),5)</f>
        <v>5</v>
      </c>
      <c r="F537" s="2265"/>
      <c r="L537" s="823"/>
      <c r="Z537" s="1062"/>
      <c r="AA537" s="1062"/>
      <c r="AB537" s="1447"/>
      <c r="AC537" s="1447"/>
      <c r="AD537" s="1447"/>
      <c r="AE537" s="1447"/>
      <c r="AF537" s="7"/>
      <c r="AG537" s="849"/>
      <c r="AI537" s="849"/>
      <c r="AJ537" s="1927"/>
    </row>
    <row r="538" spans="1:36">
      <c r="A538" s="387" t="s">
        <v>424</v>
      </c>
      <c r="B538" s="541" t="str">
        <f>IF(AND(Pharmacy_Name&lt;&gt;"",Pharmacy_Address&lt;&gt;"",Pharmacy_Distance&lt;&gt;""),Pharmacy_Distance,"")</f>
        <v/>
      </c>
      <c r="C538" s="542" t="str">
        <f>IF(B538="","",IF(B538=0,0,MIN(B$514,IF(County_Size="Small",IF(B538&lt;=DS_GMP_S_1,DS_GMP_Score_1,IF(B538&lt;=DS_GMP_S_2,DS_GMP_Score_2,IF(B538&lt;=DS_GMP_S_3,DS_GMP_Score_3,IF(B538&lt;=DS_GMP_S_4,DS_GMP_Score_4,IF(B538&lt;=DS_GMP_S_5,DS_GMP_Score_5,IF(B538&lt;=DS_GMP_S_6,DS_GMP_Score_6,IF(B538&lt;=DS_GMP_S_7,DS_GMP_Score_7,IF(B538&lt;=DS_GMP_S_8,DS_GMP_Score_8,0)))))))),IF(B538&lt;=DS_GMP_ML_1,DS_GMP_Score_1,IF(B538&lt;=DS_GMP_ML_2,DS_GMP_Score_2,IF(B538&lt;=DS_GMP_ML_3,DS_GMP_Score_3,IF(B538&lt;=DS_GMP_ML_4,DS_GMP_Score_4,IF(B538&lt;=DS_GMP_ML_5,DS_GMP_Score_5,IF(B538&lt;=DS_GMP_ML_6,DS_GMP_Score_6,IF(B538&lt;=DS_GMP_ML_7,DS_GMP_Score_7,IF(B538&lt;=DS_GMP_ML_8,DS_GMP_Score_8,0))))))))))))</f>
        <v/>
      </c>
      <c r="D538" s="823">
        <f>IFERROR(RANK(B538,B$536:B$539,1),5)</f>
        <v>5</v>
      </c>
      <c r="E538" s="823">
        <f>IFERROR(RANK(C538,C$536:C$539,0),5)</f>
        <v>5</v>
      </c>
      <c r="M538" s="823"/>
      <c r="Z538" s="1062"/>
      <c r="AA538" s="1062"/>
      <c r="AB538" s="1447"/>
      <c r="AC538" s="1447"/>
      <c r="AD538" s="1447"/>
      <c r="AE538" s="1447"/>
      <c r="AF538" s="7"/>
      <c r="AG538" s="849"/>
      <c r="AI538" s="849"/>
      <c r="AJ538" s="1927"/>
    </row>
    <row r="539" spans="1:36">
      <c r="A539" s="931" t="s">
        <v>415</v>
      </c>
      <c r="B539" s="883" t="str">
        <f>IF(AND(School_Name&lt;&gt;"",School_Address&lt;&gt;"",School_Distance&lt;&gt;""),School_Distance,"")</f>
        <v/>
      </c>
      <c r="C539" s="884" t="str">
        <f>IF(B539="","",IF(B539=0,0,MIN(B$514,IF(County_Size="Small",IF(B539&lt;=DS_PS_S_1,DS_PS_Score_1,IF(B539&lt;=DS_PS_S_2,DS_PS_Score_2,IF(B539&lt;=DS_PS_S_3,DS_PS_Score_3,IF(B539&lt;=DS_PS_S_4,DS_PS_Score_4,IF(B539&lt;=DS_PS_S_5,DS_PS_Score_5,IF(B539&lt;=DS_PS_S_6,DS_PS_Score_6,IF(B539&lt;=DS_PS_S_7,DS_PS_Score_7,0))))))),IF(B539&lt;=DS_PS_ML_1,DS_PS_Score_1,IF(B539&lt;=DS_PS_ML_2,DS_PS_Score_2,IF(B539&lt;=DS_PS_ML_3,DS_PS_Score_3,IF(B539&lt;=DS_PS_ML_4,DS_PS_Score_4,IF(B539&lt;=DS_PS_ML_5,DS_PS_Score_5,IF(B539&lt;=DS_PS_ML_6,DS_PS_Score_6,IF(B539&lt;=DS_PS_ML_7,DS_PS_Score_7,0)))))))))))</f>
        <v/>
      </c>
      <c r="D539" s="960">
        <f>IFERROR(RANK(B539,B$536:B$539,1),5)</f>
        <v>5</v>
      </c>
      <c r="E539" s="960">
        <f>IFERROR(RANK(C539,C$536:C$539,0),5)</f>
        <v>5</v>
      </c>
      <c r="M539" s="823"/>
      <c r="Z539" s="1062"/>
      <c r="AA539" s="1062"/>
      <c r="AB539" s="1447"/>
      <c r="AC539" s="1447"/>
      <c r="AD539" s="1447"/>
      <c r="AE539" s="1447"/>
      <c r="AF539" s="7"/>
      <c r="AG539" s="849"/>
      <c r="AI539" s="849"/>
      <c r="AJ539" s="1927"/>
    </row>
    <row r="540" spans="1:36">
      <c r="Z540" s="1062"/>
      <c r="AA540" s="1062"/>
      <c r="AB540" s="1447"/>
      <c r="AC540" s="1447"/>
      <c r="AD540" s="1447"/>
      <c r="AE540" s="1447"/>
      <c r="AF540" s="7"/>
      <c r="AG540" s="849"/>
      <c r="AI540" s="849"/>
      <c r="AJ540" s="1927"/>
    </row>
    <row r="541" spans="1:36">
      <c r="Z541" s="1062"/>
      <c r="AA541" s="1062"/>
      <c r="AB541" s="1447"/>
      <c r="AC541" s="1447"/>
      <c r="AD541" s="1447"/>
      <c r="AE541" s="1447"/>
      <c r="AF541" s="7"/>
      <c r="AG541" s="849"/>
      <c r="AI541" s="849"/>
      <c r="AJ541" s="1927"/>
    </row>
    <row r="542" spans="1:36">
      <c r="A542" s="507" t="s">
        <v>425</v>
      </c>
      <c r="B542" s="3112">
        <f>IF(Private_transportation="Yes",0,COUNT('Proximity, Mand.Dist., RECAP'!H24:H26))</f>
        <v>0</v>
      </c>
      <c r="C542" s="3113"/>
      <c r="F542" s="540" t="s">
        <v>426</v>
      </c>
      <c r="Z542" s="1062"/>
      <c r="AA542" s="1062"/>
      <c r="AB542" s="1447"/>
      <c r="AC542" s="1447"/>
      <c r="AD542" s="1447"/>
      <c r="AE542" s="1447"/>
      <c r="AF542" s="7"/>
      <c r="AG542" s="849"/>
      <c r="AI542" s="849"/>
      <c r="AJ542" s="1927"/>
    </row>
    <row r="543" spans="1:36">
      <c r="A543" s="508" t="s">
        <v>427</v>
      </c>
      <c r="B543" s="3110">
        <f>IF(Private_transportation="Yes",0,MAX('Proximity, Mand.Dist., RECAP'!H24:H26))</f>
        <v>0</v>
      </c>
      <c r="C543" s="3111"/>
      <c r="F543" t="s">
        <v>2467</v>
      </c>
      <c r="Z543" s="1062"/>
      <c r="AA543" s="1062"/>
      <c r="AB543" s="1447"/>
      <c r="AC543" s="1447"/>
      <c r="AD543" s="1447"/>
      <c r="AE543" s="1447"/>
      <c r="AF543" s="7"/>
      <c r="AG543" s="849"/>
      <c r="AI543" s="849"/>
      <c r="AJ543" s="1927"/>
    </row>
    <row r="544" spans="1:36">
      <c r="N544" s="823"/>
      <c r="Z544" s="1062"/>
      <c r="AA544" s="1062"/>
      <c r="AB544" s="1447"/>
      <c r="AC544" s="1447"/>
      <c r="AD544" s="1447"/>
      <c r="AE544" s="1447"/>
      <c r="AF544" s="7"/>
      <c r="AG544" s="849"/>
      <c r="AI544" s="849"/>
      <c r="AJ544" s="1927"/>
    </row>
    <row r="545" spans="1:36">
      <c r="A545" s="6" t="s">
        <v>428</v>
      </c>
      <c r="B545" s="811" t="str">
        <f>IF(LGAO_Designation="Yes","Yes","No")</f>
        <v>No</v>
      </c>
      <c r="F545" s="1752" t="s">
        <v>3241</v>
      </c>
      <c r="Z545" s="1062"/>
      <c r="AA545" s="1062"/>
      <c r="AB545" s="1447"/>
      <c r="AC545" s="1447"/>
      <c r="AD545" s="1447"/>
      <c r="AE545" s="1447"/>
      <c r="AF545" s="7"/>
      <c r="AG545" s="849"/>
      <c r="AI545" s="849"/>
      <c r="AJ545" s="1927"/>
    </row>
    <row r="546" spans="1:36">
      <c r="A546" t="s">
        <v>429</v>
      </c>
      <c r="B546" s="287" t="str">
        <f>IF(SunRail_Prox_Score="Yes","Yes","No")</f>
        <v>No</v>
      </c>
      <c r="Z546" s="1062"/>
      <c r="AA546" s="1062"/>
      <c r="AB546" s="1447"/>
      <c r="AC546" s="1447"/>
      <c r="AD546" s="1447"/>
      <c r="AE546" s="1447"/>
      <c r="AF546" s="7"/>
      <c r="AG546" s="849"/>
      <c r="AI546" s="849"/>
      <c r="AJ546" s="1927"/>
    </row>
    <row r="547" spans="1:36">
      <c r="A547" t="s">
        <v>430</v>
      </c>
      <c r="B547" s="287" t="str">
        <f>IF(DS_ExcelCheckbox_LGAO_Prior_App_2YR=TRUE,"Yes","No")</f>
        <v>No</v>
      </c>
      <c r="Z547" s="1062"/>
      <c r="AA547" s="1062"/>
      <c r="AB547" s="1447"/>
      <c r="AC547" s="1447"/>
      <c r="AD547" s="1447"/>
      <c r="AE547" s="1447"/>
      <c r="AF547" s="7"/>
      <c r="AG547" s="849"/>
      <c r="AI547" s="849"/>
      <c r="AJ547" s="1927"/>
    </row>
    <row r="548" spans="1:36">
      <c r="Z548" s="1062"/>
      <c r="AA548" s="1062"/>
      <c r="AB548" s="1447"/>
      <c r="AC548" s="1447"/>
      <c r="AD548" s="1447"/>
      <c r="AE548" s="1447"/>
      <c r="AF548" s="7"/>
      <c r="AG548" s="849"/>
      <c r="AI548" s="849"/>
      <c r="AJ548" s="1927"/>
    </row>
    <row r="549" spans="1:36" ht="18" customHeight="1">
      <c r="A549" s="531" t="s">
        <v>1545</v>
      </c>
      <c r="B549" s="532" t="s">
        <v>37</v>
      </c>
      <c r="C549" s="532" t="s">
        <v>38</v>
      </c>
      <c r="D549" s="532" t="s">
        <v>39</v>
      </c>
      <c r="E549" s="483" t="s">
        <v>2637</v>
      </c>
      <c r="F549" s="64" t="s">
        <v>41</v>
      </c>
      <c r="G549" s="106" t="s">
        <v>2624</v>
      </c>
      <c r="Z549" s="1062"/>
      <c r="AA549" s="1062"/>
      <c r="AB549" s="1447"/>
      <c r="AC549" s="1447"/>
      <c r="AD549" s="1447"/>
      <c r="AE549" s="1447"/>
      <c r="AF549" s="7"/>
      <c r="AG549" s="849"/>
      <c r="AI549" s="849"/>
      <c r="AJ549" s="1927"/>
    </row>
    <row r="550" spans="1:36">
      <c r="A550" s="267" t="s">
        <v>1558</v>
      </c>
      <c r="B550" s="57">
        <v>1</v>
      </c>
      <c r="C550" s="60">
        <f>IF(B550&lt;&gt;1,"",SUM(B$550:B550))</f>
        <v>1</v>
      </c>
      <c r="D550" s="57">
        <v>1</v>
      </c>
      <c r="E550" s="376"/>
      <c r="F550" s="64" t="str">
        <f ca="1">IF(COUNTA($A$550:$A550)&lt;=MAX(DS_SunRail_Sequence)=TRUE,LOOKUP(COUNTA($A$550:$A550),DS_SunRail_Sequence,DS_SunRail_DataNames),"")</f>
        <v>AdventHealth (500 E. Rollins St., Orlando, 32803)</v>
      </c>
      <c r="G550" s="106" t="s">
        <v>2625</v>
      </c>
      <c r="H550" s="376">
        <v>8</v>
      </c>
      <c r="Z550" s="1062"/>
      <c r="AA550" s="1062"/>
      <c r="AB550" s="1447"/>
      <c r="AC550" s="1447"/>
      <c r="AD550" s="1447"/>
      <c r="AE550" s="1447"/>
      <c r="AF550" s="7"/>
      <c r="AG550" s="849"/>
      <c r="AI550" s="849"/>
      <c r="AJ550" s="1927"/>
    </row>
    <row r="551" spans="1:36">
      <c r="A551" s="251" t="s">
        <v>1561</v>
      </c>
      <c r="B551" s="58">
        <v>1</v>
      </c>
      <c r="C551" s="921">
        <f>IF(B551&lt;&gt;1,"",SUM(B$550:B551))</f>
        <v>2</v>
      </c>
      <c r="D551" s="58">
        <v>2</v>
      </c>
      <c r="E551" s="394"/>
      <c r="F551" s="64" t="str">
        <f ca="1">IF(COUNTA($A$550:$A551)&lt;=MAX(DS_SunRail_Sequence)=TRUE,LOOKUP(COUNTA($A$550:$A551),DS_SunRail_Sequence,DS_SunRail_DataNames),"")</f>
        <v>Altamonte Springs (2741 S. Ronald Reagan Blvd., Altamonte Springs, 32701)</v>
      </c>
      <c r="G551" s="106" t="s">
        <v>2626</v>
      </c>
      <c r="H551" s="394">
        <v>5</v>
      </c>
      <c r="Z551" s="1062"/>
      <c r="AA551" s="1062"/>
      <c r="AB551" s="1447"/>
      <c r="AC551" s="1447"/>
      <c r="AD551" s="1447"/>
      <c r="AE551" s="1447"/>
      <c r="AF551" s="7"/>
      <c r="AG551" s="849"/>
      <c r="AI551" s="849"/>
      <c r="AJ551" s="1927"/>
    </row>
    <row r="552" spans="1:36">
      <c r="A552" s="251" t="s">
        <v>1556</v>
      </c>
      <c r="B552" s="58">
        <v>1</v>
      </c>
      <c r="C552" s="921">
        <f>IF(B552&lt;&gt;1,"",SUM(B$550:B552))</f>
        <v>3</v>
      </c>
      <c r="D552" s="58">
        <v>3</v>
      </c>
      <c r="E552" s="394"/>
      <c r="F552" s="64" t="str">
        <f ca="1">IF(COUNTA($A$550:$A552)&lt;=MAX(DS_SunRail_Sequence)=TRUE,LOOKUP(COUNTA($A$550:$A552),DS_SunRail_Sequence,DS_SunRail_DataNames),"")</f>
        <v>Church Street (99 W. South St., Orlando, 32801)</v>
      </c>
      <c r="G552" s="106" t="s">
        <v>2625</v>
      </c>
      <c r="H552" s="394">
        <v>10</v>
      </c>
      <c r="Z552" s="1062"/>
      <c r="AA552" s="1062"/>
      <c r="AB552" s="1447"/>
      <c r="AC552" s="1447"/>
      <c r="AD552" s="1447"/>
      <c r="AE552" s="1447"/>
      <c r="AF552" s="7"/>
      <c r="AG552" s="849"/>
      <c r="AI552" s="849"/>
      <c r="AJ552" s="1927"/>
    </row>
    <row r="553" spans="1:36">
      <c r="A553" s="251" t="s">
        <v>1546</v>
      </c>
      <c r="B553" s="58">
        <v>1</v>
      </c>
      <c r="C553" s="921">
        <f>IF(B553&lt;&gt;1,"",SUM(B$550:B553))</f>
        <v>4</v>
      </c>
      <c r="D553" s="58">
        <v>4</v>
      </c>
      <c r="E553" s="394"/>
      <c r="F553" s="64" t="str">
        <f ca="1">IF(COUNTA($A$550:$A553)&lt;=MAX(DS_SunRail_Sequence)=TRUE,LOOKUP(COUNTA($A$550:$A553),DS_SunRail_Sequence,DS_SunRail_DataNames),"")</f>
        <v>Debary (630 South Charles R. Beall Blvd., DeBary, 32713)</v>
      </c>
      <c r="G553" s="106" t="s">
        <v>2625</v>
      </c>
      <c r="H553" s="394">
        <v>1</v>
      </c>
      <c r="Z553" s="1062"/>
      <c r="AA553" s="1062"/>
      <c r="AB553" s="1447"/>
      <c r="AC553" s="1447"/>
      <c r="AD553" s="1447"/>
      <c r="AE553" s="1447"/>
      <c r="AF553" s="7"/>
      <c r="AG553" s="849"/>
      <c r="AI553" s="849"/>
      <c r="AJ553" s="1927"/>
    </row>
    <row r="554" spans="1:36">
      <c r="A554" s="251" t="s">
        <v>2638</v>
      </c>
      <c r="B554" s="58">
        <v>1</v>
      </c>
      <c r="C554" s="921">
        <f>IF(B554&lt;&gt;1,"",SUM(B$550:B554))</f>
        <v>5</v>
      </c>
      <c r="D554" s="58">
        <v>5</v>
      </c>
      <c r="E554" s="394"/>
      <c r="F554" s="64" t="str">
        <f ca="1">IF(COUNTA($A$550:$A554)&lt;=MAX(DS_SunRail_Sequence)=TRUE,LOOKUP(COUNTA($A$550:$A554),DS_SunRail_Sequence,DS_SunRail_DataNames),"")</f>
        <v>Deland / Amtrak (2491 Old New Yourk Avenue, DeLand, FL)</v>
      </c>
      <c r="G554" s="106" t="s">
        <v>2625</v>
      </c>
      <c r="H554" s="394"/>
      <c r="Z554" s="1062"/>
      <c r="AA554" s="1062"/>
      <c r="AB554" s="1447"/>
      <c r="AC554" s="1447"/>
      <c r="AD554" s="1447"/>
      <c r="AE554" s="1447"/>
      <c r="AF554" s="7"/>
      <c r="AG554" s="849"/>
      <c r="AI554" s="849"/>
      <c r="AJ554" s="1927"/>
    </row>
    <row r="555" spans="1:36">
      <c r="A555" s="251" t="s">
        <v>1547</v>
      </c>
      <c r="B555" s="58">
        <v>1</v>
      </c>
      <c r="C555" s="921">
        <f>IF(B555&lt;&gt;1,"",SUM(B$550:B555))</f>
        <v>6</v>
      </c>
      <c r="D555" s="58">
        <v>6</v>
      </c>
      <c r="E555" s="394"/>
      <c r="F555" s="64" t="str">
        <f ca="1">IF(COUNTA($A$550:$A555)&lt;=MAX(DS_SunRail_Sequence)=TRUE,LOOKUP(COUNTA($A$550:$A555),DS_SunRail_Sequence,DS_SunRail_DataNames),"")</f>
        <v>Kissimmee / Amtrak (320 Pleasant St., Kissimmee, 34741)</v>
      </c>
      <c r="G555" s="106" t="s">
        <v>2625</v>
      </c>
      <c r="H555" s="394">
        <v>15</v>
      </c>
      <c r="Z555" s="1062"/>
      <c r="AA555" s="1062"/>
      <c r="AB555" s="1447"/>
      <c r="AC555" s="1447"/>
      <c r="AD555" s="1447"/>
      <c r="AE555" s="1447"/>
      <c r="AF555" s="7"/>
      <c r="AG555" s="849"/>
      <c r="AI555" s="849"/>
      <c r="AJ555" s="1927"/>
    </row>
    <row r="556" spans="1:36">
      <c r="A556" s="251" t="s">
        <v>1548</v>
      </c>
      <c r="B556" s="58">
        <v>1</v>
      </c>
      <c r="C556" s="921">
        <f>IF(B556&lt;&gt;1,"",SUM(B$550:B556))</f>
        <v>7</v>
      </c>
      <c r="D556" s="58">
        <v>7</v>
      </c>
      <c r="E556" s="394"/>
      <c r="F556" s="64" t="str">
        <f ca="1">IF(COUNTA($A$550:$A556)&lt;=MAX(DS_SunRail_Sequence)=TRUE,LOOKUP(COUNTA($A$550:$A556),DS_SunRail_Sequence,DS_SunRail_DataNames),"")</f>
        <v>Lake Mary (220 W. Lake Mary Blvd., Lake Mary, 32746)</v>
      </c>
      <c r="G556" s="106" t="s">
        <v>2625</v>
      </c>
      <c r="H556" s="394">
        <v>3</v>
      </c>
      <c r="Z556" s="1062"/>
      <c r="AA556" s="1062"/>
      <c r="AB556" s="1447"/>
      <c r="AC556" s="1447"/>
      <c r="AD556" s="1447"/>
      <c r="AE556" s="1447"/>
      <c r="AF556" s="7"/>
      <c r="AG556" s="849"/>
      <c r="AI556" s="849"/>
      <c r="AJ556" s="1927"/>
    </row>
    <row r="557" spans="1:36">
      <c r="A557" s="251" t="s">
        <v>1549</v>
      </c>
      <c r="B557" s="58">
        <v>1</v>
      </c>
      <c r="C557" s="921">
        <f>IF(B557&lt;&gt;1,"",SUM(B$550:B557))</f>
        <v>8</v>
      </c>
      <c r="D557" s="58">
        <v>8</v>
      </c>
      <c r="E557" s="394"/>
      <c r="F557" s="64" t="str">
        <f ca="1">IF(COUNTA($A$550:$A557)&lt;=MAX(DS_SunRail_Sequence)=TRUE,LOOKUP(COUNTA($A$550:$A557),DS_SunRail_Sequence,DS_SunRail_DataNames),"")</f>
        <v>Longwood (149 E. Church Ave., Longwood, 32750)</v>
      </c>
      <c r="G557" s="106" t="s">
        <v>2625</v>
      </c>
      <c r="H557" s="394">
        <v>4</v>
      </c>
      <c r="Z557" s="1062"/>
      <c r="AA557" s="1062"/>
      <c r="AB557" s="1447"/>
      <c r="AC557" s="1447"/>
      <c r="AD557" s="1447"/>
      <c r="AE557" s="1447"/>
      <c r="AF557" s="7"/>
      <c r="AG557" s="849"/>
      <c r="AI557" s="849"/>
      <c r="AJ557" s="1927"/>
    </row>
    <row r="558" spans="1:36">
      <c r="A558" s="251" t="s">
        <v>1557</v>
      </c>
      <c r="B558" s="58">
        <v>1</v>
      </c>
      <c r="C558" s="921">
        <f>IF(B558&lt;&gt;1,"",SUM(B$550:B558))</f>
        <v>9</v>
      </c>
      <c r="D558" s="58">
        <v>9</v>
      </c>
      <c r="E558" s="394"/>
      <c r="F558" s="64" t="str">
        <f ca="1">IF(COUNTA($A$550:$A558)&lt;=MAX(DS_SunRail_Sequence)=TRUE,LOOKUP(COUNTA($A$550:$A558),DS_SunRail_Sequence,DS_SunRail_DataNames),"")</f>
        <v>Lynx Central (101 W. Livingston St., Orlando, 32801)</v>
      </c>
      <c r="G558" s="106" t="s">
        <v>2625</v>
      </c>
      <c r="H558" s="394">
        <v>9</v>
      </c>
      <c r="Z558" s="1062"/>
      <c r="AA558" s="1062"/>
      <c r="AB558" s="1447"/>
      <c r="AC558" s="1447"/>
      <c r="AD558" s="1447"/>
      <c r="AE558" s="1447"/>
      <c r="AF558" s="7"/>
      <c r="AG558" s="849"/>
      <c r="AI558" s="849"/>
      <c r="AJ558" s="1927"/>
    </row>
    <row r="559" spans="1:36">
      <c r="A559" s="251" t="s">
        <v>1560</v>
      </c>
      <c r="B559" s="58">
        <v>1</v>
      </c>
      <c r="C559" s="921">
        <f>IF(B559&lt;&gt;1,"",SUM(B$550:B559))</f>
        <v>10</v>
      </c>
      <c r="D559" s="58">
        <v>10</v>
      </c>
      <c r="E559" s="394"/>
      <c r="F559" s="64" t="str">
        <f ca="1">IF(COUNTA($A$550:$A559)&lt;=MAX(DS_SunRail_Sequence)=TRUE,LOOKUP(COUNTA($A$550:$A559),DS_SunRail_Sequence,DS_SunRail_DataNames),"")</f>
        <v>Maitland (801 N. Orlando Ave., Maitland, 32751)</v>
      </c>
      <c r="G559" s="106" t="s">
        <v>2625</v>
      </c>
      <c r="H559" s="394">
        <v>6</v>
      </c>
      <c r="Z559" s="1062"/>
      <c r="AA559" s="1062"/>
      <c r="AB559" s="1447"/>
      <c r="AC559" s="1447"/>
      <c r="AD559" s="1447"/>
      <c r="AE559" s="1447"/>
      <c r="AF559" s="7"/>
      <c r="AG559" s="849"/>
      <c r="AI559" s="849"/>
      <c r="AJ559" s="1927"/>
    </row>
    <row r="560" spans="1:36">
      <c r="A560" s="251" t="s">
        <v>1550</v>
      </c>
      <c r="B560" s="58">
        <v>1</v>
      </c>
      <c r="C560" s="921">
        <f>IF(B560&lt;&gt;1,"",SUM(B$550:B560))</f>
        <v>11</v>
      </c>
      <c r="D560" s="58">
        <v>11</v>
      </c>
      <c r="E560" s="394"/>
      <c r="F560" s="64" t="str">
        <f ca="1">IF(COUNTA($A$550:$A560)&lt;=MAX(DS_SunRail_Sequence)=TRUE,LOOKUP(COUNTA($A$550:$A560),DS_SunRail_Sequence,DS_SunRail_DataNames),"")</f>
        <v>Meadow Woods (120 Fairway Woods Blvd., Orlando, 32824)</v>
      </c>
      <c r="G560" s="106" t="s">
        <v>2625</v>
      </c>
      <c r="H560" s="394">
        <v>13</v>
      </c>
      <c r="Z560" s="1062"/>
      <c r="AA560" s="1062"/>
      <c r="AB560" s="1447"/>
      <c r="AC560" s="1447"/>
      <c r="AD560" s="1447"/>
      <c r="AE560" s="1447"/>
      <c r="AF560" s="7"/>
      <c r="AG560" s="849"/>
      <c r="AI560" s="849"/>
      <c r="AJ560" s="1927"/>
    </row>
    <row r="561" spans="1:36">
      <c r="A561" s="251" t="s">
        <v>1551</v>
      </c>
      <c r="B561" s="58">
        <v>1</v>
      </c>
      <c r="C561" s="921">
        <f>IF(B561&lt;&gt;1,"",SUM(B$550:B561))</f>
        <v>12</v>
      </c>
      <c r="D561" s="58">
        <v>12</v>
      </c>
      <c r="E561" s="394"/>
      <c r="F561" s="64" t="str">
        <f ca="1">IF(COUNTA($A$550:$A561)&lt;=MAX(DS_SunRail_Sequence)=TRUE,LOOKUP(COUNTA($A$550:$A561),DS_SunRail_Sequence,DS_SunRail_DataNames),"")</f>
        <v>Orlando Health / Amtrak (250 Columbia St., Orlando, 32806)</v>
      </c>
      <c r="G561" s="106" t="s">
        <v>2625</v>
      </c>
      <c r="H561" s="394">
        <v>11</v>
      </c>
      <c r="Z561" s="1062"/>
      <c r="AA561" s="1062"/>
      <c r="AB561" s="1447"/>
      <c r="AC561" s="1447"/>
      <c r="AD561" s="1447"/>
      <c r="AE561" s="1447"/>
      <c r="AF561" s="7"/>
      <c r="AG561" s="849"/>
      <c r="AI561" s="849"/>
      <c r="AJ561" s="1927"/>
    </row>
    <row r="562" spans="1:36">
      <c r="A562" s="251" t="s">
        <v>1552</v>
      </c>
      <c r="B562" s="58">
        <v>1</v>
      </c>
      <c r="C562" s="921">
        <f>IF(B562&lt;&gt;1,"",SUM(B$550:B562))</f>
        <v>13</v>
      </c>
      <c r="D562" s="58">
        <v>13</v>
      </c>
      <c r="E562" s="394"/>
      <c r="F562" s="64" t="str">
        <f ca="1">IF(COUNTA($A$550:$A562)&lt;=MAX(DS_SunRail_Sequence)=TRUE,LOOKUP(COUNTA($A$550:$A562),DS_SunRail_Sequence,DS_SunRail_DataNames),"")</f>
        <v>Poinciana (5025 S. Rail Ave., Kissimmee, 34746)</v>
      </c>
      <c r="G562" s="106" t="s">
        <v>2626</v>
      </c>
      <c r="H562" s="394">
        <v>16</v>
      </c>
      <c r="Z562" s="1062"/>
      <c r="AA562" s="1062"/>
      <c r="AB562" s="1447"/>
      <c r="AC562" s="1447"/>
      <c r="AD562" s="1447"/>
      <c r="AE562" s="1447"/>
      <c r="AF562" s="7"/>
      <c r="AG562" s="849"/>
      <c r="AI562" s="849"/>
      <c r="AJ562" s="1927"/>
    </row>
    <row r="563" spans="1:36">
      <c r="A563" s="251" t="s">
        <v>1553</v>
      </c>
      <c r="B563" s="58">
        <v>1</v>
      </c>
      <c r="C563" s="921">
        <f>IF(B563&lt;&gt;1,"",SUM(B$550:B563))</f>
        <v>14</v>
      </c>
      <c r="D563" s="58">
        <v>14</v>
      </c>
      <c r="E563" s="394"/>
      <c r="F563" s="64" t="str">
        <f ca="1">IF(COUNTA($A$550:$A563)&lt;=MAX(DS_SunRail_Sequence)=TRUE,LOOKUP(COUNTA($A$550:$A563),DS_SunRail_Sequence,DS_SunRail_DataNames),"")</f>
        <v>Sand Lake Road (8030 S. Orange Ave., Pine Castle, 32809)</v>
      </c>
      <c r="G563" s="106" t="s">
        <v>2625</v>
      </c>
      <c r="H563" s="394">
        <v>12</v>
      </c>
      <c r="Z563" s="1062"/>
      <c r="AA563" s="1062"/>
      <c r="AB563" s="1447"/>
      <c r="AC563" s="1447"/>
      <c r="AD563" s="1447"/>
      <c r="AE563" s="1447"/>
      <c r="AF563" s="7"/>
      <c r="AG563" s="849"/>
      <c r="AI563" s="849"/>
      <c r="AJ563" s="1927"/>
    </row>
    <row r="564" spans="1:36">
      <c r="A564" s="251" t="s">
        <v>1554</v>
      </c>
      <c r="B564" s="58">
        <v>1</v>
      </c>
      <c r="C564" s="921">
        <f>IF(B564&lt;&gt;1,"",SUM(B$550:B564))</f>
        <v>15</v>
      </c>
      <c r="D564" s="58">
        <v>15</v>
      </c>
      <c r="E564" s="394"/>
      <c r="F564" s="64" t="str">
        <f ca="1">IF(COUNTA($A$550:$A564)&lt;=MAX(DS_SunRail_Sequence)=TRUE,LOOKUP(COUNTA($A$550:$A564),DS_SunRail_Sequence,DS_SunRail_DataNames),"")</f>
        <v>Sanford (2720 W. State Road 46, Sanford, 32771)</v>
      </c>
      <c r="G564" s="106" t="s">
        <v>2625</v>
      </c>
      <c r="H564" s="394">
        <v>2</v>
      </c>
      <c r="Z564" s="1062"/>
      <c r="AA564" s="1062"/>
      <c r="AB564" s="1447"/>
      <c r="AC564" s="1447"/>
      <c r="AD564" s="1447"/>
      <c r="AE564" s="1447"/>
      <c r="AF564" s="7"/>
      <c r="AG564" s="849"/>
      <c r="AI564" s="849"/>
      <c r="AJ564" s="1927"/>
    </row>
    <row r="565" spans="1:36">
      <c r="A565" s="251" t="s">
        <v>1555</v>
      </c>
      <c r="B565" s="58">
        <v>1</v>
      </c>
      <c r="C565" s="921">
        <f>IF(B565&lt;&gt;1,"",SUM(B$550:B565))</f>
        <v>16</v>
      </c>
      <c r="D565" s="58">
        <v>16</v>
      </c>
      <c r="E565" s="394"/>
      <c r="F565" s="64" t="str">
        <f ca="1">IF(COUNTA($A$550:$A565)&lt;=MAX(DS_SunRail_Sequence)=TRUE,LOOKUP(COUNTA($A$550:$A565),DS_SunRail_Sequence,DS_SunRail_DataNames),"")</f>
        <v>Tupperware (3205 Orange Ave., Kissimmee, 34744)</v>
      </c>
      <c r="G565" s="106" t="s">
        <v>2625</v>
      </c>
      <c r="H565" s="394">
        <v>14</v>
      </c>
      <c r="Z565" s="1062"/>
      <c r="AA565" s="1062"/>
      <c r="AB565" s="1447"/>
      <c r="AC565" s="1447"/>
      <c r="AD565" s="1447"/>
      <c r="AE565" s="1447"/>
      <c r="AF565" s="7"/>
      <c r="AG565" s="849"/>
      <c r="AI565" s="849"/>
      <c r="AJ565" s="1927"/>
    </row>
    <row r="566" spans="1:36">
      <c r="A566" s="251" t="s">
        <v>1559</v>
      </c>
      <c r="B566" s="58">
        <v>1</v>
      </c>
      <c r="C566" s="921">
        <f>IF(B566&lt;&gt;1,"",SUM(B$550:B566))</f>
        <v>17</v>
      </c>
      <c r="D566" s="58">
        <v>17</v>
      </c>
      <c r="E566" s="394"/>
      <c r="F566" s="64" t="str">
        <f ca="1">IF(COUNTA($A$550:$A566)&lt;=MAX(DS_SunRail_Sequence)=TRUE,LOOKUP(COUNTA($A$550:$A566),DS_SunRail_Sequence,DS_SunRail_DataNames),"")</f>
        <v>Winter Park / Amtrak (148 W. Morse Blvd., Winter Park, 32789)</v>
      </c>
      <c r="G566" s="106" t="s">
        <v>2625</v>
      </c>
      <c r="H566" s="394">
        <v>7</v>
      </c>
      <c r="Z566" s="1062"/>
      <c r="AA566" s="1062"/>
      <c r="AB566" s="1447"/>
      <c r="AC566" s="1447"/>
      <c r="AD566" s="1447"/>
      <c r="AE566" s="1447"/>
      <c r="AF566" s="7"/>
      <c r="AG566" s="849"/>
      <c r="AI566" s="849"/>
      <c r="AJ566" s="1927"/>
    </row>
    <row r="567" spans="1:36">
      <c r="E567" s="823" t="s">
        <v>1592</v>
      </c>
      <c r="H567" s="823" t="s">
        <v>1592</v>
      </c>
      <c r="Z567" s="1062"/>
      <c r="AA567" s="1062"/>
      <c r="AB567" s="1447"/>
      <c r="AC567" s="1447"/>
      <c r="AD567" s="1447"/>
      <c r="AE567" s="1447"/>
      <c r="AF567" s="7"/>
      <c r="AG567" s="849"/>
      <c r="AI567" s="849"/>
      <c r="AJ567" s="1927"/>
    </row>
    <row r="568" spans="1:36">
      <c r="E568" s="823"/>
      <c r="Z568" s="1062"/>
      <c r="AA568" s="1062"/>
      <c r="AB568" s="1447"/>
      <c r="AC568" s="1447"/>
      <c r="AD568" s="1447"/>
      <c r="AE568" s="1447"/>
      <c r="AF568" s="7"/>
      <c r="AG568" s="849"/>
      <c r="AI568" s="849"/>
      <c r="AJ568" s="1927"/>
    </row>
    <row r="569" spans="1:36" ht="18" customHeight="1">
      <c r="A569" s="531" t="s">
        <v>991</v>
      </c>
      <c r="E569" s="483" t="str">
        <f>"4.A.5."&amp;'Proximity, Mand.Dist., RECAP'!A53&amp;"."</f>
        <v>4.A.5..</v>
      </c>
      <c r="Z569" s="1062"/>
      <c r="AA569" s="1062"/>
      <c r="AB569" s="1447"/>
      <c r="AC569" s="1447"/>
      <c r="AD569" s="1447"/>
      <c r="AE569" s="1447"/>
      <c r="AF569" s="7"/>
      <c r="AG569" s="849"/>
      <c r="AI569" s="849"/>
      <c r="AJ569" s="1927"/>
    </row>
    <row r="570" spans="1:36">
      <c r="A570" s="267" t="s">
        <v>1567</v>
      </c>
      <c r="B570" s="267"/>
      <c r="C570" s="267"/>
      <c r="D570" s="267"/>
      <c r="E570" s="267"/>
      <c r="F570" s="267"/>
      <c r="Z570" s="1062"/>
      <c r="AA570" s="1062"/>
      <c r="AB570" s="7"/>
      <c r="AC570" s="7"/>
      <c r="AD570" s="7"/>
      <c r="AE570" s="7"/>
      <c r="AF570" s="7"/>
      <c r="AG570" s="849"/>
      <c r="AI570" s="849"/>
      <c r="AJ570" s="1927"/>
    </row>
    <row r="571" spans="1:36" ht="15" customHeight="1">
      <c r="A571" s="273" t="s">
        <v>1698</v>
      </c>
      <c r="B571" s="394" t="str">
        <f>IF(Minimum_SetAside_per_Sec_42="&lt;select one&gt;","TBD",IF(OR(Minimum_SetAside_per_Sec_42=DS_IRS_2050,Minimum_SetAside_per_Sec_42=DS_IRS_4060),IF(SUMIF('Units, Set-Asides, Bldgs'!$I$50:$I$58,"&lt;="&amp;VLOOKUP(County,DS_CountyData,14),'Units, Set-Asides, Bldgs'!$G$50:$G$58)&gt;=30%,"Yes","No"),IF(Minimum_SetAside_per_Sec_42=DS_IRS_AIT,IF(SUM('Units, Set-Asides, Bldgs'!$G$71:$G$72)&gt;=30%,"Yes","No"),"NA")))</f>
        <v>TBD</v>
      </c>
      <c r="C571" s="1075" t="str">
        <f>IF(OR(Data1!B571="Yes",Data1!B571="No"),IF(OR(Minimum_SetAside_per_Sec_42=DS_IRS_2050,Minimum_SetAside_per_Sec_42=DS_IRS_4060),SUMIF('Units, Set-Asides, Bldgs'!$I$50:$I$58,"&lt;="&amp;VLOOKUP(County,DS_CountyData,14),'Units, Set-Asides, Bldgs'!$G$50:$G$58),SUM('Units, Set-Asides, Bldgs'!$G$71:$G$72)),"")</f>
        <v/>
      </c>
      <c r="D571" s="273"/>
      <c r="E571" s="273"/>
      <c r="F571" s="273"/>
      <c r="Z571" s="1062"/>
      <c r="AA571" s="1062"/>
      <c r="AB571" s="7"/>
      <c r="AC571" s="7"/>
      <c r="AD571" s="7"/>
      <c r="AE571" s="7"/>
      <c r="AF571" s="7"/>
      <c r="AG571" s="849"/>
      <c r="AI571" s="849"/>
      <c r="AJ571" s="1927"/>
    </row>
    <row r="572" spans="1:36">
      <c r="A572" s="273" t="s">
        <v>1579</v>
      </c>
      <c r="B572" s="394" t="str">
        <f>IF(OR(Development_Category="Rehabilitation",Development_Category="Acquisition and Rehabilitation"),"Yes","No")</f>
        <v>No</v>
      </c>
      <c r="C572" s="251"/>
      <c r="D572" s="251"/>
      <c r="E572" s="978"/>
      <c r="F572" s="68" t="str">
        <f>Development_Category</f>
        <v>&lt;select one&gt;</v>
      </c>
      <c r="Z572" s="1062"/>
      <c r="AA572" s="1062"/>
      <c r="AB572" s="7"/>
      <c r="AC572" s="7"/>
      <c r="AD572" s="7"/>
      <c r="AE572" s="7"/>
      <c r="AF572" s="7"/>
      <c r="AG572" s="849"/>
      <c r="AI572" s="849"/>
      <c r="AJ572" s="1927"/>
    </row>
    <row r="573" spans="1:36">
      <c r="A573" s="273" t="s">
        <v>1580</v>
      </c>
      <c r="B573" s="394" t="str">
        <f>IF(AND(Development_Category="New Construction",Development_SubCategory="Redevelopment (w/ or w/o Acquisition)"),"Yes","No")</f>
        <v>No</v>
      </c>
      <c r="C573" s="251"/>
      <c r="D573" s="251"/>
      <c r="E573" s="978"/>
      <c r="F573" s="68" t="str">
        <f>Development_Category</f>
        <v>&lt;select one&gt;</v>
      </c>
      <c r="Z573" s="1062"/>
      <c r="AA573" s="1062"/>
      <c r="AB573" s="7"/>
      <c r="AC573" s="7"/>
      <c r="AD573" s="7"/>
      <c r="AE573" s="7"/>
      <c r="AF573" s="7"/>
      <c r="AG573" s="849"/>
      <c r="AI573" s="849"/>
      <c r="AJ573" s="1927"/>
    </row>
    <row r="574" spans="1:36">
      <c r="A574" s="273" t="str">
        <f>"Did Applicant commit to (at least) "&amp;TEXT(C574,"0%")&amp;" ELI Set-Aside?"</f>
        <v>Did Applicant commit to (at least) 30% ELI Set-Aside?</v>
      </c>
      <c r="B574" s="394" t="str">
        <f>IF(Minimum_SetAside_per_Sec_42=DS_IRS_AIT,IF(SUM('Units, Set-Asides, Bldgs'!G71:G72)&gt;=C574,"Yes","No"),IF(OR(Minimum_SetAside_per_Sec_42=DS_IRS_2050,Minimum_SetAside_per_Sec_42=A631),IF(SUMIF('Units, Set-Asides, Bldgs'!I50:I56,"&lt;="&amp;IFERROR(VLOOKUP(County,DS_CountyData,14),0),'Units, Set-Asides, Bldgs'!G50:G56)&gt;=C574,"Yes","No"),"No"))</f>
        <v>No</v>
      </c>
      <c r="C574" s="3133">
        <v>0.3</v>
      </c>
      <c r="D574" s="3133"/>
      <c r="E574" s="978"/>
      <c r="F574" s="68" t="str">
        <f>Minimum_SetAside_per_Sec_42</f>
        <v>&lt;select one&gt;</v>
      </c>
      <c r="Z574" s="1062"/>
      <c r="AA574" s="1062"/>
      <c r="AB574" s="7"/>
      <c r="AC574" s="7"/>
      <c r="AD574" s="7"/>
      <c r="AE574" s="7"/>
      <c r="AF574" s="7"/>
      <c r="AG574" s="849"/>
      <c r="AI574" s="849"/>
      <c r="AJ574" s="1927"/>
    </row>
    <row r="575" spans="1:36">
      <c r="A575" s="273" t="s">
        <v>1568</v>
      </c>
      <c r="B575" s="394" t="str">
        <f>IF(RA_Level&lt;3,"Yes","No")</f>
        <v>No</v>
      </c>
      <c r="C575" s="251"/>
      <c r="D575" s="251"/>
      <c r="E575" s="978"/>
      <c r="F575" s="979">
        <f>RA_Level</f>
        <v>6</v>
      </c>
      <c r="Z575" s="1062"/>
      <c r="AA575" s="1062"/>
      <c r="AB575" s="7"/>
      <c r="AC575" s="7"/>
      <c r="AD575" s="7"/>
      <c r="AE575" s="7"/>
      <c r="AF575" s="7"/>
      <c r="AG575" s="849"/>
      <c r="AI575" s="849"/>
      <c r="AJ575" s="1927"/>
    </row>
    <row r="576" spans="1:36">
      <c r="A576" s="273" t="s">
        <v>1569</v>
      </c>
      <c r="B576" s="394" t="str">
        <f>IF(occupancy_status=F619,"Yes","No")</f>
        <v>No</v>
      </c>
      <c r="C576" s="251"/>
      <c r="D576" s="251"/>
      <c r="E576" s="978"/>
      <c r="F576" s="68" t="str">
        <f>occupancy_status</f>
        <v>&lt;select one&gt;</v>
      </c>
      <c r="Z576" s="1062"/>
      <c r="AA576" s="1062"/>
      <c r="AB576" s="7"/>
      <c r="AC576" s="7"/>
      <c r="AD576" s="7"/>
      <c r="AE576" s="7"/>
      <c r="AF576" s="7"/>
      <c r="AG576" s="849"/>
      <c r="AI576" s="849"/>
      <c r="AJ576" s="1927"/>
    </row>
    <row r="577" spans="1:36">
      <c r="A577" s="273" t="str">
        <f>"If Redev, is the expected PBRA greater than "&amp;TEXT(C577,"0% ")&amp;"of total units?"</f>
        <v>If Redev, is the expected PBRA greater than 75% of total units?</v>
      </c>
      <c r="B577" s="394" t="str">
        <f>IF(AND(AND(Development_Category="New Construction",Development_SubCategory="Redevelopment (w/ or w/o Acquisition)"),Total_Percent_RA_Units_Future&gt;C577),"Yes","No")</f>
        <v>No</v>
      </c>
      <c r="C577" s="3132">
        <v>0.75</v>
      </c>
      <c r="D577" s="3132"/>
      <c r="E577" s="251"/>
      <c r="F577" s="980" t="str">
        <f>TEXT(Total_Percent_RA_Units_Future,"0.000%")&amp;" with "&amp;TEXT(Total_RA_Units_Future,"0")&amp;" RA Units"</f>
        <v>0.000% with 0 RA Units</v>
      </c>
      <c r="Z577" s="1062"/>
      <c r="AA577" s="1062"/>
      <c r="AB577" s="7"/>
      <c r="AC577" s="7"/>
      <c r="AD577" s="7"/>
      <c r="AE577" s="7"/>
      <c r="AF577" s="7"/>
      <c r="AG577" s="849"/>
      <c r="AI577" s="849"/>
      <c r="AJ577" s="1927"/>
    </row>
    <row r="578" spans="1:36">
      <c r="A578" s="273" t="s">
        <v>1570</v>
      </c>
      <c r="B578" s="394" t="str">
        <f>IF(County_Size="Large","Yes","No")</f>
        <v>No</v>
      </c>
      <c r="C578" s="251"/>
      <c r="D578" s="251"/>
      <c r="E578" s="978"/>
      <c r="F578" s="68" t="str">
        <f>County_Size</f>
        <v/>
      </c>
      <c r="Z578" s="1062"/>
      <c r="AA578" s="1062"/>
      <c r="AB578" s="7"/>
      <c r="AC578" s="7"/>
      <c r="AD578" s="7"/>
      <c r="AE578" s="7"/>
      <c r="AF578" s="7"/>
      <c r="AG578" s="849"/>
      <c r="AI578" s="849"/>
      <c r="AJ578" s="1927"/>
    </row>
    <row r="579" spans="1:36">
      <c r="A579" s="273" t="s">
        <v>1582</v>
      </c>
      <c r="B579" s="394" t="str">
        <f>IF(AND(B572="Yes",B576="Yes",B574="Yes",B575="Yes"),"Yes","No")</f>
        <v>No</v>
      </c>
      <c r="C579" s="251"/>
      <c r="D579" s="251"/>
      <c r="E579" s="978"/>
      <c r="F579" s="981" t="s">
        <v>1576</v>
      </c>
      <c r="Z579" s="1062"/>
      <c r="AA579" s="1062"/>
      <c r="AB579" s="7"/>
      <c r="AC579" s="7"/>
      <c r="AD579" s="7"/>
      <c r="AE579" s="7"/>
      <c r="AF579" s="7"/>
      <c r="AG579" s="849"/>
      <c r="AI579" s="849"/>
      <c r="AJ579" s="1927"/>
    </row>
    <row r="580" spans="1:36">
      <c r="A580" s="273" t="s">
        <v>1583</v>
      </c>
      <c r="B580" s="394" t="str">
        <f>IF(AND(B573="Yes",B574="Yes",B575="Yes",B577="Yes"),"Yes","No")</f>
        <v>No</v>
      </c>
      <c r="C580" s="251"/>
      <c r="D580" s="251"/>
      <c r="E580" s="978"/>
      <c r="F580" s="981" t="s">
        <v>1577</v>
      </c>
      <c r="Z580" s="1062"/>
      <c r="AA580" s="1062"/>
      <c r="AB580" s="7"/>
      <c r="AC580" s="7"/>
      <c r="AD580" s="7"/>
      <c r="AE580" s="7"/>
      <c r="AF580" s="7"/>
      <c r="AG580" s="849"/>
      <c r="AI580" s="849"/>
      <c r="AJ580" s="1927"/>
    </row>
    <row r="581" spans="1:36">
      <c r="A581" s="273" t="s">
        <v>1584</v>
      </c>
      <c r="B581" s="394" t="str">
        <f>B578</f>
        <v>No</v>
      </c>
      <c r="C581" s="251"/>
      <c r="D581" s="251"/>
      <c r="E581" s="978"/>
      <c r="F581" s="981" t="s">
        <v>1578</v>
      </c>
      <c r="Z581" s="1062"/>
      <c r="AA581" s="1062"/>
      <c r="AB581" s="7"/>
      <c r="AC581" s="7"/>
      <c r="AD581" s="7"/>
      <c r="AE581" s="7"/>
      <c r="AF581" s="7"/>
      <c r="AG581" s="849"/>
      <c r="AI581" s="849"/>
      <c r="AJ581" s="1927"/>
    </row>
    <row r="582" spans="1:36">
      <c r="A582" s="671" t="s">
        <v>1581</v>
      </c>
      <c r="B582" s="969" t="str">
        <f>IF(OR(B579="Yes",B580="Yes",B581="Yes"),"Yes","No")</f>
        <v>No</v>
      </c>
      <c r="C582" s="251"/>
      <c r="D582" s="251"/>
      <c r="E582" s="978"/>
      <c r="F582" s="983" t="str">
        <f>IF(B582="Yes","Via"&amp;IF(COUNTIF(B579:B581,"Yes")&gt;1," both"," the")&amp;" 4.A.5.f.(1)("&amp;IF(B579="Yes","a",IF(B580="Yes","b","c"))&amp;IF(COUNTIF(B579:B581,"Yes")&gt;1,") and ("&amp;IF(B581="Yes","c",IF(B580="Yes","b","a")),"")&amp;") criteria","")</f>
        <v/>
      </c>
      <c r="Z582" s="1062"/>
      <c r="AA582" s="1062"/>
      <c r="AB582" s="7"/>
      <c r="AC582" s="7"/>
      <c r="AD582" s="7"/>
      <c r="AE582" s="7"/>
      <c r="AF582" s="7"/>
      <c r="AG582" s="849"/>
      <c r="AI582" s="849"/>
      <c r="AJ582" s="1927"/>
    </row>
    <row r="583" spans="1:36">
      <c r="A583" s="6"/>
      <c r="E583" s="509"/>
      <c r="Z583" s="1062"/>
      <c r="AA583" s="1062"/>
      <c r="AB583" s="7"/>
      <c r="AC583" s="7"/>
      <c r="AD583" s="7"/>
      <c r="AE583" s="7"/>
      <c r="AF583" s="7"/>
      <c r="AG583" s="849"/>
      <c r="AI583" s="849"/>
      <c r="AJ583" s="1927"/>
    </row>
    <row r="584" spans="1:36" ht="30" customHeight="1">
      <c r="A584" s="531" t="s">
        <v>431</v>
      </c>
      <c r="B584" s="1526" t="s">
        <v>2294</v>
      </c>
      <c r="C584" s="528" t="s">
        <v>432</v>
      </c>
      <c r="D584" s="1268" t="s">
        <v>433</v>
      </c>
      <c r="E584" s="483" t="s">
        <v>434</v>
      </c>
      <c r="G584" s="1526" t="s">
        <v>2292</v>
      </c>
      <c r="H584" s="1526" t="s">
        <v>2293</v>
      </c>
      <c r="K584" s="1526" t="s">
        <v>2296</v>
      </c>
      <c r="L584" s="528" t="s">
        <v>432</v>
      </c>
      <c r="M584" s="1268" t="s">
        <v>433</v>
      </c>
      <c r="N584" s="2380" t="s">
        <v>3036</v>
      </c>
      <c r="O584" s="1268"/>
      <c r="P584" s="1268"/>
      <c r="Z584" s="1062"/>
      <c r="AA584" s="1062"/>
      <c r="AB584" s="7"/>
      <c r="AC584" s="7"/>
      <c r="AD584" s="7"/>
      <c r="AE584" s="7"/>
      <c r="AF584" s="7"/>
      <c r="AG584" s="849"/>
      <c r="AI584" s="849"/>
      <c r="AJ584" s="1927"/>
    </row>
    <row r="585" spans="1:36">
      <c r="A585" t="s">
        <v>435</v>
      </c>
      <c r="B585" s="874">
        <v>30</v>
      </c>
      <c r="C585" s="822" t="s">
        <v>436</v>
      </c>
      <c r="D585" s="823">
        <v>1</v>
      </c>
      <c r="F585" s="849" t="s">
        <v>2010</v>
      </c>
      <c r="G585" s="239" t="str">
        <f>IF(AND(Demographic="Persons with Developmental Disabilities",C585="Yes"),DS_Min_Units_PDD_1,IF(AND(Demographic="Persons with a Disabling Condition",C586="Yes"),DS_Min_Units_PDC_1,IF(AND(County="Monroe",C587="Yes"),DS_Min_Units_Keys_1,IF(AND(County="Miami-Dade",C588="Yes",MD_N_S=F478),DS_Min_Units_No_MiamiDade_1,IF(AND(County="Miami-Dade",C589="Yes",MD_N_S=F479),DS_Min_Units_So_MiamiDade_1,IF(AND(County="Pinellas",C590="Yes"),DS_Min_Units_Pinellas_1,IF(AND(OR(County="Broward",County="Duval",County="Hillsborough",County="Orange",County="Palm Beach"),C591="Yes"),DS_Min_Units_6Large_1,IF(AND(OR(County="Lee",County="Polk"),C592="Yes"),DS_Min_Units_2Large_1,IF(AND(Non_Competitive_HC_Request_Amount&gt;0,C593="Yes"),DS_Min_Units_Bonds_1,IF(AND(Development_Category="New Construction",C594="Yes"),DS_Min_Units_NC_1,IF(AND(OR(Development_Category="Rehabilitation",Development_Category="Acquisition and Rehabilitation"),C595="Yes"),DS_Min_Units_AR_1,IF(AND(County_Size="Small",C596="Yes"),DS_Min_Units_General_Small_1,IF(AND(County_Size="Medium",C597="Yes"),DS_Min_Units_General_Medium_1,IF(AND(County_Size="Large",C598="Yes"),DS_Min_Units_General_Large_1,IF(C599="Yes",DS_Min_Units_Default_1,"TBD")))))))))))))))</f>
        <v>TBD</v>
      </c>
      <c r="H585" s="823" t="str">
        <f>IF(AND(Demographic="Persons with Developmental Disabilities",L585="Yes"),DS_Min_Units_PDD_2,IF(AND(Demographic="Persons with a Disabling Condition",L586="Yes"),DS_Min_Units_PDC_2,IF(AND(County="Monroe",L587="Yes"),DS_Min_Units_Keys_2,IF(AND(County="Miami-Dade",L588="Yes",MD_N_S=F478),DS_Min_Units_No_MiamiDade_2,IF(AND(County="Miami-Dade",L589="Yes",MD_N_S=F479),DS_Min_Units_So_MiamiDade_2,IF(AND(County="Pinellas",L590="Yes"),DS_Min_Units_Pinellas_2,IF(AND(OR(County="Broward",County="Duval",County="Hillsborough",County="Orange",County="Palm Beach"),L591="Yes"),DS_Min_Units_6Large_2,IF(AND(OR(County="Lee",County="Polk"),L592="Yes"),DS_Min_Units_2Large_2,IF(AND(Non_Competitive_HC_Request_Amount&gt;0,L593="Yes"),DS_Min_Units_Bonds_2,IF(AND(Development_Category="New Construction",L594="Yes"),DS_Min_Units_NC_2,IF(AND(OR(Development_Category="Rehabilitation",Development_Category="Acquisition and Rehabilitation"),L595="Yes"),DS_Min_Units_AR_2,IF(AND(County_Size="Small",L596="Yes"),DS_Min_Units_General_Small_2,IF(AND(County_Size="Medium",L597="Yes"),DS_Min_Units_General_Medium_2,IF(AND(County_Size="Large",L598="Yes"),DS_Min_Units_General_Large_2,IF(L599="Yes",DS_Min_Units_Default_2,"TBD")))))))))))))))</f>
        <v>TBD</v>
      </c>
      <c r="K585" s="874">
        <v>30</v>
      </c>
      <c r="L585" s="822" t="s">
        <v>436</v>
      </c>
      <c r="M585" s="823">
        <v>1</v>
      </c>
      <c r="N585" s="2388" t="s">
        <v>3000</v>
      </c>
      <c r="O585" s="3141" t="s">
        <v>2997</v>
      </c>
      <c r="P585" s="3141"/>
      <c r="Q585" s="1650" t="s">
        <v>2991</v>
      </c>
      <c r="R585" s="471"/>
      <c r="S585" s="471"/>
      <c r="T585" s="471"/>
      <c r="U585" s="471"/>
      <c r="V585" s="471"/>
      <c r="W585" s="471"/>
      <c r="X585" s="477"/>
      <c r="Y585" s="477"/>
      <c r="Z585" s="2385"/>
      <c r="AA585" s="2385"/>
      <c r="AB585" s="2386"/>
      <c r="AC585" s="2386"/>
      <c r="AD585" s="2386"/>
      <c r="AE585" s="2386"/>
      <c r="AF585" s="7"/>
      <c r="AG585" s="849"/>
      <c r="AI585" s="849"/>
      <c r="AJ585" s="1927"/>
    </row>
    <row r="586" spans="1:36">
      <c r="A586" t="s">
        <v>437</v>
      </c>
      <c r="B586" s="874">
        <v>30</v>
      </c>
      <c r="C586" s="822" t="s">
        <v>436</v>
      </c>
      <c r="D586" s="823">
        <v>2</v>
      </c>
      <c r="E586" s="849"/>
      <c r="F586" s="43" t="s">
        <v>2012</v>
      </c>
      <c r="G586" s="1321" t="str">
        <f>IF(AND(Demographic="Persons with Developmental Disabilities",C600="Yes"),DS_MaxUnits_PDD_1,IF(AND(Demographic="Persons with a Disabling Condition",C601="Yes"),DS_MaxUnits_PDC_1,IF(AND(Development_Category="New Construction",Demographic="Elderly ALF",C602="Yes"),DS_MaxUnits_NC_ALF_1,IF(AND(Development_Category&lt;&gt;"New Construction",Demographic="Elderly ALF",C603="Yes"),DS_MaxUnits_NotNC_ALF_1,IF(AND(Development_Category="New Construction",Demographic="Family",OR(N(MMRB_Max_TE_Request_Limit)&gt;0,N(Non_Competitive_HC_Request_Amount)&gt;0),C604="Yes"),DS_MaxUnits_NC_F_MMRB_1,IF(AND(OR(Development_Category="Rehabilitation",Development_Category="Acquisition and Rehabilitation"),Demographic="Elderly Non-ALF",OR(occupancy_status="Existing Units are currently occupied",occupancy_status="Existing Units are at least 75% occupied currently"),C605="Yes"),DS_MaxUnits_E_OccRehab_1,IF(AND(Development_Category="New Construction",Demographic="Elderly Non-ALF",C606="Yes"),DS_MaxUnits_E_NonOccRehab_1,IF(AND(AND(OR(Development_Category="Rehabilitation",Development_Category="Acquisition and Rehabilitation"),Development_SubCategory="Preservation (w/ or w/o Acquisition)"),OR(Demographic="Family",Demographic="Elderly Non-ALF",Demographic="Persons with a Disability"),C607="Yes"),DS_MaxUnits_Pres_1,IF(AND(Development_Category="New Construction",Demographic="Elderly Non-ALF",OR(County="Broward",County="Miami-Dade"),C608="Yes"),DS_MaxUnits_NC_E_BMD_1,IF(AND(Development_Category="New Construction",Demographic="Elderly Non-ALF",AND(County&lt;&gt;"Broward",County&lt;&gt;"Miami-Dade"),C609="Yes"),DS_MaxUnits_NC_E_NonBMD_1,IF(AND(Demographic="Family",C610="Yes"),DS_MaxUnits_Fam_1,IF(AND(Development_Category="New Construction",C611="Yes"),DS_MaxUnits_NC_1,IF(AND(OR(Development_Category="Rehabilitation",Development_Category="Acquisition and Rehabilitation"),C612="Yes"),DS_MaxUnits_AR_1,IF(AND(County_Size="Small",C613="Yes"),DS_MaxUnits_General_Small_1,IF(AND(County_Size="Medium",C614="Yes"),DS_MaxUnits_General_Medium_1,IF(AND(County_Size="Large",C615="Yes"),DS_MaxUnits_General_Large_1,IF(C616="Yes",DS_MaxUnits_Default_1,IF(County="&lt;select one&gt;","TBD","No Limit"))))))))))))))))))</f>
        <v>TBD</v>
      </c>
      <c r="H586" s="1321" t="str">
        <f>IF(AND(Demographic="Persons with Developmental Disabilities",L600="Yes"),DS_MaxUnits_PDD_2,IF(AND(Demographic="Persons with a Disabling Condition",L601="Yes"),DS_MaxUnits_PDC_2,IF(AND(Development_Category="New Construction",Demographic="Elderly ALF",L602="Yes"),DS_MaxUnits_NC_ALF_2,IF(AND(Development_Category&lt;&gt;"New Construction",Demographic="Elderly ALF",L603="Yes"),DS_MaxUnits_NotNC_ALF_2,IF(AND(Development_Category="New Construction",Demographic="Family",OR(N(MMRB_Max_TE_Request_Limit)&gt;0,N(Non_Competitive_HC_Request_Amount)&gt;0),L604="Yes"),DS_MaxUnits_NC_F_MMRB_2,IF(AND(OR(Development_Category="Rehabilitation",Development_Category="Acquisition and Rehabilitation"),Demographic="Elderly Non-ALF",OR(occupancy_status="Existing Units are currently occupied",occupancy_status="Existing Units are at least 75% occupied currently"),L605="Yes"),DS_MaxUnits_E_OccRehab_2,IF(AND(Development_Category="New Construction",Demographic="Elderly Non-ALF",L606="Yes"),DS_MaxUnits_E_NonOccRehab_2,IF(AND(AND(OR(Development_Category="Rehabilitation",Development_Category="Acquisition and Rehabilitation"),Development_SubCategory="Preservation (w/ or w/o Acquisition)"),OR(Demographic="Family",Demographic="Elderly Non-ALF",Demographic="Persons with a Disability"),L607="Yes"),DS_MaxUnits_Pres_2,IF(AND(Development_Category="New Construction",Demographic="Elderly Non-ALF",OR(County="Broward",County="Miami-Dade"),L608="Yes"),DS_MaxUnits_NC_E_BMD_2,IF(AND(Development_Category="New Construction",Demographic="Elderly Non-ALF",AND(County&lt;&gt;"Broward",County&lt;&gt;"Miami-Dade"),L609="Yes"),DS_MaxUnits_NC_E_NonBMD_2,IF(AND(Demographic="Family",L610="Yes"),DS_MaxUnits_Fam_2,IF(AND(Development_Category="New Construction",L611="Yes"),DS_MaxUnits_NC_2,IF(AND(OR(Development_Category="Rehabilitation",Development_Category="Acquisition and Rehabilitation"),L612="Yes"),DS_MaxUnits_AR_2,IF(AND(County_Size="Small",L613="Yes"),DS_MaxUnits_General_Small_2,IF(AND(County_Size="Medium",L614="Yes"),DS_MaxUnits_General_Medium_2,IF(AND(County_Size="Large",L615="Yes"),DS_MaxUnits_General_Large_2,IF(L616="Yes",DS_MaxUnits_Default_2,IF(County="&lt;select one&gt;","TBD","No Limit"))))))))))))))))))</f>
        <v>TBD</v>
      </c>
      <c r="K586" s="874">
        <v>30</v>
      </c>
      <c r="L586" s="822" t="s">
        <v>436</v>
      </c>
      <c r="M586" s="823">
        <v>2</v>
      </c>
      <c r="N586" s="2389" t="s">
        <v>3001</v>
      </c>
      <c r="O586" s="2943" t="s">
        <v>2998</v>
      </c>
      <c r="P586" s="2943"/>
      <c r="Q586" s="2387" t="str" cm="1">
        <f t="array" aca="1" ref="Q586" ca="1">"Attention: please provide the County for the proposed Development at Section 4.A.5.a. in the '"&amp;MID(CELL("filename",'Development Location'!A1),FIND("]",CELL("filename",'Development Location'!A1))+1,255)&amp;"' tab."</f>
        <v>Attention: please provide the County for the proposed Development at Section 4.A.5.a. in the 'Development Location' tab.</v>
      </c>
      <c r="R586" s="1681"/>
      <c r="S586" s="1681"/>
      <c r="T586" s="1681"/>
      <c r="U586" s="1681"/>
      <c r="V586" s="1681"/>
      <c r="W586" s="1681"/>
      <c r="X586" s="471"/>
      <c r="Y586" s="471"/>
      <c r="Z586" s="2381"/>
      <c r="AA586" s="2381"/>
      <c r="AB586" s="2382"/>
      <c r="AC586" s="2382"/>
      <c r="AD586" s="2382"/>
      <c r="AE586" s="2382"/>
      <c r="AF586" s="7"/>
      <c r="AG586" s="849"/>
      <c r="AI586" s="849"/>
      <c r="AJ586" s="1927"/>
    </row>
    <row r="587" spans="1:36" ht="14.65" customHeight="1">
      <c r="A587" t="s">
        <v>438</v>
      </c>
      <c r="B587" s="244">
        <v>20</v>
      </c>
      <c r="C587" s="494" t="s">
        <v>436</v>
      </c>
      <c r="D587" s="823">
        <v>2</v>
      </c>
      <c r="E587" s="849"/>
      <c r="F587" s="849" t="s">
        <v>2011</v>
      </c>
      <c r="G587" s="239" t="str">
        <f>IF(LDA_Notice&lt;&gt;"LDA",G586,IF(G586="No Limit",250,MIN(250,N(G586))))</f>
        <v>TBD</v>
      </c>
      <c r="H587" s="823" t="str">
        <f>IF(LDA_Notice&lt;&gt;"LDA",H586,IF(H586="No Limit",250,MIN(250,N(H586))))</f>
        <v>TBD</v>
      </c>
      <c r="K587" s="244">
        <v>20</v>
      </c>
      <c r="L587" s="494" t="s">
        <v>436</v>
      </c>
      <c r="M587" s="823">
        <v>2</v>
      </c>
      <c r="N587" s="2395" t="s">
        <v>3002</v>
      </c>
      <c r="O587" s="2946" t="s">
        <v>2999</v>
      </c>
      <c r="P587" s="2946"/>
      <c r="Q587" s="1681"/>
      <c r="R587" s="1681"/>
      <c r="S587" s="1681"/>
      <c r="T587" s="1681"/>
      <c r="U587" s="1681"/>
      <c r="V587" s="1681"/>
      <c r="W587" s="1681"/>
      <c r="AF587" s="7"/>
      <c r="AG587" s="849"/>
      <c r="AI587" s="849"/>
      <c r="AJ587" s="1927"/>
    </row>
    <row r="588" spans="1:36">
      <c r="A588" t="s">
        <v>439</v>
      </c>
      <c r="B588" s="244">
        <v>75</v>
      </c>
      <c r="C588" s="833" t="s">
        <v>436</v>
      </c>
      <c r="D588" s="823">
        <v>3</v>
      </c>
      <c r="E588" s="2378" t="s">
        <v>2989</v>
      </c>
      <c r="G588" t="s">
        <v>2013</v>
      </c>
      <c r="K588" s="244">
        <v>75</v>
      </c>
      <c r="L588" s="833" t="s">
        <v>436</v>
      </c>
      <c r="M588" s="823">
        <v>3</v>
      </c>
      <c r="N588" s="2947" t="s">
        <v>3003</v>
      </c>
      <c r="O588" s="2946" t="s">
        <v>3014</v>
      </c>
      <c r="P588" s="2946"/>
      <c r="Q588" s="2943" t="str">
        <f>"Compliance with the minimum number of "&amp;IF(Unit_Min_Limit_Basis="Total Units","","Set-Aside ")&amp;"units cannot be determined until 6."&amp;'Units, Set-Asides, Bldgs'!A28&amp;". below has a response."</f>
        <v>Compliance with the minimum number of Set-Aside units cannot be determined until 6.. below has a response.</v>
      </c>
      <c r="R588" s="2943"/>
      <c r="S588" s="2943"/>
      <c r="T588" s="2943"/>
      <c r="U588" s="2943"/>
      <c r="V588" s="2943"/>
      <c r="W588" s="2943"/>
      <c r="X588" s="1681"/>
      <c r="Y588" s="1681"/>
      <c r="Z588" s="2383"/>
      <c r="AA588" s="2383"/>
      <c r="AB588" s="2384"/>
      <c r="AC588" s="2384"/>
      <c r="AD588" s="2384"/>
      <c r="AE588" s="2384"/>
    </row>
    <row r="589" spans="1:36">
      <c r="A589" t="s">
        <v>440</v>
      </c>
      <c r="B589" s="874">
        <v>110</v>
      </c>
      <c r="C589" s="1201" t="str">
        <f>C588</f>
        <v>No</v>
      </c>
      <c r="D589" s="823">
        <v>4</v>
      </c>
      <c r="E589" s="2379" t="s">
        <v>2990</v>
      </c>
      <c r="K589" s="874">
        <v>110</v>
      </c>
      <c r="L589" s="1201" t="str">
        <f>L588</f>
        <v>No</v>
      </c>
      <c r="M589" s="823">
        <v>4</v>
      </c>
      <c r="N589" s="2947"/>
      <c r="O589" s="2946"/>
      <c r="P589" s="2946"/>
      <c r="Q589" s="2943"/>
      <c r="R589" s="2943"/>
      <c r="S589" s="2943"/>
      <c r="T589" s="2943"/>
      <c r="U589" s="2943"/>
      <c r="V589" s="2943"/>
      <c r="W589" s="2943"/>
      <c r="X589" s="1681"/>
      <c r="Y589" s="1681"/>
      <c r="Z589" s="2383"/>
      <c r="AA589" s="2383"/>
      <c r="AB589" s="2384"/>
      <c r="AC589" s="2384"/>
      <c r="AD589" s="2384"/>
      <c r="AE589" s="2384"/>
    </row>
    <row r="590" spans="1:36">
      <c r="A590" t="s">
        <v>441</v>
      </c>
      <c r="B590" s="874">
        <v>50</v>
      </c>
      <c r="C590" s="833" t="s">
        <v>436</v>
      </c>
      <c r="D590" s="823">
        <v>5</v>
      </c>
      <c r="F590" s="849" t="s">
        <v>2309</v>
      </c>
      <c r="G590" s="1534">
        <f>IF(Minimum_SetAside_per_Sec_42="&lt;select one&gt;",0,IF(OR(Minimum_SetAside_per_Sec_42=DS_IRS_2050,Minimum_SetAside_per_Sec_42=DS_IRS_4060),total_HC_units_NonAIT,total_HC_units_AIT))</f>
        <v>0</v>
      </c>
      <c r="K590" s="874">
        <v>50</v>
      </c>
      <c r="L590" s="833" t="s">
        <v>436</v>
      </c>
      <c r="M590" s="823">
        <v>5</v>
      </c>
      <c r="N590" s="2947" t="s">
        <v>3004</v>
      </c>
      <c r="O590" s="2946" t="s">
        <v>3009</v>
      </c>
      <c r="P590" s="2946"/>
      <c r="Q590" s="2944" t="str">
        <f>"Attention: Minimum number of "&amp;IF(Unit_Min_Limit_Basis="Total","","Set-Aside ")&amp;"units of "&amp;TEXT(IF(DS_Min_Units_1="&gt;=90% of Existing Units",90%*N(Existing_Units),N(DS_Min_Units_1)),"0")&amp;" is not met with "&amp;TEXT(N(IF(Unit_Min_Limit_Basis="Total",Total_Units,Set_Asides_from_Charts)),"0")&amp;
IF(Unit_Min_Limit_Basis="Total"," "," Set-Aside ")&amp;" units."</f>
        <v>Attention: Minimum number of units of 0 is not met with 0  units.</v>
      </c>
      <c r="R590" s="2944"/>
      <c r="S590" s="2944"/>
      <c r="T590" s="2944"/>
      <c r="U590" s="2944"/>
      <c r="V590" s="2944"/>
      <c r="W590" s="2944"/>
      <c r="X590" s="1681"/>
      <c r="Y590" s="1681"/>
      <c r="Z590" s="2383"/>
      <c r="AA590" s="2383"/>
      <c r="AB590" s="2384"/>
      <c r="AC590" s="2384"/>
      <c r="AD590" s="2384"/>
      <c r="AE590" s="2384"/>
    </row>
    <row r="591" spans="1:36">
      <c r="A591" t="s">
        <v>442</v>
      </c>
      <c r="B591" s="874">
        <v>75</v>
      </c>
      <c r="C591" s="833" t="s">
        <v>436</v>
      </c>
      <c r="D591" s="823">
        <v>6</v>
      </c>
      <c r="F591" s="849" t="s">
        <v>2375</v>
      </c>
      <c r="G591" s="1611" t="s">
        <v>2372</v>
      </c>
      <c r="H591" s="2607" t="s">
        <v>2374</v>
      </c>
      <c r="I591" s="243" t="s">
        <v>2372</v>
      </c>
      <c r="K591" s="874">
        <v>75</v>
      </c>
      <c r="L591" s="833" t="s">
        <v>436</v>
      </c>
      <c r="M591" s="823">
        <v>6</v>
      </c>
      <c r="N591" s="2947"/>
      <c r="O591" s="2946"/>
      <c r="P591" s="2946"/>
      <c r="Q591" s="2944"/>
      <c r="R591" s="2944"/>
      <c r="S591" s="2944"/>
      <c r="T591" s="2944"/>
      <c r="U591" s="2944"/>
      <c r="V591" s="2944"/>
      <c r="W591" s="2944"/>
      <c r="X591" s="1681"/>
      <c r="Y591" s="1681"/>
      <c r="Z591" s="2383"/>
      <c r="AA591" s="2383"/>
      <c r="AB591" s="2384"/>
      <c r="AC591" s="2384"/>
      <c r="AD591" s="2384"/>
      <c r="AE591" s="2384"/>
    </row>
    <row r="592" spans="1:36">
      <c r="A592" t="s">
        <v>2618</v>
      </c>
      <c r="B592" s="874">
        <v>75</v>
      </c>
      <c r="C592" s="833" t="s">
        <v>436</v>
      </c>
      <c r="D592" s="823">
        <v>7</v>
      </c>
      <c r="F592" s="849" t="s">
        <v>2376</v>
      </c>
      <c r="G592" s="1610" t="s">
        <v>2372</v>
      </c>
      <c r="H592" s="2607"/>
      <c r="I592" s="243" t="s">
        <v>2373</v>
      </c>
      <c r="K592" s="874">
        <v>75</v>
      </c>
      <c r="L592" s="833" t="s">
        <v>436</v>
      </c>
      <c r="M592" s="823">
        <v>7</v>
      </c>
      <c r="N592" s="2947" t="s">
        <v>3005</v>
      </c>
      <c r="O592" s="2946" t="s">
        <v>3010</v>
      </c>
      <c r="P592" s="2946"/>
      <c r="Q592" s="2943" t="str">
        <f>"Minimum number of "&amp;IF(Unit_Min_Limit_Basis="Total","","Set-Aside ")&amp;"units of "&amp;IF(DS_Min_Units_1="No Limit","no minimum",TEXT(IF(DS_Min_Units_1="&gt;=90% of Existing Units",90%*N(Existing_Units),N(DS_Min_Units_1)),"0"))&amp;" is met."</f>
        <v>Minimum number of units of 0 is met.</v>
      </c>
      <c r="R592" s="2943"/>
      <c r="S592" s="2943"/>
      <c r="T592" s="2943"/>
      <c r="U592" s="2943"/>
      <c r="V592" s="2943"/>
      <c r="W592" s="2943"/>
      <c r="X592" s="1681"/>
      <c r="Y592" s="1681"/>
      <c r="Z592" s="2383"/>
      <c r="AA592" s="2383"/>
      <c r="AB592" s="2384"/>
      <c r="AC592" s="2384"/>
      <c r="AD592" s="2384"/>
      <c r="AE592" s="2384"/>
    </row>
    <row r="593" spans="1:31" ht="14.65" customHeight="1">
      <c r="A593" t="s">
        <v>2247</v>
      </c>
      <c r="B593" s="874">
        <v>50</v>
      </c>
      <c r="C593" s="833" t="s">
        <v>436</v>
      </c>
      <c r="D593" s="823">
        <v>8</v>
      </c>
      <c r="H593" s="8"/>
      <c r="K593" s="874">
        <v>50</v>
      </c>
      <c r="L593" s="833" t="s">
        <v>436</v>
      </c>
      <c r="M593" s="823">
        <v>8</v>
      </c>
      <c r="N593" s="2947"/>
      <c r="O593" s="2946"/>
      <c r="P593" s="2946"/>
      <c r="Q593" s="2943"/>
      <c r="R593" s="2943"/>
      <c r="S593" s="2943"/>
      <c r="T593" s="2943"/>
      <c r="U593" s="2943"/>
      <c r="V593" s="2943"/>
      <c r="W593" s="2943"/>
      <c r="X593" s="1681"/>
      <c r="Y593" s="1681"/>
      <c r="Z593" s="2383"/>
      <c r="AA593" s="2383"/>
      <c r="AB593" s="2384"/>
      <c r="AC593" s="2384"/>
      <c r="AD593" s="2384"/>
      <c r="AE593" s="2384"/>
    </row>
    <row r="594" spans="1:31" ht="14.65" customHeight="1">
      <c r="A594" t="s">
        <v>1845</v>
      </c>
      <c r="B594" s="874">
        <f>MAX(50,N(Affordable_Units_of_Occupied)+IF(Link_Classification=Data1!$A$15,1,0))</f>
        <v>50</v>
      </c>
      <c r="C594" s="822" t="s">
        <v>436</v>
      </c>
      <c r="D594" s="823">
        <v>9</v>
      </c>
      <c r="K594" s="874">
        <f>MAX(50,N(Affordable_Units_of_Occupied)+IF(Link_Classification&lt;&gt;Data1!$A$15,1,0))</f>
        <v>50</v>
      </c>
      <c r="L594" s="822" t="s">
        <v>280</v>
      </c>
      <c r="M594" s="823">
        <v>9</v>
      </c>
      <c r="N594" s="2947" t="s">
        <v>3006</v>
      </c>
      <c r="O594" s="2946" t="s">
        <v>3011</v>
      </c>
      <c r="P594" s="2946"/>
      <c r="Q594" s="2944" t="str">
        <f>"Attention: Maximum number of "&amp;IF(Unit_Max_Limit_Basis="Total","","Set-Aside ")&amp;"units of "&amp;IF(DS_Max_Units_1="TBD","TBD",TEXT(N(DS_Max_Units_1),"0"))&amp;" is not met with "&amp;TEXT(N(IF(Unit_Max_Limit_Basis="Total",Total_Units,Set_Asides_from_Charts)),"0")&amp;IF(Unit_Max_Limit_Basis="Total"," "," Set-Aside ")&amp;"units."</f>
        <v>Attention: Maximum number of units of TBD is not met with 0 units.</v>
      </c>
      <c r="R594" s="2944"/>
      <c r="S594" s="2944"/>
      <c r="T594" s="2944"/>
      <c r="U594" s="2944"/>
      <c r="V594" s="2944"/>
      <c r="W594" s="2944"/>
      <c r="X594" s="1681"/>
      <c r="Y594" s="1681"/>
      <c r="Z594" s="2383"/>
      <c r="AA594" s="2383"/>
      <c r="AB594" s="2384"/>
      <c r="AC594" s="2384"/>
      <c r="AD594" s="2384"/>
      <c r="AE594" s="2384"/>
    </row>
    <row r="595" spans="1:31" ht="14.65" customHeight="1">
      <c r="A595" s="1752" t="s">
        <v>1644</v>
      </c>
      <c r="B595" s="874">
        <v>30</v>
      </c>
      <c r="C595" s="822" t="s">
        <v>280</v>
      </c>
      <c r="D595" s="823">
        <v>10</v>
      </c>
      <c r="K595" s="1511" t="s">
        <v>1646</v>
      </c>
      <c r="L595" s="822" t="s">
        <v>436</v>
      </c>
      <c r="M595" s="823">
        <v>10</v>
      </c>
      <c r="N595" s="2947"/>
      <c r="O595" s="2946"/>
      <c r="P595" s="2946"/>
      <c r="Q595" s="2944"/>
      <c r="R595" s="2944"/>
      <c r="S595" s="2944"/>
      <c r="T595" s="2944"/>
      <c r="U595" s="2944"/>
      <c r="V595" s="2944"/>
      <c r="W595" s="2944"/>
    </row>
    <row r="596" spans="1:31" ht="14.65" customHeight="1">
      <c r="A596" t="s">
        <v>443</v>
      </c>
      <c r="B596" s="874">
        <v>30</v>
      </c>
      <c r="C596" s="822" t="s">
        <v>436</v>
      </c>
      <c r="D596" s="823">
        <v>11</v>
      </c>
      <c r="F596" s="2378" t="s">
        <v>2468</v>
      </c>
      <c r="K596" s="874">
        <v>30</v>
      </c>
      <c r="L596" s="822" t="s">
        <v>436</v>
      </c>
      <c r="M596" s="823">
        <v>11</v>
      </c>
      <c r="N596" s="2947" t="s">
        <v>3007</v>
      </c>
      <c r="O596" s="2946" t="s">
        <v>3012</v>
      </c>
      <c r="P596" s="2946"/>
      <c r="Q596" s="2943" t="str">
        <f>"Maximum number of units of "&amp;TEXT(N(DS_Max_Units_1),"0")&amp;" is met."</f>
        <v>Maximum number of units of 0 is met.</v>
      </c>
      <c r="R596" s="2943"/>
      <c r="S596" s="2943"/>
      <c r="T596" s="2943"/>
      <c r="U596" s="2943"/>
      <c r="V596" s="2943"/>
      <c r="W596" s="2943"/>
      <c r="X596" s="1681"/>
      <c r="Y596" s="1681"/>
      <c r="Z596" s="2383"/>
      <c r="AA596" s="2383"/>
      <c r="AB596" s="2384"/>
      <c r="AC596" s="2384"/>
      <c r="AD596" s="2384"/>
      <c r="AE596" s="2384"/>
    </row>
    <row r="597" spans="1:31" ht="14.65" customHeight="1">
      <c r="A597" t="s">
        <v>444</v>
      </c>
      <c r="B597" s="874">
        <v>30</v>
      </c>
      <c r="C597" s="833" t="s">
        <v>436</v>
      </c>
      <c r="D597" s="823">
        <v>12</v>
      </c>
      <c r="F597" s="1"/>
      <c r="K597" s="874">
        <v>30</v>
      </c>
      <c r="L597" s="833" t="s">
        <v>436</v>
      </c>
      <c r="M597" s="823">
        <v>12</v>
      </c>
      <c r="N597" s="2947"/>
      <c r="O597" s="2946"/>
      <c r="P597" s="2946"/>
      <c r="Q597" s="2943"/>
      <c r="R597" s="2943"/>
      <c r="S597" s="2943"/>
      <c r="T597" s="2943"/>
      <c r="U597" s="2943"/>
      <c r="V597" s="2943"/>
      <c r="W597" s="2943"/>
    </row>
    <row r="598" spans="1:31" ht="14.65" customHeight="1">
      <c r="A598" t="s">
        <v>445</v>
      </c>
      <c r="B598" s="874">
        <v>50</v>
      </c>
      <c r="C598" s="833" t="s">
        <v>436</v>
      </c>
      <c r="D598" s="823">
        <v>13</v>
      </c>
      <c r="K598" s="874">
        <v>50</v>
      </c>
      <c r="L598" s="833" t="s">
        <v>436</v>
      </c>
      <c r="M598" s="823">
        <v>13</v>
      </c>
      <c r="N598" s="2395" t="s">
        <v>3008</v>
      </c>
      <c r="O598" s="2946" t="s">
        <v>2995</v>
      </c>
      <c r="P598" s="2946"/>
      <c r="Q598" s="2387" t="str">
        <f>"There is no maximum unit limit."</f>
        <v>There is no maximum unit limit.</v>
      </c>
      <c r="R598" s="1681"/>
      <c r="S598" s="1681"/>
      <c r="T598" s="1681"/>
      <c r="U598" s="1681"/>
      <c r="V598" s="1681"/>
      <c r="W598" s="1681"/>
      <c r="X598" s="1681"/>
      <c r="Y598" s="1681"/>
      <c r="Z598" s="2383"/>
      <c r="AA598" s="2383"/>
      <c r="AB598" s="2384"/>
      <c r="AC598" s="2384"/>
      <c r="AD598" s="2384"/>
      <c r="AE598" s="2384"/>
    </row>
    <row r="599" spans="1:31" ht="14.65" customHeight="1">
      <c r="A599" s="471" t="s">
        <v>2264</v>
      </c>
      <c r="B599" s="874">
        <v>50</v>
      </c>
      <c r="C599" s="833" t="s">
        <v>436</v>
      </c>
      <c r="D599" s="393">
        <v>14</v>
      </c>
      <c r="E599" s="2375" t="s">
        <v>2898</v>
      </c>
      <c r="F599" s="2376"/>
      <c r="G599" s="2377"/>
      <c r="H599" s="471"/>
      <c r="K599" s="874">
        <v>50</v>
      </c>
      <c r="L599" s="833" t="s">
        <v>436</v>
      </c>
      <c r="M599" s="393">
        <v>14</v>
      </c>
      <c r="N599" s="2389" t="s">
        <v>3015</v>
      </c>
      <c r="O599" s="2943" t="s">
        <v>3017</v>
      </c>
      <c r="P599" s="2943"/>
      <c r="Q599" s="2387" t="str">
        <f>"Attention: the Applicant must identify the Linked Application status in the General Information tab in order to determine compliance with the minimum set-aside requirement."</f>
        <v>Attention: the Applicant must identify the Linked Application status in the General Information tab in order to determine compliance with the minimum set-aside requirement.</v>
      </c>
      <c r="R599" s="1681"/>
      <c r="S599" s="1681"/>
      <c r="T599" s="1681"/>
      <c r="U599" s="1681"/>
      <c r="V599" s="1681"/>
      <c r="W599" s="1681"/>
      <c r="X599" s="1681"/>
      <c r="Y599" s="1681"/>
      <c r="Z599" s="2383"/>
      <c r="AA599" s="2383"/>
      <c r="AB599" s="2384"/>
      <c r="AC599" s="2384"/>
      <c r="AD599" s="2384"/>
      <c r="AE599" s="2384"/>
    </row>
    <row r="600" spans="1:31" ht="14.65" customHeight="1">
      <c r="A600" t="s">
        <v>446</v>
      </c>
      <c r="B600" s="874">
        <v>60</v>
      </c>
      <c r="C600" s="822" t="s">
        <v>436</v>
      </c>
      <c r="D600" s="823">
        <v>1</v>
      </c>
      <c r="K600" s="874">
        <v>60</v>
      </c>
      <c r="L600" s="822" t="s">
        <v>436</v>
      </c>
      <c r="M600" s="823">
        <v>1</v>
      </c>
      <c r="N600" t="s">
        <v>3016</v>
      </c>
      <c r="O600" s="2945" t="s">
        <v>3018</v>
      </c>
      <c r="P600" s="2945"/>
    </row>
    <row r="601" spans="1:31">
      <c r="A601" t="s">
        <v>447</v>
      </c>
      <c r="B601" s="874" t="s">
        <v>448</v>
      </c>
      <c r="C601" s="822" t="s">
        <v>436</v>
      </c>
      <c r="D601" s="823">
        <v>2</v>
      </c>
      <c r="F601" t="s">
        <v>11</v>
      </c>
      <c r="K601" s="874" t="s">
        <v>448</v>
      </c>
      <c r="L601" s="822" t="s">
        <v>436</v>
      </c>
      <c r="M601" s="823">
        <v>2</v>
      </c>
      <c r="N601" s="2389" t="s">
        <v>3019</v>
      </c>
      <c r="O601" s="2943" t="s">
        <v>2992</v>
      </c>
      <c r="P601" s="2943"/>
      <c r="Q601" s="2387" t="str">
        <f>"The applicable set-aside chart below must be completed to determine the number of set-aside units in the proposed Development which will be used to determine compliance with the minimum set-aside unit requirement. "&amp;"At this time, compliance cannot be confirmed."</f>
        <v>The applicable set-aside chart below must be completed to determine the number of set-aside units in the proposed Development which will be used to determine compliance with the minimum set-aside unit requirement. At this time, compliance cannot be confirmed.</v>
      </c>
      <c r="R601" s="1681"/>
      <c r="S601" s="1681"/>
      <c r="T601" s="1681"/>
      <c r="U601" s="1681"/>
      <c r="V601" s="1681"/>
      <c r="W601" s="1681"/>
      <c r="X601" s="1681"/>
      <c r="Y601" s="1681"/>
      <c r="Z601" s="2383"/>
      <c r="AA601" s="2383"/>
      <c r="AB601" s="2384"/>
      <c r="AC601" s="2384"/>
      <c r="AD601" s="2384"/>
      <c r="AE601" s="2384"/>
    </row>
    <row r="602" spans="1:31">
      <c r="A602" t="s">
        <v>449</v>
      </c>
      <c r="B602" s="874">
        <v>125</v>
      </c>
      <c r="C602" s="833" t="s">
        <v>436</v>
      </c>
      <c r="D602" s="823">
        <v>3</v>
      </c>
      <c r="E602" s="823">
        <v>5</v>
      </c>
      <c r="F602" t="s">
        <v>450</v>
      </c>
      <c r="G602" t="s">
        <v>50</v>
      </c>
      <c r="K602" s="874">
        <v>125</v>
      </c>
      <c r="L602" s="833" t="s">
        <v>436</v>
      </c>
      <c r="M602" s="823">
        <v>3</v>
      </c>
      <c r="N602" s="2389" t="s">
        <v>3020</v>
      </c>
      <c r="O602" s="2387" t="s">
        <v>2993</v>
      </c>
      <c r="P602" s="2387"/>
      <c r="Q602" s="2387" t="str">
        <f>"Compliance to the minimum set-aside unit requirement for a Combination Application is determined individually for the New Development and the Reconstructed Development below. Both of the individual minimums below are "</f>
        <v xml:space="preserve">Compliance to the minimum set-aside unit requirement for a Combination Application is determined individually for the New Development and the Reconstructed Development below. Both of the individual minimums below are </v>
      </c>
      <c r="R602" s="1681"/>
      <c r="S602" s="1681"/>
      <c r="T602" s="1681"/>
      <c r="U602" s="1681"/>
      <c r="V602" s="1681"/>
      <c r="W602" s="1681"/>
      <c r="X602" s="1681"/>
      <c r="Y602" s="1681"/>
      <c r="Z602" s="2383"/>
      <c r="AA602" s="2383"/>
      <c r="AB602" s="2384"/>
      <c r="AC602" s="2384"/>
      <c r="AD602" s="2384"/>
      <c r="AE602" s="2384"/>
    </row>
    <row r="603" spans="1:31">
      <c r="A603" t="s">
        <v>451</v>
      </c>
      <c r="B603" s="874">
        <v>125</v>
      </c>
      <c r="C603" s="833" t="s">
        <v>280</v>
      </c>
      <c r="D603" s="823">
        <v>4</v>
      </c>
      <c r="E603" s="823">
        <v>6</v>
      </c>
      <c r="F603" t="s">
        <v>452</v>
      </c>
      <c r="G603" t="s">
        <v>50</v>
      </c>
      <c r="K603" s="874">
        <v>125</v>
      </c>
      <c r="L603" s="833" t="s">
        <v>436</v>
      </c>
      <c r="M603" s="823">
        <v>4</v>
      </c>
      <c r="N603" s="2942" t="s">
        <v>3021</v>
      </c>
      <c r="O603" s="2943" t="s">
        <v>3013</v>
      </c>
      <c r="P603" s="2943"/>
      <c r="Q603" s="2943" t="str">
        <f ca="1">IF(OR(IFERROR(FIND("not met",Min_and_max_units_met_1),0)&gt;0,IFERROR(FIND("must have an entry",Min_and_max_units_met_1),0)&gt;0,IFERROR(FIND("not met",Min_and_max_units_met_2),0)&gt;0,IFERROR(FIND("must have an entry",Min_and_max_units_met_2),0)&gt;0),"NOT","")&amp;" met."</f>
        <v xml:space="preserve"> met.</v>
      </c>
      <c r="R603" s="2943"/>
      <c r="S603" s="2943"/>
      <c r="T603" s="2943"/>
      <c r="U603" s="2943"/>
      <c r="V603" s="2943"/>
      <c r="W603" s="2943"/>
      <c r="X603" s="1681"/>
      <c r="Y603" s="1681"/>
      <c r="Z603" s="2383"/>
      <c r="AA603" s="2383"/>
      <c r="AB603" s="2384"/>
      <c r="AC603" s="2384"/>
      <c r="AD603" s="2384"/>
      <c r="AE603" s="2384"/>
    </row>
    <row r="604" spans="1:31">
      <c r="A604" t="s">
        <v>453</v>
      </c>
      <c r="B604" s="874">
        <v>300</v>
      </c>
      <c r="C604" s="833" t="s">
        <v>436</v>
      </c>
      <c r="D604" s="823">
        <v>5</v>
      </c>
      <c r="E604" s="823">
        <v>7</v>
      </c>
      <c r="F604" t="s">
        <v>450</v>
      </c>
      <c r="G604" t="s">
        <v>44</v>
      </c>
      <c r="K604" s="874">
        <v>300</v>
      </c>
      <c r="L604" s="833" t="s">
        <v>436</v>
      </c>
      <c r="M604" s="823">
        <v>5</v>
      </c>
      <c r="N604" s="2942"/>
      <c r="O604" s="2943"/>
      <c r="P604" s="2943"/>
      <c r="Q604" s="2943"/>
      <c r="R604" s="2943"/>
      <c r="S604" s="2943"/>
      <c r="T604" s="2943"/>
      <c r="U604" s="2943"/>
      <c r="V604" s="2943"/>
      <c r="W604" s="2943"/>
      <c r="X604" s="1681"/>
      <c r="Y604" s="1681"/>
      <c r="Z604" s="2383"/>
      <c r="AA604" s="2383"/>
      <c r="AB604" s="2384"/>
      <c r="AC604" s="2384"/>
      <c r="AD604" s="2384"/>
      <c r="AE604" s="2384"/>
    </row>
    <row r="605" spans="1:31">
      <c r="A605" t="s">
        <v>1840</v>
      </c>
      <c r="B605" s="874" t="s">
        <v>448</v>
      </c>
      <c r="C605" s="833" t="s">
        <v>280</v>
      </c>
      <c r="D605" s="823">
        <v>6</v>
      </c>
      <c r="E605" s="823">
        <v>9</v>
      </c>
      <c r="F605" t="s">
        <v>1839</v>
      </c>
      <c r="K605" s="874" t="s">
        <v>448</v>
      </c>
      <c r="L605" s="833" t="s">
        <v>436</v>
      </c>
      <c r="M605" s="823">
        <v>6</v>
      </c>
      <c r="N605" s="2389" t="s">
        <v>3022</v>
      </c>
      <c r="O605" s="2943" t="s">
        <v>3023</v>
      </c>
      <c r="P605" s="2943"/>
      <c r="Q605" s="2387"/>
      <c r="R605" s="1681"/>
      <c r="S605" s="1681"/>
      <c r="T605" s="1681"/>
      <c r="U605" s="1681"/>
      <c r="V605" s="1681"/>
      <c r="W605" s="1681"/>
      <c r="X605" s="1681"/>
      <c r="Y605" s="1681"/>
      <c r="Z605" s="2383"/>
      <c r="AA605" s="2383"/>
      <c r="AB605" s="2384"/>
      <c r="AC605" s="2384"/>
      <c r="AD605" s="2384"/>
      <c r="AE605" s="2384"/>
    </row>
    <row r="606" spans="1:31">
      <c r="A606" t="s">
        <v>1842</v>
      </c>
      <c r="B606" s="874">
        <f>IF(OR(County="Miami-Dade",County="Broward"),200,160)</f>
        <v>160</v>
      </c>
      <c r="C606" s="833" t="s">
        <v>436</v>
      </c>
      <c r="D606" s="823">
        <v>7</v>
      </c>
      <c r="E606" s="823">
        <v>10</v>
      </c>
      <c r="F606" t="s">
        <v>1841</v>
      </c>
      <c r="G606" s="1" t="s">
        <v>2295</v>
      </c>
      <c r="K606" s="874">
        <f>IF(OR(County="Miami-Dade",County="Broward"),200,160)</f>
        <v>160</v>
      </c>
      <c r="L606" s="833" t="s">
        <v>436</v>
      </c>
      <c r="M606" s="823">
        <v>7</v>
      </c>
      <c r="N606" s="2942" t="s">
        <v>3024</v>
      </c>
      <c r="O606" s="2943" t="s">
        <v>3025</v>
      </c>
      <c r="P606" s="2943"/>
      <c r="Q606" s="2944" t="str">
        <f>"Attention: With "&amp;TEXT(Set_Asides_from_Charts,"0")&amp;" set-aside units identified in the chart below, the minimum number of set-aside units of "&amp;TEXT(IF(DS_Min_Units_1="&gt;=90% of Existing Units",90%*N(Existing_Units),N(DS_Min_Units_1)+N(IF(Link_Classification=Data1!$A$16,N(DS_Min_Units_2),0))),"0")&amp;" is not met."</f>
        <v>Attention: With 0 set-aside units identified in the chart below, the minimum number of set-aside units of 0 is not met.</v>
      </c>
      <c r="R606" s="2944"/>
      <c r="S606" s="2944"/>
      <c r="T606" s="2944"/>
      <c r="U606" s="2944"/>
      <c r="V606" s="2944"/>
      <c r="W606" s="2944"/>
      <c r="X606" s="1681"/>
      <c r="Y606" s="1681"/>
      <c r="Z606" s="2383"/>
      <c r="AA606" s="2383"/>
      <c r="AB606" s="2384"/>
      <c r="AC606" s="2384"/>
      <c r="AD606" s="2384"/>
      <c r="AE606" s="2384"/>
    </row>
    <row r="607" spans="1:31">
      <c r="A607" t="s">
        <v>454</v>
      </c>
      <c r="B607" s="874" t="s">
        <v>448</v>
      </c>
      <c r="C607" s="833" t="s">
        <v>280</v>
      </c>
      <c r="D607" s="823">
        <v>8</v>
      </c>
      <c r="E607" s="823">
        <v>8</v>
      </c>
      <c r="F607" t="s">
        <v>455</v>
      </c>
      <c r="G607" t="s">
        <v>456</v>
      </c>
      <c r="K607" s="874">
        <v>250</v>
      </c>
      <c r="L607" s="833" t="s">
        <v>436</v>
      </c>
      <c r="M607" s="823">
        <v>8</v>
      </c>
      <c r="N607" s="2942"/>
      <c r="O607" s="2943"/>
      <c r="P607" s="2943"/>
      <c r="Q607" s="2944"/>
      <c r="R607" s="2944"/>
      <c r="S607" s="2944"/>
      <c r="T607" s="2944"/>
      <c r="U607" s="2944"/>
      <c r="V607" s="2944"/>
      <c r="W607" s="2944"/>
      <c r="X607" s="1681"/>
      <c r="Y607" s="1681"/>
      <c r="Z607" s="2383"/>
      <c r="AA607" s="2383"/>
      <c r="AB607" s="2384"/>
      <c r="AC607" s="2384"/>
      <c r="AD607" s="2384"/>
      <c r="AE607" s="2384"/>
    </row>
    <row r="608" spans="1:31">
      <c r="A608" t="s">
        <v>457</v>
      </c>
      <c r="B608" s="874">
        <v>200</v>
      </c>
      <c r="C608" s="833" t="s">
        <v>436</v>
      </c>
      <c r="D608" s="823">
        <v>9</v>
      </c>
      <c r="E608" s="823">
        <v>3</v>
      </c>
      <c r="F608" t="s">
        <v>450</v>
      </c>
      <c r="G608" t="s">
        <v>47</v>
      </c>
      <c r="K608" s="874">
        <v>200</v>
      </c>
      <c r="L608" s="833" t="s">
        <v>436</v>
      </c>
      <c r="M608" s="823">
        <v>9</v>
      </c>
      <c r="N608" s="2942" t="s">
        <v>3028</v>
      </c>
      <c r="O608" s="2943" t="s">
        <v>3026</v>
      </c>
      <c r="P608" s="2943"/>
      <c r="Q608" s="2944" t="str">
        <f>"Minimum number of set-aside units of "&amp;IF(DS_Min_Units_1="No Limit","no minimum",TEXT(IF(DS_Min_Units_1="&gt;=90% of Existing Units",90%*N(Existing_Units),N(DS_Min_Units_1)+N(IF(Link_Classification=Data1!$A$16,N(DS_Min_Units_2),0))),"0"))&amp;" is met."</f>
        <v>Minimum number of set-aside units of 0 is met.</v>
      </c>
      <c r="R608" s="2944"/>
      <c r="S608" s="2944"/>
      <c r="T608" s="2944"/>
      <c r="U608" s="2944"/>
      <c r="V608" s="2944"/>
      <c r="W608" s="2944"/>
      <c r="X608" s="1681"/>
      <c r="Y608" s="1681"/>
      <c r="Z608" s="2383"/>
      <c r="AA608" s="2383"/>
      <c r="AB608" s="2384"/>
      <c r="AC608" s="2384"/>
      <c r="AD608" s="2384"/>
      <c r="AE608" s="2384"/>
    </row>
    <row r="609" spans="1:49">
      <c r="A609" t="s">
        <v>458</v>
      </c>
      <c r="B609" s="874">
        <v>160</v>
      </c>
      <c r="C609" s="833" t="s">
        <v>436</v>
      </c>
      <c r="D609" s="823">
        <v>10</v>
      </c>
      <c r="E609" s="823">
        <v>4</v>
      </c>
      <c r="F609" t="s">
        <v>450</v>
      </c>
      <c r="G609" t="s">
        <v>47</v>
      </c>
      <c r="K609" s="874">
        <v>160</v>
      </c>
      <c r="L609" s="833" t="s">
        <v>436</v>
      </c>
      <c r="M609" s="823">
        <v>10</v>
      </c>
      <c r="N609" s="2942"/>
      <c r="O609" s="2943"/>
      <c r="P609" s="2943"/>
      <c r="Q609" s="2944"/>
      <c r="R609" s="2944"/>
      <c r="S609" s="2944"/>
      <c r="T609" s="2944"/>
      <c r="U609" s="2944"/>
      <c r="V609" s="2944"/>
      <c r="W609" s="2944"/>
      <c r="X609" s="1681"/>
      <c r="Y609" s="1681"/>
      <c r="Z609" s="2383"/>
      <c r="AA609" s="2383"/>
      <c r="AB609" s="2384"/>
      <c r="AC609" s="2384"/>
      <c r="AD609" s="2384"/>
      <c r="AE609" s="2384"/>
    </row>
    <row r="610" spans="1:49" ht="15" customHeight="1">
      <c r="A610" t="s">
        <v>459</v>
      </c>
      <c r="B610" s="874" t="s">
        <v>448</v>
      </c>
      <c r="C610" s="833" t="s">
        <v>436</v>
      </c>
      <c r="D610" s="823">
        <v>11</v>
      </c>
      <c r="K610" s="874" t="s">
        <v>448</v>
      </c>
      <c r="L610" s="833" t="s">
        <v>436</v>
      </c>
      <c r="M610" s="823">
        <v>11</v>
      </c>
      <c r="N610" s="2389" t="s">
        <v>3031</v>
      </c>
      <c r="O610" s="2943" t="s">
        <v>2996</v>
      </c>
      <c r="P610" s="2943"/>
      <c r="Q610" s="2387"/>
      <c r="R610" s="1681"/>
      <c r="S610" s="1681"/>
      <c r="T610" s="1681"/>
      <c r="U610" s="1681"/>
      <c r="V610" s="1681"/>
      <c r="W610" s="1681"/>
      <c r="X610" s="1681"/>
      <c r="Y610" s="1681"/>
      <c r="Z610" s="2383"/>
      <c r="AA610" s="2383"/>
      <c r="AB610" s="2384"/>
      <c r="AC610" s="2384"/>
      <c r="AD610" s="2384"/>
      <c r="AE610" s="2384"/>
    </row>
    <row r="611" spans="1:49">
      <c r="A611" t="s">
        <v>1844</v>
      </c>
      <c r="B611" s="874">
        <v>100</v>
      </c>
      <c r="C611" s="822" t="s">
        <v>436</v>
      </c>
      <c r="D611" s="823">
        <v>12</v>
      </c>
      <c r="K611" s="874" t="s">
        <v>448</v>
      </c>
      <c r="L611" s="822" t="s">
        <v>280</v>
      </c>
      <c r="M611" s="823">
        <v>12</v>
      </c>
      <c r="N611" s="2942" t="s">
        <v>3029</v>
      </c>
      <c r="O611" s="2943" t="s">
        <v>3030</v>
      </c>
      <c r="P611" s="2943"/>
      <c r="Q611" s="2944" t="str">
        <f>"Attention: Maximum number of set-aside units of "&amp;IF(DS_Max_Units_1="TBD","TBD",TEXT(N(DS_Max_Units_1)+N(IF(Link_Classification=Data1!$A$16,DS_Max_Units_2,0)),"0"))&amp;" is not met."</f>
        <v>Attention: Maximum number of set-aside units of TBD is not met.</v>
      </c>
      <c r="R611" s="2944"/>
      <c r="S611" s="2944"/>
      <c r="T611" s="2944"/>
      <c r="U611" s="2944"/>
      <c r="V611" s="2944"/>
      <c r="W611" s="2944"/>
      <c r="X611" s="1681"/>
      <c r="Y611" s="1681"/>
      <c r="Z611" s="2383"/>
      <c r="AA611" s="2383"/>
      <c r="AB611" s="2384"/>
      <c r="AC611" s="2384"/>
      <c r="AD611" s="2384"/>
      <c r="AE611" s="2384"/>
    </row>
    <row r="612" spans="1:49" ht="14.65" customHeight="1">
      <c r="A612" t="s">
        <v>1645</v>
      </c>
      <c r="B612" s="874" t="s">
        <v>448</v>
      </c>
      <c r="C612" s="822" t="s">
        <v>436</v>
      </c>
      <c r="D612" s="823">
        <v>13</v>
      </c>
      <c r="K612" s="874" t="s">
        <v>448</v>
      </c>
      <c r="L612" s="822" t="s">
        <v>436</v>
      </c>
      <c r="M612" s="823">
        <v>13</v>
      </c>
      <c r="N612" s="2942"/>
      <c r="O612" s="2943"/>
      <c r="P612" s="2943"/>
      <c r="Q612" s="2944"/>
      <c r="R612" s="2944"/>
      <c r="S612" s="2944"/>
      <c r="T612" s="2944"/>
      <c r="U612" s="2944"/>
      <c r="V612" s="2944"/>
      <c r="W612" s="2944"/>
    </row>
    <row r="613" spans="1:49">
      <c r="A613" t="s">
        <v>460</v>
      </c>
      <c r="B613" s="874">
        <v>120</v>
      </c>
      <c r="C613" s="822" t="s">
        <v>436</v>
      </c>
      <c r="D613" s="823">
        <v>14</v>
      </c>
      <c r="K613" s="874">
        <v>120</v>
      </c>
      <c r="L613" s="822" t="s">
        <v>436</v>
      </c>
      <c r="M613" s="823">
        <v>14</v>
      </c>
      <c r="N613" s="2942" t="s">
        <v>3032</v>
      </c>
      <c r="O613" s="2943" t="s">
        <v>3027</v>
      </c>
      <c r="P613" s="2943"/>
      <c r="Q613" s="2944" t="str">
        <f>"Maximum number of units of "&amp;TEXT(N(DS_Max_Units_1)+N(IF(Link_Classification=Data1!$A$16,DS_Max_Units_2,0)),"0")&amp;" is met."</f>
        <v>Maximum number of units of 0 is met.</v>
      </c>
      <c r="R613" s="2944"/>
      <c r="S613" s="2944"/>
      <c r="T613" s="2944"/>
      <c r="U613" s="2944"/>
      <c r="V613" s="2944"/>
      <c r="W613" s="2944"/>
      <c r="X613" s="1681"/>
      <c r="Y613" s="1681"/>
      <c r="Z613" s="2383"/>
      <c r="AA613" s="2383"/>
      <c r="AB613" s="2384"/>
      <c r="AC613" s="2384"/>
      <c r="AD613" s="2384"/>
      <c r="AE613" s="2384"/>
    </row>
    <row r="614" spans="1:49">
      <c r="A614" t="s">
        <v>461</v>
      </c>
      <c r="B614" s="874">
        <v>250</v>
      </c>
      <c r="C614" s="833" t="s">
        <v>436</v>
      </c>
      <c r="D614" s="823">
        <v>15</v>
      </c>
      <c r="K614" s="874">
        <v>250</v>
      </c>
      <c r="L614" s="833" t="s">
        <v>436</v>
      </c>
      <c r="M614" s="823">
        <v>15</v>
      </c>
      <c r="N614" s="2942"/>
      <c r="O614" s="2943"/>
      <c r="P614" s="2943"/>
      <c r="Q614" s="2944"/>
      <c r="R614" s="2944"/>
      <c r="S614" s="2944"/>
      <c r="T614" s="2944"/>
      <c r="U614" s="2944"/>
      <c r="V614" s="2944"/>
      <c r="W614" s="2944"/>
    </row>
    <row r="615" spans="1:49">
      <c r="A615" t="s">
        <v>462</v>
      </c>
      <c r="B615" s="874">
        <v>250</v>
      </c>
      <c r="C615" s="833" t="s">
        <v>436</v>
      </c>
      <c r="D615" s="823">
        <v>16</v>
      </c>
      <c r="K615" s="874">
        <v>250</v>
      </c>
      <c r="L615" s="833" t="s">
        <v>436</v>
      </c>
      <c r="M615" s="823">
        <v>16</v>
      </c>
      <c r="N615" s="2389" t="s">
        <v>3033</v>
      </c>
      <c r="O615" s="2943" t="s">
        <v>2995</v>
      </c>
      <c r="P615" s="2943"/>
      <c r="Q615" s="2387" t="s">
        <v>2994</v>
      </c>
      <c r="R615" s="1681"/>
      <c r="S615" s="1681"/>
      <c r="T615" s="1681"/>
      <c r="U615" s="1681"/>
      <c r="V615" s="1681"/>
      <c r="W615" s="1681"/>
      <c r="X615" s="1681"/>
      <c r="Y615" s="1681"/>
      <c r="Z615" s="2383"/>
      <c r="AA615" s="2383"/>
      <c r="AB615" s="2384"/>
      <c r="AC615" s="2384"/>
      <c r="AD615" s="2384"/>
      <c r="AE615" s="2384"/>
    </row>
    <row r="616" spans="1:49">
      <c r="A616" s="471" t="s">
        <v>2264</v>
      </c>
      <c r="B616" s="874">
        <v>250</v>
      </c>
      <c r="C616" s="822" t="s">
        <v>436</v>
      </c>
      <c r="D616" s="393">
        <v>17</v>
      </c>
      <c r="E616" s="2375" t="s">
        <v>2899</v>
      </c>
      <c r="F616" s="2376"/>
      <c r="G616" s="2377"/>
      <c r="H616" s="471"/>
      <c r="K616" s="874">
        <v>250</v>
      </c>
      <c r="L616" s="822" t="s">
        <v>436</v>
      </c>
      <c r="M616" s="393">
        <v>17</v>
      </c>
      <c r="N616" s="2389" t="s">
        <v>3034</v>
      </c>
      <c r="O616" s="2943"/>
      <c r="P616" s="2943"/>
      <c r="Q616" s="2387" t="str">
        <f>"For Combination Applications, the total number of units for the New Development and the Reconstructed Development entered below must equal the total units for the Combination Application."</f>
        <v>For Combination Applications, the total number of units for the New Development and the Reconstructed Development entered below must equal the total units for the Combination Application.</v>
      </c>
      <c r="R616" s="1681"/>
      <c r="S616" s="1681"/>
      <c r="T616" s="1681"/>
      <c r="U616" s="1681"/>
      <c r="V616" s="1681"/>
      <c r="W616" s="1681"/>
      <c r="X616" s="1681"/>
      <c r="Y616" s="1681"/>
      <c r="Z616" s="2383"/>
      <c r="AA616" s="2383"/>
      <c r="AB616" s="2384"/>
      <c r="AC616" s="2384"/>
      <c r="AD616" s="2384"/>
      <c r="AE616" s="2384"/>
      <c r="AF616" s="823"/>
      <c r="AG616" s="823"/>
      <c r="AH616" s="823"/>
      <c r="AR616" s="1062"/>
      <c r="AS616" s="1062"/>
      <c r="AT616" s="7"/>
      <c r="AU616" s="7"/>
      <c r="AV616" s="7"/>
      <c r="AW616" s="7"/>
    </row>
    <row r="617" spans="1:49">
      <c r="N617" s="2390" t="s">
        <v>3035</v>
      </c>
      <c r="O617" s="2391" t="str" cm="1">
        <f t="array" aca="1" ref="O617"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"&amp;DS_Unit_Min_Descr&amp;"units cannot be determined until 6."&amp;A28&amp;". below has a response.",IF(AND(N(Total_Units)&gt;0,DS_Min_Units_1&lt;&gt;"No Limit",N(DS_Units_for_Min)&lt;DS_Absolute_Min_Units_1),"Attention: Minimum number of "&amp;DS_Unit_Min_Descr&amp;"units of "&amp;TEXT(DS_Absolute_Min_Units_1,"0")&amp;" is not met with "&amp;TEXT(N(DS_Units_for_Min),"0")&amp;DS_Unit_Min_Descr&amp;" units.",IF(AND(N(Total_Units)&gt;0,DS_Min_Units_1="No Limit",N(DS_Units_for_Min)&gt;=DS_Absolute_Min_Units_1),"Minimum number of "&amp;DS_Unit_Min_Descr&amp;"units of "&amp;IF(DS_Min_Units_1="No Limit","no minimum",TEXT(DS_Absolute_Min_Units_1,"0"))&amp;" is met.","")))&amp;" "&amp;IF(AND(N(Total_Units)&gt;0,DS_Max_Units_1&lt;&gt;"No Limit",N(DS_Units_for_Max)&gt;N(DS_Max_Units_1)),"Attention: Maximum number of "&amp;IF(Unit_Max_Limit_Basis="Total","","Set-Aside ")&amp;"units of "&amp;IF(DS_Max_Units_1="TBD","TBD",TEXT(N(DS_Max_Units_1),"0"))&amp;" is not met with "&amp;TEXT(N(DS_Units_for_Max),"0")&amp;IF(Unit_Max_Limit_Basis="Total"," "," Set-Aside ")&amp;"units.",IF(AND(N(Total_Units)&gt;0,DS_Max_Units_1&lt;&gt;"No Limit",N(DS_Units_for_Max)&lt;=N(DS_Max_Units_1)),"Maximum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Limit",N(Set_Asides_from_Charts)&lt;DS_Absolute_Min_Units_214),"Attention: With "&amp;TEXT(Set_Asides_from_Charts,"0")&amp;" set-aside units identified in the chart below, the minimum number of set-aside units of "&amp;TEXT(DS_Absolute_Min_Units_214,"0")&amp;" is not met.",IF(OR(N(Set_Asides_from_Charts)&gt;=DS_Absolute_Min_Units_214,DS_Min_Units_1="No Limit"),"Minimum number of set-aside units of "&amp;IF(DS_Min_Units_1="No Limit","no minimum",TEXT(DS_Absolute_Min_Units_214,"0"))&amp;" is met.","")))&amp;" "&amp;IF(DS_Max_Units_1&lt;&gt;"No Limit",IF(N(Set_Asides_from_Charts)&gt;DS_Max_Combo_Units,"Attention: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P617" s="2392"/>
      <c r="Q617" s="2392"/>
      <c r="R617" s="2392"/>
      <c r="S617" s="2392"/>
      <c r="T617" s="2392"/>
      <c r="U617" s="2392"/>
      <c r="V617" s="2392"/>
      <c r="W617" s="2392"/>
      <c r="X617" s="2392"/>
      <c r="Y617" s="2392"/>
      <c r="Z617" s="2393"/>
      <c r="AA617" s="2393"/>
      <c r="AB617" s="2394"/>
      <c r="AC617" s="2394"/>
      <c r="AD617" s="2394"/>
      <c r="AE617" s="2394"/>
      <c r="AG617" s="823"/>
      <c r="AH617" s="823"/>
      <c r="AR617" s="1062"/>
      <c r="AS617" s="1062"/>
      <c r="AT617" s="7"/>
      <c r="AU617" s="7"/>
      <c r="AV617" s="7"/>
      <c r="AW617" s="7"/>
    </row>
    <row r="618" spans="1:49" ht="18" customHeight="1">
      <c r="A618" s="531" t="s">
        <v>463</v>
      </c>
      <c r="B618" s="532" t="s">
        <v>37</v>
      </c>
      <c r="C618" s="532" t="s">
        <v>38</v>
      </c>
      <c r="D618" s="532" t="s">
        <v>39</v>
      </c>
      <c r="E618" s="483" t="s">
        <v>464</v>
      </c>
      <c r="F618" s="64" t="s">
        <v>41</v>
      </c>
      <c r="L618" s="2396">
        <v>4</v>
      </c>
      <c r="M618" s="6">
        <f>LEN(N618)</f>
        <v>23</v>
      </c>
      <c r="N618" s="6" t="s">
        <v>3038</v>
      </c>
      <c r="O618" s="6"/>
      <c r="P618" s="6">
        <f>IF(DS_Min_Units_1="&gt;=90% of Existing Units",90%*N(Existing_Units),N(DS_Min_Units_1))</f>
        <v>0</v>
      </c>
      <c r="Q618" s="6">
        <f>LEN(R618)-1</f>
        <v>84</v>
      </c>
      <c r="R618" s="312" t="s">
        <v>3041</v>
      </c>
      <c r="Z618" s="1062"/>
      <c r="AA618" s="1062"/>
      <c r="AB618" s="7"/>
      <c r="AC618" s="7"/>
      <c r="AD618" s="7"/>
      <c r="AE618" s="7"/>
      <c r="AF618" s="7"/>
      <c r="AG618" s="849"/>
      <c r="AI618" s="849"/>
      <c r="AJ618" s="1927"/>
    </row>
    <row r="619" spans="1:49">
      <c r="A619" s="59" t="str">
        <f>"Existing Units are "&amp;IF(B$623="No","currently occupied","at least 75% occupied currently")</f>
        <v>Existing Units are currently occupied</v>
      </c>
      <c r="B619" s="57">
        <v>1</v>
      </c>
      <c r="C619" s="60">
        <f>IF(B619&lt;&gt;1,"",SUM(B$619:B619))</f>
        <v>1</v>
      </c>
      <c r="D619" s="57">
        <v>1</v>
      </c>
      <c r="F619" s="85" t="str">
        <f>IF(COUNTA($A$619:$A619)&lt;=MAX(DS_Occ_Sequence)=TRUE,LOOKUP(COUNTA($A$619:$A619),DS_Occ_Sequence,DS_Occ_DataNames),"")</f>
        <v>Existing Units are currently occupied</v>
      </c>
      <c r="L619" s="2398">
        <v>4</v>
      </c>
      <c r="M619" s="6">
        <f>LEN(N619)</f>
        <v>25</v>
      </c>
      <c r="N619" s="6" t="s">
        <v>3046</v>
      </c>
      <c r="O619" s="6"/>
      <c r="P619" s="6">
        <f>IF(DS_Min_Units_1="&gt;=90% of Existing Units",90%*N(Existing_Units),N(DS_Min_Units_1)+N(IF(Link_Classification=Data1!$A$16,N(DS_Min_Units_2),0)))</f>
        <v>0</v>
      </c>
      <c r="Q619" s="6">
        <f>LEN(R619)-1</f>
        <v>143</v>
      </c>
      <c r="R619" s="312" t="s">
        <v>3045</v>
      </c>
      <c r="Z619" s="1062"/>
      <c r="AA619" s="1062"/>
      <c r="AB619" s="7"/>
      <c r="AC619" s="7"/>
      <c r="AD619" s="7"/>
      <c r="AE619" s="7"/>
      <c r="AF619" s="7"/>
      <c r="AG619" s="849"/>
      <c r="AI619" s="849"/>
      <c r="AJ619" s="1927"/>
    </row>
    <row r="620" spans="1:49">
      <c r="A620" s="59" t="str">
        <f>"Existing Units are not "&amp;IF(B$623="No","currently occupied","at least 75% occupied currently")</f>
        <v>Existing Units are not currently occupied</v>
      </c>
      <c r="B620" s="57">
        <v>1</v>
      </c>
      <c r="C620" s="60">
        <f>IF(B620&lt;&gt;1,"",SUM(B$619:B620))</f>
        <v>2</v>
      </c>
      <c r="D620" s="57">
        <v>2</v>
      </c>
      <c r="F620" s="85" t="str">
        <f>IF(COUNTA($A$619:$A620)&lt;=MAX(DS_Occ_Sequence)=TRUE,LOOKUP(COUNTA($A$619:$A620),DS_Occ_Sequence,DS_Occ_DataNames),"")</f>
        <v>Existing Units are not currently occupied</v>
      </c>
      <c r="L620" s="2399">
        <v>2</v>
      </c>
      <c r="M620" s="6">
        <f>LEN(N620)</f>
        <v>18</v>
      </c>
      <c r="N620" s="6" t="s">
        <v>3048</v>
      </c>
      <c r="O620" s="6"/>
      <c r="P620" s="6">
        <f>N(DS_Max_Units_1)+N(IF(Link_Classification=Data1!$A$16,N(DS_Max_Units_2),0))</f>
        <v>0</v>
      </c>
      <c r="Q620" s="6">
        <f>LEN(R620)-1</f>
        <v>76</v>
      </c>
      <c r="R620" s="312" t="s">
        <v>3047</v>
      </c>
      <c r="Z620" s="1062"/>
      <c r="AA620" s="1062"/>
      <c r="AB620" s="7"/>
      <c r="AC620" s="7"/>
      <c r="AD620" s="7"/>
      <c r="AE620" s="7"/>
      <c r="AF620" s="7"/>
      <c r="AG620" s="849"/>
      <c r="AI620" s="849"/>
      <c r="AJ620" s="1927"/>
    </row>
    <row r="621" spans="1:49">
      <c r="A621" s="59" t="s">
        <v>465</v>
      </c>
      <c r="B621" s="57">
        <v>1</v>
      </c>
      <c r="C621" s="60">
        <f>IF(B621&lt;&gt;1,"",SUM(B$619:B621))</f>
        <v>3</v>
      </c>
      <c r="D621" s="57">
        <v>3</v>
      </c>
      <c r="F621" s="85" t="str">
        <f>IF(COUNTA($A$619:$A621)&lt;=MAX(DS_Occ_Sequence)=TRUE,LOOKUP(COUNTA($A$619:$A621),DS_Occ_Sequence,DS_Occ_DataNames),"")</f>
        <v>There are no existing units</v>
      </c>
      <c r="L621" s="2397">
        <v>2</v>
      </c>
      <c r="M621" s="6">
        <f>LEN(N621)</f>
        <v>17</v>
      </c>
      <c r="N621" s="6" t="s">
        <v>3039</v>
      </c>
      <c r="O621" s="6"/>
      <c r="P621" s="6" t="str">
        <f>IF(Unit_Min_Limit_Basis="Total","","Set-Aside ")</f>
        <v/>
      </c>
      <c r="Q621" s="6">
        <f>LEN(R621)-1</f>
        <v>48</v>
      </c>
      <c r="R621" s="312" t="s">
        <v>3042</v>
      </c>
      <c r="Z621" s="1062"/>
      <c r="AA621" s="1062"/>
      <c r="AB621" s="7"/>
      <c r="AC621" s="7"/>
      <c r="AD621" s="7"/>
      <c r="AE621" s="7"/>
      <c r="AF621" s="7"/>
      <c r="AG621" s="849"/>
      <c r="AI621" s="849"/>
      <c r="AJ621" s="1927"/>
    </row>
    <row r="622" spans="1:49" ht="5.25" customHeight="1">
      <c r="A622" s="6"/>
      <c r="B622" s="51"/>
      <c r="C622" s="823"/>
      <c r="D622" s="51"/>
      <c r="Z622" s="1062"/>
      <c r="AA622" s="1062"/>
      <c r="AB622" s="7"/>
      <c r="AC622" s="7"/>
      <c r="AD622" s="7"/>
      <c r="AE622" s="7"/>
      <c r="AF622" s="7"/>
      <c r="AG622" s="849"/>
      <c r="AI622" s="849"/>
      <c r="AJ622" s="1927"/>
    </row>
    <row r="623" spans="1:49">
      <c r="A623" s="6" t="s">
        <v>466</v>
      </c>
      <c r="B623" s="822" t="s">
        <v>436</v>
      </c>
      <c r="C623" s="823"/>
      <c r="D623" s="51"/>
      <c r="L623" s="1752">
        <v>2</v>
      </c>
      <c r="M623" s="6">
        <f>LEN(N623)</f>
        <v>16</v>
      </c>
      <c r="N623" s="6" t="s">
        <v>3044</v>
      </c>
      <c r="O623" s="6"/>
      <c r="P623" s="6">
        <f>IF(Unit_Max_Limit_Basis="Total",Total_Units,Set_Asides_from_Charts)</f>
        <v>0</v>
      </c>
      <c r="Q623" s="6">
        <f>LEN(R623)-1</f>
        <v>67</v>
      </c>
      <c r="R623" s="312" t="s">
        <v>3043</v>
      </c>
      <c r="Z623" s="1062"/>
      <c r="AA623" s="1062"/>
      <c r="AB623" s="7"/>
      <c r="AC623" s="7"/>
      <c r="AD623" s="7"/>
      <c r="AE623" s="7"/>
      <c r="AF623" s="7"/>
      <c r="AG623" s="849"/>
      <c r="AI623" s="849"/>
      <c r="AJ623" s="1927"/>
    </row>
    <row r="624" spans="1:49">
      <c r="L624" s="1675">
        <v>3</v>
      </c>
      <c r="M624" s="6">
        <f>LEN(N624)</f>
        <v>16</v>
      </c>
      <c r="N624" s="6" t="s">
        <v>3037</v>
      </c>
      <c r="O624" s="6"/>
      <c r="P624" s="6">
        <f>IF(Unit_Min_Limit_Basis="Total",Total_Units,Set_Asides_from_Charts)</f>
        <v>0</v>
      </c>
      <c r="Q624" s="6">
        <f>LEN(R624)-1</f>
        <v>67</v>
      </c>
      <c r="R624" s="312" t="s">
        <v>3040</v>
      </c>
      <c r="Z624" s="1062"/>
      <c r="AA624" s="1062"/>
      <c r="AB624" s="7"/>
      <c r="AC624" s="7"/>
      <c r="AD624" s="7"/>
      <c r="AE624" s="7"/>
      <c r="AF624" s="7"/>
      <c r="AG624" s="849"/>
      <c r="AI624" s="849"/>
      <c r="AJ624" s="1927"/>
    </row>
    <row r="625" spans="1:36">
      <c r="A625" s="531" t="s">
        <v>2486</v>
      </c>
      <c r="B625" s="532" t="s">
        <v>37</v>
      </c>
      <c r="C625" s="532" t="s">
        <v>38</v>
      </c>
      <c r="D625" s="532" t="s">
        <v>39</v>
      </c>
      <c r="E625" s="483" t="s">
        <v>2266</v>
      </c>
      <c r="F625" s="64" t="s">
        <v>41</v>
      </c>
      <c r="M625" s="6"/>
      <c r="N625" s="6"/>
      <c r="O625" s="6"/>
      <c r="P625" s="6"/>
      <c r="Q625" s="6">
        <f>SUMPRODUCT(L618:L624,Q618:Q624)-SUMPRODUCT(L618:L624,M618:M624)</f>
        <v>1149</v>
      </c>
      <c r="R625" s="6"/>
      <c r="Z625" s="1062"/>
      <c r="AA625" s="1062"/>
      <c r="AB625" s="7"/>
      <c r="AC625" s="7"/>
      <c r="AD625" s="7"/>
      <c r="AE625" s="7"/>
      <c r="AF625" s="7"/>
      <c r="AG625" s="849"/>
      <c r="AI625" s="849"/>
      <c r="AJ625" s="1927"/>
    </row>
    <row r="626" spans="1:36">
      <c r="A626" s="59" t="s">
        <v>1648</v>
      </c>
      <c r="B626" s="57">
        <v>1</v>
      </c>
      <c r="C626" s="60">
        <v>1</v>
      </c>
      <c r="D626" s="57">
        <v>1</v>
      </c>
      <c r="F626" s="85" t="str">
        <f>IF(COUNTA($A$626:$A626)&lt;=MAX(DS_FF_Sequence)=TRUE,LOOKUP(COUNTA($A$626:$A626),DS_FF_Sequence,DS_FF_DataNames),"")</f>
        <v>40% Demographic Set-Aside Commitment</v>
      </c>
      <c r="M626" s="6"/>
      <c r="N626" s="6"/>
      <c r="P626" s="6"/>
      <c r="Q626" s="6"/>
      <c r="R626" s="6"/>
      <c r="Z626" s="1062"/>
      <c r="AA626" s="1062"/>
      <c r="AB626" s="7"/>
      <c r="AC626" s="7"/>
      <c r="AD626" s="7"/>
      <c r="AE626" s="7"/>
      <c r="AF626" s="7"/>
      <c r="AG626" s="849"/>
      <c r="AI626" s="849"/>
      <c r="AJ626" s="1927"/>
    </row>
    <row r="627" spans="1:36">
      <c r="A627" s="59" t="s">
        <v>1649</v>
      </c>
      <c r="B627" s="57">
        <v>1</v>
      </c>
      <c r="C627" s="60">
        <v>2</v>
      </c>
      <c r="D627" s="57">
        <v>2</v>
      </c>
      <c r="F627" s="85" t="str">
        <f>IF(COUNTA($A$626:$A627)&lt;=MAX(DS_FF_Sequence)=TRUE,LOOKUP(COUNTA($A$626:$A627),DS_FF_Sequence,DS_FF_DataNames),"")</f>
        <v>80% Demographic Set-Aside Commitment</v>
      </c>
      <c r="M627" s="6"/>
      <c r="N627" s="6"/>
      <c r="P627" s="6"/>
      <c r="Q627" s="6"/>
      <c r="R627" s="312"/>
      <c r="Z627" s="1062"/>
      <c r="AA627" s="1062"/>
      <c r="AB627" s="7"/>
      <c r="AC627" s="7"/>
      <c r="AD627" s="7"/>
      <c r="AE627" s="7"/>
      <c r="AF627" s="7"/>
      <c r="AG627" s="849"/>
      <c r="AI627" s="849"/>
      <c r="AJ627" s="1927"/>
    </row>
    <row r="628" spans="1:36">
      <c r="M628" s="6"/>
      <c r="N628" s="6"/>
      <c r="P628" s="6"/>
      <c r="Q628" s="6"/>
      <c r="R628" s="312"/>
      <c r="Z628" s="1062"/>
      <c r="AA628" s="1062"/>
      <c r="AB628" s="7"/>
      <c r="AC628" s="7"/>
      <c r="AD628" s="7"/>
      <c r="AE628" s="7"/>
      <c r="AF628" s="7"/>
      <c r="AG628" s="849"/>
      <c r="AI628" s="849"/>
      <c r="AJ628" s="1927"/>
    </row>
    <row r="629" spans="1:36" ht="18" customHeight="1">
      <c r="A629" s="531" t="s">
        <v>467</v>
      </c>
      <c r="B629" s="532" t="s">
        <v>37</v>
      </c>
      <c r="C629" s="532" t="s">
        <v>38</v>
      </c>
      <c r="D629" s="532" t="s">
        <v>39</v>
      </c>
      <c r="E629" s="483" t="s">
        <v>468</v>
      </c>
      <c r="F629" s="64" t="s">
        <v>41</v>
      </c>
      <c r="M629" s="6"/>
      <c r="N629" s="6"/>
      <c r="P629" s="6"/>
      <c r="Q629" s="6"/>
      <c r="Z629" s="1062"/>
      <c r="AA629" s="1062"/>
      <c r="AB629" s="7"/>
      <c r="AC629" s="7"/>
      <c r="AD629" s="7"/>
      <c r="AE629" s="7"/>
      <c r="AF629" s="7"/>
      <c r="AG629" s="849"/>
      <c r="AI629" s="849"/>
      <c r="AJ629" s="1927"/>
    </row>
    <row r="630" spans="1:36">
      <c r="A630" s="59" t="s">
        <v>469</v>
      </c>
      <c r="B630" s="57">
        <v>1</v>
      </c>
      <c r="C630" s="60">
        <f>IF(B630&lt;&gt;1,"",SUM(B$630:B630))</f>
        <v>1</v>
      </c>
      <c r="D630" s="57">
        <v>1</v>
      </c>
      <c r="F630" s="85" t="str">
        <f>IF(COUNTA($A$630:$A630)&lt;=MAX(DS_MinIRS_Sequence)=TRUE,LOOKUP(COUNTA($A$630:$A630),DS_MinIRS_Sequence,DS_MinIRS_DataNames),"")</f>
        <v>20% of units at 50% of Area Median Income (AMI) or lower</v>
      </c>
      <c r="M630" s="312"/>
      <c r="N630" s="264"/>
      <c r="O630" s="264"/>
      <c r="P630" s="264"/>
      <c r="Q630" s="6"/>
      <c r="R630" s="264"/>
      <c r="Z630" s="1062"/>
      <c r="AA630" s="1062"/>
      <c r="AB630" s="7"/>
      <c r="AC630" s="7"/>
      <c r="AD630" s="7"/>
      <c r="AE630" s="7"/>
      <c r="AF630" s="7"/>
      <c r="AG630" s="849"/>
      <c r="AI630" s="849"/>
      <c r="AJ630" s="1927"/>
    </row>
    <row r="631" spans="1:36">
      <c r="A631" s="59" t="s">
        <v>470</v>
      </c>
      <c r="B631" s="57">
        <v>1</v>
      </c>
      <c r="C631" s="60">
        <f>IF(B631&lt;&gt;1,"",SUM(B$630:B631))</f>
        <v>2</v>
      </c>
      <c r="D631" s="57">
        <v>2</v>
      </c>
      <c r="F631" s="85" t="str">
        <f>IF(COUNTA($A$630:$A631)&lt;=MAX(DS_MinIRS_Sequence)=TRUE,LOOKUP(COUNTA($A$630:$A631),DS_MinIRS_Sequence,DS_MinIRS_DataNames),"")</f>
        <v>40% of units at 60% of Area Median Income (AMI) or lower</v>
      </c>
      <c r="M631" s="312"/>
      <c r="N631" s="264"/>
      <c r="O631" s="264"/>
      <c r="P631" s="264"/>
      <c r="R631" s="264"/>
      <c r="Z631" s="1062"/>
      <c r="AA631" s="1062"/>
      <c r="AB631" s="7"/>
      <c r="AC631" s="7"/>
      <c r="AD631" s="7"/>
      <c r="AE631" s="7"/>
      <c r="AF631" s="7"/>
      <c r="AG631" s="849"/>
      <c r="AI631" s="849"/>
      <c r="AJ631" s="1927"/>
    </row>
    <row r="632" spans="1:36">
      <c r="A632" s="59" t="s">
        <v>471</v>
      </c>
      <c r="B632" s="57">
        <v>1</v>
      </c>
      <c r="C632" s="60">
        <f>IF(B632&lt;&gt;1,"",SUM(B$630:B632))</f>
        <v>3</v>
      </c>
      <c r="D632" s="57">
        <v>3</v>
      </c>
      <c r="F632" s="85" t="str">
        <f>IF(COUNTA($A$630:$A632)&lt;=MAX(DS_MinIRS_Sequence)=TRUE,LOOKUP(COUNTA($A$630:$A632),DS_MinIRS_Sequence,DS_MinIRS_DataNames),"")</f>
        <v>Average Income Test</v>
      </c>
      <c r="M632" s="264"/>
      <c r="N632" s="264"/>
      <c r="O632" s="264"/>
      <c r="P632" s="264"/>
      <c r="R632" s="264"/>
      <c r="Z632" s="1062"/>
      <c r="AA632" s="1062"/>
      <c r="AB632" s="7"/>
      <c r="AC632" s="7"/>
      <c r="AD632" s="7"/>
      <c r="AE632" s="7"/>
      <c r="AF632" s="7"/>
      <c r="AG632" s="849"/>
      <c r="AI632" s="849"/>
      <c r="AJ632" s="1927"/>
    </row>
    <row r="633" spans="1:36">
      <c r="A633" s="65" t="str">
        <f>DS_Loan_Name&amp;" only (no HC)"</f>
        <v>Loan Only Funding only (no HC)</v>
      </c>
      <c r="B633" s="57">
        <v>0</v>
      </c>
      <c r="C633" s="60" t="str">
        <f>IF(B633&lt;&gt;1,"",SUM(B$630:B633))</f>
        <v/>
      </c>
      <c r="D633" s="57">
        <v>4</v>
      </c>
      <c r="F633" s="85" t="str">
        <f>IF(COUNTA($A$630:$A633)&lt;=MAX(DS_MinIRS_Sequence)=TRUE,LOOKUP(COUNTA($A$630:$A633),DS_MinIRS_Sequence,DS_MinIRS_DataNames),"")</f>
        <v/>
      </c>
      <c r="G633" t="s">
        <v>2573</v>
      </c>
      <c r="M633" s="264"/>
      <c r="N633" s="264"/>
      <c r="O633" s="264"/>
      <c r="P633" s="264"/>
      <c r="Q633" s="264"/>
      <c r="R633" s="264"/>
      <c r="Z633" s="1062"/>
      <c r="AA633" s="1062"/>
      <c r="AB633" s="7"/>
      <c r="AC633" s="7"/>
      <c r="AD633" s="7"/>
      <c r="AE633" s="7"/>
      <c r="AF633" s="7"/>
      <c r="AG633" s="849"/>
      <c r="AI633" s="849"/>
      <c r="AJ633" s="1927"/>
    </row>
    <row r="634" spans="1:36">
      <c r="I634" s="264"/>
      <c r="J634" s="264"/>
      <c r="K634" s="264"/>
      <c r="L634" s="264"/>
      <c r="M634" s="264"/>
      <c r="N634" s="264"/>
      <c r="O634" s="264"/>
      <c r="P634" s="264"/>
      <c r="Q634" s="264"/>
      <c r="R634" s="264"/>
      <c r="Z634" s="1062"/>
      <c r="AA634" s="1062"/>
      <c r="AB634" s="7"/>
      <c r="AC634" s="7"/>
      <c r="AD634" s="7"/>
      <c r="AE634" s="7"/>
      <c r="AF634" s="7"/>
      <c r="AG634" s="849"/>
      <c r="AI634" s="849"/>
      <c r="AJ634" s="1927"/>
    </row>
    <row r="635" spans="1:36" ht="18" customHeight="1">
      <c r="A635" s="531" t="s">
        <v>472</v>
      </c>
      <c r="B635" s="6"/>
      <c r="C635" s="528" t="s">
        <v>432</v>
      </c>
      <c r="D635" s="6"/>
      <c r="E635" s="483" t="s">
        <v>473</v>
      </c>
      <c r="G635" s="111" t="s">
        <v>474</v>
      </c>
      <c r="H635" s="111" t="s">
        <v>475</v>
      </c>
      <c r="I635" s="111" t="s">
        <v>476</v>
      </c>
      <c r="J635" s="111" t="s">
        <v>477</v>
      </c>
      <c r="Z635" s="1062"/>
      <c r="AA635" s="1062"/>
      <c r="AB635" s="7"/>
      <c r="AC635" s="7"/>
      <c r="AD635" s="7"/>
      <c r="AE635" s="7"/>
      <c r="AF635" s="7"/>
      <c r="AG635" s="849"/>
      <c r="AI635" s="849"/>
      <c r="AJ635" s="1927"/>
    </row>
    <row r="636" spans="1:36">
      <c r="A636" s="267" t="s">
        <v>2427</v>
      </c>
      <c r="B636" s="834">
        <v>0.8</v>
      </c>
      <c r="C636" s="1232" t="s">
        <v>280</v>
      </c>
      <c r="D636" s="6" t="str">
        <f>TEXT(B636,"0%")&amp;" of Total Units "&amp;IF(C636="No","is not applicable","["&amp;TEXT(ROUNDUP(Total_Units*B636,0),"0")&amp;" units] (maximum of "&amp;TEXT(1-B636,"0%")&amp;" Market Rate ["&amp;TEXT(Total_Units-ROUNDUP(Total_Units*B636,0),"0")&amp;" units])")</f>
        <v>80% of Total Units [0 units] (maximum of 20% Market Rate [0 units])</v>
      </c>
      <c r="E636" s="267"/>
      <c r="F636" s="267"/>
      <c r="G636" s="1367">
        <f>IF(OR(Minimum_SetAside_per_Sec_42=DS_IRS_2050,Minimum_SetAside_per_Sec_42=DS_IRS_4060,Minimum_SetAside_per_Sec_42=DS_FHFC_NonHC),SUM('Units, Set-Asides, Bldgs'!G$50:G$58)+IF('Units, Set-Asides, Bldgs'!P$65&lt;&gt;1,Workforce_AMI_80_NonAIT+IF('Units, Set-Asides, Bldgs'!O60=1,Workforce_AMI_90_NonAIT,0)+IF('Units, Set-Asides, Bldgs'!O61=1,Workforce_AMI_100_NonAIT,0)+IF('Units, Set-Asides, Bldgs'!O62=1,Workforce_AMI_110_NonAIT,0)+IF('Units, Set-Asides, Bldgs'!O63=1,Workforce_AMI_120_NonAIT,0),0)-IF(Minimum_SetAside_per_Sec_42=DS_IRS_2050,'Units, Set-Asides, Bldgs'!G$58,0),IF(Minimum_SetAside_per_Sec_42=DS_IRS_AIT,SUM('Units, Set-Asides, Bldgs'!G$71:G$77)+IF('Units, Set-Asides, Bldgs'!P$65&lt;&gt;1,'Units, Set-Asides, Bldgs'!G$78+IF('Units, Set-Asides, Bldgs'!O$79&gt;0,'Units, Set-Asides, Bldgs'!G$79,0)+IF('Units, Set-Asides, Bldgs'!O$80&gt;0,'Units, Set-Asides, Bldgs'!G$80,0)+IF('Units, Set-Asides, Bldgs'!O$81&gt;0,'Units, Set-Asides, Bldgs'!G$81,0)+IF('Units, Set-Asides, Bldgs'!O$82&gt;0,'Units, Set-Asides, Bldgs'!G$82,0),0),0))</f>
        <v>0</v>
      </c>
      <c r="H636" s="376" t="str">
        <f>IF(Minimum_SetAside_per_Sec_42=DS_IRS_AIT,IF(C636="Yes",IF(Data1!J636&gt;=Data1!I636,"Yes","No"),"NA"),IF(C636="Yes",IF(G636&gt;=B636,"Yes","No"),"NA"))</f>
        <v>No</v>
      </c>
      <c r="I636" s="1627">
        <f>IF(C636="Yes",ROUNDUP(B636*Total_Units,0),"NA")</f>
        <v>0</v>
      </c>
      <c r="J636" s="456">
        <f>total_HC_units_AIT+IF('Units, Set-Asides, Bldgs'!P65&lt;&gt;1,Workforce_80_AIT_Units+IF('Units, Set-Asides, Bldgs'!O79&gt;0,Workforce_90_AIT_Units,0)+IF('Units, Set-Asides, Bldgs'!O80&gt;0,Workforce_100_AIT_Units,0)+IF('Units, Set-Asides, Bldgs'!O81&gt;0,Workforce_110_AIT_Units,0)+IF('Units, Set-Asides, Bldgs'!O82&gt;0,Workforce_120_AIT_Units,0),0)</f>
        <v>0</v>
      </c>
      <c r="Z636" s="1062"/>
      <c r="AA636" s="1062"/>
      <c r="AB636" s="7"/>
      <c r="AC636" s="7"/>
      <c r="AD636" s="7"/>
      <c r="AE636" s="7"/>
      <c r="AF636" s="7"/>
      <c r="AG636" s="849"/>
      <c r="AI636" s="849"/>
      <c r="AJ636" s="1927"/>
    </row>
    <row r="637" spans="1:36">
      <c r="A637" s="477" t="s">
        <v>2184</v>
      </c>
      <c r="B637" s="533">
        <v>75</v>
      </c>
      <c r="C637" s="822" t="s">
        <v>436</v>
      </c>
      <c r="D637" s="386" t="s">
        <v>478</v>
      </c>
      <c r="E637" s="477"/>
      <c r="F637" s="477"/>
      <c r="G637" s="1366">
        <f>IF(Minimum_SetAside_per_Sec_42=DS_IRS_2050,SUM('Units, Set-Asides, Bldgs'!F50:F57)+IF('Units, Set-Asides, Bldgs'!P$65&lt;&gt;1,'Units, Set-Asides, Bldgs'!F59+IF('Units, Set-Asides, Bldgs'!O60=1,'Units, Set-Asides, Bldgs'!F60,0)+IF('Units, Set-Asides, Bldgs'!O61=1,'Units, Set-Asides, Bldgs'!F61,0)+IF('Units, Set-Asides, Bldgs'!O62=1,'Units, Set-Asides, Bldgs'!F62,0)+IF('Units, Set-Asides, Bldgs'!O63=1,'Units, Set-Asides, Bldgs'!F63,0),0),IF(Minimum_SetAside_per_Sec_42=DS_IRS_4060,SUM('Units, Set-Asides, Bldgs'!F$50:F$58)+IF('Units, Set-Asides, Bldgs'!P$65&lt;&gt;1,'Units, Set-Asides, Bldgs'!F59+IF('Units, Set-Asides, Bldgs'!O60&gt;0,'Units, Set-Asides, Bldgs'!F60,0)+IF('Units, Set-Asides, Bldgs'!O61&gt;0,'Units, Set-Asides, Bldgs'!F61,0)+IF('Units, Set-Asides, Bldgs'!O62&gt;0,'Units, Set-Asides, Bldgs'!F62,0)+IF('Units, Set-Asides, Bldgs'!O63&gt;0,'Units, Set-Asides, Bldgs'!F63,0),0),IF(Minimum_SetAside_per_Sec_42=DS_IRS_AIT,SUM('Units, Set-Asides, Bldgs'!F$71:F$77)+IF('Units, Set-Asides, Bldgs'!P$65&lt;&gt;1,Workforce_80_AIT_Units+IF('Units, Set-Asides, Bldgs'!O79=1,Workforce_90_AIT_Units,0)+IF('Units, Set-Asides, Bldgs'!O80=1,Workforce_100_AIT_Units,0)+IF('Units, Set-Asides, Bldgs'!O81=1,Workforce_110_AIT_Units,0)+IF('Units, Set-Asides, Bldgs'!O82=1,Workforce_120_AIT_Units,0),0),IF(Minimum_SetAside_per_Sec_42=DS_FHFC_NonHC,SUM('Units, Set-Asides, Bldgs'!F$50:F$58)+IF('Units, Set-Asides, Bldgs'!P$65&lt;&gt;1,'Units, Set-Asides, Bldgs'!F59+IF('Units, Set-Asides, Bldgs'!O60=1,'Units, Set-Asides, Bldgs'!F60,0)+IF('Units, Set-Asides, Bldgs'!O61&gt;0,'Units, Set-Asides, Bldgs'!F61,0)+IF('Units, Set-Asides, Bldgs'!O62=1,'Units, Set-Asides, Bldgs'!F62,0)+IF('Units, Set-Asides, Bldgs'!O63&gt;0,'Units, Set-Asides, Bldgs'!F63,0),0),0))))</f>
        <v>0</v>
      </c>
      <c r="H637" s="530" t="str">
        <f>IF(C637="Yes",IF(Data1!G637&gt;=Data1!B637,"Yes","No"),"NA")</f>
        <v>NA</v>
      </c>
      <c r="I637" s="530"/>
      <c r="J637" s="756"/>
      <c r="X637" s="106"/>
      <c r="Z637" s="1062"/>
      <c r="AA637" s="1062"/>
      <c r="AB637" s="7"/>
      <c r="AC637" s="7"/>
      <c r="AD637" s="7"/>
      <c r="AE637" s="7"/>
      <c r="AF637" s="7"/>
      <c r="AG637" s="849"/>
      <c r="AI637" s="849"/>
      <c r="AJ637" s="1927"/>
    </row>
    <row r="638" spans="1:36">
      <c r="A638" t="s">
        <v>2647</v>
      </c>
      <c r="B638" s="822" t="s">
        <v>280</v>
      </c>
      <c r="X638" s="106"/>
      <c r="Z638" s="1062"/>
      <c r="AA638" s="1062"/>
      <c r="AB638" s="7"/>
      <c r="AC638" s="7"/>
      <c r="AD638" s="7"/>
      <c r="AE638" s="7"/>
      <c r="AF638" s="7"/>
      <c r="AG638" s="849"/>
      <c r="AI638" s="849"/>
      <c r="AJ638" s="1927"/>
    </row>
    <row r="639" spans="1:36">
      <c r="X639" s="106"/>
      <c r="AA639" s="1062"/>
      <c r="AB639" s="7"/>
      <c r="AC639" s="7"/>
      <c r="AD639" s="7"/>
      <c r="AE639" s="7"/>
      <c r="AF639" s="7"/>
      <c r="AG639" s="849"/>
      <c r="AI639" s="849"/>
      <c r="AJ639" s="1927"/>
    </row>
    <row r="640" spans="1:36" ht="20.25" customHeight="1">
      <c r="A640" s="1677" t="s">
        <v>2517</v>
      </c>
      <c r="D640" s="1913" t="s">
        <v>2635</v>
      </c>
      <c r="E640" s="24"/>
      <c r="G640" s="111" t="s">
        <v>474</v>
      </c>
      <c r="H640" s="111" t="s">
        <v>475</v>
      </c>
      <c r="I640" s="111" t="s">
        <v>476</v>
      </c>
      <c r="J640" s="111" t="s">
        <v>477</v>
      </c>
      <c r="X640" s="106"/>
      <c r="AA640" s="1062"/>
      <c r="AB640" s="7"/>
      <c r="AC640" s="7"/>
      <c r="AD640" s="7"/>
      <c r="AE640" s="7"/>
      <c r="AF640" s="7"/>
      <c r="AG640" s="849"/>
      <c r="AI640" s="849"/>
      <c r="AJ640" s="1927"/>
    </row>
    <row r="641" spans="1:36" ht="14.65" customHeight="1">
      <c r="A641" s="272" t="s">
        <v>2428</v>
      </c>
      <c r="B641" s="360">
        <f>IF(Minimum_SetAside_per_Sec_42=DS_IRS_2050,20%,40%)</f>
        <v>0.4</v>
      </c>
      <c r="C641" s="272" t="str">
        <f>"of Total Units ["&amp;TEXT(ROUNDUP(Total_Units*B641,0),"0")&amp;" units] (maximum of "&amp;TEXT(1-B641,"0%")&amp;" Market Rate ["&amp;TEXT(Total_Units-ROUNDUP(Total_Units*B641,0),"0")&amp;" units])"</f>
        <v>of Total Units [0 units] (maximum of 60% Market Rate [0 units])</v>
      </c>
      <c r="D641" s="267"/>
      <c r="E641" s="267"/>
      <c r="F641" s="267"/>
      <c r="G641" s="371">
        <f>IF(Minimum_SetAside_per_Sec_42=DS_IRS_2050,SUM('Units, Set-Asides, Bldgs'!G$50:G$57),IF(Minimum_SetAside_per_Sec_42=DS_IRS_4060,SUM('Units, Set-Asides, Bldgs'!G$50:G$58),IF(Minimum_SetAside_per_Sec_42=DS_IRS_AIT,AIT_HC_SA_Percent,0)))</f>
        <v>0</v>
      </c>
      <c r="H641" s="376" t="str">
        <f>IF(Minimum_SetAside_per_Sec_42=DS_IRS_AIT,IF(Data1!J641&gt;=Data1!I641,"Yes","No"),IF(OR(Minimum_SetAside_per_Sec_42=DS_IRS_2050,Minimum_SetAside_per_Sec_42=DS_IRS_4060),IF(G641&gt;=B641,"Yes","No"),"NA"))</f>
        <v>NA</v>
      </c>
      <c r="I641" s="1627">
        <f>ROUNDUP(B641*Total_Units,0)</f>
        <v>0</v>
      </c>
      <c r="J641" s="376">
        <f>IF(OR(AND(Minimum_SetAside_per_Sec_42&lt;&gt;DS_IRS_AIT,AND(Minimum_SetAside_per_Sec_42=DS_FHFC_NonHC,DS_FHFC_NonHC_Table="AIT")),AND(OR(RIGHT(Excel_RFA_Number,3)="214",RIGHT(Excel_RFA_Number,3)="215",RIGHT(Excel_RFA_Number,3)="216"),Minimum_SetAside_per_Sec_42=DS_FHFC_NonHC)),total_HC_units_AIT,0)</f>
        <v>0</v>
      </c>
      <c r="X641" s="106"/>
      <c r="AA641" s="1062"/>
      <c r="AB641" s="7"/>
      <c r="AC641" s="7"/>
      <c r="AD641" s="7"/>
      <c r="AE641" s="7"/>
      <c r="AF641" s="7"/>
      <c r="AG641" s="849"/>
      <c r="AI641" s="849"/>
      <c r="AJ641" s="1927"/>
    </row>
    <row r="642" spans="1:36">
      <c r="A642" s="272" t="str">
        <f>"Minimum HC Set-Aside: "&amp;IF('Units, Set-Asides, Bldgs'!P65=0,"Workforce",IF('Units, Set-Asides, Bldgs'!P65=2,"Live Local",IF('Units, Set-Asides, Bldgs'!P65=3,"FHFC Loan/Gap","NA here")))&amp;" ("&amp;IF(B644="Yes","","Not")&amp;" limited to =&lt;60% AMI)"</f>
        <v>Minimum HC Set-Aside: NA here (Not limited to =&lt;60% AMI)</v>
      </c>
      <c r="B642" s="834">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42" s="849" t="s">
        <v>2115</v>
      </c>
      <c r="D642" s="359">
        <f>IF(Demographic="Elderly Non-ALF",IF(Minimum_SetAside_per_Sec_42=DS_IRS_2050,60%,40%),0)*0</f>
        <v>0</v>
      </c>
      <c r="E642" s="463" t="str">
        <f>"(Automated to be "&amp;TEXT(D642,"0%")&amp;" higher than minimum IRS set-aside)"</f>
        <v>(Automated to be 0% higher than minimum IRS set-aside)</v>
      </c>
      <c r="F642" s="451"/>
      <c r="G642" s="371">
        <f>IF(Minimum_SetAside_per_Sec_42=DS_IRS_2050,SUM('Units, Set-Asides, Bldgs'!G$50:G$57),IF(Minimum_SetAside_per_Sec_42=DS_IRS_4060,SUM('Units, Set-Asides, Bldgs'!G$50:G$58),IF(Minimum_SetAside_per_Sec_42=DS_IRS_AIT,total_HC_units_AIT-IF(B644="Yes",'Units, Set-Asides, Bldgs'!G76+'Units, Set-Asides, Bldgs'!G77,0),0)))</f>
        <v>0</v>
      </c>
      <c r="H642" s="452" t="str">
        <f>IF(OR(Minimum_SetAside_per_Sec_42=DS_IRS_2050,Minimum_SetAside_per_Sec_42=DS_IRS_4060),IF(G642&gt;=B642,"Yes","No"),IF(Minimum_SetAside_per_Sec_42=DS_IRS_AIT,IF(J642&gt;=I642,"Yes","No"),"NA"))</f>
        <v>NA</v>
      </c>
      <c r="I642" s="1627">
        <f>ROUNDUP(B642*Total_Units,0)</f>
        <v>0</v>
      </c>
      <c r="J642" s="376">
        <f>IF(OR(Minimum_SetAside_per_Sec_42=DS_IRS_AIT,AND(Minimum_SetAside_per_Sec_42=DS_FHFC_NonHC,DS_FHFC_NonHC_Table="AIT"),AND(OR(RIGHT(Excel_RFA_Number,3)="214",RIGHT(Excel_RFA_Number,3)="215",RIGHT(Excel_RFA_Number,3)="216"),Minimum_SetAside_per_Sec_42=DS_FHFC_NonHC)),total_HC_units_AIT-IF(B644="Yes",'Units, Set-Asides, Bldgs'!F76+'Units, Set-Asides, Bldgs'!F77,0),0)</f>
        <v>0</v>
      </c>
      <c r="X642" s="106"/>
      <c r="AA642" s="1062"/>
      <c r="AB642" s="7"/>
      <c r="AC642" s="7"/>
      <c r="AD642" s="7"/>
      <c r="AE642" s="7"/>
      <c r="AF642" s="7"/>
      <c r="AG642" s="849"/>
      <c r="AI642" s="849"/>
      <c r="AJ642" s="1927"/>
    </row>
    <row r="643" spans="1:36">
      <c r="A643" s="273" t="str">
        <f>"Maximum HC Set-Aside: "&amp;IF('Units, Set-Asides, Bldgs'!P65=0,"Workforce",IF('Units, Set-Asides, Bldgs'!P65=2,"Live Local",IF('Units, Set-Asides, Bldgs'!P65=3,"FHFC Loan/Gap","NA here")))&amp;" ("&amp;IF(B644="Yes","","Not")&amp;" limited to =&lt;60% AMI)"</f>
        <v>Maximum HC Set-Aside: NA here (Not limited to =&lt;60% AMI)</v>
      </c>
      <c r="B643" s="1275">
        <f>IF(OR(Minimum_SetAside_per_Sec_42=DS_IRS_2050,AND(Minimum_SetAside_per_Sec_42=DS_FHFC_NonHC,N(sixty_AMI_AIT_Units)&lt;1)),20%,40%)+D643</f>
        <v>1</v>
      </c>
      <c r="C643" s="451" t="s">
        <v>2115</v>
      </c>
      <c r="D643" s="359">
        <f>IF(Demographic="Family",IF(OR(Minimum_SetAside_per_Sec_42=DS_IRS_2050,Minimum_SetAside_per_Sec_42=DS_IRS_4060,Minimum_SetAside_per_Sec_42=DS_FHFC_NonHC),10%,60%),IF(Minimum_SetAside_per_Sec_42=DS_IRS_2050,80%,60%))</f>
        <v>0.6</v>
      </c>
      <c r="E643" s="463" t="str">
        <f>"(Automated to be to make maximum at 100%)"</f>
        <v>(Automated to be to make maximum at 100%)</v>
      </c>
      <c r="F643" s="251"/>
      <c r="G643" s="251"/>
      <c r="H643" s="394" t="str">
        <f>IF(OR(Minimum_SetAside_per_Sec_42=DS_IRS_2050,Minimum_SetAside_per_Sec_42=DS_IRS_4060),IF(G642&lt;=B643,"Yes","No"),IF(Minimum_SetAside_per_Sec_42=DS_IRS_AIT,IF(J642&lt;=I643,"Yes","No"),"NA"))</f>
        <v>NA</v>
      </c>
      <c r="I643" s="1628">
        <f>ROUNDUP(B643*Total_Units,0)</f>
        <v>0</v>
      </c>
      <c r="J643" s="394"/>
      <c r="X643" s="106"/>
      <c r="AA643" s="1062"/>
      <c r="AB643" s="7"/>
      <c r="AC643" s="7"/>
      <c r="AD643" s="7"/>
      <c r="AE643" s="7"/>
      <c r="AF643" s="7"/>
      <c r="AG643" s="849"/>
      <c r="AI643" s="849"/>
      <c r="AJ643" s="1927"/>
    </row>
    <row r="644" spans="1:36">
      <c r="A644" s="1519" t="str">
        <f>"Are the "&amp;IF('Units, Set-Asides, Bldgs'!P65=0,"Workforce",IF('Units, Set-Asides, Bldgs'!P65=2,"Live Local",IF('Units, Set-Asides, Bldgs'!P65=3,"FHFC Loan/Gap","NA here")))&amp;" HC Set-Aside commitment criteria limited to HC units =&lt; 60% AMI?"</f>
        <v>Are the NA here HC Set-Aside commitment criteria limited to HC units =&lt; 60% AMI?</v>
      </c>
      <c r="B644" s="1232" t="s">
        <v>436</v>
      </c>
      <c r="C644" s="477" t="s">
        <v>2603</v>
      </c>
      <c r="D644" s="477"/>
      <c r="E644" s="477"/>
      <c r="F644" s="477"/>
      <c r="G644" s="477"/>
      <c r="H644" s="530"/>
      <c r="I644" s="530"/>
      <c r="J644" s="530"/>
      <c r="X644" s="106"/>
      <c r="AA644" s="1062"/>
      <c r="AB644" s="7"/>
      <c r="AC644" s="7"/>
      <c r="AD644" s="7"/>
      <c r="AE644" s="7"/>
      <c r="AF644" s="7"/>
      <c r="AG644" s="849"/>
      <c r="AI644" s="849"/>
      <c r="AJ644" s="1927"/>
    </row>
    <row r="645" spans="1:36">
      <c r="A645" s="329" t="s">
        <v>479</v>
      </c>
      <c r="B645" s="1380">
        <v>0.5</v>
      </c>
      <c r="C645" s="477" t="s">
        <v>480</v>
      </c>
      <c r="D645" s="330"/>
      <c r="E645" s="330"/>
      <c r="F645" s="330"/>
      <c r="G645" s="489" t="str">
        <f>IF(Demographic&lt;&gt;"Elderly ALF","NA",IF(OR(Minimum_SetAside_per_Sec_42=DS_IRS_2050,Minimum_SetAside_per_Sec_42=DS_IRS_4060),NonAIT_HC_SA_Percent,IF(Minimum_SetAside_per_Sec_42=DS_IRS_AIT,AIT_HC_SA_Percent,0)))</f>
        <v>NA</v>
      </c>
      <c r="H645" s="378"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645),AND(Minimum_SetAside_per_Sec_42=DS_IRS_AIT,AIT_HC_SA_Percent&gt;=Data1!B645)),"Yes","No"))</f>
        <v>NA</v>
      </c>
      <c r="I645" s="378"/>
      <c r="J645" s="455"/>
      <c r="X645" s="106"/>
      <c r="AA645" s="1062"/>
      <c r="AB645" s="7"/>
      <c r="AC645" s="7"/>
      <c r="AD645" s="7"/>
      <c r="AE645" s="7"/>
      <c r="AF645" s="7"/>
      <c r="AG645" s="849"/>
      <c r="AI645" s="849"/>
      <c r="AJ645" s="1927"/>
    </row>
    <row r="646" spans="1:36">
      <c r="A646" s="1507" t="s">
        <v>481</v>
      </c>
      <c r="B646" s="359">
        <v>0.75</v>
      </c>
      <c r="C646" s="251" t="s">
        <v>2256</v>
      </c>
      <c r="D646" s="251"/>
      <c r="E646" s="251"/>
      <c r="F646" s="251"/>
      <c r="G646" s="453"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46" s="488"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646),AND(Minimum_SetAside_per_Sec_42=DS_IRS_AIT,AIT_HC_SA_Percent&gt;=Data1!B646)),"Yes","No"))</f>
        <v>NA</v>
      </c>
      <c r="I646" s="394"/>
      <c r="J646" s="454"/>
      <c r="X646" s="106"/>
      <c r="AA646" s="1062"/>
      <c r="AB646" s="7"/>
      <c r="AC646" s="7"/>
      <c r="AD646" s="7"/>
      <c r="AE646" s="7"/>
      <c r="AF646" s="7"/>
      <c r="AG646" s="849"/>
      <c r="AI646" s="849"/>
      <c r="AJ646" s="1927"/>
    </row>
    <row r="647" spans="1:36">
      <c r="A647" s="1407" t="s">
        <v>2433</v>
      </c>
      <c r="B647" s="330"/>
      <c r="C647" s="329"/>
      <c r="D647" s="330"/>
      <c r="E647" s="330"/>
      <c r="F647" s="330"/>
      <c r="G647" s="330"/>
      <c r="H647" s="378" t="str">
        <f>IF(J647&lt;=60%,"Yes","No")</f>
        <v>Yes</v>
      </c>
      <c r="I647" s="493">
        <v>0.6</v>
      </c>
      <c r="J647" s="489">
        <f>IF(OR(Minimum_SetAside_per_Sec_42=DS_IRS_AIT,AND(RIGHT(Excel_RFA_Number,3)="214",Minimum_SetAside_per_Sec_42=DS_FHFC_NonHC)),avg_AMI_HC_Units_in_AIT_chart,0)</f>
        <v>0</v>
      </c>
      <c r="X647" s="106"/>
      <c r="AA647" s="1062"/>
      <c r="AB647" s="7"/>
      <c r="AC647" s="7"/>
      <c r="AD647" s="7"/>
      <c r="AE647" s="7"/>
      <c r="AF647" s="7"/>
      <c r="AG647" s="849"/>
      <c r="AI647" s="849"/>
      <c r="AJ647" s="1927"/>
    </row>
    <row r="648" spans="1:36">
      <c r="A648" s="264"/>
      <c r="C648" s="6"/>
      <c r="H648" s="823"/>
      <c r="I648" s="491"/>
      <c r="J648" s="492"/>
      <c r="X648" s="106"/>
      <c r="AA648" s="1062"/>
      <c r="AB648" s="7"/>
      <c r="AC648" s="7"/>
      <c r="AD648" s="7"/>
      <c r="AE648" s="7"/>
      <c r="AF648" s="7"/>
      <c r="AG648" s="849"/>
      <c r="AI648" s="849"/>
      <c r="AJ648" s="1927"/>
    </row>
    <row r="649" spans="1:36" ht="20.25" customHeight="1">
      <c r="A649" s="1677" t="s">
        <v>2429</v>
      </c>
      <c r="G649" s="628" t="s">
        <v>474</v>
      </c>
      <c r="H649" s="630" t="s">
        <v>475</v>
      </c>
      <c r="X649" s="106"/>
      <c r="AA649" s="1062"/>
      <c r="AB649" s="7"/>
      <c r="AC649" s="7"/>
      <c r="AD649" s="7"/>
      <c r="AE649" s="7"/>
      <c r="AF649" s="7"/>
      <c r="AG649" s="849"/>
      <c r="AI649" s="849"/>
      <c r="AJ649" s="1927"/>
    </row>
    <row r="650" spans="1:36">
      <c r="A650" s="267" t="s">
        <v>2901</v>
      </c>
      <c r="B650" s="3057" t="s">
        <v>2894</v>
      </c>
      <c r="C650" s="3057"/>
      <c r="D650" s="3057"/>
      <c r="E650" s="1676" t="s">
        <v>2904</v>
      </c>
      <c r="F650" s="747"/>
      <c r="G650" s="1409"/>
      <c r="H650" s="1401"/>
      <c r="I650" s="376"/>
      <c r="J650" s="456"/>
      <c r="X650" s="106"/>
      <c r="AA650" s="1062"/>
      <c r="AB650" s="7"/>
      <c r="AC650" s="7"/>
      <c r="AD650" s="7"/>
      <c r="AE650" s="7"/>
      <c r="AF650" s="7"/>
      <c r="AG650" s="849"/>
      <c r="AI650" s="849"/>
      <c r="AJ650" s="1927"/>
    </row>
    <row r="651" spans="1:36">
      <c r="A651" s="361" t="s">
        <v>482</v>
      </c>
      <c r="B651" s="362">
        <v>0.8</v>
      </c>
      <c r="C651" s="373" t="str">
        <f>"of Total Units ["&amp;TEXT(ROUNDUP(Total_Units*B651,0),"0")&amp;" units] (max. of "&amp;TEXT(1-B651,"0%")&amp;" Market Rate ["&amp;TEXT(Total_Units-ROUNDUP(Total_Units*B651,0),"0")&amp;" units])"&amp;IF('Units, Set-Asides, Bldgs'!P65&lt;&gt;1,", Set-asides include "&amp;IF('Units, Set-Asides, Bldgs'!P65=0,"Workforce","Live Local")&amp;" @ 80%"&amp;IF('Units, Set-Asides, Bldgs'!O63=1," and 120%","")&amp;" AMI","")</f>
        <v>of Total Units [0 units] (max. of 20% Market Rate [0 units])</v>
      </c>
      <c r="D651" s="361"/>
      <c r="E651" s="361"/>
      <c r="F651" s="361"/>
      <c r="G651" s="1410">
        <f>IF(Minimum_SetAside_per_Sec_42=DS_FHFC_NonHC,AIT_HC_SA_Percent+IF('Units, Set-Asides, Bldgs'!P65&lt;&gt;1,IF(RIGHT(Excel_RFA_Number,3)="213",'Units, Set-Asides, Bldgs'!G76,0)+'Units, Set-Asides, Bldgs'!G78+IF(AND(B652&gt;=90%,'Units, Set-Asides, Bldgs'!O79=1),'Units, Set-Asides, Bldgs'!G79,0)+IF(AND(B652&gt;=100%,'Units, Set-Asides, Bldgs'!O80=1),'Units, Set-Asides, Bldgs'!G80,0)+IF(AND(B652&gt;=110%,'Units, Set-Asides, Bldgs'!O81=1),'Units, Set-Asides, Bldgs'!G81,0)+IF(AND(B652&gt;=120%,'Units, Set-Asides, Bldgs'!O63=1),'Units, Set-Asides, Bldgs'!G82,0),0),0)</f>
        <v>0</v>
      </c>
      <c r="H651" s="1411" t="str">
        <f>IF(G651&gt;=B651,"Yes","No")</f>
        <v>No</v>
      </c>
      <c r="I651" s="1408"/>
      <c r="J651" s="377"/>
      <c r="X651" s="106"/>
      <c r="AA651" s="1062"/>
      <c r="AB651" s="7"/>
      <c r="AC651" s="7"/>
      <c r="AD651" s="7"/>
      <c r="AE651" s="7"/>
      <c r="AF651" s="7"/>
      <c r="AG651" s="849"/>
      <c r="AI651" s="849"/>
      <c r="AJ651" s="1927"/>
    </row>
    <row r="652" spans="1:36">
      <c r="A652" s="330" t="s">
        <v>483</v>
      </c>
      <c r="B652" s="374">
        <f>IF('Units, Set-Asides, Bldgs'!P65&lt;&gt;1,80%,IF(RIGHT(Excel_RFA_Number,3)="213",120%,60%))</f>
        <v>0.6</v>
      </c>
      <c r="C652" s="329" t="s">
        <v>484</v>
      </c>
      <c r="D652" s="330"/>
      <c r="E652" s="330"/>
      <c r="F652" s="330"/>
      <c r="G652" s="477"/>
      <c r="H652" s="530"/>
      <c r="I652" s="378"/>
      <c r="J652" s="378"/>
      <c r="X652" s="106"/>
      <c r="AA652" s="1062"/>
      <c r="AB652" s="7"/>
      <c r="AC652" s="7"/>
      <c r="AD652" s="7"/>
      <c r="AE652" s="7"/>
      <c r="AF652" s="7"/>
      <c r="AG652" s="849"/>
      <c r="AI652" s="849"/>
      <c r="AJ652" s="1927"/>
    </row>
    <row r="653" spans="1:36">
      <c r="A653" s="1650" t="str">
        <f>IF(B633=0,"NA since the "&amp;DS_FHFC_NonHC&amp;" commitment is not available.","Which table does the Non-SS "&amp;DS_FHFC_NonHC&amp;" commitment require?")</f>
        <v>NA since the Loan Only Funding only (no HC) commitment is not available.</v>
      </c>
      <c r="B653" s="1651" t="s">
        <v>2909</v>
      </c>
      <c r="C653" s="2902" t="str">
        <f>IF(AND(B633=0,B679&lt;&gt;"NA"),"Without the "&amp;A633&amp;" option available, the appropriate response needs to be ""NA""."&amp;CHAR(10),"")</f>
        <v xml:space="preserve">Without the Loan Only Funding only (no HC) option available, the appropriate response needs to be "NA".
</v>
      </c>
      <c r="D653" s="2902"/>
      <c r="E653" s="2902"/>
      <c r="F653" s="2902"/>
      <c r="G653" s="1652"/>
      <c r="H653" s="1652"/>
      <c r="I653" s="1652"/>
      <c r="J653" s="1652"/>
      <c r="X653" s="106"/>
      <c r="AA653" s="1062"/>
      <c r="AB653" s="7"/>
      <c r="AC653" s="7"/>
      <c r="AD653" s="7"/>
      <c r="AE653" s="7"/>
      <c r="AF653" s="7"/>
      <c r="AG653" s="849"/>
      <c r="AI653" s="849"/>
      <c r="AJ653" s="1927"/>
    </row>
    <row r="654" spans="1:36">
      <c r="B654" s="1890"/>
      <c r="C654" s="3064"/>
      <c r="D654" s="3064"/>
      <c r="E654" s="3064"/>
      <c r="F654" s="3064"/>
      <c r="G654" s="1889"/>
      <c r="H654" s="823"/>
      <c r="I654" s="823"/>
      <c r="J654" s="823"/>
      <c r="X654" s="106"/>
      <c r="AA654" s="1062"/>
      <c r="AB654" s="7"/>
      <c r="AC654" s="7"/>
      <c r="AD654" s="7"/>
      <c r="AE654" s="7"/>
      <c r="AF654" s="7"/>
      <c r="AG654" s="849"/>
      <c r="AI654" s="849"/>
      <c r="AJ654" s="1927"/>
    </row>
    <row r="655" spans="1:36" ht="20.25" customHeight="1">
      <c r="A655" s="1677" t="s">
        <v>2905</v>
      </c>
      <c r="H655" s="823"/>
      <c r="I655" s="823"/>
      <c r="J655" s="823"/>
      <c r="X655" s="106"/>
      <c r="AA655" s="1062"/>
      <c r="AB655" s="7"/>
      <c r="AC655" s="7"/>
      <c r="AD655" s="7"/>
      <c r="AE655" s="7"/>
      <c r="AF655" s="7"/>
      <c r="AG655" s="849"/>
      <c r="AI655" s="849"/>
      <c r="AJ655" s="1927"/>
    </row>
    <row r="656" spans="1:36">
      <c r="A656" s="437" t="s">
        <v>2907</v>
      </c>
      <c r="B656" s="822" t="s">
        <v>280</v>
      </c>
      <c r="C656" s="6" t="str">
        <f>"  (indicated as "&amp;DS_Gap_Name1&amp;")"</f>
        <v xml:space="preserve">  (indicated as SAIL)</v>
      </c>
      <c r="F656" s="3068" t="s">
        <v>2915</v>
      </c>
      <c r="G656" s="823"/>
      <c r="H656" s="823"/>
      <c r="I656" s="823"/>
      <c r="J656" s="823"/>
      <c r="X656" s="106"/>
      <c r="AA656" s="1062"/>
      <c r="AB656" s="7"/>
      <c r="AC656" s="7"/>
      <c r="AD656" s="7"/>
      <c r="AE656" s="7"/>
      <c r="AF656" s="7"/>
      <c r="AG656" s="849"/>
      <c r="AI656" s="849"/>
      <c r="AJ656" s="1927"/>
    </row>
    <row r="657" spans="1:36">
      <c r="A657" s="437" t="s">
        <v>2906</v>
      </c>
      <c r="B657" s="822" t="s">
        <v>436</v>
      </c>
      <c r="C657" s="6" t="str">
        <f>"  (indicated as "&amp;DS_Gap_Name2&amp;")"</f>
        <v xml:space="preserve">  (indicated as Live Local SAIL)</v>
      </c>
      <c r="F657" s="3069"/>
      <c r="G657" s="823"/>
      <c r="H657" s="823"/>
      <c r="I657" s="823"/>
      <c r="J657" s="823"/>
      <c r="X657" s="106"/>
      <c r="AA657" s="1062"/>
      <c r="AB657" s="7"/>
      <c r="AC657" s="7"/>
      <c r="AD657" s="7"/>
      <c r="AE657" s="7"/>
      <c r="AF657" s="7"/>
      <c r="AG657" s="849"/>
      <c r="AI657" s="849"/>
      <c r="AJ657" s="1927"/>
    </row>
    <row r="658" spans="1:36">
      <c r="A658" s="437" t="s">
        <v>2902</v>
      </c>
      <c r="B658" s="3058" t="s">
        <v>119</v>
      </c>
      <c r="C658" s="3058"/>
      <c r="D658" s="3058"/>
      <c r="E658" s="451"/>
      <c r="F658" s="868"/>
      <c r="G658" s="267"/>
      <c r="H658" s="376"/>
      <c r="I658" s="376"/>
      <c r="J658" s="376"/>
      <c r="X658" s="106"/>
      <c r="AA658" s="1062"/>
      <c r="AG658" s="849"/>
      <c r="AI658" s="849"/>
      <c r="AJ658" s="1927"/>
    </row>
    <row r="659" spans="1:36">
      <c r="A659" s="437" t="s">
        <v>2903</v>
      </c>
      <c r="B659" s="3104" t="s">
        <v>2430</v>
      </c>
      <c r="C659" s="3104"/>
      <c r="D659" s="3104"/>
      <c r="E659" s="451"/>
      <c r="F659" s="868"/>
      <c r="H659" s="823"/>
      <c r="I659" s="376"/>
      <c r="J659" s="376"/>
      <c r="X659" s="106"/>
      <c r="AA659" s="1062"/>
      <c r="AG659" s="849"/>
      <c r="AI659" s="849"/>
      <c r="AJ659" s="1927"/>
    </row>
    <row r="660" spans="1:36">
      <c r="A660" s="438" t="s">
        <v>485</v>
      </c>
      <c r="B660" s="2251">
        <f>IF(Minimum_SetAside_per_Sec_42=DS_IRS_AIT,80%,IF(Minimum_SetAside_per_Sec_42=DS_IRS_2050,50%,60%))</f>
        <v>0.6</v>
      </c>
      <c r="C660" s="822" t="s">
        <v>280</v>
      </c>
      <c r="D660" s="267"/>
      <c r="E660" s="267"/>
      <c r="F660" s="267"/>
      <c r="G660" s="886"/>
      <c r="H660" s="823"/>
      <c r="I660" s="376"/>
      <c r="J660" s="376"/>
      <c r="AA660" s="1062"/>
      <c r="AG660" s="849"/>
      <c r="AI660" s="849"/>
      <c r="AJ660" s="1927"/>
    </row>
    <row r="661" spans="1:36">
      <c r="A661" s="438" t="s">
        <v>486</v>
      </c>
      <c r="B661" s="834">
        <v>0.8</v>
      </c>
      <c r="C661" s="251" t="s">
        <v>2076</v>
      </c>
      <c r="D661" s="251"/>
      <c r="E661" s="251"/>
      <c r="F661" s="251"/>
      <c r="G661" s="3055" t="s">
        <v>2885</v>
      </c>
      <c r="H661" s="3060" t="s">
        <v>2113</v>
      </c>
      <c r="I661" s="2234">
        <f>SUMIF('Units, Set-Asides, Bldgs'!I50:I58,"&lt;="&amp;IFERROR(VLOOKUP(County,DS_CountyData,14),25%),'Units, Set-Asides, Bldgs'!F50:F58)</f>
        <v>0</v>
      </c>
      <c r="J661" s="1402" t="s">
        <v>2095</v>
      </c>
      <c r="AA661" s="1062"/>
      <c r="AG661" s="849"/>
      <c r="AI661" s="849"/>
      <c r="AJ661" s="1927"/>
    </row>
    <row r="662" spans="1:36">
      <c r="A662" s="438" t="s">
        <v>487</v>
      </c>
      <c r="B662" s="769" t="str">
        <f>IF(AND(C660="Yes",Minimum_SetAside_per_Sec_42=DS_IRS_AIT),IF(SUM('Units, Set-Asides, Bldgs'!G50:G59)=0,0,SUMPRODUCT('Units, Set-Asides, Bldgs'!G50:G59,'Units, Set-Asides, Bldgs'!I50:I59)/SUM('Units, Set-Asides, Bldgs'!G50:G59)),"NA")</f>
        <v>NA</v>
      </c>
      <c r="C662" s="251"/>
      <c r="D662" s="251"/>
      <c r="E662" s="251"/>
      <c r="F662" s="251"/>
      <c r="G662" s="3056"/>
      <c r="H662" s="3082"/>
      <c r="I662" s="2235">
        <f>SUMIF('Units, Set-Asides, Bldgs'!I50:I58,"&lt;="&amp;IFERROR(VLOOKUP(County,DS_CountyData,14),25%),'Units, Set-Asides, Bldgs'!G50:G58)</f>
        <v>0</v>
      </c>
      <c r="J662" s="1403" t="s">
        <v>2114</v>
      </c>
      <c r="AA662" s="1062"/>
      <c r="AG662" s="849"/>
      <c r="AI662" s="849"/>
      <c r="AJ662" s="1927"/>
    </row>
    <row r="663" spans="1:36">
      <c r="A663" s="251" t="s">
        <v>1690</v>
      </c>
      <c r="B663" s="359">
        <f>DS_HC_Min_SA_Perc</f>
        <v>0.8</v>
      </c>
      <c r="C663" s="767" t="s">
        <v>488</v>
      </c>
      <c r="D663" s="767"/>
      <c r="E663" s="251"/>
      <c r="F663" s="251"/>
      <c r="G663" s="2236">
        <f>SUM('Units, Set-Asides, Bldgs'!G50:G58)</f>
        <v>0</v>
      </c>
      <c r="H663" s="1401" t="str">
        <f>IF(AND(G663&gt;0,G663&gt;=B663),"Yes","No")</f>
        <v>No</v>
      </c>
      <c r="I663" s="1404">
        <f>twenty_AMI_AIT_Units+thirty_AMI_AIT_Units</f>
        <v>0</v>
      </c>
      <c r="J663" s="1403" t="s">
        <v>2878</v>
      </c>
      <c r="AA663" s="1062"/>
      <c r="AG663" s="849"/>
      <c r="AI663" s="849"/>
      <c r="AJ663" s="1927"/>
    </row>
    <row r="664" spans="1:36">
      <c r="A664" s="251" t="s">
        <v>489</v>
      </c>
      <c r="B664" s="359">
        <v>1</v>
      </c>
      <c r="C664" s="273"/>
      <c r="D664" s="251"/>
      <c r="E664" s="251"/>
      <c r="F664" s="251"/>
      <c r="G664" s="1399"/>
      <c r="H664" s="1400" t="str">
        <f>IF(AND(G664&gt;0,G663&lt;=B664),"Yes","No")</f>
        <v>No</v>
      </c>
      <c r="I664" s="1405">
        <f>'Units, Set-Asides, Bldgs'!G71+'Units, Set-Asides, Bldgs'!G72</f>
        <v>0</v>
      </c>
      <c r="J664" s="1406" t="s">
        <v>2879</v>
      </c>
      <c r="AA664" s="1062"/>
      <c r="AG664" s="849"/>
      <c r="AI664" s="849"/>
      <c r="AJ664" s="1927"/>
    </row>
    <row r="665" spans="1:36">
      <c r="A665" s="477" t="s">
        <v>1691</v>
      </c>
      <c r="B665" s="768">
        <f>B645</f>
        <v>0.5</v>
      </c>
      <c r="C665" s="386"/>
      <c r="D665" s="477"/>
      <c r="E665" s="477"/>
      <c r="F665" s="477"/>
      <c r="H665" s="823"/>
      <c r="I665" s="823"/>
      <c r="J665" s="823"/>
      <c r="K665" s="264"/>
      <c r="L665" s="264"/>
      <c r="M665" s="264"/>
      <c r="N665" s="264"/>
      <c r="O665" s="264"/>
      <c r="P665" s="264"/>
      <c r="Q665" s="264"/>
      <c r="R665" s="264"/>
      <c r="AA665" s="1062"/>
      <c r="AG665" s="849"/>
      <c r="AI665" s="849"/>
      <c r="AJ665" s="1927"/>
    </row>
    <row r="666" spans="1:36">
      <c r="D666" s="24"/>
      <c r="E666" s="24"/>
      <c r="F666" s="24"/>
      <c r="G666" s="528" t="s">
        <v>490</v>
      </c>
      <c r="I666" s="6"/>
      <c r="J666" s="6"/>
      <c r="K666" s="264"/>
      <c r="M666" s="6"/>
      <c r="N666" s="6"/>
      <c r="O666" s="6"/>
      <c r="P666" s="6"/>
      <c r="AA666" s="1062"/>
      <c r="AG666" s="849"/>
      <c r="AI666" s="849"/>
      <c r="AJ666" s="1927"/>
    </row>
    <row r="667" spans="1:36">
      <c r="A667" s="361" t="s">
        <v>491</v>
      </c>
      <c r="B667" s="1261">
        <v>50</v>
      </c>
      <c r="C667" s="373" t="s">
        <v>492</v>
      </c>
      <c r="D667" s="361"/>
      <c r="E667" s="361"/>
      <c r="F667" s="3083" t="s">
        <v>493</v>
      </c>
      <c r="G667" s="6"/>
      <c r="H667" s="6"/>
      <c r="I667" s="6"/>
      <c r="J667" s="6"/>
      <c r="K667" s="6"/>
      <c r="L667" s="6"/>
      <c r="M667" s="6"/>
      <c r="N667" s="6"/>
      <c r="O667" s="6"/>
      <c r="P667" s="6"/>
      <c r="AA667" s="1062"/>
      <c r="AG667" s="849"/>
      <c r="AI667" s="849"/>
      <c r="AJ667" s="1927"/>
    </row>
    <row r="668" spans="1:36">
      <c r="A668" s="330" t="s">
        <v>494</v>
      </c>
      <c r="B668" s="1262">
        <f>IF(OR(Minimum_SetAside_per_Sec_42=DS_IRS_AIT,Minimum_SetAside_per_Sec_42=DS_FHFC_NonHC),50,15)</f>
        <v>15</v>
      </c>
      <c r="C668" s="329" t="s">
        <v>492</v>
      </c>
      <c r="D668" s="1520" t="s">
        <v>2282</v>
      </c>
      <c r="E668" s="330"/>
      <c r="F668" s="3084"/>
      <c r="G668" s="6"/>
      <c r="H668" s="6"/>
      <c r="I668" s="6"/>
      <c r="J668" s="6"/>
      <c r="K668" s="6"/>
      <c r="L668" s="6"/>
      <c r="M668" s="6"/>
      <c r="N668" s="6"/>
      <c r="O668" s="6"/>
      <c r="P668" s="6"/>
      <c r="R668" s="6"/>
      <c r="AA668" s="1062"/>
      <c r="AG668" s="849"/>
      <c r="AI668" s="849"/>
      <c r="AJ668" s="1927"/>
    </row>
    <row r="669" spans="1:36">
      <c r="A669" s="361" t="s">
        <v>495</v>
      </c>
      <c r="B669" s="1261">
        <v>15</v>
      </c>
      <c r="C669" s="373" t="s">
        <v>492</v>
      </c>
      <c r="D669" s="373"/>
      <c r="E669" s="15"/>
      <c r="F669" s="361"/>
      <c r="G669" s="6"/>
      <c r="H669" s="6"/>
      <c r="I669" s="6"/>
      <c r="J669" s="6"/>
      <c r="K669" s="6"/>
      <c r="L669" s="6"/>
      <c r="M669" s="6"/>
      <c r="N669" s="6"/>
      <c r="O669" s="6"/>
      <c r="P669" s="6"/>
      <c r="AA669" s="1062"/>
      <c r="AG669" s="849"/>
      <c r="AI669" s="849"/>
      <c r="AJ669" s="1927"/>
    </row>
    <row r="670" spans="1:36">
      <c r="A670" s="477" t="s">
        <v>496</v>
      </c>
      <c r="B670" s="1263">
        <v>99</v>
      </c>
      <c r="C670" s="386" t="s">
        <v>492</v>
      </c>
      <c r="D670" s="386"/>
      <c r="E670" s="373"/>
      <c r="F670" s="477"/>
      <c r="G670" s="6"/>
      <c r="H670" s="6"/>
      <c r="I670" s="6"/>
      <c r="J670" s="6"/>
      <c r="K670" s="6"/>
      <c r="L670" s="6"/>
      <c r="AA670" s="1062"/>
      <c r="AG670" s="849"/>
      <c r="AI670" s="849"/>
      <c r="AJ670" s="1927"/>
    </row>
    <row r="671" spans="1:36">
      <c r="D671" s="15"/>
      <c r="E671" s="329"/>
      <c r="F671" s="24"/>
      <c r="G671" s="3051" t="s">
        <v>2480</v>
      </c>
      <c r="H671" s="3123" t="s">
        <v>2487</v>
      </c>
      <c r="I671" s="2743" t="s">
        <v>2478</v>
      </c>
      <c r="J671" s="2744"/>
      <c r="K671" s="2233"/>
      <c r="L671" s="3121" t="s">
        <v>2481</v>
      </c>
      <c r="M671" s="2743" t="s">
        <v>2479</v>
      </c>
      <c r="N671" s="2744"/>
      <c r="O671" s="247"/>
    </row>
    <row r="672" spans="1:36" ht="18" customHeight="1">
      <c r="A672" s="531" t="s">
        <v>2919</v>
      </c>
      <c r="D672" s="15"/>
      <c r="E672" s="373"/>
      <c r="F672" s="24"/>
      <c r="G672" s="3051"/>
      <c r="H672" s="3123"/>
      <c r="I672" s="528" t="s">
        <v>2482</v>
      </c>
      <c r="J672" s="528" t="s">
        <v>2484</v>
      </c>
      <c r="K672" s="6"/>
      <c r="L672" s="3122"/>
      <c r="M672" s="528" t="s">
        <v>2483</v>
      </c>
      <c r="N672" s="528" t="s">
        <v>2485</v>
      </c>
      <c r="O672" s="264"/>
    </row>
    <row r="673" spans="1:24" ht="15" customHeight="1">
      <c r="A673" s="477" t="str">
        <f>IF(Minimum_SetAside_per_Sec_42=DS_IRS_AIT,"","Non-")&amp;"AIT "&amp;IF(AND('General Information'!K73&gt;0,Self_Sourced_Applicant="Yes"),"","Non-")&amp;"Self-Sourced ELI Min required in App (Base only)"</f>
        <v>Non-AIT Non-Self-Sourced ELI Min required in App (Base only)</v>
      </c>
      <c r="B673" s="529" cm="1">
        <f t="array" ref="B673">IF(LDA_Notice="LDA",DS_Min_ELI_LDA,IF(Minimum_SetAside_per_Sec_42=DS_IRS_AIT,IF(AND('General Information'!K73&gt;0,Self_Sourced_Applicant="Yes"),DS_Min_ELI_AIT_HC_SS,DS_Min_ELI_AIT_HC_NSS),IF(AND('General Information'!K73&gt;0,Self_Sourced_Applicant="Yes"),DS_Min_ELI_NonAIT_HC_SS,DS_Min_ELI_NonAIT_HC_NSS)))</f>
        <v>0</v>
      </c>
      <c r="C673" s="3055" t="s">
        <v>2096</v>
      </c>
      <c r="D673" s="3059"/>
      <c r="E673" s="3059"/>
      <c r="F673" s="3060"/>
      <c r="G673" s="1377">
        <f>MAX(IF(OR(Minimum_SetAside_per_Sec_42=DS_IRS_2050,Minimum_SetAside_per_Sec_42=DS_IRS_4060,AND(Minimum_SetAside_per_Sec_42=DS_FHFC_NonHC,B653="Non-AIT")),SUMIF('Units, Set-Asides, Bldgs'!I$50:I$58,"&lt;="&amp;VLOOKUP(County,DS_CountyData,14),'Units, Set-Asides, Bldgs'!G$50:G$58),IF(OR(Minimum_SetAside_per_Sec_42=DS_IRS_AIT,AND(Minimum_SetAside_per_Sec_42=DS_FHFC_NonHC,B653="AIT")),SUM('Units, Set-Asides, Bldgs'!G$71:G$72),0)),0)</f>
        <v>0</v>
      </c>
      <c r="H673" s="1653" t="str">
        <f>IF(OR(Minimum_SetAside_per_Sec_42=DS_IRS_2050,Minimum_SetAside_per_Sec_42=DS_IRS_4060,AND(Minimum_SetAside_per_Sec_42=DS_FHFC_NonHC,B653="Non-AIT")),IF(I673&gt;=B673,"Yes","No"),IF(OR(Minimum_SetAside_per_Sec_42=DS_IRS_AIT,AND(Minimum_SetAside_per_Sec_42=DS_FHFC_NonHC,B653="AIT")),IF(N673&gt;=L673,"Yes","No"),"??"))</f>
        <v>??</v>
      </c>
      <c r="I673" s="1377">
        <f>IF(AND(OR(RIGHT(Excel_RFA_Number,3)="214",RIGHT(Excel_RFA_Number,3)="215",RIGHT(Excel_RFA_Number,3)="216"),AND(Minimum_SetAside_per_Sec_42=DS_FHFC_NonHC,B653="Non-AIT")),0,IF(OR(Minimum_SetAside_per_Sec_42=DS_IRS_2050,Minimum_SetAside_per_Sec_42=DS_IRS_4060,AND(Minimum_SetAside_per_Sec_42=DS_FHFC_NonHC,B653="Non-AIT")),SUMIF('Units, Set-Asides, Bldgs'!I$50:I$58,"&lt;="&amp;VLOOKUP(County,DS_CountyData,14),IF(OR(DS_ELI_UnitLimit&lt;&gt;"Yes",'Units, Set-Asides, Bldgs'!D50=""),'Units, Set-Asides, Bldgs'!G$50:G$58,'Units, Set-Asides, Bldgs'!K$50:K$58)),0))</f>
        <v>0</v>
      </c>
      <c r="J673" s="1377">
        <f>IF(OR(Minimum_SetAside_per_Sec_42=DS_IRS_AIT,AND(Minimum_SetAside_per_Sec_42=DS_FHFC_NonHC,B653="AIT")),'Units, Set-Asides, Bldgs'!G71+'Units, Set-Asides, Bldgs'!G72,0)</f>
        <v>0</v>
      </c>
      <c r="K673" s="6"/>
      <c r="L673" s="1641">
        <f>ROUNDUP(N(B673)*N(Total_Units),0)</f>
        <v>0</v>
      </c>
      <c r="M673" s="1639">
        <f>IF(OR(Minimum_SetAside_per_Sec_42=DS_IRS_2050,Minimum_SetAside_per_Sec_42=DS_IRS_4060,AND(Minimum_SetAside_per_Sec_42=DS_FHFC_NonHC,B653="Non-AIT")),SUMIF('Units, Set-Asides, Bldgs'!I$50:I$58,"&lt;="&amp;VLOOKUP(County,DS_CountyData,14),'Units, Set-Asides, Bldgs'!F$50:F$58),0)</f>
        <v>0</v>
      </c>
      <c r="N673" s="1778">
        <f>IF(OR(Minimum_SetAside_per_Sec_42=DS_IRS_AIT,AND(Minimum_SetAside_per_Sec_42=DS_FHFC_NonHC,B653="AIT")),twenty_AMI_AIT_Units+thirty_AMI_AIT_Units,0)</f>
        <v>0</v>
      </c>
      <c r="O673" s="264"/>
      <c r="P673" s="264"/>
    </row>
    <row r="674" spans="1:24">
      <c r="A674" s="267" t="str">
        <f>IF(Minimum_SetAside_per_Sec_42=DS_IRS_AIT,"","Non-")&amp;"AIT "&amp;IF(AND('General Information'!K73&gt;0,Self_Sourced_Applicant="Yes"),"","Non-")&amp;"Self-Sourced ELI Max considered in App (Base+Purchased)"</f>
        <v>Non-AIT Non-Self-Sourced ELI Max considered in App (Base+Purchased)</v>
      </c>
      <c r="B674" s="360" cm="1">
        <f t="array" ref="B674">IF(LDA_Notice="LDA",DS_Min_ELI_LDA,IF(OR(Minimum_SetAside_per_Sec_42=DS_IRS_AIT,AND(Minimum_SetAside_per_Sec_42=DS_FHFC_NonHC,DS_FHFC_NonHC_Table="AIT")),IF(AND('General Information'!K73&gt;0,Self_Sourced_Applicant="Yes"),DS_Min_ELI_AIT_HC_SS+IF(DS_SS_ELI_Purchase&lt;&gt;"Yes",0,DS_Min_ELI_AIT_HC_Buy_SS),DS_Min_ELI_AIT_HC_NSS+IF(DS_NSS_HC_ELI_Purchase&lt;&gt;"Yes",0,DS_Min_ELI_AIT_HC_Buy_NSS)),IF(AND('General Information'!K73&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v>
      </c>
      <c r="C674" s="3061"/>
      <c r="D674" s="3062"/>
      <c r="E674" s="3062"/>
      <c r="F674" s="3063"/>
      <c r="G674" s="527">
        <f>G673</f>
        <v>0</v>
      </c>
      <c r="H674" s="1654" t="str">
        <f>IF(OR(Minimum_SetAside_per_Sec_42=DS_IRS_2050,Minimum_SetAside_per_Sec_42=DS_IRS_4060,AND(Minimum_SetAside_per_Sec_42=DS_FHFC_NonHC,B653="Non-AIT")),IF(I674&gt;=B674,"Yes","No"),IF(OR(Minimum_SetAside_per_Sec_42=DS_IRS_AIT,AND(Minimum_SetAside_per_Sec_42=DS_FHFC_NonHC,B653="AIT")),IF(N674&gt;=L674,"Yes","No"),"??"))</f>
        <v>??</v>
      </c>
      <c r="I674" s="1377">
        <f>I673</f>
        <v>0</v>
      </c>
      <c r="J674" s="1377">
        <f>J673</f>
        <v>0</v>
      </c>
      <c r="K674" s="6"/>
      <c r="L674" s="1255">
        <f>ROUNDUP(N(B674)*N(Total_Units),0)</f>
        <v>0</v>
      </c>
      <c r="M674" s="1640">
        <f>M673</f>
        <v>0</v>
      </c>
      <c r="N674" s="376">
        <f>N673</f>
        <v>0</v>
      </c>
      <c r="O674" s="264"/>
      <c r="P674" s="264"/>
    </row>
    <row r="675" spans="1:24">
      <c r="B675" s="1637"/>
      <c r="C675" s="854"/>
      <c r="D675" s="854"/>
      <c r="E675" s="854"/>
      <c r="F675" s="1736" t="str">
        <f>IF(Minimum_SetAside_per_Sec_42=DS_IRS_AIT,"","Non-")&amp;"AIT "&amp;"Minimum ELI = Base "&amp;IF(IF(AND('General Information'!K73&gt;0,Self_Sourced_Applicant="Yes"),DS_SS_ELI_Purchase,DS_NSS_HC_ELI_Purchase)="Yes","+ Purchased","Only")&amp;":"</f>
        <v>Non-AIT Minimum ELI = Base + Purchased:</v>
      </c>
      <c r="G675" s="1737">
        <f>IF(IF(AND('General Information'!K73&gt;0,Self_Sourced_Applicant="Yes"),DS_SS_ELI_Purchase,IF(OR(Minimum_SetAside_per_Sec_42=DS_IRS_2050,Minimum_SetAside_per_Sec_42=DS_IRS_4060),DS_NSS_HC_ELI_Purchase,DS_NSS_NoHC_ELI_Purchase))="Yes",B674,B673)</f>
        <v>0</v>
      </c>
      <c r="H675" s="823"/>
      <c r="I675" s="492"/>
      <c r="J675" s="527"/>
      <c r="K675" s="823"/>
      <c r="L675" s="823"/>
      <c r="O675" s="264"/>
    </row>
    <row r="676" spans="1:24" ht="20.25" customHeight="1">
      <c r="A676" s="1642" t="s">
        <v>2098</v>
      </c>
      <c r="B676" s="6"/>
      <c r="C676" s="6"/>
      <c r="D676" s="6"/>
      <c r="E676" s="483" t="s">
        <v>497</v>
      </c>
      <c r="F676" s="25" t="s">
        <v>498</v>
      </c>
      <c r="H676" s="1643"/>
      <c r="I676" s="1644"/>
      <c r="J676" s="1644"/>
      <c r="K676" s="1643"/>
      <c r="L676" s="1643"/>
      <c r="M676" s="1645"/>
      <c r="N676" s="1645"/>
      <c r="O676" s="1646"/>
      <c r="P676" s="1645"/>
      <c r="Q676" s="1645"/>
      <c r="R676" s="1645"/>
      <c r="S676" s="1645"/>
    </row>
    <row r="677" spans="1:24">
      <c r="A677" s="1647" t="s">
        <v>2477</v>
      </c>
      <c r="B677" s="1648" t="s">
        <v>280</v>
      </c>
      <c r="C677" s="2254"/>
      <c r="D677" s="2255"/>
      <c r="E677" s="2255"/>
      <c r="F677" s="2256"/>
      <c r="G677" s="2256"/>
      <c r="H677" s="2257"/>
      <c r="I677" s="2258"/>
      <c r="J677" s="2258"/>
      <c r="K677" s="2257"/>
      <c r="L677" s="2257"/>
      <c r="M677" s="2256"/>
      <c r="N677" s="2256"/>
      <c r="O677" s="2259"/>
      <c r="P677" s="2256"/>
      <c r="Q677" s="2256"/>
      <c r="R677" s="2256"/>
      <c r="S677" s="2256"/>
    </row>
    <row r="678" spans="1:24">
      <c r="A678" s="271" t="s">
        <v>2516</v>
      </c>
      <c r="B678" s="1638" t="s">
        <v>436</v>
      </c>
      <c r="C678" s="262" t="s">
        <v>2441</v>
      </c>
      <c r="D678" s="849"/>
      <c r="E678" s="849"/>
      <c r="F678" s="849"/>
      <c r="G678" s="527"/>
      <c r="H678" s="823"/>
      <c r="I678" s="527"/>
      <c r="J678" s="527"/>
      <c r="K678" s="823"/>
      <c r="L678" s="823"/>
    </row>
    <row r="679" spans="1:24">
      <c r="A679" s="1649" t="str">
        <f>IF(B633=0,"NA since the "&amp;DS_FHFC_NonHC&amp;" commitment is not available.","Can the Non-SS "&amp;DS_FHFC_NonHC&amp;" commitment have purchased ELI units?")</f>
        <v>NA since the Loan Only Funding only (no HC) commitment is not available.</v>
      </c>
      <c r="B679" s="2269" t="s">
        <v>436</v>
      </c>
      <c r="C679" s="262" t="str">
        <f>IF(AND(B633=0,DS_NSS_NoHC_ELI_Purchase="Yes"),"Without the "&amp;DS_FHFC_NonHC&amp;" option available, the appropriate response is not ""Yes"".","")</f>
        <v/>
      </c>
      <c r="J679" s="527"/>
      <c r="K679" s="823"/>
      <c r="L679" s="823"/>
      <c r="U679" s="6" t="s">
        <v>2491</v>
      </c>
      <c r="W679" s="494" t="s">
        <v>2116</v>
      </c>
      <c r="X679" s="1655" t="s">
        <v>2492</v>
      </c>
    </row>
    <row r="680" spans="1:24" ht="15" customHeight="1">
      <c r="M680" s="3074" t="s">
        <v>2489</v>
      </c>
      <c r="N680" s="3075"/>
      <c r="O680" s="3075"/>
      <c r="P680" s="3075"/>
      <c r="Q680" s="3075"/>
      <c r="R680" s="3075"/>
      <c r="S680" s="3076"/>
      <c r="U680" s="2824" t="s">
        <v>2493</v>
      </c>
      <c r="V680" s="3077"/>
      <c r="W680" s="3077"/>
      <c r="X680" s="2825"/>
    </row>
    <row r="681" spans="1:24" ht="20.25" customHeight="1">
      <c r="A681" s="531" t="s">
        <v>2890</v>
      </c>
      <c r="B681" s="2252" t="str">
        <f>"Loan Only (no HC) Developments are "&amp;IF($B$633=0,"not part of this RFA.","structured to use table ("&amp;IF(DS_FHFC_NonHC_Table="Non-AIT","a) [40%@60%]",IF(DS_FHFC_NonHC_Table="AIT","b) [AIT] - which is NOT this table","NA"))&amp;".")</f>
        <v>Loan Only (no HC) Developments are not part of this RFA.</v>
      </c>
      <c r="I681" s="111" t="s">
        <v>499</v>
      </c>
      <c r="J681" s="111" t="s">
        <v>2488</v>
      </c>
      <c r="K681" s="111" t="s">
        <v>500</v>
      </c>
      <c r="L681" s="111" t="s">
        <v>501</v>
      </c>
      <c r="M681" s="1738">
        <v>101</v>
      </c>
      <c r="N681" s="1738">
        <v>201</v>
      </c>
      <c r="O681" s="1738">
        <v>202</v>
      </c>
      <c r="P681" s="1739">
        <v>203</v>
      </c>
      <c r="Q681" s="1739">
        <v>205</v>
      </c>
      <c r="R681" s="111">
        <v>103</v>
      </c>
      <c r="S681" s="111">
        <v>106</v>
      </c>
      <c r="U681" s="1413" t="s">
        <v>2117</v>
      </c>
      <c r="V681" s="1415" t="s">
        <v>95</v>
      </c>
      <c r="W681" s="1414" t="s">
        <v>2116</v>
      </c>
      <c r="X681" s="1416" t="s">
        <v>484</v>
      </c>
    </row>
    <row r="682" spans="1:24">
      <c r="A682" s="1841" t="s">
        <v>2611</v>
      </c>
      <c r="B682" s="359">
        <v>0</v>
      </c>
      <c r="C682" s="1657" t="str" cm="1">
        <f t="array" ref="C682">"of Total Units ["&amp;TEXT(ROUNDUP(Total_Units*DS_Min_ELI_NonAIT_HC_NSS,0),"0")&amp;" units] at County Level AMI"</f>
        <v>of Total Units [0 units] at County Level AMI</v>
      </c>
      <c r="D682" s="1657"/>
      <c r="E682" s="1657"/>
      <c r="F682" s="1658" t="s">
        <v>1884</v>
      </c>
      <c r="G682" s="251" t="s">
        <v>502</v>
      </c>
      <c r="H682" s="251"/>
      <c r="I682" s="1367">
        <f>IF(AND('General Information'!K73&gt;0,Self_Sourced_Applicant&lt;&gt;"Yes"),IF(AND(Minimum_SetAside_per_Sec_42=DS_FHFC_NonHC,B$653="Non-AIT"),SUMIF('Units, Set-Asides, Bldgs'!$I$50:$I$58,"&lt;="&amp;VLOOKUP(County,DS_CountyData,14),'Units, Set-Asides, Bldgs'!G$50:G$58),0),0)</f>
        <v>0</v>
      </c>
      <c r="J682" s="376" t="str" cm="1">
        <f t="array" ref="J682">IF(AND('General Information'!K73&gt;0,Self_Sourced_Applicant&lt;&gt;"Yes"),IF(I682&gt;=DS_Min_ELI_NonAIT_HC_NSS,"Yes","No"),"NA")</f>
        <v>NA</v>
      </c>
      <c r="K682" s="452" cm="1">
        <f t="array" ref="K682">ROUNDUP(DS_Min_ELI_NonAIT_HC_NSS*Total_Units,0)</f>
        <v>0</v>
      </c>
      <c r="L682" s="376">
        <f>IF(AND('General Information'!K73&gt;0,Self_Sourced_Applicant&lt;&gt;"Yes"),SUMIF('Units, Set-Asides, Bldgs'!$I$50:$I$58,"&lt;="&amp;VLOOKUP(County,DS_CountyData,14),'Units, Set-Asides, Bldgs'!F$50:F$58),0)</f>
        <v>0</v>
      </c>
      <c r="M682" s="1740">
        <v>0</v>
      </c>
      <c r="N682" s="1740">
        <v>0.1</v>
      </c>
      <c r="O682" s="1740">
        <v>0.1</v>
      </c>
      <c r="P682" s="1740">
        <v>0.1</v>
      </c>
      <c r="Q682" s="1740">
        <v>0</v>
      </c>
      <c r="R682" s="1457"/>
      <c r="S682" s="1457"/>
      <c r="U682" s="1417">
        <f>IF(OR(DS_FHFC_NonHC_Table&lt;&gt;"Non-AIT",DS_ELI_UnitLimit&lt;&gt;"Yes",DS_ELI_UnitLimit_Exception_Goal_Met="MEETS"),0,IF(IFERROR(VLOOKUP(County,DS_CountyData,14),0)=X682,N(twentyfive_AMI_HC)*Total_Units-N('Units, Set-Asides, Bldgs'!$F50),0))</f>
        <v>0</v>
      </c>
      <c r="V682" s="1418">
        <f>IF(AND(SUM(U$682:U682)&gt;0,U682=0,ROUNDUP(SUM('Units, Set-Asides, Bldgs'!G$50:G50)*Total_Units,0)=SUM('Units, Set-Asides, Bldgs'!F$50:F50)),SUM(U$682:U682),0)</f>
        <v>0</v>
      </c>
      <c r="W682" s="1419"/>
      <c r="X682" s="1420">
        <v>0.25</v>
      </c>
    </row>
    <row r="683" spans="1:24">
      <c r="A683" s="1842" t="str">
        <f>"Amount of 20@50 &amp; 40@60 HC ELI to be purchased ("&amp;IF(DS_NSS_HC_ELI_Purchase="Yes","not ","")&amp;"optional)"</f>
        <v>Amount of 20@50 &amp; 40@60 HC ELI to be purchased (not optional)</v>
      </c>
      <c r="B683" s="359">
        <v>0.1</v>
      </c>
      <c r="C683" s="1656" t="str" cm="1">
        <f t="array" ref="C683">"(for a total minimum of "&amp;TEXT(DS_Min_ELI_NonAIT_HC_NSS+IF(DS_NSS_HC_ELI_Purchase="Yes",DS_Min_ELI_NonAIT_HC_Buy_NSS,0),"0%")&amp;" ELI, or "&amp;TEXT(ROUNDUP((DS_Min_ELI_NonAIT_HC_NSS+IF(DS_NSS_HC_ELI_Purchase="Yes",DS_Min_ELI_NonAIT_HC_Buy_NSS,0))*Total_Units,0),"0")&amp;" units)"</f>
        <v>(for a total minimum of 10% ELI, or 0 units)</v>
      </c>
      <c r="D683" s="1656"/>
      <c r="E683" s="1656"/>
      <c r="F683" s="1659"/>
      <c r="I683" s="1485">
        <f>I682</f>
        <v>0</v>
      </c>
      <c r="J683" s="823" t="str" cm="1">
        <f t="array" ref="J683">IF(AND('General Information'!K73&gt;0,Self_Sourced_Applicant&lt;&gt;"Yes"),IF(I683&gt;=DS_Min_ELI_NonAIT_HC_NSS+IF(OR(DS_NSS_HC_ELI_Purchase="Yes",AND(Minimum_SetAside_per_Sec_42=DS_FHFC_NonHC,DS_NSS_NoHC_ELI_Purchase="Yes")),DS_Min_ELI_NonAIT_HC_Buy_NSS,0),"Yes","No"),"NA")</f>
        <v>NA</v>
      </c>
      <c r="K683" s="823" cm="1">
        <f t="array" ref="K683">ROUNDUP((DS_Min_ELI_NonAIT_HC_NSS+IF(OR(DS_NSS_HC_ELI_Purchase="Yes",AND(Minimum_SetAside_per_Sec_42=DS_FHFC_NonHC,DS_NSS_NoHC_ELI_Purchase="Yes")),DS_Min_ELI_NonAIT_HC_Buy_NSS,0))*Total_Units,0)</f>
        <v>0</v>
      </c>
      <c r="L683" s="733">
        <f>L682</f>
        <v>0</v>
      </c>
      <c r="M683" s="1741">
        <v>0.1</v>
      </c>
      <c r="N683" s="1741">
        <v>0</v>
      </c>
      <c r="O683" s="1741">
        <v>0</v>
      </c>
      <c r="P683" s="1741">
        <v>0</v>
      </c>
      <c r="Q683" s="1741">
        <v>0.1</v>
      </c>
      <c r="R683" s="1630"/>
      <c r="S683" s="1630"/>
      <c r="U683" s="1417">
        <f>IF(OR(DS_FHFC_NonHC_Table&lt;&gt;"Non-AIT",DS_ELI_UnitLimit&lt;&gt;"Yes",DS_ELI_UnitLimit_Exception_Goal_Met="MEETS"),0,IF(IFERROR(VLOOKUP(County,DS_CountyData,14),0)=X683,N(twentyeight_AMI_HC)*Total_Units-N('Units, Set-Asides, Bldgs'!$F51),0))</f>
        <v>0</v>
      </c>
      <c r="V683" s="1418">
        <f>IF(AND(SUM(U$682:U683)&gt;0,U683=0,ROUNDUP(SUM('Units, Set-Asides, Bldgs'!G$50:G51)*Total_Units,0)=SUM('Units, Set-Asides, Bldgs'!F$50:F51),SUM(V$682:V682)=0),SUM(U$682:U683),0)</f>
        <v>0</v>
      </c>
      <c r="W683" s="1419"/>
      <c r="X683" s="1420">
        <v>0.28000000000000003</v>
      </c>
    </row>
    <row r="684" spans="1:24">
      <c r="A684" s="1841" t="str">
        <f>"Minimum Loan Only (No HC) ELI Commitment (Not Purchased)"&amp;IF(DS_FHFC_NonHC_Table="Non-AIT","",". Not Applicable")</f>
        <v>Minimum Loan Only (No HC) ELI Commitment (Not Purchased). Not Applicable</v>
      </c>
      <c r="B684" s="359">
        <v>0</v>
      </c>
      <c r="C684" s="1657" t="str">
        <f>"of Total Units ["&amp;TEXT(ROUNDUP(Total_Units*DS_Min_ELI_NonAIT_NoHC_NSS,0),"0")&amp;" units] at County Level AMI"</f>
        <v>of Total Units [0 units] at County Level AMI</v>
      </c>
      <c r="D684" s="1656"/>
      <c r="E684" s="1656"/>
      <c r="F684" s="1840"/>
      <c r="I684" s="1485"/>
      <c r="J684" s="733"/>
      <c r="K684" s="733"/>
      <c r="L684" s="733"/>
      <c r="M684" s="1741"/>
      <c r="N684" s="1741"/>
      <c r="O684" s="1741"/>
      <c r="P684" s="1741"/>
      <c r="Q684" s="1741"/>
      <c r="R684" s="1630"/>
      <c r="S684" s="1630"/>
      <c r="U684" s="1417">
        <f>IF(OR(DS_FHFC_NonHC_Table&lt;&gt;"Non-AIT",DS_ELI_UnitLimit&lt;&gt;"Yes",DS_ELI_UnitLimit_Exception_Goal_Met="MEETS"),0,IF(IFERROR(VLOOKUP(County,DS_CountyData,14),0)=X684,N(thirty_AMI_HC)*Total_Units-N('Units, Set-Asides, Bldgs'!$F52),0))</f>
        <v>0</v>
      </c>
      <c r="V684" s="1418">
        <f>IF(AND(SUM(U$682:U684)&gt;0,U684=0,ROUNDUP(SUM('Units, Set-Asides, Bldgs'!G$50:G52)*Total_Units,0)=SUM('Units, Set-Asides, Bldgs'!F$50:F52),SUM(V$682:V683)=0),SUM(U$682:U684),0)</f>
        <v>0</v>
      </c>
      <c r="W684" s="1419"/>
      <c r="X684" s="1420">
        <v>0.3</v>
      </c>
    </row>
    <row r="685" spans="1:24" ht="15" thickBot="1">
      <c r="A685" s="1841" t="str">
        <f>"Amount of Loan Only (No HC) ELI to be purhcased"&amp;IF(DS_FHFC_NonHC_Table="Non-AIT","",". Not Applicable")</f>
        <v>Amount of Loan Only (No HC) ELI to be purhcased. Not Applicable</v>
      </c>
      <c r="B685" s="1843">
        <v>0.1</v>
      </c>
      <c r="C685" s="1656" t="str">
        <f>"(for a total minimum of "&amp;TEXT(DS_Min_ELI_NonAIT_NoHC_NSS+IF(DS_NSS_HC_ELI_Purchase="Yes",DS_Min_ELI_NonAIT_NoHC_Buy_NSS,0),"0%")&amp;" ELI, or "&amp;TEXT(ROUNDUP((DS_Min_ELI_NonAIT_NoHC_NSS+IF(DS_NSS_HC_ELI_Purchase="Yes",DS_Min_ELI_NonAIT_NoHC_Buy_NSS,0))*Total_Units,0),"0")&amp;" units)"</f>
        <v>(for a total minimum of 10% ELI, or 0 units)</v>
      </c>
      <c r="D685" s="1660"/>
      <c r="E685" s="1660"/>
      <c r="F685" s="1840"/>
      <c r="I685" s="1485"/>
      <c r="J685" s="733"/>
      <c r="K685" s="733"/>
      <c r="L685" s="733"/>
      <c r="M685" s="1741"/>
      <c r="N685" s="1741"/>
      <c r="O685" s="1741"/>
      <c r="P685" s="1741"/>
      <c r="Q685" s="1741"/>
      <c r="R685" s="1630"/>
      <c r="S685" s="1630"/>
      <c r="U685" s="1417">
        <f>IF(OR(DS_FHFC_NonHC_Table&lt;&gt;"Non-AIT",DS_ELI_UnitLimit&lt;&gt;"Yes",DS_ELI_UnitLimit_Exception_Goal_Met="MEETS"),0,IF(IFERROR(VLOOKUP(County,DS_CountyData,14),0)=X685,N(thirtythree_AMI_HC)*Total_Units-N('Units, Set-Asides, Bldgs'!$F53),0))</f>
        <v>0</v>
      </c>
      <c r="V685" s="1418">
        <f>IF(AND(SUM(U$682:U685)&gt;0,U685=0,ROUNDUP(SUM('Units, Set-Asides, Bldgs'!G$50:G53)*Total_Units,0)=SUM('Units, Set-Asides, Bldgs'!F$50:F53),SUM(V$682:V684)=0),SUM(U$682:U685),0)</f>
        <v>0</v>
      </c>
      <c r="W685" s="1419"/>
      <c r="X685" s="1420">
        <v>0.33</v>
      </c>
    </row>
    <row r="686" spans="1:24" ht="30" customHeight="1">
      <c r="A686" s="3089" t="str" cm="1">
        <f t="array" ref="A686">"Non-SS,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10% ELI commitment, of which 10% will be purchased.</v>
      </c>
      <c r="B686" s="3089"/>
      <c r="C686" s="3089"/>
      <c r="D686" s="3089"/>
      <c r="E686" s="3089"/>
      <c r="F686" s="3089"/>
      <c r="G686" s="1844"/>
      <c r="H686" s="1844"/>
      <c r="I686" s="1845"/>
      <c r="J686" s="1846"/>
      <c r="K686" s="1846"/>
      <c r="L686" s="1846"/>
      <c r="M686" s="1847"/>
      <c r="N686" s="1847"/>
      <c r="O686" s="1847"/>
      <c r="P686" s="1847"/>
      <c r="Q686" s="1847"/>
      <c r="R686" s="1848"/>
      <c r="S686" s="1848"/>
      <c r="U686" s="1417">
        <f>IF(OR(DS_FHFC_NonHC_Table&lt;&gt;"Non-AIT",DS_ELI_UnitLimit&lt;&gt;"Yes",DS_ELI_UnitLimit_Exception_Goal_Met="MEETS"),0,IF(IFERROR(VLOOKUP(County,DS_CountyData,14),0)=X686,N(thirtyfive_AMI_HC)*Total_Units-N('Units, Set-Asides, Bldgs'!$F54),0))</f>
        <v>0</v>
      </c>
      <c r="V686" s="1418">
        <f>IF(AND(SUM(U$682:U686)&gt;0,U686=0,ROUNDUP(SUM('Units, Set-Asides, Bldgs'!G$50:G54)*Total_Units,0)=SUM('Units, Set-Asides, Bldgs'!F$50:F54),SUM(V$682:V685)=0),SUM(U$682:U686),0)</f>
        <v>0</v>
      </c>
      <c r="W686" s="1419"/>
      <c r="X686" s="1420">
        <v>0.35</v>
      </c>
    </row>
    <row r="687" spans="1:24" ht="30" customHeight="1" thickBot="1">
      <c r="A687" s="3090" t="str">
        <f>IF(OR(B$633=0,AND(B$633=1,DS_FHFC_NonHC_Table="AIT")),"Loan Only (no HC) Developments are not structured to use table (a).","Non-SS, Loan Only (no HC) Developments (using table ("&amp;IF(DS_FHFC_NonHC_Table="AIT","b",IF(DS_FHFC_NonHC_Table="Non-AIT","a",IF(DS_FHFC_NonHC_Table="Gap",'Units, Set-Asides, Bldgs'!#REF!,"NA")))&amp;"))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87" s="3090"/>
      <c r="C687" s="3090"/>
      <c r="D687" s="3090"/>
      <c r="E687" s="3090"/>
      <c r="F687" s="3090"/>
      <c r="G687" s="1849"/>
      <c r="H687" s="1849"/>
      <c r="I687" s="1850"/>
      <c r="J687" s="1851"/>
      <c r="K687" s="1851"/>
      <c r="L687" s="1851"/>
      <c r="M687" s="1852"/>
      <c r="N687" s="1852"/>
      <c r="O687" s="1852"/>
      <c r="P687" s="1852"/>
      <c r="Q687" s="1852"/>
      <c r="R687" s="1853"/>
      <c r="S687" s="1853"/>
      <c r="U687" s="1417">
        <f>IF(OR(DS_FHFC_NonHC_Table&lt;&gt;"Non-AIT",DS_ELI_UnitLimit&lt;&gt;"Yes",DS_ELI_UnitLimit_Exception_Goal_Met="MEETS"),0,IF(IFERROR(VLOOKUP(County,DS_CountyData,14),0)=X687,N(forty_AMI_HC)*Total_Units-N('Units, Set-Asides, Bldgs'!$F55),0))</f>
        <v>0</v>
      </c>
      <c r="V687" s="1418">
        <f>IF(AND(SUM(U$682:U687)&gt;0,U687=0,ROUNDUP(SUM('Units, Set-Asides, Bldgs'!G$50:G55)*Total_Units,0)=SUM('Units, Set-Asides, Bldgs'!F$50:F55),SUM(V$682:V686)=0),SUM(U$682:U687),0)</f>
        <v>0</v>
      </c>
      <c r="W687" s="1419"/>
      <c r="X687" s="1420">
        <v>0.4</v>
      </c>
    </row>
    <row r="688" spans="1:24" ht="25.15" customHeight="1">
      <c r="A688" s="1854"/>
      <c r="B688" s="712"/>
      <c r="C688" s="6"/>
      <c r="D688" s="6"/>
      <c r="E688" s="6"/>
      <c r="F688" s="24"/>
      <c r="I688" s="1485"/>
      <c r="J688" s="733"/>
      <c r="K688" s="733"/>
      <c r="L688" s="733"/>
      <c r="M688" s="1741"/>
      <c r="N688" s="1741"/>
      <c r="O688" s="1741"/>
      <c r="P688" s="1741"/>
      <c r="Q688" s="1741"/>
      <c r="R688" s="1630"/>
      <c r="S688" s="1630"/>
      <c r="U688" s="1421"/>
      <c r="V688" s="1418">
        <f>IF(AND(SUM(U$682:U688)&gt;0,U688=0,ROUNDUP(SUM('Units, Set-Asides, Bldgs'!G$50:G56)*Total_Units,0)=SUM('Units, Set-Asides, Bldgs'!F$50:F56),SUM(V$682:V687)=0),SUM(U$682:U688),0)</f>
        <v>0</v>
      </c>
      <c r="W688" s="1422">
        <f>IF(AND(SUM('Units, Set-Asides, Bldgs'!G57:G58)=0,N(fortyfive_AMI_HC)&gt;0),MAX(Data1!U682:U687),0)</f>
        <v>0</v>
      </c>
      <c r="X688" s="1420">
        <v>0.45</v>
      </c>
    </row>
    <row r="689" spans="1:24" ht="25.15" customHeight="1">
      <c r="A689" s="531" t="s">
        <v>2891</v>
      </c>
      <c r="B689" s="2252" t="str">
        <f>"Loan Only (no HC) Developments are "&amp;IF($B$633=0,"not part of this RFA.","structured to use table ("&amp;IF(DS_FHFC_NonHC_Table="Non-AIT","a) [40%@60%]",IF(DS_FHFC_NonHC_Table="AIT","b) [AIT] - which is NOT this table","NA"))&amp;".")</f>
        <v>Loan Only (no HC) Developments are not part of this RFA.</v>
      </c>
      <c r="C689" s="6"/>
      <c r="D689" s="6"/>
      <c r="E689" s="6"/>
      <c r="F689" s="24"/>
      <c r="I689" s="1485"/>
      <c r="J689" s="733"/>
      <c r="K689" s="733"/>
      <c r="L689" s="733"/>
      <c r="M689" s="1741"/>
      <c r="N689" s="1741"/>
      <c r="O689" s="1741"/>
      <c r="P689" s="1741"/>
      <c r="Q689" s="1741"/>
      <c r="R689" s="1630"/>
      <c r="S689" s="1630"/>
      <c r="U689" s="1421"/>
      <c r="V689" s="1418">
        <f>IF(AND(SUM(U$682:U689)&gt;0,U689=0,ROUNDUP(SUM('Units, Set-Asides, Bldgs'!G$50:G57)*Total_Units,0)=SUM('Units, Set-Asides, Bldgs'!F$50:F57),SUM(V$682:V688)=0),SUM(U$682:U689),0)</f>
        <v>0</v>
      </c>
      <c r="W689" s="1422">
        <f>IF(Minimum_SetAside_per_Sec_42=DS_IRS_2050,MAX(Data1!U682:U687),0)</f>
        <v>0</v>
      </c>
      <c r="X689" s="1420">
        <v>0.5</v>
      </c>
    </row>
    <row r="690" spans="1:24">
      <c r="A690" s="1841" t="s">
        <v>2612</v>
      </c>
      <c r="B690" s="834">
        <v>0</v>
      </c>
      <c r="C690" s="1659" t="str" cm="1">
        <f t="array" ref="C690">"of Total Units ["&amp;TEXT(ROUNDUP(Total_Units*DS_Min_ELI_NonAIT_HC_SS,0),"0")&amp;" units]"</f>
        <v>of Total Units [0 units]</v>
      </c>
      <c r="D690" s="1659"/>
      <c r="E690" s="1659"/>
      <c r="F690" s="1659"/>
      <c r="G690" s="267" t="s">
        <v>503</v>
      </c>
      <c r="H690" s="267"/>
      <c r="I690" s="1367">
        <f>IF(AND('General Information'!K73&gt;0,Self_Sourced_Applicant="Yes"),IF(AND(Minimum_SetAside_per_Sec_42=DS_FHFC_NonHC,B$653="Non-AIT"),SUMIF('Units, Set-Asides, Bldgs'!$I$50:$I$58,"&lt;="&amp;VLOOKUP(County,DS_CountyData,14),'Units, Set-Asides, Bldgs'!G$50:G$58),0),0)</f>
        <v>0</v>
      </c>
      <c r="J690" s="376" t="str" cm="1">
        <f t="array" ref="J690">IF(AND('General Information'!K73&gt;0,Self_Sourced_Applicant="Yes"),IF(I690&gt;=DS_Min_ELI_NonAIT_HC_SS,"Yes","No"),"NA")</f>
        <v>NA</v>
      </c>
      <c r="K690" s="452" cm="1">
        <f t="array" ref="K690">ROUNDUP(DS_Min_ELI_NonAIT_HC_SS*Total_Units,0)</f>
        <v>0</v>
      </c>
      <c r="L690" s="376">
        <f>IF(AND('General Information'!K73&gt;0,Self_Sourced_Applicant="Yes"),SUMIF('Units, Set-Asides, Bldgs'!$I$50:$I$58,"&lt;="&amp;VLOOKUP(County,DS_CountyData,14),'Units, Set-Asides, Bldgs'!F$50:F$58),0)</f>
        <v>0</v>
      </c>
      <c r="M690" s="1742"/>
      <c r="N690" s="1742"/>
      <c r="O690" s="1742"/>
      <c r="P690" s="1742"/>
      <c r="Q690" s="1740">
        <v>0</v>
      </c>
      <c r="R690" s="1458"/>
      <c r="S690" s="1458"/>
      <c r="U690" s="1421"/>
      <c r="V690" s="1418">
        <f>IF(AND(SUM(U$682:U690)&gt;0,U690=0,ROUNDUP(SUM('Units, Set-Asides, Bldgs'!G$50:G58)*Total_Units,0)=SUM('Units, Set-Asides, Bldgs'!F$50:F58),SUM(V$682:V689)=0),SUM(U$682:U690),0)</f>
        <v>0</v>
      </c>
      <c r="W690" s="1422">
        <f>IF(Minimum_SetAside_per_Sec_42=DS_IRS_4060,MAX(Data1!U682:U687),0)</f>
        <v>0</v>
      </c>
      <c r="X690" s="1420">
        <v>0.6</v>
      </c>
    </row>
    <row r="691" spans="1:24">
      <c r="A691" s="1855" t="str">
        <f>"Amount of ELI to be purchased ("&amp;IF(DS_SS_ELI_Purchase="Yes","not ","")&amp;"optional)"</f>
        <v>Amount of ELI to be purchased (optional)</v>
      </c>
      <c r="B691" s="1857">
        <v>0.1</v>
      </c>
      <c r="C691" s="1858" t="str" cm="1">
        <f t="array" ref="C691">"(for a total minimum of "&amp;TEXT(DS_Min_ELI_NonAIT_HC_SS+IF(DS_SS_ELI_Purchase="Yes",DS_Min_ELI_NonAIT_HC_Buy_SS,0),"0%")&amp;" ELI, or "&amp;TEXT(ROUNDUP((DS_Min_ELI_NonAIT_HC_SS+IF(DS_SS_ELI_Purchase="Yes",DS_Min_ELI_NonAIT_HC_Buy_SS,0))*Total_Units,0),"0")&amp;" units)"</f>
        <v>(for a total minimum of 0% ELI, or 0 units)</v>
      </c>
      <c r="D691" s="1859"/>
      <c r="E691" s="1859"/>
      <c r="F691" s="1859"/>
      <c r="I691" s="1485">
        <f>I690</f>
        <v>0</v>
      </c>
      <c r="J691" s="823" t="str" cm="1">
        <f t="array" ref="J691">IF(AND('General Information'!K73&gt;0,Self_Sourced_Applicant="Yes"),IF(I691&gt;=DS_Min_ELI_NonAIT_HC_SS+IF(DS_SS_ELI_Purchase="Yes",DS_Min_ELI_NonAIT_HC_Buy_SS,0),"Yes","No"),"NA")</f>
        <v>NA</v>
      </c>
      <c r="K691" s="823" cm="1">
        <f t="array" ref="K691">ROUNDUP((DS_Min_ELI_NonAIT_HC_SS+IF(DS_SS_ELI_Purchase="Yes",DS_Min_ELI_NonAIT_HC_Buy_SS,0))*Total_Units,0)</f>
        <v>0</v>
      </c>
      <c r="L691" s="733">
        <f>L690</f>
        <v>0</v>
      </c>
      <c r="M691" s="1743"/>
      <c r="N691" s="1743"/>
      <c r="O691" s="1743"/>
      <c r="P691" s="1743"/>
      <c r="Q691" s="1741">
        <v>0.1</v>
      </c>
      <c r="R691" s="1486"/>
      <c r="S691" s="1486"/>
      <c r="U691" s="1421"/>
      <c r="V691" s="1418">
        <f>IF(AND(SUM(U$682:U691)&gt;0,U691=0,ROUNDUP(SUM('Units, Set-Asides, Bldgs'!G$50:G59)*Total_Units,0)=SUM('Units, Set-Asides, Bldgs'!F$50:F59),SUM(V$682:V690)=0),SUM(U$682:U691),0)</f>
        <v>0</v>
      </c>
      <c r="W691" s="1419"/>
      <c r="X691" s="1423">
        <v>0.8</v>
      </c>
    </row>
    <row r="692" spans="1:24">
      <c r="A692" s="1891" t="s">
        <v>2613</v>
      </c>
      <c r="B692" s="834">
        <v>0.05</v>
      </c>
      <c r="C692" s="1860" t="s">
        <v>436</v>
      </c>
      <c r="D692" s="1892" t="str" cm="1">
        <f t="array" aca="1" ref="D692" ca="1">"Eligible for ELI funding for any unit at ELI. Enter ""Yes"" in cell "&amp;CHOOSE(CELL("col",$C$692),"A","B","C","D","E","F","G","H","I","J","K","L","M")&amp;CELL("row",$C$692)&amp;" to activate"</f>
        <v>Eligible for ELI funding for any unit at ELI. Enter "Yes" in cell C692 to activate</v>
      </c>
      <c r="E692" s="1892"/>
      <c r="F692" s="1892"/>
      <c r="I692" s="1485"/>
      <c r="J692" s="823"/>
      <c r="K692" s="823"/>
      <c r="L692" s="733"/>
      <c r="M692" s="1743"/>
      <c r="N692" s="1743"/>
      <c r="O692" s="1743"/>
      <c r="P692" s="1743"/>
      <c r="Q692" s="1741">
        <v>0.05</v>
      </c>
      <c r="R692" s="1486"/>
      <c r="S692" s="1486"/>
      <c r="U692" s="1421"/>
      <c r="V692" s="1418">
        <f>IF(AND(SUM(U$682:U692)&gt;0,U692=0,ROUNDUP(SUM('Units, Set-Asides, Bldgs'!G$50:G60)*Total_Units,0)=SUM('Units, Set-Asides, Bldgs'!F$50:F60),SUM(V$682:V691)=0),SUM(U$682:U692),0)</f>
        <v>0</v>
      </c>
      <c r="W692" s="1419"/>
      <c r="X692" s="1423">
        <v>0.9</v>
      </c>
    </row>
    <row r="693" spans="1:24" ht="15" thickBot="1">
      <c r="A693" s="1883" t="s">
        <v>2886</v>
      </c>
      <c r="B693" s="1887">
        <v>0.2</v>
      </c>
      <c r="C693" s="1885" t="str">
        <f>"of Total Units ["&amp;TEXT(ROUNDUP(Total_Units*B693,0),"0")&amp;" units]"</f>
        <v>of Total Units [0 units]</v>
      </c>
      <c r="D693" s="1885"/>
      <c r="E693" s="1885"/>
      <c r="F693" s="1885"/>
      <c r="I693" s="1485"/>
      <c r="J693" s="823"/>
      <c r="K693" s="823"/>
      <c r="L693" s="733"/>
      <c r="U693" s="1421"/>
      <c r="V693" s="1418">
        <f>IF(AND(SUM(U$682:U693)&gt;0,U693=0,ROUNDUP(SUM('Units, Set-Asides, Bldgs'!G$50:G61)*Total_Units,0)=SUM('Units, Set-Asides, Bldgs'!F$50:F61),SUM(V$682:V692)=0),SUM(U$682:U693),0)</f>
        <v>0</v>
      </c>
      <c r="W693" s="1419"/>
      <c r="X693" s="1423">
        <v>1</v>
      </c>
    </row>
    <row r="694" spans="1:24" ht="30" customHeight="1">
      <c r="A694" s="3089" t="str" cm="1">
        <f t="array" ref="A694">"SS,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94" s="3089"/>
      <c r="C694" s="3089"/>
      <c r="D694" s="3089"/>
      <c r="E694" s="3089"/>
      <c r="F694" s="3089"/>
      <c r="G694" s="1844"/>
      <c r="H694" s="1844"/>
      <c r="I694" s="1845"/>
      <c r="J694" s="1862"/>
      <c r="K694" s="1862"/>
      <c r="L694" s="1846"/>
      <c r="M694" s="1863"/>
      <c r="N694" s="1863"/>
      <c r="O694" s="1863"/>
      <c r="P694" s="1863"/>
      <c r="Q694" s="1847"/>
      <c r="R694" s="1864"/>
      <c r="S694" s="1864"/>
      <c r="U694" s="1421"/>
      <c r="V694" s="1418">
        <f>IF(AND(SUM(U$682:U694)&gt;0,U694=0,ROUNDUP(SUM('Units, Set-Asides, Bldgs'!G$50:G62)*Total_Units,0)=SUM('Units, Set-Asides, Bldgs'!F$50:F62),SUM(V$682:V693)=0),SUM(U$682:U694),0)</f>
        <v>0</v>
      </c>
      <c r="W694" s="1419"/>
      <c r="X694" s="1423">
        <v>1.1000000000000001</v>
      </c>
    </row>
    <row r="695" spans="1:24" ht="30" customHeight="1" thickBot="1">
      <c r="A695" s="3090" t="str" cm="1">
        <f t="array" ref="A695">IF(OR(B$633=0,AND(B$633=1,DS_FHFC_NonHC_Table&lt;&gt;"Non-AIT")),"Loan Only (no HC) Developments are not structured to use table (a).","SS, Loan Only (no HC) Developments (using table ("&amp;IF(DS_FHFC_NonHC_Table="AIT","b",IF(DS_FHFC_NonHC_Table="Non-AIT","a",IF(DS_FHFC_NonHC_Table="Gap",'Units, Set-Asides, Bldgs'!#REF!,"NA")))&amp;"))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AMI.","")&amp;IF(C692&lt;&gt;"Yes","","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95" s="3090"/>
      <c r="C695" s="3090"/>
      <c r="D695" s="3090"/>
      <c r="E695" s="3090"/>
      <c r="F695" s="3090"/>
      <c r="G695" s="1849"/>
      <c r="H695" s="1849"/>
      <c r="I695" s="1850"/>
      <c r="J695" s="1865"/>
      <c r="K695" s="1865"/>
      <c r="L695" s="1851"/>
      <c r="M695" s="1866"/>
      <c r="N695" s="1866"/>
      <c r="O695" s="1866"/>
      <c r="P695" s="1866"/>
      <c r="Q695" s="1852"/>
      <c r="R695" s="1867"/>
      <c r="S695" s="1867"/>
      <c r="U695" s="1421"/>
      <c r="V695" s="1418">
        <f>IF(AND(SUM(U$682:U695)&gt;0,U695=0,ROUNDUP(SUM('Units, Set-Asides, Bldgs'!G$50:G63)*Total_Units,0)=SUM('Units, Set-Asides, Bldgs'!F$50:F63),SUM(V$682:V694)=0),SUM(U$682:U695),0)</f>
        <v>0</v>
      </c>
      <c r="W695" s="1419"/>
      <c r="X695" s="1423">
        <v>1.2</v>
      </c>
    </row>
    <row r="696" spans="1:24" ht="25.15" customHeight="1">
      <c r="B696" t="s">
        <v>2908</v>
      </c>
      <c r="I696" s="1485"/>
      <c r="J696" s="823"/>
      <c r="K696" s="823"/>
      <c r="L696" s="733"/>
      <c r="M696" s="1744"/>
      <c r="N696" s="1744"/>
      <c r="O696" s="1744"/>
      <c r="P696" s="1744"/>
      <c r="Q696" s="1745"/>
      <c r="R696" s="733"/>
      <c r="S696" s="733"/>
      <c r="U696" s="1424"/>
      <c r="V696" s="1425">
        <f>IF(AND(SUM(U$682:U696)&gt;0,U696=0,ROUNDUP(SUM('Units, Set-Asides, Bldgs'!G$50:G64)*Total_Units,0)=SUM('Units, Set-Asides, Bldgs'!F$50:F64),SUM(V$682:V695)=0),SUM(U$682:U696),0)</f>
        <v>0</v>
      </c>
      <c r="W696" s="1426"/>
      <c r="X696" s="1412" t="s">
        <v>2118</v>
      </c>
    </row>
    <row r="697" spans="1:24" ht="25.15" customHeight="1">
      <c r="A697" s="531" t="s">
        <v>2892</v>
      </c>
      <c r="B697" s="2252" t="str">
        <f>"Loan Only (no HC) Developments are "&amp;IF($B$633=0,"not part of this RFA.","structured to use table ("&amp;IF(DS_FHFC_NonHC_Table="Non-AIT","a) [40%@60%] - which is NOT this table",IF(DS_FHFC_NonHC_Table="AIT","b) [AIT]","NA"))&amp;".")</f>
        <v>Loan Only (no HC) Developments are not part of this RFA.</v>
      </c>
      <c r="C697" s="1861"/>
      <c r="I697" s="1485"/>
      <c r="J697" s="823"/>
      <c r="K697" s="823"/>
      <c r="L697" s="733"/>
      <c r="M697" s="1744"/>
      <c r="N697" s="1744"/>
      <c r="O697" s="1744"/>
      <c r="P697" s="1744"/>
      <c r="Q697" s="1745"/>
      <c r="R697" s="733"/>
      <c r="S697" s="733"/>
      <c r="U697" s="1422"/>
      <c r="V697" s="1418"/>
      <c r="W697" s="1422"/>
      <c r="X697" s="1630"/>
    </row>
    <row r="698" spans="1:24">
      <c r="A698" s="1841" t="s">
        <v>2614</v>
      </c>
      <c r="B698" s="834">
        <v>0.05</v>
      </c>
      <c r="C698" s="1661" t="str" cm="1">
        <f t="array" ref="C698">"of Total Units ["&amp;TEXT(ROUNDUP(Total_Units*DS_Min_ELI_AIT_HC_NSS,0),"0")&amp;" units] at 30% AMI"</f>
        <v>of Total Units [0 units] at 30% AMI</v>
      </c>
      <c r="D698" s="1661"/>
      <c r="E698" s="1661"/>
      <c r="F698" s="1659"/>
      <c r="G698" s="267" t="s">
        <v>502</v>
      </c>
      <c r="H698" s="267"/>
      <c r="I698" s="1367">
        <f>IF(AND('General Information'!K73&gt;0,Self_Sourced_Applicant&lt;&gt;"Yes"),SUM('Units, Set-Asides, Bldgs'!$G$71:$G$72),0)</f>
        <v>0</v>
      </c>
      <c r="J698" s="376" t="str" cm="1">
        <f t="array" ref="J698">IF(AND('General Information'!K73&gt;0,Self_Sourced_Applicant&lt;&gt;"Yes"),IF(I698&gt;=DS_Min_ELI_AIT_HC_NSS,"Yes","No"),"NA")</f>
        <v>NA</v>
      </c>
      <c r="K698" s="452" cm="1">
        <f t="array" ref="K698">ROUNDUP(DS_Min_ELI_AIT_HC_NSS*Total_Units,0)</f>
        <v>0</v>
      </c>
      <c r="L698" s="376">
        <f>IF(AND('General Information'!K73&gt;0,Self_Sourced_Applicant&lt;&gt;"Yes"),SUM('Units, Set-Asides, Bldgs'!$G$71:$G$72),0)</f>
        <v>0</v>
      </c>
      <c r="M698" s="1740">
        <v>0.05</v>
      </c>
      <c r="N698" s="1740">
        <v>0.15</v>
      </c>
      <c r="O698" s="1740">
        <v>0.15</v>
      </c>
      <c r="P698" s="1740">
        <v>0.15</v>
      </c>
      <c r="Q698" s="1740">
        <v>0.05</v>
      </c>
      <c r="R698" s="1457"/>
      <c r="S698" s="1457"/>
    </row>
    <row r="699" spans="1:24">
      <c r="A699" s="1841" t="str">
        <f>"Amount of AIT HC ELI to be purchased ("&amp;IF(DS_NSS_HC_ELI_Purchase="Yes","not ","")&amp;"optional)"</f>
        <v>Amount of AIT HC ELI to be purchased (not optional)</v>
      </c>
      <c r="B699" s="834">
        <v>0.1</v>
      </c>
      <c r="C699" s="1661" t="str" cm="1">
        <f t="array" ref="C699">"(for a total minimum of "&amp;TEXT(DS_Min_ELI_AIT_HC_NSS+IF(DS_NSS_HC_ELI_Purchase="Yes",DS_Min_ELI_AIT_HC_Buy_NSS,0),"0%")&amp;" AIT HC ELI, or "&amp;TEXT(ROUNDUP((DS_Min_ELI_AIT_HC_NSS+IF(DS_NSS_HC_ELI_Purchase="Yes",DS_Min_ELI_AIT_HC_Buy_NSS,0))*Total_Units,0),"0")&amp;" units)"</f>
        <v>(for a total minimum of 15% AIT HC ELI, or 0 units)</v>
      </c>
      <c r="D699" s="1661"/>
      <c r="E699" s="1661"/>
      <c r="F699" s="1659"/>
      <c r="I699" s="492">
        <f>IF(AND('General Information'!K73&gt;0,Self_Sourced_Applicant&lt;&gt;"Yes"),SUM('Units, Set-Asides, Bldgs'!$G$71:$G$72),0)</f>
        <v>0</v>
      </c>
      <c r="J699" s="823" t="str" cm="1">
        <f t="array" ref="J699">IF(AND('General Information'!K73&gt;0,Self_Sourced_Applicant&lt;&gt;"Yes"),IF(I699&gt;=DS_Min_ELI_AIT_HC_NSS+IF(OR(DS_NSS_HC_ELI_Purchase="Yes",AND(Minimum_SetAside_per_Sec_42=DS_FHFC_NonHC,DS_NSS_NoHC_ELI_Purchase="Yes")),DS_Min_ELI_AIT_HC_Buy_NSS,0),"Yes","No"),"NA")</f>
        <v>NA</v>
      </c>
      <c r="K699" s="823" cm="1">
        <f t="array" ref="K699">ROUNDUP((DS_Min_ELI_AIT_HC_NSS+IF(OR(DS_NSS_HC_ELI_Purchase="Yes",AND(Minimum_SetAside_per_Sec_42=DS_FHFC_NonHC,DS_NSS_NoHC_ELI_Purchase="Yes")),DS_Min_ELI_AIT_HC_Buy_NSS,0))*Total_Units,0)</f>
        <v>0</v>
      </c>
      <c r="L699" s="733">
        <f>L698</f>
        <v>0</v>
      </c>
      <c r="M699" s="1741">
        <v>0.1</v>
      </c>
      <c r="N699" s="1741">
        <v>0</v>
      </c>
      <c r="O699" s="1741">
        <v>0</v>
      </c>
      <c r="P699" s="1741">
        <v>0</v>
      </c>
      <c r="Q699" s="1741">
        <v>0.1</v>
      </c>
      <c r="R699" s="1630"/>
      <c r="S699" s="1630"/>
    </row>
    <row r="700" spans="1:24">
      <c r="A700" s="1841" t="str">
        <f>"Minimum Loan Only (No HC) ELI Commitment (Not Purchased)"&amp;IF(DS_FHFC_NonHC_Table="AIT","",". Not Applicable")</f>
        <v>Minimum Loan Only (No HC) ELI Commitment (Not Purchased)</v>
      </c>
      <c r="B700" s="834">
        <v>0</v>
      </c>
      <c r="C700" s="1661" t="str">
        <f>"of Total Units ["&amp;TEXT(ROUNDUP(Total_Units*DS_Min_ELI_AIT_NoHC_NSS,0),"0")&amp;" units] at 30% AMI"</f>
        <v>of Total Units [0 units] at 30% AMI</v>
      </c>
      <c r="D700" s="1661"/>
      <c r="E700" s="1661"/>
      <c r="F700" s="1659"/>
      <c r="I700" s="1485"/>
      <c r="J700" s="733"/>
      <c r="K700" s="733"/>
      <c r="L700" s="733"/>
      <c r="M700" s="1741"/>
      <c r="N700" s="1741"/>
      <c r="O700" s="1741"/>
      <c r="P700" s="1741"/>
      <c r="Q700" s="1741"/>
      <c r="R700" s="1630"/>
      <c r="S700" s="1630"/>
    </row>
    <row r="701" spans="1:24" ht="15" thickBot="1">
      <c r="A701" s="1841" t="str">
        <f>"Amount of Loan Only (No HC) ELI to be purhcased"&amp;IF(DS_FHFC_NonHC_Table="AIT","",". Not Applicable")</f>
        <v>Amount of Loan Only (No HC) ELI to be purhcased</v>
      </c>
      <c r="B701" s="834">
        <v>0.1</v>
      </c>
      <c r="C701" s="1661"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10% Loan Only (No HC) ELI, or 0 units)</v>
      </c>
      <c r="D701" s="1661"/>
      <c r="E701" s="1661"/>
      <c r="F701" s="1659"/>
      <c r="I701" s="1485"/>
      <c r="J701" s="733"/>
      <c r="K701" s="733"/>
      <c r="L701" s="733"/>
      <c r="M701" s="1741"/>
      <c r="N701" s="1741"/>
      <c r="O701" s="1741"/>
      <c r="P701" s="1741"/>
      <c r="Q701" s="1741"/>
      <c r="R701" s="1630"/>
      <c r="S701" s="1630"/>
    </row>
    <row r="702" spans="1:24" ht="30" customHeight="1">
      <c r="A702" s="1868" t="str" cm="1">
        <f t="array" ref="A702">"Non-SS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15% ELI commitment, of which 10% will be purchased.</v>
      </c>
      <c r="B702" s="1869"/>
      <c r="C702" s="1870"/>
      <c r="D702" s="1870"/>
      <c r="E702" s="1870"/>
      <c r="F702" s="1844"/>
      <c r="G702" s="1844"/>
      <c r="H702" s="1844"/>
      <c r="I702" s="1845"/>
      <c r="J702" s="1846"/>
      <c r="K702" s="1846"/>
      <c r="L702" s="1871"/>
      <c r="M702" s="1847"/>
      <c r="N702" s="1847"/>
      <c r="O702" s="1847"/>
      <c r="P702" s="1847"/>
      <c r="Q702" s="1847"/>
      <c r="R702" s="1848"/>
      <c r="S702" s="1848"/>
    </row>
    <row r="703" spans="1:24" ht="30" customHeight="1" thickBot="1">
      <c r="A703" s="1872" t="str" cm="1">
        <f t="array" ref="A703">IF(OR(B$633=0,AND(B$633=1,DS_FHFC_NonHC_Table&lt;&gt;"AIT")),"Loan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703" s="1873"/>
      <c r="C703" s="1874"/>
      <c r="D703" s="1874"/>
      <c r="E703" s="1874"/>
      <c r="F703" s="1849"/>
      <c r="G703" s="1849"/>
      <c r="H703" s="1849"/>
      <c r="I703" s="1850"/>
      <c r="J703" s="1851"/>
      <c r="K703" s="1851"/>
      <c r="L703" s="1875"/>
      <c r="M703" s="1852"/>
      <c r="N703" s="1852"/>
      <c r="O703" s="1852"/>
      <c r="P703" s="1852"/>
      <c r="Q703" s="1852"/>
      <c r="R703" s="1853"/>
      <c r="S703" s="1853"/>
    </row>
    <row r="704" spans="1:24" ht="25.15" customHeight="1">
      <c r="A704" s="1854"/>
      <c r="B704" s="1876"/>
      <c r="C704" s="1861"/>
      <c r="I704" s="1877"/>
      <c r="J704" s="733"/>
      <c r="K704" s="733"/>
      <c r="L704" s="733"/>
      <c r="M704" s="1741"/>
      <c r="N704" s="1741"/>
      <c r="O704" s="1741"/>
      <c r="P704" s="1741"/>
      <c r="Q704" s="1741"/>
      <c r="R704" s="1630"/>
      <c r="S704" s="1630"/>
    </row>
    <row r="705" spans="1:24" ht="25.15" customHeight="1">
      <c r="A705" s="531" t="s">
        <v>2893</v>
      </c>
      <c r="B705" s="2252" t="str">
        <f>"Loan Only (no HC) Developments are "&amp;IF($B$633=0,"not part of this RFA.","structured to use table ("&amp;IF(DS_FHFC_NonHC_Table="Non-AIT","a) [40%@60%] - which is NOT this table",IF(DS_FHFC_NonHC_Table="AIT","b) [AIT]","NA"))&amp;".")</f>
        <v>Loan Only (no HC) Developments are not part of this RFA.</v>
      </c>
      <c r="C705" s="1861"/>
      <c r="I705" s="1877"/>
      <c r="J705" s="733"/>
      <c r="K705" s="733"/>
      <c r="L705" s="733"/>
      <c r="M705" s="1741"/>
      <c r="N705" s="1741"/>
      <c r="O705" s="1741"/>
      <c r="P705" s="1741"/>
      <c r="Q705" s="1741"/>
      <c r="R705" s="1630"/>
      <c r="S705" s="1630"/>
    </row>
    <row r="706" spans="1:24">
      <c r="A706" s="1841" t="s">
        <v>2614</v>
      </c>
      <c r="B706" s="834">
        <v>0</v>
      </c>
      <c r="C706" s="1659" t="str" cm="1">
        <f t="array" ref="C706">"of Total Units ["&amp;TEXT(ROUNDUP(Total_Units*DS_Min_ELI_AIT_HC_SS,0),"0")&amp;" units]"</f>
        <v>of Total Units [0 units]</v>
      </c>
      <c r="D706" s="1659"/>
      <c r="E706" s="1659"/>
      <c r="F706" s="1659"/>
      <c r="G706" s="267" t="s">
        <v>504</v>
      </c>
      <c r="H706" s="267"/>
      <c r="I706" s="1367">
        <f>IF(AND('General Information'!K73&gt;0,Self_Sourced_Applicant="Yes"),SUM('Units, Set-Asides, Bldgs'!$G$71:$G$72),0)</f>
        <v>0</v>
      </c>
      <c r="J706" s="376" t="str" cm="1">
        <f t="array" ref="J706">IF(AND('General Information'!K73&gt;0,Self_Sourced_Applicant="Yes"),IF(I698&gt;=DS_Min_ELI_AIT_HC_NSS,"Yes","No"),"NA")</f>
        <v>NA</v>
      </c>
      <c r="K706" s="452" cm="1">
        <f t="array" ref="K706">ROUNDUP(DS_Min_ELI_AIT_HC_SS*Total_Units,0)</f>
        <v>0</v>
      </c>
      <c r="L706" s="376">
        <f>IF(AND('General Information'!K73&gt;0,Self_Sourced_Applicant="Yes"),SUM('Units, Set-Asides, Bldgs'!$G$71:$G$72),0)</f>
        <v>0</v>
      </c>
      <c r="M706" s="1742"/>
      <c r="N706" s="1742"/>
      <c r="O706" s="1742"/>
      <c r="P706" s="1742"/>
      <c r="Q706" s="1740">
        <v>0</v>
      </c>
      <c r="R706" s="1458"/>
      <c r="S706" s="1458"/>
    </row>
    <row r="707" spans="1:24">
      <c r="A707" s="1856" t="str">
        <f>"Amount of AIT HC ELI to be purchased ("&amp;IF(DS_SS_ELI_Purchase="Yes","not ","")&amp;"optional)"</f>
        <v>Amount of AIT HC ELI to be purchased (optional)</v>
      </c>
      <c r="B707" s="1260">
        <f>10%*1</f>
        <v>0.1</v>
      </c>
      <c r="C707" s="1878" t="str" cm="1">
        <f t="array" ref="C707">"(for a total minimum of "&amp;TEXT(DS_Min_ELI_AIT_HC_SS+IF(DS_SS_ELI_Purchase="Yes",DS_Min_ELI_AIT_HC_Buy_SS,0),"0%")&amp;" ELI, or "&amp;TEXT(ROUNDUP((DS_Min_ELI_AIT_HC_SS+IF(DS_SS_ELI_Purchase="Yes",DS_Min_ELI_AIT_HC_Buy_SS,0))*Total_Units,0),"0")&amp;" units)"</f>
        <v>(for a total minimum of 0% ELI, or 0 units)</v>
      </c>
      <c r="D707" s="1878"/>
      <c r="E707" s="1878"/>
      <c r="F707" s="1879"/>
      <c r="I707" s="492">
        <f>IF(AND('General Information'!K73&gt;0,Self_Sourced_Applicant="Yes"),SUM('Units, Set-Asides, Bldgs'!$G$71:$G$72),0)</f>
        <v>0</v>
      </c>
      <c r="J707" s="823" t="str" cm="1">
        <f t="array" ref="J707">IF(AND('General Information'!K73&gt;0,Self_Sourced_Applicant="Yes"),IF(I699&gt;=DS_Min_ELI_AIT_HC_NSS+IF(OR(DS_NSS_HC_ELI_Purchase="Yes",AND(Minimum_SetAside_per_Sec_42=DS_FHFC_NonHC,DS_NSS_NoHC_ELI_Purchase="Yes")),DS_Min_ELI_AIT_HC_Buy_NSS,0),"Yes","No"),"NA")</f>
        <v>NA</v>
      </c>
      <c r="K707" s="733" cm="1">
        <f t="array" ref="K707">ROUNDUP((DS_Min_ELI_AIT_HC_SS+IF(DS_SS_ELI_Purchase="Yes",DS_Min_ELI_AIT_HC_Buy_SS,0))*Total_Units,0)</f>
        <v>0</v>
      </c>
      <c r="L707" s="733">
        <f>L706</f>
        <v>0</v>
      </c>
      <c r="M707" s="1743"/>
      <c r="N707" s="1743"/>
      <c r="O707" s="1743"/>
      <c r="P707" s="1743"/>
      <c r="Q707" s="1741">
        <v>0.1</v>
      </c>
      <c r="R707" s="1486"/>
      <c r="S707" s="1486"/>
    </row>
    <row r="708" spans="1:24">
      <c r="A708" s="1893" t="s">
        <v>2613</v>
      </c>
      <c r="B708" s="359">
        <v>0.05</v>
      </c>
      <c r="C708" s="58" t="s">
        <v>280</v>
      </c>
      <c r="D708" s="1892" t="str" cm="1">
        <f t="array" aca="1" ref="D708" ca="1">"Eligible for ELI funding for any unit at ELI. Enter ""Yes"" in cell "&amp;CHOOSE(CELL("col",$C$708),"A","B","C","D","E","F","G","H","I","J","K","L","M")&amp;CELL("row",$C$708)&amp;" to activate"</f>
        <v>Eligible for ELI funding for any unit at ELI. Enter "Yes" in cell C708 to activate</v>
      </c>
      <c r="E708" s="1894"/>
      <c r="F708" s="1895"/>
      <c r="I708" s="1485"/>
      <c r="J708" s="733"/>
      <c r="K708" s="733"/>
      <c r="L708" s="733"/>
      <c r="M708" s="1743"/>
      <c r="N708" s="1743"/>
      <c r="O708" s="1743"/>
      <c r="P708" s="1743"/>
      <c r="Q708" s="1741">
        <v>0.05</v>
      </c>
      <c r="R708" s="1486"/>
      <c r="S708" s="1486"/>
    </row>
    <row r="709" spans="1:24" ht="15" thickBot="1">
      <c r="A709" s="1886" t="str">
        <f>"Table "&amp;'Units, Set-Asides, Bldgs'!C$68&amp;" Only [Loan only (no HC)]: Minimum % Units at or below 50% AMI"</f>
        <v>Table b Only [Loan only (no HC)]: Minimum % Units at or below 50% AMI</v>
      </c>
      <c r="B709" s="834">
        <v>0.2</v>
      </c>
      <c r="C709" s="1884" t="str">
        <f>"of Total Units ["&amp;TEXT(ROUNDUP(Total_Units*DS_Min_50_NoHC_AIT,0),"0")&amp;" units]"</f>
        <v>of Total Units [0 units]</v>
      </c>
      <c r="D709" s="1884"/>
      <c r="E709" s="1884"/>
      <c r="F709" s="1884"/>
      <c r="I709" s="1485"/>
      <c r="J709" s="733"/>
      <c r="K709" s="733"/>
      <c r="L709" s="733"/>
      <c r="M709" s="267"/>
      <c r="N709" s="267"/>
      <c r="O709" s="267"/>
      <c r="P709" s="267"/>
      <c r="Q709" s="267"/>
      <c r="R709" s="267"/>
      <c r="S709" s="267"/>
    </row>
    <row r="710" spans="1:24" ht="30" customHeight="1">
      <c r="A710" s="1868" t="str" cm="1">
        <f t="array" ref="A710">"SS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710" s="1869"/>
      <c r="C710" s="1870"/>
      <c r="D710" s="1870"/>
      <c r="E710" s="1870"/>
      <c r="F710" s="1844"/>
      <c r="G710" s="1844"/>
      <c r="H710" s="1844"/>
      <c r="I710" s="1845"/>
      <c r="J710" s="1846"/>
      <c r="K710" s="1846"/>
      <c r="L710" s="1871"/>
      <c r="M710" s="1847"/>
      <c r="N710" s="1847"/>
      <c r="O710" s="1847"/>
      <c r="P710" s="1847"/>
      <c r="Q710" s="1847"/>
      <c r="R710" s="1848"/>
      <c r="S710" s="1848"/>
    </row>
    <row r="711" spans="1:24" ht="30" customHeight="1" thickBot="1">
      <c r="A711" s="1872" t="str" cm="1">
        <f t="array" ref="A711">IF(OR(B$633=0,AND(B$633=1,DS_FHFC_NonHC_Table&lt;&gt;"AIT")),"Loan Only (no HC) Developments are not structured to use table (b).","Non-SS Loan Only (no HC) Developments (using table ("&amp;IF(DS_FHFC_NonHC_Table="AIT","b",IF(DS_FHFC_NonHC_Table="Non-AIT","a",IF(DS_FHFC_NonHC_Table="Gap",'Units, Set-Asides, Bldgs'!#REF!,"NA")))&amp;"))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AMI.","")&amp;IF(C709&lt;&gt;"Yes",""," In addition, "&amp;TEXT(DS_Min_50_NoHC_AIT,"0%")&amp;" of total units must be set-aside BELOW 50% AMI. ELI units are eligible for funding after the "&amp;TEXT(DS_Min_50_NoHC_AIT,"0%")&amp;" below 50% AMI hurdle is met."))</f>
        <v>Loan Only (no HC) Developments are not structured to use table (b).</v>
      </c>
      <c r="B711" s="1873"/>
      <c r="C711" s="1874"/>
      <c r="D711" s="1874"/>
      <c r="E711" s="1874"/>
      <c r="F711" s="1849"/>
      <c r="G711" s="1849"/>
      <c r="H711" s="1849"/>
      <c r="I711" s="1850"/>
      <c r="J711" s="1851"/>
      <c r="K711" s="1851"/>
      <c r="L711" s="1875"/>
      <c r="M711" s="1852"/>
      <c r="N711" s="1852"/>
      <c r="O711" s="1852"/>
      <c r="P711" s="1852"/>
      <c r="Q711" s="1852"/>
      <c r="R711" s="1853"/>
      <c r="S711" s="1853"/>
    </row>
    <row r="712" spans="1:24" ht="25.15" customHeight="1">
      <c r="A712" s="1635"/>
      <c r="B712" s="1636"/>
      <c r="C712" s="470"/>
      <c r="D712" s="329"/>
      <c r="E712" s="329"/>
      <c r="F712" s="330"/>
      <c r="G712" s="1633"/>
      <c r="H712" s="1634"/>
      <c r="I712" s="1631"/>
      <c r="J712" s="1632"/>
      <c r="K712" s="1632"/>
      <c r="L712" s="1632"/>
      <c r="M712" s="1880"/>
      <c r="N712" s="1880"/>
      <c r="O712" s="1880"/>
      <c r="P712" s="1880"/>
      <c r="Q712" s="1881"/>
      <c r="R712" s="1632"/>
      <c r="S712" s="1632"/>
    </row>
    <row r="713" spans="1:24" ht="25.15" customHeight="1">
      <c r="A713" s="531" t="s">
        <v>2615</v>
      </c>
      <c r="B713" s="712"/>
      <c r="C713" s="1861"/>
      <c r="D713" s="6"/>
      <c r="E713" s="6"/>
      <c r="G713" s="844"/>
      <c r="H713" s="444"/>
      <c r="I713" s="1485"/>
      <c r="J713" s="733"/>
      <c r="K713" s="733"/>
      <c r="L713" s="733"/>
      <c r="M713" s="1744"/>
      <c r="N713" s="1744"/>
      <c r="O713" s="1744"/>
      <c r="P713" s="1744"/>
      <c r="Q713" s="1745"/>
      <c r="R713" s="733"/>
      <c r="S713" s="733"/>
    </row>
    <row r="714" spans="1:24">
      <c r="A714" s="1177" t="s">
        <v>1836</v>
      </c>
      <c r="B714" s="834">
        <v>0.3</v>
      </c>
      <c r="C714" s="267" t="str">
        <f>"of Total Units ["&amp;TEXT(ROUNDUP(Total_Units*B714,0),"0")&amp;" units] at designated AMI"</f>
        <v>of Total Units [0 units] at designated AMI</v>
      </c>
      <c r="D714" s="1177"/>
      <c r="E714" s="1177"/>
      <c r="F714" s="2436" t="s">
        <v>3248</v>
      </c>
      <c r="G714" s="1178"/>
      <c r="H714" s="719"/>
      <c r="I714" s="734"/>
      <c r="J714" s="733"/>
      <c r="K714" s="733"/>
      <c r="L714" s="733"/>
      <c r="M714" s="1744"/>
      <c r="N714" s="1744"/>
      <c r="O714" s="1744"/>
      <c r="P714" s="1744"/>
      <c r="Q714" s="1745"/>
      <c r="R714" s="733"/>
      <c r="S714" s="733"/>
    </row>
    <row r="715" spans="1:24">
      <c r="A715" s="1177"/>
      <c r="B715" s="444"/>
      <c r="D715" s="15"/>
      <c r="E715" s="15"/>
      <c r="F715" s="24"/>
      <c r="G715" s="1376"/>
      <c r="H715" s="444"/>
      <c r="I715" s="734"/>
      <c r="J715" s="733"/>
      <c r="K715" s="733"/>
      <c r="L715" s="733"/>
      <c r="M715" s="1744"/>
      <c r="N715" s="1744"/>
      <c r="O715" s="1744"/>
      <c r="P715" s="1744"/>
      <c r="Q715" s="1745"/>
      <c r="R715" s="733"/>
      <c r="S715" s="733"/>
    </row>
    <row r="716" spans="1:24" ht="20.25" customHeight="1">
      <c r="A716" s="531" t="s">
        <v>2616</v>
      </c>
      <c r="B716" s="444"/>
      <c r="D716" s="15"/>
      <c r="E716" s="15"/>
      <c r="F716" s="24"/>
      <c r="G716" s="1376"/>
      <c r="H716" s="444"/>
      <c r="I716" s="734"/>
      <c r="J716" s="733"/>
      <c r="K716" s="733"/>
      <c r="L716" s="733"/>
      <c r="M716" s="1744"/>
      <c r="N716" s="1744"/>
      <c r="O716" s="1744"/>
      <c r="P716" s="1744"/>
      <c r="Q716" s="1745"/>
      <c r="R716" s="733"/>
      <c r="S716" s="733"/>
    </row>
    <row r="717" spans="1:24">
      <c r="A717" s="1331" t="s">
        <v>2088</v>
      </c>
      <c r="B717" s="822" t="s">
        <v>436</v>
      </c>
      <c r="D717" s="15"/>
      <c r="E717" s="15"/>
      <c r="F717" s="24"/>
      <c r="G717" s="1376"/>
      <c r="H717" s="444"/>
      <c r="I717" s="734"/>
      <c r="J717" s="733"/>
      <c r="K717" s="733"/>
      <c r="L717" s="733"/>
      <c r="M717" s="1744"/>
      <c r="N717" s="1744"/>
      <c r="O717" s="1744"/>
      <c r="P717" s="1744"/>
      <c r="Q717" s="1745"/>
      <c r="R717" s="733"/>
      <c r="S717" s="733"/>
    </row>
    <row r="718" spans="1:24">
      <c r="A718" s="1378" t="s">
        <v>2089</v>
      </c>
      <c r="B718" s="1262">
        <f>MIN(ROUNDUP(Total_Units*B674,0),15)</f>
        <v>0</v>
      </c>
      <c r="C718" t="s">
        <v>264</v>
      </c>
      <c r="D718" s="15"/>
      <c r="E718" s="15"/>
      <c r="F718" s="24"/>
      <c r="G718" s="1376"/>
      <c r="H718" s="444"/>
      <c r="I718" s="734"/>
      <c r="J718" s="733"/>
      <c r="K718" s="733"/>
      <c r="L718" s="733"/>
      <c r="M718" s="1744"/>
      <c r="N718" s="1744"/>
      <c r="O718" s="1744"/>
      <c r="P718" s="1744"/>
      <c r="Q718" s="1745"/>
      <c r="R718" s="733"/>
      <c r="S718" s="733"/>
    </row>
    <row r="719" spans="1:24">
      <c r="A719" s="1450" t="s">
        <v>2148</v>
      </c>
      <c r="B719" s="822" t="s">
        <v>436</v>
      </c>
      <c r="D719" s="15"/>
      <c r="E719" s="15"/>
      <c r="F719" s="24"/>
      <c r="G719" s="1376"/>
      <c r="H719" s="444"/>
      <c r="I719" s="734"/>
      <c r="J719" s="733"/>
      <c r="K719" s="733"/>
      <c r="L719" s="733"/>
      <c r="M719" s="1744"/>
      <c r="N719" s="1744"/>
      <c r="O719" s="1744"/>
      <c r="P719" s="1744"/>
      <c r="Q719" s="1745"/>
      <c r="R719" s="733"/>
      <c r="S719" s="733"/>
      <c r="U719" s="1422"/>
      <c r="V719" s="1418"/>
      <c r="W719" s="1422"/>
      <c r="X719" s="823"/>
    </row>
    <row r="720" spans="1:24">
      <c r="A720" s="1331" t="s">
        <v>2149</v>
      </c>
      <c r="B720" s="3054" t="s">
        <v>855</v>
      </c>
      <c r="C720" s="3054"/>
      <c r="D720" s="3054"/>
      <c r="E720" s="3054"/>
      <c r="F720" s="1449" t="str">
        <f>IF(AND(DS_ELI_UnitLimit="Yes",DS_ELI_UnitLimit_Exception="Yes",DS_ELI_UnitLimit_Exception_Goal=A882,Youth_Aging_Out_Goal="Yes"),"MEETS","Does NOT meet")</f>
        <v>Does NOT meet</v>
      </c>
      <c r="G720" s="1376"/>
      <c r="H720" s="444"/>
      <c r="I720" s="734"/>
      <c r="J720" s="733"/>
      <c r="K720" s="733"/>
      <c r="L720" s="733"/>
      <c r="M720" s="1744"/>
      <c r="N720" s="1744"/>
      <c r="O720" s="1744"/>
      <c r="P720" s="1744"/>
      <c r="Q720" s="1745"/>
      <c r="R720" s="733"/>
      <c r="S720" s="733"/>
      <c r="U720" s="1422"/>
      <c r="V720" s="1418"/>
      <c r="W720" s="1422"/>
      <c r="X720" s="823"/>
    </row>
    <row r="721" spans="1:19" ht="29">
      <c r="A721" s="24"/>
      <c r="L721" s="849" t="s">
        <v>505</v>
      </c>
      <c r="M721" s="1746" t="s">
        <v>280</v>
      </c>
      <c r="N721" s="1747" t="s">
        <v>506</v>
      </c>
      <c r="O721" s="1747" t="s">
        <v>506</v>
      </c>
      <c r="P721" s="1747" t="s">
        <v>506</v>
      </c>
      <c r="Q721" s="1747" t="s">
        <v>507</v>
      </c>
      <c r="R721" s="854"/>
      <c r="S721" s="457"/>
    </row>
    <row r="722" spans="1:19" ht="18" customHeight="1">
      <c r="A722" s="531" t="s">
        <v>508</v>
      </c>
      <c r="B722" s="6"/>
      <c r="C722" s="6"/>
      <c r="D722" s="6"/>
      <c r="E722" s="6"/>
    </row>
    <row r="723" spans="1:19" ht="15.5">
      <c r="A723" s="1379" t="str">
        <f>"Section 4.A.6."&amp;'Units, Set-Asides, Bldgs'!A$32&amp;"."&amp;'Units, Set-Asides, Bldgs'!B$45&amp;"("&amp;'Units, Set-Asides, Bldgs'!C$47&amp;") Set-Aside Table (Non-AIT)"</f>
        <v>Section 4.A.6.c.(3)(a) Set-Aside Table (Non-AIT)</v>
      </c>
      <c r="B723" s="2326" t="s">
        <v>2983</v>
      </c>
      <c r="C723" s="1381"/>
      <c r="D723" s="1381"/>
      <c r="E723" s="1381"/>
      <c r="F723" s="1381"/>
      <c r="G723" s="1381"/>
      <c r="H723" s="1381"/>
      <c r="I723" s="1381"/>
      <c r="J723" s="1381"/>
      <c r="K723" s="1381"/>
      <c r="L723" s="1381"/>
      <c r="M723" s="1381"/>
      <c r="N723" s="1381"/>
      <c r="O723" s="1381"/>
    </row>
    <row r="724" spans="1:19">
      <c r="A724" t="s">
        <v>2090</v>
      </c>
      <c r="B724" s="85"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Bldgs'!F59:F63)&gt;0,", including "&amp;IF(N('Units, Set-Asides, Bldgs'!F59)&gt;0,TEXT('Units, Set-Asides, Bldgs'!F59,"0")&amp;" '"&amp;'Units, Set-Asides, Bldgs'!J59&amp;"'","")&amp;IF(AND(N('Units, Set-Asides, Bldgs'!F59)&gt;0,SUM('Units, Set-Asides, Bldgs'!F60:F64)&gt;0),IF(COUNTIF('Units, Set-Asides, Bldgs'!F60:F64,"&gt;0")=1," and ",", "),"")&amp;IF(N('Units, Set-Asides, Bldgs'!F60)&gt;0,TEXT(N('Units, Set-Asides, Bldgs'!F60),"0")&amp;" '"&amp;'Units, Set-Asides, Bldgs'!J60&amp;"'","")&amp;IF(AND('Units, Set-Asides, Bldgs'!F60&gt;0,SUM('Units, Set-Asides, Bldgs'!F61:F64)&gt;0),IF(COUNTIF('Units, Set-Asides, Bldgs'!F61:F64,"&gt;0")=1," and ",", "),"")&amp;IF(N('Units, Set-Asides, Bldgs'!F61)&gt;0,TEXT(N('Units, Set-Asides, Bldgs'!F61),"0")&amp;" '"&amp;'Units, Set-Asides, Bldgs'!J61&amp;"'","")&amp;IF(AND(N('Units, Set-Asides, Bldgs'!F61)&gt;0,SUM('Units, Set-Asides, Bldgs'!F62:F64)&gt;0),IF(COUNTIF('Units, Set-Asides, Bldgs'!F62:F64,"&gt;0")=1," and ",", "),"")&amp;IF(N('Units, Set-Asides, Bldgs'!F62)&gt;0,TEXT(N('Units, Set-Asides, Bldgs'!F62),"0")&amp;" '"&amp;'Units, Set-Asides, Bldgs'!J62&amp;"'","")&amp;IF(AND(N('Units, Set-Asides, Bldgs'!F62)&gt;0,SUM('Units, Set-Asides, Bldgs'!F63:F64)&gt;0),IF(COUNTIF('Units, Set-Asides, Bldgs'!F63:F64,"&gt;0")=1," and ",", "),"")&amp;IF(N('Units, Set-Asides, Bldgs'!F63)&gt;0,TEXT(N('Units, Set-Asides, Bldgs'!F63),"0")&amp;" '"&amp;'Units, Set-Asides, Bldgs'!J63&amp;"'","")&amp;IF(AND(N('Units, Set-Asides, Bldgs'!F63)&gt;0,N('Units, Set-Asides, Bldgs'!F64)&gt;0),IF(COUNTIF('Units, Set-Asides, Bldgs'!F64,"&gt;0")=1," and ",", "),"")&amp;IF('Units, Set-Asides, Bldgs'!F64&gt;0,TEXT(N('Units, Set-Asides, Bldgs'!F64),"0")&amp;" "&amp;'Units, Set-Asides, Bldgs'!J64,"")&amp;".","."))</f>
        <v/>
      </c>
      <c r="C724" s="85"/>
      <c r="D724" s="85"/>
      <c r="E724" s="85"/>
      <c r="F724" s="85"/>
      <c r="G724" s="85"/>
      <c r="H724" s="85"/>
      <c r="I724" s="85"/>
      <c r="J724" s="85"/>
      <c r="K724" s="85"/>
      <c r="L724" s="85"/>
      <c r="M724" s="85"/>
      <c r="N724" s="85"/>
      <c r="O724" s="85"/>
    </row>
    <row r="725" spans="1:19">
      <c r="A725" s="6" t="str">
        <f>"   Minimum IRS/"&amp;DS_Loan_Name&amp;" Set-Aside"</f>
        <v xml:space="preserve">   Minimum IRS/Loan Only Funding Set-Aside</v>
      </c>
      <c r="B725" s="65"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"&amp;TEXT(Data1!B$651,"0%")&amp;" is"&amp;IF(NonAIT_HC_SA_Percent+IF('Units, Set-Asides, Bldgs'!P65&lt;&gt;1,Workforce_AMI_80_NonAIT+IF('Units, Set-Asides, Bldgs'!O61&gt;0,Workforce_AMI_100_NonAIT,0)+IF('Units, Set-Asides, Bldgs'!O63&gt;0,Workforce_AMI_120_NonAIT,0),0)&gt;=Data1!B$651,""," NOT")&amp;" met with a commitment of "&amp;TEXT(NonAIT_HC_SA_Percent+IF('Units, Set-Asides, Bldgs'!P65&lt;&gt;1,Workforce_AMI_80_NonAIT+IF('Units, Set-Asides, Bldgs'!O61&gt;0,Workforce_AMI_100_NonAIT,0)+IF('Units, Set-Asides, Bldgs'!O63&gt;0,Workforce_AMI_120_NonAIT,0),0),"0%")&amp;".",IF(Minimum_SetAside_per_Sec_42=DS_IRS_AIT," This set-aside table is not applicable.","")))))</f>
        <v/>
      </c>
      <c r="C725" s="85"/>
      <c r="D725" s="85"/>
      <c r="E725" s="85"/>
      <c r="F725" s="85"/>
      <c r="G725" s="85"/>
      <c r="H725" s="85"/>
      <c r="I725" s="85"/>
      <c r="J725" s="85"/>
      <c r="K725" s="85"/>
      <c r="L725" s="85"/>
      <c r="M725" s="85"/>
      <c r="N725" s="85"/>
      <c r="O725" s="85"/>
    </row>
    <row r="726" spans="1:19">
      <c r="A726" s="6" t="s">
        <v>2091</v>
      </c>
      <c r="B726" s="65" t="str">
        <f>IF(2&lt;3,"",IF(OR(NonProfit_Applicant&lt;&gt;"Yes",AND(Total_Units=0,total_units_in_NonAIT_setaside_chart=0)),"",IF(Minimum_SetAside_per_Sec_42=DS_FHFC_NonHC,""," The minimum IRS Safe-Harbor Set-Aside commitment for Non-Profit Applicants of "&amp;TEXT(Data1!B646,"0%")&amp;" may "&amp;IF(AND(SUM('Units, Set-Asides, Bldgs'!G50:H59)&gt;=Data1!B646,OR(AND(Minimum_SetAside_per_Sec_42=A630,SUM('Units, Set-Asides, Bldgs'!G50:G57)&gt;=ROUNDUP(20%*Total_Units,0)),SUM('Units, Set-Asides, Bldgs'!G50:G58)&gt;=ROUNDUP(40%*Total_Units,0)))," be met.","not be met, but would be dependent upon tenant incomes."))))</f>
        <v/>
      </c>
      <c r="C726" s="85"/>
      <c r="D726" s="85"/>
      <c r="E726" s="85"/>
      <c r="F726" s="85"/>
      <c r="G726" s="85"/>
      <c r="H726" s="85"/>
      <c r="I726" s="85"/>
      <c r="J726" s="85"/>
      <c r="K726" s="85"/>
      <c r="L726" s="85"/>
      <c r="M726" s="85"/>
      <c r="N726" s="85"/>
      <c r="O726" s="85"/>
    </row>
    <row r="727" spans="1:19">
      <c r="A727" s="6" t="str">
        <f>"   Minimum &amp; Maximum HC Set-Aside for "&amp;IF('Units, Set-Asides, Bldgs'!P65=0,"Workforce",IF('Units, Set-Asides, Bldgs'!P65=2,"Live Local",IF('Units, Set-Asides, Bldgs'!P65=3,"FHFC Loan/Gap","NA here")))</f>
        <v xml:space="preserve">   Minimum &amp; Maximum HC Set-Aside for NA here</v>
      </c>
      <c r="B727" s="65" t="str">
        <f>IF(OR(AND(Minimum_SetAside_per_Sec_42=DS_FHFC_NonHC,DS_FHFC_NonHC_Table&lt;&gt;"Non-AIT"),Minimum_SetAside_per_Sec_42=DS_IRS_AIT,Minimum_SetAside_per_Sec_42="&lt;select one&gt;",Minimum_SetAside_per_Sec_42=DS_FHFC_NonHC,OR(Total_Units=0,total_units_in_NonAIT_setaside_chart=0)),"",IF('Units, Set-Asides, Bldgs'!P65=1,""," For "&amp;IF('Units, Set-Asides, Bldgs'!P65=0,"Workforce",IF('Units, Set-Asides, Bldgs'!P65=2,"Live Local","FHFC Loan/Gap"))&amp;" Developments, the minimum FHFC HC commitment of "&amp;TEXT(Data1!B642,"0%")&amp;IF(RIGHT(Excel_RFA_Number,3)="213"," at or below "&amp;IF(LEFT(Minimum_SetAside_per_Sec_42,2)="20","50% AMI","60% AMI"),"")&amp;" is "&amp;IF(SUM('Units, Set-Asides, Bldgs'!G50:G57)+IF(Minimum_SetAside_per_Sec_42&lt;&gt;DS_IRS_2050,'Units, Set-Asides, Bldgs'!G58,0)&gt;=Data1!B642,"","NOT ")&amp;"met"&amp;IF(SUM('Units, Set-Asides, Bldgs'!G50:G57)+IF(Minimum_SetAside_per_Sec_42&lt;&gt;DS_IRS_2050,'Units, Set-Asides, Bldgs'!G58,0)&gt;=Data1!B642=TRUE,IF(SUM('Units, Set-Asides, Bldgs'!G50:G57)+IF(Minimum_SetAside_per_Sec_42&lt;&gt;DS_IRS_2050,'Units, Set-Asides, Bldgs'!G58,0)&lt;=Data1!B643=TRUE," and ",", but "),IF(SUM('Units, Set-Asides, Bldgs'!G50:G57)+IF(Minimum_SetAside_per_Sec_42&lt;&gt;DS_IRS_2050,'Units, Set-Asides, Bldgs'!G58,0)&lt;=Data1!B643,", but "," and "))&amp;"the maximum HC commitment of "&amp;TEXT(Data1!B643,"0%")&amp;" is "&amp;IF(SUM('Units, Set-Asides, Bldgs'!G50:G57)+IF(Minimum_SetAside_per_Sec_42&lt;&gt;DS_IRS_2050,'Units, Set-Asides, Bldgs'!G58,0)&lt;=Data1!B643,"","NOT ")&amp;"met."))</f>
        <v/>
      </c>
      <c r="C727" s="85"/>
      <c r="D727" s="85"/>
      <c r="E727" s="85"/>
      <c r="F727" s="85"/>
      <c r="G727" s="85"/>
      <c r="H727" s="85"/>
      <c r="I727" s="85"/>
      <c r="J727" s="85"/>
      <c r="K727" s="85"/>
      <c r="L727" s="85"/>
      <c r="M727" s="85"/>
      <c r="N727" s="85"/>
      <c r="O727" s="85"/>
    </row>
    <row r="728" spans="1:19">
      <c r="A728" s="6" t="s">
        <v>2092</v>
      </c>
      <c r="B728" s="65"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"&amp;TEXT(Data1!B645,"0%")&amp;" is "&amp;IF(SUM('Units, Set-Asides, Bldgs'!G50:G57)+IF(Minimum_SetAside_per_Sec_42=DS_IRS_4060,'Units, Set-Asides, Bldgs'!G58,0)&gt;=Data1!B645,"","NOT ")&amp;"met.","")))</f>
        <v/>
      </c>
      <c r="C728" s="85"/>
      <c r="D728" s="85"/>
      <c r="E728" s="85"/>
      <c r="F728" s="85"/>
      <c r="G728" s="85"/>
      <c r="H728" s="85"/>
      <c r="I728" s="85"/>
      <c r="J728" s="85"/>
      <c r="K728" s="85"/>
      <c r="L728" s="85"/>
      <c r="M728" s="85"/>
      <c r="N728" s="85"/>
      <c r="O728" s="85"/>
    </row>
    <row r="729" spans="1:19">
      <c r="A729" s="6" t="s">
        <v>2434</v>
      </c>
      <c r="B729" s="680" t="str">
        <f>IF(OR(AND(Minimum_SetAside_per_Sec_42=DS_FHFC_NonHC,DS_FHFC_NonHC_Table&lt;&gt;"Non-AIT"),Minimum_SetAside_per_Sec_42=DS_IRS_AIT,Minimum_SetAside_per_Sec_42="&lt;select one&gt;",AND(Total_Units=0,total_units_in_NonAIT_setaside_chart=0)),"",IF(AND(C$636="Yes",C$637="Yes",OR(Demographic="Family",Demographic="Elderly Non-ALF"),OR(NonProfit_Applicant="No",NonProfit_Applicant="&lt;select one&gt;"),AND(total_HC_units_NonAIT&gt;=Data1!B$637,'Units, Set-Asides, Bldgs'!N47&lt;&gt;0))," The Development qualifies for the minimum FHFC RFA overall set-aside commitment of at least "&amp;TEXT(Data1!B$637,"0")&amp;" Set-Aside Units for a for profit Applicant with a Demographic Commitment of "&amp;Demographic&amp;".",IF(C$636="Yes"," The minimum FHFC RFA overall set-aside commitment of "&amp;TEXT(Data1!B$636,"0%")&amp;" is "&amp;IF(NonAIT_HC_SA_Percent+SUMPRODUCT('Units, Set-Asides, Bldgs'!G59:G63,'Units, Set-Asides, Bldgs'!O59:O63)&lt;Data1!B$636,"NOT ","")&amp;" met"&amp;IF(C$637&lt;&gt;"Yes",""," and it does "&amp;IF(OR(AND(Demographic&lt;&gt;"Family",Demographic&lt;&gt;"Elderly Non-ALF"),NonProfit_Applicant="Yes",total_HC_units_NonAIT&lt;Data1!B$637,'Units, Set-Asides, Bldgs'!N47=0),"NOT ","")&amp;"qualify for minimum FHFC RFA overall set-aside commitment of at least "&amp;TEXT(Data1!B$637,"0")&amp;" Set-Aside Units for a for profit Applicant with a Demographic Commitment of Family or Elderly Non-ALF"),"The RFA doesn’t have a minimum set-aside requirement based on the percentage of total units"))&amp;" with the "&amp;IF(Minimum_SetAside_per_Sec_42=DS_FHFC_NonHC,Data1!B650&amp;" Loan ",IF(RIGHT(Excel_RFA_Number,3)="213","Overall ","HC "))&amp;TEXT(NonAIT_HC_SA_Percent+IF(OR(SUM('Units, Set-Asides, Bldgs'!O59:O63)=0,'Units, Set-Asides, Bldgs'!P65=1),0,SUMPRODUCT('Units, Set-Asides, Bldgs'!G59:G63,'Units, Set-Asides, Bldgs'!O59:O63)),"0%")&amp;" set-aside commitment.")</f>
        <v/>
      </c>
      <c r="C729" s="85"/>
      <c r="D729" s="85"/>
      <c r="E729" s="85"/>
      <c r="F729" s="85"/>
      <c r="G729" s="85"/>
      <c r="H729" s="85"/>
      <c r="I729" s="85"/>
      <c r="J729" s="85"/>
      <c r="K729" s="85"/>
      <c r="L729" s="85"/>
      <c r="M729" s="85"/>
      <c r="N729" s="85"/>
      <c r="O729" s="85"/>
    </row>
    <row r="730" spans="1:19">
      <c r="A730" s="6" t="s">
        <v>2490</v>
      </c>
      <c r="B730" s="65"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Information'!K73&gt;0,Self_Sourced_Applicant&lt;&gt;"Yes")),DS_Min_ELI_NonAIT_NoHC_NSS+0*IF(DS_NSS_NoHC_ELI_Purchase&lt;&gt;"Yes",0,DS_Min_ELI_NonAIT_NoHC_Buy_NSS),0))))&gt;0,"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73&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Information'!K73&gt;0,Self_Sourced_Applicant&lt;&gt;"Yes",TRUE)),DS_Min_ELI_NonAIT_NoHC_NSS+0*IF(DS_NSS_NoHC_ELI_Purchase&lt;&gt;"Yes",0,DS_Min_ELI_NonAIT_NoHC_Buy_NSS),0)))),"0%")&amp;IF(OR(DS_ELI_UnitLimit&lt;&gt;"Yes",DS_ELI_UnitLimit_Exception_Goal_Met="MEETS"),"",",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"&amp;IF(OR(DS_Act_Perc_ELI_NonAIT&gt;=DS_Minimum_ELI,IF(AND(DS_ELI_UnitLimit="Yes",DS_ELI_UnitLimit_Exception_Goal_Met="MEETS"),M673&gt;=DS_ELI_UnitLimit_Units,FALSE)),"","NOT ")&amp;"met with an ELI commitment of "&amp;IF(OR(OR(DS_ELI_UnitLimit&lt;&gt;"Yes",DS_ELI_UnitLimit_Exception_Goal_Met="MEETS"),AND(DS_ELI_UnitLimit="Yes",DS_Act_Num_ELI_NonAIT&lt;DS_ELI_UnitLimit_Units),DS_Act_Perc_ELI_NonAIT&gt;=DS_Minimum_ELI),TEXT(DS_Act_Perc_ELI_NonAIT,"0%")&amp;IF(OR(DS_ELI_UnitLimit&lt;&gt;"Yes",DS_ELI_UnitLimit_Exception_Goal_Met="MEETS"),"."," ("&amp;TEXT(DS_Act_Num_ELI_NonAIT,"0")&amp;" units)."),TEXT(DS_Act_Num_ELI_NonAIT,"0")&amp;" units ("&amp;TEXT(DS_Act_Perc_ELI_NonAIT,"0.00%")&amp;")."),""))</f>
        <v/>
      </c>
      <c r="C730" s="85"/>
      <c r="D730" s="85"/>
      <c r="E730" s="85"/>
      <c r="F730" s="85"/>
      <c r="G730" s="85"/>
      <c r="H730" s="85"/>
      <c r="I730" s="85"/>
      <c r="J730" s="85"/>
      <c r="K730" s="85"/>
      <c r="L730" s="85"/>
      <c r="M730" s="85"/>
      <c r="N730" s="85"/>
      <c r="O730" s="85"/>
    </row>
    <row r="731" spans="1:19">
      <c r="A731" s="6" t="s">
        <v>2094</v>
      </c>
      <c r="B731" s="65" t="str">
        <f>IF(OR(AND(Minimum_SetAside_per_Sec_42=DS_FHFC_NonHC,DS_FHFC_NonHC_Table&lt;&gt;"Non-AIT"),Minimum_SetAside_per_Sec_42=DS_IRS_AIT,Minimum_SetAside_per_Sec_42="&lt;select one&gt;",AND(Total_Units=0,total_units_in_NonAIT_setaside_chart=0)),"",IF(IF(AND(AND('General Information'!K73&gt;0,Self_Sourced_Applicant="Yes"),$C$692="Yes"),DS_Min_Below50_NonAIT_SS,0)&gt;0," The minimum FHFC commitment for units below 50% AMI of "&amp;TEXT(IF(AND(AND('General Information'!K73&gt;0,Self_Sourced_Applicant="Yes"),$C$692="Yes"),DS_Min_Below50_NonAIT_SS,0),"0%")&amp;" is "&amp;IF(SUM('Units, Set-Asides, Bldgs'!$G$50:$G$56)&gt;=DS_Min_Below50_NonAIT_SS,"","NOT ")&amp;"met with a commitment of "&amp;TEXT(SUM('Units, Set-Asides, Bldgs'!$G$50:$G$56),"0%")&amp;".","")&amp;IF(AND(N(DS_Min_50_NoHC_NonAIT)&gt;0,Minimum_SetAside_per_Sec_42=DS_FHFC_NonHC,DS_FHFC_NonHC_Table="Non-AIT",'General Information'!K73&gt;0,Self_Sourced_Applicant="Yes")," The minimum FHFC commitment of "&amp;TEXT(DS_Min_50_NoHC_NonAIT,"0%")&amp;" for units at 50% AMI or less is"&amp;IF(SUM('Units, Set-Asides, Bldgs'!$G$50:$G$57)&gt;=DS_Min_50_NoHC_NonAIT," met.","NOT met."),""))</f>
        <v/>
      </c>
      <c r="C731" s="85"/>
      <c r="D731" s="85"/>
      <c r="E731" s="85"/>
      <c r="F731" s="85"/>
      <c r="G731" s="85"/>
      <c r="H731" s="313"/>
      <c r="I731" s="313"/>
      <c r="J731" s="313"/>
      <c r="K731" s="313"/>
      <c r="L731" s="313"/>
      <c r="M731" s="313"/>
      <c r="N731" s="313"/>
      <c r="O731" s="313"/>
    </row>
    <row r="732" spans="1:19" ht="80.25" customHeight="1">
      <c r="A732" s="3093"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B732" s="3094"/>
      <c r="C732" s="3094"/>
      <c r="D732" s="3094"/>
      <c r="E732" s="3094"/>
      <c r="F732" s="3094"/>
      <c r="G732" s="3095"/>
    </row>
    <row r="733" spans="1:19" ht="15.5">
      <c r="A733" s="1379" t="str">
        <f>"Section 4.A.6."&amp;'Units, Set-Asides, Bldgs'!A$32&amp;"."&amp;'Units, Set-Asides, Bldgs'!B$45&amp;"("&amp;'Units, Set-Asides, Bldgs'!C$68&amp;") Set-Aside Table (AIT)"</f>
        <v>Section 4.A.6.c.(3)(b) Set-Aside Table (AIT)</v>
      </c>
      <c r="B733" s="2325" t="s">
        <v>2983</v>
      </c>
      <c r="C733" s="443"/>
      <c r="D733" s="443"/>
      <c r="E733" s="443"/>
      <c r="F733" s="443"/>
      <c r="G733" s="443"/>
      <c r="H733" s="443"/>
      <c r="I733" s="443"/>
      <c r="J733" s="443"/>
      <c r="K733" s="443"/>
      <c r="L733" s="443"/>
      <c r="M733" s="443"/>
      <c r="N733" s="443"/>
      <c r="O733" s="443"/>
    </row>
    <row r="734" spans="1:19">
      <c r="A734" t="s">
        <v>2090</v>
      </c>
      <c r="B734" s="85"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Bldgs'!J78,"")&amp;IF(N(Workforce_80_AIT_Units)&gt;0,IF(COUNTIF('Units, Set-Asides, Bldgs'!F$79:F$83,"&gt;0")=1," and ",IF(COUNTIF('Units, Set-Asides, Bldgs'!F$79:F$83,"&gt;0")&gt;1,", ","")),"")&amp;IF(N(Workforce_90_AIT_Units)&gt;0,TEXT(N(Workforce_90_AIT_Units),"0")&amp;" "&amp;'Units, Set-Asides, Bldgs'!J79,"")&amp;IF(N(Workforce_90_AIT_Units)&gt;0,IF(COUNTIF('Units, Set-Asides, Bldgs'!F$80:F$83,"&gt;0")=1," and ",IF(COUNTIF('Units, Set-Asides, Bldgs'!F$80:F$83,"&gt;0")&gt;1,", ","")),"")&amp;IF(N(Workforce_100_AIT_Units)&gt;0,TEXT(N(Workforce_100_AIT_Units),"0")&amp;" "&amp;'Units, Set-Asides, Bldgs'!J80,"")&amp;IF(N(Workforce_100_AIT_Units)&gt;0,IF(COUNTIF('Units, Set-Asides, Bldgs'!F$81:F$83,"&gt;0")=1," and ",IF(COUNTIF('Units, Set-Asides, Bldgs'!F$81:F$83,"&gt;0")&gt;1,", ","")),"")&amp;IF(N(Workforce_110_AIT_Units)&gt;0,TEXT(N(Workforce_110_AIT_Units),"0")&amp;" "&amp;'Units, Set-Asides, Bldgs'!J81,"")&amp;IF(N(Workforce_110_AIT_Units)&gt;0,IF(COUNTIF('Units, Set-Asides, Bldgs'!F$82:F$83,"&gt;0")=1," and ",IF(COUNTIF('Units, Set-Asides, Bldgs'!F$82:F$83,"&gt;0")&gt;1,", ","")),"")&amp;IF(N(Workforce_120_AIT_Units)&gt;0,TEXT(N(Workforce_120_AIT_Units),"0")&amp;" "&amp;'Units, Set-Asides, Bldgs'!J82,"")&amp;IF(AND(N(Workforce_120_AIT_Units)&gt;0,N(Market_AIT_Units)&gt;0)," and ","")&amp;IF(N(Market_AIT_Units)&gt;0,TEXT(Market_AIT_Units,"0")&amp;" "&amp;'Units, Set-Asides, Bldgs'!J83,"")&amp;".","."))</f>
        <v/>
      </c>
      <c r="C734" s="85"/>
      <c r="D734" s="85"/>
      <c r="E734" s="85"/>
      <c r="F734" s="85"/>
      <c r="G734" s="85"/>
      <c r="H734" s="85"/>
      <c r="I734" s="85"/>
      <c r="J734" s="85"/>
      <c r="K734" s="85"/>
      <c r="L734" s="85"/>
      <c r="M734" s="85"/>
      <c r="N734" s="85"/>
      <c r="O734" s="85"/>
    </row>
    <row r="735" spans="1:19">
      <c r="A735" s="6" t="str">
        <f>"   Minimum IRS/"&amp;DS_Loan_Name&amp;" Set-Aside"</f>
        <v xml:space="preserve">   Minimum IRS/Loan Only Funding Set-Aside</v>
      </c>
      <c r="B735" s="680"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35" s="85"/>
      <c r="D735" s="85"/>
      <c r="E735" s="85"/>
      <c r="F735" s="85"/>
      <c r="G735" s="85"/>
      <c r="H735" s="85"/>
      <c r="I735" s="85"/>
      <c r="J735" s="85"/>
      <c r="K735" s="85"/>
      <c r="L735" s="85"/>
      <c r="M735" s="85"/>
      <c r="N735" s="85"/>
      <c r="O735" s="85"/>
    </row>
    <row r="736" spans="1:19">
      <c r="A736" s="6" t="s">
        <v>2091</v>
      </c>
      <c r="B736" s="65" t="str">
        <f>IF(2&lt;3,"",IF(OR(NonProfit_Applicant&lt;&gt;"Yes",AND(Total_Units=0,Total_AIT_Chart_Units=0)),""," The minimum IRS Safe-Harbor Set-Aside commitment for Non-Profit Applicants of "&amp;TEXT(Data1!B646,"0%")&amp;" ("&amp;TEXT(ROUNDUP(Data1!B646*Total_Units,0),"0")&amp;" units) may "&amp;IF(AND(AIT_HC_SA_Percent&gt;=Data1!B646,total_HC_units_AIT&gt;=ROUNDUP(40%*Total_Units,0))," be met.","not be met, but would be dependent upon tenant incomes.")))</f>
        <v/>
      </c>
      <c r="C736" s="85"/>
      <c r="D736" s="85"/>
      <c r="E736" s="85"/>
      <c r="F736" s="85"/>
      <c r="G736" s="85"/>
      <c r="H736" s="85"/>
      <c r="I736" s="85"/>
      <c r="J736" s="85"/>
      <c r="K736" s="85"/>
      <c r="L736" s="85"/>
      <c r="M736" s="85"/>
      <c r="N736" s="85"/>
      <c r="O736" s="85"/>
    </row>
    <row r="737" spans="1:45">
      <c r="A737" s="6" t="str">
        <f>"   Minimum &amp; Maximum Set-Asides for HC (if applicable)"&amp;IF('Units, Set-Asides, Bldgs'!P65=0," and Workforce",IF('Units, Set-Asides, Bldgs'!P65=2," and Live Local",IF('Units, Set-Asides, Bldgs'!P65=3," and Live Local SAIL"," NA here")))</f>
        <v xml:space="preserve">   Minimum &amp; Maximum Set-Asides for HC (if applicable) NA here</v>
      </c>
      <c r="B737" s="65" t="str">
        <f>IF(OR(Minimum_SetAside_per_Sec_42="&lt;select one&gt;",Minimum_SetAside_per_Sec_42=DS_IRS_2050,DS_IRS_4060,AND(Minimum_SetAside_per_Sec_42=DS_FHFC_NonHC,DS_FHFC_NonHC_Table&lt;&gt;"AIT"),AND(Total_Units=0,total_units_in_NonAIT_setaside_chart=0)),"",IF('Units, Set-Asides, Bldgs'!P65=1,"",IF(AND('Units, Set-Asides, Bldgs'!P65=2,IFERROR(FIND("Applicant",DS_Comment_LL_HC_SA_b),0)&gt;0),""," For "&amp;IF('Units, Set-Asides, Bldgs'!P65=0,"Workforce",IF(OR('Units, Set-Asides, Bldgs'!P65=2,AND('Units, Set-Asides, Bldgs'!P65=3,OR(RIGHT(Excel_RFA_Number,3)="214",RIGHT(Excel_RFA_Number,3)="215")),Minimum_SetAside_per_Sec_42=DS_FHFC_NonHC),"Live Local","Housing Credit"))&amp;" Developments, the minimum set-aside commitment "&amp;IF(B644="Yes","of HC units =&lt; 60% AMI ","")&amp;"of "&amp;TEXT(Data1!B642,"0%")&amp;" ("&amp;TEXT(ROUNDUP(Data1!B642*N(Total_Units),0),"0")&amp;" units) and the maximum set-aside commitment of "&amp;TEXT(Data1!B643,"0%")&amp;" ("&amp;TEXT(ROUNDUP(Data1!B643*N(Total_Units),0),"0")&amp;" units) is "&amp;IF(AND(J642&gt;=I642,J642&lt;=I643),"","NOT ")&amp;"met with a commitment of "&amp;TEXT(J642,"0")&amp;" units.")))</f>
        <v/>
      </c>
      <c r="C737" s="85"/>
      <c r="D737" s="85"/>
      <c r="E737" s="85"/>
      <c r="F737" s="85"/>
      <c r="G737" s="85"/>
      <c r="H737" s="85"/>
      <c r="I737" s="85"/>
      <c r="J737" s="85"/>
      <c r="K737" s="85"/>
      <c r="L737" s="85"/>
      <c r="M737" s="85"/>
      <c r="N737" s="85"/>
      <c r="O737" s="85"/>
    </row>
    <row r="738" spans="1:45">
      <c r="A738" s="6" t="s">
        <v>2092</v>
      </c>
      <c r="B738" s="65"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"&amp;TEXT(Data1!B645,"0%")&amp;" is "&amp;IF(AIT_HC_SA_Percent&gt;=Data1!B645,"","NOT ")&amp;"met.",""))</f>
        <v/>
      </c>
      <c r="C738" s="85"/>
      <c r="D738" s="85"/>
      <c r="E738" s="85"/>
      <c r="F738" s="85"/>
      <c r="G738" s="85"/>
      <c r="H738" s="85"/>
      <c r="I738" s="85"/>
      <c r="J738" s="85"/>
      <c r="K738" s="85"/>
      <c r="L738" s="85"/>
      <c r="M738" s="85"/>
      <c r="N738" s="85"/>
      <c r="O738" s="85"/>
    </row>
    <row r="739" spans="1:45">
      <c r="A739" s="6" t="str">
        <f>"   Minimum FHFC Set-Aside in RFA (using total Qualifying Units, not just &lt;="&amp;TEXT(IF(DS_Gap_AMI_Auto_YN="Yes",DS_Gap_AMI_Auto,DS_Gap_AMI_Max),"0%")&amp;") 1st"</f>
        <v xml:space="preserve">   Minimum FHFC Set-Aside in RFA (using total Qualifying Units, not just &lt;=60%) 1st</v>
      </c>
      <c r="B739" s="65" t="str">
        <f>IF(OR(Minimum_SetAside_per_Sec_42="&lt;select one&gt;",Minimum_SetAside_per_Sec_42=DS_IRS_2050,DS_IRS_4060,AND(Minimum_SetAside_per_Sec_42=DS_FHFC_NonHC,DS_FHFC_NonHC_Table&lt;&gt;"AIT"),AND(Total_Units=0,total_units_in_NonAIT_setaside_chart=0)),"",IF(AND(C$636="Yes",C$637="Yes",OR(Demographic="Family",Demographic="Elderly Non-ALF"),OR(NonProfit_Applicant="No",NonProfit_Applicant="&lt;select one&gt;"),AND(total_HC_units_AIT&gt;=Data1!B$637,'Units, Set-Asides, Bldgs'!N68&lt;&gt;0)),"The Development qualifies for the minimum FHFC RFA overall set-aside commitment of at least "&amp;TEXT(Data1!B$637,"0")&amp;" Set-Aside Units for a for profit Applicant with a Demographic Commitment of "&amp;Demographic&amp;".",IF(C$636="Yes"," The minimum FHFC RFA overall set-aside commitment of "&amp;TEXT(DS_HC_Min_SA_Perc,"0%")&amp;" ("&amp;TEXT(ROUNDUP(DS_HC_Min_SA_Perc*N(Total_Units),0),"0")&amp;" units) is"&amp;IF(total_HC_units_AIT+SUMPRODUCT('Units, Set-Asides, Bldgs'!F78:F82,'Units, Set-Asides, Bldgs'!O78:O82)&gt;=DS_HC_Min_SA_Perc*Total_Units," met",IF(C$637&lt;&gt;"Yes","",IF(AND(C$637="Yes",OR(Demographic="Family",Demographic="Elderly Non-ALF"),OR(NonProfit_Applicant="No",NonProfit_Applicant="&lt;select one&gt;"),AND(total_HC_units_AIT&gt;=Data1!B$637,'Units, Set-Asides, Bldgs'!N68&lt;&gt;0)),"."," and it does NOT qualify for minimum FHFC RFA overall set-aside commitment of at least "&amp;TEXT(Data1!B$637,"0")&amp;"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"&amp;TEXT(total_HC_units_AIT+SUMPRODUCT('Units, Set-Asides, Bldgs'!F78:F82,'Units, Set-Asides, Bldgs'!O78:O82),"0")&amp;" units.","")))</f>
        <v/>
      </c>
      <c r="C739" s="85"/>
      <c r="D739" s="85"/>
      <c r="E739" s="85"/>
      <c r="F739" s="85"/>
      <c r="G739" s="85"/>
      <c r="H739" s="85"/>
      <c r="I739" s="85"/>
      <c r="J739" s="85"/>
      <c r="K739" s="85"/>
      <c r="L739" s="85"/>
      <c r="M739" s="85"/>
      <c r="N739" s="85"/>
      <c r="O739" s="85"/>
    </row>
    <row r="740" spans="1:45">
      <c r="A740" s="6" t="str">
        <f>"   Minimum FHFC Set-Aside in RFA (using total Qualifying Units, not just &lt;="&amp;TEXT(IF(DS_Gap_AMI_Auto_YN="Yes",DS_Gap_AMI_Auto,DS_Gap_AMI_Max),"0%")&amp;") 2nd"</f>
        <v xml:space="preserve">   Minimum FHFC Set-Aside in RFA (using total Qualifying Units, not just &lt;=60%) 2nd</v>
      </c>
      <c r="B740" s="65" t="str">
        <f>IF(AIT_HC_SA_Percent+IF('Units, Set-Asides, Bldgs'!P65=1,0,IF('Units, Set-Asides, Bldgs'!O78=0,0,'Units, Set-Asides, Bldgs'!G78)+IF('Units, Set-Asides, Bldgs'!O79=0,0,'Units, Set-Asides, Bldgs'!G79)+IF('Units, Set-Asides, Bldgs'!O80=0,0,'Units, Set-Asides, Bldgs'!G80)+IF('Units, Set-Asides, Bldgs'!O81=0,0,'Units, Set-Asides, Bldgs'!G81)+IF('Units, Set-Asides, Bldgs'!O82=0,0,'Units, Set-Asides, Bldgs'!G82))&lt;DS_HC_Min_SA_Perc,IF('Units, Set-Asides, Bldgs'!N47=0,"",IF(DS_FHFC_NonHC_Table="AIT",IF(SUMIF('Units, Set-Asides, Bldgs'!I$71:I$82,"&lt;="&amp;IF(DS_Gap_AMI_Auto_YN="Yes",DS_Gap_AMI_Auto,DS_Gap_AMI_Max),'Units, Set-Asides, Bldgs'!G$71:G$82)&gt;=DS_HC_Min_SA_Perc," However"," In addition"),IF(SUMIF('Units, Set-Asides, Bldgs'!I$50:I$63,"&lt;="&amp;IF(DS_Gap_AMI_Auto_YN="Yes",DS_Gap_AMI_Auto,DS_Gap_AMI_Max),'Units, Set-Asides, Bldgs'!G$50:G$63)&gt;=DS_HC_Min_SA_Perc," However"," In addition"))&amp;", the FHFC Gap Loan Set-Aside table shows the minimum FHFC RFA overall set-aside commitment is"&amp;IF(DS_FHFC_NonHC_Table="AIT",IF(SUMIF('Units, Set-Asides, Bldgs'!I$71:I$82,"&lt;="&amp;IF(DS_Gap_AMI_Auto_YN="Yes",DS_Gap_AMI_Auto,DS_Gap_AMI_Max),'Units, Set-Asides, Bldgs'!G$71:G$82)&gt;=DS_HC_Min_SA_Perc,""," NOT"),IF(SUMIF('Units, Set-Asides, Bldgs'!I$50:I$63,"&lt;="&amp;IF(DS_Gap_AMI_Auto_YN="Yes",DS_Gap_AMI_Auto,DS_Gap_AMI_Max),'Units, Set-Asides, Bldgs'!G$50:G$63)&gt;=DS_HC_Min_SA_Perc,""," NOT"))&amp;" met with a FHFC Gap Loan commitment of "&amp;TEXT(IF(DS_FHFC_NonHC_Table="AIT",SUMIF('Units, Set-Asides, Bldgs'!I$71:I$82,"&lt;="&amp;IF(DS_Gap_AMI_Auto_YN="Yes",DS_Gap_AMI_Auto,DS_Gap_AMI_Max),'Units, Set-Asides, Bldgs'!G$71:G$82),SUMIF('Units, Set-Asides, Bldgs'!I$50:I$63,"&lt;="&amp;IF(DS_Gap_AMI_Auto_YN="Yes",DS_Gap_AMI_Auto,DS_Gap_AMI_Max),'Units, Set-Asides, Bldgs'!G$50:G$63)),"0%")&amp;"."),"")</f>
        <v xml:space="preserve"> In addition, the FHFC Gap Loan Set-Aside table shows the minimum FHFC RFA overall set-aside commitment is NOT met with a FHFC Gap Loan commitment of 0%.</v>
      </c>
      <c r="C740" s="85"/>
      <c r="D740" s="85"/>
      <c r="E740" s="85"/>
      <c r="F740" s="85"/>
      <c r="G740" s="85"/>
      <c r="H740" s="85"/>
      <c r="I740" s="85"/>
      <c r="J740" s="85"/>
      <c r="K740" s="85"/>
      <c r="L740" s="85"/>
      <c r="M740" s="85"/>
      <c r="N740" s="85"/>
      <c r="O740" s="85"/>
    </row>
    <row r="741" spans="1:45">
      <c r="A741" s="6" t="s">
        <v>2093</v>
      </c>
      <c r="B741" s="65" t="str">
        <f>IF(OR(Minimum_SetAside_per_Sec_42="&lt;select one&gt;",Minimum_SetAside_per_Sec_42=DS_IRS_2050,DS_IRS_4060,AND(Minimum_SetAside_per_Sec_42=DS_FHFC_NonHC,DS_FHFC_NonHC_Table&lt;&gt;"AIT"),AND(Total_Units=0,total_units_in_NonAIT_setaside_chart=0)),"",IF(IF(AND('General Information'!K73&gt;0,Self_Sourced_Applicant="Yes"),DS_Min_ELI_AIT_HC_SS+IF(DS_SS_ELI_Purchase="Yes",DS_Min_ELI_AIT_HC_Buy_SS,0),MAX(IF(LDA_Notice="LDA",DS_Min_ELI_LDA,0),DS_Min_ELI_AIT_HC_NSS+IF(DS_NSS_HC_ELI_Purchase="Yes",DS_Min_ELI_AIT_HC_Buy_NSS,0)))&gt;0,"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Information'!K73&gt;0,Self_Sourced_Applicant="Yes"),DS_Min_ELI_AIT_HC_SS+IF(DS_SS_ELI_Purchase="Yes",DS_Min_ELI_AIT_HC_Buy_SS,0),DS_Min_ELI_AIT_HC_NSS+IF(DS_NSS_HC_ELI_Purchase="Yes",DS_Min_ELI_AIT_HC_Buy_NSS,0))),"0%")&amp;" ("&amp;TEXT(ROUNDUP(IF(LDA_Notice="LDA",DS_Min_ELI_LDA,IF(AND('General Information'!K73&gt;0,Self_Sourced_Applicant="Yes"),DS_Min_ELI_AIT_HC_SS+IF(DS_SS_ELI_Purchase="Yes",DS_Min_ELI_AIT_HC_Buy_SS,0),DS_Min_ELI_AIT_HC_NSS+IF(DS_NSS_HC_ELI_Purchase="Yes",DS_Min_ELI_AIT_HC_Buy_NSS,0)))*Total_Units,0),"0")&amp;" units) is "&amp;IF(OR(ROUND(IF(LDA_Notice="LDA",DS_Min_ELI_LDA,IF(AND('General Information'!K73&gt;0,Self_Sourced_Applicant="Yes"),DS_Min_ELI_AIT_HC_SS+IF(DS_SS_ELI_Purchase="Yes",DS_Min_ELI_AIT_HC_Buy_SS,0),DS_Min_ELI_AIT_HC_NSS+IF(DS_NSS_HC_ELI_Purchase="Yes",DS_Min_ELI_AIT_HC_Buy_NSS,0)))*Total_Units,0)&lt;=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twenty_AMI_AIT_Units+thirty_AMI_AIT_Units,IF(OR(DS_ELI_UnitLimit&lt;&gt;"Yes",DS_ELI_UnitLimit_Exception_Goal_Met="MEETS"),FALSE,DS_Act_Num_ELI_AIT&gt;=DS_ELI_UnitLimit_Units)),"","NOT ")&amp;"met with an ELI commitment of "&amp;TEXT(twenty_AMI_AIT_Units+thirty_AMI_AIT_Units,"0")&amp;" units.",""))</f>
        <v/>
      </c>
      <c r="C741" s="85"/>
      <c r="D741" s="85"/>
      <c r="E741" s="85"/>
      <c r="F741" s="85"/>
      <c r="G741" s="85"/>
      <c r="H741" s="85"/>
      <c r="I741" s="85"/>
      <c r="J741" s="85"/>
      <c r="K741" s="85"/>
      <c r="L741" s="85"/>
      <c r="M741" s="85"/>
      <c r="N741" s="85"/>
      <c r="O741" s="85"/>
    </row>
    <row r="742" spans="1:45">
      <c r="A742" s="6" t="s">
        <v>2195</v>
      </c>
      <c r="B742" s="65"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M38:M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42" s="85"/>
      <c r="D742" s="85"/>
      <c r="E742" s="85"/>
      <c r="F742" s="85"/>
      <c r="G742" s="85"/>
      <c r="H742" s="85"/>
      <c r="I742" s="85"/>
      <c r="J742" s="85"/>
      <c r="K742" s="85"/>
      <c r="L742" s="85"/>
      <c r="M742" s="85"/>
      <c r="N742" s="85"/>
      <c r="O742" s="85"/>
    </row>
    <row r="743" spans="1:45">
      <c r="A743" s="6" t="s">
        <v>2094</v>
      </c>
      <c r="B743" s="65" t="str">
        <f>IF(OR(Minimum_SetAside_per_Sec_42="&lt;select one&gt;",Minimum_SetAside_per_Sec_42=DS_IRS_2050,DS_IRS_4060,AND(Minimum_SetAside_per_Sec_42=DS_FHFC_NonHC,DS_FHFC_NonHC_Table&lt;&gt;"AIT"),AND(Total_Units=0,total_units_in_NonAIT_setaside_chart=0)),"",IF(IF(AND(AND('General Information'!K73&gt;0,Self_Sourced_Applicant="Yes"),$C$708="Yes"),DS_Min_50_NoHC_AIT,0)&gt;0," The minimum FHFC commitment for units below 50% AMI of "&amp;TEXT(IF(AND(AND('General Information'!K73&gt;0,Self_Sourced_Applicant="Yes"),$C$708="Yes"),DS_Min_50_NoHC_AIT,0),"0%")&amp;" is "&amp;IF(SUM('Units, Set-Asides, Bldgs'!$G$71:$G$73)&gt;=DS_Min_50_NoHC_AIT,"","NOT ")&amp;"met with a commitment of "&amp;TEXT(SUM('Units, Set-Asides, Bldgs'!$G$71:$G$73),"0%")&amp;".",""))</f>
        <v/>
      </c>
      <c r="C743" s="85"/>
      <c r="D743" s="85"/>
      <c r="E743" s="85"/>
      <c r="F743" s="85"/>
      <c r="G743" s="85"/>
      <c r="H743" s="313"/>
      <c r="I743" s="313"/>
      <c r="J743" s="313"/>
      <c r="K743" s="313"/>
      <c r="L743" s="313"/>
      <c r="M743" s="313"/>
      <c r="N743" s="313"/>
      <c r="O743" s="313"/>
    </row>
    <row r="744" spans="1:45" ht="80.25" customHeight="1">
      <c r="A744" s="3093"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B744" s="3094"/>
      <c r="C744" s="3094"/>
      <c r="D744" s="3094"/>
      <c r="E744" s="3094"/>
      <c r="F744" s="3094"/>
      <c r="G744" s="3095"/>
    </row>
    <row r="746" spans="1:45" ht="18" customHeight="1">
      <c r="A746" s="531" t="s">
        <v>509</v>
      </c>
      <c r="B746" s="6"/>
      <c r="C746" s="6"/>
      <c r="D746" s="6"/>
      <c r="E746" s="483" t="s">
        <v>510</v>
      </c>
      <c r="G746" s="5" t="s">
        <v>511</v>
      </c>
      <c r="V746" s="111" t="s">
        <v>475</v>
      </c>
      <c r="W746" s="5" t="s">
        <v>512</v>
      </c>
      <c r="AF746" s="5" t="s">
        <v>2442</v>
      </c>
    </row>
    <row r="747" spans="1:45">
      <c r="A747" s="272" t="s">
        <v>2437</v>
      </c>
      <c r="B747" s="834">
        <v>0.4</v>
      </c>
      <c r="C747" s="272" t="s">
        <v>513</v>
      </c>
      <c r="D747" s="272"/>
      <c r="E747" s="272"/>
      <c r="F747" s="922">
        <f>SUM('Units, Set-Asides, Bldgs'!H105:H106)</f>
        <v>0</v>
      </c>
      <c r="G747" s="59" t="str">
        <f>IF(OR(AND(F747=0,'Units, Set-Asides, Bldgs'!$H$123=0),ROUNDUP(Total_Units*Data1!$B747,0)&lt;='Units, Set-Asides, Bldgs'!$H$105+'Units, Set-Asides, Bldgs'!$H$106),"","The minimum 0 and 1 bedroom units is "&amp;TEXT(Data1!$B747,"0%")&amp;" of the "&amp;TEXT(Total_Units,"0")&amp;" total units (or "&amp;TEXT(ROUNDUP(Total_Units*Data1!$B747,0),"0")&amp;" units) and the combined "&amp;TEXT('Units, Set-Asides, Bldgs'!$H$105+'Units, Set-Asides, Bldgs'!$H$106,"0")&amp;" units entered is "&amp;IF(ROUNDUP(Total_Units*Data1!$B747,0)&gt;'Units, Set-Asides, Bldgs'!$H$105+'Units, Set-Asides, Bldgs'!$H$106,"NOT ","")&amp;"meeting the requirement.")</f>
        <v/>
      </c>
      <c r="H747" s="365"/>
      <c r="I747" s="365"/>
      <c r="J747" s="365"/>
      <c r="K747" s="365"/>
      <c r="L747" s="365"/>
      <c r="M747" s="365"/>
      <c r="N747" s="365"/>
      <c r="O747" s="365"/>
      <c r="P747" s="365"/>
      <c r="Q747" s="365"/>
      <c r="R747" s="365"/>
      <c r="S747" s="376" t="str">
        <f>IF(AND(OR(Demographic="Elderly Non-ALF",Demographic="Elderly (Elderly Transformative Preservation)"),OR(Development_Category="Rehabilitation",Development_Category="Acquisition and Rehabilitation")),IF(SUM('Units, Set-Asides, Bldgs'!H$105:H$106)&gt;=ROUNDUP(Total_Units*B747,0),"Yes","No"),"NA")</f>
        <v>NA</v>
      </c>
      <c r="T747" s="59" t="s">
        <v>514</v>
      </c>
      <c r="U747" s="59"/>
      <c r="V747" s="59"/>
      <c r="W747" s="59"/>
      <c r="X747" s="59"/>
      <c r="Y747" s="59"/>
      <c r="Z747" s="59"/>
      <c r="AA747" s="59"/>
      <c r="AB747" s="59"/>
      <c r="AC747" s="395" t="str">
        <f>IF(S747="No",T747&amp;" ","")&amp;IF(S748="No",T748&amp;" ","")&amp;IF(S$767="No",T$767,"")</f>
        <v/>
      </c>
      <c r="AD747" s="395"/>
      <c r="AE747" s="395"/>
      <c r="AF747" s="395"/>
      <c r="AG747" s="395"/>
      <c r="AH747" s="395"/>
      <c r="AI747" s="395"/>
      <c r="AJ747" s="395"/>
      <c r="AK747" s="395"/>
      <c r="AL747" s="395"/>
      <c r="AM747" s="395"/>
      <c r="AN747" s="395"/>
      <c r="AO747" s="395"/>
      <c r="AP747" s="395"/>
      <c r="AQ747" s="395"/>
      <c r="AR747" s="395"/>
      <c r="AS747" s="395"/>
    </row>
    <row r="748" spans="1:45">
      <c r="A748" s="386" t="s">
        <v>2438</v>
      </c>
      <c r="B748" s="2289">
        <v>0.2</v>
      </c>
      <c r="C748" s="386" t="s">
        <v>513</v>
      </c>
      <c r="D748" s="386"/>
      <c r="E748" s="386"/>
      <c r="F748" s="923">
        <f>SUM('Units, Set-Asides, Bldgs'!H110:H121)</f>
        <v>0</v>
      </c>
      <c r="G748" s="383" t="str">
        <f>IF(OR(F748=0,ROUNDUP(Total_Units*Data1!$B748,0)&gt;=SUM('Units, Set-Asides, Bldgs'!$H$110:$H$121)),"","The maximum number of units in excess of 2 bedrooms is "&amp;TEXT(Data1!$B748,"0%")&amp;" of the "&amp;TEXT(Total_Units,"0")&amp;" total units (or "&amp;TEXT(ROUNDUP(Total_Units*Data1!$B748,0),"0")&amp;" units) and the combined "&amp;TEXT(SUM('Units, Set-Asides, Bldgs'!$H$110:$H$121),"0")&amp;" entered is "&amp;IF(ROUNDUP(Total_Units*Data1!$B748,0)&lt;SUM('Units, Set-Asides, Bldgs'!$H$110:$H$121),"NOT ","")&amp;"meeting the requirement.")</f>
        <v/>
      </c>
      <c r="H748" s="366"/>
      <c r="I748" s="366"/>
      <c r="J748" s="366"/>
      <c r="K748" s="366"/>
      <c r="L748" s="366"/>
      <c r="M748" s="366"/>
      <c r="N748" s="366"/>
      <c r="O748" s="366"/>
      <c r="P748" s="366"/>
      <c r="Q748" s="366"/>
      <c r="R748" s="366"/>
      <c r="S748" s="378" t="str">
        <f>IF(AND(OR(Demographic="Elderly Non-ALF",Demographic="Elderly (Elderly Transformative Preservation)"),OR(Development_Category="Rehabilitation",Development_Category="Acquisition and Rehabilitation")),IF(SUM('Units, Set-Asides, Bldgs'!H$110:H$121)&lt;=ROUNDUP(Total_Units*B748,0),"Yes","No"),"NA")</f>
        <v>NA</v>
      </c>
      <c r="T748" s="383" t="s">
        <v>515</v>
      </c>
      <c r="U748" s="383"/>
      <c r="V748" s="383"/>
      <c r="W748" s="383"/>
      <c r="X748" s="383"/>
      <c r="Y748" s="383"/>
      <c r="Z748" s="383"/>
      <c r="AA748" s="383"/>
      <c r="AB748" s="383"/>
      <c r="AC748" s="952"/>
      <c r="AD748" s="952"/>
      <c r="AE748" s="952"/>
      <c r="AF748" s="952"/>
      <c r="AG748" s="952"/>
      <c r="AH748" s="952"/>
      <c r="AI748" s="952"/>
      <c r="AJ748" s="952"/>
      <c r="AK748" s="952"/>
      <c r="AL748" s="952"/>
      <c r="AM748" s="952"/>
      <c r="AN748" s="952"/>
      <c r="AO748" s="952"/>
      <c r="AP748" s="952"/>
      <c r="AQ748" s="952"/>
      <c r="AR748" s="952"/>
      <c r="AS748" s="952"/>
    </row>
    <row r="749" spans="1:45">
      <c r="A749" s="272" t="s">
        <v>2439</v>
      </c>
      <c r="B749" s="834">
        <v>0.5</v>
      </c>
      <c r="C749" s="272" t="s">
        <v>516</v>
      </c>
      <c r="D749" s="272"/>
      <c r="E749" s="272"/>
      <c r="F749" s="922">
        <f>SUM('Units, Set-Asides, Bldgs'!H105:H106)</f>
        <v>0</v>
      </c>
      <c r="G749" s="59" t="str">
        <f>IF(OR(AND(F749=0,'Units, Set-Asides, Bldgs'!H123=0),ROUNDUP(Total_Units*Data1!$B749,0)&lt;='Units, Set-Asides, Bldgs'!$H$105+'Units, Set-Asides, Bldgs'!$H$106),"","The minimum 0 and 1 bedroom units is "&amp;TEXT(Data1!$B749,"0%")&amp;" of the "&amp;TEXT(Total_Units,"0")&amp;" total units (or "&amp;TEXT(ROUNDUP(Total_Units*Data1!$B749,0),"0")&amp;" units) and the combined "&amp;TEXT('Units, Set-Asides, Bldgs'!$H$105+'Units, Set-Asides, Bldgs'!$H$106,"0")&amp;" units entered is "&amp;IF(ROUNDUP(Total_Units*Data1!$B749,0)&gt;'Units, Set-Asides, Bldgs'!$H$105+'Units, Set-Asides, Bldgs'!$H$106,"NOT ","")&amp;"meeting the requirement.")</f>
        <v/>
      </c>
      <c r="H749" s="365"/>
      <c r="I749" s="365"/>
      <c r="J749" s="365"/>
      <c r="K749" s="365"/>
      <c r="L749" s="365"/>
      <c r="M749" s="365"/>
      <c r="N749" s="365"/>
      <c r="O749" s="365"/>
      <c r="P749" s="365"/>
      <c r="Q749" s="365"/>
      <c r="R749" s="365"/>
      <c r="S749" s="376" t="str">
        <f>IF(AND(OR(Demographic="Elderly Non-ALF",Demographic="Elderly (Elderly Transformative Preservation)"),Development_Category="New Construction"),IF(SUM('Units, Set-Asides, Bldgs'!H$105:H$106)&gt;=ROUNDUP(Total_Units*B749,0),"Yes","No"),"NA")</f>
        <v>NA</v>
      </c>
      <c r="T749" s="59" t="s">
        <v>514</v>
      </c>
      <c r="U749" s="59"/>
      <c r="V749" s="59"/>
      <c r="W749" s="59"/>
      <c r="X749" s="59"/>
      <c r="Y749" s="59"/>
      <c r="Z749" s="59"/>
      <c r="AA749" s="59"/>
      <c r="AB749" s="59"/>
      <c r="AC749" s="396" t="str">
        <f>IF(S749="No",T749&amp;" ","")&amp;IF(S750="No",T750&amp;" ","")&amp;IF(S$767="No",T$767,"")</f>
        <v/>
      </c>
      <c r="AD749" s="396"/>
      <c r="AE749" s="396"/>
      <c r="AF749" s="396"/>
      <c r="AG749" s="396"/>
      <c r="AH749" s="396"/>
      <c r="AI749" s="396"/>
      <c r="AJ749" s="396"/>
      <c r="AK749" s="396"/>
      <c r="AL749" s="396"/>
      <c r="AM749" s="396"/>
      <c r="AN749" s="396"/>
      <c r="AO749" s="396"/>
      <c r="AP749" s="396"/>
      <c r="AQ749" s="396"/>
      <c r="AR749" s="396"/>
      <c r="AS749" s="396"/>
    </row>
    <row r="750" spans="1:45">
      <c r="A750" s="387" t="s">
        <v>2440</v>
      </c>
      <c r="B750" s="290">
        <v>0.15</v>
      </c>
      <c r="C750" s="387" t="s">
        <v>516</v>
      </c>
      <c r="D750" s="387"/>
      <c r="E750" s="387"/>
      <c r="F750" s="924">
        <f>SUM('Units, Set-Asides, Bldgs'!H110:H121)</f>
        <v>0</v>
      </c>
      <c r="G750" s="384" t="str">
        <f>IF(OR(F750=0,ROUNDUP(Total_Units*Data1!$B750,0)&gt;=SUM('Units, Set-Asides, Bldgs'!$H$110:$H$121)),"","The maximum number of units in excess of 2 bedrooms is "&amp;TEXT(Data1!$B750,"0%")&amp;" of the "&amp;TEXT(Total_Units,"0")&amp;" total units (or "&amp;TEXT(ROUNDUP(Total_Units*Data1!$B750,0),"0")&amp;" units) and the combined "&amp;TEXT(SUM('Units, Set-Asides, Bldgs'!$H$110:$H$121),"0")&amp;" entered is "&amp;IF(ROUNDUP(Total_Units*Data1!$B750,0)&lt;SUM('Units, Set-Asides, Bldgs'!$H$110:$H$121),"NOT ","")&amp;"meeting the requirement.")</f>
        <v/>
      </c>
      <c r="H750" s="367"/>
      <c r="I750" s="367"/>
      <c r="J750" s="367"/>
      <c r="K750" s="367"/>
      <c r="L750" s="367"/>
      <c r="M750" s="367"/>
      <c r="N750" s="367"/>
      <c r="O750" s="367"/>
      <c r="P750" s="367"/>
      <c r="Q750" s="367"/>
      <c r="R750" s="367"/>
      <c r="S750" s="392" t="str">
        <f>IF(AND(OR(Demographic="Elderly Non-ALF",Demographic="Elderly (Elderly Transformative Preservation)"),Development_Category="New Construction"),IF(SUM('Units, Set-Asides, Bldgs'!H$110:H$121)&lt;=ROUNDUP(Total_Units*B750,0),"Yes","No"),"NA")</f>
        <v>NA</v>
      </c>
      <c r="T750" s="384" t="s">
        <v>515</v>
      </c>
      <c r="U750" s="384"/>
      <c r="V750" s="384"/>
      <c r="W750" s="384"/>
      <c r="X750" s="384"/>
      <c r="Y750" s="384"/>
      <c r="Z750" s="384"/>
      <c r="AA750" s="384"/>
      <c r="AB750" s="384"/>
      <c r="AC750" s="952"/>
      <c r="AD750" s="952"/>
      <c r="AE750" s="952"/>
      <c r="AF750" s="952"/>
      <c r="AG750" s="952"/>
      <c r="AH750" s="952"/>
      <c r="AI750" s="952"/>
      <c r="AJ750" s="952"/>
      <c r="AK750" s="952"/>
      <c r="AL750" s="952"/>
      <c r="AM750" s="952"/>
      <c r="AN750" s="952"/>
      <c r="AO750" s="952"/>
      <c r="AP750" s="952"/>
      <c r="AQ750" s="952"/>
      <c r="AR750" s="952"/>
      <c r="AS750" s="952"/>
    </row>
    <row r="751" spans="1:45">
      <c r="A751" s="388" t="s">
        <v>517</v>
      </c>
      <c r="B751" s="291">
        <v>0.9</v>
      </c>
      <c r="C751" s="388"/>
      <c r="D751" s="388"/>
      <c r="E751" s="388"/>
      <c r="F751" s="925">
        <f>SUM('Units, Set-Asides, Bldgs'!H105:H106)</f>
        <v>0</v>
      </c>
      <c r="G751" s="385" t="str">
        <f>IF(OR(AND(F751=0,'Units, Set-Asides, Bldgs'!H123=0),ROUNDUP(Total_Units*Data1!$B751,0)&lt;='Units, Set-Asides, Bldgs'!$H$105+'Units, Set-Asides, Bldgs'!$H$106),"","The minimum 0 and 1 bedroom units is "&amp;TEXT(Data1!$B751,"0%")&amp;" of the "&amp;TEXT(Total_Units,"0")&amp;" total units (or "&amp;TEXT(ROUNDUP(Total_Units*Data1!$B751,0),"0")&amp;" units) and the combined "&amp;TEXT('Units, Set-Asides, Bldgs'!$H$105+'Units, Set-Asides, Bldgs'!$H$106,"0")&amp;" units entered is "&amp;IF(ROUNDUP(Total_Units*Data1!$B751,0)&gt;'Units, Set-Asides, Bldgs'!$H$105+'Units, Set-Asides, Bldgs'!$H$106,"NOT ","")&amp;"meeting the requirement.")</f>
        <v/>
      </c>
      <c r="H751" s="313"/>
      <c r="I751" s="313"/>
      <c r="J751" s="313"/>
      <c r="K751" s="313"/>
      <c r="L751" s="313"/>
      <c r="M751" s="313"/>
      <c r="N751" s="313"/>
      <c r="O751" s="313"/>
      <c r="P751" s="313"/>
      <c r="Q751" s="313"/>
      <c r="R751" s="313"/>
      <c r="S751" s="393" t="str">
        <f>IF(AND(Demographic="Elderly ALF",Development_Category&lt;&gt;"&lt;select one&gt;"),IF(SUM('Units, Set-Asides, Bldgs'!H$105:H$106)&gt;=ROUNDUP(Total_Units*B751,0),"Yes","No"),"NA")</f>
        <v>NA</v>
      </c>
      <c r="T751" s="385" t="s">
        <v>514</v>
      </c>
      <c r="U751" s="385"/>
      <c r="V751" s="385"/>
      <c r="W751" s="385"/>
      <c r="X751" s="385"/>
      <c r="Y751" s="385"/>
      <c r="Z751" s="385"/>
      <c r="AA751" s="385"/>
      <c r="AB751" s="385"/>
      <c r="AC751" s="397" t="str">
        <f>IF(S751="No",T751&amp;" ","")&amp;IF(S$767="No",T$767,"")</f>
        <v/>
      </c>
      <c r="AD751" s="397"/>
      <c r="AE751" s="397"/>
      <c r="AF751" s="397"/>
      <c r="AG751" s="397"/>
      <c r="AH751" s="397"/>
      <c r="AI751" s="397"/>
      <c r="AJ751" s="397"/>
      <c r="AK751" s="397"/>
      <c r="AL751" s="397"/>
      <c r="AM751" s="397"/>
      <c r="AN751" s="397"/>
      <c r="AO751" s="397"/>
      <c r="AP751" s="397"/>
      <c r="AQ751" s="397"/>
      <c r="AR751" s="397"/>
      <c r="AS751" s="397"/>
    </row>
    <row r="752" spans="1:45">
      <c r="A752" s="2364" t="s">
        <v>2097</v>
      </c>
      <c r="B752" s="2365">
        <v>0.25</v>
      </c>
      <c r="C752" s="2364" t="s">
        <v>516</v>
      </c>
      <c r="D752" s="2364"/>
      <c r="E752" s="2364"/>
      <c r="F752" s="2366">
        <f>Zero_Bed_One_Bath_Total_Units</f>
        <v>0</v>
      </c>
      <c r="G752" s="65" t="str">
        <f>IF(OR(F752=0,ROUNDUP(Total_Units*Data1!$B752,0)&gt;='Units, Set-Asides, Bldgs'!$H$105),IF(G753&lt;&gt;"","","This area intentionally left blank."),"The maximum 0-bedroom units is "&amp;TEXT(Data1!$B752,"0%")&amp;" of the "&amp;TEXT(Total_Units,"0")&amp;" total units (or "&amp;TEXT(ROUNDUP(Total_Units*Data1!$B752,0),"0")&amp;" units) and the "&amp;TEXT('Units, Set-Asides, Bldgs'!$H$105,"0")&amp;" units entered is "&amp;IF(ROUNDUP(Total_Units*Data1!$B752,0)&lt;'Units, Set-Asides, Bldgs'!$H$105,"NOT ","")&amp;"meeting the requirement.")</f>
        <v>This area intentionally left blank.</v>
      </c>
      <c r="H752" s="85"/>
      <c r="I752" s="85"/>
      <c r="J752" s="85"/>
      <c r="K752" s="85"/>
      <c r="L752" s="85"/>
      <c r="M752" s="85"/>
      <c r="N752" s="85"/>
      <c r="O752" s="85"/>
      <c r="P752" s="85"/>
      <c r="Q752" s="85"/>
      <c r="R752" s="85"/>
      <c r="S752" s="823" t="str">
        <f>IF(AND(OR(Demographic="Family",Demographic="Workforce"),Development_Category="New Construction"),IF('Units, Set-Asides, Bldgs'!H$105&lt;=ROUNDUP(Total_Units*B752,0),"Yes","No"),"NA")</f>
        <v>NA</v>
      </c>
      <c r="T752" s="65" t="s">
        <v>518</v>
      </c>
      <c r="U752" s="65"/>
      <c r="V752" s="65"/>
      <c r="W752" s="65"/>
      <c r="X752" s="65"/>
      <c r="Y752" s="65"/>
      <c r="Z752" s="65"/>
      <c r="AA752" s="65"/>
      <c r="AB752" s="65"/>
      <c r="AC752" s="2367" t="str">
        <f>IF(S752="No",T752&amp;" ","")&amp;IF(S$767="No",T$767,"")</f>
        <v/>
      </c>
      <c r="AD752" s="2367"/>
      <c r="AE752" s="2367"/>
      <c r="AF752" s="2367"/>
      <c r="AG752" s="2367"/>
      <c r="AH752" s="2367"/>
      <c r="AI752" s="2367"/>
      <c r="AJ752" s="2367"/>
      <c r="AK752" s="2367"/>
      <c r="AL752" s="2367"/>
      <c r="AM752" s="2367"/>
      <c r="AN752" s="2367"/>
      <c r="AO752" s="2367"/>
      <c r="AP752" s="2367"/>
      <c r="AQ752" s="2367"/>
      <c r="AR752" s="2367"/>
      <c r="AS752" s="2367"/>
    </row>
    <row r="753" spans="1:45">
      <c r="A753" s="2364" t="s">
        <v>2986</v>
      </c>
      <c r="B753" s="2365">
        <v>0.1</v>
      </c>
      <c r="C753" s="2364" t="s">
        <v>516</v>
      </c>
      <c r="D753" s="2364"/>
      <c r="E753" s="2364"/>
      <c r="F753" s="2368">
        <f>Five_Bed_Total_Units</f>
        <v>0</v>
      </c>
      <c r="G753" s="2370" t="str">
        <f>IF(OR(F753=0,AND(ROUNDUP(Total_Units*Data1!$B753,0)&gt;='Units, Set-Asides, Bldgs'!$H$122*'Units, Set-Asides, Bldgs'!$O$122,OR(PHA_land_lease="Yes",AND(PHA_as_Principal="Yes",PHA_Name&lt;&gt;""),'Units, Set-Asides, Bldgs'!$H$122*'Units, Set-Asides, Bldgs'!$O$122=0))),"","The maximum # of 5-bedroom units is the lesser of "&amp;TEXT(Data1!$B753,"0%")&amp;" of the "&amp;TEXT(Total_Units,"0")&amp;" total units (or "&amp;TEXT(ROUNDUP(Total_Units*Data1!$B753,0),"0")&amp;" units), or "&amp;TEXT(B754,"0")&amp;" units, and the "&amp;TEXT('Units, Set-Asides, Bldgs'!$H$122*'Units, Set-Asides, Bldgs'!$O$122,"0")&amp;" units entered is "&amp;IF(OR(ROUNDUP(Total_Units*Data1!$B753,0)&lt;'Units, Set-Asides, Bldgs'!$H$122*'Units, Set-Asides, Bldgs'!$O$122,'Units, Set-Asides, Bldgs'!$H$122*'Units, Set-Asides, Bldgs'!$O$122&gt;B754),"NOT ","")&amp;"meeting the requirement. "&amp;_xlfn._LONGTEXT("In addition, a Principal of the Applicant must either be a PHA or an instrumentality of a PHA, or the Applicant must have a land lease or an option to enter a land lease with a PHA for the property as well as the property having an existing Declaration of"," Trust between the PHA and HUD. The Applicant has ")&amp;IF(OR(PHA_land_lease="Yes",AND(PHA_as_Principal="Yes",PHA_Name&lt;&gt;"")),"","NOT ")&amp;"indicated it has meet this criteria.")</f>
        <v/>
      </c>
      <c r="H753" s="2369"/>
      <c r="I753" s="2369"/>
      <c r="J753" s="2369"/>
      <c r="K753" s="2369"/>
      <c r="L753" s="2369"/>
      <c r="M753" s="2369"/>
      <c r="N753" s="2369"/>
      <c r="O753" s="2369"/>
      <c r="P753" s="2369"/>
      <c r="Q753" s="2369"/>
      <c r="R753" s="2369"/>
      <c r="S753" s="2257" t="str">
        <f>IF(AND(Demographic="Family",Development_Category="New Construction",'Units, Set-Asides, Bldgs'!N122=1),IF(AND('Units, Set-Asides, Bldgs'!H$122&lt;=ROUNDUP(Total_Units*B753,0),'Units, Set-Asides, Bldgs'!H$122&lt;=B754),"Yes","No"),"NA")</f>
        <v>NA</v>
      </c>
      <c r="T753" s="2370" t="s">
        <v>2988</v>
      </c>
      <c r="U753" s="2370"/>
      <c r="V753" s="2370"/>
      <c r="W753" s="2370"/>
      <c r="X753" s="2370"/>
      <c r="Y753" s="2370"/>
      <c r="Z753" s="2370"/>
      <c r="AA753" s="2370"/>
      <c r="AB753" s="2370"/>
      <c r="AC753" s="2367" t="str">
        <f>IF(S753="No",T753&amp;" ","")&amp;IF(S$767="No",T$767,"")</f>
        <v/>
      </c>
      <c r="AD753" s="2367"/>
      <c r="AE753" s="2367"/>
      <c r="AF753" s="2367"/>
      <c r="AG753" s="2367"/>
      <c r="AH753" s="2367"/>
      <c r="AI753" s="2367"/>
      <c r="AJ753" s="2367"/>
      <c r="AK753" s="2367"/>
      <c r="AL753" s="2367"/>
      <c r="AM753" s="2367"/>
      <c r="AN753" s="2367"/>
      <c r="AO753" s="2367"/>
      <c r="AP753" s="2367"/>
      <c r="AQ753" s="2367"/>
      <c r="AR753" s="2367"/>
      <c r="AS753" s="2367"/>
    </row>
    <row r="754" spans="1:45">
      <c r="A754" s="391" t="s">
        <v>2987</v>
      </c>
      <c r="B754" s="2362">
        <v>10</v>
      </c>
      <c r="C754" s="391" t="s">
        <v>516</v>
      </c>
      <c r="D754" s="391"/>
      <c r="E754" s="391"/>
      <c r="F754" s="2363">
        <f>Five_Bed_Total_Units</f>
        <v>0</v>
      </c>
      <c r="G754" s="2371"/>
      <c r="H754" s="2372"/>
      <c r="I754" s="2372"/>
      <c r="J754" s="2372"/>
      <c r="K754" s="2372"/>
      <c r="L754" s="2372"/>
      <c r="M754" s="2372"/>
      <c r="N754" s="2372"/>
      <c r="O754" s="2372"/>
      <c r="P754" s="2372"/>
      <c r="Q754" s="2372"/>
      <c r="R754" s="2372"/>
      <c r="S754" s="2373"/>
      <c r="T754" s="2374"/>
      <c r="U754" s="2374"/>
      <c r="V754" s="2374"/>
      <c r="W754" s="2374"/>
      <c r="X754" s="2374"/>
      <c r="Y754" s="2374"/>
      <c r="Z754" s="2374"/>
      <c r="AA754" s="2374"/>
      <c r="AB754" s="2374"/>
      <c r="AC754" s="2374"/>
      <c r="AD754" s="2374"/>
      <c r="AE754" s="2374"/>
      <c r="AF754" s="2374"/>
      <c r="AG754" s="2374"/>
      <c r="AH754" s="2374"/>
      <c r="AI754" s="2374"/>
      <c r="AJ754" s="2374"/>
      <c r="AK754" s="2374"/>
      <c r="AL754" s="2374"/>
      <c r="AM754" s="2374"/>
      <c r="AN754" s="2374"/>
      <c r="AO754" s="2374"/>
      <c r="AP754" s="2374"/>
      <c r="AQ754" s="2374"/>
      <c r="AR754" s="2374"/>
      <c r="AS754" s="2374"/>
    </row>
    <row r="755" spans="1:45">
      <c r="A755" s="272" t="s">
        <v>519</v>
      </c>
      <c r="B755" s="834">
        <v>0.5</v>
      </c>
      <c r="C755" s="272"/>
      <c r="D755" s="272"/>
      <c r="E755" s="272"/>
      <c r="F755" s="2288">
        <f>Zero_Bed_One_Bath_Total_Units</f>
        <v>0</v>
      </c>
      <c r="G755" s="59" t="str">
        <f>IF(OR(F755=0,ROUNDUP(Total_Units*Data1!$B755,0)&gt;='Units, Set-Asides, Bldgs'!$H$105),"This area intentionally left blank.","The maximum 0-bedroom units is "&amp;TEXT(Data1!$B755,"0%")&amp;" of the "&amp;TEXT(Total_Units,"0")&amp;" total units (or "&amp;TEXT(ROUNDUP(Total_Units*Data1!$B755,0),"0")&amp;" units) and the "&amp;TEXT('Units, Set-Asides, Bldgs'!$H$105,"0")&amp;" units entered is "&amp;IF(ROUNDUP(Total_Units*Data1!$B755,0)&lt;'Units, Set-Asides, Bldgs'!$H$105,"NOT ","")&amp;"meeting the requirement.")</f>
        <v>This area intentionally left blank.</v>
      </c>
      <c r="H755" s="365"/>
      <c r="I755" s="365"/>
      <c r="J755" s="365"/>
      <c r="K755" s="365"/>
      <c r="L755" s="365"/>
      <c r="M755" s="365"/>
      <c r="N755" s="365"/>
      <c r="O755" s="365"/>
      <c r="P755" s="365"/>
      <c r="Q755" s="365"/>
      <c r="R755" s="365"/>
      <c r="S755" s="376" t="str">
        <f>IF(Demographic="Homeless",IF('Units, Set-Asides, Bldgs'!H$105&lt;=ROUNDUP(Total_Units*B755,0),"Yes","No"),"NA")</f>
        <v>NA</v>
      </c>
      <c r="T755" s="59" t="s">
        <v>518</v>
      </c>
      <c r="U755" s="59"/>
      <c r="V755" s="59"/>
      <c r="W755" s="59"/>
      <c r="X755" s="59"/>
      <c r="Y755" s="59"/>
      <c r="Z755" s="59"/>
      <c r="AA755" s="59"/>
      <c r="AB755" s="59"/>
      <c r="AC755" s="395" t="str">
        <f>IF(S755="No",T755&amp;" ","")&amp;IF(S756="No",T756&amp;" ","")&amp;IF(S757="No",T757&amp;" ","")&amp;IF(S758="No",T758&amp;" ","")&amp;IF(S$767="No",T$767,"")</f>
        <v/>
      </c>
      <c r="AD755" s="395"/>
      <c r="AE755" s="395"/>
      <c r="AF755" s="395"/>
      <c r="AG755" s="395"/>
      <c r="AH755" s="395"/>
      <c r="AI755" s="395"/>
      <c r="AJ755" s="395"/>
      <c r="AK755" s="395"/>
      <c r="AL755" s="395"/>
      <c r="AM755" s="395"/>
      <c r="AN755" s="395"/>
      <c r="AO755" s="395"/>
      <c r="AP755" s="395"/>
      <c r="AQ755" s="395"/>
      <c r="AR755" s="395"/>
      <c r="AS755" s="395"/>
    </row>
    <row r="756" spans="1:45">
      <c r="A756" s="273" t="s">
        <v>520</v>
      </c>
      <c r="B756" s="359">
        <v>0.15</v>
      </c>
      <c r="C756" s="273"/>
      <c r="D756" s="273"/>
      <c r="E756" s="273"/>
      <c r="F756" s="927">
        <f>One_Bed_One_Bath_Total_Units</f>
        <v>0</v>
      </c>
      <c r="G756" s="61" t="str">
        <f>IF(OR(AND(F756=0,'Units, Set-Asides, Bldgs'!H123=0),ROUNDUP(Total_Units*Data1!$B756,0)&lt;='Units, Set-Asides, Bldgs'!$H$106),"","The minimum 1 bedroom units is "&amp;TEXT(Data1!$B756,"0%")&amp;" of the "&amp;TEXT(Total_Units,"0")&amp;" total units (or "&amp;TEXT(ROUNDUP(Total_Units*Data1!$B756,0),"0")&amp;" units) and the "&amp;TEXT('Units, Set-Asides, Bldgs'!$H$106,"0")&amp;" units entered is "&amp;IF(ROUNDUP(Total_Units*Data1!$B756,0)&gt;'Units, Set-Asides, Bldgs'!$H$106,"NOT ","")&amp;"meeting the requirement.")</f>
        <v/>
      </c>
      <c r="H756" s="368"/>
      <c r="I756" s="368"/>
      <c r="J756" s="368"/>
      <c r="K756" s="368"/>
      <c r="L756" s="368"/>
      <c r="M756" s="368"/>
      <c r="N756" s="368"/>
      <c r="O756" s="368"/>
      <c r="P756" s="368"/>
      <c r="Q756" s="368"/>
      <c r="R756" s="368"/>
      <c r="S756" s="394" t="str">
        <f>IF(Demographic="Homeless",IF('Units, Set-Asides, Bldgs'!H$106&gt;=ROUNDUP(Total_Units*B756,0),"Yes","No"),"NA")</f>
        <v>NA</v>
      </c>
      <c r="T756" s="61" t="s">
        <v>521</v>
      </c>
      <c r="U756" s="61"/>
      <c r="V756" s="61"/>
      <c r="W756" s="61"/>
      <c r="X756" s="61"/>
      <c r="Y756" s="61"/>
      <c r="Z756" s="61"/>
      <c r="AA756" s="61"/>
      <c r="AB756" s="61"/>
      <c r="AC756" s="952"/>
      <c r="AD756" s="952"/>
      <c r="AE756" s="952"/>
      <c r="AF756" s="952"/>
      <c r="AG756" s="952"/>
      <c r="AH756" s="952"/>
      <c r="AI756" s="952"/>
      <c r="AJ756" s="952"/>
      <c r="AK756" s="952"/>
      <c r="AL756" s="952"/>
      <c r="AM756" s="952"/>
      <c r="AN756" s="952"/>
      <c r="AO756" s="952"/>
      <c r="AP756" s="952"/>
      <c r="AQ756" s="952"/>
      <c r="AR756" s="952"/>
      <c r="AS756" s="952"/>
    </row>
    <row r="757" spans="1:45" ht="18" customHeight="1">
      <c r="A757" s="273" t="s">
        <v>522</v>
      </c>
      <c r="B757" s="359">
        <v>0.4</v>
      </c>
      <c r="C757" s="273"/>
      <c r="D757" s="273"/>
      <c r="E757" s="273"/>
      <c r="F757" s="928">
        <f>SUM('Units, Set-Asides, Bldgs'!H110:H114)</f>
        <v>0</v>
      </c>
      <c r="G757" s="61" t="str">
        <f>IF(OR(F757=0,ROUNDUP(Total_Units*Data1!$B757,0)&gt;=SUM('Units, Set-Asides, Bldgs'!$H$110:$H$114)),"This area intentionally left blank.","The maximum 3-bedroom units is "&amp;TEXT(Data1!$B757,"0%")&amp;" of the "&amp;TEXT(Total_Units,"0")&amp;" total units (or "&amp;TEXT(ROUNDUP(Total_Units*Data1!$B757,0),"0")&amp;" units) and the "&amp;TEXT(SUM('Units, Set-Asides, Bldgs'!$H$110:$H$114),"0")&amp;" units entered is "&amp;IF(ROUNDUP(Total_Units*Data1!$B757,0)&lt;SUM('Units, Set-Asides, Bldgs'!$H$110:$H$114),"NOT ","")&amp;"meeting the requirement.")</f>
        <v>This area intentionally left blank.</v>
      </c>
      <c r="H757" s="368"/>
      <c r="I757" s="368"/>
      <c r="J757" s="368"/>
      <c r="K757" s="368"/>
      <c r="L757" s="368"/>
      <c r="M757" s="368"/>
      <c r="N757" s="368"/>
      <c r="O757" s="368"/>
      <c r="P757" s="368"/>
      <c r="Q757" s="368"/>
      <c r="R757" s="368"/>
      <c r="S757" s="394" t="str">
        <f>IF(Demographic="Homeless",IF(SUM('Units, Set-Asides, Bldgs'!H$110:H$114)&lt;=ROUNDUP(Total_Units*B757,0),"Yes","No"),"NA")</f>
        <v>NA</v>
      </c>
      <c r="T757" s="61" t="s">
        <v>523</v>
      </c>
      <c r="U757" s="61"/>
      <c r="V757" s="61"/>
      <c r="W757" s="61"/>
      <c r="X757" s="61"/>
      <c r="Y757" s="61"/>
      <c r="Z757" s="61"/>
      <c r="AA757" s="61"/>
      <c r="AB757" s="61"/>
      <c r="AC757" s="952"/>
      <c r="AD757" s="952"/>
      <c r="AE757" s="952"/>
      <c r="AF757" s="952"/>
      <c r="AG757" s="952"/>
      <c r="AH757" s="952"/>
      <c r="AI757" s="952"/>
      <c r="AJ757" s="952"/>
      <c r="AK757" s="952"/>
      <c r="AL757" s="952"/>
      <c r="AM757" s="952"/>
      <c r="AN757" s="952"/>
      <c r="AO757" s="952"/>
      <c r="AP757" s="952"/>
      <c r="AQ757" s="952"/>
      <c r="AR757" s="952"/>
      <c r="AS757" s="952"/>
    </row>
    <row r="758" spans="1:45">
      <c r="A758" s="975" t="s">
        <v>524</v>
      </c>
      <c r="B758" s="364">
        <v>3</v>
      </c>
      <c r="C758" s="390" t="s">
        <v>1661</v>
      </c>
      <c r="D758" s="391"/>
      <c r="E758" s="391"/>
      <c r="F758" s="741">
        <f>SUM('Units, Set-Asides, Bldgs'!H115:H121)+IF(Data1!B758=2,SUM('Units, Set-Asides, Bldgs'!H110:H114),0)</f>
        <v>0</v>
      </c>
      <c r="G758" s="384" t="str">
        <f>IF(OR(F758=0,CHOOSE(B758,0,SUM('Units, Set-Asides, Bldgs'!H110:H121),SUM('Units, Set-Asides, Bldgs'!H115:H121))=0),"","The maximum number of bedrooms for any unit in a "&amp;Demographic&amp;" development is "&amp;CHOOSE(B758,"INVALID LIMIT","TWO (2)","THREE (3)")&amp;"."&amp;IF(CHOOSE(B758,0,SUM('Units, Set-Asides, Bldgs'!H110:H121),SUM('Units, Set-Asides, Bldgs'!H115:H121))&gt;0," There are entries in the table that are NOT meeting the requirement.",""))</f>
        <v/>
      </c>
      <c r="H758" s="367"/>
      <c r="I758" s="367"/>
      <c r="J758" s="367"/>
      <c r="K758" s="367"/>
      <c r="L758" s="367"/>
      <c r="M758" s="367"/>
      <c r="N758" s="367"/>
      <c r="O758" s="367"/>
      <c r="P758" s="367"/>
      <c r="Q758" s="367"/>
      <c r="R758" s="367"/>
      <c r="S758" s="392" t="str">
        <f>IF(Demographic="Homeless",IF(IF(B758=2,SUM('Units, Set-Asides, Bldgs'!H$110:H$121),SUM('Units, Set-Asides, Bldgs'!H$115:H$121))=0,"Yes","No"),"NA")</f>
        <v>NA</v>
      </c>
      <c r="T758" s="384" t="str">
        <f>"No units are allowed to have more than "&amp;TEXT(B758,"0")&amp;" bedrooms."</f>
        <v>No units are allowed to have more than 3 bedrooms.</v>
      </c>
      <c r="U758" s="384"/>
      <c r="V758" s="384"/>
      <c r="W758" s="384"/>
      <c r="X758" s="384"/>
      <c r="Y758" s="384"/>
      <c r="Z758" s="384"/>
      <c r="AA758" s="384"/>
      <c r="AB758" s="384"/>
      <c r="AC758" s="952"/>
      <c r="AD758" s="952"/>
      <c r="AE758" s="952"/>
      <c r="AF758" s="952"/>
      <c r="AG758" s="952"/>
      <c r="AH758" s="952"/>
      <c r="AI758" s="952"/>
      <c r="AJ758" s="952"/>
      <c r="AK758" s="952"/>
      <c r="AL758" s="952"/>
      <c r="AM758" s="952"/>
      <c r="AN758" s="952"/>
      <c r="AO758" s="952"/>
      <c r="AP758" s="952"/>
      <c r="AQ758" s="952"/>
      <c r="AR758" s="952"/>
      <c r="AS758" s="952"/>
    </row>
    <row r="759" spans="1:45">
      <c r="A759" s="389" t="s">
        <v>525</v>
      </c>
      <c r="B759" s="363">
        <v>0.5</v>
      </c>
      <c r="C759" s="389"/>
      <c r="D759" s="389"/>
      <c r="E759" s="1026" t="s">
        <v>208</v>
      </c>
      <c r="F759" s="926">
        <f>Zero_Bed_One_Bath_Total_Units</f>
        <v>0</v>
      </c>
      <c r="G759" s="59" t="str">
        <f>IF(OR(F759=0,ROUNDUP(Total_Units*Data1!$B759,0)&gt;='Units, Set-Asides, Bldgs'!$H$105,AND(Development_Category&lt;&gt;"&lt;select one&gt;",Development_Category&lt;&gt;"New Construction")),"","The maximum 0-bedroom units is "&amp;TEXT(Data1!$B759,"0%")&amp;" of the "&amp;TEXT(Total_Units,"0")&amp;" total units (or "&amp;TEXT(ROUNDUP(Total_Units*Data1!$B759,0),"0")&amp;" units) and the "&amp;TEXT('Units, Set-Asides, Bldgs'!$H$105,"0")&amp;" units entered is "&amp;IF(ROUNDUP(Total_Units*Data1!$B759,0)&lt;'Units, Set-Asides, Bldgs'!$H$105,"NOT ","")&amp;"meeting the requirement.")</f>
        <v/>
      </c>
      <c r="H759" s="365"/>
      <c r="I759" s="365"/>
      <c r="J759" s="365"/>
      <c r="K759" s="365"/>
      <c r="L759" s="365"/>
      <c r="M759" s="365"/>
      <c r="N759" s="365"/>
      <c r="O759" s="365"/>
      <c r="P759" s="365"/>
      <c r="Q759" s="365"/>
      <c r="R759" s="365"/>
      <c r="S759" s="376" t="str">
        <f>IF(Demographic="Farmworker/Commercial Fish Worker",IF('Units, Set-Asides, Bldgs'!H$105&lt;=ROUNDUP(Total_Units*B759,0),"Yes","No"),"NA")</f>
        <v>NA</v>
      </c>
      <c r="T759" s="59" t="s">
        <v>518</v>
      </c>
      <c r="U759" s="59"/>
      <c r="V759" s="59"/>
      <c r="W759" s="59"/>
      <c r="X759" s="59"/>
      <c r="Y759" s="59"/>
      <c r="Z759" s="59"/>
      <c r="AA759" s="59"/>
      <c r="AB759" s="59"/>
      <c r="AC759" s="396" t="str">
        <f>IF(S759="No",T759&amp;" ","")&amp;IF(S760="No",T760&amp;" ","")&amp;IF(S$767="No",T$767,"")</f>
        <v/>
      </c>
      <c r="AD759" s="396"/>
      <c r="AE759" s="396"/>
      <c r="AF759" s="396"/>
      <c r="AG759" s="396"/>
      <c r="AH759" s="396"/>
      <c r="AI759" s="396"/>
      <c r="AJ759" s="396"/>
      <c r="AK759" s="396"/>
      <c r="AL759" s="396"/>
      <c r="AM759" s="396"/>
      <c r="AN759" s="396"/>
      <c r="AO759" s="396"/>
      <c r="AP759" s="396"/>
      <c r="AQ759" s="396"/>
      <c r="AR759" s="396"/>
      <c r="AS759" s="396"/>
    </row>
    <row r="760" spans="1:45">
      <c r="A760" s="975" t="s">
        <v>526</v>
      </c>
      <c r="B760" s="364">
        <v>2</v>
      </c>
      <c r="C760" s="390" t="s">
        <v>1661</v>
      </c>
      <c r="D760" s="391"/>
      <c r="E760" s="1027" t="s">
        <v>208</v>
      </c>
      <c r="F760" s="741">
        <f>SUM('Units, Set-Asides, Bldgs'!H115:H121)+IF(Data1!B760=2,SUM('Units, Set-Asides, Bldgs'!H110:H114),0)</f>
        <v>0</v>
      </c>
      <c r="G760" s="384" t="str">
        <f>IF(OR(F760=0,CHOOSE(B760,0,SUM('Units, Set-Asides, Bldgs'!H110:H121),SUM('Units, Set-Asides, Bldgs'!H115:H121))=0,AND(Development_Category&lt;&gt;"&lt;select one&gt;",Development_Category&lt;&gt;"New Construction")),"","The maximum number of bedrooms for any unit in a "&amp;Demographic&amp;" development is "&amp;CHOOSE(B760,"INVALID LIMIT","TWO (2)","THREE (3)")&amp;"."&amp;IF(CHOOSE(B760,0,SUM('Units, Set-Asides, Bldgs'!H110:H121),SUM('Units, Set-Asides, Bldgs'!H115:H121))&gt;0," There are entries in the table that are NOT meeting the requirement.",""))</f>
        <v/>
      </c>
      <c r="H760" s="367"/>
      <c r="I760" s="367"/>
      <c r="J760" s="367"/>
      <c r="K760" s="367"/>
      <c r="L760" s="367"/>
      <c r="M760" s="367"/>
      <c r="N760" s="367"/>
      <c r="O760" s="367"/>
      <c r="P760" s="367"/>
      <c r="Q760" s="367"/>
      <c r="R760" s="367"/>
      <c r="S760" s="392" t="str">
        <f>IF(Demographic="Farmworker/Commercial Fish Worker",IF(IF(B760=2,SUM('Units, Set-Asides, Bldgs'!H$110:H$121),SUM('Units, Set-Asides, Bldgs'!H$115:H$121))=0,"Yes","No"),"NA")</f>
        <v>NA</v>
      </c>
      <c r="T760" s="384" t="str">
        <f>"No units are allowed to have more than "&amp;TEXT(B760,"0")&amp;" bedrooms."</f>
        <v>No units are allowed to have more than 2 bedrooms.</v>
      </c>
      <c r="U760" s="384"/>
      <c r="V760" s="384"/>
      <c r="W760" s="384"/>
      <c r="X760" s="384"/>
      <c r="Y760" s="384"/>
      <c r="Z760" s="384"/>
      <c r="AA760" s="384"/>
      <c r="AB760" s="384"/>
      <c r="AC760" s="952"/>
      <c r="AD760" s="952"/>
      <c r="AE760" s="952"/>
      <c r="AF760" s="952"/>
      <c r="AG760" s="952"/>
      <c r="AH760" s="952"/>
      <c r="AI760" s="952"/>
      <c r="AJ760" s="952"/>
      <c r="AK760" s="952"/>
      <c r="AL760" s="952"/>
      <c r="AM760" s="952"/>
      <c r="AN760" s="952"/>
      <c r="AO760" s="952"/>
      <c r="AP760" s="952"/>
      <c r="AQ760" s="952"/>
      <c r="AR760" s="952"/>
      <c r="AS760" s="952"/>
    </row>
    <row r="761" spans="1:45">
      <c r="A761" s="389" t="s">
        <v>527</v>
      </c>
      <c r="B761" s="363">
        <v>0.5</v>
      </c>
      <c r="C761" s="389"/>
      <c r="D761" s="389"/>
      <c r="E761" s="389"/>
      <c r="F761" s="926">
        <f>Zero_Bed_One_Bath_Total_Units</f>
        <v>0</v>
      </c>
      <c r="G761" s="59" t="str">
        <f>IF(OR(F761=0,ROUNDUP(Total_Units*Data1!$B761,0)&gt;='Units, Set-Asides, Bldgs'!$H$105),"","The maximum 0-bedroom units is "&amp;TEXT(Data1!$B761,"0%")&amp;" of the "&amp;TEXT(Total_Units,"0")&amp;" total units (or "&amp;TEXT(ROUNDUP(Total_Units*Data1!$B761,0),"0")&amp;" units) and the "&amp;TEXT('Units, Set-Asides, Bldgs'!$H$105,"0")&amp;" units entered is "&amp;IF(ROUNDUP(Total_Units*Data1!$B761,0)&lt;'Units, Set-Asides, Bldgs'!$H$105,"NOT ","")&amp;"meeting the requirement.")</f>
        <v/>
      </c>
      <c r="H761" s="365"/>
      <c r="I761" s="365"/>
      <c r="J761" s="365"/>
      <c r="K761" s="365"/>
      <c r="L761" s="365"/>
      <c r="M761" s="365"/>
      <c r="N761" s="365"/>
      <c r="O761" s="365"/>
      <c r="P761" s="365"/>
      <c r="Q761" s="365"/>
      <c r="R761" s="365"/>
      <c r="S761" s="376" t="str">
        <f>IF(OR(Demographic="Persons with a Disabling Condition",Demographic="Persons with Developmental Disabilities"),IF('Units, Set-Asides, Bldgs'!H$105&lt;=ROUNDUP(Total_Units*B761,0),"Yes","No"),"NA")</f>
        <v>NA</v>
      </c>
      <c r="T761" s="59" t="s">
        <v>518</v>
      </c>
      <c r="U761" s="59"/>
      <c r="V761" s="59"/>
      <c r="W761" s="59"/>
      <c r="X761" s="59"/>
      <c r="Y761" s="59"/>
      <c r="Z761" s="59"/>
      <c r="AA761" s="59"/>
      <c r="AB761" s="59"/>
      <c r="AC761" s="396" t="str">
        <f>IF(S761="No",T761&amp;" ","")&amp;IF(S762="No",T762&amp;" ","")&amp;IF(S763="No",T763&amp;" ","")&amp;IF(S$767="No",T$767,"")</f>
        <v/>
      </c>
      <c r="AD761" s="396"/>
      <c r="AE761" s="396"/>
      <c r="AF761" s="396"/>
      <c r="AG761" s="396"/>
      <c r="AH761" s="396"/>
      <c r="AI761" s="396"/>
      <c r="AJ761" s="396"/>
      <c r="AK761" s="396"/>
      <c r="AL761" s="396"/>
      <c r="AM761" s="396"/>
      <c r="AN761" s="396"/>
      <c r="AO761" s="396"/>
      <c r="AP761" s="396"/>
      <c r="AQ761" s="396"/>
      <c r="AR761" s="396"/>
      <c r="AS761" s="396"/>
    </row>
    <row r="762" spans="1:45">
      <c r="A762" s="273" t="s">
        <v>528</v>
      </c>
      <c r="B762" s="359">
        <v>0.5</v>
      </c>
      <c r="C762" s="273"/>
      <c r="D762" s="273"/>
      <c r="E762" s="273"/>
      <c r="F762" s="927">
        <f>One_Bed_One_Bath_Total_Units</f>
        <v>0</v>
      </c>
      <c r="G762" s="61" t="str">
        <f>IF(OR(AND(F762=0,'Units, Set-Asides, Bldgs'!H123=0),ROUNDUP(Total_Units*Data1!$B762,0)&lt;='Units, Set-Asides, Bldgs'!$H$106),"","The minimum 1 bedroom units is "&amp;TEXT(Data1!$B762,"0%")&amp;" of the "&amp;TEXT(Total_Units,"0")&amp;" total units (or "&amp;TEXT(ROUNDUP(Total_Units*Data1!$B762,0),"0")&amp;" units) and the "&amp;TEXT('Units, Set-Asides, Bldgs'!$H$106,"0")&amp;" units entered is "&amp;IF(ROUNDUP(Total_Units*Data1!$B762,0)&gt;'Units, Set-Asides, Bldgs'!$H$106,"NOT ","")&amp;"meeting the requirement.")</f>
        <v/>
      </c>
      <c r="H762" s="368"/>
      <c r="I762" s="368"/>
      <c r="J762" s="368"/>
      <c r="K762" s="368"/>
      <c r="L762" s="368"/>
      <c r="M762" s="368"/>
      <c r="N762" s="368"/>
      <c r="O762" s="368"/>
      <c r="P762" s="368"/>
      <c r="Q762" s="368"/>
      <c r="R762" s="368"/>
      <c r="S762" s="394" t="str">
        <f>IF(OR(Demographic="Persons with a Disabling Condition",Demographic="Persons with Developmental Disabilities"),IF('Units, Set-Asides, Bldgs'!H$106&gt;=ROUNDUP(Total_Units*B762,0),"Yes","No"),"NA")</f>
        <v>NA</v>
      </c>
      <c r="T762" s="61" t="s">
        <v>521</v>
      </c>
      <c r="U762" s="61"/>
      <c r="V762" s="61"/>
      <c r="W762" s="61"/>
      <c r="X762" s="61"/>
      <c r="Y762" s="61"/>
      <c r="Z762" s="61"/>
      <c r="AA762" s="61"/>
      <c r="AB762" s="61"/>
      <c r="AC762" s="952"/>
      <c r="AD762" s="952"/>
      <c r="AE762" s="952"/>
      <c r="AF762" s="952"/>
      <c r="AG762" s="952"/>
      <c r="AH762" s="952"/>
      <c r="AI762" s="952"/>
      <c r="AJ762" s="952"/>
      <c r="AK762" s="952"/>
      <c r="AL762" s="952"/>
      <c r="AM762" s="952"/>
      <c r="AN762" s="952"/>
      <c r="AO762" s="952"/>
      <c r="AP762" s="952"/>
      <c r="AQ762" s="952"/>
      <c r="AR762" s="952"/>
      <c r="AS762" s="952"/>
    </row>
    <row r="763" spans="1:45">
      <c r="A763" s="975" t="s">
        <v>529</v>
      </c>
      <c r="B763" s="364">
        <v>2</v>
      </c>
      <c r="C763" s="390" t="s">
        <v>1661</v>
      </c>
      <c r="D763" s="391"/>
      <c r="E763" s="391"/>
      <c r="F763" s="741">
        <f>SUM('Units, Set-Asides, Bldgs'!H115:H121)+IF(Data1!B763=2,SUM('Units, Set-Asides, Bldgs'!H110:H114),0)</f>
        <v>0</v>
      </c>
      <c r="G763" s="384" t="str">
        <f>IF(OR(F763=0,CHOOSE(B763,0,SUM('Units, Set-Asides, Bldgs'!H110:H121),SUM('Units, Set-Asides, Bldgs'!H115:H121))=0),"","The maximum number of bedrooms for any unit in a "&amp;Demographic&amp;" development is "&amp;CHOOSE(B763,"INVALID LIMIT","TWO (2)","THREE (3)")&amp;"."&amp;IF(CHOOSE(B763,0,SUM('Units, Set-Asides, Bldgs'!H110:H121),SUM('Units, Set-Asides, Bldgs'!H115:H121))&gt;0," There are entries in the table that are NOT meeting the requirement.",""))</f>
        <v/>
      </c>
      <c r="H763" s="367"/>
      <c r="I763" s="367"/>
      <c r="J763" s="367"/>
      <c r="K763" s="367"/>
      <c r="L763" s="367"/>
      <c r="M763" s="367"/>
      <c r="N763" s="367"/>
      <c r="O763" s="367"/>
      <c r="P763" s="367"/>
      <c r="Q763" s="367"/>
      <c r="R763" s="367"/>
      <c r="S763" s="392" t="str">
        <f>IF(OR(Demographic="Persons with a Disabling Condition",Demographic="Persons with Developmental Disabilities"),IF(IF(B763=2,SUM('Units, Set-Asides, Bldgs'!H$110:H$121),SUM('Units, Set-Asides, Bldgs'!H$115:H$121))=0,"Yes","No"),"NA")</f>
        <v>NA</v>
      </c>
      <c r="T763" s="384" t="str">
        <f>"No units are allowed to have more than "&amp;TEXT(B763,"0")&amp;" bedrooms."</f>
        <v>No units are allowed to have more than 2 bedrooms.</v>
      </c>
      <c r="U763" s="384"/>
      <c r="V763" s="384"/>
      <c r="W763" s="384"/>
      <c r="X763" s="384"/>
      <c r="Y763" s="384"/>
      <c r="Z763" s="384"/>
      <c r="AA763" s="384"/>
      <c r="AB763" s="384"/>
      <c r="AC763" s="952"/>
      <c r="AD763" s="952"/>
      <c r="AE763" s="952"/>
      <c r="AF763" s="952"/>
      <c r="AG763" s="952"/>
      <c r="AH763" s="952"/>
      <c r="AI763" s="952"/>
      <c r="AJ763" s="952"/>
      <c r="AK763" s="952"/>
      <c r="AL763" s="952"/>
      <c r="AM763" s="952"/>
      <c r="AN763" s="952"/>
      <c r="AO763" s="952"/>
      <c r="AP763" s="952"/>
      <c r="AQ763" s="952"/>
      <c r="AR763" s="952"/>
      <c r="AS763" s="952"/>
    </row>
    <row r="764" spans="1:45">
      <c r="A764" s="389" t="s">
        <v>530</v>
      </c>
      <c r="B764" s="363">
        <v>0.3</v>
      </c>
      <c r="C764" s="389"/>
      <c r="D764" s="389"/>
      <c r="E764" s="389"/>
      <c r="F764" s="929">
        <f>SUM('Units, Set-Asides, Bldgs'!H105:H106)</f>
        <v>0</v>
      </c>
      <c r="G764" s="59" t="str">
        <f>IF(OR(AND(F764=0,'Units, Set-Asides, Bldgs'!H123=0),ROUNDUP(Total_Units*Data1!$B764,0)&lt;='Units, Set-Asides, Bldgs'!$H$105+'Units, Set-Asides, Bldgs'!$H$106),"This area intentionally left blank.","The minimum 0 and 1 bedroom units is "&amp;TEXT(Data1!$B764,"0%")&amp;" of the "&amp;TEXT(Total_Units,"0")&amp;" total units (or "&amp;TEXT(ROUNDUP(Total_Units*Data1!$B764,0),"0")&amp;" units) and the combined "&amp;TEXT('Units, Set-Asides, Bldgs'!$H$105+'Units, Set-Asides, Bldgs'!$H$106,"0")&amp;" units entered is "&amp;IF(ROUNDUP(Total_Units*Data1!$B764,0)&gt;'Units, Set-Asides, Bldgs'!$H$105+'Units, Set-Asides, Bldgs'!$H$106,"NOT ","")&amp;"meeting the requirement.")</f>
        <v>This area intentionally left blank.</v>
      </c>
      <c r="H764" s="365"/>
      <c r="I764" s="365"/>
      <c r="J764" s="365"/>
      <c r="K764" s="365"/>
      <c r="L764" s="365"/>
      <c r="M764" s="365"/>
      <c r="N764" s="365"/>
      <c r="O764" s="365"/>
      <c r="P764" s="365"/>
      <c r="Q764" s="365"/>
      <c r="R764" s="365"/>
      <c r="S764" s="376" t="str">
        <f>IF(Demographic="Persons with Special Needs",IF(SUM('Units, Set-Asides, Bldgs'!H$105:H$106)&gt;=ROUNDUP(Total_Units*B764,0),"Yes","No"),"NA")</f>
        <v>NA</v>
      </c>
      <c r="T764" s="59" t="s">
        <v>514</v>
      </c>
      <c r="U764" s="59"/>
      <c r="V764" s="59"/>
      <c r="W764" s="59"/>
      <c r="X764" s="59"/>
      <c r="Y764" s="59"/>
      <c r="Z764" s="59"/>
      <c r="AA764" s="59"/>
      <c r="AB764" s="59"/>
      <c r="AC764" s="396" t="str">
        <f>IF(S764="No",T764&amp;" ","")&amp;IF(S765="No",T765&amp;" ","")&amp;IF(S766="No",T766&amp;" ","")&amp;IF(S$767="No",T$767,"")</f>
        <v/>
      </c>
      <c r="AD764" s="396"/>
      <c r="AE764" s="396"/>
      <c r="AF764" s="396"/>
      <c r="AG764" s="396"/>
      <c r="AH764" s="396"/>
      <c r="AI764" s="396"/>
      <c r="AJ764" s="396"/>
      <c r="AK764" s="396"/>
      <c r="AL764" s="396"/>
      <c r="AM764" s="396"/>
      <c r="AN764" s="396"/>
      <c r="AO764" s="396"/>
      <c r="AP764" s="396"/>
      <c r="AQ764" s="396"/>
      <c r="AR764" s="396"/>
      <c r="AS764" s="396"/>
    </row>
    <row r="765" spans="1:45">
      <c r="A765" s="273" t="s">
        <v>531</v>
      </c>
      <c r="B765" s="359">
        <v>0.25</v>
      </c>
      <c r="C765" s="273"/>
      <c r="D765" s="273"/>
      <c r="E765" s="273"/>
      <c r="F765" s="928">
        <f>SUM('Units, Set-Asides, Bldgs'!H110:H114)</f>
        <v>0</v>
      </c>
      <c r="G765" s="61" t="str">
        <f>IF(OR(F765=0,ROUNDUP(Total_Units*Data1!$B765,0)&gt;=SUM('Units, Set-Asides, Bldgs'!$H$110:$H$114)),"This area intentionally left blank.","The maximum number of 3-bedroom units is "&amp;TEXT(Data1!$B765,"0%")&amp;" of the "&amp;TEXT(Total_Units,"0")&amp;" total units (or "&amp;TEXT(ROUNDUP(Total_Units*Data1!$B765,0),"0")&amp;" units) and the "&amp;TEXT(SUM('Units, Set-Asides, Bldgs'!$H$110:$H$114),"0")&amp;" units entered is "&amp;IF(ROUNDUP(Total_Units*Data1!$B765,0)&lt;SUM('Units, Set-Asides, Bldgs'!$H$110:$H$114),"NOT ","")&amp;"meeting the requirement.")</f>
        <v>This area intentionally left blank.</v>
      </c>
      <c r="H765" s="368"/>
      <c r="I765" s="368"/>
      <c r="J765" s="368"/>
      <c r="K765" s="368"/>
      <c r="L765" s="368"/>
      <c r="M765" s="368"/>
      <c r="N765" s="368"/>
      <c r="O765" s="368"/>
      <c r="P765" s="368"/>
      <c r="Q765" s="368"/>
      <c r="R765" s="368"/>
      <c r="S765" s="394" t="str">
        <f>IF(Demographic="Persons with Special Needs",IF(SUM('Units, Set-Asides, Bldgs'!H$110:H$114)&lt;=ROUNDUP(Total_Units*B765,0),"Yes","No"),"NA")</f>
        <v>NA</v>
      </c>
      <c r="T765" s="61" t="s">
        <v>523</v>
      </c>
      <c r="U765" s="61"/>
      <c r="V765" s="61"/>
      <c r="W765" s="61"/>
      <c r="X765" s="61"/>
      <c r="Y765" s="61"/>
      <c r="Z765" s="61"/>
      <c r="AA765" s="61"/>
      <c r="AB765" s="61"/>
      <c r="AC765" s="952"/>
      <c r="AD765" s="952"/>
      <c r="AE765" s="952"/>
      <c r="AF765" s="952"/>
      <c r="AG765" s="952"/>
      <c r="AH765" s="952"/>
      <c r="AI765" s="952"/>
      <c r="AJ765" s="952"/>
      <c r="AK765" s="952"/>
      <c r="AL765" s="952"/>
      <c r="AM765" s="952"/>
      <c r="AN765" s="952"/>
      <c r="AO765" s="952"/>
      <c r="AP765" s="952"/>
      <c r="AQ765" s="952"/>
      <c r="AR765" s="952"/>
      <c r="AS765" s="952"/>
    </row>
    <row r="766" spans="1:45">
      <c r="A766" s="975" t="s">
        <v>532</v>
      </c>
      <c r="B766" s="364">
        <v>3</v>
      </c>
      <c r="C766" s="390"/>
      <c r="D766" s="391"/>
      <c r="E766" s="391"/>
      <c r="F766" s="741">
        <f>SUM('Units, Set-Asides, Bldgs'!H115:H121)+IF(Data1!B766=2,SUM('Units, Set-Asides, Bldgs'!H110:H114),0)</f>
        <v>0</v>
      </c>
      <c r="G766" s="384" t="str">
        <f>IF(OR(F766=0,CHOOSE(B766,0,SUM('Units, Set-Asides, Bldgs'!H110:H121),SUM('Units, Set-Asides, Bldgs'!H115:H121))=0),"","The maximum number of bedrooms for any unit in a "&amp;Demographic&amp;" development is "&amp;CHOOSE(B766,"INVALID LIMIT","TWO (2)","THREE (3)")&amp;"."&amp;IF(CHOOSE(B766,0,SUM('Units, Set-Asides, Bldgs'!H110:H121),SUM('Units, Set-Asides, Bldgs'!H115:H121))&gt;0," There are entries in the table that are NOT meeting the requirement.",""))</f>
        <v/>
      </c>
      <c r="H766" s="367"/>
      <c r="I766" s="367"/>
      <c r="J766" s="367"/>
      <c r="K766" s="367"/>
      <c r="L766" s="367"/>
      <c r="M766" s="367"/>
      <c r="N766" s="367"/>
      <c r="O766" s="367"/>
      <c r="P766" s="367"/>
      <c r="Q766" s="367"/>
      <c r="R766" s="367"/>
      <c r="S766" s="392" t="str">
        <f>IF(Demographic="Persons with Special Needs",IF(IF(B766=2,SUM('Units, Set-Asides, Bldgs'!H$110:H$121),SUM('Units, Set-Asides, Bldgs'!H$115:H$121))=0,"Yes","No"),"NA")</f>
        <v>NA</v>
      </c>
      <c r="T766" s="384" t="str">
        <f>"No units are allowed to have more than "&amp;TEXT(B766,"0")&amp;" bedrooms."</f>
        <v>No units are allowed to have more than 3 bedrooms.</v>
      </c>
      <c r="U766" s="384"/>
      <c r="V766" s="384"/>
      <c r="W766" s="384"/>
      <c r="X766" s="384"/>
      <c r="Y766" s="384"/>
      <c r="Z766" s="384"/>
      <c r="AA766" s="384"/>
      <c r="AB766" s="384"/>
      <c r="AC766" s="952"/>
      <c r="AD766" s="952"/>
      <c r="AE766" s="952"/>
      <c r="AF766" s="952"/>
      <c r="AG766" s="952"/>
      <c r="AH766" s="952"/>
      <c r="AI766" s="952"/>
      <c r="AJ766" s="952"/>
      <c r="AK766" s="952"/>
      <c r="AL766" s="952"/>
      <c r="AM766" s="952"/>
      <c r="AN766" s="952"/>
      <c r="AO766" s="952"/>
      <c r="AP766" s="952"/>
      <c r="AQ766" s="952"/>
      <c r="AR766" s="952"/>
      <c r="AS766" s="952"/>
    </row>
    <row r="767" spans="1:45">
      <c r="A767" s="6" t="s">
        <v>1532</v>
      </c>
      <c r="C767" s="94"/>
      <c r="D767" s="6"/>
      <c r="E767" s="6"/>
      <c r="F767" s="6"/>
      <c r="G767" s="6"/>
      <c r="S767" s="823" t="str">
        <f>IF('Units, Set-Asides, Bldgs'!H$123&lt;&gt;Total_Units,"No","Yes")</f>
        <v>Yes</v>
      </c>
      <c r="T767" s="65" t="s">
        <v>533</v>
      </c>
      <c r="U767" s="65"/>
      <c r="V767" s="65"/>
      <c r="W767" s="65"/>
      <c r="X767" s="65"/>
      <c r="Y767" s="65"/>
      <c r="Z767" s="65"/>
      <c r="AA767" s="65"/>
      <c r="AB767" s="65"/>
      <c r="AC767" s="952"/>
      <c r="AD767" s="952"/>
      <c r="AE767" s="952"/>
      <c r="AF767" s="952"/>
      <c r="AG767" s="952"/>
      <c r="AH767" s="952"/>
      <c r="AI767" s="952"/>
      <c r="AJ767" s="952"/>
      <c r="AK767" s="952"/>
      <c r="AL767" s="952"/>
      <c r="AM767" s="952"/>
      <c r="AN767" s="952"/>
      <c r="AO767" s="952"/>
      <c r="AP767" s="952"/>
      <c r="AQ767" s="952"/>
      <c r="AR767" s="952"/>
      <c r="AS767" s="952"/>
    </row>
    <row r="768" spans="1:45">
      <c r="A768" s="6" t="s">
        <v>1531</v>
      </c>
      <c r="B768" s="106" t="str" cm="1">
        <f t="array" ref="B768">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8" s="94"/>
      <c r="D768" s="6"/>
      <c r="E768" s="6"/>
      <c r="F768" s="6"/>
      <c r="G768" s="6"/>
      <c r="V768" s="823"/>
    </row>
    <row r="770" spans="1:6" ht="18" customHeight="1">
      <c r="A770" s="531" t="s">
        <v>534</v>
      </c>
      <c r="B770" s="532" t="s">
        <v>37</v>
      </c>
      <c r="C770" s="532" t="s">
        <v>38</v>
      </c>
      <c r="D770" s="532" t="s">
        <v>39</v>
      </c>
      <c r="E770" s="483" t="str">
        <f>"4.A.8.d.("&amp;'Construction Features'!B14&amp;")"</f>
        <v>4.A.8.d.()</v>
      </c>
      <c r="F770" s="64" t="s">
        <v>41</v>
      </c>
    </row>
    <row r="771" spans="1:6">
      <c r="A771" s="59" t="s">
        <v>2443</v>
      </c>
      <c r="B771" s="57">
        <v>1</v>
      </c>
      <c r="C771" s="60">
        <f>IF(B771&lt;&gt;1,"",SUM(B$771:B771))</f>
        <v>1</v>
      </c>
      <c r="D771" s="57">
        <v>1</v>
      </c>
      <c r="F771" s="85" t="str">
        <f>IF(COUNTA($A$771:$A771)&lt;=MAX(DS_Green_Sequence)=TRUE,LOOKUP(COUNTA($A$771:$A771),DS_Green_Sequence,DS_Green_DataNames),"")</f>
        <v>Leadership in Energy and Environmental Design (LEED)</v>
      </c>
    </row>
    <row r="772" spans="1:6">
      <c r="A772" s="59" t="s">
        <v>535</v>
      </c>
      <c r="B772" s="57">
        <v>1</v>
      </c>
      <c r="C772" s="60">
        <f>IF(B772&lt;&gt;1,"",SUM(B$771:B772))</f>
        <v>2</v>
      </c>
      <c r="D772" s="57">
        <v>2</v>
      </c>
      <c r="F772" s="85" t="str">
        <f>IF(COUNTA($A$771:$A772)&lt;=MAX(DS_Green_Sequence)=TRUE,LOOKUP(COUNTA($A$771:$A772),DS_Green_Sequence,DS_Green_DataNames),"")</f>
        <v>Florida Green Building Coalition (FGBC)</v>
      </c>
    </row>
    <row r="773" spans="1:6">
      <c r="A773" s="59" t="s">
        <v>536</v>
      </c>
      <c r="B773" s="57">
        <v>1</v>
      </c>
      <c r="C773" s="60">
        <f>IF(B773&lt;&gt;1,"",SUM(B$771:B773))</f>
        <v>3</v>
      </c>
      <c r="D773" s="57">
        <v>3</v>
      </c>
      <c r="F773" s="85" t="str">
        <f>IF(COUNTA($A$771:$A773)&lt;=MAX(DS_Green_Sequence)=TRUE,LOOKUP(COUNTA($A$771:$A773),DS_Green_Sequence,DS_Green_DataNames),"")</f>
        <v>Enterprise Green Communities</v>
      </c>
    </row>
    <row r="774" spans="1:6">
      <c r="A774" s="59" t="s">
        <v>537</v>
      </c>
      <c r="B774" s="57">
        <v>1</v>
      </c>
      <c r="C774" s="60">
        <f>IF(B774&lt;&gt;1,"",SUM(B$771:B774))</f>
        <v>4</v>
      </c>
      <c r="D774" s="57">
        <v>4</v>
      </c>
      <c r="F774" s="85" t="str">
        <f>IF(COUNTA($A$771:$A774)&lt;=MAX(DS_Green_Sequence)=TRUE,LOOKUP(COUNTA($A$771:$A774),DS_Green_Sequence,DS_Green_DataNames),"")</f>
        <v>ICC 700 National Green building Standard (NGBS)</v>
      </c>
    </row>
    <row r="776" spans="1:6" ht="18" customHeight="1">
      <c r="A776" s="531" t="s">
        <v>538</v>
      </c>
      <c r="E776" s="483" t="str">
        <f>"4.A.8.d.("&amp;'Construction Features'!B16&amp;")"</f>
        <v>4.A.8.d.()</v>
      </c>
    </row>
    <row r="777" spans="1:6">
      <c r="A777" s="411" t="s">
        <v>539</v>
      </c>
    </row>
    <row r="778" spans="1:6">
      <c r="A778" s="592" t="s">
        <v>540</v>
      </c>
      <c r="B778" s="593" t="b">
        <v>0</v>
      </c>
    </row>
    <row r="779" spans="1:6">
      <c r="A779" s="594" t="s">
        <v>541</v>
      </c>
      <c r="B779" s="595" t="b">
        <v>0</v>
      </c>
    </row>
    <row r="780" spans="1:6">
      <c r="A780" s="594" t="s">
        <v>542</v>
      </c>
      <c r="B780" s="595" t="b">
        <v>0</v>
      </c>
    </row>
    <row r="781" spans="1:6">
      <c r="A781" s="594" t="s">
        <v>543</v>
      </c>
      <c r="B781" s="595" t="b">
        <v>0</v>
      </c>
    </row>
    <row r="782" spans="1:6">
      <c r="A782" s="594" t="s">
        <v>2424</v>
      </c>
      <c r="B782" s="595" t="b">
        <v>0</v>
      </c>
    </row>
    <row r="783" spans="1:6">
      <c r="A783" s="594" t="s">
        <v>2425</v>
      </c>
      <c r="B783" s="595" t="b">
        <v>0</v>
      </c>
    </row>
    <row r="784" spans="1:6">
      <c r="A784" s="594" t="s">
        <v>544</v>
      </c>
      <c r="B784" s="595" t="b">
        <v>0</v>
      </c>
    </row>
    <row r="785" spans="1:5">
      <c r="A785" s="594" t="s">
        <v>545</v>
      </c>
      <c r="B785" s="595" t="b">
        <v>0</v>
      </c>
    </row>
    <row r="786" spans="1:5">
      <c r="A786" s="594" t="s">
        <v>546</v>
      </c>
      <c r="B786" s="595" t="b">
        <v>0</v>
      </c>
    </row>
    <row r="787" spans="1:5">
      <c r="A787" s="594" t="s">
        <v>547</v>
      </c>
      <c r="B787" s="595" t="b">
        <v>0</v>
      </c>
    </row>
    <row r="788" spans="1:5">
      <c r="A788" t="s">
        <v>548</v>
      </c>
      <c r="B788" s="585"/>
    </row>
    <row r="789" spans="1:5">
      <c r="A789" t="s">
        <v>548</v>
      </c>
      <c r="B789" s="585"/>
    </row>
    <row r="790" spans="1:5">
      <c r="A790" t="s">
        <v>548</v>
      </c>
      <c r="B790" s="585"/>
    </row>
    <row r="791" spans="1:5">
      <c r="A791" t="s">
        <v>548</v>
      </c>
      <c r="B791" s="585"/>
    </row>
    <row r="792" spans="1:5">
      <c r="A792" s="592" t="s">
        <v>549</v>
      </c>
      <c r="B792" s="593" t="b">
        <v>0</v>
      </c>
    </row>
    <row r="793" spans="1:5">
      <c r="A793" s="596" t="s">
        <v>550</v>
      </c>
      <c r="B793" s="597" t="b">
        <v>0</v>
      </c>
    </row>
    <row r="795" spans="1:5" ht="18" customHeight="1">
      <c r="A795" s="531" t="s">
        <v>2218</v>
      </c>
      <c r="E795" s="483" t="s">
        <v>551</v>
      </c>
    </row>
    <row r="796" spans="1:5">
      <c r="A796" s="592" t="s">
        <v>552</v>
      </c>
      <c r="B796" s="651" t="b">
        <v>0</v>
      </c>
    </row>
    <row r="797" spans="1:5">
      <c r="A797" s="596" t="s">
        <v>553</v>
      </c>
      <c r="B797" s="653" t="b">
        <v>0</v>
      </c>
    </row>
    <row r="799" spans="1:5" ht="18" customHeight="1">
      <c r="A799" s="531" t="s">
        <v>554</v>
      </c>
      <c r="E799" s="483" t="s">
        <v>551</v>
      </c>
    </row>
    <row r="800" spans="1:5" ht="18" customHeight="1">
      <c r="A800" s="6" t="s">
        <v>1091</v>
      </c>
      <c r="B800" s="2067">
        <v>3</v>
      </c>
      <c r="C800" s="757" t="s">
        <v>2839</v>
      </c>
      <c r="E800" s="483"/>
    </row>
    <row r="801" spans="1:7">
      <c r="A801" s="411" t="s">
        <v>555</v>
      </c>
      <c r="B801" s="585"/>
      <c r="F801" t="s">
        <v>556</v>
      </c>
    </row>
    <row r="802" spans="1:7">
      <c r="A802" s="592" t="s">
        <v>557</v>
      </c>
      <c r="B802" s="651" t="b">
        <v>0</v>
      </c>
    </row>
    <row r="803" spans="1:7">
      <c r="A803" s="594" t="s">
        <v>2147</v>
      </c>
      <c r="B803" s="652" t="b">
        <v>0</v>
      </c>
    </row>
    <row r="804" spans="1:7">
      <c r="A804" s="594" t="s">
        <v>558</v>
      </c>
      <c r="B804" s="652" t="b">
        <v>0</v>
      </c>
    </row>
    <row r="805" spans="1:7">
      <c r="A805" s="594" t="s">
        <v>2444</v>
      </c>
      <c r="B805" s="652" t="b">
        <v>0</v>
      </c>
    </row>
    <row r="806" spans="1:7">
      <c r="A806" s="596" t="s">
        <v>2377</v>
      </c>
      <c r="B806" s="653" t="b">
        <v>0</v>
      </c>
    </row>
    <row r="807" spans="1:7">
      <c r="A807" s="591" t="s">
        <v>559</v>
      </c>
      <c r="B807" s="585"/>
      <c r="F807" t="s">
        <v>560</v>
      </c>
    </row>
    <row r="808" spans="1:7">
      <c r="A808" s="267" t="str">
        <f>"("&amp;TEXT('Resident Programs'!B$15,"0")&amp;") 1. Financial Management for Elderly Residents"</f>
        <v>(3) 1. Financial Management for Elderly Residents</v>
      </c>
      <c r="B808" s="651" t="b">
        <v>0</v>
      </c>
    </row>
    <row r="809" spans="1:7">
      <c r="A809" s="251" t="str">
        <f>"("&amp;TEXT('Resident Programs'!B$15,"0")&amp;") 2. Computer Training"</f>
        <v>(3) 2. Computer Training</v>
      </c>
      <c r="B809" s="652" t="b">
        <v>0</v>
      </c>
    </row>
    <row r="810" spans="1:7">
      <c r="A810" s="251" t="str">
        <f>"("&amp;TEXT('Resident Programs'!B$15,"0")&amp;") 3. Daily Activities"</f>
        <v>(3) 3. Daily Activities</v>
      </c>
      <c r="B810" s="652" t="b">
        <v>0</v>
      </c>
    </row>
    <row r="811" spans="1:7">
      <c r="A811" s="251" t="str">
        <f>"("&amp;TEXT('Resident Programs'!B$15,"0")&amp;") 4. Housekeeping"</f>
        <v>(3) 4. Housekeeping</v>
      </c>
      <c r="B811" s="652" t="b">
        <v>0</v>
      </c>
    </row>
    <row r="812" spans="1:7">
      <c r="A812" s="330" t="str">
        <f>"("&amp;TEXT('Resident Programs'!B$15,"0")&amp;") 5. Check-In Program"</f>
        <v>(3) 5. Check-In Program</v>
      </c>
      <c r="B812" s="653" t="b">
        <v>0</v>
      </c>
    </row>
    <row r="814" spans="1:7" ht="18" customHeight="1">
      <c r="A814" s="531" t="s">
        <v>561</v>
      </c>
      <c r="E814" s="483" t="str">
        <f>"4.A.10.a."</f>
        <v>4.A.10.a.</v>
      </c>
    </row>
    <row r="815" spans="1:7">
      <c r="A815" s="272" t="s">
        <v>562</v>
      </c>
      <c r="B815" s="267"/>
      <c r="C815" s="267"/>
      <c r="D815" s="267"/>
      <c r="E815" s="267"/>
      <c r="F815" s="885">
        <v>0</v>
      </c>
      <c r="G815" t="s">
        <v>1945</v>
      </c>
    </row>
    <row r="816" spans="1:7">
      <c r="A816" s="329" t="s">
        <v>1944</v>
      </c>
      <c r="B816" s="330"/>
      <c r="C816" s="330"/>
      <c r="D816" s="330"/>
      <c r="E816" s="330"/>
      <c r="F816" s="885">
        <v>24000000</v>
      </c>
      <c r="G816" t="s">
        <v>563</v>
      </c>
    </row>
    <row r="818" spans="1:17">
      <c r="A818" s="531" t="s">
        <v>1605</v>
      </c>
      <c r="E818" s="483" t="str">
        <f>"4.A.10.a.("&amp;Funding!B279&amp;")("&amp;Funding!C315&amp;")"</f>
        <v>4.A.10.a.(2)(c)</v>
      </c>
      <c r="F818" s="993" t="s">
        <v>638</v>
      </c>
    </row>
    <row r="819" spans="1:17">
      <c r="A819" s="267" t="str">
        <f>E$818&amp;"("&amp;Funding!D319&amp;") - Subsequent Phase"</f>
        <v>4.A.10.a.(2)(c)(i) - Subsequent Phase</v>
      </c>
      <c r="B819" s="376" t="str">
        <f>IF(AND(Multiphase_subsequent="Yes",App_number_first_phase&lt;&gt;""),"Yes","No")</f>
        <v>No</v>
      </c>
      <c r="F819" s="992" t="s">
        <v>1675</v>
      </c>
      <c r="K819" t="s">
        <v>1614</v>
      </c>
      <c r="L819" s="1004" t="s">
        <v>1612</v>
      </c>
    </row>
    <row r="820" spans="1:17">
      <c r="A820" s="267" t="str">
        <f>E$818&amp;"("&amp;Funding!D324&amp;") - SADDA"</f>
        <v>4.A.10.a.(2)(c)(ii) - SADDA</v>
      </c>
      <c r="B820" s="394" t="str">
        <f>IF(AND(County&lt;&gt;"&lt;select one&gt;",Small_Area_DDA="Yes",OR(SADDA_ZCTA_1&lt;&gt;"",SADDA_ZCTA_2&lt;&gt;"",SADDA_ZCTA_3&lt;&gt;""),OR(IFERROR(FIND("is in the",Comment_SADDA_ZCTA_1),0)&gt;0,IFERROR(FIND("is in the",Comment_SADDA_ZCTA_2),0)&gt;0,IFERROR(FIND("is in the",Comment_SADDA_ZCTA_3),0)&gt;0)),"Yes","No")</f>
        <v>No</v>
      </c>
      <c r="D820" s="3085" t="s">
        <v>1607</v>
      </c>
      <c r="E820" s="3086"/>
      <c r="F820" s="992">
        <v>2026</v>
      </c>
      <c r="L820" s="15" t="s">
        <v>2227</v>
      </c>
    </row>
    <row r="821" spans="1:17">
      <c r="A821" s="267" t="str">
        <f>E$818&amp;"("&amp;Funding!D332&amp;") - Non-Metro DDA"</f>
        <v>4.A.10.a.(2)(c)(iii) - Non-Metro DDA</v>
      </c>
      <c r="B821" s="394" t="str">
        <f>IF(AND(DDA_nonmetro="Yes",DDA_nonmetro_name=County),"Yes","No")</f>
        <v>No</v>
      </c>
      <c r="D821" s="3087"/>
      <c r="E821" s="3088"/>
      <c r="F821" s="992">
        <v>2025</v>
      </c>
      <c r="L821" s="6" t="s">
        <v>2228</v>
      </c>
    </row>
    <row r="822" spans="1:17">
      <c r="A822" s="267" t="str">
        <f>E$818&amp;"("&amp;Funding!D337&amp;") - QCT"</f>
        <v>4.A.10.a.(2)(c)(iv) - QCT</v>
      </c>
      <c r="B822" s="394" t="str">
        <f>IF(AND(QCT="Yes",QCT_number&lt;&gt;"",OR(AND(QCT_metro_or_nonmetro="Metro",IFERROR(FIND("is in the "&amp;County,Comment_QCT_number_metro),0)&gt;0),AND(QCT_metro_or_nonmetro="Non-Metro",IFERROR(FIND("is in the "&amp;County,Comment_QCT_number_nonmetro),0)&gt;0))),"Yes","No")</f>
        <v>No</v>
      </c>
      <c r="D822" s="3052" t="str">
        <f>IF(OR(Multiphase_subsequent_qualified="Yes",Small_Area_DDA_qualified="Yes",DDA_nonmetro_qualified="Yes",QCT_qualified="Yes"),"Yes","No")</f>
        <v>No</v>
      </c>
      <c r="E822" s="3053"/>
      <c r="F822" s="992"/>
      <c r="K822" s="876"/>
      <c r="L822" s="931" t="s">
        <v>1617</v>
      </c>
      <c r="M822" s="876"/>
      <c r="N822" s="876"/>
      <c r="O822" s="876"/>
      <c r="P822" s="876"/>
      <c r="Q822" s="876"/>
    </row>
    <row r="823" spans="1:17">
      <c r="K823" t="s">
        <v>1615</v>
      </c>
      <c r="L823" s="1004" t="s">
        <v>1613</v>
      </c>
    </row>
    <row r="824" spans="1:17" ht="18" customHeight="1">
      <c r="A824" s="531" t="s">
        <v>1595</v>
      </c>
      <c r="E824" s="483" t="str">
        <f>"4.A.10.a.("&amp;Funding!B279&amp;")("&amp;Funding!C315&amp;")"</f>
        <v>4.A.10.a.(2)(c)</v>
      </c>
      <c r="L824" s="6" t="s">
        <v>2229</v>
      </c>
    </row>
    <row r="825" spans="1:17">
      <c r="A825" s="267" t="str">
        <f>E$824&amp;"("&amp;Funding!D346&amp;") - Geographic AofO"</f>
        <v>4.A.10.a.(2)(c)( ) - Geographic AofO</v>
      </c>
      <c r="B825" s="376" t="str">
        <f>IF(AND(Earned_HUD_Boost&lt;&gt;"Yes",Geo_Area_of_Opp_boost="Yes",OR(AND(GAO_Number1&lt;&gt;"",IFERROR(FIND("is a 2025 GAO",Comment_GAO_Number1),0)&gt;0),AND(GAO_Number2&lt;&gt;"",IFERROR(FIND("is a GAO",Comment_GAO_Number2),0)&gt;0),AND(GAO_Number3&lt;&gt;"",IFERROR(FIND("is a GAO",Comment_GAO_Number3),0)&gt;0))),"Yes","No")</f>
        <v>No</v>
      </c>
      <c r="C825" s="823">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25" s="1626" t="s">
        <v>2419</v>
      </c>
      <c r="F825" t="str">
        <f>IF(AND(Geo_Area_of_Opp_boost_qualified="No",Geo_Area_of_Opp_boost_qualified_comment=""),"No data entered yet.",Geo_Area_of_Opp_boost_qualified_comment)</f>
        <v>No data entered yet.</v>
      </c>
      <c r="L825" s="6" t="s">
        <v>2230</v>
      </c>
    </row>
    <row r="826" spans="1:17">
      <c r="A826" s="251" t="str">
        <f>E$824&amp;"("&amp;Funding!D355&amp;") - Urban Center/MetroRail AofO"</f>
        <v>4.A.10.a.(2)(c)( ) - Urban Center/MetroRail AofO</v>
      </c>
      <c r="B826" s="376" t="str">
        <f>IF(AND(Earned_HUD_Boost&lt;&gt;"Yes",OR(Urban_Center_Area_of_Opp_boost="Yes",MetroRail_Area_of_Opp_boost="Yes")),"Yes","No")</f>
        <v>No</v>
      </c>
      <c r="D826" s="3085" t="s">
        <v>2004</v>
      </c>
      <c r="E826" s="3086"/>
      <c r="F826" t="str">
        <f>"Urban Center Designation "&amp;IF('Proximity, Mand.Dist., RECAP'!L78=0,"is turned off",IF(UrbanCenter="&lt;select one&gt;","has no responses","is a "&amp;UrbanCenter&amp;" response"&amp;IF(UrbanCenter_Name&lt;&gt;"&lt;select one&gt;"," &amp; is identified",IF(UrbanCenter="No","",", but not identified"))))&amp;". "&amp;"MetroRail Designation "&amp;IF('Proximity, Mand.Dist., RECAP'!L84=0,"is turned off",IF(MetroRail="&lt;select one&gt;","has no responses","is a "&amp;MetroRail&amp;" response"&amp;IF(MetroRail_Name&lt;&gt;"&lt;select one&gt;"," &amp; is identified",IF(MetroRail="No","",", but not identified"))))&amp;"."</f>
        <v>Urban Center Designation is turned off. MetroRail Designation is turned off.</v>
      </c>
      <c r="L826" s="6" t="s">
        <v>2231</v>
      </c>
    </row>
    <row r="827" spans="1:17">
      <c r="A827" s="251" t="str">
        <f>E$824&amp;"("&amp;Funding!D365&amp;") - Local Gov't AofO"</f>
        <v>4.A.10.a.(2)(c)( ) - Local Gov't AofO</v>
      </c>
      <c r="B827" s="394" t="str">
        <f>IF(AND(AND(Earned_HUD_Boost&lt;&gt;"Yes"),LGAO_Designation="Yes",AND(LGAO_Loan_Forgive_Face+LGAO_Loan_Repaid_Face+LGAO_Grant_Face&gt;0,LGAO_Loan_Forgive_Face+LGAO_Loan_Repaid_Face+LGAO_Grant_Face&gt;=IFERROR(VLOOKUP(County,DS_CountyData,4),1000000000)),OR(LG_Name1&lt;&gt;"",LG_Name2&lt;&gt;"",LG_Name3&lt;&gt;"",LG_Name4&lt;&gt;"",LG_Name5="")),"Yes","No")</f>
        <v>No</v>
      </c>
      <c r="D827" s="3087"/>
      <c r="E827" s="3088"/>
      <c r="F827" t="str">
        <f>IF(AND(LGAO_Number_qualified="No",LGAO_Number_qualified_Comment=""),"No data entered yet.",LGAO_Number_qualified_Comment)</f>
        <v>No data entered yet.</v>
      </c>
      <c r="L827" s="6" t="s">
        <v>2232</v>
      </c>
    </row>
    <row r="828" spans="1:17">
      <c r="A828" s="251" t="str">
        <f>E$824&amp;"("&amp;Funding!D368&amp;") - PHA AofO"</f>
        <v>4.A.10.a.(2)(c)( ) - PHA AofO</v>
      </c>
      <c r="B828" s="394" t="str">
        <f>IF(AND(Earned_HUD_Boost&lt;&gt;"Yes",IF(AND(Funding!L522&gt;0,PHA_land_lease="Yes",IF(Funding!L528&gt;0,PHA_Name&lt;&gt;"",TRUE)),TRUE,IF(AND(Funding!L525&gt;0,PHA_as_Principal="Yes",IF(Funding!L528&gt;0,PHA_Name&lt;&gt;"",TRUE)),TRUE,FALSE))),"Yes","No")</f>
        <v>No</v>
      </c>
      <c r="D828" s="3052" t="str">
        <f>IF(AND(Earned_HUD_Boost="No",OR(Geo_Area_of_Opp_boost_qualified="Yes",Urban_Center_Area_of_Opp_boost_qualified="Yes",LGAO_Number_qualified="Yes",PHA_Area_of_Opp_boost_qualified="Yes",Demographic_Area_of_Opp_boost_qualified="Yes")),"Yes","No")</f>
        <v>No</v>
      </c>
      <c r="E828" s="3053"/>
      <c r="F828" t="str">
        <f>IF(AND(PHA_Area_of_Opp_boost_qualified="No",PHA_Area_of_Opp_boost_qualified_comment=""),"No data entered yet.",PHA_Area_of_Opp_boost_qualified_comment)</f>
        <v>No data entered yet.</v>
      </c>
      <c r="L828" s="6" t="s">
        <v>2233</v>
      </c>
    </row>
    <row r="829" spans="1:17">
      <c r="A829" s="251" t="str">
        <f>E$824&amp;"("&amp;Funding!D371&amp;") - Demographic AofO"</f>
        <v>4.A.10.a.(2)(c)( ) - Demographic AofO</v>
      </c>
      <c r="B829" s="394" t="str">
        <f>IF(AND(Earned_HUD_Boost&lt;&gt;"Yes",Demographic_Area_of_Opp_boost="Yes"),"Yes","No")</f>
        <v>No</v>
      </c>
      <c r="F829" t="str">
        <f>IF(OR(Demographic=Data1!A25,Demographic=Data1!A26,Demographic=Data1!A27,Demographic=Data1!A28),"Qualified Demographic entered.",IF(Demographic="&lt;select one&gt;","No Demographic selected.","Wrong Demographic to qualify."))</f>
        <v>No Demographic selected.</v>
      </c>
      <c r="K829" s="876"/>
      <c r="L829" s="1005" t="s">
        <v>1612</v>
      </c>
      <c r="M829" s="876"/>
      <c r="N829" s="876"/>
      <c r="O829" s="876"/>
      <c r="P829" s="876"/>
      <c r="Q829" s="876"/>
    </row>
    <row r="830" spans="1:17">
      <c r="A830" s="251" t="str">
        <f>E$824&amp;"("&amp;Funding!D374&amp;") - Previously Submitted Permit Ready AofO"</f>
        <v>4.A.10.a.(2)(c)( ) - Previously Submitted Permit Ready AofO</v>
      </c>
      <c r="B830" s="394" t="str">
        <f>IF(AND(Earned_HUD_Boost&lt;&gt;"Yes",Permit_Ready_Area_of_Opp_boost="Yes"),"Yes","No")</f>
        <v>No</v>
      </c>
      <c r="L830" s="1004"/>
    </row>
    <row r="831" spans="1:17">
      <c r="K831" t="s">
        <v>1616</v>
      </c>
      <c r="L831" s="1004" t="s">
        <v>1613</v>
      </c>
    </row>
    <row r="832" spans="1:17" ht="18" customHeight="1">
      <c r="A832" s="531" t="s">
        <v>564</v>
      </c>
      <c r="E832" s="483" t="str">
        <f>"4.A.10.b."</f>
        <v>4.A.10.b.</v>
      </c>
      <c r="L832" s="6" t="s">
        <v>1618</v>
      </c>
    </row>
    <row r="833" spans="1:12" ht="18" customHeight="1">
      <c r="A833" s="267" t="s">
        <v>2265</v>
      </c>
      <c r="B833" s="1914" t="b">
        <v>0</v>
      </c>
      <c r="E833" s="483"/>
      <c r="L833" s="6"/>
    </row>
    <row r="834" spans="1:12">
      <c r="A834" s="267" t="s">
        <v>245</v>
      </c>
      <c r="B834" s="598" t="b">
        <v>0</v>
      </c>
      <c r="L834" s="6" t="s">
        <v>1619</v>
      </c>
    </row>
    <row r="835" spans="1:12">
      <c r="A835" s="330" t="s">
        <v>565</v>
      </c>
      <c r="B835" s="599" t="b">
        <v>0</v>
      </c>
      <c r="L835" s="6" t="s">
        <v>1620</v>
      </c>
    </row>
    <row r="836" spans="1:12">
      <c r="L836" s="6" t="s">
        <v>1621</v>
      </c>
    </row>
    <row r="837" spans="1:12" ht="18" customHeight="1">
      <c r="A837" s="531" t="s">
        <v>566</v>
      </c>
      <c r="B837" s="6"/>
      <c r="C837" s="6"/>
      <c r="D837" s="6"/>
      <c r="E837" s="483" t="str">
        <f>"4.A.10."&amp;Funding!A475&amp;"."</f>
        <v>4.A.10..</v>
      </c>
      <c r="F837" s="64" t="s">
        <v>41</v>
      </c>
      <c r="L837" s="6" t="s">
        <v>1622</v>
      </c>
    </row>
    <row r="838" spans="1:12">
      <c r="A838" s="272" t="s">
        <v>567</v>
      </c>
      <c r="B838" s="3102">
        <v>0.03</v>
      </c>
      <c r="C838" s="3102"/>
      <c r="D838" s="3102"/>
      <c r="F838" s="85" t="s">
        <v>119</v>
      </c>
      <c r="G838" t="s">
        <v>568</v>
      </c>
      <c r="L838" s="1004" t="s">
        <v>1612</v>
      </c>
    </row>
    <row r="839" spans="1:12">
      <c r="A839" s="330" t="s">
        <v>569</v>
      </c>
      <c r="B839" s="3101" t="s">
        <v>719</v>
      </c>
      <c r="C839" s="3101"/>
      <c r="D839" s="3101"/>
      <c r="E839" s="526">
        <f>IF(DS_Qualifying_FAFP_Basis="SAIL",1,IF(DS_Qualifying_FAFP_Basis="SAIL/Grant",2,IF(DS_Qualifying_FAFP_Basis="Grant",3,IF(DS_Qualifying_FAFP_Basis="HOME-ARP",4,IF(DS_Qualifying_FAFP_Basis="SAIL/HOME-ARP",5,IF(DS_Qualifying_FAFP_Basis="9% HCs",6,7))))))</f>
        <v>6</v>
      </c>
      <c r="F839" s="85" t="s">
        <v>571</v>
      </c>
      <c r="G839" s="1327" t="str">
        <f>"The ""Base"" Award process has not been programmed into the Grant Request amount section. See note in cell F"&amp;ROW(F844)&amp;"."</f>
        <v>The "Base" Award process has not been programmed into the Grant Request amount section. See note in cell F844.</v>
      </c>
    </row>
    <row r="840" spans="1:12">
      <c r="B840" s="476"/>
      <c r="C840" s="476"/>
      <c r="D840" s="476"/>
      <c r="E840" s="526"/>
      <c r="F840" s="85" t="s">
        <v>114</v>
      </c>
      <c r="G840" s="475"/>
    </row>
    <row r="841" spans="1:12">
      <c r="B841" s="476"/>
      <c r="C841" s="476"/>
      <c r="D841" s="476"/>
      <c r="F841" s="85" t="s">
        <v>572</v>
      </c>
      <c r="G841" s="475"/>
    </row>
    <row r="842" spans="1:12">
      <c r="B842" s="476"/>
      <c r="C842" s="476"/>
      <c r="D842" s="476"/>
      <c r="F842" s="85" t="s">
        <v>570</v>
      </c>
      <c r="G842" s="475"/>
    </row>
    <row r="843" spans="1:12">
      <c r="A843" t="s">
        <v>2871</v>
      </c>
      <c r="B843" s="476"/>
      <c r="C843" s="476"/>
      <c r="D843" s="476"/>
      <c r="F843" s="85" t="s">
        <v>719</v>
      </c>
      <c r="G843" s="475"/>
    </row>
    <row r="844" spans="1:12">
      <c r="B844" s="476"/>
      <c r="C844" s="476"/>
      <c r="D844" s="476"/>
      <c r="F844" s="85" t="s">
        <v>573</v>
      </c>
      <c r="G844" s="475"/>
    </row>
    <row r="846" spans="1:12" ht="18" customHeight="1">
      <c r="A846" s="531" t="s">
        <v>574</v>
      </c>
      <c r="B846" s="6"/>
      <c r="C846" s="6"/>
      <c r="D846" s="6"/>
      <c r="E846" s="483" t="str">
        <f>"4.A.10."&amp;Funding!A491&amp;"."</f>
        <v>4.A.10..</v>
      </c>
    </row>
    <row r="847" spans="1:12">
      <c r="A847" t="s">
        <v>575</v>
      </c>
      <c r="B847" s="886"/>
      <c r="F847" s="885">
        <v>40000</v>
      </c>
    </row>
    <row r="848" spans="1:12">
      <c r="B848" s="1752" t="s">
        <v>2889</v>
      </c>
    </row>
    <row r="849" spans="1:13" ht="18" customHeight="1">
      <c r="A849" s="531" t="s">
        <v>576</v>
      </c>
      <c r="B849" s="1882" t="b">
        <v>1</v>
      </c>
      <c r="C849" s="6"/>
      <c r="D849" s="6"/>
      <c r="E849" s="483" t="s">
        <v>577</v>
      </c>
    </row>
    <row r="850" spans="1:13">
      <c r="A850" s="272" t="s">
        <v>578</v>
      </c>
      <c r="B850" s="3103" t="s">
        <v>436</v>
      </c>
      <c r="C850" s="3103"/>
      <c r="D850" s="1096" t="s">
        <v>1702</v>
      </c>
      <c r="E850" s="267"/>
      <c r="F850" s="267"/>
      <c r="G850" s="64" t="s">
        <v>41</v>
      </c>
      <c r="H850" t="s">
        <v>2022</v>
      </c>
      <c r="J850" s="1093" t="s">
        <v>2018</v>
      </c>
      <c r="K850" s="1094" t="s">
        <v>2019</v>
      </c>
      <c r="L850" s="1095" t="s">
        <v>331</v>
      </c>
    </row>
    <row r="851" spans="1:13">
      <c r="A851" s="273" t="s">
        <v>2445</v>
      </c>
      <c r="B851" s="3097" t="s">
        <v>1706</v>
      </c>
      <c r="C851" s="3097"/>
      <c r="D851" s="767" t="s">
        <v>1711</v>
      </c>
      <c r="E851" s="251"/>
      <c r="F851" s="251"/>
      <c r="G851" s="85" t="s">
        <v>2841</v>
      </c>
      <c r="H851" t="s">
        <v>2021</v>
      </c>
      <c r="J851" s="631" t="e">
        <f>'LGAO Status'!#REF!</f>
        <v>#REF!</v>
      </c>
      <c r="K851" s="823">
        <f>'LGAO Status'!P19</f>
        <v>0</v>
      </c>
      <c r="L851" s="825" t="str">
        <f>IF(County="Miami-Dade","Yes","No")</f>
        <v>No</v>
      </c>
    </row>
    <row r="852" spans="1:13">
      <c r="A852" s="273" t="s">
        <v>1703</v>
      </c>
      <c r="B852" s="3097" t="s">
        <v>436</v>
      </c>
      <c r="C852" s="3097"/>
      <c r="D852" s="767" t="s">
        <v>2020</v>
      </c>
      <c r="E852" s="251"/>
      <c r="F852" s="251"/>
      <c r="G852" s="85" t="s">
        <v>2840</v>
      </c>
      <c r="H852" t="s">
        <v>2022</v>
      </c>
      <c r="J852" s="3078" t="e">
        <f>IF(AND(J851=1,K851="No"),"Shows a. (auto stmt), b. (has LGC?), c. (Attachment), LG Funding table, LG Contributors table, 5pt stmt; Hides d. LGAO?, all LGAO designations.",IF(AND(J851=1,K851="Yes"),"Shows a. (auto stmt), b. (has LGC?), c. (Attachment), LG Funding table, LG Contributors table, 5pt stmt, d. LGAO?, LGAO Designation ¶; Hides remaining LGAO items.",IF(AND(J851=0,K851="No"),"Nothing is displayed.",IF(AND(J851=0,K851="Yes"),"Shows LG Funding table, LG Contributors table, All LGAO items except ?; Hides a. (auto stmt), b. (has LGC?), c. (Attachment), 5pt stmt, d. LGAO?",""))))</f>
        <v>#REF!</v>
      </c>
      <c r="K852" s="2544"/>
      <c r="L852" s="2558"/>
    </row>
    <row r="853" spans="1:13">
      <c r="A853" s="273" t="s">
        <v>2446</v>
      </c>
      <c r="B853" s="3097" t="s">
        <v>1883</v>
      </c>
      <c r="C853" s="3097"/>
      <c r="D853" s="767" t="s">
        <v>1707</v>
      </c>
      <c r="E853" s="251"/>
      <c r="F853" s="251"/>
      <c r="G853" s="85" t="s">
        <v>2369</v>
      </c>
      <c r="H853" t="s">
        <v>2029</v>
      </c>
      <c r="J853" s="3078"/>
      <c r="K853" s="2544"/>
      <c r="L853" s="2558"/>
    </row>
    <row r="854" spans="1:13">
      <c r="A854" s="273" t="s">
        <v>1713</v>
      </c>
      <c r="B854" s="3097" t="s">
        <v>436</v>
      </c>
      <c r="C854" s="3097"/>
      <c r="D854" s="767" t="s">
        <v>1710</v>
      </c>
      <c r="E854" s="251"/>
      <c r="F854" s="251"/>
      <c r="H854" t="s">
        <v>2023</v>
      </c>
      <c r="J854" s="3078"/>
      <c r="K854" s="2544"/>
      <c r="L854" s="2558"/>
    </row>
    <row r="855" spans="1:13">
      <c r="A855" s="273" t="s">
        <v>2447</v>
      </c>
      <c r="B855" s="3097" t="s">
        <v>436</v>
      </c>
      <c r="C855" s="3097"/>
      <c r="D855" s="767" t="s">
        <v>1709</v>
      </c>
      <c r="E855" s="251"/>
      <c r="F855" s="251"/>
      <c r="H855" t="s">
        <v>2027</v>
      </c>
      <c r="J855" s="3078"/>
      <c r="K855" s="2544"/>
      <c r="L855" s="2558"/>
    </row>
    <row r="856" spans="1:13">
      <c r="A856" s="391" t="s">
        <v>1704</v>
      </c>
      <c r="B856" s="3099" t="s">
        <v>436</v>
      </c>
      <c r="C856" s="3099"/>
      <c r="D856" s="390" t="s">
        <v>1708</v>
      </c>
      <c r="E856" s="439"/>
      <c r="F856" s="439"/>
      <c r="H856" t="s">
        <v>2028</v>
      </c>
      <c r="J856" s="3079"/>
      <c r="K856" s="3080"/>
      <c r="L856" s="3081"/>
    </row>
    <row r="857" spans="1:13">
      <c r="A857" s="6" t="s">
        <v>2864</v>
      </c>
      <c r="B857" s="3098">
        <f>IF(Data1!$B$850="No",0,IF(AND(IF(Data1!$B$852="Yes",AND(County&lt;&gt;"&lt;select one&gt;",County&lt;&gt;"Miami-Dade"),TRUE),OR(Development_Category="Rehabilitation",Development_Category="Acquisition and Rehabilitation")),5,IF(AND(Data1!$B$852="Yes",County="Miami-Dade"),IF(IF(Data1!$B$853="Face",LGC_Total_Face,LGC_Total_ValueOfContribution)&gt;=N(LGC_Points_Min_Amt),5,0),MIN(5,ROUND(5*IF(N(LGC_Points_Min_Amt)=0,0,IF(Data1!$B$851="Face",LGC_Total_Face,LGC_Total_ValueOfContribution)/LGC_Points_Min_Amt),2)))))</f>
        <v>0</v>
      </c>
      <c r="C857" s="3098"/>
      <c r="D857" s="6"/>
      <c r="F857" s="1092"/>
      <c r="L857" s="528" t="s">
        <v>1588</v>
      </c>
      <c r="M857" s="528" t="s">
        <v>1705</v>
      </c>
    </row>
    <row r="858" spans="1:13">
      <c r="A858" s="6" t="s">
        <v>2865</v>
      </c>
      <c r="B858" s="3100">
        <f>IFERROR(ROUND(MIN(MAX('LGAO Status'!$G$14/LGAO_Min_Amt,0),'LGAO Status'!$G$14/LGAO_Min_Amt),0),0)*5</f>
        <v>0</v>
      </c>
      <c r="C858" s="3100"/>
      <c r="D858" s="6"/>
      <c r="F858" s="1092"/>
      <c r="L858" s="528"/>
      <c r="M858" s="528"/>
    </row>
    <row r="859" spans="1:13">
      <c r="A859" s="6" t="s">
        <v>1593</v>
      </c>
      <c r="B859" s="3096" t="str">
        <f>IFERROR(VLOOKUP(County,DS_CountyData,3),"TBD")</f>
        <v>NA</v>
      </c>
      <c r="C859" s="3096"/>
      <c r="D859" s="6"/>
      <c r="F859" s="1097"/>
      <c r="J859" s="6" t="s">
        <v>2024</v>
      </c>
      <c r="L859" s="823" t="s">
        <v>2042</v>
      </c>
      <c r="M859" s="823" t="s">
        <v>2044</v>
      </c>
    </row>
    <row r="860" spans="1:13">
      <c r="A860" s="6" t="s">
        <v>1594</v>
      </c>
      <c r="B860" s="3096" t="str">
        <f>IFERROR(VLOOKUP(County,DS_CountyData,4),"TBD")</f>
        <v>NA</v>
      </c>
      <c r="C860" s="3096"/>
      <c r="D860" s="6"/>
      <c r="F860" s="1097"/>
      <c r="J860" s="6" t="s">
        <v>2031</v>
      </c>
      <c r="L860" s="823" t="s">
        <v>2042</v>
      </c>
      <c r="M860" s="823" t="s">
        <v>2044</v>
      </c>
    </row>
    <row r="861" spans="1:13">
      <c r="A861" s="6"/>
      <c r="B861" s="444"/>
      <c r="C861" s="444"/>
      <c r="D861" s="6"/>
      <c r="F861" s="1097"/>
      <c r="J861" s="6" t="s">
        <v>2032</v>
      </c>
      <c r="L861" s="823" t="s">
        <v>2042</v>
      </c>
      <c r="M861" s="823" t="s">
        <v>2044</v>
      </c>
    </row>
    <row r="862" spans="1:13" ht="18" customHeight="1">
      <c r="A862" s="531" t="s">
        <v>579</v>
      </c>
      <c r="E862" s="483" t="s">
        <v>580</v>
      </c>
      <c r="F862" s="1752" t="s">
        <v>3241</v>
      </c>
      <c r="J862" s="6" t="s">
        <v>2030</v>
      </c>
      <c r="L862" s="823" t="s">
        <v>2036</v>
      </c>
      <c r="M862" s="823" t="s">
        <v>2043</v>
      </c>
    </row>
    <row r="863" spans="1:13">
      <c r="A863" s="6" t="s">
        <v>3239</v>
      </c>
      <c r="B863" s="590" t="b">
        <v>0</v>
      </c>
      <c r="F863" s="1097"/>
      <c r="J863" s="6" t="s">
        <v>2025</v>
      </c>
      <c r="L863" s="823" t="s">
        <v>2036</v>
      </c>
      <c r="M863" s="823" t="s">
        <v>2043</v>
      </c>
    </row>
    <row r="864" spans="1:13">
      <c r="A864" s="6" t="s">
        <v>3240</v>
      </c>
      <c r="B864" s="590" t="b">
        <v>0</v>
      </c>
      <c r="F864" s="1097"/>
      <c r="J864" s="6" t="s">
        <v>2035</v>
      </c>
      <c r="L864" s="823" t="s">
        <v>2042</v>
      </c>
      <c r="M864" s="823" t="s">
        <v>2044</v>
      </c>
    </row>
    <row r="865" spans="1:13">
      <c r="A865" s="6" t="s">
        <v>581</v>
      </c>
      <c r="B865" s="590" t="b">
        <v>0</v>
      </c>
      <c r="F865" s="1097"/>
      <c r="J865" s="6" t="s">
        <v>2033</v>
      </c>
      <c r="L865" s="823" t="s">
        <v>2042</v>
      </c>
      <c r="M865" s="823" t="s">
        <v>2044</v>
      </c>
    </row>
    <row r="866" spans="1:13">
      <c r="F866" s="1097"/>
      <c r="G866" s="1097"/>
      <c r="H866" s="1097"/>
      <c r="J866" s="6" t="s">
        <v>2026</v>
      </c>
      <c r="L866" s="823" t="s">
        <v>2037</v>
      </c>
      <c r="M866" s="823" t="s">
        <v>2046</v>
      </c>
    </row>
    <row r="867" spans="1:13">
      <c r="A867" s="1445" t="s">
        <v>2141</v>
      </c>
      <c r="E867" s="483" t="s">
        <v>2142</v>
      </c>
      <c r="F867" s="1097"/>
      <c r="G867" s="1097"/>
      <c r="H867" s="1097"/>
      <c r="J867" s="6" t="s">
        <v>2039</v>
      </c>
      <c r="L867" s="823" t="s">
        <v>2040</v>
      </c>
      <c r="M867" s="823" t="s">
        <v>2047</v>
      </c>
    </row>
    <row r="868" spans="1:13">
      <c r="A868" s="6" t="s">
        <v>2139</v>
      </c>
      <c r="B868" s="590" t="b">
        <v>0</v>
      </c>
      <c r="F868" s="1097"/>
      <c r="G868" s="1097"/>
      <c r="H868" s="1097"/>
      <c r="J868" s="6" t="s">
        <v>2038</v>
      </c>
      <c r="L868" s="823" t="s">
        <v>2041</v>
      </c>
      <c r="M868" s="823" t="s">
        <v>2045</v>
      </c>
    </row>
    <row r="869" spans="1:13">
      <c r="A869" t="s">
        <v>2138</v>
      </c>
      <c r="B869" s="590" t="b">
        <v>0</v>
      </c>
      <c r="F869" s="1097"/>
      <c r="G869" s="1097"/>
      <c r="H869" s="1097"/>
      <c r="J869" s="6" t="s">
        <v>2034</v>
      </c>
      <c r="L869" s="823" t="s">
        <v>2040</v>
      </c>
      <c r="M869" s="823" t="s">
        <v>2047</v>
      </c>
    </row>
    <row r="870" spans="1:13">
      <c r="A870" t="s">
        <v>2144</v>
      </c>
      <c r="B870" s="590" t="b">
        <v>0</v>
      </c>
      <c r="F870" s="1097"/>
      <c r="G870" s="1097"/>
      <c r="H870" s="1097"/>
      <c r="J870" s="6"/>
      <c r="L870" s="823"/>
      <c r="M870" s="823"/>
    </row>
    <row r="871" spans="1:13">
      <c r="F871" s="1097"/>
      <c r="G871" s="1097"/>
      <c r="H871" s="1097"/>
      <c r="J871" s="6"/>
      <c r="L871" s="823"/>
      <c r="M871" s="823"/>
    </row>
    <row r="872" spans="1:13">
      <c r="A872" s="531" t="s">
        <v>1849</v>
      </c>
      <c r="B872" s="532" t="s">
        <v>37</v>
      </c>
      <c r="C872" s="532" t="s">
        <v>38</v>
      </c>
      <c r="D872" s="532" t="s">
        <v>39</v>
      </c>
      <c r="E872" s="483" t="s">
        <v>1821</v>
      </c>
      <c r="F872" s="64" t="s">
        <v>41</v>
      </c>
    </row>
    <row r="873" spans="1:13">
      <c r="A873" s="918" t="s">
        <v>1826</v>
      </c>
      <c r="B873" s="57">
        <v>0</v>
      </c>
      <c r="C873" s="60" t="str">
        <f>IF(B873&lt;&gt;1,"",SUM(B$873:B873))</f>
        <v/>
      </c>
      <c r="D873" s="57">
        <v>1</v>
      </c>
      <c r="E873" s="376" t="s">
        <v>1833</v>
      </c>
      <c r="F873" s="85" t="str">
        <f>IF(COUNTA($A$873:$A873)&lt;=MAX(DS_Goals_Sequence)=TRUE,LOOKUP(COUNTA($A$873:$A873),DS_Goals_Sequence,DS_Goals_DataNames),"")</f>
        <v>Youth Aging Out of Foster Care Goal</v>
      </c>
    </row>
    <row r="874" spans="1:13">
      <c r="A874" s="368" t="s">
        <v>1825</v>
      </c>
      <c r="B874" s="57">
        <v>0</v>
      </c>
      <c r="C874" s="60" t="str">
        <f>IF(B874&lt;&gt;1,"",SUM(B$873:B874))</f>
        <v/>
      </c>
      <c r="D874" s="57">
        <v>2</v>
      </c>
      <c r="E874" s="394" t="s">
        <v>1833</v>
      </c>
      <c r="F874" s="85" t="str">
        <f>IF(COUNTA($A$873:$A874)&lt;=MAX(DS_Goals_Sequence)=TRUE,LOOKUP(COUNTA($A$873:$A874),DS_Goals_Sequence,DS_Goals_DataNames),"")</f>
        <v>Mixed Use Development Goal</v>
      </c>
    </row>
    <row r="875" spans="1:13">
      <c r="A875" s="368" t="s">
        <v>1827</v>
      </c>
      <c r="B875" s="57">
        <v>0</v>
      </c>
      <c r="C875" s="60" t="str">
        <f>IF(B875&lt;&gt;1,"",SUM(B$873:B875))</f>
        <v/>
      </c>
      <c r="D875" s="57">
        <v>3</v>
      </c>
      <c r="E875" s="394" t="s">
        <v>1833</v>
      </c>
      <c r="F875" s="85" t="str">
        <f>IF(COUNTA($A$873:$A875)&lt;=MAX(DS_Goals_Sequence)=TRUE,LOOKUP(COUNTA($A$873:$A875),DS_Goals_Sequence,DS_Goals_DataNames),"")</f>
        <v>Urban Infill Goal</v>
      </c>
    </row>
    <row r="876" spans="1:13">
      <c r="A876" s="368" t="s">
        <v>1828</v>
      </c>
      <c r="B876" s="57">
        <v>0</v>
      </c>
      <c r="C876" s="60" t="str">
        <f>IF(B876&lt;&gt;1,"",SUM(B$873:B876))</f>
        <v/>
      </c>
      <c r="D876" s="57">
        <v>4</v>
      </c>
      <c r="E876" s="394" t="s">
        <v>1834</v>
      </c>
      <c r="F876" s="85" t="str">
        <f>IF(COUNTA($A$873:$A876)&lt;=MAX(DS_Goals_Sequence)=TRUE,LOOKUP(COUNTA($A$873:$A876),DS_Goals_Sequence,DS_Goals_DataNames),"")</f>
        <v>Publicly Owned Land Goal</v>
      </c>
    </row>
    <row r="877" spans="1:13">
      <c r="A877" s="368" t="s">
        <v>1830</v>
      </c>
      <c r="B877" s="57">
        <v>0</v>
      </c>
      <c r="C877" s="60" t="str">
        <f>IF(B877&lt;&gt;1,"",SUM(B$873:B877))</f>
        <v/>
      </c>
      <c r="D877" s="57">
        <v>5</v>
      </c>
      <c r="E877" s="394" t="s">
        <v>1834</v>
      </c>
      <c r="F877" s="85" t="str">
        <f>IF(COUNTA($A$873:$A877)&lt;=MAX(DS_Goals_Sequence)=TRUE,LOOKUP(COUNTA($A$873:$A877),DS_Goals_Sequence,DS_Goals_DataNames),"")</f>
        <v/>
      </c>
    </row>
    <row r="878" spans="1:13">
      <c r="A878" s="368" t="s">
        <v>1829</v>
      </c>
      <c r="B878" s="57">
        <v>0</v>
      </c>
      <c r="C878" s="60" t="str">
        <f>IF(B878&lt;&gt;1,"",SUM(B$873:B878))</f>
        <v/>
      </c>
      <c r="D878" s="57">
        <v>7</v>
      </c>
      <c r="E878" s="394" t="s">
        <v>1834</v>
      </c>
      <c r="F878" s="85"/>
    </row>
    <row r="879" spans="1:13">
      <c r="A879" s="368" t="s">
        <v>1831</v>
      </c>
      <c r="B879" s="57">
        <v>0</v>
      </c>
      <c r="C879" s="60" t="str">
        <f>IF(B879&lt;&gt;1,"",SUM(B$873:B879))</f>
        <v/>
      </c>
      <c r="D879" s="57">
        <v>8</v>
      </c>
      <c r="E879" s="394" t="s">
        <v>1835</v>
      </c>
      <c r="F879" s="85"/>
    </row>
    <row r="880" spans="1:13">
      <c r="A880" s="368" t="s">
        <v>2448</v>
      </c>
      <c r="B880" s="57">
        <v>0</v>
      </c>
      <c r="C880" s="60" t="str">
        <f>IF(B880&lt;&gt;1,"",SUM(B$873:B880))</f>
        <v/>
      </c>
      <c r="D880" s="57">
        <v>9</v>
      </c>
      <c r="E880" s="394" t="s">
        <v>1835</v>
      </c>
      <c r="F880" s="85"/>
    </row>
    <row r="881" spans="1:10">
      <c r="A881" s="368" t="s">
        <v>1832</v>
      </c>
      <c r="B881" s="57">
        <v>0</v>
      </c>
      <c r="C881" s="60" t="str">
        <f>IF(B881&lt;&gt;1,"",SUM(B$873:B881))</f>
        <v/>
      </c>
      <c r="D881" s="57">
        <v>10</v>
      </c>
      <c r="E881" s="394" t="s">
        <v>1835</v>
      </c>
      <c r="F881" s="85"/>
    </row>
    <row r="882" spans="1:10">
      <c r="A882" s="368" t="s">
        <v>855</v>
      </c>
      <c r="B882" s="57">
        <v>1</v>
      </c>
      <c r="C882" s="60">
        <f>IF(B882&lt;&gt;1,"",SUM(B$873:B882))</f>
        <v>1</v>
      </c>
      <c r="D882" s="57">
        <v>11</v>
      </c>
      <c r="E882" s="394" t="s">
        <v>2150</v>
      </c>
      <c r="F882" s="85"/>
    </row>
    <row r="883" spans="1:10">
      <c r="A883" s="368" t="s">
        <v>2127</v>
      </c>
      <c r="B883" s="57">
        <v>1</v>
      </c>
      <c r="C883" s="60">
        <f>IF(B883&lt;&gt;1,"",SUM(B$873:B883))</f>
        <v>2</v>
      </c>
      <c r="D883" s="57">
        <v>12</v>
      </c>
      <c r="E883" s="394" t="s">
        <v>2150</v>
      </c>
      <c r="F883" s="85"/>
    </row>
    <row r="884" spans="1:10">
      <c r="A884" s="368" t="s">
        <v>2449</v>
      </c>
      <c r="B884" s="57">
        <v>1</v>
      </c>
      <c r="C884" s="60">
        <f>IF(B884&lt;&gt;1,"",SUM(B$873:B884))</f>
        <v>3</v>
      </c>
      <c r="D884" s="57">
        <v>13</v>
      </c>
      <c r="E884" s="394" t="s">
        <v>2150</v>
      </c>
      <c r="F884" s="85"/>
    </row>
    <row r="885" spans="1:10">
      <c r="A885" s="368" t="s">
        <v>2124</v>
      </c>
      <c r="B885" s="57">
        <v>1</v>
      </c>
      <c r="C885" s="60">
        <f>IF(B885&lt;&gt;1,"",SUM(B$873:B885))</f>
        <v>4</v>
      </c>
      <c r="D885" s="57">
        <v>14</v>
      </c>
      <c r="E885" s="394" t="s">
        <v>2150</v>
      </c>
      <c r="F885" s="85" t="str">
        <f>IF(COUNTA($A$873:$A885)&lt;=MAX(DS_Goals_Sequence)=TRUE,LOOKUP(COUNTA($A$873:$A885),DS_Goals_Sequence,DS_Goals_DataNames),"")</f>
        <v/>
      </c>
    </row>
    <row r="887" spans="1:10">
      <c r="A887" s="531" t="s">
        <v>1850</v>
      </c>
    </row>
    <row r="888" spans="1:10">
      <c r="A888" s="6" t="s">
        <v>1851</v>
      </c>
      <c r="B888" s="1471" t="b">
        <v>0</v>
      </c>
      <c r="D888" s="94" t="str">
        <f>"("&amp;Goals!D10&amp;")"</f>
        <v>(Type Goal 1 Descriptive Wording in this Cell)</v>
      </c>
    </row>
    <row r="889" spans="1:10">
      <c r="A889" s="6" t="s">
        <v>1852</v>
      </c>
      <c r="B889" s="1471" t="b">
        <v>0</v>
      </c>
      <c r="D889" s="94" t="str">
        <f>"("&amp;Goals!D11&amp;")"</f>
        <v>(Type Goal 2 Descriptive Wording in this Cell)</v>
      </c>
    </row>
    <row r="890" spans="1:10">
      <c r="A890" s="6" t="s">
        <v>1853</v>
      </c>
      <c r="B890" s="1471" t="b">
        <v>0</v>
      </c>
      <c r="D890" s="94" t="str">
        <f>"("&amp;Goals!D12&amp;")"</f>
        <v>(Type Goal 3 Descriptive Wording in this Cell)</v>
      </c>
    </row>
    <row r="891" spans="1:10">
      <c r="A891" s="6" t="s">
        <v>2125</v>
      </c>
      <c r="B891" s="590" t="b">
        <v>0</v>
      </c>
      <c r="D891" s="94" t="str">
        <f>"("&amp;Goals!D13&amp;")"</f>
        <v>(Type Goal 4 Descriptive Wording in this Cell)</v>
      </c>
    </row>
    <row r="892" spans="1:10">
      <c r="A892" s="952" t="s">
        <v>2126</v>
      </c>
      <c r="B892" s="1472"/>
      <c r="C892" s="585"/>
      <c r="D892" s="1446" t="str">
        <f>"("&amp;Goals!D14&amp;")"</f>
        <v>()</v>
      </c>
      <c r="E892" s="585"/>
    </row>
    <row r="894" spans="1:10" ht="18" customHeight="1">
      <c r="A894" s="531" t="s">
        <v>582</v>
      </c>
      <c r="B894" s="6"/>
      <c r="C894" s="6"/>
      <c r="D894" s="6"/>
      <c r="E894" s="586" t="s">
        <v>583</v>
      </c>
      <c r="F894" s="111" t="s">
        <v>584</v>
      </c>
    </row>
    <row r="895" spans="1:10">
      <c r="A895" t="s">
        <v>585</v>
      </c>
      <c r="E895" s="833" t="s">
        <v>280</v>
      </c>
      <c r="F895" s="822" t="s">
        <v>436</v>
      </c>
    </row>
    <row r="896" spans="1:10">
      <c r="A896" t="s">
        <v>3220</v>
      </c>
      <c r="E896" s="833" t="s">
        <v>280</v>
      </c>
      <c r="F896" s="833" t="s">
        <v>280</v>
      </c>
      <c r="J896" s="725"/>
    </row>
    <row r="897" spans="1:7">
      <c r="A897" t="s">
        <v>2743</v>
      </c>
      <c r="E897" s="833" t="s">
        <v>280</v>
      </c>
      <c r="F897" s="833" t="s">
        <v>436</v>
      </c>
    </row>
    <row r="898" spans="1:7">
      <c r="A898" t="s">
        <v>586</v>
      </c>
      <c r="E898" s="833" t="s">
        <v>280</v>
      </c>
      <c r="F898" s="833" t="s">
        <v>436</v>
      </c>
    </row>
    <row r="899" spans="1:7">
      <c r="A899" t="s">
        <v>587</v>
      </c>
      <c r="E899" s="833" t="s">
        <v>280</v>
      </c>
      <c r="F899" s="833" t="s">
        <v>436</v>
      </c>
    </row>
    <row r="900" spans="1:7">
      <c r="A900" t="s">
        <v>588</v>
      </c>
      <c r="E900" s="833" t="s">
        <v>280</v>
      </c>
      <c r="F900" s="833" t="s">
        <v>436</v>
      </c>
    </row>
    <row r="901" spans="1:7">
      <c r="A901" t="s">
        <v>589</v>
      </c>
      <c r="E901" s="833" t="s">
        <v>280</v>
      </c>
      <c r="F901" s="833" t="s">
        <v>436</v>
      </c>
    </row>
    <row r="902" spans="1:7">
      <c r="A902" t="s">
        <v>590</v>
      </c>
      <c r="E902" s="833" t="s">
        <v>280</v>
      </c>
      <c r="F902" s="833" t="s">
        <v>436</v>
      </c>
    </row>
    <row r="903" spans="1:7">
      <c r="A903" t="s">
        <v>591</v>
      </c>
      <c r="E903" s="833" t="s">
        <v>280</v>
      </c>
      <c r="F903" s="833" t="s">
        <v>280</v>
      </c>
    </row>
    <row r="904" spans="1:7">
      <c r="A904" t="s">
        <v>592</v>
      </c>
      <c r="E904" s="833" t="s">
        <v>280</v>
      </c>
      <c r="F904" s="833" t="s">
        <v>436</v>
      </c>
    </row>
    <row r="905" spans="1:7">
      <c r="A905" t="s">
        <v>593</v>
      </c>
      <c r="E905" s="833" t="s">
        <v>280</v>
      </c>
      <c r="F905" s="833" t="s">
        <v>436</v>
      </c>
    </row>
    <row r="906" spans="1:7">
      <c r="A906" t="s">
        <v>594</v>
      </c>
      <c r="D906" s="1221" t="s">
        <v>280</v>
      </c>
      <c r="E906" s="833" t="s">
        <v>280</v>
      </c>
      <c r="F906" s="833" t="s">
        <v>436</v>
      </c>
      <c r="G906" s="1219" t="s">
        <v>595</v>
      </c>
    </row>
    <row r="907" spans="1:7">
      <c r="A907" t="s">
        <v>2450</v>
      </c>
      <c r="D907" s="1221" t="s">
        <v>436</v>
      </c>
      <c r="E907" s="1119" t="s">
        <v>436</v>
      </c>
      <c r="F907" s="833" t="s">
        <v>436</v>
      </c>
      <c r="G907" s="1222" t="str">
        <f>IF(E907="No","Manualy lock ODR Ineligible and Total Fields","Manualy unlock ODR Ineligible and Total Fields")</f>
        <v>Manualy lock ODR Ineligible and Total Fields</v>
      </c>
    </row>
    <row r="908" spans="1:7">
      <c r="A908" t="s">
        <v>2842</v>
      </c>
      <c r="E908" s="833" t="s">
        <v>280</v>
      </c>
      <c r="F908" s="833" t="s">
        <v>280</v>
      </c>
    </row>
    <row r="909" spans="1:7">
      <c r="A909" t="s">
        <v>2843</v>
      </c>
      <c r="E909" s="833" t="s">
        <v>280</v>
      </c>
      <c r="F909" s="833" t="s">
        <v>280</v>
      </c>
    </row>
    <row r="910" spans="1:7">
      <c r="A910" t="s">
        <v>2146</v>
      </c>
      <c r="E910" s="833" t="s">
        <v>280</v>
      </c>
      <c r="F910" s="833" t="s">
        <v>280</v>
      </c>
    </row>
    <row r="911" spans="1:7">
      <c r="A911" t="s">
        <v>596</v>
      </c>
      <c r="E911" s="833" t="s">
        <v>280</v>
      </c>
      <c r="F911" s="833" t="s">
        <v>280</v>
      </c>
    </row>
    <row r="912" spans="1:7">
      <c r="A912" t="s">
        <v>597</v>
      </c>
      <c r="E912" s="804"/>
      <c r="F912" s="833" t="s">
        <v>436</v>
      </c>
    </row>
    <row r="913" spans="1:6">
      <c r="A913" t="s">
        <v>2787</v>
      </c>
      <c r="E913" s="833" t="s">
        <v>280</v>
      </c>
      <c r="F913" s="833" t="s">
        <v>280</v>
      </c>
    </row>
    <row r="914" spans="1:6">
      <c r="A914" t="s">
        <v>598</v>
      </c>
      <c r="E914" s="833" t="s">
        <v>280</v>
      </c>
      <c r="F914" s="833" t="s">
        <v>436</v>
      </c>
    </row>
    <row r="915" spans="1:6">
      <c r="A915" t="s">
        <v>2543</v>
      </c>
      <c r="E915" s="805"/>
      <c r="F915" s="833" t="s">
        <v>280</v>
      </c>
    </row>
    <row r="916" spans="1:6" ht="5.25" customHeight="1"/>
    <row r="919" spans="1:6" ht="18" customHeight="1">
      <c r="A919" s="531" t="s">
        <v>599</v>
      </c>
      <c r="B919" s="6"/>
      <c r="C919" s="6"/>
      <c r="D919" s="6"/>
      <c r="E919" s="6"/>
      <c r="F919" s="435" t="s">
        <v>41</v>
      </c>
    </row>
    <row r="920" spans="1:6">
      <c r="A920" s="264" t="str">
        <f>"for Cell "&amp;CHOOSE(VALUE(COLUMN(DS_Gap_AMI_Max)),"A","B","C","D","E","F","G","H","I","J","K","L","M","N","O","P","Q","R","S","T","U","V","W","X","Y","Z")&amp;ROW(DS_Gap_AMI_Max)&amp;" (Gap Loan: Max. AMI - Manually selected) [DS_Gap_AMI_Max]"</f>
        <v>for Cell B661 (Gap Loan: Max. AMI - Manually selected) [DS_Gap_AMI_Max]</v>
      </c>
      <c r="F920" s="434">
        <v>0.2</v>
      </c>
    </row>
    <row r="921" spans="1:6">
      <c r="F921" s="434">
        <v>0.22</v>
      </c>
    </row>
    <row r="922" spans="1:6">
      <c r="F922" s="434">
        <v>0.25</v>
      </c>
    </row>
    <row r="923" spans="1:6">
      <c r="F923" s="434">
        <v>0.28000000000000003</v>
      </c>
    </row>
    <row r="924" spans="1:6">
      <c r="F924" s="434">
        <v>0.3</v>
      </c>
    </row>
    <row r="925" spans="1:6">
      <c r="F925" s="434">
        <v>0.33</v>
      </c>
    </row>
    <row r="926" spans="1:6">
      <c r="F926" s="434">
        <v>0.35</v>
      </c>
    </row>
    <row r="927" spans="1:6">
      <c r="F927" s="434">
        <v>0.4</v>
      </c>
    </row>
    <row r="928" spans="1:6">
      <c r="F928" s="434">
        <v>0.45</v>
      </c>
    </row>
    <row r="929" spans="1:19">
      <c r="F929" s="434">
        <v>0.5</v>
      </c>
    </row>
    <row r="930" spans="1:19">
      <c r="F930" s="434">
        <v>0.6</v>
      </c>
    </row>
    <row r="931" spans="1:19">
      <c r="F931" s="434">
        <v>0.7</v>
      </c>
    </row>
    <row r="932" spans="1:19">
      <c r="F932" s="434">
        <v>0.8</v>
      </c>
    </row>
    <row r="933" spans="1:19">
      <c r="F933" s="434">
        <v>1.2</v>
      </c>
    </row>
    <row r="940" spans="1:19" ht="18" customHeight="1">
      <c r="A940" s="531" t="s">
        <v>600</v>
      </c>
      <c r="B940" s="532" t="s">
        <v>37</v>
      </c>
      <c r="C940" s="532" t="s">
        <v>38</v>
      </c>
      <c r="D940" s="532" t="s">
        <v>39</v>
      </c>
      <c r="E940" s="534" t="s">
        <v>601</v>
      </c>
      <c r="F940" s="64" t="s">
        <v>41</v>
      </c>
      <c r="I940" s="1"/>
      <c r="J940" s="1"/>
      <c r="K940" s="1"/>
      <c r="L940" s="1"/>
      <c r="M940" s="1"/>
      <c r="N940" s="1"/>
      <c r="O940" s="1"/>
      <c r="P940" s="1"/>
      <c r="Q940" s="1"/>
      <c r="R940" s="1"/>
      <c r="S940" s="1"/>
    </row>
    <row r="941" spans="1:19">
      <c r="A941" s="59" t="s">
        <v>602</v>
      </c>
      <c r="B941" s="57">
        <v>1</v>
      </c>
      <c r="C941" s="60">
        <f>IF(B941&lt;&gt;1,"",SUM(B$941:B941))</f>
        <v>1</v>
      </c>
      <c r="D941" s="57">
        <v>1</v>
      </c>
      <c r="F941" s="85" t="str">
        <f>IF(COUNTA($A$941:$A941)&lt;=MAX(DS_Serv_Sequence)=TRUE,LOOKUP(COUNTA($A$941:$A941),DS_Serv_Sequence,DS_Serv_DataNames),"")</f>
        <v>AmeriNat Community Services</v>
      </c>
      <c r="I941" s="1"/>
      <c r="J941" s="1"/>
      <c r="K941" s="1"/>
      <c r="L941" s="1"/>
      <c r="M941" s="1"/>
      <c r="N941" s="1"/>
      <c r="O941" s="1"/>
      <c r="P941" s="1"/>
      <c r="Q941" s="1"/>
      <c r="R941" s="1"/>
      <c r="S941" s="1"/>
    </row>
    <row r="942" spans="1:19">
      <c r="A942" s="59" t="s">
        <v>603</v>
      </c>
      <c r="B942" s="57">
        <v>1</v>
      </c>
      <c r="C942" s="60">
        <f>IF(B942&lt;&gt;1,"",SUM(B$941:B942))</f>
        <v>2</v>
      </c>
      <c r="D942" s="57">
        <v>2</v>
      </c>
      <c r="F942" s="85" t="str">
        <f>IF(COUNTA($A$941:$A942)&lt;=MAX(DS_Serv_Sequence)=TRUE,LOOKUP(COUNTA($A$941:$A942),DS_Serv_Sequence,DS_Serv_DataNames),"")</f>
        <v>First Housing Development Corporation</v>
      </c>
      <c r="I942" s="1"/>
      <c r="J942" s="1"/>
      <c r="K942" s="1"/>
      <c r="L942" s="1"/>
      <c r="M942" s="1"/>
      <c r="N942" s="1"/>
      <c r="O942" s="1"/>
      <c r="P942" s="1"/>
      <c r="Q942" s="1"/>
      <c r="R942" s="1"/>
      <c r="S942" s="1"/>
    </row>
    <row r="943" spans="1:19">
      <c r="A943" s="59" t="s">
        <v>604</v>
      </c>
      <c r="B943" s="57">
        <v>1</v>
      </c>
      <c r="C943" s="60">
        <f>IF(B943&lt;&gt;1,"",SUM(B$941:B943))</f>
        <v>3</v>
      </c>
      <c r="D943" s="57">
        <v>3</v>
      </c>
      <c r="F943" s="85" t="str">
        <f>IF(COUNTA($A$941:$A943)&lt;=MAX(DS_Serv_Sequence)=TRUE,LOOKUP(COUNTA($A$941:$A943),DS_Serv_Sequence,DS_Serv_DataNames),"")</f>
        <v>Seltzer Management Company</v>
      </c>
    </row>
    <row r="944" spans="1:19">
      <c r="A944" s="59" t="s">
        <v>605</v>
      </c>
      <c r="B944" s="57">
        <v>1</v>
      </c>
      <c r="C944" s="60">
        <f>IF(B944&lt;&gt;1,"",SUM(B$941:B944))</f>
        <v>4</v>
      </c>
      <c r="D944" s="57">
        <v>4</v>
      </c>
      <c r="F944" s="85" t="str">
        <f>IF(COUNTA($A$941:$A944)&lt;=MAX(DS_Serv_Sequence)=TRUE,LOOKUP(COUNTA($A$941:$A944),DS_Serv_Sequence,DS_Serv_DataNames),"")</f>
        <v>Unknown</v>
      </c>
    </row>
    <row r="954" spans="1:1">
      <c r="A954" t="s">
        <v>606</v>
      </c>
    </row>
    <row r="955" spans="1:1">
      <c r="A955" s="25" t="s">
        <v>607</v>
      </c>
    </row>
    <row r="956" spans="1:1">
      <c r="A956" t="s">
        <v>2451</v>
      </c>
    </row>
    <row r="957" spans="1:1">
      <c r="A957" t="s">
        <v>608</v>
      </c>
    </row>
    <row r="959" spans="1:1">
      <c r="A959" s="25" t="s">
        <v>609</v>
      </c>
    </row>
    <row r="960" spans="1:1">
      <c r="A960" t="s">
        <v>2452</v>
      </c>
    </row>
    <row r="961" spans="1:1">
      <c r="A961" t="s">
        <v>610</v>
      </c>
    </row>
    <row r="1194" spans="1:5">
      <c r="A1194" s="2"/>
      <c r="B1194" s="2"/>
      <c r="C1194" s="2"/>
      <c r="D1194" s="2"/>
      <c r="E1194" s="2"/>
    </row>
    <row r="1195" spans="1:5">
      <c r="A1195" s="2"/>
      <c r="B1195" s="2"/>
      <c r="C1195" s="2"/>
      <c r="D1195" s="2"/>
      <c r="E1195" s="2"/>
    </row>
    <row r="1196" spans="1:5">
      <c r="A1196" s="2"/>
      <c r="B1196" s="2"/>
      <c r="C1196" s="2"/>
      <c r="D1196" s="2"/>
      <c r="E1196" s="2"/>
    </row>
    <row r="1197" spans="1:5">
      <c r="A1197" s="2"/>
      <c r="B1197" s="2"/>
      <c r="C1197" s="2"/>
      <c r="D1197" s="2"/>
      <c r="E1197" s="2"/>
    </row>
    <row r="1198" spans="1:5">
      <c r="A1198" s="2"/>
      <c r="B1198" s="2"/>
      <c r="C1198" s="2"/>
      <c r="D1198" s="2"/>
      <c r="E1198" s="2"/>
    </row>
    <row r="1199" spans="1:5">
      <c r="A1199" s="2"/>
      <c r="B1199" s="2"/>
      <c r="C1199" s="2"/>
      <c r="D1199" s="2"/>
      <c r="E1199" s="2"/>
    </row>
    <row r="1200" spans="1:5">
      <c r="A1200" s="2"/>
      <c r="B1200" s="2"/>
      <c r="C1200" s="2"/>
      <c r="D1200" s="2"/>
      <c r="E1200" s="2"/>
    </row>
    <row r="1201" spans="1:5">
      <c r="A1201" s="2"/>
      <c r="B1201" s="2"/>
      <c r="C1201" s="2"/>
      <c r="D1201" s="2"/>
      <c r="E1201" s="2"/>
    </row>
    <row r="1202" spans="1:5">
      <c r="A1202" s="2"/>
      <c r="B1202" s="2"/>
      <c r="C1202" s="2"/>
      <c r="D1202" s="2"/>
      <c r="E1202" s="2"/>
    </row>
    <row r="1203" spans="1:5">
      <c r="A1203" s="2"/>
      <c r="B1203" s="2"/>
      <c r="C1203" s="2"/>
      <c r="D1203" s="2"/>
      <c r="E1203" s="2"/>
    </row>
    <row r="1204" spans="1:5">
      <c r="A1204" s="2"/>
      <c r="B1204" s="2"/>
      <c r="C1204" s="2"/>
      <c r="D1204" s="2"/>
      <c r="E1204" s="2"/>
    </row>
    <row r="1205" spans="1:5">
      <c r="A1205" s="2"/>
      <c r="B1205" s="2"/>
      <c r="C1205" s="2"/>
      <c r="D1205" s="2"/>
      <c r="E1205" s="2"/>
    </row>
    <row r="1206" spans="1:5">
      <c r="A1206" s="2"/>
      <c r="B1206" s="2"/>
      <c r="C1206" s="2"/>
      <c r="D1206" s="2"/>
      <c r="E1206" s="2"/>
    </row>
    <row r="1207" spans="1:5">
      <c r="A1207" s="2"/>
      <c r="B1207" s="2"/>
      <c r="C1207" s="2"/>
      <c r="D1207" s="2"/>
      <c r="E1207" s="2"/>
    </row>
    <row r="1208" spans="1:5">
      <c r="A1208" s="2"/>
      <c r="B1208" s="2"/>
      <c r="C1208" s="2"/>
      <c r="D1208" s="2"/>
      <c r="E1208" s="2"/>
    </row>
  </sheetData>
  <sheetProtection algorithmName="SHA-512" hashValue="c+RjbYhzsl0urAvO1kdodN/f4pKMA6bUj8y2AJpBUuUnJK/l2RXerkMK0479Pe+hB6nq6jv/gkPXkMMt1GfS3w==" saltValue="yLH2f83/o37Jq2EU02I9rg==" spinCount="100000" sheet="1" formatRows="0"/>
  <sortState xmlns:xlrd2="http://schemas.microsoft.com/office/spreadsheetml/2017/richdata2" ref="G347:M373">
    <sortCondition ref="K347:K373"/>
    <sortCondition ref="I347:I373"/>
  </sortState>
  <mergeCells count="247">
    <mergeCell ref="B314:C314"/>
    <mergeCell ref="B318:C318"/>
    <mergeCell ref="B327:C327"/>
    <mergeCell ref="B324:C324"/>
    <mergeCell ref="B325:C325"/>
    <mergeCell ref="B316:C316"/>
    <mergeCell ref="G312:Q313"/>
    <mergeCell ref="O523:W523"/>
    <mergeCell ref="O524:W524"/>
    <mergeCell ref="O520:W520"/>
    <mergeCell ref="O521:W521"/>
    <mergeCell ref="U398:V398"/>
    <mergeCell ref="G391:H391"/>
    <mergeCell ref="U399:V399"/>
    <mergeCell ref="S390:T390"/>
    <mergeCell ref="U390:V390"/>
    <mergeCell ref="S391:T391"/>
    <mergeCell ref="S403:W403"/>
    <mergeCell ref="N401:P402"/>
    <mergeCell ref="Q391:R391"/>
    <mergeCell ref="I391:J391"/>
    <mergeCell ref="O398:R400"/>
    <mergeCell ref="B323:C323"/>
    <mergeCell ref="B322:C322"/>
    <mergeCell ref="O525:W525"/>
    <mergeCell ref="W398:X398"/>
    <mergeCell ref="W391:X391"/>
    <mergeCell ref="L671:L672"/>
    <mergeCell ref="H671:H672"/>
    <mergeCell ref="K400:L400"/>
    <mergeCell ref="W390:X390"/>
    <mergeCell ref="O522:W522"/>
    <mergeCell ref="D504:D507"/>
    <mergeCell ref="C577:D577"/>
    <mergeCell ref="C574:D574"/>
    <mergeCell ref="O391:P391"/>
    <mergeCell ref="U391:V391"/>
    <mergeCell ref="I394:I395"/>
    <mergeCell ref="J394:J395"/>
    <mergeCell ref="N394:N395"/>
    <mergeCell ref="O390:R390"/>
    <mergeCell ref="M394:M395"/>
    <mergeCell ref="K391:L391"/>
    <mergeCell ref="O585:P585"/>
    <mergeCell ref="O586:P586"/>
    <mergeCell ref="O599:P599"/>
    <mergeCell ref="O601:P601"/>
    <mergeCell ref="O598:P598"/>
    <mergeCell ref="A367:A368"/>
    <mergeCell ref="A732:G732"/>
    <mergeCell ref="B859:C859"/>
    <mergeCell ref="B860:C860"/>
    <mergeCell ref="B853:C853"/>
    <mergeCell ref="B857:C857"/>
    <mergeCell ref="B855:C855"/>
    <mergeCell ref="B856:C856"/>
    <mergeCell ref="D828:E828"/>
    <mergeCell ref="B858:C858"/>
    <mergeCell ref="B839:D839"/>
    <mergeCell ref="B851:C851"/>
    <mergeCell ref="B838:D838"/>
    <mergeCell ref="B854:C854"/>
    <mergeCell ref="B852:C852"/>
    <mergeCell ref="B850:C850"/>
    <mergeCell ref="A744:G744"/>
    <mergeCell ref="B659:D659"/>
    <mergeCell ref="G390:J390"/>
    <mergeCell ref="I671:J671"/>
    <mergeCell ref="C529:C531"/>
    <mergeCell ref="B543:C543"/>
    <mergeCell ref="B542:C542"/>
    <mergeCell ref="A695:F695"/>
    <mergeCell ref="M680:S680"/>
    <mergeCell ref="U680:X680"/>
    <mergeCell ref="J852:L856"/>
    <mergeCell ref="H661:H662"/>
    <mergeCell ref="F667:F668"/>
    <mergeCell ref="D826:E827"/>
    <mergeCell ref="D820:E821"/>
    <mergeCell ref="A686:F686"/>
    <mergeCell ref="A687:F687"/>
    <mergeCell ref="A694:F694"/>
    <mergeCell ref="M671:N671"/>
    <mergeCell ref="B335:C335"/>
    <mergeCell ref="B336:C336"/>
    <mergeCell ref="B337:C337"/>
    <mergeCell ref="B330:C330"/>
    <mergeCell ref="E322:F326"/>
    <mergeCell ref="E344:E345"/>
    <mergeCell ref="B329:C329"/>
    <mergeCell ref="B326:C326"/>
    <mergeCell ref="B328:C328"/>
    <mergeCell ref="B331:C331"/>
    <mergeCell ref="B334:C334"/>
    <mergeCell ref="B333:C333"/>
    <mergeCell ref="B332:C332"/>
    <mergeCell ref="H591:H592"/>
    <mergeCell ref="G671:G672"/>
    <mergeCell ref="D822:E822"/>
    <mergeCell ref="B720:E720"/>
    <mergeCell ref="G661:G662"/>
    <mergeCell ref="B650:D650"/>
    <mergeCell ref="B658:D658"/>
    <mergeCell ref="C673:F674"/>
    <mergeCell ref="B338:C338"/>
    <mergeCell ref="C653:F654"/>
    <mergeCell ref="E341:E342"/>
    <mergeCell ref="D367:F367"/>
    <mergeCell ref="F656:F657"/>
    <mergeCell ref="B367:C367"/>
    <mergeCell ref="B299:C299"/>
    <mergeCell ref="B301:C301"/>
    <mergeCell ref="B297:C297"/>
    <mergeCell ref="B293:C293"/>
    <mergeCell ref="D143:D144"/>
    <mergeCell ref="B259:C259"/>
    <mergeCell ref="B280:C280"/>
    <mergeCell ref="B134:D135"/>
    <mergeCell ref="B270:C270"/>
    <mergeCell ref="B274:E274"/>
    <mergeCell ref="B281:C281"/>
    <mergeCell ref="B282:C282"/>
    <mergeCell ref="B275:E275"/>
    <mergeCell ref="B272:C272"/>
    <mergeCell ref="E279:F279"/>
    <mergeCell ref="B284:C284"/>
    <mergeCell ref="E290:F294"/>
    <mergeCell ref="B290:C290"/>
    <mergeCell ref="E263:F263"/>
    <mergeCell ref="B255:C255"/>
    <mergeCell ref="B245:C245"/>
    <mergeCell ref="D247:E247"/>
    <mergeCell ref="B283:C283"/>
    <mergeCell ref="B291:C291"/>
    <mergeCell ref="A4:F4"/>
    <mergeCell ref="B256:C256"/>
    <mergeCell ref="B258:C258"/>
    <mergeCell ref="B125:D125"/>
    <mergeCell ref="B7:E7"/>
    <mergeCell ref="B131:D131"/>
    <mergeCell ref="E25:E27"/>
    <mergeCell ref="E72:E82"/>
    <mergeCell ref="A126:H126"/>
    <mergeCell ref="A132:H132"/>
    <mergeCell ref="A121:H121"/>
    <mergeCell ref="A138:H138"/>
    <mergeCell ref="H143:H145"/>
    <mergeCell ref="B287:C287"/>
    <mergeCell ref="B288:C288"/>
    <mergeCell ref="B276:C276"/>
    <mergeCell ref="B289:C289"/>
    <mergeCell ref="A139:H139"/>
    <mergeCell ref="C142:G142"/>
    <mergeCell ref="B269:C269"/>
    <mergeCell ref="D252:E252"/>
    <mergeCell ref="D251:E251"/>
    <mergeCell ref="G263:O264"/>
    <mergeCell ref="I143:I145"/>
    <mergeCell ref="C146:I146"/>
    <mergeCell ref="B260:C260"/>
    <mergeCell ref="B263:C263"/>
    <mergeCell ref="B267:C267"/>
    <mergeCell ref="B285:C285"/>
    <mergeCell ref="B312:C312"/>
    <mergeCell ref="B309:C309"/>
    <mergeCell ref="B300:C300"/>
    <mergeCell ref="B306:E306"/>
    <mergeCell ref="B294:C294"/>
    <mergeCell ref="B308:E308"/>
    <mergeCell ref="B295:C295"/>
    <mergeCell ref="F143:F145"/>
    <mergeCell ref="E144:E145"/>
    <mergeCell ref="B244:C244"/>
    <mergeCell ref="B215:D215"/>
    <mergeCell ref="B221:D221"/>
    <mergeCell ref="B271:C271"/>
    <mergeCell ref="B268:C268"/>
    <mergeCell ref="B266:C266"/>
    <mergeCell ref="B265:C265"/>
    <mergeCell ref="D248:E248"/>
    <mergeCell ref="D249:E249"/>
    <mergeCell ref="D250:E250"/>
    <mergeCell ref="B257:C257"/>
    <mergeCell ref="B292:C292"/>
    <mergeCell ref="B264:C264"/>
    <mergeCell ref="E254:F254"/>
    <mergeCell ref="B286:C286"/>
    <mergeCell ref="B320:C320"/>
    <mergeCell ref="B319:C319"/>
    <mergeCell ref="B279:C279"/>
    <mergeCell ref="B317:E317"/>
    <mergeCell ref="AH403:AL403"/>
    <mergeCell ref="AC403:AG403"/>
    <mergeCell ref="X403:AB403"/>
    <mergeCell ref="AH502:AK504"/>
    <mergeCell ref="AG515:AH515"/>
    <mergeCell ref="AI515:AJ515"/>
    <mergeCell ref="Q404:R404"/>
    <mergeCell ref="N403:P403"/>
    <mergeCell ref="U510:U511"/>
    <mergeCell ref="E312:F312"/>
    <mergeCell ref="B298:C298"/>
    <mergeCell ref="B313:C313"/>
    <mergeCell ref="B296:C296"/>
    <mergeCell ref="B315:C315"/>
    <mergeCell ref="B307:E307"/>
    <mergeCell ref="B302:C302"/>
    <mergeCell ref="B303:C303"/>
    <mergeCell ref="B304:C304"/>
    <mergeCell ref="B305:C305"/>
    <mergeCell ref="B321:C321"/>
    <mergeCell ref="O587:P587"/>
    <mergeCell ref="O588:P589"/>
    <mergeCell ref="N588:N589"/>
    <mergeCell ref="Q588:W589"/>
    <mergeCell ref="N590:N591"/>
    <mergeCell ref="O590:P591"/>
    <mergeCell ref="Q590:W591"/>
    <mergeCell ref="O592:P593"/>
    <mergeCell ref="N592:N593"/>
    <mergeCell ref="Q592:W593"/>
    <mergeCell ref="O594:P595"/>
    <mergeCell ref="Q594:W595"/>
    <mergeCell ref="O596:P597"/>
    <mergeCell ref="Q596:W597"/>
    <mergeCell ref="N594:N595"/>
    <mergeCell ref="N596:N597"/>
    <mergeCell ref="Q611:W612"/>
    <mergeCell ref="O610:P610"/>
    <mergeCell ref="N603:N604"/>
    <mergeCell ref="O603:P604"/>
    <mergeCell ref="Q603:W604"/>
    <mergeCell ref="N606:N607"/>
    <mergeCell ref="O606:P607"/>
    <mergeCell ref="Q606:W607"/>
    <mergeCell ref="N613:N614"/>
    <mergeCell ref="O613:P614"/>
    <mergeCell ref="Q613:W614"/>
    <mergeCell ref="O615:P615"/>
    <mergeCell ref="O616:P616"/>
    <mergeCell ref="O600:P600"/>
    <mergeCell ref="O605:P605"/>
    <mergeCell ref="O611:P612"/>
    <mergeCell ref="O608:P609"/>
    <mergeCell ref="N608:N609"/>
    <mergeCell ref="N611:N612"/>
    <mergeCell ref="Q608:W609"/>
  </mergeCells>
  <conditionalFormatting sqref="A20:A33 C20:C33">
    <cfRule type="expression" dxfId="1519" priority="254">
      <formula>ROUND(COUNTA($A$20:$A20)/2,0)=COUNTA($A$20:$A20)/2</formula>
    </cfRule>
  </conditionalFormatting>
  <conditionalFormatting sqref="A155:A156">
    <cfRule type="expression" dxfId="1514" priority="316">
      <formula>$B155&lt;&gt;1</formula>
    </cfRule>
  </conditionalFormatting>
  <conditionalFormatting sqref="A230:A236 A14:A16 A20:A33 A72:A115 A151:A152 A160:A211 A239:A241 A341:A348 A355:A361 A377:A388 A405:A471 A619:A621 A630:A633 A771:A774 A873:A885">
    <cfRule type="expression" dxfId="1512" priority="3280">
      <formula>$B14&lt;&gt;1</formula>
    </cfRule>
  </conditionalFormatting>
  <conditionalFormatting sqref="A244 D244:E244 A306:E308 A317:E317">
    <cfRule type="expression" dxfId="1510" priority="339">
      <formula>LEFT($B244,2)="Ne"</formula>
    </cfRule>
  </conditionalFormatting>
  <conditionalFormatting sqref="A244 D244:F244">
    <cfRule type="expression" dxfId="1509" priority="16243">
      <formula>AND(LEFT($A244,9)=LEFT($A322,9),LEFT($A244,12)&lt;&gt;LEFT($A322,12),RIGHT(LEFT($A244,11),2)=")(")</formula>
    </cfRule>
    <cfRule type="expression" dxfId="1508" priority="16244">
      <formula>LEFT($A244,9)&lt;&gt;LEFT($A322,9)</formula>
    </cfRule>
    <cfRule type="expression" dxfId="1507" priority="16242">
      <formula>$B244="Yes"</formula>
    </cfRule>
  </conditionalFormatting>
  <conditionalFormatting sqref="A550:A566">
    <cfRule type="expression" dxfId="1499" priority="452">
      <formula>$B550=0</formula>
    </cfRule>
  </conditionalFormatting>
  <conditionalFormatting sqref="A585:A616 A660">
    <cfRule type="expression" dxfId="1498" priority="473">
      <formula>$C585="No"</formula>
    </cfRule>
  </conditionalFormatting>
  <conditionalFormatting sqref="A602:A603 A665:B665">
    <cfRule type="expression" dxfId="1497" priority="143">
      <formula>IFERROR(MATCH("Elderly ALF",DS_Demo_DDMenu,0),0)=0</formula>
    </cfRule>
  </conditionalFormatting>
  <conditionalFormatting sqref="A636">
    <cfRule type="expression" dxfId="1494" priority="120">
      <formula>$C636="No"</formula>
    </cfRule>
  </conditionalFormatting>
  <conditionalFormatting sqref="A642:A647 B647">
    <cfRule type="expression" dxfId="1493" priority="487">
      <formula>SUM($B$630:$B$632)=0</formula>
    </cfRule>
  </conditionalFormatting>
  <conditionalFormatting sqref="A644 A687:L687 A700:A701 C700:F701 A703:L703">
    <cfRule type="expression" dxfId="1492" priority="48">
      <formula>$B$633=0</formula>
    </cfRule>
  </conditionalFormatting>
  <conditionalFormatting sqref="A645">
    <cfRule type="expression" dxfId="1491" priority="168">
      <formula>IFERROR(FIND($F$19:$F$33,"Elderly ALF"),0)=0</formula>
    </cfRule>
  </conditionalFormatting>
  <conditionalFormatting sqref="A650:A653 A679">
    <cfRule type="expression" dxfId="1490" priority="116">
      <formula>$B$633=0</formula>
    </cfRule>
  </conditionalFormatting>
  <conditionalFormatting sqref="A650:A653 B652:B653 A649:B649">
    <cfRule type="expression" dxfId="1489" priority="488">
      <formula>AND($B$630+$B$631+$B$632=0,$B$633=1)</formula>
    </cfRule>
  </conditionalFormatting>
  <conditionalFormatting sqref="A657:A665 A655 G661:J664">
    <cfRule type="expression" dxfId="1488" priority="493">
      <formula>DS_Gap1_YN="No"</formula>
    </cfRule>
  </conditionalFormatting>
  <conditionalFormatting sqref="A659">
    <cfRule type="expression" dxfId="1487" priority="27">
      <formula>DS_Gap2_YN="No"</formula>
    </cfRule>
  </conditionalFormatting>
  <conditionalFormatting sqref="A684:A685">
    <cfRule type="expression" dxfId="1482" priority="50">
      <formula>$B$633=0</formula>
    </cfRule>
  </conditionalFormatting>
  <conditionalFormatting sqref="A692 D692:F692">
    <cfRule type="expression" dxfId="1481" priority="9141">
      <formula>$C$692="No"</formula>
    </cfRule>
  </conditionalFormatting>
  <conditionalFormatting sqref="A692:A693 C693:F693 A695:L695 D708:F708 A708:A709 C709:F709 A711:L711">
    <cfRule type="expression" dxfId="1480" priority="54">
      <formula>DS_Gap1_YN="No"</formula>
    </cfRule>
    <cfRule type="expression" dxfId="1479" priority="52">
      <formula>$B$633=0</formula>
    </cfRule>
  </conditionalFormatting>
  <conditionalFormatting sqref="A708 D708:F708">
    <cfRule type="expression" dxfId="1477" priority="82">
      <formula>$C$708="No"</formula>
    </cfRule>
  </conditionalFormatting>
  <conditionalFormatting sqref="A718:A720 F720">
    <cfRule type="expression" dxfId="1476" priority="166">
      <formula>$B$717="No"</formula>
    </cfRule>
  </conditionalFormatting>
  <conditionalFormatting sqref="A728 A738">
    <cfRule type="expression" dxfId="1472" priority="501">
      <formula>OR($B$22=0,AND($B$22=1,Demographic&lt;&gt;"&lt;select one&gt;",Demographic&lt;&gt;"Elderly ALF"))</formula>
    </cfRule>
  </conditionalFormatting>
  <conditionalFormatting sqref="A747:A748 C747:F748">
    <cfRule type="expression" dxfId="1470" priority="506">
      <formula>AND(OR(Demographic=$A$21,Demographic=$A$23),OR(Development_Category=$A$231,Development_Category=$A$232,Development_Category=$A$235,Development_Category=$A$236))</formula>
    </cfRule>
  </conditionalFormatting>
  <conditionalFormatting sqref="A747:A750">
    <cfRule type="expression" dxfId="1469" priority="509">
      <formula>$B$21+$B$23=0</formula>
    </cfRule>
  </conditionalFormatting>
  <conditionalFormatting sqref="A749:A750 C749:F750 C753:C754">
    <cfRule type="expression" dxfId="1468" priority="515">
      <formula>AND(OR(Demographic=$A$21,Demographic=$A$23),OR(Development_Category=$A$230,Development_Category=$A$233,Development_Category=$A$234))</formula>
    </cfRule>
  </conditionalFormatting>
  <conditionalFormatting sqref="A751 C751:F751">
    <cfRule type="expression" dxfId="1467" priority="517">
      <formula>Demographic=$A$22</formula>
    </cfRule>
  </conditionalFormatting>
  <conditionalFormatting sqref="A751">
    <cfRule type="expression" dxfId="1466" priority="516">
      <formula>$B$22=0</formula>
    </cfRule>
  </conditionalFormatting>
  <conditionalFormatting sqref="A752:A754 C752:F754">
    <cfRule type="expression" dxfId="1465" priority="24">
      <formula>AND(OR(Demographic=$A$20,Demographic=$A$29),OR(Development_Category=$A$230,Development_Category=$A$233,Development_Category=$A$234))</formula>
    </cfRule>
  </conditionalFormatting>
  <conditionalFormatting sqref="A752:A754">
    <cfRule type="expression" dxfId="1464" priority="21">
      <formula>$B$20+$B$29=0</formula>
    </cfRule>
  </conditionalFormatting>
  <conditionalFormatting sqref="A753:A754 C753:E754">
    <cfRule type="expression" dxfId="1463" priority="526">
      <formula>Demographic=$A$20</formula>
    </cfRule>
  </conditionalFormatting>
  <conditionalFormatting sqref="A753:A754">
    <cfRule type="expression" dxfId="1462" priority="527">
      <formula>$B$20=0</formula>
    </cfRule>
  </conditionalFormatting>
  <conditionalFormatting sqref="A755:A758 C755:F758">
    <cfRule type="expression" dxfId="1461" priority="523">
      <formula>Demographic=$A$25</formula>
    </cfRule>
  </conditionalFormatting>
  <conditionalFormatting sqref="A755:A758">
    <cfRule type="expression" dxfId="1460" priority="520">
      <formula>$B$25=0</formula>
    </cfRule>
  </conditionalFormatting>
  <conditionalFormatting sqref="A759:A760 C759:F760">
    <cfRule type="expression" dxfId="1459" priority="569">
      <formula>Demographic=$A$24</formula>
    </cfRule>
  </conditionalFormatting>
  <conditionalFormatting sqref="A759:A760">
    <cfRule type="expression" dxfId="1458" priority="541">
      <formula>$B$24+SUM($B$30:$B$33)=0</formula>
    </cfRule>
  </conditionalFormatting>
  <conditionalFormatting sqref="A761:A763 C761:F763">
    <cfRule type="expression" dxfId="1457" priority="576">
      <formula>OR(Demographic=$A$26,Demographic=$A$27)</formula>
    </cfRule>
  </conditionalFormatting>
  <conditionalFormatting sqref="A761:A763">
    <cfRule type="expression" dxfId="1456" priority="575">
      <formula>$B$26+$B$27=0</formula>
    </cfRule>
  </conditionalFormatting>
  <conditionalFormatting sqref="A764:A766 C764:F766">
    <cfRule type="expression" dxfId="1455" priority="594">
      <formula>Demographic=$A$28</formula>
    </cfRule>
  </conditionalFormatting>
  <conditionalFormatting sqref="A764:A766">
    <cfRule type="expression" dxfId="1454" priority="593">
      <formula>$B$28=0</formula>
    </cfRule>
  </conditionalFormatting>
  <conditionalFormatting sqref="A850:A856">
    <cfRule type="expression" dxfId="1449" priority="11576">
      <formula>$B850="No"</formula>
    </cfRule>
  </conditionalFormatting>
  <conditionalFormatting sqref="A879">
    <cfRule type="expression" dxfId="1446" priority="3596">
      <formula>ROUND(COUNTA($A$873:$A879)/2,0)=COUNTA($A$873:$A879)/2</formula>
    </cfRule>
  </conditionalFormatting>
  <conditionalFormatting sqref="A881">
    <cfRule type="expression" dxfId="1445" priority="3597">
      <formula>ROUND(COUNTA($A$873:$A881)/2,0)=COUNTA($A$873:$A881)/2</formula>
    </cfRule>
  </conditionalFormatting>
  <conditionalFormatting sqref="A285:B285">
    <cfRule type="expression" dxfId="1444" priority="5">
      <formula>LEFT($A287,5)="Codes"</formula>
    </cfRule>
  </conditionalFormatting>
  <conditionalFormatting sqref="A640:B641">
    <cfRule type="expression" dxfId="1438" priority="118">
      <formula>SUM($B$630:$B$632)=0</formula>
    </cfRule>
  </conditionalFormatting>
  <conditionalFormatting sqref="A799:B799 A801:B812">
    <cfRule type="expression" dxfId="1434" priority="146">
      <formula>#REF!=0</formula>
    </cfRule>
  </conditionalFormatting>
  <conditionalFormatting sqref="A799:B799">
    <cfRule type="expression" dxfId="1433" priority="5168">
      <formula>SUM(#REF!)+SUM(#REF!)=0</formula>
    </cfRule>
  </conditionalFormatting>
  <conditionalFormatting sqref="A801:B801">
    <cfRule type="expression" dxfId="1432" priority="623">
      <formula>SUM(#REF!)=0</formula>
    </cfRule>
  </conditionalFormatting>
  <conditionalFormatting sqref="A802:B806">
    <cfRule type="expression" dxfId="1431" priority="629">
      <formula>#REF!=0</formula>
    </cfRule>
  </conditionalFormatting>
  <conditionalFormatting sqref="A807:B807">
    <cfRule type="expression" dxfId="1430" priority="631">
      <formula>SUM(#REF!)=0</formula>
    </cfRule>
  </conditionalFormatting>
  <conditionalFormatting sqref="A808:B812">
    <cfRule type="expression" dxfId="1429" priority="632">
      <formula>#REF!=0</formula>
    </cfRule>
  </conditionalFormatting>
  <conditionalFormatting sqref="A259:C259">
    <cfRule type="expression" dxfId="1419" priority="348">
      <formula>$B$259="Yes"</formula>
    </cfRule>
    <cfRule type="expression" dxfId="1418" priority="349">
      <formula>$B$259="No"</formula>
    </cfRule>
  </conditionalFormatting>
  <conditionalFormatting sqref="A263:C263 A267:C273 A274:E275">
    <cfRule type="expression" dxfId="1417" priority="357">
      <formula>$B263="Yes"</formula>
    </cfRule>
    <cfRule type="expression" dxfId="1416" priority="358">
      <formula>$B263="No"</formula>
    </cfRule>
  </conditionalFormatting>
  <conditionalFormatting sqref="A279:C279 A283:C284 A285 A286:C288 A294:C294 A301:C301 A305:C305 A306:E308">
    <cfRule type="expression" dxfId="1415" priority="16192">
      <formula>$B279="No"</formula>
    </cfRule>
    <cfRule type="expression" dxfId="1414" priority="363">
      <formula>$B279="Yes"</formula>
    </cfRule>
  </conditionalFormatting>
  <conditionalFormatting sqref="A295:C296">
    <cfRule type="expression" dxfId="1413" priority="17004">
      <formula>LEFT($A296,5)="Codes"</formula>
    </cfRule>
    <cfRule type="expression" dxfId="1412" priority="17005">
      <formula>AND(COUNTA($A280:$A$295)/2=ROUND(COUNTA($A280:$A$295)/2,0),LEFT($A295,7)=LEFT($A296,7))</formula>
    </cfRule>
  </conditionalFormatting>
  <conditionalFormatting sqref="A312:C312">
    <cfRule type="expression" dxfId="1411" priority="248">
      <formula>$B312="Yes"</formula>
    </cfRule>
    <cfRule type="expression" dxfId="1410" priority="249">
      <formula>$B312="No"</formula>
    </cfRule>
  </conditionalFormatting>
  <conditionalFormatting sqref="A313:C313 E313:F313 A314:F321 A322:D326 A327:F330 A331:E331 A332:F334 A335:E335 A336:F337">
    <cfRule type="expression" dxfId="1409" priority="382">
      <formula>LEFT($A313,9)&lt;&gt;LEFT($A314,9)</formula>
    </cfRule>
  </conditionalFormatting>
  <conditionalFormatting sqref="A313:C313 E313:F313 A314:F321 A322:D326 A327:F330 A331:E331 A332:F337">
    <cfRule type="expression" dxfId="1408" priority="380">
      <formula>AND(LEFT($A313,9)=LEFT($A314,9),LEFT($A313,12)&lt;&gt;LEFT($A314,12),RIGHT(LEFT($A313,11),2)=")(")</formula>
    </cfRule>
  </conditionalFormatting>
  <conditionalFormatting sqref="A313:C313 E313:F313 A314:F330 A331:E331 A332:F337">
    <cfRule type="expression" dxfId="1407" priority="383">
      <formula>COUNTA($A$313:$A313)/2=ROUND(COUNTA($A$313:$A313)/2,0)</formula>
    </cfRule>
  </conditionalFormatting>
  <conditionalFormatting sqref="A316:C316 A317:E317 A318:C320 A326:C326 A333:C333 A337:C337">
    <cfRule type="expression" dxfId="1406" priority="386">
      <formula>$B316="No"</formula>
    </cfRule>
    <cfRule type="expression" dxfId="1405" priority="390">
      <formula>$B316="Yes"</formula>
    </cfRule>
  </conditionalFormatting>
  <conditionalFormatting sqref="A895:C915">
    <cfRule type="expression" dxfId="1403" priority="105">
      <formula>$F895="Yes"</formula>
    </cfRule>
  </conditionalFormatting>
  <conditionalFormatting sqref="A14:D16">
    <cfRule type="expression" dxfId="1402" priority="5366">
      <formula>ROUND(COUNTA($A14:$A$151)/2,0)=COUNTA($A14:$A$151)/2</formula>
    </cfRule>
  </conditionalFormatting>
  <conditionalFormatting sqref="A72:D112 C82:D115 A113:B114 A115:D115">
    <cfRule type="expression" dxfId="1396" priority="4101">
      <formula>ROUND(COUNTA($A72:$A$411)/2,0)=COUNTA($A72:$A$411)/2</formula>
    </cfRule>
  </conditionalFormatting>
  <conditionalFormatting sqref="A151:D152">
    <cfRule type="expression" dxfId="1395" priority="317">
      <formula>ROUND(COUNTA($A$151:$A151)/2,0)=COUNTA($A$151:$A151)/2</formula>
    </cfRule>
  </conditionalFormatting>
  <conditionalFormatting sqref="A155:D156">
    <cfRule type="expression" dxfId="1394" priority="94">
      <formula>ROUND(COUNTA($A$144:$A155)/2,0)=COUNTA($A$144:$A155)/2</formula>
    </cfRule>
  </conditionalFormatting>
  <conditionalFormatting sqref="A160:D211">
    <cfRule type="expression" dxfId="1393" priority="319">
      <formula>ROUND(COUNTA($A$160:$A160)/2,0)=COUNTA($A$160:$A160)/2</formula>
    </cfRule>
  </conditionalFormatting>
  <conditionalFormatting sqref="A230:D236">
    <cfRule type="expression" dxfId="1389" priority="333">
      <formula>ROUND(COUNTA($A$230:$A230)/2,0)=COUNTA($A$230:$A230)/2</formula>
    </cfRule>
  </conditionalFormatting>
  <conditionalFormatting sqref="A239:D241">
    <cfRule type="expression" dxfId="1388" priority="16175">
      <formula>ROUND(COUNTA($A$239:$A239)/2,0)=COUNTA($A$239:$A239)/2</formula>
    </cfRule>
  </conditionalFormatting>
  <conditionalFormatting sqref="A377:D388">
    <cfRule type="expression" dxfId="1387" priority="416">
      <formula>ROUND(COUNTA($A$377:$A377)/2,0)=COUNTA($A$377:$A377)/2</formula>
    </cfRule>
  </conditionalFormatting>
  <conditionalFormatting sqref="A619:D622 A623 C623:D623">
    <cfRule type="expression" dxfId="1386" priority="480">
      <formula>ROUND(COUNTA($A$619:$A619)/2,0)=COUNTA($A$619:$A619)/2</formula>
    </cfRule>
  </conditionalFormatting>
  <conditionalFormatting sqref="A625:D625 A626:A627 C626:C627">
    <cfRule type="expression" dxfId="1385" priority="5233">
      <formula>COUNTIF(DS_Demo_DDMenu,$A$24)+COUNTIF(DS_Demo_DDMenu,$A$30)+COUNTIF(DS_Demo_DDMenu,$A$31)+COUNTIF(DS_Demo_DDMenu,$A$32)+COUNTIF(DS_Demo_DDMenu,$A$33)=0</formula>
    </cfRule>
  </conditionalFormatting>
  <conditionalFormatting sqref="A630:D633 B637">
    <cfRule type="expression" dxfId="1384" priority="482">
      <formula>ROUND(COUNTA($A$630:$A630)/2,0)=COUNTA($A$630:$A630)/2</formula>
    </cfRule>
  </conditionalFormatting>
  <conditionalFormatting sqref="A771:D774">
    <cfRule type="expression" dxfId="1383" priority="600">
      <formula>ROUND(COUNTA($A$771:$A771)/2,0)=COUNTA($A$771:$A771)/2</formula>
    </cfRule>
  </conditionalFormatting>
  <conditionalFormatting sqref="A876:D878">
    <cfRule type="expression" dxfId="1382" priority="3439">
      <formula>ROUND(COUNTA($A$873:$A876)/2,0)=COUNTA($A$873:$A876)/2</formula>
    </cfRule>
  </conditionalFormatting>
  <conditionalFormatting sqref="A941:D944">
    <cfRule type="expression" dxfId="1381" priority="3965">
      <formula>ROUND(COUNTA($A$941:$A941)/2,0)=COUNTA($A$941:$A941)/2</formula>
    </cfRule>
  </conditionalFormatting>
  <conditionalFormatting sqref="A263:E263 A264:F269 A270:E271 A274:F275">
    <cfRule type="expression" dxfId="1379" priority="356">
      <formula>AND(COUNTA($A$263:$A263)/2=ROUND(COUNTA($A$263:$A263)/2,0),LEFT($A263,8)=LEFT($A264,8))</formula>
    </cfRule>
    <cfRule type="expression" dxfId="1378" priority="353">
      <formula>LEFT($A264,5)="Codes"</formula>
    </cfRule>
  </conditionalFormatting>
  <conditionalFormatting sqref="A274:E275">
    <cfRule type="expression" dxfId="1377" priority="359">
      <formula>LEFT($B274,2)="Ne"</formula>
    </cfRule>
  </conditionalFormatting>
  <conditionalFormatting sqref="A279:E279 A280:F283">
    <cfRule type="expression" dxfId="1376" priority="361">
      <formula>AND(COUNTA($A279:$A$280)/2=ROUND(COUNTA($A279:$A$280)/2,0),LEFT($A279,7)=LEFT($A280,7))</formula>
    </cfRule>
    <cfRule type="expression" dxfId="1375" priority="360">
      <formula>LEFT($A280,5)="Codes"</formula>
    </cfRule>
  </conditionalFormatting>
  <conditionalFormatting sqref="A308:E308">
    <cfRule type="expression" dxfId="1374" priority="4385">
      <formula>AND(COUNTA($A280:$A$308)/2=ROUND(COUNTA($A280:$A$308)/2,0),LEFT($A308,7)=LEFT($A309,7))</formula>
    </cfRule>
  </conditionalFormatting>
  <conditionalFormatting sqref="A312:E312">
    <cfRule type="expression" dxfId="1373" priority="247">
      <formula>AND(COUNTA($A$280:$A312)/2=ROUND(COUNTA($A$280:$A312)/2,0),LEFT($A312,7)=LEFT($A313,7))</formula>
    </cfRule>
    <cfRule type="expression" dxfId="1372" priority="246">
      <formula>LEFT($A313,5)="Codes"</formula>
    </cfRule>
  </conditionalFormatting>
  <conditionalFormatting sqref="A405:E471">
    <cfRule type="expression" dxfId="1371" priority="170">
      <formula>ROUND(COUNTA($A$405:$A405)/2,0)=COUNTA($A$405:$A405)/2</formula>
    </cfRule>
  </conditionalFormatting>
  <conditionalFormatting sqref="A550:E566">
    <cfRule type="expression" dxfId="1367" priority="451">
      <formula>ROUND(COUNTA($A$550:$A550)/2,0)=COUNTA($A$550:$A550)/2</formula>
    </cfRule>
  </conditionalFormatting>
  <conditionalFormatting sqref="A873:E885">
    <cfRule type="expression" dxfId="1365" priority="3285">
      <formula>ROUND(COUNTA($A$873:$A873)/2,0)=COUNTA($A$873:$A873)/2</formula>
    </cfRule>
  </conditionalFormatting>
  <conditionalFormatting sqref="A244:F244">
    <cfRule type="expression" dxfId="1364" priority="341">
      <formula>COUNTA($A$313:$A317)/2=ROUND(COUNTA($A$313:$A317)/2,0)</formula>
    </cfRule>
  </conditionalFormatting>
  <conditionalFormatting sqref="A256:F259">
    <cfRule type="expression" dxfId="1363" priority="346">
      <formula>LEFT($A257,5)="Codes"</formula>
    </cfRule>
    <cfRule type="expression" dxfId="1362" priority="347">
      <formula>COUNTA($A$256:$A256)/2=ROUND(COUNTA($A$256:$A256)/2,0)</formula>
    </cfRule>
  </conditionalFormatting>
  <conditionalFormatting sqref="A272:F273">
    <cfRule type="expression" dxfId="1361" priority="16380">
      <formula>LEFT($A274,5)="Codes"</formula>
    </cfRule>
    <cfRule type="expression" dxfId="1360" priority="16381">
      <formula>AND(COUNTA($A$263:$A272)/2=ROUND(COUNTA($A$263:$A272)/2,0),LEFT($A272,8)=LEFT($A274,8))</formula>
    </cfRule>
  </conditionalFormatting>
  <conditionalFormatting sqref="A284:F284 A285 D285:E285">
    <cfRule type="expression" dxfId="1359" priority="17023">
      <formula>AND(COUNTA($A$280:$A284)/2=ROUND(COUNTA($A$280:$A284)/2,0),LEFT($A284,7)=LEFT($A286,7))</formula>
    </cfRule>
  </conditionalFormatting>
  <conditionalFormatting sqref="A284:F284">
    <cfRule type="expression" dxfId="1358" priority="17022">
      <formula>LEFT($A286,5)="Codes"</formula>
    </cfRule>
  </conditionalFormatting>
  <conditionalFormatting sqref="A286:F294">
    <cfRule type="expression" dxfId="1357" priority="17020">
      <formula>LEFT($A287,5)="Codes"</formula>
    </cfRule>
    <cfRule type="expression" dxfId="1356" priority="17021">
      <formula>AND(COUNTA($A280:$A$286)/2=ROUND(COUNTA($A280:$A$286)/2,0),LEFT($A286,7)=LEFT($A287,7))</formula>
    </cfRule>
  </conditionalFormatting>
  <conditionalFormatting sqref="A289:F305">
    <cfRule type="expression" dxfId="1355" priority="61">
      <formula>DS_HC_Funding="No"</formula>
    </cfRule>
  </conditionalFormatting>
  <conditionalFormatting sqref="A297:F301">
    <cfRule type="expression" dxfId="1354" priority="17024">
      <formula>AND(COUNTA($A280:$A$297)/2=ROUND(COUNTA($A280:$A$297)/2,0),LEFT($A297,7)=LEFT($A298,7))</formula>
    </cfRule>
  </conditionalFormatting>
  <conditionalFormatting sqref="A297:F308">
    <cfRule type="expression" dxfId="1353" priority="368">
      <formula>LEFT($A298,5)="Codes"</formula>
    </cfRule>
  </conditionalFormatting>
  <conditionalFormatting sqref="A302:F307">
    <cfRule type="expression" dxfId="1352" priority="17025">
      <formula>AND(COUNTA($A286:$A$297)/2=ROUND(COUNTA($A286:$A$297)/2,0),LEFT($A302,7)=LEFT($A303,7))</formula>
    </cfRule>
  </conditionalFormatting>
  <conditionalFormatting sqref="A321:F321 A322:D326 A327:F334 A335:E335 A336:F337">
    <cfRule type="expression" dxfId="1351" priority="396">
      <formula>DS_HC_Funding="No"</formula>
    </cfRule>
  </conditionalFormatting>
  <conditionalFormatting sqref="A570:F582">
    <cfRule type="expression" dxfId="1349" priority="455">
      <formula>ROUND(COUNTA($A$570:$A570)/2,0)=COUNTA($A$570:$A570)/2</formula>
    </cfRule>
  </conditionalFormatting>
  <conditionalFormatting sqref="A732:G732">
    <cfRule type="expression" dxfId="1347" priority="26">
      <formula>OR(IFERROR(FIND(" NOT ",$A$732),0)&gt;0,IFERROR(FIND("Attention:",$A$732),0)&gt;0)</formula>
    </cfRule>
  </conditionalFormatting>
  <conditionalFormatting sqref="A744:G744">
    <cfRule type="expression" dxfId="1346" priority="25">
      <formula>OR(IFERROR(FIND("NOT",$A$744),0)&gt;0,IFERROR(FIND("Attention",$A$744),0)&gt;0)</formula>
    </cfRule>
  </conditionalFormatting>
  <conditionalFormatting sqref="B113">
    <cfRule type="expression" dxfId="1342" priority="4390">
      <formula>ROUND(COUNTA($A114:$A$411)/2,0)=COUNTA($A114:$A$411)/2</formula>
    </cfRule>
  </conditionalFormatting>
  <conditionalFormatting sqref="B244:B246">
    <cfRule type="cellIs" dxfId="1334" priority="335" operator="equal">
      <formula>"Yes"</formula>
    </cfRule>
  </conditionalFormatting>
  <conditionalFormatting sqref="B255">
    <cfRule type="cellIs" dxfId="1333" priority="345" operator="equal">
      <formula>"Yes"</formula>
    </cfRule>
  </conditionalFormatting>
  <conditionalFormatting sqref="B285">
    <cfRule type="expression" dxfId="1332" priority="6">
      <formula>AND(COUNTA($A$256:$A285)/2=ROUND(COUNTA($A$256:$A285)/2,0),LEFT($A285,7)=LEFT($A287,7))</formula>
    </cfRule>
    <cfRule type="expression" dxfId="1331" priority="4">
      <formula>$B285="No"</formula>
    </cfRule>
    <cfRule type="expression" dxfId="1330" priority="3">
      <formula>$B285="Yes"</formula>
    </cfRule>
  </conditionalFormatting>
  <conditionalFormatting sqref="B352 B778:B787">
    <cfRule type="expression" dxfId="1328" priority="4808">
      <formula>NOT(ISBLANK($K$14:$K$29))</formula>
    </cfRule>
  </conditionalFormatting>
  <conditionalFormatting sqref="B405:B471 B550:B566">
    <cfRule type="expression" dxfId="1325" priority="4508">
      <formula>AND(B405=0,_xlfn.ISFORMULA(B405)=FALSE)</formula>
    </cfRule>
    <cfRule type="expression" dxfId="1324" priority="4509">
      <formula>AND(B405=0,_xlfn.ISFORMULA(B405)=TRUE,OR(AND(L$401="Yes",H405="Large"),AND(L$402="Yes",H405="Medium"),AND(L$403="Yes",H405="Small")))</formula>
    </cfRule>
  </conditionalFormatting>
  <conditionalFormatting sqref="B483:B501">
    <cfRule type="expression" dxfId="1322" priority="430">
      <formula>AND(B483=0,_xlfn.ISFORMULA(B483)=TRUE,OR(AND(L$401="Yes",H483="Large"),AND(L$402="Yes",H483="Medium"),AND(L$403="Yes",H483="Small")))</formula>
    </cfRule>
    <cfRule type="expression" dxfId="1321" priority="429">
      <formula>AND(B483=0,_xlfn.ISFORMULA(B483)=FALSE)</formula>
    </cfRule>
  </conditionalFormatting>
  <conditionalFormatting sqref="B626:B627 D626:D627">
    <cfRule type="expression" dxfId="1317" priority="5236">
      <formula>COUNTIF(DS_Demo_DDMenu,$A$24)+COUNTIF(DS_Demo_DDMenu,$A$30)+COUNTIF(DS_Demo_DDMenu,$A$31)+COUNTIF(DS_Demo_DDMenu,$A$32)+COUNTIF(DS_Demo_DDMenu,$A$33)=0</formula>
    </cfRule>
  </conditionalFormatting>
  <conditionalFormatting sqref="B638">
    <cfRule type="cellIs" dxfId="1315" priority="66" operator="equal">
      <formula>"Yes"</formula>
    </cfRule>
  </conditionalFormatting>
  <conditionalFormatting sqref="B644">
    <cfRule type="cellIs" dxfId="1314" priority="219" operator="equal">
      <formula>"Yes"</formula>
    </cfRule>
  </conditionalFormatting>
  <conditionalFormatting sqref="B645">
    <cfRule type="expression" dxfId="1313" priority="169">
      <formula>IFERROR(FIND($F$19:$F$33,"Elderly ALF"),0)=0</formula>
    </cfRule>
  </conditionalFormatting>
  <conditionalFormatting sqref="B653 B677:B679 H712:H720 B852:C852 B854:C856 E895:F915">
    <cfRule type="cellIs" dxfId="1312" priority="1339" operator="equal">
      <formula>"Yes"</formula>
    </cfRule>
  </conditionalFormatting>
  <conditionalFormatting sqref="B653 B679">
    <cfRule type="expression" dxfId="1310" priority="115">
      <formula>$B$633=0</formula>
    </cfRule>
  </conditionalFormatting>
  <conditionalFormatting sqref="B715:B717">
    <cfRule type="cellIs" dxfId="1304" priority="121" operator="equal">
      <formula>"Yes"</formula>
    </cfRule>
  </conditionalFormatting>
  <conditionalFormatting sqref="B718:B720">
    <cfRule type="expression" dxfId="1303" priority="92">
      <formula>$B$717="No"</formula>
    </cfRule>
  </conditionalFormatting>
  <conditionalFormatting sqref="B719">
    <cfRule type="cellIs" dxfId="1302" priority="206" operator="equal">
      <formula>"Yes"</formula>
    </cfRule>
  </conditionalFormatting>
  <conditionalFormatting sqref="B747:B750">
    <cfRule type="expression" dxfId="1301" priority="510">
      <formula>$B$21+$B$23=0</formula>
    </cfRule>
  </conditionalFormatting>
  <conditionalFormatting sqref="B751">
    <cfRule type="expression" dxfId="1300" priority="518">
      <formula>$B$22=0</formula>
    </cfRule>
  </conditionalFormatting>
  <conditionalFormatting sqref="B752:B754">
    <cfRule type="expression" dxfId="1299" priority="519">
      <formula>$B$20+$B$29=0</formula>
    </cfRule>
  </conditionalFormatting>
  <conditionalFormatting sqref="B755:B758">
    <cfRule type="expression" dxfId="1298" priority="524">
      <formula>$B$25=0</formula>
    </cfRule>
  </conditionalFormatting>
  <conditionalFormatting sqref="B759:B760">
    <cfRule type="expression" dxfId="1297" priority="570">
      <formula>$B$24+SUM($B$30:$B$33)=0</formula>
    </cfRule>
  </conditionalFormatting>
  <conditionalFormatting sqref="B761:B763">
    <cfRule type="expression" dxfId="1296" priority="578">
      <formula>$B$26+$B$27=0</formula>
    </cfRule>
  </conditionalFormatting>
  <conditionalFormatting sqref="B764:B766">
    <cfRule type="expression" dxfId="1295" priority="595">
      <formula>$B$28=0</formula>
    </cfRule>
  </conditionalFormatting>
  <conditionalFormatting sqref="B792:B793">
    <cfRule type="expression" dxfId="1292" priority="4810">
      <formula>NOT(ISBLANK($K$24:$K$29))</formula>
    </cfRule>
  </conditionalFormatting>
  <conditionalFormatting sqref="B857:B860">
    <cfRule type="cellIs" dxfId="1289" priority="2919" operator="equal">
      <formula>"Yes"</formula>
    </cfRule>
  </conditionalFormatting>
  <conditionalFormatting sqref="B692:C692 B693">
    <cfRule type="expression" dxfId="1287" priority="74">
      <formula>DS_Gap1_YN="No"</formula>
    </cfRule>
  </conditionalFormatting>
  <conditionalFormatting sqref="B708:C708 B709">
    <cfRule type="expression" dxfId="1286" priority="53">
      <formula>DS_Gap1_YN="No"</formula>
    </cfRule>
  </conditionalFormatting>
  <conditionalFormatting sqref="B131:D131">
    <cfRule type="expression" dxfId="1284" priority="88">
      <formula>$E$130="No"</formula>
    </cfRule>
  </conditionalFormatting>
  <conditionalFormatting sqref="B650:D650 B651">
    <cfRule type="expression" dxfId="1282" priority="489">
      <formula>$B$630=0</formula>
    </cfRule>
  </conditionalFormatting>
  <conditionalFormatting sqref="B658:D659">
    <cfRule type="expression" dxfId="1281" priority="216">
      <formula>DS_Gap1_YN="No"</formula>
    </cfRule>
  </conditionalFormatting>
  <conditionalFormatting sqref="B482:E482 A482:A501 C483:C501 E483:E501 B549:E549 A549:A566 C550:C566 A503:E539 A542:C543 A545:B547 E550:E566 A569:B582">
    <cfRule type="expression" dxfId="1278" priority="444">
      <formula>$F$899="Yes"</formula>
    </cfRule>
  </conditionalFormatting>
  <conditionalFormatting sqref="B483:E501">
    <cfRule type="expression" dxfId="1276" priority="130">
      <formula>ROUND(COUNTA($A$483:$A483)/2,0)=COUNTA($A$483:$A483)/2</formula>
    </cfRule>
  </conditionalFormatting>
  <conditionalFormatting sqref="B724:O731 B734:O743">
    <cfRule type="expression" dxfId="1275" priority="503">
      <formula>IFERROR(FIND(" NOT ",$B724),0)&gt;0</formula>
    </cfRule>
  </conditionalFormatting>
  <conditionalFormatting sqref="C518:C520 C522:C524 C526:C527">
    <cfRule type="expression" dxfId="1274" priority="443">
      <formula>C518&lt;&gt;""</formula>
    </cfRule>
  </conditionalFormatting>
  <conditionalFormatting sqref="C585:C616">
    <cfRule type="cellIs" dxfId="1273" priority="474" operator="equal">
      <formula>"Yes"</formula>
    </cfRule>
  </conditionalFormatting>
  <conditionalFormatting sqref="C636:C637 B656:B657 C660 B850:C850">
    <cfRule type="cellIs" dxfId="1272" priority="486" operator="equal">
      <formula>"Yes"</formula>
    </cfRule>
  </conditionalFormatting>
  <conditionalFormatting sqref="C692">
    <cfRule type="cellIs" dxfId="1271" priority="9151" operator="equal">
      <formula>"Yes"</formula>
    </cfRule>
  </conditionalFormatting>
  <conditionalFormatting sqref="C708">
    <cfRule type="cellIs" dxfId="1270" priority="83" operator="equal">
      <formula>"Yes"</formula>
    </cfRule>
  </conditionalFormatting>
  <conditionalFormatting sqref="C882">
    <cfRule type="expression" dxfId="1269" priority="205">
      <formula>ROUND(COUNTA($A$873:$A882)/2,0)=COUNTA($A$873:$A882)/2</formula>
    </cfRule>
  </conditionalFormatting>
  <conditionalFormatting sqref="C684:F685">
    <cfRule type="expression" dxfId="1267" priority="49">
      <formula>$B$633=0</formula>
    </cfRule>
  </conditionalFormatting>
  <conditionalFormatting sqref="D247:D252">
    <cfRule type="expression" dxfId="1264" priority="38">
      <formula>AND($D247="No",Name_of_proposed_Development&lt;&gt;"")</formula>
    </cfRule>
  </conditionalFormatting>
  <conditionalFormatting sqref="D313">
    <cfRule type="expression" dxfId="1263" priority="62">
      <formula>LEFT($A314,5)="Codes"</formula>
    </cfRule>
    <cfRule type="expression" dxfId="1262" priority="63">
      <formula>AND(COUNTA($A$280:$A313)/2=ROUND(COUNTA($A$280:$A313)/2,0),LEFT($A313,7)=LEFT($A314,7))</formula>
    </cfRule>
  </conditionalFormatting>
  <conditionalFormatting sqref="D851 D853">
    <cfRule type="expression" dxfId="1261" priority="1113">
      <formula>$B$851&lt;&gt;$B$853</formula>
    </cfRule>
  </conditionalFormatting>
  <conditionalFormatting sqref="D247:E250 D251 D252:E252">
    <cfRule type="cellIs" dxfId="1260" priority="33" operator="equal">
      <formula>"Yes"</formula>
    </cfRule>
  </conditionalFormatting>
  <conditionalFormatting sqref="D247:E251">
    <cfRule type="cellIs" dxfId="1259" priority="29" operator="equal">
      <formula>"NA"</formula>
    </cfRule>
  </conditionalFormatting>
  <conditionalFormatting sqref="D252:E252">
    <cfRule type="cellIs" dxfId="1258" priority="28" operator="equal">
      <formula>"NA"</formula>
    </cfRule>
  </conditionalFormatting>
  <conditionalFormatting sqref="D285:F285">
    <cfRule type="expression" dxfId="1257" priority="1">
      <formula>LEFT($A287,5)="Codes"</formula>
    </cfRule>
  </conditionalFormatting>
  <conditionalFormatting sqref="D295:F296">
    <cfRule type="expression" dxfId="1256" priority="58">
      <formula>AND(LEFT($A295,9)=LEFT($A296,9),LEFT($A295,12)&lt;&gt;LEFT($A296,12),RIGHT(LEFT($A295,11),2)=")(")</formula>
    </cfRule>
    <cfRule type="expression" dxfId="1255" priority="60">
      <formula>COUNTA($A295:$A$313)/2=ROUND(COUNTA($A295:$A$313)/2,0)</formula>
    </cfRule>
    <cfRule type="expression" dxfId="1254" priority="59">
      <formula>LEFT($A295,9)&lt;&gt;LEFT($A296,9)</formula>
    </cfRule>
  </conditionalFormatting>
  <conditionalFormatting sqref="D692:F692">
    <cfRule type="expression" dxfId="1253" priority="75">
      <formula>DS_Gap1_YN="No"</formula>
    </cfRule>
    <cfRule type="expression" dxfId="1252" priority="51">
      <formula>$B$633=0</formula>
    </cfRule>
  </conditionalFormatting>
  <conditionalFormatting sqref="E519:E533">
    <cfRule type="expression" dxfId="1250" priority="445">
      <formula>TEXT(E519,"0")=SMALL(D$536:D$539,1)&amp;SMALL(D$536:D$539,2)&amp;SMALL(D$536:D$539,3)&amp;SMALL(D$536:D$539,4)</formula>
    </cfRule>
  </conditionalFormatting>
  <conditionalFormatting sqref="E519:E534">
    <cfRule type="expression" dxfId="1249" priority="11248">
      <formula>TEXT(E519,"0")=SMALL(E$536:E$539,1)&amp;SMALL(E$536:E$539,2)&amp;SMALL(E$536:E$539,3)&amp;SMALL(E$536:E$539,4)</formula>
    </cfRule>
  </conditionalFormatting>
  <conditionalFormatting sqref="E599">
    <cfRule type="expression" dxfId="1248" priority="31">
      <formula>$C599="No"</formula>
    </cfRule>
  </conditionalFormatting>
  <conditionalFormatting sqref="E616">
    <cfRule type="expression" dxfId="1247" priority="30">
      <formula>$C616="No"</formula>
    </cfRule>
  </conditionalFormatting>
  <conditionalFormatting sqref="F128">
    <cfRule type="expression" dxfId="1246" priority="5678">
      <formula>AND($B125="MF rental",$E128&lt;&gt;0)</formula>
    </cfRule>
  </conditionalFormatting>
  <conditionalFormatting sqref="F226">
    <cfRule type="cellIs" dxfId="1245" priority="331" operator="equal">
      <formula>" "</formula>
    </cfRule>
  </conditionalFormatting>
  <conditionalFormatting sqref="F270">
    <cfRule type="expression" dxfId="1244" priority="16385">
      <formula>LEFT($A272,5)="Codes"</formula>
    </cfRule>
    <cfRule type="expression" dxfId="1243" priority="16386">
      <formula>AND(COUNTA($A$263:$A271)/2=ROUND(COUNTA($A$263:$A271)/2,0),LEFT($A271,8)=LEFT($A272,8))</formula>
    </cfRule>
  </conditionalFormatting>
  <conditionalFormatting sqref="F285">
    <cfRule type="expression" dxfId="1242" priority="2">
      <formula>AND(COUNTA($A$256:$A285)/2=ROUND(COUNTA($A$256:$A285)/2,0),LEFT($A285,7)=LEFT($A287,7))</formula>
    </cfRule>
  </conditionalFormatting>
  <conditionalFormatting sqref="F308">
    <cfRule type="expression" dxfId="1241" priority="369">
      <formula>AND(COUNTA($A$263:$A308)/2=ROUND(COUNTA($A$263:$A308)/2,0),LEFT($A308,8)=LEFT($A309,8))</formula>
    </cfRule>
  </conditionalFormatting>
  <conditionalFormatting sqref="F331">
    <cfRule type="expression" dxfId="1240" priority="398">
      <formula>AND(COUNTA($A$280:$A331)/2=ROUND(COUNTA($A$280:$A331)/2,0),LEFT($A331,7)=LEFT($A332,7))</formula>
    </cfRule>
    <cfRule type="expression" dxfId="1239" priority="397">
      <formula>LEFT($A332,5)="Codes"</formula>
    </cfRule>
  </conditionalFormatting>
  <conditionalFormatting sqref="F577">
    <cfRule type="expression" dxfId="1238" priority="470">
      <formula>ROUND(COUNTA($A$572:$A577)/2,0)=COUNTA($A$572:$A577)/2</formula>
    </cfRule>
  </conditionalFormatting>
  <conditionalFormatting sqref="G120 G123 G125 G128:G129 G214:G216">
    <cfRule type="expression" dxfId="1235" priority="323">
      <formula>LEFT(G120,2)="No"</formula>
    </cfRule>
  </conditionalFormatting>
  <conditionalFormatting sqref="G134">
    <cfRule type="expression" dxfId="1234" priority="263">
      <formula>LEFT(G134,2)="No"</formula>
    </cfRule>
  </conditionalFormatting>
  <conditionalFormatting sqref="G219:G220">
    <cfRule type="expression" dxfId="1233" priority="326">
      <formula>LEFT(G219,2)="No"</formula>
    </cfRule>
  </conditionalFormatting>
  <conditionalFormatting sqref="G222">
    <cfRule type="expression" dxfId="1232" priority="329">
      <formula>LEFT(G222,2)="No"</formula>
    </cfRule>
  </conditionalFormatting>
  <conditionalFormatting sqref="G308">
    <cfRule type="expression" dxfId="1231" priority="16">
      <formula>FIND("NOT",$G308)&gt;0</formula>
    </cfRule>
  </conditionalFormatting>
  <conditionalFormatting sqref="G753:G754 S753:S754 G758 S758 S766:S767 V768">
    <cfRule type="expression" dxfId="1230" priority="540">
      <formula>LEFT(RIGHT(G753,58),7)="INVALID"</formula>
    </cfRule>
  </conditionalFormatting>
  <conditionalFormatting sqref="G760">
    <cfRule type="expression" dxfId="1229" priority="573">
      <formula>LEFT(RIGHT(G760,58),7)="INVALID"</formula>
    </cfRule>
  </conditionalFormatting>
  <conditionalFormatting sqref="G763">
    <cfRule type="expression" dxfId="1228" priority="592">
      <formula>LEFT(RIGHT(G763,58),7)="INVALID"</formula>
    </cfRule>
  </conditionalFormatting>
  <conditionalFormatting sqref="G766:G768">
    <cfRule type="expression" dxfId="1227" priority="597">
      <formula>LEFT(RIGHT(G766,58),7)="INVALID"</formula>
    </cfRule>
  </conditionalFormatting>
  <conditionalFormatting sqref="G267:H267 L267:M267 O267:AA267 G270:H273 O270:AA273 L270:M275 H274:H275 G283:AA283 G316:AD316 G326:AO326">
    <cfRule type="expression" dxfId="1226" priority="350">
      <formula>FIND("NOT",$G267)&gt;0</formula>
    </cfRule>
  </conditionalFormatting>
  <conditionalFormatting sqref="G301:H301 J301">
    <cfRule type="expression" dxfId="1225" priority="13">
      <formula>FIND("NOT",$G301)&gt;0</formula>
    </cfRule>
  </conditionalFormatting>
  <conditionalFormatting sqref="G405:I471">
    <cfRule type="expression" dxfId="1223" priority="423">
      <formula>$B405=0</formula>
    </cfRule>
  </conditionalFormatting>
  <conditionalFormatting sqref="G673:J673 L673 N673">
    <cfRule type="expression" dxfId="1222" priority="5293">
      <formula>$B$677="No"</formula>
    </cfRule>
  </conditionalFormatting>
  <conditionalFormatting sqref="G674:J674 L674 N674 G675:L675">
    <cfRule type="expression" dxfId="1221" priority="5292">
      <formula>$B$677="Yes"</formula>
    </cfRule>
  </conditionalFormatting>
  <conditionalFormatting sqref="G346:M346">
    <cfRule type="expression" dxfId="1220" priority="10">
      <formula>FIND("NOT",$G346)&gt;0</formula>
    </cfRule>
  </conditionalFormatting>
  <conditionalFormatting sqref="G405:AL471">
    <cfRule type="expression" dxfId="1218" priority="65">
      <formula>ROUND(COUNTA($A$405:$A405)/2,0)=COUNTA($A$405:$A405)/2</formula>
    </cfRule>
  </conditionalFormatting>
  <conditionalFormatting sqref="G333:AO337">
    <cfRule type="expression" dxfId="1217" priority="405">
      <formula>FIND("NOT",$G333)&gt;0</formula>
    </cfRule>
  </conditionalFormatting>
  <conditionalFormatting sqref="H304:H305">
    <cfRule type="expression" dxfId="1216" priority="14">
      <formula>FIND("NOT",$G304)&gt;0</formula>
    </cfRule>
  </conditionalFormatting>
  <conditionalFormatting sqref="H317:H324">
    <cfRule type="cellIs" dxfId="1215" priority="395" operator="notEqual">
      <formula>$I317</formula>
    </cfRule>
  </conditionalFormatting>
  <conditionalFormatting sqref="H550:H566">
    <cfRule type="expression" dxfId="1214" priority="70">
      <formula>ROUND(COUNTA($A$550:$A550)/2,0)=COUNTA($A$550:$A550)/2</formula>
    </cfRule>
  </conditionalFormatting>
  <conditionalFormatting sqref="J981:J3066">
    <cfRule type="cellIs" dxfId="1212" priority="3966" operator="notEqual">
      <formula>$A981</formula>
    </cfRule>
  </conditionalFormatting>
  <conditionalFormatting sqref="J259:AA259">
    <cfRule type="expression" dxfId="1211" priority="16173">
      <formula>FIND("NOT",#REF!)&gt;0</formula>
    </cfRule>
  </conditionalFormatting>
  <conditionalFormatting sqref="L393 P393 T393 V393 Q393:R394 M393:N396 K393:K397 O393:O397 S393:S397 U393:U397 L395:L397 P395:P397 T395:T397 V395:V397 Q396:R396">
    <cfRule type="cellIs" dxfId="1210" priority="419" operator="equal">
      <formula>""</formula>
    </cfRule>
  </conditionalFormatting>
  <conditionalFormatting sqref="L401:L404 J403 M405:P471">
    <cfRule type="cellIs" dxfId="1209" priority="420" operator="equal">
      <formula>"Yes"</formula>
    </cfRule>
  </conditionalFormatting>
  <conditionalFormatting sqref="L585:L616">
    <cfRule type="cellIs" dxfId="1208" priority="140" operator="equal">
      <formula>"Yes"</formula>
    </cfRule>
  </conditionalFormatting>
  <conditionalFormatting sqref="L859:L861 L864:L865">
    <cfRule type="expression" dxfId="1207" priority="4473">
      <formula>$E$908="Yes"</formula>
    </cfRule>
  </conditionalFormatting>
  <conditionalFormatting sqref="M294:AL294 M301:AL301 M304:AL305">
    <cfRule type="expression" dxfId="1206" priority="12">
      <formula>FIND("NOT",$G294)&gt;0</formula>
    </cfRule>
  </conditionalFormatting>
  <conditionalFormatting sqref="N405:P471">
    <cfRule type="cellIs" dxfId="1205" priority="19" operator="equal">
      <formula>1</formula>
    </cfRule>
  </conditionalFormatting>
  <conditionalFormatting sqref="P268:AA269">
    <cfRule type="expression" dxfId="1204" priority="4129">
      <formula>FIND("NOT",#REF!)&gt;0</formula>
    </cfRule>
  </conditionalFormatting>
  <conditionalFormatting sqref="S760">
    <cfRule type="expression" dxfId="1203" priority="649">
      <formula>LEFT(RIGHT(S760,58),7)="INVALID"</formula>
    </cfRule>
  </conditionalFormatting>
  <conditionalFormatting sqref="S763">
    <cfRule type="expression" dxfId="1202" priority="650">
      <formula>LEFT(RIGHT(S763,58),7)="INVALID"</formula>
    </cfRule>
  </conditionalFormatting>
  <conditionalFormatting sqref="S747:T767">
    <cfRule type="expression" dxfId="1201" priority="5709">
      <formula>$S747="No"</formula>
    </cfRule>
  </conditionalFormatting>
  <conditionalFormatting sqref="U302:AL303">
    <cfRule type="expression" dxfId="1200" priority="4131">
      <formula>FIND("NOT",#REF!)&gt;0</formula>
    </cfRule>
  </conditionalFormatting>
  <conditionalFormatting sqref="V681:V697">
    <cfRule type="expression" dxfId="1199" priority="16546">
      <formula>$W$679&lt;&gt;$V$681</formula>
    </cfRule>
  </conditionalFormatting>
  <conditionalFormatting sqref="V768">
    <cfRule type="expression" dxfId="1198" priority="647">
      <formula>$V768="No"</formula>
    </cfRule>
  </conditionalFormatting>
  <conditionalFormatting sqref="W681:W696">
    <cfRule type="expression" dxfId="1197" priority="16548">
      <formula>$W$679&lt;&gt;$W$681</formula>
    </cfRule>
  </conditionalFormatting>
  <conditionalFormatting sqref="Z517:Z523">
    <cfRule type="cellIs" dxfId="1196" priority="432" stopIfTrue="1" operator="equal">
      <formula>ROUNDUP(AA517,2)</formula>
    </cfRule>
    <cfRule type="cellIs" dxfId="1195" priority="434" stopIfTrue="1" operator="equal">
      <formula>ROUNDUP(AA517,1)</formula>
    </cfRule>
    <cfRule type="cellIs" dxfId="1194" priority="431" stopIfTrue="1" operator="equal">
      <formula>ROUND(AA517,2)</formula>
    </cfRule>
    <cfRule type="cellIs" dxfId="1193" priority="441" stopIfTrue="1" operator="greaterThan">
      <formula>AA517</formula>
    </cfRule>
    <cfRule type="cellIs" dxfId="1192" priority="442" operator="lessThan">
      <formula>AA517</formula>
    </cfRule>
    <cfRule type="cellIs" dxfId="1191" priority="433" stopIfTrue="1" operator="equal">
      <formula>ROUNDDOWN(AA517,2)</formula>
    </cfRule>
  </conditionalFormatting>
  <dataValidations count="13">
    <dataValidation type="list" allowBlank="1" showInputMessage="1" showErrorMessage="1" sqref="B850 L401:L403 B719 F895:F915 R312 C708 C660 B638 B623 C590:C616 E913:E914 J403 B255 B852 B854:B856 C585:C588 B244:B246 P263 B717 B644 C636:C637 C692 L585:L588 B677:B679 L590:L616 B656:B657 E895:E911" xr:uid="{4E8DABAA-C8BE-4910-AE5E-6DC442FCB534}">
      <formula1>"&lt;select one&gt;, Yes, No"</formula1>
    </dataValidation>
    <dataValidation type="list" allowBlank="1" showInputMessage="1" showErrorMessage="1" sqref="B851:C853"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39:D839" xr:uid="{E7CE9D48-09E0-424A-9265-9DC1562F5D4A}">
      <formula1>DS_QualFin_DDMenu</formula1>
    </dataValidation>
    <dataValidation type="list" allowBlank="1" showInputMessage="1" showErrorMessage="1" sqref="B661" xr:uid="{E92BA0A7-21CE-4673-9DAA-A1BDE823E3E2}">
      <formula1>DS_AMI_List</formula1>
    </dataValidation>
    <dataValidation type="list" allowBlank="1" showInputMessage="1" showErrorMessage="1" sqref="B142:B145 E346 B118 E130" xr:uid="{3184EF24-18D1-4AFC-9254-09A1361D6A6C}">
      <formula1>"&lt;select one&gt;,Yes,No"</formula1>
    </dataValidation>
    <dataValidation type="list" allowBlank="1" showInputMessage="1" showErrorMessage="1" sqref="M405:M471" xr:uid="{799D41C9-FF55-4983-93EC-EC32B47BAA8F}">
      <formula1>"No,Yes"</formula1>
    </dataValidation>
    <dataValidation type="list" allowBlank="1" showInputMessage="1" showErrorMessage="1" sqref="B720:E720" xr:uid="{A142F911-D7E9-4C3F-8EB0-88DEECFEDCAD}">
      <formula1>DS_Goals_DDMenu</formula1>
    </dataValidation>
    <dataValidation type="list" allowBlank="1" showInputMessage="1" showErrorMessage="1" sqref="B653" xr:uid="{8B3CBEDF-673D-485A-A65D-75A6C65894F1}">
      <formula1>"NA,Non-AIT,AIT"</formula1>
    </dataValidation>
    <dataValidation type="list" allowBlank="1" showInputMessage="1" showErrorMessage="1" sqref="W679"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91:G592" xr:uid="{81241978-C388-41F8-B741-A18D82280B3B}">
      <formula1>$I$591:$I$592</formula1>
    </dataValidation>
  </dataValidations>
  <hyperlinks>
    <hyperlink ref="F542" r:id="rId1" display="https://support.office.com/en-us/f1/topic/aa1f3067-05c9-44e4-b141-f75bb9bb89bd?showContactUsNav=False&amp;ns=EXCEL&amp;version=90" xr:uid="{3FBD1BFB-0E6C-494B-9348-5675E8BB8104}"/>
    <hyperlink ref="G327" r:id="rId2" display="https://www.law.cornell.edu/definitions/uscode.php?width=840&amp;height=800&amp;iframe=true&amp;def_id=26-USC-685847098-1200007131&amp;term_occur=999&amp;term_src=title:26:subtitle:A:chapter:1:subchapter:A:part:I:section:1" xr:uid="{24BD2ED7-1DB3-476B-863F-AEB4C719CCC1}"/>
    <hyperlink ref="F328" r:id="rId3" xr:uid="{B50A3EC1-F1BD-4D85-AF84-275D760C62DE}"/>
    <hyperlink ref="F296" r:id="rId4" xr:uid="{C3633922-708C-47AE-9112-B9A3AC461D3C}"/>
  </hyperlinks>
  <pageMargins left="0.7" right="0.7" top="0.75" bottom="0.75" header="0.3" footer="0.3"/>
  <pageSetup scale="80" orientation="portrait" cellComments="atEnd" r:id="rId5"/>
  <headerFooter>
    <oddHeader>&amp;C&amp;B&amp;14&amp;K7030A0RFA 2026-204 SAIL FINANCING FOR THE PRESERVATION OF ELDERLY DEVELOPMENTS</oddHeader>
    <oddFooter>&amp;LRFA 2026-204&amp;R&amp;K000000'&amp;A' worksheet tab: Page &amp;P of &amp;N</oddFooter>
  </headerFooter>
  <ignoredErrors>
    <ignoredError sqref="D393 D394:D395 H674" formula="1"/>
    <ignoredError sqref="V683 V689" formulaRange="1"/>
  </ignoredErrors>
  <legacyDrawing r:id="rId6"/>
  <extLst>
    <ext xmlns:x14="http://schemas.microsoft.com/office/spreadsheetml/2009/9/main" uri="{78C0D931-6437-407d-A8EE-F0AAD7539E65}">
      <x14:conditionalFormattings>
        <x14:conditionalFormatting xmlns:xm="http://schemas.microsoft.com/office/excel/2006/main">
          <x14:cfRule type="expression" priority="6416" id="{DE9BE51D-D0BA-4637-BD00-2CDE91F80E83}">
            <xm:f>'General Information'!#REF!=0</xm:f>
            <x14:dxf>
              <font>
                <color theme="7" tint="0.59996337778862885"/>
              </font>
              <fill>
                <patternFill patternType="solid">
                  <fgColor auto="1"/>
                  <bgColor rgb="FF8EA9DB"/>
                </patternFill>
              </fill>
            </x14:dxf>
          </x14:cfRule>
          <xm:sqref>A13:A16 B13:D13 C14:C16</xm:sqref>
        </x14:conditionalFormatting>
        <x14:conditionalFormatting xmlns:xm="http://schemas.microsoft.com/office/excel/2006/main">
          <x14:cfRule type="expression" priority="6435" id="{FD611D74-96F0-42FC-86E5-B0AA5077BB55}">
            <xm:f>'General Information'!$K$28=0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16069" id="{971DD081-3B7A-422D-8BC6-288C9F7F2B20}">
            <xm:f>'General Information'!$M$134+'General Information'!$M$144+'General Information'!$M$154=0</xm:f>
            <x14:dxf>
              <font>
                <color theme="7" tint="0.59996337778862885"/>
              </font>
              <fill>
                <patternFill>
                  <bgColor theme="4" tint="0.39994506668294322"/>
                </patternFill>
              </fill>
            </x14:dxf>
          </x14:cfRule>
          <xm:sqref>A71:A115 B71:D71 C72:C115</xm:sqref>
        </x14:conditionalFormatting>
        <x14:conditionalFormatting xmlns:xm="http://schemas.microsoft.com/office/excel/2006/main">
          <x14:cfRule type="expression" priority="7697" id="{29C5589E-D30A-446C-872B-C79429042051}">
            <xm:f>'General Information'!$K$187+'General Information'!$K$190=0</xm:f>
            <x14:dxf>
              <fill>
                <patternFill>
                  <bgColor rgb="FF8EA9DB"/>
                </patternFill>
              </fill>
            </x14:dxf>
          </x14:cfRule>
          <xm:sqref>A142:A146</xm:sqref>
        </x14:conditionalFormatting>
        <x14:conditionalFormatting xmlns:xm="http://schemas.microsoft.com/office/excel/2006/main">
          <x14:cfRule type="expression" priority="7960" id="{6465C123-1BDC-415A-9751-50DAB56A48F5}">
            <xm:f>'General Information'!$K$229=0</xm:f>
            <x14:dxf>
              <font>
                <color theme="7" tint="0.59996337778862885"/>
              </font>
              <fill>
                <patternFill>
                  <bgColor rgb="FF8EA9DB"/>
                </patternFill>
              </fill>
            </x14:dxf>
          </x14:cfRule>
          <xm:sqref>A150:A152 B150:E150 C151:C152</xm:sqref>
        </x14:conditionalFormatting>
        <x14:conditionalFormatting xmlns:xm="http://schemas.microsoft.com/office/excel/2006/main">
          <x14:cfRule type="expression" priority="8000" id="{21151A3F-CD5E-4023-B5AC-78AC8535D037}">
            <xm:f>'General Information'!$L$237=0</xm:f>
            <x14:dxf>
              <font>
                <color theme="7" tint="0.59996337778862885"/>
              </font>
              <fill>
                <patternFill>
                  <bgColor rgb="FF8EA9DB"/>
                </patternFill>
              </fill>
            </x14:dxf>
          </x14:cfRule>
          <xm:sqref>A154:A156 B154:E154 C155:C156</xm:sqref>
        </x14:conditionalFormatting>
        <x14:conditionalFormatting xmlns:xm="http://schemas.microsoft.com/office/excel/2006/main">
          <x14:cfRule type="expression" priority="16563" id="{4F389891-7600-4BDA-AF48-F3CD03AA3229}">
            <xm:f>'General Information'!$L$250+'General Information'!$L$295+'General Information'!$M$308=0</xm:f>
            <x14:dxf>
              <font>
                <color theme="7" tint="0.59996337778862885"/>
              </font>
              <fill>
                <patternFill>
                  <bgColor theme="4" tint="0.39994506668294322"/>
                </patternFill>
              </fill>
            </x14:dxf>
          </x14:cfRule>
          <xm:sqref>A160:A211 A159:D159 C160:C211</xm:sqref>
        </x14:conditionalFormatting>
        <x14:conditionalFormatting xmlns:xm="http://schemas.microsoft.com/office/excel/2006/main">
          <x14:cfRule type="expression" priority="8770" id="{D3DFBC99-8E52-4721-995C-5F9446A35887}">
            <xm:f>'Proposed Development Info'!$L$55=0</xm:f>
            <x14:dxf>
              <font>
                <color theme="7" tint="0.59996337778862885"/>
              </font>
              <fill>
                <patternFill>
                  <bgColor theme="4" tint="0.39994506668294322"/>
                </patternFill>
              </fill>
            </x14:dxf>
          </x14:cfRule>
          <xm:sqref>A238:A241 B238:D238 C239:C241</xm:sqref>
        </x14:conditionalFormatting>
        <x14:conditionalFormatting xmlns:xm="http://schemas.microsoft.com/office/excel/2006/main">
          <x14:cfRule type="expression" priority="344" id="{53AAB99C-7917-4821-B480-9A4D4EFA7DC7}">
            <xm:f>OR($B$230=0,'Proposed Development Info'!$L$12=0)</xm:f>
            <x14:dxf>
              <font>
                <color theme="7" tint="0.59996337778862885"/>
              </font>
              <fill>
                <patternFill>
                  <bgColor theme="4" tint="0.39994506668294322"/>
                </patternFill>
              </fill>
            </x14:dxf>
          </x14:cfRule>
          <xm:sqref>A254:A260 B260:D260</xm:sqref>
        </x14:conditionalFormatting>
        <x14:conditionalFormatting xmlns:xm="http://schemas.microsoft.com/office/excel/2006/main">
          <x14:cfRule type="expression" priority="16189" id="{A5ACCD40-561D-426A-8FD4-B7C8A6BCF2B1}">
            <xm:f>OR('Proposed Development Info'!$L$12=0,AND('Proposed Development Info'!$G$12&lt;&gt;"New Construction",CELL("protect",'Proposed Development Info'!$G$12)=1),'Proposed Development Info'!$L$55=0,$B$239&lt;&gt;1)</xm:f>
            <x14:dxf>
              <font>
                <color theme="7" tint="0.59996337778862885"/>
              </font>
              <fill>
                <patternFill>
                  <bgColor theme="4" tint="0.39994506668294322"/>
                </patternFill>
              </fill>
            </x14:dxf>
          </x14:cfRule>
          <xm:sqref>A262:A276 B273:C273 B276:E276</xm:sqref>
        </x14:conditionalFormatting>
        <x14:conditionalFormatting xmlns:xm="http://schemas.microsoft.com/office/excel/2006/main">
          <x14:cfRule type="expression" priority="362" id="{98A41CAF-E225-4C6A-8307-A2DE4A31B0C7}">
            <xm:f>OR('Proposed Development Info'!$L$12=0,AND('Proposed Development Info'!$G$12&lt;&gt;"New Construction",CELL("protect",'Proposed Development Info'!$G$12)=1),AND(RIGHT(Excel_RFA_Number,3)="214",'Proposed Development Info'!$L$30=0),'Proposed Development Info'!$L$55=0,$B$240&lt;&gt;1)</xm:f>
            <x14:dxf>
              <font>
                <color theme="7" tint="0.59996337778862885"/>
              </font>
              <fill>
                <patternFill>
                  <bgColor theme="4" tint="0.39994506668294322"/>
                </patternFill>
              </fill>
            </x14:dxf>
          </x14:cfRule>
          <xm:sqref>A278:A309 A312 B309:E309</xm:sqref>
        </x14:conditionalFormatting>
        <x14:conditionalFormatting xmlns:xm="http://schemas.microsoft.com/office/excel/2006/main">
          <x14:cfRule type="expression" priority="370" id="{FE37A5B5-44EB-4FED-8A7C-0C75FCA24897}">
            <xm:f>OR(AND($B$231=0,$B$232=0),'Proposed Development Info'!$L$12=0)</xm:f>
            <x14:dxf>
              <font>
                <color theme="7" tint="0.59996337778862885"/>
              </font>
              <fill>
                <patternFill>
                  <bgColor theme="4" tint="0.39994506668294322"/>
                </patternFill>
              </fill>
            </x14:dxf>
          </x14:cfRule>
          <xm:sqref>A313:A338 A311 B338:E338</xm:sqref>
        </x14:conditionalFormatting>
        <x14:conditionalFormatting xmlns:xm="http://schemas.microsoft.com/office/excel/2006/main">
          <x14:cfRule type="expression" priority="16470" id="{A6E185FF-8672-4D15-8781-C1872575EE0A}">
            <xm:f>OR('Proposed Development Info'!$L$55=0,'Proposed Development Info'!$L$30=0,'Proposed Development Info'!$L$61=0,'Proposed Development Info'!$M$63=0)</xm:f>
            <x14:dxf>
              <font>
                <color theme="7" tint="0.59996337778862885"/>
              </font>
              <fill>
                <patternFill>
                  <bgColor theme="4" tint="0.39994506668294322"/>
                </patternFill>
              </fill>
            </x14:dxf>
          </x14:cfRule>
          <xm:sqref>A340:A348 B340:D340 C341:C348</xm:sqref>
        </x14:conditionalFormatting>
        <x14:conditionalFormatting xmlns:xm="http://schemas.microsoft.com/office/excel/2006/main">
          <x14:cfRule type="expression" priority="10296" id="{DD88155D-F572-4EBE-BDF3-4572C452C512}">
            <xm:f>'Proposed Development Info'!$L$99=0</xm:f>
            <x14:dxf>
              <font>
                <color theme="7" tint="0.59996337778862885"/>
              </font>
              <fill>
                <patternFill>
                  <bgColor theme="4" tint="0.39994506668294322"/>
                </patternFill>
              </fill>
            </x14:dxf>
          </x14:cfRule>
          <xm:sqref>A354:A368 B354:D354 C355:C361 B362:B366 D367:F368 B367:C369 E370:E371 C370:C374 B374</xm:sqref>
        </x14:conditionalFormatting>
        <x14:conditionalFormatting xmlns:xm="http://schemas.microsoft.com/office/excel/2006/main">
          <x14:cfRule type="expression" priority="10467" id="{48DE82B1-2E63-4F4C-A0D1-F16274635FC6}">
            <xm:f>'Proposed Development Info'!$L$122=0</xm:f>
            <x14:dxf>
              <font>
                <color theme="7" tint="0.59996337778862885"/>
              </font>
              <fill>
                <patternFill>
                  <bgColor theme="4" tint="0.39994506668294322"/>
                </patternFill>
              </fill>
            </x14:dxf>
          </x14:cfRule>
          <xm:sqref>A376:A388 B376:D376 C377:C388</xm:sqref>
        </x14:conditionalFormatting>
        <x14:conditionalFormatting xmlns:xm="http://schemas.microsoft.com/office/excel/2006/main">
          <x14:cfRule type="expression" priority="12261" id="{96675857-878A-42F7-A0C5-94A695CC049F}">
            <xm:f>'Units, Set-Asides, Bldgs'!$N$25=0</xm:f>
            <x14:dxf>
              <font>
                <color theme="7" tint="0.59996337778862885"/>
              </font>
              <fill>
                <patternFill>
                  <bgColor theme="4" tint="0.39994506668294322"/>
                </patternFill>
              </fill>
            </x14:dxf>
          </x14:cfRule>
          <xm:sqref>A618:A623 B618:D618 C619:C623 B622 D622:D623</xm:sqref>
        </x14:conditionalFormatting>
        <x14:conditionalFormatting xmlns:xm="http://schemas.microsoft.com/office/excel/2006/main">
          <x14:cfRule type="expression" priority="12372" id="{07E51986-A7C1-4BB1-A381-58C48A727A78}">
            <xm:f>'Units, Set-Asides, Bldgs'!$N$34=0</xm:f>
            <x14:dxf>
              <font>
                <color theme="7" tint="0.59996337778862885"/>
              </font>
              <fill>
                <patternFill>
                  <bgColor theme="4" tint="0.39994506668294322"/>
                </patternFill>
              </fill>
            </x14:dxf>
          </x14:cfRule>
          <xm:sqref>A629:A633 B629:D629 C630:C633</xm:sqref>
        </x14:conditionalFormatting>
        <x14:conditionalFormatting xmlns:xm="http://schemas.microsoft.com/office/excel/2006/main">
          <x14:cfRule type="expression" priority="16525" id="{4B3F52F3-A479-4FE1-AFE5-17066A552160}">
            <xm:f>'Units, Set-Asides, Bldgs'!#REF!=0</xm:f>
            <x14:dxf>
              <font>
                <color theme="7" tint="0.59996337778862885"/>
              </font>
              <fill>
                <patternFill>
                  <bgColor theme="4" tint="0.39994506668294322"/>
                </patternFill>
              </fill>
            </x14:dxf>
          </x14:cfRule>
          <xm:sqref>A660:A665 B660 B662 B665</xm:sqref>
        </x14:conditionalFormatting>
        <x14:conditionalFormatting xmlns:xm="http://schemas.microsoft.com/office/excel/2006/main">
          <x14:cfRule type="expression" priority="9124" id="{21AF06AC-5434-4BDE-B292-75E26F8EB4BC}">
            <xm:f>'General Information'!$K$73=0</xm:f>
            <x14:dxf>
              <font>
                <color theme="7" tint="0.59996337778862885"/>
              </font>
              <fill>
                <patternFill>
                  <bgColor theme="4" tint="0.39994506668294322"/>
                </patternFill>
              </fill>
            </x14:dxf>
          </x14:cfRule>
          <xm:sqref>A669:A670 A678 A731 A743</xm:sqref>
        </x14:conditionalFormatting>
        <x14:conditionalFormatting xmlns:xm="http://schemas.microsoft.com/office/excel/2006/main">
          <x14:cfRule type="expression" priority="12390" id="{0B7EB975-7986-4197-87FB-9D5F6233826B}">
            <xm:f>'Units, Set-Asides, Bldgs'!$N$34=0</xm:f>
            <x14:dxf>
              <font>
                <color theme="7" tint="0.59996337778862885"/>
              </font>
              <fill>
                <patternFill>
                  <bgColor rgb="FF8EA9DB"/>
                </patternFill>
              </fill>
            </x14:dxf>
          </x14:cfRule>
          <xm:sqref>A676:A679 A649:A653 A640:A646 A655:A665 A635:A637 A672:A674</xm:sqref>
        </x14:conditionalFormatting>
        <x14:conditionalFormatting xmlns:xm="http://schemas.microsoft.com/office/excel/2006/main">
          <x14:cfRule type="expression" priority="57" id="{5631A237-52F7-4682-9095-2A13764B166F}">
            <xm:f>'Units, Set-Asides, Bldgs'!$N$47=0</xm:f>
            <x14:dxf>
              <font>
                <color theme="7" tint="0.59996337778862885"/>
              </font>
              <fill>
                <patternFill>
                  <bgColor rgb="FF8EA9DB"/>
                </patternFill>
              </fill>
            </x14:dxf>
          </x14:cfRule>
          <xm:sqref>A682:A685 C682:F685 A686:L687</xm:sqref>
        </x14:conditionalFormatting>
        <x14:conditionalFormatting xmlns:xm="http://schemas.microsoft.com/office/excel/2006/main">
          <x14:cfRule type="expression" priority="77" id="{9E15A7B2-4DF2-4E3C-B437-DC97C804052B}">
            <xm:f>'Units, Set-Asides, Bldgs'!$N$68=0</xm:f>
            <x14:dxf>
              <font>
                <color theme="7" tint="0.59996337778862885"/>
              </font>
              <fill>
                <patternFill>
                  <bgColor rgb="FF8EA9DB"/>
                </patternFill>
              </fill>
            </x14:dxf>
          </x14:cfRule>
          <xm:sqref>A698:A701 C698:F701 A702:L703</xm:sqref>
        </x14:conditionalFormatting>
        <x14:conditionalFormatting xmlns:xm="http://schemas.microsoft.com/office/excel/2006/main">
          <x14:cfRule type="expression" priority="12478" id="{0ACAC60A-04CE-444E-951E-941C6DA7E049}">
            <xm:f>'Units, Set-Asides, Bldgs'!$N$47=0</xm:f>
            <x14:dxf>
              <font>
                <color theme="7" tint="0.59996337778862885"/>
              </font>
              <fill>
                <patternFill>
                  <bgColor theme="4" tint="0.39994506668294322"/>
                </patternFill>
              </fill>
            </x14:dxf>
          </x14:cfRule>
          <xm:sqref>A723:A731</xm:sqref>
        </x14:conditionalFormatting>
        <x14:conditionalFormatting xmlns:xm="http://schemas.microsoft.com/office/excel/2006/main">
          <x14:cfRule type="expression" priority="9187" id="{F11067F7-49D8-4764-B6A7-40CAFCD0A129}">
            <xm:f>OR('General Information'!$K$77=0,'General Information'!$D$79="No",1=1)</xm:f>
            <x14:dxf>
              <font>
                <color theme="7" tint="0.59996337778862885"/>
              </font>
              <fill>
                <patternFill>
                  <bgColor theme="4" tint="0.39994506668294322"/>
                </patternFill>
              </fill>
            </x14:dxf>
          </x14:cfRule>
          <xm:sqref>A726 A736</xm:sqref>
        </x14:conditionalFormatting>
        <x14:conditionalFormatting xmlns:xm="http://schemas.microsoft.com/office/excel/2006/main">
          <x14:cfRule type="expression" priority="16624" id="{11D4AF7C-7328-4433-9EE1-12B6E40929D4}">
            <xm:f>'Units, Set-Asides, Bldgs'!$P$65=1</xm:f>
            <x14:dxf>
              <font>
                <color theme="7" tint="0.59996337778862885"/>
              </font>
              <fill>
                <patternFill>
                  <bgColor theme="4" tint="0.39994506668294322"/>
                </patternFill>
              </fill>
            </x14:dxf>
          </x14:cfRule>
          <xm:sqref>A727 A737</xm:sqref>
        </x14:conditionalFormatting>
        <x14:conditionalFormatting xmlns:xm="http://schemas.microsoft.com/office/excel/2006/main">
          <x14:cfRule type="expression" priority="12541" id="{98B4C5DA-AB72-4A26-905C-8CA1A53175F8}">
            <xm:f>'Units, Set-Asides, Bldgs'!$N$68=0</xm:f>
            <x14:dxf>
              <font>
                <color theme="7" tint="0.59996337778862885"/>
              </font>
              <fill>
                <patternFill>
                  <bgColor theme="4" tint="0.39994506668294322"/>
                </patternFill>
              </fill>
            </x14:dxf>
          </x14:cfRule>
          <xm:sqref>A733:A743</xm:sqref>
        </x14:conditionalFormatting>
        <x14:conditionalFormatting xmlns:xm="http://schemas.microsoft.com/office/excel/2006/main">
          <x14:cfRule type="expression" priority="13207" id="{DB981F28-225D-4138-BB37-903EAC554203}">
            <xm:f>'Construction Features'!$O$33=0</xm:f>
            <x14:dxf>
              <font>
                <color theme="7" tint="0.59996337778862885"/>
              </font>
              <fill>
                <patternFill>
                  <bgColor theme="4" tint="0.39994506668294322"/>
                </patternFill>
              </fill>
            </x14:dxf>
          </x14:cfRule>
          <x14:cfRule type="expression" priority="13206" id="{BA768C88-E6BC-4276-8BDC-DA45B0FFAA1D}">
            <xm:f>'Construction Features'!$M$15=0</xm:f>
            <x14:dxf>
              <font>
                <color theme="7" tint="0.59996337778862885"/>
              </font>
              <fill>
                <patternFill>
                  <bgColor theme="4" tint="0.39994506668294322"/>
                </patternFill>
              </fill>
            </x14:dxf>
          </x14:cfRule>
          <xm:sqref>A770:A774 B770:D770 C771:C774</xm:sqref>
        </x14:conditionalFormatting>
        <x14:conditionalFormatting xmlns:xm="http://schemas.microsoft.com/office/excel/2006/main">
          <x14:cfRule type="expression" priority="15530" id="{836DF982-0F8B-464F-8266-D7E28AE7947E}">
            <xm:f>Funding!$L$491=0</xm:f>
            <x14:dxf>
              <font>
                <color theme="7" tint="0.59996337778862885"/>
              </font>
              <fill>
                <patternFill>
                  <bgColor theme="4" tint="0.39994506668294322"/>
                </patternFill>
              </fill>
            </x14:dxf>
          </x14:cfRule>
          <xm:sqref>A846:A847</xm:sqref>
        </x14:conditionalFormatting>
        <x14:conditionalFormatting xmlns:xm="http://schemas.microsoft.com/office/excel/2006/main">
          <x14:cfRule type="expression" priority="15699" id="{F2CEDBCD-5A84-49D4-9789-8E5BA11AA58A}">
            <xm:f>'LGAO Status'!#REF!=0</xm:f>
            <x14:dxf>
              <font>
                <color theme="7" tint="0.59996337778862885"/>
              </font>
              <fill>
                <patternFill>
                  <bgColor theme="4" tint="0.39994506668294322"/>
                </patternFill>
              </fill>
            </x14:dxf>
          </x14:cfRule>
          <xm:sqref>A850 A852 D850:F850 D852:F852</xm:sqref>
        </x14:conditionalFormatting>
        <x14:conditionalFormatting xmlns:xm="http://schemas.microsoft.com/office/excel/2006/main">
          <x14:cfRule type="expression" priority="15708" id="{17E012E0-A17E-4358-B350-6EDE7A8CCCE0}">
            <xm:f>AND('LGAO Status'!#REF!=0,'LGAO Status'!$P$19="No")</xm:f>
            <x14:dxf>
              <font>
                <color theme="7" tint="0.59996337778862885"/>
              </font>
              <fill>
                <patternFill>
                  <bgColor theme="4" tint="0.39994506668294322"/>
                </patternFill>
              </fill>
            </x14:dxf>
          </x14:cfRule>
          <xm:sqref>A851 A853:A856 D851:F851 D853:F856 A849:C849</xm:sqref>
        </x14:conditionalFormatting>
        <x14:conditionalFormatting xmlns:xm="http://schemas.microsoft.com/office/excel/2006/main">
          <x14:cfRule type="expression" priority="13740" id="{310AAC7D-9FD9-40E0-898E-A6C20BD94D35}">
            <xm:f>OR(Goals!$N$4=0,Goals!$P$10=0)</xm:f>
            <x14:dxf>
              <font>
                <color theme="7" tint="0.59996337778862885"/>
              </font>
              <fill>
                <patternFill>
                  <bgColor theme="4" tint="0.39994506668294322"/>
                </patternFill>
              </fill>
            </x14:dxf>
          </x14:cfRule>
          <xm:sqref>A872:A885 B872:D872 C873:C885</xm:sqref>
        </x14:conditionalFormatting>
        <x14:conditionalFormatting xmlns:xm="http://schemas.microsoft.com/office/excel/2006/main">
          <x14:cfRule type="expression" priority="9081" id="{7FACCAFB-B4EF-49DA-82CE-5EC38C260A0D}">
            <xm:f>'Proposed Development Info'!$M$76=0</xm:f>
            <x14:dxf>
              <font>
                <color theme="7" tint="0.59996337778862885"/>
              </font>
              <fill>
                <patternFill>
                  <bgColor theme="4" tint="0.39994506668294322"/>
                </patternFill>
              </fill>
            </x14:dxf>
          </x14:cfRule>
          <xm:sqref>A350:B352</xm:sqref>
        </x14:conditionalFormatting>
        <x14:conditionalFormatting xmlns:xm="http://schemas.microsoft.com/office/excel/2006/main">
          <x14:cfRule type="expression" priority="16730" id="{D9E19E1F-05C5-4198-9093-7749ECEBF428}">
            <xm:f>OR('LGAO Status'!$P$19="No",AND('LGAO Status'!#REF!=0,'LGAO Status'!#REF!=0))</xm:f>
            <x14:dxf>
              <font>
                <color theme="7" tint="0.59996337778862885"/>
              </font>
              <fill>
                <patternFill>
                  <bgColor theme="4" tint="0.39994506668294322"/>
                </patternFill>
              </fill>
            </x14:dxf>
          </x14:cfRule>
          <xm:sqref>A545:B545</xm:sqref>
        </x14:conditionalFormatting>
        <x14:conditionalFormatting xmlns:xm="http://schemas.microsoft.com/office/excel/2006/main">
          <x14:cfRule type="expression" priority="11670" id="{C266F1BF-1FC6-440B-91EA-43F2F19FC5C2}">
            <xm:f>'Proximity, Mand.Dist., RECAP'!$L$35=0</xm:f>
            <x14:dxf>
              <font>
                <color theme="7" tint="0.59996337778862885"/>
              </font>
              <fill>
                <patternFill>
                  <bgColor theme="4" tint="0.39994506668294322"/>
                </patternFill>
              </fill>
            </x14:dxf>
          </x14:cfRule>
          <xm:sqref>A546:B546</xm:sqref>
        </x14:conditionalFormatting>
        <x14:conditionalFormatting xmlns:xm="http://schemas.microsoft.com/office/excel/2006/main">
          <x14:cfRule type="expression" priority="16728" id="{EDFB005D-63EA-4B22-A076-3A76A7784DCE}">
            <xm:f>OR('LGAO Status'!$P$19="No",'LGAO Status'!#REF!=0)</xm:f>
            <x14:dxf>
              <font>
                <color theme="7" tint="0.59996337778862885"/>
              </font>
              <fill>
                <patternFill>
                  <bgColor theme="4" tint="0.39994506668294322"/>
                </patternFill>
              </fill>
            </x14:dxf>
          </x14:cfRule>
          <xm:sqref>A547:B547 A862:B865</xm:sqref>
        </x14:conditionalFormatting>
        <x14:conditionalFormatting xmlns:xm="http://schemas.microsoft.com/office/excel/2006/main">
          <x14:cfRule type="expression" priority="11827" id="{CD1D41DC-96AF-4C71-9C37-02BF912D7CFB}">
            <xm:f>'Proximity, Mand.Dist., RECAP'!$L$54=0</xm:f>
            <x14:dxf>
              <font>
                <color theme="7" tint="0.59996337778862885"/>
              </font>
              <fill>
                <patternFill>
                  <bgColor theme="4" tint="0.39994506668294322"/>
                </patternFill>
              </fill>
            </x14:dxf>
          </x14:cfRule>
          <xm:sqref>A569:B582</xm:sqref>
        </x14:conditionalFormatting>
        <x14:conditionalFormatting xmlns:xm="http://schemas.microsoft.com/office/excel/2006/main">
          <x14:cfRule type="expression" priority="13292" id="{249823E0-9706-407C-BFA5-4C43479431F5}">
            <xm:f>OR('Construction Features'!$L$16=0,'Construction Features'!$O$33=0)</xm:f>
            <x14:dxf>
              <font>
                <color theme="7" tint="0.59996337778862885"/>
              </font>
              <fill>
                <patternFill>
                  <bgColor rgb="FF8EA9DB"/>
                </patternFill>
              </fill>
            </x14:dxf>
          </x14:cfRule>
          <xm:sqref>A776:B793</xm:sqref>
        </x14:conditionalFormatting>
        <x14:conditionalFormatting xmlns:xm="http://schemas.microsoft.com/office/excel/2006/main">
          <x14:cfRule type="expression" priority="13247" id="{43410F3A-EF14-491F-93AF-1BC909C58A21}">
            <xm:f>'Construction Features'!$N17=0</xm:f>
            <x14:dxf>
              <font>
                <color theme="7" tint="0.59996337778862885"/>
              </font>
              <fill>
                <patternFill>
                  <bgColor theme="4" tint="0.39994506668294322"/>
                </patternFill>
              </fill>
            </x14:dxf>
          </x14:cfRule>
          <xm:sqref>A792:B793 A778:B787</xm:sqref>
        </x14:conditionalFormatting>
        <x14:conditionalFormatting xmlns:xm="http://schemas.microsoft.com/office/excel/2006/main">
          <x14:cfRule type="expression" priority="13389" id="{2183601E-AD0C-42DD-8B2A-C37709104CB1}">
            <xm:f>OR(Services!$K$7=0,Services!$M$9=0)</xm:f>
            <x14:dxf>
              <font>
                <color theme="7" tint="0.59996337778862885"/>
              </font>
              <fill>
                <patternFill>
                  <bgColor theme="4" tint="0.39994506668294322"/>
                </patternFill>
              </fill>
            </x14:dxf>
          </x14:cfRule>
          <xm:sqref>A795:B797</xm:sqref>
        </x14:conditionalFormatting>
        <x14:conditionalFormatting xmlns:xm="http://schemas.microsoft.com/office/excel/2006/main">
          <x14:cfRule type="expression" priority="14035" id="{27CCC6AF-467E-4CD0-B5A9-B7B0E6AB0D04}">
            <xm:f>Funding!$L$21=0</xm:f>
            <x14:dxf>
              <font>
                <color theme="7" tint="0.59996337778862885"/>
              </font>
              <fill>
                <patternFill>
                  <bgColor theme="4" tint="0.39994506668294322"/>
                </patternFill>
              </fill>
            </x14:dxf>
          </x14:cfRule>
          <xm:sqref>A814:B816</xm:sqref>
        </x14:conditionalFormatting>
        <x14:conditionalFormatting xmlns:xm="http://schemas.microsoft.com/office/excel/2006/main">
          <x14:cfRule type="expression" priority="15253" id="{531580E4-ABF3-49F9-BD95-22DF65C2FB31}">
            <xm:f>Funding!$N$346+Funding!$N$355+Funding!$N$365+Funding!$N$368+Funding!$N$371=0</xm:f>
            <x14:dxf>
              <font>
                <color theme="7" tint="0.59996337778862885"/>
              </font>
              <fill>
                <patternFill>
                  <bgColor theme="4" tint="0.39994506668294322"/>
                </patternFill>
              </fill>
            </x14:dxf>
          </x14:cfRule>
          <xm:sqref>A824:B824</xm:sqref>
        </x14:conditionalFormatting>
        <x14:conditionalFormatting xmlns:xm="http://schemas.microsoft.com/office/excel/2006/main">
          <x14:cfRule type="expression" priority="15077" id="{1E63D640-6107-4F3B-9BA3-4614605DFF4A}">
            <xm:f>Funding!$N$355=0</xm:f>
            <x14:dxf>
              <font>
                <color theme="7" tint="0.59996337778862885"/>
              </font>
              <fill>
                <patternFill>
                  <bgColor theme="4" tint="0.39994506668294322"/>
                </patternFill>
              </fill>
            </x14:dxf>
          </x14:cfRule>
          <xm:sqref>A826:B826</xm:sqref>
        </x14:conditionalFormatting>
        <x14:conditionalFormatting xmlns:xm="http://schemas.microsoft.com/office/excel/2006/main">
          <x14:cfRule type="expression" priority="15131" id="{6E806F78-597B-4FC8-A235-03E60321C64C}">
            <xm:f>Funding!$N$365=0</xm:f>
            <x14:dxf>
              <font>
                <color theme="7" tint="0.59996337778862885"/>
              </font>
              <fill>
                <patternFill>
                  <bgColor theme="4" tint="0.39994506668294322"/>
                </patternFill>
              </fill>
            </x14:dxf>
          </x14:cfRule>
          <xm:sqref>A827:B827</xm:sqref>
        </x14:conditionalFormatting>
        <x14:conditionalFormatting xmlns:xm="http://schemas.microsoft.com/office/excel/2006/main">
          <x14:cfRule type="expression" priority="15189" id="{22788BFC-C756-451E-8DC7-392713DCE986}">
            <xm:f>Funding!$N$368=0</xm:f>
            <x14:dxf>
              <font>
                <color theme="7" tint="0.59996337778862885"/>
              </font>
              <fill>
                <patternFill>
                  <bgColor theme="4" tint="0.39994506668294322"/>
                </patternFill>
              </fill>
            </x14:dxf>
          </x14:cfRule>
          <xm:sqref>A828:B828</xm:sqref>
        </x14:conditionalFormatting>
        <x14:conditionalFormatting xmlns:xm="http://schemas.microsoft.com/office/excel/2006/main">
          <x14:cfRule type="expression" priority="18" id="{0E4D1372-CFA6-402C-82D5-CC2E6C60AB46}">
            <xm:f>Funding!$N$371=0</xm:f>
            <x14:dxf>
              <font>
                <color theme="7" tint="0.59996337778862885"/>
              </font>
              <fill>
                <patternFill>
                  <bgColor theme="4" tint="0.39994506668294322"/>
                </patternFill>
              </fill>
            </x14:dxf>
          </x14:cfRule>
          <xm:sqref>A829:B829</xm:sqref>
        </x14:conditionalFormatting>
        <x14:conditionalFormatting xmlns:xm="http://schemas.microsoft.com/office/excel/2006/main">
          <x14:cfRule type="expression" priority="15248" id="{9CD9F7C9-1ED4-490D-9F53-799786E18DF8}">
            <xm:f>Funding!$N$374=0</xm:f>
            <x14:dxf>
              <font>
                <color theme="7" tint="0.59996337778862885"/>
              </font>
              <fill>
                <patternFill>
                  <bgColor theme="4" tint="0.39994506668294322"/>
                </patternFill>
              </fill>
            </x14:dxf>
          </x14:cfRule>
          <xm:sqref>A830:B830</xm:sqref>
        </x14:conditionalFormatting>
        <x14:conditionalFormatting xmlns:xm="http://schemas.microsoft.com/office/excel/2006/main">
          <x14:cfRule type="expression" priority="15398" id="{804A107B-676E-4B06-963A-8A875FD7B01E}">
            <xm:f>Funding!$L$447=0</xm:f>
            <x14:dxf>
              <font>
                <color theme="7" tint="0.59996337778862885"/>
              </font>
              <fill>
                <patternFill>
                  <bgColor theme="4" tint="0.39994506668294322"/>
                </patternFill>
              </fill>
            </x14:dxf>
          </x14:cfRule>
          <xm:sqref>A832:B835</xm:sqref>
        </x14:conditionalFormatting>
        <x14:conditionalFormatting xmlns:xm="http://schemas.microsoft.com/office/excel/2006/main">
          <x14:cfRule type="expression" priority="207" id="{94BC6351-861D-4EE0-A28D-E6FC128A0980}">
            <xm:f>'Urban Infill or Mixed-Use'!$O$10=0</xm:f>
            <x14:dxf>
              <font>
                <color theme="7" tint="0.59996337778862885"/>
              </font>
              <fill>
                <patternFill>
                  <bgColor theme="4" tint="0.39994506668294322"/>
                </patternFill>
              </fill>
            </x14:dxf>
          </x14:cfRule>
          <xm:sqref>A867:B870</xm:sqref>
        </x14:conditionalFormatting>
        <x14:conditionalFormatting xmlns:xm="http://schemas.microsoft.com/office/excel/2006/main">
          <x14:cfRule type="expression" priority="15076" id="{8E5A5D35-27E7-4C72-8288-7F169FC7FD12}">
            <xm:f>Funding!$N$346=0</xm:f>
            <x14:dxf>
              <font>
                <color theme="7" tint="0.59996337778862885"/>
              </font>
              <fill>
                <patternFill>
                  <bgColor theme="4" tint="0.39994506668294322"/>
                </patternFill>
              </fill>
            </x14:dxf>
          </x14:cfRule>
          <xm:sqref>A825:C825</xm:sqref>
        </x14:conditionalFormatting>
        <x14:conditionalFormatting xmlns:xm="http://schemas.microsoft.com/office/excel/2006/main">
          <x14:cfRule type="expression" priority="6603" id="{AB958683-C2A6-474E-8494-F7CC13FA127C}">
            <xm:f>'General Information'!$K$41+'General Information'!$K$46=0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6555" id="{77008937-E33A-41A4-8519-BB045A17D4A0}">
            <xm:f>'General Information'!$K$41=0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6586" id="{05E2D274-3819-430A-9C69-6BAB6CA0B88D}">
            <xm:f>'General Information'!$K$46=0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164"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333"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7712" id="{680C5ED8-F539-488E-83C3-B55F12E742D0}">
            <xm:f>'General Information'!$K$194=0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10238" id="{DB28BF57-6F7A-45AD-9CB8-339BB45EE10E}">
            <xm:f>'General Information'!$L$258+'General Information'!$L$269=0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10114" id="{82C8658F-AFFF-4EE8-9F3F-25BA9652920B}">
            <xm:f>SUM('General Information'!$L$290:$L$298)+'General Information'!$K$302=0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351"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A260:E260</xm:sqref>
        </x14:conditionalFormatting>
        <x14:conditionalFormatting xmlns:xm="http://schemas.microsoft.com/office/excel/2006/main">
          <x14:cfRule type="expression" priority="427" id="{3935907B-8B31-493F-8D61-CFC91386EDC9}">
            <xm:f>'Development Location'!$M$5=0</xm:f>
            <x14:dxf>
              <font>
                <color theme="7" tint="0.59996337778862885"/>
              </font>
              <fill>
                <patternFill>
                  <bgColor theme="4" tint="0.39994506668294322"/>
                </patternFill>
              </fill>
            </x14:dxf>
          </x14:cfRule>
          <xm:sqref>A473:E475</xm:sqref>
        </x14:conditionalFormatting>
        <x14:conditionalFormatting xmlns:xm="http://schemas.microsoft.com/office/excel/2006/main">
          <x14:cfRule type="expression" priority="428" id="{AF98A06B-F489-4A48-97D6-1A5BC3217CD7}">
            <xm:f>'Development Location'!$M$7=0</xm:f>
            <x14:dxf>
              <font>
                <color theme="7" tint="0.59996337778862885"/>
              </font>
              <fill>
                <patternFill>
                  <bgColor theme="4" tint="0.39994506668294322"/>
                </patternFill>
              </fill>
            </x14:dxf>
          </x14:cfRule>
          <xm:sqref>A477:E479</xm:sqref>
        </x14:conditionalFormatting>
        <x14:conditionalFormatting xmlns:xm="http://schemas.microsoft.com/office/excel/2006/main">
          <x14:cfRule type="expression" priority="17" id="{5B1FFE38-EFA6-4CEB-96F3-00117A14595C}">
            <xm:f>'Proximity, Mand.Dist., RECAP'!$L$35=0</xm:f>
            <x14:dxf>
              <font>
                <color theme="7" tint="0.59996337778862885"/>
              </font>
              <fill>
                <patternFill>
                  <bgColor rgb="FF8EA9DB"/>
                </patternFill>
              </fill>
            </x14:dxf>
          </x14:cfRule>
          <xm:sqref>A549:E549 A550:A566 C550:C566</xm:sqref>
        </x14:conditionalFormatting>
        <x14:conditionalFormatting xmlns:xm="http://schemas.microsoft.com/office/excel/2006/main">
          <x14:cfRule type="expression" priority="14688" id="{A5F77D58-0095-4510-BE9A-A50E144B6D3E}">
            <xm:f>Funding!$M$281+Funding!$M$310=0</xm:f>
            <x14:dxf>
              <font>
                <color theme="7" tint="0.59996337778862885"/>
              </font>
              <fill>
                <patternFill>
                  <bgColor theme="4" tint="0.39994506668294322"/>
                </patternFill>
              </fill>
            </x14:dxf>
          </x14:cfRule>
          <xm:sqref>A818:E822 D826:E827</xm:sqref>
        </x14:conditionalFormatting>
        <x14:conditionalFormatting xmlns:xm="http://schemas.microsoft.com/office/excel/2006/main">
          <x14:cfRule type="expression" priority="10401" id="{E68B6CF2-FEB1-4102-A161-9210F5346CA1}">
            <xm:f>SUM('Proposed Development Info'!$M$138:$M$153)=0</xm:f>
            <x14:dxf>
              <font>
                <color theme="7" tint="0.59996337778862885"/>
              </font>
              <fill>
                <patternFill>
                  <bgColor theme="4" tint="0.39994506668294322"/>
                </patternFill>
              </fill>
            </x14:dxf>
          </x14:cfRule>
          <xm:sqref>A390:F401 G401:H401</xm:sqref>
        </x14:conditionalFormatting>
        <x14:conditionalFormatting xmlns:xm="http://schemas.microsoft.com/office/excel/2006/main">
          <x14:cfRule type="expression" priority="13781" id="{17AEEF81-DBD9-4CDB-8721-AAF2F463E259}">
            <xm:f>OR(Goals!$N$8=0,Goals!$P$10=0)</xm:f>
            <x14:dxf>
              <font>
                <color theme="7" tint="0.59996337778862885"/>
              </font>
              <fill>
                <patternFill>
                  <bgColor theme="4" tint="0.39994506668294322"/>
                </patternFill>
              </fill>
            </x14:dxf>
          </x14:cfRule>
          <xm:sqref>A887:F892</xm:sqref>
        </x14:conditionalFormatting>
        <x14:conditionalFormatting xmlns:xm="http://schemas.microsoft.com/office/excel/2006/main">
          <x14:cfRule type="expression" priority="6419" id="{47C29EA4-DFCC-428C-9453-CDE740ACC845}">
            <xm:f>'General Information'!#REF!=0</xm:f>
            <x14:dxf>
              <font>
                <color rgb="FFFF00FF"/>
              </font>
              <fill>
                <patternFill>
                  <bgColor rgb="FF8EA9DB"/>
                </patternFill>
              </fill>
            </x14:dxf>
          </x14:cfRule>
          <xm:sqref>B14:B16 D14:D16</xm:sqref>
        </x14:conditionalFormatting>
        <x14:conditionalFormatting xmlns:xm="http://schemas.microsoft.com/office/excel/2006/main">
          <x14:cfRule type="expression" priority="6438" id="{AC266CF5-C686-4FE0-8DE6-B6B1B0F89E97}">
            <xm:f>'General Information'!$K$28=0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6072" id="{CD592181-121C-4634-B8AB-8A5F15976BAA}">
            <xm:f>'General Information'!$M$134+'General Information'!$M$144+'General Information'!$M$154=0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16074" id="{ADC1A2DB-E125-4618-86F9-834602491E2C}">
            <xm:f>'General Information'!$K$130+'General Information'!$K$139+'General Information'!$K$149=0</xm:f>
            <x14:dxf>
              <font>
                <color theme="7" tint="0.59996337778862885"/>
              </font>
              <fill>
                <patternFill>
                  <bgColor theme="4" tint="0.39994506668294322"/>
                </patternFill>
              </fill>
            </x14:dxf>
          </x14:cfRule>
          <xm:sqref>B142:B145 A130:B131 A117:D120 A121 A122:D122 A123:A125 A128:D129 E130:E131 B134:D135 A134:A137 B137:D137</xm:sqref>
        </x14:conditionalFormatting>
        <x14:conditionalFormatting xmlns:xm="http://schemas.microsoft.com/office/excel/2006/main">
          <x14:cfRule type="expression" priority="7698" id="{6C49E5F8-29DE-48EA-AAA2-2CDC435A376F}">
            <xm:f>'General Information'!$K$187+'General Information'!$K$190=0</xm:f>
            <x14:dxf>
              <font>
                <color rgb="FFFF00FF"/>
              </font>
              <fill>
                <patternFill>
                  <bgColor rgb="FF8EA9DB"/>
                </patternFill>
              </fill>
            </x14:dxf>
          </x14:cfRule>
          <xm:sqref>B142:B146</xm:sqref>
        </x14:conditionalFormatting>
        <x14:conditionalFormatting xmlns:xm="http://schemas.microsoft.com/office/excel/2006/main">
          <x14:cfRule type="expression" priority="7942" id="{3DC685CC-099F-47B9-A55B-7185579B2D06}">
            <xm:f>'General Information'!$K$229=0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8003" id="{2E7C1BD0-4CEE-4C56-96AC-4FD97DB7D1BC}">
            <xm:f>'General Information'!$L$237=0</xm:f>
            <x14:dxf>
              <font>
                <color rgb="FFFF00FF"/>
              </font>
              <fill>
                <patternFill>
                  <bgColor rgb="FF8EA9DB"/>
                </patternFill>
              </fill>
            </x14:dxf>
          </x14:cfRule>
          <xm:sqref>B155:B156 D155:D156</xm:sqref>
        </x14:conditionalFormatting>
        <x14:conditionalFormatting xmlns:xm="http://schemas.microsoft.com/office/excel/2006/main">
          <x14:cfRule type="expression" priority="16566" id="{73D51FC6-7364-4D59-A72A-9E154EFB5FB4}">
            <xm:f>'General Information'!$L$250+'General Information'!$L$295+'General Information'!$M$308=0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334" id="{7C7C136A-0C95-4715-B54A-446F7233E11C}">
            <xm:f>'Proposed Development Info'!$L$12=0</xm:f>
            <x14:dxf>
              <font>
                <color rgb="FFFF00FF"/>
              </font>
              <fill>
                <patternFill>
                  <bgColor theme="4" tint="0.39994506668294322"/>
                </patternFill>
              </fill>
            </x14:dxf>
          </x14:cfRule>
          <xm:sqref>B230:B236 D230:D236 B245:B246</xm:sqref>
        </x14:conditionalFormatting>
        <x14:conditionalFormatting xmlns:xm="http://schemas.microsoft.com/office/excel/2006/main">
          <x14:cfRule type="expression" priority="8776" id="{ADDB1065-D298-4969-BB79-A1E20C673AC5}">
            <xm:f>OR('Proposed Development Info'!$L$55=0,'Proposed Development Info'!$L$30=0)</xm:f>
            <x14:dxf>
              <font>
                <color rgb="FFFF00FF"/>
              </font>
              <fill>
                <patternFill>
                  <bgColor theme="4" tint="0.39994506668294322"/>
                </patternFill>
              </fill>
            </x14:dxf>
          </x14:cfRule>
          <xm:sqref>B239:B241 D239:D241</xm:sqref>
        </x14:conditionalFormatting>
        <x14:conditionalFormatting xmlns:xm="http://schemas.microsoft.com/office/excel/2006/main">
          <x14:cfRule type="expression" priority="16473" id="{9121F440-B3FF-4C54-85A4-FCC7BE1D7486}">
            <xm:f>OR('Proposed Development Info'!$L$55=0,'Proposed Development Info'!$L$30=0,'Proposed Development Info'!$L$61=0,'Proposed Development Info'!$M$63=0)</xm:f>
            <x14:dxf>
              <font>
                <color rgb="FFFF00FF"/>
              </font>
              <fill>
                <patternFill>
                  <bgColor theme="4" tint="0.39994506668294322"/>
                </patternFill>
              </fill>
            </x14:dxf>
          </x14:cfRule>
          <xm:sqref>B341:B348 D341:D348</xm:sqref>
        </x14:conditionalFormatting>
        <x14:conditionalFormatting xmlns:xm="http://schemas.microsoft.com/office/excel/2006/main">
          <x14:cfRule type="expression" priority="10305" id="{3C09D26B-266D-4BE8-AC57-FD4E5115DF43}">
            <xm:f>'Proposed Development Info'!$L$99=0</xm:f>
            <x14:dxf>
              <font>
                <color rgb="FFFF00FF"/>
              </font>
              <fill>
                <patternFill>
                  <bgColor theme="4" tint="0.39994506668294322"/>
                </patternFill>
              </fill>
            </x14:dxf>
          </x14:cfRule>
          <xm:sqref>B355:B361 D355:D361 D369:D371 F369:F371 A369:A374 B370:B373</xm:sqref>
        </x14:conditionalFormatting>
        <x14:conditionalFormatting xmlns:xm="http://schemas.microsoft.com/office/excel/2006/main">
          <x14:cfRule type="expression" priority="10470" id="{85AF46FE-3397-4E69-9F02-BA7E2877BEFC}">
            <xm:f>'Proposed Development Info'!$L$122=0</xm:f>
            <x14:dxf>
              <font>
                <color rgb="FFFF00FF"/>
              </font>
              <fill>
                <patternFill>
                  <bgColor theme="4" tint="0.39994506668294322"/>
                </patternFill>
              </fill>
            </x14:dxf>
          </x14:cfRule>
          <xm:sqref>B377:B388 D377:D388</xm:sqref>
        </x14:conditionalFormatting>
        <x14:conditionalFormatting xmlns:xm="http://schemas.microsoft.com/office/excel/2006/main">
          <x14:cfRule type="expression" priority="125" id="{A202C2E6-EC8F-4B9B-9BF0-059E6986D824}">
            <xm:f>'Development Location'!$M$10=0</xm:f>
            <x14:dxf>
              <font>
                <color rgb="FFFF00FF"/>
              </font>
              <fill>
                <patternFill>
                  <bgColor theme="4" tint="0.39994506668294322"/>
                </patternFill>
              </fill>
            </x14:dxf>
          </x14:cfRule>
          <xm:sqref>B483:B501 D483:D501</xm:sqref>
        </x14:conditionalFormatting>
        <x14:conditionalFormatting xmlns:xm="http://schemas.microsoft.com/office/excel/2006/main">
          <x14:cfRule type="expression" priority="11267" id="{5AA2C520-123E-4405-A167-03FD8E632FFA}">
            <xm:f>'Proximity, Mand.Dist., RECAP'!$M$7=0</xm:f>
            <x14:dxf>
              <font>
                <color rgb="FFFF00FF"/>
              </font>
              <fill>
                <patternFill>
                  <bgColor theme="4" tint="0.39994506668294322"/>
                </patternFill>
              </fill>
            </x14:dxf>
          </x14:cfRule>
          <xm:sqref>B504:B505 B507:B515 B518:B520 B522:B524 B526:B527 B483:B501 D483:D501</xm:sqref>
        </x14:conditionalFormatting>
        <x14:conditionalFormatting xmlns:xm="http://schemas.microsoft.com/office/excel/2006/main">
          <x14:cfRule type="expression" priority="11671" id="{92DF54B2-2E12-423E-A763-A5F878644E44}">
            <xm:f>'Proximity, Mand.Dist., RECAP'!$L$35=0</xm:f>
            <x14:dxf>
              <font>
                <color rgb="FFFF00FF"/>
              </font>
              <fill>
                <patternFill>
                  <bgColor theme="4" tint="0.39994506668294322"/>
                </patternFill>
              </fill>
            </x14:dxf>
          </x14:cfRule>
          <xm:sqref>B550:B566 D550:D566</xm:sqref>
        </x14:conditionalFormatting>
        <x14:conditionalFormatting xmlns:xm="http://schemas.microsoft.com/office/excel/2006/main">
          <x14:cfRule type="expression" priority="12266" id="{956952F8-E4B6-4E46-9A0C-F5FA4F847C74}">
            <xm:f>'Units, Set-Asides, Bldgs'!$N$25=0</xm:f>
            <x14:dxf>
              <font>
                <color rgb="FFFF00FF"/>
              </font>
              <fill>
                <patternFill>
                  <bgColor theme="4" tint="0.39994506668294322"/>
                </patternFill>
              </fill>
            </x14:dxf>
          </x14:cfRule>
          <xm:sqref>B619:B621 D619:D621 B623</xm:sqref>
        </x14:conditionalFormatting>
        <x14:conditionalFormatting xmlns:xm="http://schemas.microsoft.com/office/excel/2006/main">
          <x14:cfRule type="expression" priority="12375" id="{B69B0453-3452-4A8C-B585-EAE6493F4511}">
            <xm:f>'Units, Set-Asides, Bldgs'!$N$34=0</xm:f>
            <x14:dxf>
              <font>
                <color rgb="FFFF00FF"/>
              </font>
              <fill>
                <patternFill>
                  <bgColor theme="4" tint="0.39994506668294322"/>
                </patternFill>
              </fill>
            </x14:dxf>
          </x14:cfRule>
          <xm:sqref>B630:B633 D630:D633</xm:sqref>
        </x14:conditionalFormatting>
        <x14:conditionalFormatting xmlns:xm="http://schemas.microsoft.com/office/excel/2006/main">
          <x14:cfRule type="expression" priority="9130" id="{DE3D1767-4030-4747-AAE0-B9CFDFA81B7F}">
            <xm:f>'General Information'!$K$73=0</xm:f>
            <x14:dxf>
              <font>
                <color rgb="FFFF00FF"/>
              </font>
              <fill>
                <patternFill>
                  <bgColor theme="4" tint="0.39994506668294322"/>
                </patternFill>
              </fill>
            </x14:dxf>
          </x14:cfRule>
          <xm:sqref>B653 B678 B669:B670</xm:sqref>
        </x14:conditionalFormatting>
        <x14:conditionalFormatting xmlns:xm="http://schemas.microsoft.com/office/excel/2006/main">
          <x14:cfRule type="expression" priority="16530" id="{81BAA3E9-06F8-41CE-93E3-0D66CE6FD1C1}">
            <xm:f>'Units, Set-Asides, Bldgs'!#REF!=0</xm:f>
            <x14:dxf>
              <font>
                <color rgb="FFFF00FF"/>
              </font>
              <fill>
                <patternFill>
                  <bgColor theme="4" tint="0.39994506668294322"/>
                </patternFill>
              </fill>
            </x14:dxf>
          </x14:cfRule>
          <xm:sqref>B656:B657 B661 B663:B664</xm:sqref>
        </x14:conditionalFormatting>
        <x14:conditionalFormatting xmlns:xm="http://schemas.microsoft.com/office/excel/2006/main">
          <x14:cfRule type="expression" priority="56" id="{6763BDC3-D7BB-45B2-A758-58D2DC53B7EA}">
            <xm:f>'Units, Set-Asides, Bldgs'!$N$47=0</xm:f>
            <x14:dxf>
              <font>
                <color rgb="FFFF00FF"/>
              </font>
              <fill>
                <patternFill>
                  <bgColor rgb="FF8EA9DB"/>
                </patternFill>
              </fill>
            </x14:dxf>
          </x14:cfRule>
          <xm:sqref>B682:B685</xm:sqref>
        </x14:conditionalFormatting>
        <x14:conditionalFormatting xmlns:xm="http://schemas.microsoft.com/office/excel/2006/main">
          <x14:cfRule type="expression" priority="85" id="{F7C3AEEA-33AE-4B65-89C7-5DAC0A2C7599}">
            <xm:f>OR('General Information'!$K$73=0,'Units, Set-Asides, Bldgs'!$N$47=0)</xm:f>
            <x14:dxf>
              <font>
                <color rgb="FFFF00FF"/>
              </font>
              <fill>
                <patternFill>
                  <bgColor rgb="FF8EA9DB"/>
                </patternFill>
              </fill>
            </x14:dxf>
          </x14:cfRule>
          <xm:sqref>B690:B693 C692</xm:sqref>
        </x14:conditionalFormatting>
        <x14:conditionalFormatting xmlns:xm="http://schemas.microsoft.com/office/excel/2006/main">
          <x14:cfRule type="expression" priority="55" id="{F1B4A661-9BA5-4924-8120-A7BFB904384F}">
            <xm:f>'Units, Set-Asides, Bldgs'!$N$68=0</xm:f>
            <x14:dxf>
              <font>
                <color rgb="FFFF00FF"/>
              </font>
              <fill>
                <patternFill>
                  <bgColor rgb="FF8EA9DB"/>
                </patternFill>
              </fill>
            </x14:dxf>
          </x14:cfRule>
          <xm:sqref>B698:B701</xm:sqref>
        </x14:conditionalFormatting>
        <x14:conditionalFormatting xmlns:xm="http://schemas.microsoft.com/office/excel/2006/main">
          <x14:cfRule type="expression" priority="72" id="{89EF40C0-FBB5-4D03-A73E-2E17AFDFCF52}">
            <xm:f>OR('General Information'!$K$73=0,'Units, Set-Asides, Bldgs'!$N$68=0)</xm:f>
            <x14:dxf>
              <font>
                <color rgb="FFFF00FF"/>
              </font>
              <fill>
                <patternFill>
                  <bgColor rgb="FF8EA9DB"/>
                </patternFill>
              </fill>
            </x14:dxf>
          </x14:cfRule>
          <xm:sqref>B706:B709 C708</xm:sqref>
        </x14:conditionalFormatting>
        <x14:conditionalFormatting xmlns:xm="http://schemas.microsoft.com/office/excel/2006/main">
          <x14:cfRule type="expression" priority="13213" id="{E4A5BF6C-E90F-499F-A258-3F1ED4898F17}">
            <xm:f>'Construction Features'!$O$33=0</xm:f>
            <x14:dxf>
              <font>
                <color rgb="FFFF00FF"/>
              </font>
              <fill>
                <patternFill>
                  <bgColor theme="4" tint="0.39994506668294322"/>
                </patternFill>
              </fill>
            </x14:dxf>
          </x14:cfRule>
          <x14:cfRule type="expression" priority="13212" id="{C9155802-A673-4F75-A8BB-19547FCEA1E8}">
            <xm:f>'Construction Features'!$M$15=0</xm:f>
            <x14:dxf>
              <font>
                <color rgb="FFFF00FF"/>
              </font>
              <fill>
                <patternFill>
                  <bgColor theme="4" tint="0.39994506668294322"/>
                </patternFill>
              </fill>
            </x14:dxf>
          </x14:cfRule>
          <xm:sqref>B771:B774 D771:D774</xm:sqref>
        </x14:conditionalFormatting>
        <x14:conditionalFormatting xmlns:xm="http://schemas.microsoft.com/office/excel/2006/main">
          <x14:cfRule type="expression" priority="15703" id="{1151F545-51E6-404F-99BF-9552D67231A5}">
            <xm:f>'LGAO Status'!#REF!=0</xm:f>
            <x14:dxf>
              <font>
                <color rgb="FFFF00FF"/>
              </font>
              <fill>
                <patternFill>
                  <bgColor theme="4" tint="0.39994506668294322"/>
                </patternFill>
              </fill>
            </x14:dxf>
          </x14:cfRule>
          <xm:sqref>B850 B852</xm:sqref>
        </x14:conditionalFormatting>
        <x14:conditionalFormatting xmlns:xm="http://schemas.microsoft.com/office/excel/2006/main">
          <x14:cfRule type="expression" priority="15713" id="{D933E9A1-AA51-475D-8330-927A08A74D85}">
            <xm:f>AND('LGAO Status'!#REF!=0,'LGAO Status'!$P$19="No")</xm:f>
            <x14:dxf>
              <font>
                <color rgb="FFFF00FF"/>
              </font>
              <fill>
                <patternFill>
                  <bgColor theme="4" tint="0.39994506668294322"/>
                </patternFill>
              </fill>
            </x14:dxf>
          </x14:cfRule>
          <xm:sqref>B851 B853:C856</xm:sqref>
        </x14:conditionalFormatting>
        <x14:conditionalFormatting xmlns:xm="http://schemas.microsoft.com/office/excel/2006/main">
          <x14:cfRule type="expression" priority="13743" id="{F94FCD22-ED85-4CCC-A87B-A3B4D7D57A3A}">
            <xm:f>OR(Goals!$N$4=0,Goals!$P$10=0)</xm:f>
            <x14:dxf>
              <font>
                <color rgb="FFFF00FF"/>
              </font>
              <fill>
                <patternFill>
                  <bgColor theme="4" tint="0.39994506668294322"/>
                </patternFill>
              </fill>
            </x14:dxf>
          </x14:cfRule>
          <xm:sqref>B873:B885 D873:D885</xm:sqref>
        </x14:conditionalFormatting>
        <x14:conditionalFormatting xmlns:xm="http://schemas.microsoft.com/office/excel/2006/main">
          <x14:cfRule type="expression" priority="13954" id="{B75A8CDA-7282-4F56-B62A-0F577E9D3BFD}">
            <xm:f>'LGAO Status'!#REF!=0</xm:f>
            <x14:dxf>
              <font>
                <color rgb="FFFF00FF"/>
              </font>
              <fill>
                <patternFill>
                  <bgColor rgb="FF8EA9DB"/>
                </patternFill>
              </fill>
            </x14:dxf>
          </x14:cfRule>
          <xm:sqref>B850:C856</xm:sqref>
        </x14:conditionalFormatting>
        <x14:conditionalFormatting xmlns:xm="http://schemas.microsoft.com/office/excel/2006/main">
          <x14:cfRule type="expression" priority="332" id="{B65E071F-DD22-4716-BA84-1B4954D57224}">
            <xm:f>'Proposed Development Info'!$L$12=0</xm:f>
            <x14:dxf>
              <font>
                <color theme="7" tint="0.59996337778862885"/>
              </font>
              <fill>
                <patternFill>
                  <bgColor theme="4" tint="0.39994506668294322"/>
                </patternFill>
              </fill>
            </x14:dxf>
          </x14:cfRule>
          <xm:sqref>B229:D229 A229:A236 C230:C236 A245:A246</xm:sqref>
        </x14:conditionalFormatting>
        <x14:conditionalFormatting xmlns:xm="http://schemas.microsoft.com/office/excel/2006/main">
          <x14:cfRule type="expression" priority="15449" id="{2028E124-7183-4899-A030-0D03DEFDE84B}">
            <xm:f>Funding!$L$475=0</xm:f>
            <x14:dxf>
              <font>
                <color theme="7" tint="0.59996337778862885"/>
              </font>
              <fill>
                <patternFill>
                  <bgColor theme="4" tint="0.39994506668294322"/>
                </patternFill>
              </fill>
            </x14:dxf>
          </x14:cfRule>
          <xm:sqref>B837:D837 A837:A844 B840:D844</xm:sqref>
        </x14:conditionalFormatting>
        <x14:conditionalFormatting xmlns:xm="http://schemas.microsoft.com/office/excel/2006/main">
          <x14:cfRule type="expression" priority="15452" id="{1E31A649-6828-4E3E-9727-B6733991FBF3}">
            <xm:f>Funding!$L$475=0</xm:f>
            <x14:dxf>
              <font>
                <color rgb="FFFF00FF"/>
              </font>
              <fill>
                <patternFill>
                  <bgColor theme="4" tint="0.39994506668294322"/>
                </patternFill>
              </fill>
            </x14:dxf>
          </x14:cfRule>
          <xm:sqref>B838:D839</xm:sqref>
        </x14:conditionalFormatting>
        <x14:conditionalFormatting xmlns:xm="http://schemas.microsoft.com/office/excel/2006/main">
          <x14:cfRule type="expression" priority="129" id="{EFCEDE12-6EAC-4562-A81B-0DAF37D3E19D}">
            <xm:f>'Development Location'!$M$10=0</xm:f>
            <x14:dxf>
              <font>
                <color theme="7" tint="0.39994506668294322"/>
              </font>
              <fill>
                <patternFill>
                  <bgColor theme="4" tint="0.39994506668294322"/>
                </patternFill>
              </fill>
            </x14:dxf>
          </x14:cfRule>
          <xm:sqref>B482:E482 A482:A501 C483:C501 E483:E501</xm:sqref>
        </x14:conditionalFormatting>
        <x14:conditionalFormatting xmlns:xm="http://schemas.microsoft.com/office/excel/2006/main">
          <x14:cfRule type="expression" priority="16085" id="{6184AB98-3FB7-4490-B0A9-AF34294296E0}">
            <xm:f>'General Information'!$K$130+'General Information'!$K$139+'General Information'!$K$149=0</xm:f>
            <x14:dxf>
              <font>
                <color rgb="FFFF00FF"/>
              </font>
              <fill>
                <patternFill>
                  <bgColor theme="4" tint="0.39994506668294322"/>
                </patternFill>
              </fill>
            </x14:dxf>
          </x14:cfRule>
          <xm:sqref>C128:D131 E131 B125:D125</xm:sqref>
        </x14:conditionalFormatting>
        <x14:conditionalFormatting xmlns:xm="http://schemas.microsoft.com/office/excel/2006/main">
          <x14:cfRule type="expression" priority="84" id="{D4EB7C78-77BF-4317-B27E-9B391FE3EE3F}">
            <xm:f>OR('General Information'!$K$73=0,'Units, Set-Asides, Bldgs'!$N$47=0)</xm:f>
            <x14:dxf>
              <font>
                <color theme="7" tint="0.59996337778862885"/>
              </font>
              <fill>
                <patternFill>
                  <bgColor rgb="FF8EA9DB"/>
                </patternFill>
              </fill>
            </x14:dxf>
          </x14:cfRule>
          <xm:sqref>C690:F691 A690:A693 D692:F692 C693:F693 A694:L695</xm:sqref>
        </x14:conditionalFormatting>
        <x14:conditionalFormatting xmlns:xm="http://schemas.microsoft.com/office/excel/2006/main">
          <x14:cfRule type="expression" priority="71" id="{2B5B1917-D5E6-4631-8CC7-1889BDEAF25A}">
            <xm:f>OR('General Information'!$K$73=0,'Units, Set-Asides, Bldgs'!$N$68=0)</xm:f>
            <x14:dxf>
              <font>
                <color theme="7" tint="0.59996337778862885"/>
              </font>
              <fill>
                <patternFill>
                  <bgColor rgb="FF8EA9DB"/>
                </patternFill>
              </fill>
            </x14:dxf>
          </x14:cfRule>
          <xm:sqref>C706:F707 A706:A709 D708:F708 C709:F709 A710:L711</xm:sqref>
        </x14:conditionalFormatting>
        <x14:conditionalFormatting xmlns:xm="http://schemas.microsoft.com/office/excel/2006/main">
          <x14:cfRule type="expression" priority="7728" id="{88ECD3BC-3AF0-40DE-A00E-E748CBA9C883}">
            <xm:f>'General Information'!$K$194=0</xm:f>
            <x14:dxf>
              <font>
                <color rgb="FFFF00FF"/>
              </font>
              <fill>
                <patternFill>
                  <bgColor rgb="FF8EA9DB"/>
                </patternFill>
              </fill>
            </x14:dxf>
          </x14:cfRule>
          <xm:sqref>E214:E216</xm:sqref>
        </x14:conditionalFormatting>
        <x14:conditionalFormatting xmlns:xm="http://schemas.microsoft.com/office/excel/2006/main">
          <x14:cfRule type="expression" priority="14036" id="{FC7BAA4C-CF10-4AC1-BD20-2B5924B8D324}">
            <xm:f>Funding!$L$21=0</xm:f>
            <x14:dxf>
              <font>
                <color rgb="FFFF00FF"/>
              </font>
              <fill>
                <patternFill>
                  <bgColor theme="4" tint="0.39994506668294322"/>
                </patternFill>
              </fill>
            </x14:dxf>
          </x14:cfRule>
          <xm:sqref>F815:F816</xm:sqref>
        </x14:conditionalFormatting>
        <x14:conditionalFormatting xmlns:xm="http://schemas.microsoft.com/office/excel/2006/main">
          <x14:cfRule type="expression" priority="15531" id="{4418F0FB-D3B4-4F05-9DBC-BC0FA0CBFF25}">
            <xm:f>Funding!$L$491=0</xm:f>
            <x14:dxf>
              <font>
                <color rgb="FFFF00FF"/>
              </font>
              <fill>
                <patternFill>
                  <bgColor theme="4" tint="0.39994506668294322"/>
                </patternFill>
              </fill>
            </x14:dxf>
          </x14:cfRule>
          <xm:sqref>F847</xm:sqref>
        </x14:conditionalFormatting>
        <x14:conditionalFormatting xmlns:xm="http://schemas.microsoft.com/office/excel/2006/main">
          <x14:cfRule type="expression" priority="16533" id="{E1BCC7D0-E184-4EE8-9977-860FF9D35429}">
            <xm:f>'Units, Set-Asides, Bldgs'!#REF!=0</xm:f>
            <x14:dxf>
              <font>
                <color theme="0" tint="-0.34998626667073579"/>
              </font>
            </x14:dxf>
          </x14:cfRule>
          <xm:sqref>G661:H664</xm:sqref>
        </x14:conditionalFormatting>
        <x14:conditionalFormatting xmlns:xm="http://schemas.microsoft.com/office/excel/2006/main">
          <x14:cfRule type="expression" priority="9134" id="{E7C413F2-EAF8-4B5E-9345-ECD97F2AD571}">
            <xm:f>'General Information'!$K$73=0</xm:f>
            <x14:dxf>
              <font>
                <color theme="0" tint="-0.34998626667073579"/>
              </font>
              <fill>
                <patternFill patternType="none">
                  <bgColor auto="1"/>
                </patternFill>
              </fill>
            </x14:dxf>
          </x14:cfRule>
          <xm:sqref>G690:Q692 G693:L693 G696:Q697 Q706:Q707 G706:I709 I712:I713 Q712:Q713</xm:sqref>
        </x14:conditionalFormatting>
        <x14:conditionalFormatting xmlns:xm="http://schemas.microsoft.com/office/excel/2006/main">
          <x14:cfRule type="expression" priority="9133" id="{D0898136-5921-4968-B49C-2BFBF75BC4E8}">
            <xm:f>'General Information'!$K$73=0</xm:f>
            <x14:dxf>
              <font>
                <color theme="0" tint="-0.34998626667073579"/>
              </font>
            </x14:dxf>
          </x14:cfRule>
          <xm:sqref>I661:J664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4.9989318521683403E-2"/>
  </sheetPr>
  <dimension ref="A1:AB312"/>
  <sheetViews>
    <sheetView showGridLines="0" tabSelected="1" zoomScale="110" zoomScaleNormal="110" zoomScaleSheetLayoutView="100" workbookViewId="0">
      <pane ySplit="3" topLeftCell="A4" activePane="bottomLeft" state="frozen"/>
      <selection activeCell="L364" sqref="L364:N364"/>
      <selection pane="bottomLeft" activeCell="F32" sqref="F32:G32"/>
    </sheetView>
  </sheetViews>
  <sheetFormatPr defaultColWidth="9.1796875" defaultRowHeight="14.5"/>
  <cols>
    <col min="1" max="1" width="3" style="6" customWidth="1"/>
    <col min="2" max="3" width="3.54296875" style="6" customWidth="1"/>
    <col min="4" max="4" width="4.453125" style="6" customWidth="1"/>
    <col min="5" max="5" width="18.81640625" style="6" customWidth="1"/>
    <col min="6" max="6" width="33.54296875" style="6" customWidth="1"/>
    <col min="7" max="7" width="24" style="6" customWidth="1"/>
    <col min="8" max="8" width="20.54296875" style="6" customWidth="1"/>
    <col min="9" max="9" width="8.7265625" style="6" customWidth="1"/>
    <col min="10" max="10" width="3.54296875" style="6" customWidth="1"/>
    <col min="11" max="13" width="3.54296875" style="6" hidden="1" customWidth="1"/>
    <col min="14" max="14" width="40.7265625" style="6" hidden="1" customWidth="1"/>
    <col min="15" max="15" width="3.54296875" style="6" hidden="1" customWidth="1"/>
    <col min="16" max="16" width="10.7265625" style="6" hidden="1" customWidth="1"/>
    <col min="17" max="17" width="11.453125" style="6" hidden="1" customWidth="1"/>
    <col min="18" max="18" width="3.54296875" style="6" hidden="1" customWidth="1"/>
    <col min="19" max="19" width="9.1796875" style="6" hidden="1" customWidth="1"/>
    <col min="20" max="20" width="9.1796875" style="6"/>
    <col min="21" max="21" width="14.453125" style="6" customWidth="1"/>
    <col min="22" max="24" width="9.1796875" style="6"/>
    <col min="25" max="25" width="33.81640625" style="6" bestFit="1" customWidth="1"/>
    <col min="26" max="16384" width="9.1796875" style="6"/>
  </cols>
  <sheetData>
    <row r="1" spans="1:28" ht="14.65" customHeight="1">
      <c r="A1" s="2581" t="str">
        <f>"Unless stated otherwise, all information requested pertains to the Development proposed in this Application upon completion. The effective date of this Exhibit A is "&amp;TEXT(ExhibitA_IssueDate,"MM/DD/YYYY")&amp;"."</f>
        <v>Unless stated otherwise, all information requested pertains to the Development proposed in this Application upon completion. The effective date of this Exhibit A is 10/13/2026.</v>
      </c>
      <c r="B1" s="2579"/>
      <c r="C1" s="2579"/>
      <c r="D1" s="2579"/>
      <c r="E1" s="2579"/>
      <c r="F1" s="2579"/>
      <c r="G1" s="2579"/>
      <c r="H1" s="2579"/>
      <c r="J1" s="607"/>
      <c r="K1" s="607"/>
      <c r="L1" s="607"/>
      <c r="M1" s="865"/>
      <c r="N1" s="2016" t="s">
        <v>1695</v>
      </c>
      <c r="O1" s="607"/>
      <c r="P1" s="607"/>
      <c r="Q1" s="607"/>
      <c r="R1" s="607"/>
      <c r="S1" s="607"/>
      <c r="T1" s="607"/>
      <c r="U1" s="607"/>
      <c r="V1" s="607"/>
      <c r="W1" s="607"/>
      <c r="X1" s="607"/>
      <c r="Y1" s="607"/>
      <c r="Z1" s="607"/>
      <c r="AA1" s="607"/>
      <c r="AB1" s="607"/>
    </row>
    <row r="2" spans="1:28">
      <c r="A2" s="2579"/>
      <c r="B2" s="2579"/>
      <c r="C2" s="2579"/>
      <c r="D2" s="2579"/>
      <c r="E2" s="2579"/>
      <c r="F2" s="2579"/>
      <c r="G2" s="2579"/>
      <c r="H2" s="2579"/>
      <c r="J2" s="607"/>
      <c r="K2" s="607"/>
      <c r="L2" s="607"/>
      <c r="M2" s="865"/>
      <c r="N2" s="2055">
        <v>46308</v>
      </c>
      <c r="O2" s="607"/>
      <c r="P2" s="607"/>
      <c r="Q2" s="607"/>
      <c r="R2" s="607"/>
      <c r="S2" s="607"/>
      <c r="T2" s="607"/>
      <c r="U2" s="607"/>
      <c r="V2" s="607"/>
      <c r="W2" s="607"/>
      <c r="X2" s="607"/>
      <c r="Y2" s="607"/>
      <c r="Z2" s="607"/>
      <c r="AA2" s="607"/>
      <c r="AB2" s="607"/>
    </row>
    <row r="3" spans="1:28" ht="14.65" customHeight="1" thickBot="1">
      <c r="J3" s="607"/>
      <c r="K3" s="2613" t="s">
        <v>845</v>
      </c>
      <c r="L3" s="2614"/>
      <c r="M3" s="2614"/>
      <c r="N3" s="2614"/>
      <c r="O3" s="2614"/>
      <c r="P3" s="2614"/>
      <c r="Q3" s="2614"/>
      <c r="R3" s="2614"/>
      <c r="S3" s="2615"/>
      <c r="T3" s="607"/>
      <c r="U3" s="607"/>
      <c r="V3" s="607"/>
      <c r="W3" s="607"/>
      <c r="X3" s="607"/>
      <c r="Y3" s="607"/>
      <c r="Z3" s="607"/>
      <c r="AA3" s="607"/>
      <c r="AB3" s="607"/>
    </row>
    <row r="4" spans="1:28" ht="36" customHeight="1" thickBot="1">
      <c r="A4" s="2582" t="s">
        <v>842</v>
      </c>
      <c r="B4" s="2583"/>
      <c r="C4" s="2583"/>
      <c r="D4" s="2583"/>
      <c r="E4" s="2583"/>
      <c r="F4" s="2583"/>
      <c r="G4" s="2583"/>
      <c r="H4" s="2584"/>
      <c r="J4" s="237"/>
      <c r="K4" s="2622">
        <f>IF(RIGHT(Excel_RFA_Number,3)="214",0,1)</f>
        <v>1</v>
      </c>
      <c r="L4" s="240"/>
      <c r="M4" s="240"/>
      <c r="N4" s="2641" t="str">
        <f>"Controlled by RFA# (RFA 214 turns it off, input is cell A"&amp;ROW(DS_TabLeftFooter)&amp;" in Data1 tab). This row also controls several lines on the Proposed Dev Info tab."</f>
        <v>Controlled by RFA# (RFA 214 turns it off, input is cell A7 in Data1 tab). This row also controls several lines on the Proposed Dev Info tab.</v>
      </c>
      <c r="O4" s="2641"/>
      <c r="P4" s="2641"/>
      <c r="Q4" s="2641"/>
    </row>
    <row r="5" spans="1:28" ht="14.65" customHeight="1">
      <c r="A5" s="848"/>
      <c r="B5" s="848"/>
      <c r="C5" s="848"/>
      <c r="D5" s="848"/>
      <c r="E5" s="9"/>
      <c r="F5" s="9"/>
      <c r="G5" s="9"/>
      <c r="K5" s="2623"/>
      <c r="L5" s="239"/>
      <c r="M5" s="239"/>
    </row>
    <row r="6" spans="1:28" ht="80.25" customHeight="1">
      <c r="A6" s="2579" t="s">
        <v>843</v>
      </c>
      <c r="B6" s="2579"/>
      <c r="C6" s="2579"/>
      <c r="D6" s="2579"/>
      <c r="E6" s="2579"/>
      <c r="F6" s="2579"/>
      <c r="G6" s="2579"/>
      <c r="H6" s="2579"/>
      <c r="J6" s="846"/>
      <c r="K6" s="2620" t="s">
        <v>2737</v>
      </c>
      <c r="L6" s="1514"/>
      <c r="M6" s="1514"/>
      <c r="N6" s="1992"/>
    </row>
    <row r="7" spans="1:28" ht="14.65" customHeight="1" thickBot="1">
      <c r="K7" s="2621"/>
    </row>
    <row r="8" spans="1:28" ht="36" hidden="1" customHeight="1" thickBot="1">
      <c r="A8" s="2582" t="s">
        <v>2268</v>
      </c>
      <c r="B8" s="2583"/>
      <c r="C8" s="2583"/>
      <c r="D8" s="2583"/>
      <c r="E8" s="2583"/>
      <c r="F8" s="2583"/>
      <c r="G8" s="2583"/>
      <c r="H8" s="2584"/>
      <c r="K8" s="2627" t="str">
        <f>"Off/On Controlled by Cell "&amp;CHOOSE(COLUMN($K$4),"A","B","C","D","E","F","G","H","I","J","K","L","M","N","O")&amp;ROW($K$4)</f>
        <v>Off/On Controlled by Cell K4</v>
      </c>
      <c r="L8" s="2628"/>
      <c r="M8" s="2032"/>
    </row>
    <row r="9" spans="1:28" ht="14.65" hidden="1" customHeight="1">
      <c r="K9" s="2629"/>
      <c r="L9" s="2630"/>
      <c r="M9" s="2032"/>
    </row>
    <row r="10" spans="1:28" ht="14.65" hidden="1" customHeight="1">
      <c r="A10" s="10" t="s">
        <v>858</v>
      </c>
      <c r="B10" s="2585" t="s">
        <v>2269</v>
      </c>
      <c r="C10" s="2585"/>
      <c r="D10" s="2585"/>
      <c r="E10" s="2585"/>
      <c r="F10" s="2585"/>
      <c r="G10" s="2585"/>
      <c r="H10" s="2585"/>
      <c r="K10" s="2629"/>
      <c r="L10" s="2630"/>
      <c r="M10" s="2032"/>
    </row>
    <row r="11" spans="1:28" ht="7.5" hidden="1" customHeight="1">
      <c r="K11" s="2629"/>
      <c r="L11" s="2630"/>
      <c r="M11" s="2032"/>
    </row>
    <row r="12" spans="1:28" ht="50.25" hidden="1" customHeight="1">
      <c r="B12" s="2544" t="s">
        <v>2312</v>
      </c>
      <c r="C12" s="2544"/>
      <c r="D12" s="2544"/>
      <c r="E12" s="2544"/>
      <c r="F12" s="2544"/>
      <c r="G12" s="2544"/>
      <c r="H12" s="2544"/>
      <c r="K12" s="2629"/>
      <c r="L12" s="2630"/>
      <c r="M12" s="2032"/>
    </row>
    <row r="13" spans="1:28" ht="10.5" hidden="1" customHeight="1">
      <c r="K13" s="2629"/>
      <c r="L13" s="2630"/>
      <c r="M13" s="2032"/>
    </row>
    <row r="14" spans="1:28" ht="14.65" hidden="1" customHeight="1">
      <c r="A14" s="10" t="s">
        <v>927</v>
      </c>
      <c r="B14" s="2585" t="s">
        <v>2269</v>
      </c>
      <c r="C14" s="2585"/>
      <c r="D14" s="2585"/>
      <c r="E14" s="2585"/>
      <c r="F14" s="2585"/>
      <c r="G14" s="2585"/>
      <c r="H14" s="2585"/>
      <c r="K14" s="2629"/>
      <c r="L14" s="2630"/>
      <c r="M14" s="2032"/>
    </row>
    <row r="15" spans="1:28" ht="7.5" hidden="1" customHeight="1">
      <c r="K15" s="2629"/>
      <c r="L15" s="2630"/>
      <c r="M15" s="2032"/>
    </row>
    <row r="16" spans="1:28" ht="30" hidden="1" customHeight="1">
      <c r="B16" s="2544" t="str">
        <f>"State whether the subject of this Application is for the "&amp;IF(Data1!$B$16=1,Data1!$A$16&amp;", ","")&amp;"New Development or the Reconstructed Development."</f>
        <v>State whether the subject of this Application is for the New Development or the Reconstructed Development.</v>
      </c>
      <c r="C16" s="2544"/>
      <c r="D16" s="2544"/>
      <c r="E16" s="2544"/>
      <c r="F16" s="2544"/>
      <c r="G16" s="2544"/>
      <c r="H16" s="2544"/>
      <c r="K16" s="2629"/>
      <c r="L16" s="2630"/>
      <c r="M16" s="2032"/>
    </row>
    <row r="17" spans="1:21" ht="10.5" hidden="1" customHeight="1">
      <c r="B17" s="17"/>
      <c r="C17" s="17"/>
      <c r="D17" s="17"/>
      <c r="E17" s="17"/>
      <c r="F17" s="17"/>
      <c r="G17" s="17"/>
      <c r="H17" s="17"/>
      <c r="K17" s="2629"/>
      <c r="L17" s="2630"/>
      <c r="M17" s="2032"/>
    </row>
    <row r="18" spans="1:21" ht="17.649999999999999" hidden="1" customHeight="1">
      <c r="F18" s="2573" t="s">
        <v>41</v>
      </c>
      <c r="G18" s="2573"/>
      <c r="K18" s="2629"/>
      <c r="L18" s="2630"/>
      <c r="M18" s="2032"/>
      <c r="N18" s="724"/>
    </row>
    <row r="19" spans="1:21" ht="14.65" hidden="1" customHeight="1" thickBot="1">
      <c r="K19" s="2631"/>
      <c r="L19" s="2632"/>
      <c r="M19" s="2032"/>
    </row>
    <row r="20" spans="1:21" ht="36" customHeight="1" thickBot="1">
      <c r="A20" s="2582" t="s">
        <v>844</v>
      </c>
      <c r="B20" s="2583"/>
      <c r="C20" s="2583"/>
      <c r="D20" s="2583"/>
      <c r="E20" s="2583"/>
      <c r="F20" s="2583"/>
      <c r="G20" s="2583"/>
      <c r="H20" s="2584"/>
      <c r="K20" s="2616" t="s">
        <v>2737</v>
      </c>
      <c r="L20" s="2617"/>
      <c r="M20" s="2033"/>
    </row>
    <row r="21" spans="1:21" ht="14.65" customHeight="1">
      <c r="A21" s="10"/>
      <c r="B21" s="10"/>
      <c r="C21" s="10"/>
      <c r="D21" s="10"/>
      <c r="E21" s="9"/>
      <c r="F21" s="9"/>
      <c r="G21" s="9"/>
      <c r="K21" s="2618"/>
      <c r="L21" s="2619"/>
      <c r="M21" s="2033"/>
    </row>
    <row r="22" spans="1:21" ht="14.65" hidden="1" customHeight="1">
      <c r="A22" s="10" t="s">
        <v>858</v>
      </c>
      <c r="B22" s="2585" t="s">
        <v>2270</v>
      </c>
      <c r="C22" s="2585"/>
      <c r="D22" s="2585"/>
      <c r="E22" s="2585"/>
      <c r="F22" s="2585"/>
      <c r="G22" s="2585"/>
      <c r="H22" s="2585"/>
      <c r="K22" s="2633" t="str">
        <f>"Off/On Controlled by Cell "&amp;CHOOSE(COLUMN($K$4),"A","B","C","D","E","F","G","H","I","J","K","L","M","N","O")&amp;ROW($K$4)</f>
        <v>Off/On Controlled by Cell K4</v>
      </c>
      <c r="L22" s="2634"/>
      <c r="M22" s="2034"/>
      <c r="N22" s="6" t="s">
        <v>2786</v>
      </c>
    </row>
    <row r="23" spans="1:21" ht="7.5" hidden="1" customHeight="1">
      <c r="A23" s="10"/>
      <c r="B23" s="829"/>
      <c r="C23" s="829"/>
      <c r="D23" s="829"/>
      <c r="E23" s="829"/>
      <c r="F23" s="829"/>
      <c r="G23" s="829"/>
      <c r="H23" s="829"/>
      <c r="K23" s="2635"/>
      <c r="L23" s="2636"/>
      <c r="M23" s="2034"/>
      <c r="U23" s="312"/>
    </row>
    <row r="24" spans="1:21" ht="30" hidden="1" customHeight="1">
      <c r="A24" s="10"/>
      <c r="B24" s="2544" t="s">
        <v>2785</v>
      </c>
      <c r="C24" s="2544"/>
      <c r="D24" s="2544"/>
      <c r="E24" s="2544"/>
      <c r="F24" s="2544"/>
      <c r="G24" s="2544"/>
      <c r="H24" s="2544"/>
      <c r="K24" s="2635"/>
      <c r="L24" s="2636"/>
      <c r="M24" s="2034"/>
    </row>
    <row r="25" spans="1:21" ht="10.5" hidden="1" customHeight="1">
      <c r="A25" s="10"/>
      <c r="B25" s="829"/>
      <c r="C25" s="848"/>
      <c r="D25" s="848"/>
      <c r="E25" s="848"/>
      <c r="F25" s="848"/>
      <c r="G25" s="848"/>
      <c r="H25" s="848"/>
      <c r="K25" s="2635"/>
      <c r="L25" s="2636"/>
      <c r="M25" s="2034"/>
    </row>
    <row r="26" spans="1:21" ht="14.65" hidden="1" customHeight="1">
      <c r="A26" s="10"/>
      <c r="B26" s="10"/>
      <c r="C26" s="10"/>
      <c r="D26" s="10"/>
      <c r="E26" s="1512"/>
      <c r="F26" s="2588" t="str">
        <f>Demographic</f>
        <v>&lt;select one&gt;</v>
      </c>
      <c r="G26" s="2588"/>
      <c r="K26" s="2635"/>
      <c r="L26" s="2636"/>
      <c r="M26" s="2034"/>
    </row>
    <row r="27" spans="1:21" ht="14.65" hidden="1" customHeight="1">
      <c r="A27" s="10"/>
      <c r="B27" s="2587"/>
      <c r="C27" s="2587"/>
      <c r="D27" s="2587"/>
      <c r="E27" s="2587"/>
      <c r="F27" s="2587"/>
      <c r="G27" s="2587"/>
      <c r="H27" s="2587"/>
      <c r="K27" s="2637"/>
      <c r="L27" s="2638"/>
      <c r="M27" s="2034"/>
    </row>
    <row r="28" spans="1:21" ht="14.65" customHeight="1">
      <c r="A28" s="8" t="str">
        <f>IF(K$4=0,"b.","a.")</f>
        <v>a.</v>
      </c>
      <c r="B28" s="2586" t="s">
        <v>2271</v>
      </c>
      <c r="C28" s="2586"/>
      <c r="D28" s="2586"/>
      <c r="E28" s="2586"/>
      <c r="F28" s="2586"/>
      <c r="G28" s="2586"/>
      <c r="H28" s="2586"/>
      <c r="K28" s="2569">
        <v>1</v>
      </c>
      <c r="N28" s="2549" t="str">
        <f>"Controls Rows "&amp;TEXT(ROW($A28),"0")&amp;":"&amp;TEXT(ROW($A40),"0")</f>
        <v>Controls Rows 28:40</v>
      </c>
    </row>
    <row r="29" spans="1:21" ht="7.5" customHeight="1">
      <c r="A29" s="8"/>
      <c r="B29" s="829"/>
      <c r="C29" s="829"/>
      <c r="D29" s="829"/>
      <c r="E29" s="829"/>
      <c r="F29" s="344"/>
      <c r="G29" s="344"/>
      <c r="K29" s="2570"/>
      <c r="L29" s="855"/>
      <c r="M29" s="855"/>
      <c r="N29" s="2549"/>
    </row>
    <row r="30" spans="1:21" ht="14.65" customHeight="1">
      <c r="A30" s="8"/>
      <c r="B30" s="829" t="str">
        <f>IF(AND($K$4=0,Link_Classification=Data1!A$16),"Given this Application is for a "&amp;Data1!A$16&amp;", the Demographic of the New Development is the same as above","State the Demographic Commitment"&amp;IF($K$4=0," for the Development that is the subject of this Application",""))&amp;"."</f>
        <v>State the Demographic Commitment.</v>
      </c>
      <c r="C30" s="829"/>
      <c r="D30" s="829"/>
      <c r="E30" s="829"/>
      <c r="F30" s="344"/>
      <c r="G30" s="344"/>
      <c r="K30" s="2570"/>
      <c r="L30" s="855"/>
      <c r="M30" s="855"/>
      <c r="N30" s="724"/>
    </row>
    <row r="31" spans="1:21" ht="10.5" customHeight="1">
      <c r="A31" s="8"/>
      <c r="B31" s="829"/>
      <c r="C31" s="829"/>
      <c r="D31" s="829"/>
      <c r="E31" s="829"/>
      <c r="F31" s="344"/>
      <c r="G31" s="344"/>
      <c r="K31" s="2570"/>
      <c r="L31" s="855"/>
      <c r="M31" s="855"/>
      <c r="N31" s="724"/>
    </row>
    <row r="32" spans="1:21" ht="17.649999999999999" customHeight="1">
      <c r="A32" s="8"/>
      <c r="B32" s="863"/>
      <c r="C32" s="863"/>
      <c r="D32" s="863"/>
      <c r="E32" s="863"/>
      <c r="F32" s="2573" t="s">
        <v>41</v>
      </c>
      <c r="G32" s="2573"/>
      <c r="K32" s="2570"/>
    </row>
    <row r="33" spans="1:17" ht="10.5" customHeight="1" thickBot="1">
      <c r="A33" s="578"/>
      <c r="B33" s="578"/>
      <c r="C33" s="578"/>
      <c r="D33" s="578"/>
      <c r="E33" s="578"/>
      <c r="F33" s="578"/>
      <c r="G33" s="2590" t="str">
        <f>IF(AND(K73&lt;&gt;0,Self_Sourced_Applicant="Yes"),IF(Demographic&lt;&gt;"Family","Self-Sourced Applicants must select Family",""),"")</f>
        <v/>
      </c>
      <c r="H33" s="2590"/>
      <c r="K33" s="2570"/>
    </row>
    <row r="34" spans="1:17" ht="50.25" hidden="1" customHeight="1">
      <c r="A34" s="578"/>
      <c r="B34" s="2572" t="s">
        <v>2420</v>
      </c>
      <c r="C34" s="2572"/>
      <c r="D34" s="2572"/>
      <c r="E34" s="2572"/>
      <c r="F34" s="2572"/>
      <c r="G34" s="2572"/>
      <c r="H34" s="2572"/>
      <c r="K34" s="2570"/>
      <c r="L34" s="2569">
        <v>0</v>
      </c>
      <c r="M34" s="2035"/>
      <c r="N34" s="1949" t="str">
        <f>"Column L controls Rows "&amp;TEXT(ROW($A34),"0")&amp;":"&amp;TEXT(ROW($A37),"0")&amp;" [for RFA 215]
(Demographic Commitment section must be turned on)"</f>
        <v>Column L controls Rows 34:37 [for RFA 215]
(Demographic Commitment section must be turned on)</v>
      </c>
    </row>
    <row r="35" spans="1:17" ht="10.5" hidden="1" customHeight="1">
      <c r="A35" s="578"/>
      <c r="B35" s="578"/>
      <c r="C35" s="578"/>
      <c r="D35" s="578"/>
      <c r="E35" s="578"/>
      <c r="F35" s="578"/>
      <c r="G35" s="847"/>
      <c r="H35" s="847"/>
      <c r="K35" s="2570"/>
      <c r="L35" s="2570"/>
      <c r="M35" s="2035"/>
    </row>
    <row r="36" spans="1:17" ht="14.65" hidden="1" customHeight="1">
      <c r="A36" s="1623" t="str">
        <f>IF(L34=0,".","b.")</f>
        <v>.</v>
      </c>
      <c r="B36" s="2589" t="s">
        <v>2395</v>
      </c>
      <c r="C36" s="2589"/>
      <c r="D36" s="2589"/>
      <c r="E36" s="2589"/>
      <c r="F36" s="2589"/>
      <c r="G36" s="2589"/>
      <c r="H36" s="2589"/>
      <c r="K36" s="2570"/>
      <c r="L36" s="2570"/>
      <c r="M36" s="2035"/>
      <c r="N36" s="1994"/>
    </row>
    <row r="37" spans="1:17" ht="10.5" hidden="1" customHeight="1">
      <c r="A37" s="578"/>
      <c r="B37" s="578"/>
      <c r="C37" s="578"/>
      <c r="D37" s="578"/>
      <c r="E37" s="578"/>
      <c r="F37" s="578"/>
      <c r="G37" s="847"/>
      <c r="H37" s="847"/>
      <c r="K37" s="2570"/>
      <c r="L37" s="2571"/>
      <c r="M37" s="2035"/>
    </row>
    <row r="38" spans="1:17" ht="30" hidden="1" customHeight="1">
      <c r="A38" s="578"/>
      <c r="B38" s="2544"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544"/>
      <c r="D38" s="2544"/>
      <c r="E38" s="2544"/>
      <c r="F38" s="2544"/>
      <c r="G38" s="2544"/>
      <c r="H38" s="2544"/>
      <c r="K38" s="2570"/>
      <c r="L38" s="2624">
        <f>IF(K4=0,1,0)</f>
        <v>0</v>
      </c>
      <c r="M38" s="2036"/>
      <c r="N38" s="2549" t="str">
        <f>"Controlled by Cell "&amp;CHOOSE(COLUMN($K$4),"A","B","C","D","E","F","G","H","I","J","K","L","M","N","O")&amp;ROW($K$4)&amp;". Controls Rows "&amp;TEXT(ROW($A38),"0")&amp;":"&amp;TEXT(ROW($A40),"0")&amp;"
(Demographic Commitment section must be turned on)"</f>
        <v>Controlled by Cell K4. Controls Rows 38:40
(Demographic Commitment section must be turned on)</v>
      </c>
    </row>
    <row r="39" spans="1:17" ht="17.649999999999999" hidden="1" customHeight="1">
      <c r="A39" s="1995"/>
      <c r="B39" s="1995"/>
      <c r="C39" s="1995"/>
      <c r="D39" s="1995"/>
      <c r="E39" s="1996" t="str">
        <f>IF(AND(Link_Classification&lt;&gt;Data1!$A$14,Link_Classification&lt;&gt;Data1!$A$16,$F$39&lt;&gt;"&lt;select one&gt;"),"(Not applicable)    ","")</f>
        <v/>
      </c>
      <c r="F39" s="2591" t="s">
        <v>41</v>
      </c>
      <c r="G39" s="2591"/>
      <c r="H39" s="1997"/>
      <c r="K39" s="2570"/>
      <c r="L39" s="2625"/>
      <c r="M39" s="2036"/>
      <c r="N39" s="2549"/>
    </row>
    <row r="40" spans="1:17" ht="14.65" hidden="1" customHeight="1">
      <c r="A40" s="1995"/>
      <c r="B40" s="1995"/>
      <c r="C40" s="1995"/>
      <c r="D40" s="1995"/>
      <c r="E40" s="1996"/>
      <c r="F40" s="1995"/>
      <c r="G40" s="1995"/>
      <c r="H40" s="1997"/>
      <c r="K40" s="2571"/>
      <c r="L40" s="2626"/>
      <c r="M40" s="2029"/>
    </row>
    <row r="41" spans="1:17" ht="17.649999999999999" hidden="1" customHeight="1">
      <c r="A41" s="335" t="str">
        <f>IF($K41=0,"","b")</f>
        <v/>
      </c>
      <c r="B41" s="2577" t="s">
        <v>846</v>
      </c>
      <c r="C41" s="2577"/>
      <c r="D41" s="2577"/>
      <c r="E41" s="2577"/>
      <c r="F41" s="2577"/>
      <c r="G41" s="2577"/>
      <c r="H41" s="2577"/>
      <c r="K41" s="2569">
        <v>0</v>
      </c>
      <c r="L41" s="855"/>
      <c r="M41" s="855"/>
      <c r="N41" s="1949" t="str">
        <f>"Controls Rows "&amp;TEXT(ROW($A41),"0")&amp;":"&amp;TEXT(ROW($A45),"0")</f>
        <v>Controls Rows 41:45</v>
      </c>
    </row>
    <row r="42" spans="1:17" ht="10.5" hidden="1" customHeight="1">
      <c r="A42" s="578"/>
      <c r="B42" s="578"/>
      <c r="C42" s="578"/>
      <c r="D42" s="578"/>
      <c r="E42" s="578"/>
      <c r="F42" s="578"/>
      <c r="G42" s="578"/>
      <c r="H42" s="578"/>
      <c r="K42" s="2570"/>
      <c r="L42" s="855"/>
      <c r="M42" s="855"/>
      <c r="N42" s="829"/>
    </row>
    <row r="43" spans="1:17" ht="43.9" hidden="1" customHeight="1">
      <c r="A43" s="722" t="str">
        <f>IF(Data1!$B37=TRUE,"Yes","No")</f>
        <v>No</v>
      </c>
      <c r="B43" s="579"/>
      <c r="C43" s="348" t="str">
        <f>"(1)"</f>
        <v>(1)</v>
      </c>
      <c r="D43" s="2544" t="s">
        <v>848</v>
      </c>
      <c r="E43" s="2544"/>
      <c r="F43" s="2544"/>
      <c r="G43" s="2544"/>
      <c r="H43" s="2544"/>
      <c r="K43" s="2570"/>
    </row>
    <row r="44" spans="1:17" ht="43.9" hidden="1" customHeight="1">
      <c r="A44" s="722" t="str">
        <f>IF(Data1!$B38=TRUE,"Yes","No")</f>
        <v>No</v>
      </c>
      <c r="B44" s="579"/>
      <c r="C44" s="348" t="str">
        <f>"(2)"</f>
        <v>(2)</v>
      </c>
      <c r="D44" s="2544" t="s">
        <v>850</v>
      </c>
      <c r="E44" s="2544"/>
      <c r="F44" s="2544"/>
      <c r="G44" s="2544"/>
      <c r="H44" s="2544"/>
      <c r="K44" s="2570"/>
      <c r="Q44" s="312"/>
    </row>
    <row r="45" spans="1:17" ht="14.65" hidden="1" customHeight="1">
      <c r="A45" s="578"/>
      <c r="B45" s="578"/>
      <c r="C45" s="578"/>
      <c r="D45" s="578"/>
      <c r="E45" s="578"/>
      <c r="F45" s="578"/>
      <c r="G45" s="578"/>
      <c r="H45" s="578"/>
      <c r="K45" s="2571"/>
      <c r="L45" s="855"/>
      <c r="M45" s="855"/>
      <c r="N45" s="829"/>
      <c r="O45" s="52"/>
    </row>
    <row r="46" spans="1:17" ht="28.9" hidden="1" customHeight="1">
      <c r="A46" s="335" t="str">
        <f>IF($K46=0,"",CHOOSE($K$41+$K$46,"b","c"))</f>
        <v/>
      </c>
      <c r="B46" s="2577"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577"/>
      <c r="D46" s="2577"/>
      <c r="E46" s="2577"/>
      <c r="F46" s="2577"/>
      <c r="G46" s="2577"/>
      <c r="H46" s="2577"/>
      <c r="K46" s="2624">
        <f>SUM(L48:L52)</f>
        <v>0</v>
      </c>
      <c r="M46" s="855"/>
      <c r="N46" s="2549" t="str">
        <f>"Controls Rows "&amp;TEXT(ROW($A46),"0")&amp;":"&amp;TEXT(ROW($A53),"0")&amp;"    [To turn on section, enter a 1 in Column L below for any applicable subsection to be turned on.]"</f>
        <v>Controls Rows 46:53    [To turn on section, enter a 1 in Column L below for any applicable subsection to be turned on.]</v>
      </c>
      <c r="O46" s="52"/>
    </row>
    <row r="47" spans="1:17" ht="10.5" hidden="1" customHeight="1">
      <c r="H47" s="9"/>
      <c r="K47" s="2625"/>
      <c r="L47" s="855"/>
      <c r="M47" s="855"/>
      <c r="N47" s="2549"/>
      <c r="O47" s="52"/>
    </row>
    <row r="48" spans="1:17" ht="37.5" hidden="1" customHeight="1">
      <c r="A48" s="722" t="str">
        <f>IF(Data1!$B40=TRUE,"Yes","No")</f>
        <v>No</v>
      </c>
      <c r="B48" s="579"/>
      <c r="C48" s="770" t="str">
        <f>IF($K48=0,"",MAX(C$47:C47)+1)</f>
        <v/>
      </c>
      <c r="D48" s="2544" t="s">
        <v>851</v>
      </c>
      <c r="E48" s="2544"/>
      <c r="F48" s="2544"/>
      <c r="G48" s="2544"/>
      <c r="H48" s="2544"/>
      <c r="K48" s="2625"/>
      <c r="L48" s="2002">
        <v>0</v>
      </c>
      <c r="M48" s="2028"/>
      <c r="N48" s="1949" t="s">
        <v>2861</v>
      </c>
    </row>
    <row r="49" spans="1:14" ht="37.5" hidden="1" customHeight="1">
      <c r="A49" s="722" t="str">
        <f>IF(Data1!$B41=TRUE,"Yes","No")</f>
        <v>No</v>
      </c>
      <c r="B49" s="579"/>
      <c r="C49" s="770" t="str">
        <f>IF($K49=0,"",MAX(C$47:C48)+1)</f>
        <v/>
      </c>
      <c r="D49" s="2544" t="s">
        <v>852</v>
      </c>
      <c r="E49" s="2544"/>
      <c r="F49" s="2544"/>
      <c r="G49" s="2544"/>
      <c r="H49" s="2544"/>
      <c r="K49" s="2625"/>
      <c r="L49" s="2002">
        <v>0</v>
      </c>
      <c r="M49" s="2028"/>
      <c r="N49" s="1949"/>
    </row>
    <row r="50" spans="1:14" ht="51.75" hidden="1" customHeight="1">
      <c r="A50" s="722" t="str">
        <f>IF(Data1!$B42=TRUE,"Yes","No")</f>
        <v>No</v>
      </c>
      <c r="B50" s="579"/>
      <c r="C50" s="770" t="str">
        <f>IF($K50=0,"",MAX(C$47:C49)+1)</f>
        <v/>
      </c>
      <c r="D50" s="2544" t="s">
        <v>853</v>
      </c>
      <c r="E50" s="2544"/>
      <c r="F50" s="2544"/>
      <c r="G50" s="2544"/>
      <c r="H50" s="2544"/>
      <c r="K50" s="2625"/>
      <c r="L50" s="2002">
        <v>0</v>
      </c>
      <c r="M50" s="2028"/>
      <c r="N50" s="1949"/>
    </row>
    <row r="51" spans="1:14" ht="25.15" hidden="1" customHeight="1">
      <c r="A51" s="722" t="str">
        <f>IF(Data1!$B43=TRUE,"Yes","No")</f>
        <v>No</v>
      </c>
      <c r="B51" s="579"/>
      <c r="C51" s="770" t="str">
        <f>IF($K51=0,"",MAX(C$47:C50)+1)</f>
        <v/>
      </c>
      <c r="D51" s="2544" t="s">
        <v>2643</v>
      </c>
      <c r="E51" s="2544"/>
      <c r="F51" s="2544"/>
      <c r="G51" s="2544"/>
      <c r="H51" s="2544"/>
      <c r="K51" s="2625"/>
      <c r="L51" s="2002">
        <v>0</v>
      </c>
      <c r="M51" s="2028"/>
      <c r="N51" s="1949"/>
    </row>
    <row r="52" spans="1:14" ht="25.15" hidden="1" customHeight="1">
      <c r="A52" s="722" t="str">
        <f>IF(Data1!$B44=TRUE,"Yes","No")</f>
        <v>No</v>
      </c>
      <c r="B52" s="579"/>
      <c r="C52" s="770" t="str">
        <f>IF($K52=0,"",MAX(C$47:C51)+1)</f>
        <v/>
      </c>
      <c r="D52" s="2544" t="s">
        <v>854</v>
      </c>
      <c r="E52" s="2544"/>
      <c r="F52" s="2544"/>
      <c r="G52" s="2544"/>
      <c r="H52" s="2544"/>
      <c r="K52" s="2625"/>
      <c r="L52" s="2002">
        <v>0</v>
      </c>
      <c r="M52" s="2028"/>
      <c r="N52" s="1949"/>
    </row>
    <row r="53" spans="1:14" ht="14.65" hidden="1" customHeight="1">
      <c r="H53" s="9"/>
      <c r="I53" s="52"/>
      <c r="K53" s="2626"/>
      <c r="L53" s="855"/>
      <c r="M53" s="855"/>
      <c r="N53" s="829"/>
    </row>
    <row r="54" spans="1:14" ht="65.25" hidden="1" customHeight="1">
      <c r="A54" s="722"/>
      <c r="B54" s="2592" t="s">
        <v>2644</v>
      </c>
      <c r="C54" s="2592"/>
      <c r="D54" s="2592"/>
      <c r="E54" s="2592"/>
      <c r="F54" s="2592"/>
      <c r="G54" s="2592"/>
      <c r="H54" s="2592"/>
      <c r="K54" s="2569">
        <v>0</v>
      </c>
      <c r="L54" s="855"/>
      <c r="M54" s="855"/>
      <c r="N54" s="1949" t="str">
        <f>"Controls Rows "&amp;TEXT(ROW($A54),"0")&amp;":"&amp;TEXT(ROW($A55),"0")</f>
        <v>Controls Rows 54:55</v>
      </c>
    </row>
    <row r="55" spans="1:14" ht="10.5" hidden="1" customHeight="1">
      <c r="A55" s="722"/>
      <c r="B55" s="516"/>
      <c r="C55" s="770"/>
      <c r="D55" s="826"/>
      <c r="E55" s="826"/>
      <c r="F55" s="826"/>
      <c r="G55" s="826"/>
      <c r="H55" s="826"/>
      <c r="K55" s="2571"/>
      <c r="L55" s="855"/>
      <c r="M55" s="855"/>
      <c r="N55" s="829"/>
    </row>
    <row r="56" spans="1:14" ht="65.25" hidden="1" customHeight="1">
      <c r="A56" s="722"/>
      <c r="B56" s="2579" t="s">
        <v>2645</v>
      </c>
      <c r="C56" s="2579"/>
      <c r="D56" s="2579"/>
      <c r="E56" s="2579"/>
      <c r="F56" s="2579"/>
      <c r="G56" s="2579"/>
      <c r="H56" s="2579"/>
      <c r="K56" s="2569">
        <v>0</v>
      </c>
      <c r="L56" s="855"/>
      <c r="M56" s="855"/>
      <c r="N56" s="1949" t="str">
        <f>"Controls Rows "&amp;TEXT(ROW($A56),"0")&amp;":"&amp;TEXT(ROW($A57),"0")</f>
        <v>Controls Rows 56:57</v>
      </c>
    </row>
    <row r="57" spans="1:14" ht="10.5" hidden="1" customHeight="1">
      <c r="H57" s="9"/>
      <c r="I57" s="52"/>
      <c r="K57" s="2571"/>
      <c r="L57" s="855"/>
      <c r="M57" s="855"/>
      <c r="N57" s="829"/>
    </row>
    <row r="58" spans="1:14" ht="14.65" hidden="1" customHeight="1">
      <c r="A58" s="335" t="str">
        <f>IF($K58=0,"",CHOOSE($K$41+$K$46+$K$58,"a","b","c"))</f>
        <v/>
      </c>
      <c r="B58" s="2577" t="s">
        <v>3282</v>
      </c>
      <c r="C58" s="2577"/>
      <c r="D58" s="2577"/>
      <c r="E58" s="2577"/>
      <c r="F58" s="2577"/>
      <c r="G58" s="2577"/>
      <c r="H58" s="2577"/>
      <c r="I58" s="52"/>
      <c r="K58" s="2569">
        <v>0</v>
      </c>
      <c r="L58" s="855"/>
      <c r="M58" s="855"/>
      <c r="N58" s="1949" t="str">
        <f>"Controls Rows "&amp;TEXT(ROW($A58),"0")&amp;":"&amp;TEXT(ROW($A63),"0")</f>
        <v>Controls Rows 58:63</v>
      </c>
    </row>
    <row r="59" spans="1:14" ht="10.5" hidden="1" customHeight="1">
      <c r="H59" s="9"/>
      <c r="I59" s="52"/>
      <c r="K59" s="2570"/>
      <c r="L59" s="855"/>
      <c r="M59" s="855"/>
      <c r="N59" s="829"/>
    </row>
    <row r="60" spans="1:14" ht="30" hidden="1" customHeight="1">
      <c r="B60" s="875"/>
      <c r="C60" s="2544" t="s">
        <v>856</v>
      </c>
      <c r="D60" s="2544"/>
      <c r="E60" s="2544"/>
      <c r="F60" s="2544"/>
      <c r="G60" s="2544"/>
      <c r="H60" s="655" t="s">
        <v>41</v>
      </c>
      <c r="I60" s="52"/>
      <c r="K60" s="2570"/>
      <c r="L60" s="829"/>
      <c r="M60" s="829"/>
      <c r="N60" s="829"/>
    </row>
    <row r="61" spans="1:14" ht="10.5" hidden="1" customHeight="1">
      <c r="H61" s="9"/>
      <c r="I61" s="52"/>
      <c r="K61" s="2570"/>
      <c r="L61" s="855"/>
      <c r="M61" s="855"/>
      <c r="N61" s="829"/>
    </row>
    <row r="62" spans="1:14" ht="14.65" hidden="1" customHeight="1">
      <c r="D62" s="6" t="s">
        <v>3281</v>
      </c>
      <c r="H62" s="9"/>
      <c r="I62" s="52"/>
      <c r="K62" s="2570"/>
      <c r="L62" s="2569">
        <v>1</v>
      </c>
      <c r="M62" s="855"/>
      <c r="N62" s="1949" t="str">
        <f>"Controls Rows "&amp;TEXT(ROW($A62),"0")&amp;":"&amp;TEXT(ROW($A63),"0")</f>
        <v>Controls Rows 62:63</v>
      </c>
    </row>
    <row r="63" spans="1:14" ht="10.5" hidden="1" customHeight="1">
      <c r="H63" s="9"/>
      <c r="I63" s="52"/>
      <c r="K63" s="2670"/>
      <c r="L63" s="2670"/>
      <c r="M63" s="855"/>
      <c r="N63" s="829"/>
    </row>
    <row r="64" spans="1:14" ht="14.65" hidden="1" customHeight="1">
      <c r="A64" s="335"/>
      <c r="B64" s="2577" t="s">
        <v>1902</v>
      </c>
      <c r="C64" s="2577"/>
      <c r="D64" s="2577"/>
      <c r="E64" s="2577"/>
      <c r="F64" s="2577"/>
      <c r="G64" s="2577"/>
      <c r="H64" s="2577"/>
      <c r="I64" s="52"/>
      <c r="K64" s="2569">
        <v>0</v>
      </c>
      <c r="L64" s="855"/>
      <c r="M64" s="855"/>
      <c r="N64" s="1949" t="str">
        <f>"Controls Rows "&amp;TEXT(ROW($A64),"0")&amp;":"&amp;TEXT(ROW($A67),"0")&amp;". For RFA 205 Only."</f>
        <v>Controls Rows 64:67. For RFA 205 Only.</v>
      </c>
    </row>
    <row r="65" spans="1:15" ht="7.5" hidden="1" customHeight="1">
      <c r="H65" s="9"/>
      <c r="I65" s="52"/>
      <c r="K65" s="2570"/>
      <c r="L65" s="855"/>
      <c r="M65" s="855"/>
      <c r="N65" s="829"/>
    </row>
    <row r="66" spans="1:15" ht="50.25" hidden="1" customHeight="1">
      <c r="B66" s="875"/>
      <c r="C66" s="2544" t="s">
        <v>1903</v>
      </c>
      <c r="D66" s="2544"/>
      <c r="E66" s="2544"/>
      <c r="F66" s="2544"/>
      <c r="G66" s="2544"/>
      <c r="H66" s="655" t="s">
        <v>41</v>
      </c>
      <c r="I66" s="52"/>
      <c r="K66" s="2570"/>
      <c r="L66" s="829"/>
      <c r="M66" s="829"/>
      <c r="N66" s="829"/>
    </row>
    <row r="67" spans="1:15" ht="14.65" hidden="1" customHeight="1" thickBot="1">
      <c r="H67" s="9"/>
      <c r="I67" s="52"/>
      <c r="K67" s="2571"/>
      <c r="L67" s="855"/>
      <c r="M67" s="855"/>
      <c r="N67" s="829"/>
    </row>
    <row r="68" spans="1:15" ht="36" customHeight="1" thickBot="1">
      <c r="A68" s="2582" t="s">
        <v>857</v>
      </c>
      <c r="B68" s="2583"/>
      <c r="C68" s="2583"/>
      <c r="D68" s="2583"/>
      <c r="E68" s="2583"/>
      <c r="F68" s="2583"/>
      <c r="G68" s="2583"/>
      <c r="H68" s="2584"/>
      <c r="K68" s="2620" t="s">
        <v>2737</v>
      </c>
      <c r="L68" s="347"/>
      <c r="M68" s="347"/>
      <c r="N68" s="2020" t="s">
        <v>2745</v>
      </c>
    </row>
    <row r="69" spans="1:15">
      <c r="A69" s="839"/>
      <c r="B69" s="839"/>
      <c r="C69" s="839"/>
      <c r="D69" s="839"/>
      <c r="E69" s="9"/>
      <c r="F69" s="9"/>
      <c r="G69" s="9"/>
      <c r="H69" s="9"/>
      <c r="J69" s="9"/>
      <c r="K69" s="2621"/>
      <c r="L69" s="855"/>
      <c r="M69" s="855"/>
      <c r="N69" s="9"/>
    </row>
    <row r="70" spans="1:15">
      <c r="A70" s="86" t="s">
        <v>858</v>
      </c>
      <c r="B70" s="2577" t="s">
        <v>859</v>
      </c>
      <c r="C70" s="2577"/>
      <c r="D70" s="2577"/>
      <c r="E70" s="2577"/>
      <c r="F70" s="2577"/>
      <c r="G70" s="2577"/>
      <c r="H70" s="2577"/>
      <c r="J70" s="9"/>
      <c r="K70" s="2621"/>
      <c r="L70" s="855"/>
      <c r="M70" s="855"/>
      <c r="N70" s="9"/>
    </row>
    <row r="71" spans="1:15" ht="17.649999999999999" customHeight="1">
      <c r="B71" s="91">
        <f>IF(M71=0,"",1)</f>
        <v>1</v>
      </c>
      <c r="C71" s="78" t="s">
        <v>860</v>
      </c>
      <c r="D71" s="865" t="s">
        <v>861</v>
      </c>
      <c r="E71" s="865"/>
      <c r="F71" s="2573"/>
      <c r="G71" s="2573"/>
      <c r="H71" s="2573"/>
      <c r="K71" s="2621"/>
      <c r="M71" s="2569">
        <v>1</v>
      </c>
      <c r="N71" s="2667" t="s">
        <v>2761</v>
      </c>
      <c r="O71" s="2549"/>
    </row>
    <row r="72" spans="1:15">
      <c r="B72" s="865"/>
      <c r="C72" s="619" t="str">
        <f>IF(F71="","(The Name of the Applicant must have an entry to turn on some of the validation formulas in Exhibit A)","")</f>
        <v>(The Name of the Applicant must have an entry to turn on some of the validation formulas in Exhibit A)</v>
      </c>
      <c r="D72" s="865"/>
      <c r="H72" s="846"/>
      <c r="K72" s="2662"/>
      <c r="M72" s="2570"/>
      <c r="N72" s="2667"/>
      <c r="O72" s="2549"/>
    </row>
    <row r="73" spans="1:15" ht="17.649999999999999" hidden="1" customHeight="1">
      <c r="B73" s="865"/>
      <c r="C73" s="78" t="s">
        <v>862</v>
      </c>
      <c r="D73" s="865" t="s">
        <v>863</v>
      </c>
      <c r="G73" s="655" t="s">
        <v>41</v>
      </c>
      <c r="H73" s="15"/>
      <c r="K73" s="2569">
        <v>0</v>
      </c>
      <c r="M73" s="2570"/>
      <c r="N73" s="1949" t="str">
        <f>"Column L controls Rows "&amp;TEXT(ROW($A73),"0")&amp;":"&amp;TEXT(ROW($A74),"0")&amp;". For RFA 205 Only."</f>
        <v>Column L controls Rows 73:74. For RFA 205 Only.</v>
      </c>
    </row>
    <row r="74" spans="1:15" ht="10.5" hidden="1" customHeight="1">
      <c r="B74" s="865"/>
      <c r="C74" s="865"/>
      <c r="D74" s="865"/>
      <c r="H74" s="846"/>
      <c r="K74" s="2570"/>
      <c r="M74" s="2570"/>
    </row>
    <row r="75" spans="1:15" ht="30" customHeight="1">
      <c r="A75" s="839"/>
      <c r="B75" s="580">
        <f>IF($K$77=0,"",MAX(B$71:B74)+1)</f>
        <v>2</v>
      </c>
      <c r="C75" s="2544" t="s">
        <v>864</v>
      </c>
      <c r="D75" s="2544"/>
      <c r="E75" s="2544"/>
      <c r="F75" s="2544"/>
      <c r="G75" s="2544"/>
      <c r="H75" s="2544"/>
      <c r="J75" s="846"/>
      <c r="K75" s="2663" t="s">
        <v>2737</v>
      </c>
      <c r="L75" s="2664"/>
      <c r="M75" s="2570"/>
    </row>
    <row r="76" spans="1:15" ht="10.5" customHeight="1">
      <c r="A76" s="839"/>
      <c r="B76" s="11"/>
      <c r="C76" s="11"/>
      <c r="D76" s="11"/>
      <c r="E76" s="846"/>
      <c r="F76" s="846"/>
      <c r="G76" s="846"/>
      <c r="H76" s="9"/>
      <c r="J76" s="846"/>
      <c r="K76" s="2665"/>
      <c r="L76" s="2666"/>
      <c r="M76" s="2570"/>
    </row>
    <row r="77" spans="1:15" ht="17.649999999999999" customHeight="1">
      <c r="A77" s="839"/>
      <c r="B77" s="580">
        <f>IF($K$77=0,"",MAX(B$71:B76)+1)</f>
        <v>3</v>
      </c>
      <c r="C77" s="2544" t="s">
        <v>865</v>
      </c>
      <c r="D77" s="2544"/>
      <c r="E77" s="2544"/>
      <c r="F77" s="2544"/>
      <c r="G77" s="2544"/>
      <c r="H77" s="2544"/>
      <c r="J77" s="9"/>
      <c r="K77" s="2570">
        <v>1</v>
      </c>
      <c r="M77" s="2571"/>
      <c r="N77" s="1949" t="str">
        <f>"Column L controls Rows "&amp;TEXT(ROW($A77),"0")&amp;":"&amp;TEXT(ROW($A82),"0")</f>
        <v>Column L controls Rows 77:82</v>
      </c>
    </row>
    <row r="78" spans="1:15" ht="35.25" customHeight="1">
      <c r="A78" s="8"/>
      <c r="B78" s="8"/>
      <c r="C78" s="2544" t="s">
        <v>2061</v>
      </c>
      <c r="D78" s="2544"/>
      <c r="E78" s="2544"/>
      <c r="F78" s="2544"/>
      <c r="G78" s="2544"/>
      <c r="H78" s="2544"/>
      <c r="I78" s="606"/>
      <c r="J78" s="12"/>
      <c r="K78" s="2570"/>
      <c r="M78" s="2035"/>
    </row>
    <row r="79" spans="1:15" ht="17.649999999999999" customHeight="1">
      <c r="A79" s="8"/>
      <c r="B79" s="8"/>
      <c r="C79" s="8"/>
      <c r="D79" s="2573" t="s">
        <v>41</v>
      </c>
      <c r="E79" s="2573"/>
      <c r="F79" s="578"/>
      <c r="G79" s="578"/>
      <c r="H79" s="578"/>
      <c r="I79" s="606"/>
      <c r="J79" s="12"/>
      <c r="K79" s="2570"/>
      <c r="M79" s="2035"/>
    </row>
    <row r="80" spans="1:15" ht="10.5" customHeight="1">
      <c r="A80" s="8"/>
      <c r="B80" s="578"/>
      <c r="C80" s="578"/>
      <c r="D80" s="582"/>
      <c r="E80" s="582"/>
      <c r="F80" s="582"/>
      <c r="G80" s="582"/>
      <c r="H80" s="582"/>
      <c r="I80" s="606"/>
      <c r="J80" s="12"/>
      <c r="K80" s="2570"/>
      <c r="M80" s="2035"/>
      <c r="N80" s="829"/>
    </row>
    <row r="81" spans="1:16" ht="35.25" customHeight="1">
      <c r="A81" s="8"/>
      <c r="B81" s="578"/>
      <c r="C81" s="2572" t="str">
        <f>"If ""Yes"", provide the required information for the Non-Profit entity"&amp;IF(N81=0," as Attachment 2."&amp;IF(L88+K77=0,""," To demonstrate that this definition is met, Applicants must meet the requirements in both (a) and (b) below."),", as detailed in the RFA, during credit underwriting.")</f>
        <v>If "Yes", provide the required information for the Non-Profit entity, as detailed in the RFA, during credit underwriting.</v>
      </c>
      <c r="D81" s="2572"/>
      <c r="E81" s="2572"/>
      <c r="F81" s="2572"/>
      <c r="G81" s="2572"/>
      <c r="H81" s="2572"/>
      <c r="I81" s="606"/>
      <c r="J81" s="12"/>
      <c r="K81" s="2570"/>
      <c r="M81" s="2039"/>
      <c r="N81" s="2668">
        <v>1</v>
      </c>
    </row>
    <row r="82" spans="1:16" ht="10.5" customHeight="1">
      <c r="A82" s="8"/>
      <c r="B82" s="578"/>
      <c r="C82" s="578"/>
      <c r="D82" s="582"/>
      <c r="E82" s="582"/>
      <c r="F82" s="582"/>
      <c r="G82" s="582"/>
      <c r="H82" s="582"/>
      <c r="I82" s="606"/>
      <c r="J82" s="12"/>
      <c r="K82" s="2571"/>
      <c r="M82" s="2039"/>
      <c r="N82" s="2669"/>
    </row>
    <row r="83" spans="1:16" ht="17.649999999999999" hidden="1" customHeight="1">
      <c r="A83" s="8"/>
      <c r="B83" s="578"/>
      <c r="C83" s="78" t="s">
        <v>860</v>
      </c>
      <c r="D83" s="6" t="s">
        <v>2536</v>
      </c>
      <c r="E83" s="582"/>
      <c r="F83" s="582"/>
      <c r="G83" s="582"/>
      <c r="H83" s="582"/>
      <c r="I83" s="606"/>
      <c r="J83" s="12"/>
      <c r="K83" s="2658">
        <v>0</v>
      </c>
      <c r="L83" s="2655">
        <v>1</v>
      </c>
      <c r="M83" s="2037"/>
      <c r="N83" s="1949" t="str">
        <f>"Column K controls Rows "&amp;TEXT(ROW($A83),"0")&amp;":"&amp;TEXT(ROW($A89),"0")</f>
        <v>Column K controls Rows 83:89</v>
      </c>
    </row>
    <row r="84" spans="1:16" ht="17.649999999999999" hidden="1" customHeight="1">
      <c r="A84" s="8"/>
      <c r="B84" s="578"/>
      <c r="C84" s="578"/>
      <c r="D84" s="584" t="s">
        <v>2537</v>
      </c>
      <c r="E84" s="857"/>
      <c r="F84" s="857"/>
      <c r="G84" s="857"/>
      <c r="H84" s="857"/>
      <c r="I84" s="606"/>
      <c r="J84" s="12"/>
      <c r="K84" s="2659"/>
      <c r="L84" s="2656"/>
      <c r="M84" s="2037"/>
    </row>
    <row r="85" spans="1:16" ht="10.5" hidden="1" customHeight="1">
      <c r="A85" s="8"/>
      <c r="B85" s="578"/>
      <c r="C85" s="578"/>
      <c r="D85" s="584"/>
      <c r="E85" s="582"/>
      <c r="F85" s="582"/>
      <c r="G85" s="582"/>
      <c r="H85" s="582"/>
      <c r="I85" s="606"/>
      <c r="J85" s="12"/>
      <c r="K85" s="2659"/>
      <c r="L85" s="2656"/>
      <c r="M85" s="2037"/>
    </row>
    <row r="86" spans="1:16" ht="17.649999999999999" hidden="1" customHeight="1">
      <c r="A86" s="8"/>
      <c r="B86" s="578"/>
      <c r="C86" s="78" t="s">
        <v>862</v>
      </c>
      <c r="D86" s="2544" t="s">
        <v>866</v>
      </c>
      <c r="E86" s="2544"/>
      <c r="F86" s="2544"/>
      <c r="G86" s="2544"/>
      <c r="H86" s="2544"/>
      <c r="I86" s="606"/>
      <c r="J86" s="12"/>
      <c r="K86" s="2659"/>
      <c r="L86" s="2657"/>
      <c r="M86" s="2037"/>
      <c r="N86" s="1949" t="str">
        <f>"Column L controls Rows "&amp;TEXT(ROW($A83),"0")&amp;":"&amp;TEXT(ROW($A86),"0")&amp;" and "&amp;TEXT(ROW($A88),"0")</f>
        <v>Column L controls Rows 83:86 and 88</v>
      </c>
    </row>
    <row r="87" spans="1:16" ht="17.649999999999999" hidden="1" customHeight="1">
      <c r="A87" s="8"/>
      <c r="B87" s="578"/>
      <c r="C87" s="78"/>
      <c r="D87" s="17" t="s">
        <v>2203</v>
      </c>
      <c r="E87" s="826"/>
      <c r="F87" s="826"/>
      <c r="G87" s="826"/>
      <c r="H87" s="826"/>
      <c r="I87" s="606"/>
      <c r="J87" s="12"/>
      <c r="K87" s="2659"/>
      <c r="L87" s="1999" t="s">
        <v>620</v>
      </c>
      <c r="M87" s="1999"/>
    </row>
    <row r="88" spans="1:16" ht="73.150000000000006" hidden="1" customHeight="1">
      <c r="A88" s="8"/>
      <c r="B88" s="578"/>
      <c r="C88" s="78"/>
      <c r="D88" s="2544" t="str">
        <f>IF($N$88=0,"Provide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Provide the following documents for the Non-Profit entity:
(i)   The IRS determination letter demonstrating that the Non-Profit is organized under section 501(c)(3)
          or 501(c)(4) of the Internal Revenue Code; and
(ii)  The articles of incorporation demonstrating that one of the purposes of the Non-Profit entity is to
          foster low-income housing.</v>
      </c>
      <c r="E88" s="2544"/>
      <c r="F88" s="2544"/>
      <c r="G88" s="2544"/>
      <c r="H88" s="2544"/>
      <c r="I88" s="606"/>
      <c r="J88" s="12"/>
      <c r="K88" s="2659"/>
      <c r="L88" s="1998">
        <f>L83</f>
        <v>1</v>
      </c>
      <c r="M88" s="2040"/>
      <c r="N88" s="2001">
        <v>0</v>
      </c>
      <c r="O88" s="2639" t="s">
        <v>2736</v>
      </c>
      <c r="P88" s="2640"/>
    </row>
    <row r="89" spans="1:16" ht="80.25" hidden="1" customHeight="1">
      <c r="A89" s="8"/>
      <c r="B89" s="578"/>
      <c r="C89" s="578"/>
      <c r="D89" s="2544" t="str">
        <f>IF(L88=0,IF($N$87=0,"Provide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2."),IF($N$89=0,"(iii)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9" s="2544"/>
      <c r="F89" s="2544"/>
      <c r="G89" s="2544"/>
      <c r="H89" s="2544"/>
      <c r="I89" s="606"/>
      <c r="J89" s="12"/>
      <c r="K89" s="2571"/>
      <c r="L89" s="2000">
        <v>1</v>
      </c>
      <c r="M89" s="2041"/>
      <c r="N89" s="2001">
        <v>0</v>
      </c>
      <c r="O89" s="2639" t="s">
        <v>867</v>
      </c>
      <c r="P89" s="2640"/>
    </row>
    <row r="90" spans="1:16" ht="35.25" hidden="1" customHeight="1">
      <c r="A90" s="8"/>
      <c r="B90" s="578"/>
      <c r="C90" s="78" t="s">
        <v>868</v>
      </c>
      <c r="D90" s="2544" t="s">
        <v>869</v>
      </c>
      <c r="E90" s="2544"/>
      <c r="F90" s="2544"/>
      <c r="G90" s="2544"/>
      <c r="H90" s="786"/>
      <c r="I90" s="606"/>
      <c r="J90" s="12"/>
      <c r="K90" s="2569">
        <v>0</v>
      </c>
      <c r="N90" s="1949" t="str">
        <f>"Controls Rows "&amp;TEXT(ROW($A90),"0")&amp;":"&amp;TEXT(ROW($A92),"0")&amp;". Only for RFA 102"</f>
        <v>Controls Rows 90:92. Only for RFA 102</v>
      </c>
    </row>
    <row r="91" spans="1:16" ht="17.649999999999999" hidden="1" customHeight="1">
      <c r="A91" s="8"/>
      <c r="B91" s="578"/>
      <c r="C91" s="578"/>
      <c r="D91" s="785" t="str">
        <f>"This Applicant qualifies as a Tier "&amp;IF(H90=1,"1","2")&amp;" Application."</f>
        <v>This Applicant qualifies as a Tier 2 Application.</v>
      </c>
      <c r="E91" s="41"/>
      <c r="F91" s="41"/>
      <c r="G91" s="41"/>
      <c r="H91" s="41"/>
      <c r="I91" s="606"/>
      <c r="J91" s="12"/>
      <c r="K91" s="2570"/>
      <c r="L91" s="855"/>
      <c r="M91" s="855"/>
      <c r="N91" s="829"/>
    </row>
    <row r="92" spans="1:16" ht="10.5" hidden="1" customHeight="1">
      <c r="A92" s="8"/>
      <c r="B92" s="578"/>
      <c r="C92" s="578"/>
      <c r="D92" s="41"/>
      <c r="E92" s="41"/>
      <c r="F92" s="41"/>
      <c r="G92" s="41"/>
      <c r="H92" s="41"/>
      <c r="I92" s="606"/>
      <c r="J92" s="12"/>
      <c r="K92" s="2571"/>
      <c r="L92" s="855"/>
      <c r="M92" s="855"/>
      <c r="N92" s="829"/>
    </row>
    <row r="93" spans="1:16" ht="14.65" hidden="1" customHeight="1">
      <c r="A93" s="10"/>
      <c r="B93" s="91" t="str">
        <f>IF($K$93=0,"",MAX(B$71:B92)+1)</f>
        <v/>
      </c>
      <c r="C93" s="578" t="s">
        <v>2469</v>
      </c>
      <c r="D93" s="17"/>
      <c r="E93" s="17"/>
      <c r="F93" s="17"/>
      <c r="G93" s="17"/>
      <c r="H93" s="17"/>
      <c r="I93" s="606"/>
      <c r="J93" s="12"/>
      <c r="K93" s="2569">
        <v>0</v>
      </c>
      <c r="L93" s="855"/>
      <c r="M93" s="855"/>
      <c r="N93" s="1949" t="str">
        <f>"Controls Rows "&amp;TEXT(ROW($A93),"0")&amp;":"&amp;TEXT(ROW($A99),"0")&amp;". Only for RFA 206"</f>
        <v>Controls Rows 93:99. Only for RFA 206</v>
      </c>
    </row>
    <row r="94" spans="1:16" ht="35.25" hidden="1" customHeight="1">
      <c r="A94" s="10"/>
      <c r="B94" s="578"/>
      <c r="C94" s="578"/>
      <c r="D94" s="2544" t="s">
        <v>870</v>
      </c>
      <c r="E94" s="2544"/>
      <c r="F94" s="2544"/>
      <c r="G94" s="2544"/>
      <c r="H94" s="2544"/>
      <c r="I94" s="606"/>
      <c r="J94" s="12"/>
      <c r="K94" s="2570"/>
      <c r="L94" s="855"/>
      <c r="M94" s="855"/>
      <c r="N94" s="829"/>
    </row>
    <row r="95" spans="1:16" ht="17.649999999999999" hidden="1" customHeight="1">
      <c r="A95" s="10"/>
      <c r="B95" s="578"/>
      <c r="C95" s="578"/>
      <c r="D95" s="829" t="s">
        <v>871</v>
      </c>
      <c r="E95" s="17"/>
      <c r="F95" s="17"/>
      <c r="G95" s="17"/>
      <c r="I95" s="606"/>
      <c r="J95" s="12"/>
      <c r="K95" s="2570"/>
      <c r="L95" s="855"/>
      <c r="M95" s="855"/>
      <c r="N95" s="829"/>
    </row>
    <row r="96" spans="1:16" ht="17.649999999999999" hidden="1" customHeight="1">
      <c r="A96" s="10"/>
      <c r="B96" s="578"/>
      <c r="C96" s="578"/>
      <c r="D96" s="17"/>
      <c r="E96" s="655" t="s">
        <v>41</v>
      </c>
      <c r="F96" s="17"/>
      <c r="G96" s="17"/>
      <c r="H96" s="516"/>
      <c r="I96" s="606"/>
      <c r="J96" s="12"/>
      <c r="K96" s="2570"/>
      <c r="L96" s="829"/>
      <c r="M96" s="829"/>
      <c r="N96" s="829"/>
    </row>
    <row r="97" spans="1:14" ht="17.649999999999999" hidden="1" customHeight="1">
      <c r="A97" s="10"/>
      <c r="B97" s="578"/>
      <c r="C97" s="578"/>
      <c r="D97" s="829" t="s">
        <v>872</v>
      </c>
      <c r="E97" s="17"/>
      <c r="F97" s="17"/>
      <c r="G97" s="17"/>
      <c r="H97" s="17"/>
      <c r="I97" s="606"/>
      <c r="J97" s="12"/>
      <c r="K97" s="2570"/>
      <c r="L97" s="829"/>
      <c r="M97" s="829"/>
      <c r="N97" s="829"/>
    </row>
    <row r="98" spans="1:14" ht="17.649999999999999" hidden="1" customHeight="1">
      <c r="A98" s="10"/>
      <c r="B98" s="578"/>
      <c r="C98" s="578"/>
      <c r="D98" s="17"/>
      <c r="E98" s="2576"/>
      <c r="F98" s="2576"/>
      <c r="G98" s="2576"/>
      <c r="H98" s="2576"/>
      <c r="I98" s="606"/>
      <c r="J98" s="12"/>
      <c r="K98" s="2570"/>
      <c r="L98" s="829"/>
      <c r="M98" s="829"/>
      <c r="N98" s="829"/>
    </row>
    <row r="99" spans="1:14" ht="10.5" hidden="1" customHeight="1">
      <c r="A99" s="10"/>
      <c r="B99" s="578"/>
      <c r="C99" s="578"/>
      <c r="D99" s="17"/>
      <c r="E99" s="17"/>
      <c r="F99" s="17"/>
      <c r="G99" s="17"/>
      <c r="H99" s="17"/>
      <c r="I99" s="606"/>
      <c r="J99" s="12"/>
      <c r="K99" s="2571"/>
      <c r="L99" s="855"/>
      <c r="M99" s="855"/>
      <c r="N99" s="829"/>
    </row>
    <row r="100" spans="1:14" ht="17.649999999999999" hidden="1" customHeight="1">
      <c r="A100" s="8"/>
      <c r="B100" s="580" t="str">
        <f>IF($K$100=0,"",MAX(B$71:B99)+1)</f>
        <v/>
      </c>
      <c r="C100" s="865" t="s">
        <v>873</v>
      </c>
      <c r="D100" s="583"/>
      <c r="E100" s="583"/>
      <c r="F100" s="583"/>
      <c r="G100" s="582"/>
      <c r="H100" s="582"/>
      <c r="I100" s="606"/>
      <c r="J100" s="12"/>
      <c r="K100" s="2569">
        <v>0</v>
      </c>
      <c r="L100" s="855"/>
      <c r="M100" s="855"/>
      <c r="N100" s="1949" t="str">
        <f>"Controls Rows "&amp;TEXT(ROW($A100),"0")&amp;":"&amp;TEXT(ROW($A101),"0")</f>
        <v>Controls Rows 100:101</v>
      </c>
    </row>
    <row r="101" spans="1:14" ht="63" hidden="1" customHeight="1">
      <c r="A101" s="8"/>
      <c r="B101" s="578"/>
      <c r="C101" s="578"/>
      <c r="D101" s="2544" t="s">
        <v>874</v>
      </c>
      <c r="E101" s="2544"/>
      <c r="F101" s="2544"/>
      <c r="G101" s="2544"/>
      <c r="H101" s="2544"/>
      <c r="I101" s="606"/>
      <c r="J101" s="12"/>
      <c r="K101" s="2571"/>
      <c r="L101" s="855"/>
      <c r="M101" s="855"/>
    </row>
    <row r="102" spans="1:14" ht="17.649999999999999" hidden="1" customHeight="1">
      <c r="A102" s="8"/>
      <c r="B102" s="580" t="str">
        <f>IF($K$102=0,"",MAX(B$71:B101)+1)</f>
        <v/>
      </c>
      <c r="C102" s="578" t="s">
        <v>875</v>
      </c>
      <c r="D102" s="826"/>
      <c r="E102" s="826"/>
      <c r="F102" s="826"/>
      <c r="G102" s="826"/>
      <c r="H102" s="826"/>
      <c r="I102" s="606"/>
      <c r="J102" s="12"/>
      <c r="K102" s="2569">
        <v>0</v>
      </c>
      <c r="L102" s="855"/>
      <c r="M102" s="855"/>
      <c r="N102" s="1949" t="str">
        <f>"Controls Rows "&amp;TEXT(ROW($A102),"0")&amp;":"&amp;TEXT(ROW($A103),"0")</f>
        <v>Controls Rows 102:103</v>
      </c>
    </row>
    <row r="103" spans="1:14" ht="35.25" hidden="1" customHeight="1">
      <c r="A103" s="8"/>
      <c r="B103" s="578"/>
      <c r="C103" s="578"/>
      <c r="D103" s="2544" t="s">
        <v>2206</v>
      </c>
      <c r="E103" s="2544"/>
      <c r="F103" s="2544"/>
      <c r="G103" s="2544"/>
      <c r="H103" s="2544"/>
      <c r="I103" s="606"/>
      <c r="J103" s="12"/>
      <c r="K103" s="2571"/>
      <c r="L103" s="855"/>
      <c r="M103" s="855"/>
    </row>
    <row r="104" spans="1:14" ht="17.649999999999999" hidden="1" customHeight="1">
      <c r="A104" s="8"/>
      <c r="B104" s="580" t="str">
        <f>IF($K$104=0,"",MAX(B$71:B103)+1)</f>
        <v/>
      </c>
      <c r="C104" s="865" t="s">
        <v>876</v>
      </c>
      <c r="D104" s="582"/>
      <c r="E104" s="582"/>
      <c r="F104" s="582"/>
      <c r="G104" s="582"/>
      <c r="H104" s="582"/>
      <c r="I104" s="606"/>
      <c r="J104" s="12"/>
      <c r="K104" s="2569">
        <v>0</v>
      </c>
      <c r="L104" s="855"/>
      <c r="M104" s="855"/>
      <c r="N104" s="1949" t="str">
        <f>"Controls Rows "&amp;TEXT(ROW($A104),"0")&amp;":"&amp;TEXT(ROW($A106),"0")</f>
        <v>Controls Rows 104:106</v>
      </c>
    </row>
    <row r="105" spans="1:14" ht="30" hidden="1" customHeight="1">
      <c r="A105" s="8"/>
      <c r="B105" s="578"/>
      <c r="C105" s="578"/>
      <c r="D105" s="2544" t="s">
        <v>877</v>
      </c>
      <c r="E105" s="2544"/>
      <c r="F105" s="2544"/>
      <c r="G105" s="2544"/>
      <c r="H105" s="2544"/>
      <c r="I105" s="606"/>
      <c r="J105" s="12"/>
      <c r="K105" s="2570"/>
      <c r="L105" s="855"/>
      <c r="M105" s="855"/>
      <c r="N105" s="829"/>
    </row>
    <row r="106" spans="1:14" ht="10.5" hidden="1" customHeight="1">
      <c r="A106" s="8"/>
      <c r="B106" s="8"/>
      <c r="C106" s="8"/>
      <c r="D106" s="8"/>
      <c r="E106" s="8"/>
      <c r="F106" s="8"/>
      <c r="G106" s="8"/>
      <c r="H106" s="8"/>
      <c r="J106" s="8"/>
      <c r="K106" s="2571"/>
      <c r="L106" s="855"/>
      <c r="M106" s="855"/>
      <c r="N106" s="8"/>
    </row>
    <row r="107" spans="1:14" ht="14.65" customHeight="1">
      <c r="A107" s="335" t="str" cm="1">
        <f t="array" ref="A107">IF(SUM($K109:$K$157)=0,"",CHAR(CODE(LOOKUP(2,1/(COUNTIF(A$70:A106,"&gt;"&amp;A$70:A106&amp;"*")=0),A$70:A106))+1))</f>
        <v>b</v>
      </c>
      <c r="B107" s="2577" t="s">
        <v>878</v>
      </c>
      <c r="C107" s="2577"/>
      <c r="D107" s="2577"/>
      <c r="E107" s="2577"/>
      <c r="F107" s="2577"/>
      <c r="G107" s="2577"/>
      <c r="H107" s="2577"/>
      <c r="J107" s="8"/>
      <c r="K107" s="2644" t="s">
        <v>2737</v>
      </c>
      <c r="L107" s="855"/>
      <c r="M107" s="855"/>
      <c r="N107" s="8"/>
    </row>
    <row r="108" spans="1:14" ht="20.25" customHeight="1">
      <c r="A108" s="8"/>
      <c r="B108" s="842" t="str">
        <f>"(1)"</f>
        <v>(1)</v>
      </c>
      <c r="C108" s="2544" t="s">
        <v>879</v>
      </c>
      <c r="D108" s="2544"/>
      <c r="E108" s="2544"/>
      <c r="F108" s="2544"/>
      <c r="G108" s="2544"/>
      <c r="H108" s="2544"/>
      <c r="J108" s="8"/>
      <c r="K108" s="2645"/>
      <c r="L108" s="855"/>
      <c r="M108" s="855"/>
      <c r="N108" s="8"/>
    </row>
    <row r="109" spans="1:14" ht="17.649999999999999" customHeight="1">
      <c r="A109" s="8"/>
      <c r="B109" s="13"/>
      <c r="C109" s="13"/>
      <c r="D109" s="2578"/>
      <c r="E109" s="2578"/>
      <c r="F109" s="2578"/>
      <c r="G109" s="2578"/>
      <c r="H109" s="2578"/>
      <c r="J109" s="8"/>
      <c r="K109" s="2645"/>
    </row>
    <row r="110" spans="1:14" ht="17.649999999999999" customHeight="1">
      <c r="A110" s="8"/>
      <c r="B110" s="13"/>
      <c r="C110" s="13"/>
      <c r="D110" s="2580"/>
      <c r="E110" s="2580"/>
      <c r="F110" s="2580"/>
      <c r="G110" s="2580"/>
      <c r="H110" s="2580"/>
      <c r="J110" s="8"/>
      <c r="K110" s="2645"/>
    </row>
    <row r="111" spans="1:14" ht="17.649999999999999" customHeight="1">
      <c r="A111" s="8"/>
      <c r="B111" s="13"/>
      <c r="C111" s="13"/>
      <c r="D111" s="2580"/>
      <c r="E111" s="2580"/>
      <c r="F111" s="2580"/>
      <c r="G111" s="2580"/>
      <c r="H111" s="2580"/>
      <c r="J111" s="8"/>
      <c r="K111" s="2645"/>
    </row>
    <row r="112" spans="1:14" ht="10.5" customHeight="1">
      <c r="A112" s="8"/>
      <c r="B112" s="8"/>
      <c r="C112" s="8"/>
      <c r="D112" s="8"/>
      <c r="E112" s="846"/>
      <c r="F112" s="846"/>
      <c r="G112" s="846"/>
      <c r="H112" s="846"/>
      <c r="J112" s="8"/>
      <c r="K112" s="2645"/>
    </row>
    <row r="113" spans="1:17" ht="45" customHeight="1">
      <c r="A113" s="8"/>
      <c r="B113" s="842" t="str">
        <f>"(2)"</f>
        <v>(2)</v>
      </c>
      <c r="C113" s="2544" t="s">
        <v>2520</v>
      </c>
      <c r="D113" s="2544"/>
      <c r="E113" s="2544"/>
      <c r="F113" s="2544"/>
      <c r="G113" s="2544"/>
      <c r="H113" s="2544"/>
      <c r="J113" s="846"/>
      <c r="K113" s="2645"/>
      <c r="L113" s="855"/>
      <c r="M113" s="855"/>
      <c r="N113" s="846"/>
    </row>
    <row r="114" spans="1:17" ht="10.5" customHeight="1">
      <c r="A114" s="8"/>
      <c r="B114" s="8"/>
      <c r="C114" s="8"/>
      <c r="D114" s="8"/>
      <c r="E114" s="846"/>
      <c r="F114" s="846"/>
      <c r="G114" s="846"/>
      <c r="H114" s="8"/>
      <c r="J114" s="8"/>
      <c r="K114" s="2645"/>
      <c r="L114" s="855"/>
      <c r="M114" s="855"/>
      <c r="N114" s="8"/>
    </row>
    <row r="115" spans="1:17" ht="17.649999999999999" customHeight="1">
      <c r="A115" s="8"/>
      <c r="B115" s="842" t="str">
        <f>"(3)"</f>
        <v>(3)</v>
      </c>
      <c r="C115" s="2544" t="s">
        <v>2311</v>
      </c>
      <c r="D115" s="2544"/>
      <c r="E115" s="2544"/>
      <c r="F115" s="2544"/>
      <c r="G115" s="2544"/>
      <c r="H115" s="846"/>
      <c r="J115" s="8"/>
      <c r="K115" s="2645"/>
      <c r="L115" s="855"/>
      <c r="M115" s="855"/>
      <c r="N115" s="8"/>
    </row>
    <row r="116" spans="1:17" ht="17.649999999999999" customHeight="1">
      <c r="A116" s="8"/>
      <c r="B116" s="69"/>
      <c r="C116" s="78" t="s">
        <v>860</v>
      </c>
      <c r="D116" s="17" t="str">
        <f>IF(N116=0,"Required Developer Experience","Previous Affordable Housing Experience Funding Preference")</f>
        <v>Required Developer Experience</v>
      </c>
      <c r="E116" s="826"/>
      <c r="F116" s="826"/>
      <c r="G116" s="826"/>
      <c r="H116" s="846"/>
      <c r="J116" s="8"/>
      <c r="K116" s="2646"/>
      <c r="L116" s="855"/>
      <c r="M116" s="855"/>
      <c r="N116" s="2001">
        <v>0</v>
      </c>
    </row>
    <row r="117" spans="1:17" ht="50.25" hidden="1" customHeight="1">
      <c r="A117" s="8"/>
      <c r="B117" s="69"/>
      <c r="C117" s="78"/>
      <c r="D117" s="2544" t="s">
        <v>880</v>
      </c>
      <c r="E117" s="2544"/>
      <c r="F117" s="2544"/>
      <c r="G117" s="2544"/>
      <c r="H117" s="2544"/>
      <c r="J117" s="8"/>
      <c r="K117" s="2569">
        <v>0</v>
      </c>
      <c r="L117" s="855"/>
      <c r="M117" s="855"/>
      <c r="N117" s="1949" t="str">
        <f>"Controls Rows "&amp;TEXT(ROW($A117),"0")&amp;":"&amp;TEXT(ROW($A121),"0")&amp;". Only for RFA 106."</f>
        <v>Controls Rows 117:121. Only for RFA 106.</v>
      </c>
    </row>
    <row r="118" spans="1:17" ht="17.649999999999999" hidden="1" customHeight="1">
      <c r="A118" s="8"/>
      <c r="B118" s="69"/>
      <c r="C118" s="78"/>
      <c r="D118" s="17"/>
      <c r="E118" s="655" t="s">
        <v>280</v>
      </c>
      <c r="F118" s="826"/>
      <c r="G118" s="826"/>
      <c r="H118" s="846"/>
      <c r="J118" s="8"/>
      <c r="K118" s="2570"/>
      <c r="L118" s="846"/>
      <c r="M118" s="846"/>
      <c r="N118" s="2660"/>
    </row>
    <row r="119" spans="1:17" ht="10.5" hidden="1" customHeight="1">
      <c r="A119" s="8"/>
      <c r="B119" s="69"/>
      <c r="C119" s="78"/>
      <c r="D119" s="17"/>
      <c r="E119" s="516"/>
      <c r="F119" s="826"/>
      <c r="G119" s="826"/>
      <c r="H119" s="846"/>
      <c r="J119" s="8"/>
      <c r="K119" s="2570"/>
      <c r="L119" s="855"/>
      <c r="M119" s="855"/>
      <c r="N119" s="2660"/>
    </row>
    <row r="120" spans="1:17" ht="17.649999999999999" hidden="1" customHeight="1">
      <c r="A120" s="8"/>
      <c r="B120" s="69"/>
      <c r="C120" s="78"/>
      <c r="D120" s="6" t="s">
        <v>881</v>
      </c>
      <c r="E120" s="846"/>
      <c r="F120" s="826"/>
      <c r="G120" s="826"/>
      <c r="H120" s="846"/>
      <c r="J120" s="8"/>
      <c r="K120" s="2570"/>
      <c r="L120" s="855"/>
      <c r="M120" s="855"/>
      <c r="N120" s="2660"/>
    </row>
    <row r="121" spans="1:17" ht="10.5" hidden="1" customHeight="1">
      <c r="A121" s="8"/>
      <c r="B121" s="69"/>
      <c r="C121" s="78"/>
      <c r="E121" s="846"/>
      <c r="F121" s="826"/>
      <c r="G121" s="826"/>
      <c r="H121" s="846"/>
      <c r="J121" s="8"/>
      <c r="K121" s="2571"/>
      <c r="L121" s="855"/>
      <c r="M121" s="855"/>
      <c r="N121" s="2661"/>
    </row>
    <row r="122" spans="1:17" ht="50.25" customHeight="1">
      <c r="A122" s="8"/>
      <c r="B122" s="8"/>
      <c r="C122" s="78"/>
      <c r="D122" s="2544" t="str">
        <f>"At least one Developer entity named in (1) above must meet the Developer experience outlined in Section Four of the RFA. "&amp;IF($K$4=0,"The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22" s="2544"/>
      <c r="F122" s="2544"/>
      <c r="G122" s="2544"/>
      <c r="H122" s="2544"/>
      <c r="J122" s="846"/>
      <c r="K122" s="2644" t="s">
        <v>2737</v>
      </c>
      <c r="L122" s="855"/>
      <c r="M122" s="855"/>
      <c r="N122" s="2019" t="s">
        <v>2744</v>
      </c>
    </row>
    <row r="123" spans="1:17" ht="32.25" customHeight="1">
      <c r="A123" s="8"/>
      <c r="B123" s="8"/>
      <c r="C123" s="8"/>
      <c r="D123" s="2579" t="s">
        <v>882</v>
      </c>
      <c r="E123" s="2579"/>
      <c r="F123" s="2579"/>
      <c r="G123" s="2547"/>
      <c r="H123" s="2547"/>
      <c r="J123" s="8"/>
      <c r="K123" s="2645"/>
    </row>
    <row r="124" spans="1:17" ht="32.25" customHeight="1">
      <c r="A124" s="8"/>
      <c r="B124" s="8"/>
      <c r="C124" s="8"/>
      <c r="D124" s="2579" t="s">
        <v>883</v>
      </c>
      <c r="E124" s="2579"/>
      <c r="F124" s="2579"/>
      <c r="G124" s="2543"/>
      <c r="H124" s="2543"/>
      <c r="J124" s="8"/>
      <c r="K124" s="2646"/>
      <c r="Q124" s="2671" t="s">
        <v>2738</v>
      </c>
    </row>
    <row r="125" spans="1:17" ht="32.25" hidden="1" customHeight="1">
      <c r="A125" s="8"/>
      <c r="B125" s="8"/>
      <c r="C125" s="8"/>
      <c r="D125" s="2574" t="s">
        <v>2204</v>
      </c>
      <c r="E125" s="2574"/>
      <c r="F125" s="2574"/>
      <c r="G125" s="2575"/>
      <c r="H125" s="2575"/>
      <c r="J125" s="8"/>
      <c r="K125" s="2002">
        <v>0</v>
      </c>
      <c r="L125" s="50"/>
      <c r="M125" s="50"/>
      <c r="N125" s="2549" t="str">
        <f>"Controls this one row. If both K"&amp;TEXT(ROW($A125),"0")&amp;" &amp; K"&amp;TEXT(ROW($A126),"0")&amp;" are off, Rows "&amp;TEXT(ROW($A127),"0")&amp;":"&amp;TEXT(ROW($A128),"0")&amp;" are also turned off"</f>
        <v>Controls this one row. If both K125 &amp; K126 are off, Rows 127:128 are also turned off</v>
      </c>
      <c r="O125" s="2549"/>
      <c r="P125" s="2649"/>
      <c r="Q125" s="2672"/>
    </row>
    <row r="126" spans="1:17" ht="32.25" hidden="1" customHeight="1">
      <c r="A126" s="8"/>
      <c r="B126" s="8"/>
      <c r="C126" s="8"/>
      <c r="D126" s="2612" t="s">
        <v>2470</v>
      </c>
      <c r="E126" s="2612"/>
      <c r="F126" s="2612"/>
      <c r="G126" s="2547"/>
      <c r="H126" s="2547"/>
      <c r="J126" s="8"/>
      <c r="K126" s="1993">
        <v>0</v>
      </c>
      <c r="L126" s="50"/>
      <c r="M126" s="50"/>
      <c r="N126" s="2549" t="str">
        <f>"Controls this one row. If both K"&amp;TEXT(ROW($A125),"0")&amp;" &amp; K"&amp;TEXT(ROW($A126),"0")&amp;" are off, Rows "&amp;TEXT(ROW($A127),"0")&amp;":"&amp;TEXT(ROW($A128),"0")&amp;" are also turned off"</f>
        <v>Controls this one row. If both K125 &amp; K126 are off, Rows 127:128 are also turned off</v>
      </c>
      <c r="O126" s="2549"/>
      <c r="P126" s="2649"/>
      <c r="Q126" s="2672"/>
    </row>
    <row r="127" spans="1:17" ht="10.5" hidden="1" customHeight="1">
      <c r="A127" s="8"/>
      <c r="B127" s="8"/>
      <c r="C127" s="8"/>
      <c r="D127" s="8"/>
      <c r="E127" s="846"/>
      <c r="F127" s="846"/>
      <c r="G127" s="846"/>
      <c r="H127" s="846"/>
      <c r="J127" s="8"/>
      <c r="K127" s="2642">
        <f>IF(K125+K126&gt;0,1,0)</f>
        <v>0</v>
      </c>
      <c r="L127" s="855"/>
      <c r="M127" s="855"/>
      <c r="N127" s="2549" t="str">
        <f>"Controlled by Rows "&amp;TEXT(ROW($A125),"0")&amp;":"&amp;TEXT(ROW($A126),"0")</f>
        <v>Controlled by Rows 125:126</v>
      </c>
      <c r="Q127" s="2672"/>
    </row>
    <row r="128" spans="1:17" ht="35.25" hidden="1" customHeight="1">
      <c r="A128" s="8"/>
      <c r="B128" s="8"/>
      <c r="C128" s="8"/>
      <c r="D128" s="2544"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8" s="2544"/>
      <c r="F128" s="2544"/>
      <c r="G128" s="2544"/>
      <c r="H128" s="2544"/>
      <c r="J128" s="8"/>
      <c r="K128" s="2643"/>
      <c r="L128" s="855"/>
      <c r="M128" s="855"/>
      <c r="N128" s="2549"/>
      <c r="Q128" s="2673"/>
    </row>
    <row r="129" spans="1:23" ht="36" customHeight="1">
      <c r="A129" s="8"/>
      <c r="B129" s="8"/>
      <c r="C129" s="8"/>
      <c r="D129" s="79" t="s">
        <v>884</v>
      </c>
      <c r="E129" s="2544" t="str">
        <f>"First development "&amp;IF(Data1!E$120&lt;2,"","out of "&amp;CHOOSE(Data1!E$120,"one ","two ","three ","four ","five "))&amp;"that meet"&amp;IF(Data1!E$120&lt;2,"s","")&amp;" the Developer experience requirement outlined in Section Four, A.3.b.(3)(a) of the RFA:"</f>
        <v>First development that meets the Developer experience requirement outlined in Section Four, A.3.b.(3)(a) of the RFA:</v>
      </c>
      <c r="F129" s="2544"/>
      <c r="G129" s="2544"/>
      <c r="H129" s="2544"/>
      <c r="I129" s="15"/>
      <c r="J129" s="238"/>
      <c r="K129" s="2647" t="s">
        <v>2737</v>
      </c>
      <c r="L129" s="2648"/>
      <c r="N129" s="2650" t="str">
        <f>"Cell K"&amp;TEXT(ROW($A130),"0")&amp;" controls Rows "&amp;TEXT(ROW($A130),"0")&amp;":"&amp;TEXT(ROW($A137),"0")&amp;" [Subsection Master (i)]. Otherwise each row is controlled separately."</f>
        <v>Cell K130 controls Rows 130:137 [Subsection Master (i)]. Otherwise each row is controlled separately.</v>
      </c>
      <c r="O129" s="2650"/>
      <c r="P129" s="2650"/>
      <c r="Q129" s="1053">
        <v>1</v>
      </c>
    </row>
    <row r="130" spans="1:23" ht="17.649999999999999" customHeight="1">
      <c r="A130" s="8"/>
      <c r="B130" s="8"/>
      <c r="C130" s="2546" t="s">
        <v>885</v>
      </c>
      <c r="D130" s="2546"/>
      <c r="E130" s="2546"/>
      <c r="F130" s="2541"/>
      <c r="G130" s="2541"/>
      <c r="H130" s="2541"/>
      <c r="I130" s="857"/>
      <c r="J130" s="82"/>
      <c r="K130" s="2569">
        <v>1</v>
      </c>
      <c r="L130" s="2005">
        <v>1</v>
      </c>
      <c r="M130" s="2004">
        <f>IF(OR(K$130=0,$L130=0),0,IF(DevExp_Natural_Person_Meets="Yes",1,L130))</f>
        <v>1</v>
      </c>
      <c r="N130" s="2651" t="s">
        <v>2750</v>
      </c>
      <c r="O130" s="2652"/>
      <c r="P130" s="2652"/>
    </row>
    <row r="131" spans="1:23" ht="17.649999999999999" customHeight="1">
      <c r="A131" s="8"/>
      <c r="B131" s="8"/>
      <c r="C131" s="2545" t="s">
        <v>3177</v>
      </c>
      <c r="D131" s="2545"/>
      <c r="E131" s="2545"/>
      <c r="F131" s="2542"/>
      <c r="G131" s="2542"/>
      <c r="H131" s="2542"/>
      <c r="I131" s="857"/>
      <c r="J131" s="82"/>
      <c r="K131" s="2570"/>
      <c r="L131" s="2005">
        <v>1</v>
      </c>
      <c r="M131" s="2004">
        <f>IF(OR(K$130=0,$L131=0),0,IF(DevExp_Natural_Person_Meets="Yes",1,L131))</f>
        <v>1</v>
      </c>
      <c r="N131" s="2651" t="s">
        <v>2750</v>
      </c>
      <c r="O131" s="2652"/>
      <c r="P131" s="2652"/>
    </row>
    <row r="132" spans="1:23" ht="17.649999999999999" customHeight="1">
      <c r="A132" s="8"/>
      <c r="B132" s="8"/>
      <c r="C132" s="2545" t="s">
        <v>3178</v>
      </c>
      <c r="D132" s="2545"/>
      <c r="E132" s="2545"/>
      <c r="F132" s="2542" t="s">
        <v>41</v>
      </c>
      <c r="G132" s="2542"/>
      <c r="H132" s="2542"/>
      <c r="I132" s="857"/>
      <c r="J132" s="82"/>
      <c r="K132" s="2570"/>
      <c r="L132" s="2005">
        <v>1</v>
      </c>
      <c r="M132" s="2004">
        <f>IF(OR(K$130=0,$L132=0),0,IF(DevExp_Natural_Person_Meets="Yes",1,L132))</f>
        <v>1</v>
      </c>
      <c r="N132" s="2653" t="s">
        <v>2750</v>
      </c>
      <c r="O132" s="2650"/>
      <c r="P132" s="2650"/>
      <c r="Q132" s="733"/>
    </row>
    <row r="133" spans="1:23" ht="45" hidden="1" customHeight="1">
      <c r="A133" s="8"/>
      <c r="B133" s="8"/>
      <c r="C133" s="2546" t="str">
        <f>IF(AND($F133&lt;&gt;"",$F133&lt;&gt;$G$123,$F133&lt;&gt;$G$125),"Name entered does NOT match name(s) above","Name of natural person Principal associated with Development*")</f>
        <v>Name of natural person Principal associated with Development*</v>
      </c>
      <c r="D133" s="2546"/>
      <c r="E133" s="2546"/>
      <c r="F133" s="2542"/>
      <c r="G133" s="2542"/>
      <c r="H133" s="2542"/>
      <c r="I133" s="857"/>
      <c r="J133" s="82"/>
      <c r="K133" s="2570"/>
      <c r="L133" s="2005">
        <v>0</v>
      </c>
      <c r="M133" s="2004">
        <f>IF(OR(K$130=0,$L133=0),0,IF(AND(DevExp_Natural_Person_Meets="Yes",DevExp_natural_person_additional&lt;&gt;""),1,L133))</f>
        <v>0</v>
      </c>
      <c r="N133" s="2653" t="s">
        <v>2751</v>
      </c>
      <c r="O133" s="2650"/>
      <c r="P133" s="2650"/>
      <c r="Q133" s="312"/>
    </row>
    <row r="134" spans="1:23" ht="38.25" customHeight="1">
      <c r="A134" s="8"/>
      <c r="B134" s="8"/>
      <c r="C134" s="2546" t="s">
        <v>887</v>
      </c>
      <c r="D134" s="2546"/>
      <c r="E134" s="2546"/>
      <c r="F134" s="776" t="s">
        <v>41</v>
      </c>
      <c r="G134" s="2540" t="s">
        <v>890</v>
      </c>
      <c r="H134" s="2540"/>
      <c r="I134" s="857"/>
      <c r="J134" s="8"/>
      <c r="K134" s="2570"/>
      <c r="L134" s="2005">
        <v>1</v>
      </c>
      <c r="M134" s="2004">
        <f>IF(RIGHT(Data1!$F$7,3)&lt;&gt;"213",IF(OR(L$134=0,$K130=0),0,IF(AND(F134="&lt;select one&gt;",IFERROR(FIND("Live Local",C135),0)&gt;0),3,IF(DevExp_Natural_Person_Meets="Yes",L134))),3)</f>
        <v>1</v>
      </c>
      <c r="N134" s="2653" t="s">
        <v>2751</v>
      </c>
      <c r="O134" s="2650"/>
      <c r="P134" s="2654"/>
      <c r="Q134" s="1053" t="str">
        <f>Data1!I$129</f>
        <v>Prgm-NS</v>
      </c>
      <c r="W134" s="312"/>
    </row>
    <row r="135" spans="1:23" ht="40.15" customHeight="1">
      <c r="A135" s="8"/>
      <c r="B135" s="8"/>
      <c r="C135" s="2546" t="str">
        <f>IF(RIGHT(Data1!$F$7,3)&lt;&gt;"213","If 'Other' is selected above, enter the name of the program","Live Local Multifamily Rental Development Experience:")</f>
        <v>If 'Other' is selected above, enter the name of the program</v>
      </c>
      <c r="D135" s="2546"/>
      <c r="E135" s="2546"/>
      <c r="F135" s="2541"/>
      <c r="G135" s="2541"/>
      <c r="H135" s="2541"/>
      <c r="I135" s="857"/>
      <c r="J135" s="8"/>
      <c r="K135" s="2570"/>
      <c r="L135" s="2005">
        <v>1</v>
      </c>
      <c r="M135" s="2004">
        <f>IF(OR(K$130=0,$L135=0),0,IF(AND(F134&lt;&gt;"&lt;select one&gt;",F134&lt;&gt;"Other"),3,IF(F134="Other",1,IF(F134="&lt;select one&gt;",L135,IF(DevExp_Natural_Person_Meets="Yes",L135,3)))))</f>
        <v>1</v>
      </c>
      <c r="N135" s="2653" t="s">
        <v>2751</v>
      </c>
      <c r="O135" s="2650"/>
      <c r="P135" s="2650"/>
      <c r="Q135" s="50"/>
      <c r="W135" s="312"/>
    </row>
    <row r="136" spans="1:23" ht="50.25" customHeight="1">
      <c r="A136" s="8"/>
      <c r="B136" s="8"/>
      <c r="C136" s="2546" t="s">
        <v>888</v>
      </c>
      <c r="D136" s="2546"/>
      <c r="E136" s="2546"/>
      <c r="F136" s="843"/>
      <c r="G136" s="2540"/>
      <c r="H136" s="2540"/>
      <c r="I136" s="857"/>
      <c r="J136" s="8"/>
      <c r="K136" s="2570"/>
      <c r="L136" s="2005">
        <v>1</v>
      </c>
      <c r="M136" s="2004">
        <f>IF(OR(K$130=0,$L136=0),0,IF(DevExp_Natural_Person_Meets="Yes",1,L136))</f>
        <v>1</v>
      </c>
      <c r="N136" s="2653" t="s">
        <v>2750</v>
      </c>
      <c r="O136" s="2650"/>
      <c r="P136" s="2654"/>
      <c r="Q136" s="2003" t="str">
        <f>Data1!I$135</f>
        <v>Units-SNB</v>
      </c>
      <c r="W136" s="312"/>
    </row>
    <row r="137" spans="1:23" ht="85.15" customHeight="1">
      <c r="A137" s="8"/>
      <c r="B137" s="8"/>
      <c r="C137" s="2546" t="str">
        <f>"Year Completed:
(can be no earlier than "&amp;TEXT(IF(Data1!I$130="Yes",DS_DevExp_PrgmSinceDate,DS_DevExp_SinceDate),"yyyy")&amp;")"</f>
        <v>Year Completed:
(can be no earlier than 2006)</v>
      </c>
      <c r="D137" s="2546"/>
      <c r="E137" s="2546"/>
      <c r="F137" s="656"/>
      <c r="G137" s="2540" t="str">
        <f>IF(C137&lt;&gt;"","",IF(OR(AND(DevExp_first_Dev_State&lt;&gt;"&lt;select one&gt;",DevExp_first_Dev_State&lt;&gt;"FL"),AND(N(DevExp_first_Dev_year)&lt;&gt;0,N(DevExp_first_Dev_year)&lt;2016)),"The Applicants, Developers and Principals of Applicants and Developers of this Application will be limited to an award of one Priorty 1 Application.",""))</f>
        <v/>
      </c>
      <c r="H137" s="2540"/>
      <c r="I137" s="857"/>
      <c r="J137" s="8"/>
      <c r="K137" s="2570"/>
      <c r="L137" s="2213">
        <v>1</v>
      </c>
      <c r="M137" s="2205">
        <f>IF(OR(K$130=0,$L137=0),0,IF(DevExp_Natural_Person_Meets="Yes",1,L137))</f>
        <v>1</v>
      </c>
      <c r="N137" s="2653" t="s">
        <v>3249</v>
      </c>
      <c r="O137" s="2650"/>
      <c r="P137" s="2654"/>
      <c r="Q137" s="1053" t="str">
        <f ca="1">Data1!I$124</f>
        <v>Gen-SNB</v>
      </c>
      <c r="R137" s="50"/>
    </row>
    <row r="138" spans="1:23" ht="10.5" customHeight="1">
      <c r="A138" s="8"/>
      <c r="B138" s="8"/>
      <c r="C138" s="8"/>
      <c r="D138" s="8"/>
      <c r="E138" s="836"/>
      <c r="F138" s="84"/>
      <c r="G138" s="14"/>
      <c r="H138" s="42"/>
      <c r="I138" s="857"/>
      <c r="J138" s="8"/>
      <c r="K138" s="2647" t="s">
        <v>2737</v>
      </c>
      <c r="L138" s="2689"/>
      <c r="M138" s="2648"/>
      <c r="N138" s="8"/>
    </row>
    <row r="139" spans="1:23" ht="32.25" hidden="1" customHeight="1">
      <c r="A139" s="8"/>
      <c r="B139" s="8"/>
      <c r="C139" s="8"/>
      <c r="D139" s="79" t="s">
        <v>889</v>
      </c>
      <c r="E139" s="2544" t="str">
        <f>"Second development "&amp;IF(Data1!E$120&lt;2,"","out of "&amp;CHOOSE(Data1!E$120,"one ","two ","three ","four ","five "))&amp;"that meet"&amp;IF(Data1!E$120&lt;2,"s","")&amp;" the Developer experience requirement outlined in Section Four, A.3.b.(3)(a) of the RFA:"</f>
        <v>Second development that meets the Developer experience requirement outlined in Section Four, A.3.b.(3)(a) of the RFA:</v>
      </c>
      <c r="F139" s="2544"/>
      <c r="G139" s="2544"/>
      <c r="H139" s="2544"/>
      <c r="I139" s="857"/>
      <c r="J139" s="8"/>
      <c r="K139" s="2570">
        <v>0</v>
      </c>
      <c r="L139" s="855"/>
      <c r="M139" s="855"/>
      <c r="N139" s="2675" t="str">
        <f>"Controls Rows "&amp;TEXT(ROW($A139),"0")&amp;":"&amp;TEXT(ROW($A148),"0")&amp;" [Subsection Master (ii)]. Otherwise each row is controlled separately."</f>
        <v>Controls Rows 139:148 [Subsection Master (ii)]. Otherwise each row is controlled separately.</v>
      </c>
      <c r="O139" s="2675"/>
      <c r="P139" s="2698"/>
      <c r="Q139" s="1053">
        <f ca="1">COUNTIF(Q$129:Q138,"&gt;0")+1</f>
        <v>2</v>
      </c>
    </row>
    <row r="140" spans="1:23" ht="17.649999999999999" hidden="1" customHeight="1">
      <c r="A140" s="8"/>
      <c r="B140" s="8"/>
      <c r="C140" s="2546" t="s">
        <v>885</v>
      </c>
      <c r="D140" s="2546"/>
      <c r="E140" s="2546"/>
      <c r="F140" s="2547"/>
      <c r="G140" s="2547"/>
      <c r="H140" s="2547"/>
      <c r="I140" s="857"/>
      <c r="J140" s="8"/>
      <c r="K140" s="2570"/>
      <c r="L140" s="2000">
        <v>1</v>
      </c>
      <c r="M140" s="2006">
        <f>IF(K$139=0,0,L140)</f>
        <v>0</v>
      </c>
      <c r="N140" s="2675" t="s">
        <v>2752</v>
      </c>
      <c r="O140" s="2675"/>
      <c r="P140" s="2675"/>
    </row>
    <row r="141" spans="1:23" ht="17.649999999999999" hidden="1" customHeight="1">
      <c r="A141" s="8"/>
      <c r="B141" s="8"/>
      <c r="C141" s="2546" t="s">
        <v>3177</v>
      </c>
      <c r="D141" s="2546"/>
      <c r="E141" s="2546"/>
      <c r="F141" s="2543"/>
      <c r="G141" s="2543"/>
      <c r="H141" s="2543"/>
      <c r="I141" s="857"/>
      <c r="J141" s="8"/>
      <c r="K141" s="2570"/>
      <c r="L141" s="2000">
        <v>1</v>
      </c>
      <c r="M141" s="2006">
        <f>IF(K$139=0,0,L141)</f>
        <v>0</v>
      </c>
      <c r="N141" s="2675" t="s">
        <v>2752</v>
      </c>
      <c r="O141" s="2675"/>
      <c r="P141" s="2675"/>
    </row>
    <row r="142" spans="1:23" ht="17.649999999999999" hidden="1" customHeight="1">
      <c r="A142" s="8"/>
      <c r="B142" s="8"/>
      <c r="C142" s="2545" t="s">
        <v>3178</v>
      </c>
      <c r="D142" s="2545"/>
      <c r="E142" s="2545"/>
      <c r="F142" s="2543" t="s">
        <v>41</v>
      </c>
      <c r="G142" s="2543"/>
      <c r="H142" s="2543"/>
      <c r="I142" s="857"/>
      <c r="J142" s="8"/>
      <c r="K142" s="2570"/>
      <c r="L142" s="2000">
        <v>1</v>
      </c>
      <c r="M142" s="2006">
        <f>IF(K$139=0,0,L142)</f>
        <v>0</v>
      </c>
      <c r="N142" s="2675" t="s">
        <v>2752</v>
      </c>
      <c r="O142" s="2675"/>
      <c r="P142" s="2675"/>
    </row>
    <row r="143" spans="1:23" ht="45" hidden="1" customHeight="1">
      <c r="A143" s="8"/>
      <c r="B143" s="8"/>
      <c r="C143" s="2546" t="str">
        <f>IF(AND($F143&lt;&gt;"",$F143&lt;&gt;$G$123,$F143&lt;&gt;$G$125),"Name entered does NOT match name(s) above","Name of natural person Principal associated with Development*")</f>
        <v>Name of natural person Principal associated with Development*</v>
      </c>
      <c r="D143" s="2546"/>
      <c r="E143" s="2546"/>
      <c r="F143" s="2542"/>
      <c r="G143" s="2542"/>
      <c r="H143" s="2542"/>
      <c r="I143" s="857"/>
      <c r="J143" s="82"/>
      <c r="K143" s="2570"/>
      <c r="L143" s="2000">
        <v>0</v>
      </c>
      <c r="M143" s="2006">
        <f>IF(OR(K$139=0,$L143=0),0,IF(AND(DevExp_Natural_Person_Meets="Yes",DevExp_natural_person_additional&lt;&gt;""),1,L143))</f>
        <v>0</v>
      </c>
      <c r="N143" s="2675" t="s">
        <v>2753</v>
      </c>
      <c r="O143" s="2675"/>
      <c r="P143" s="2675"/>
      <c r="Q143" s="312"/>
    </row>
    <row r="144" spans="1:23" ht="38.25" hidden="1" customHeight="1">
      <c r="A144" s="8"/>
      <c r="B144" s="8"/>
      <c r="C144" s="2546" t="str">
        <f>C134</f>
        <v>Affordable Housing Program(s) that Provided Financing</v>
      </c>
      <c r="D144" s="2546"/>
      <c r="E144" s="2546"/>
      <c r="F144" s="776" t="s">
        <v>41</v>
      </c>
      <c r="G144" s="2540" t="str">
        <f>G134</f>
        <v>If 'Other' is selected, enter the name of the program in the row below.</v>
      </c>
      <c r="H144" s="2540"/>
      <c r="I144" s="857"/>
      <c r="J144" s="8"/>
      <c r="K144" s="2570"/>
      <c r="L144" s="2000">
        <v>1</v>
      </c>
      <c r="M144" s="2006">
        <f>IF(RIGHT(Data1!$F$7,3)&lt;&gt;"213",IF(OR(L$144=0,K$139=0),0,L144),3)</f>
        <v>0</v>
      </c>
      <c r="N144" s="2675" t="s">
        <v>2753</v>
      </c>
      <c r="O144" s="2675"/>
      <c r="P144" s="2698"/>
      <c r="Q144" s="1053" t="str">
        <f>Data1!J$129</f>
        <v>Prgm-NS</v>
      </c>
    </row>
    <row r="145" spans="1:18" ht="40.15" hidden="1" customHeight="1">
      <c r="A145" s="8"/>
      <c r="B145" s="8"/>
      <c r="C145" s="2546" t="str">
        <f>C135</f>
        <v>If 'Other' is selected above, enter the name of the program</v>
      </c>
      <c r="D145" s="2546"/>
      <c r="E145" s="2546"/>
      <c r="F145" s="2541"/>
      <c r="G145" s="2541"/>
      <c r="H145" s="2541"/>
      <c r="I145" s="857"/>
      <c r="J145" s="8"/>
      <c r="K145" s="2570"/>
      <c r="L145" s="2000">
        <v>1</v>
      </c>
      <c r="M145" s="2006">
        <f>IF(OR(K$139=0,$L145=0),0,IF(AND(F144&lt;&gt;"&lt;select one&gt;",F144&lt;&gt;"Other"),3,IF(F144="Other",1,IF(F144="&lt;select one&gt;",1,IF(DevExp_Natural_Person_Meets="Yes",1,3)))))</f>
        <v>0</v>
      </c>
      <c r="N145" s="2675" t="s">
        <v>2753</v>
      </c>
      <c r="O145" s="2675"/>
      <c r="P145" s="2675"/>
      <c r="Q145" s="50"/>
    </row>
    <row r="146" spans="1:18" ht="50.25" hidden="1" customHeight="1">
      <c r="A146" s="8"/>
      <c r="B146" s="8"/>
      <c r="C146" s="2546" t="s">
        <v>888</v>
      </c>
      <c r="D146" s="2546"/>
      <c r="E146" s="2546"/>
      <c r="F146" s="843"/>
      <c r="G146" s="2540"/>
      <c r="H146" s="2540"/>
      <c r="I146" s="857"/>
      <c r="J146" s="8"/>
      <c r="K146" s="2570"/>
      <c r="L146" s="2000">
        <v>1</v>
      </c>
      <c r="M146" s="2006">
        <f>IF(K$139=0,0,L146)</f>
        <v>0</v>
      </c>
      <c r="N146" s="2675" t="s">
        <v>2752</v>
      </c>
      <c r="O146" s="2675"/>
      <c r="P146" s="2698"/>
      <c r="Q146" s="2003" t="str">
        <f>Data1!J$135</f>
        <v>Units-NS</v>
      </c>
    </row>
    <row r="147" spans="1:18" ht="85.15" hidden="1" customHeight="1">
      <c r="A147" s="8"/>
      <c r="B147" s="8"/>
      <c r="C147" s="2546" t="str">
        <f>"Year Completed:
(can be no earlier than "&amp;TEXT(IF(Data1!J$130="Yes",DS_DevExp_PrgmSinceDate,DS_DevExp_SinceDate),"yyyy")&amp;")"</f>
        <v>Year Completed:
(can be no earlier than 2006)</v>
      </c>
      <c r="D147" s="2546"/>
      <c r="E147" s="2546"/>
      <c r="F147" s="656"/>
      <c r="G147" s="2540"/>
      <c r="H147" s="2540"/>
      <c r="I147" s="857"/>
      <c r="J147" s="8"/>
      <c r="K147" s="2570"/>
      <c r="L147" s="2000">
        <v>1</v>
      </c>
      <c r="M147" s="2006">
        <f>IF(K$139=0,0,L147)</f>
        <v>0</v>
      </c>
      <c r="N147" s="2675" t="s">
        <v>2752</v>
      </c>
      <c r="O147" s="2675"/>
      <c r="P147" s="2698"/>
      <c r="Q147" s="1053" t="str">
        <f>Data1!J$124</f>
        <v>Gen-NS</v>
      </c>
      <c r="R147" s="50"/>
    </row>
    <row r="148" spans="1:18" ht="10.5" hidden="1" customHeight="1">
      <c r="A148" s="8"/>
      <c r="B148" s="8"/>
      <c r="C148" s="8"/>
      <c r="D148" s="8"/>
      <c r="E148" s="836"/>
      <c r="F148" s="84"/>
      <c r="G148" s="14"/>
      <c r="H148" s="42"/>
      <c r="I148" s="857"/>
      <c r="J148" s="8"/>
      <c r="K148" s="2571"/>
      <c r="L148" s="739"/>
      <c r="M148" s="739"/>
      <c r="N148" s="2549"/>
      <c r="O148" s="2549"/>
      <c r="P148" s="2549"/>
    </row>
    <row r="149" spans="1:18" ht="32.25" hidden="1" customHeight="1">
      <c r="A149" s="8"/>
      <c r="B149" s="8"/>
      <c r="C149" s="8"/>
      <c r="D149" s="79" t="s">
        <v>891</v>
      </c>
      <c r="E149" s="2544" t="str">
        <f>"Third development "&amp;IF(Data1!E$120&lt;2,"","out of "&amp;CHOOSE(Data1!E$120,"one ","two ","three ","four ","five "))&amp;"that meet"&amp;IF(Data1!E$120&lt;2,"s","")&amp;" the Developer experience requirement outlined in Section Four, A.3.b.(3)(a) of the RFA:"</f>
        <v>Third development that meets the Developer experience requirement outlined in Section Four, A.3.b.(3)(a) of the RFA:</v>
      </c>
      <c r="F149" s="2544"/>
      <c r="G149" s="2544"/>
      <c r="H149" s="2544"/>
      <c r="I149" s="857"/>
      <c r="J149" s="8"/>
      <c r="K149" s="2569">
        <v>0</v>
      </c>
      <c r="L149" s="855"/>
      <c r="M149" s="855"/>
      <c r="N149" s="2677" t="str">
        <f>"Controls Rows "&amp;TEXT(ROW($A149),"0")&amp;":"&amp;TEXT(ROW($A158),"0")&amp;" [Subsection Master (iii)]. Otherwise each row is controlled separately."</f>
        <v>Controls Rows 149:158 [Subsection Master (iii)]. Otherwise each row is controlled separately.</v>
      </c>
      <c r="O149" s="2677"/>
      <c r="P149" s="2678"/>
      <c r="Q149" s="1053">
        <f ca="1">COUNTIF(Q$129:Q148,"&gt;0")+1</f>
        <v>3</v>
      </c>
    </row>
    <row r="150" spans="1:18" ht="17.649999999999999" hidden="1" customHeight="1">
      <c r="A150" s="8"/>
      <c r="B150" s="8"/>
      <c r="C150" s="2546" t="s">
        <v>885</v>
      </c>
      <c r="D150" s="2546"/>
      <c r="E150" s="2546"/>
      <c r="F150" s="2541"/>
      <c r="G150" s="2541"/>
      <c r="H150" s="2541"/>
      <c r="I150" s="857"/>
      <c r="J150" s="8"/>
      <c r="K150" s="2570"/>
      <c r="L150" s="2000">
        <v>1</v>
      </c>
      <c r="M150" s="2006">
        <f>IF(K$149=0,0,L150)</f>
        <v>0</v>
      </c>
      <c r="N150" s="2676" t="s">
        <v>2754</v>
      </c>
      <c r="O150" s="2677"/>
      <c r="P150" s="2677"/>
    </row>
    <row r="151" spans="1:18" ht="17.649999999999999" hidden="1" customHeight="1">
      <c r="A151" s="8"/>
      <c r="B151" s="8"/>
      <c r="C151" s="2546" t="s">
        <v>3177</v>
      </c>
      <c r="D151" s="2546"/>
      <c r="E151" s="2546"/>
      <c r="F151" s="2542"/>
      <c r="G151" s="2542"/>
      <c r="H151" s="2542"/>
      <c r="I151" s="857"/>
      <c r="J151" s="8"/>
      <c r="K151" s="2570"/>
      <c r="L151" s="2000">
        <v>1</v>
      </c>
      <c r="M151" s="2006">
        <f>IF(K$149=0,0,L151)</f>
        <v>0</v>
      </c>
      <c r="N151" s="2676" t="s">
        <v>2754</v>
      </c>
      <c r="O151" s="2677"/>
      <c r="P151" s="2677"/>
    </row>
    <row r="152" spans="1:18" ht="17.649999999999999" hidden="1" customHeight="1">
      <c r="A152" s="8"/>
      <c r="B152" s="8"/>
      <c r="C152" s="2545" t="s">
        <v>3178</v>
      </c>
      <c r="D152" s="2545"/>
      <c r="E152" s="2545"/>
      <c r="F152" s="2542" t="s">
        <v>41</v>
      </c>
      <c r="G152" s="2542"/>
      <c r="H152" s="2542"/>
      <c r="I152" s="857"/>
      <c r="J152" s="8"/>
      <c r="K152" s="2570"/>
      <c r="L152" s="2000">
        <v>1</v>
      </c>
      <c r="M152" s="2006">
        <f>IF(K$149=0,0,L152)</f>
        <v>0</v>
      </c>
      <c r="N152" s="2676" t="s">
        <v>2754</v>
      </c>
      <c r="O152" s="2677"/>
      <c r="P152" s="2677"/>
    </row>
    <row r="153" spans="1:18" ht="45" hidden="1" customHeight="1">
      <c r="A153" s="8"/>
      <c r="B153" s="8"/>
      <c r="C153" s="2546" t="str">
        <f>IF(AND($F153&lt;&gt;"",$F153&lt;&gt;$G$123,$F153&lt;&gt;$G$125),"Name entered does NOT match name(s) above","Name of natural person Principal associated with Development*")</f>
        <v>Name of natural person Principal associated with Development*</v>
      </c>
      <c r="D153" s="2546"/>
      <c r="E153" s="2546"/>
      <c r="F153" s="2542"/>
      <c r="G153" s="2542"/>
      <c r="H153" s="2542"/>
      <c r="I153" s="857"/>
      <c r="J153" s="82"/>
      <c r="K153" s="2570"/>
      <c r="L153" s="2000">
        <v>0</v>
      </c>
      <c r="M153" s="2006">
        <f>IF(OR(K$149=0,$L153=0),0,IF(AND(DevExp_Natural_Person_Meets="Yes",DevExp_natural_person_additional&lt;&gt;""),1,L153))</f>
        <v>0</v>
      </c>
      <c r="N153" s="2676" t="s">
        <v>2755</v>
      </c>
      <c r="O153" s="2677"/>
      <c r="P153" s="2677"/>
      <c r="Q153" s="312"/>
    </row>
    <row r="154" spans="1:18" ht="38.25" hidden="1" customHeight="1">
      <c r="A154" s="8"/>
      <c r="B154" s="8"/>
      <c r="C154" s="2546" t="str">
        <f>C134</f>
        <v>Affordable Housing Program(s) that Provided Financing</v>
      </c>
      <c r="D154" s="2546"/>
      <c r="E154" s="2546"/>
      <c r="F154" s="776" t="s">
        <v>41</v>
      </c>
      <c r="G154" s="2540" t="str">
        <f>G134</f>
        <v>If 'Other' is selected, enter the name of the program in the row below.</v>
      </c>
      <c r="H154" s="2540"/>
      <c r="I154" s="857"/>
      <c r="J154" s="8"/>
      <c r="K154" s="2570"/>
      <c r="L154" s="2000">
        <v>1</v>
      </c>
      <c r="M154" s="2006">
        <f>IF(RIGHT(Data1!$F$7,3)&lt;&gt;"213",IF(OR(L$154=0,K$149=0),0,L154),3)</f>
        <v>0</v>
      </c>
      <c r="N154" s="2676" t="s">
        <v>2755</v>
      </c>
      <c r="O154" s="2677"/>
      <c r="P154" s="2678"/>
      <c r="Q154" s="1053" t="str">
        <f>Data1!K$129</f>
        <v>Prgm-NS</v>
      </c>
    </row>
    <row r="155" spans="1:18" ht="40.15" hidden="1" customHeight="1">
      <c r="A155" s="8"/>
      <c r="B155" s="8"/>
      <c r="C155" s="2546" t="str">
        <f>C135</f>
        <v>If 'Other' is selected above, enter the name of the program</v>
      </c>
      <c r="D155" s="2546"/>
      <c r="E155" s="2546"/>
      <c r="F155" s="2541"/>
      <c r="G155" s="2541"/>
      <c r="H155" s="2541"/>
      <c r="I155" s="857"/>
      <c r="J155" s="8"/>
      <c r="K155" s="2570"/>
      <c r="L155" s="2000">
        <v>1</v>
      </c>
      <c r="M155" s="2006">
        <f>IF(OR(K$149=0,$L155=0),0,IF(AND(F154&lt;&gt;"&lt;select one&gt;",F154&lt;&gt;"Other"),3,IF(F154="Other",1,IF(F154="&lt;select one&gt;",L155,IF(DevExp_Natural_Person_Meets="Yes",L155,3)))))</f>
        <v>0</v>
      </c>
      <c r="N155" s="2676" t="s">
        <v>2755</v>
      </c>
      <c r="O155" s="2677"/>
      <c r="P155" s="2677"/>
      <c r="Q155" s="50"/>
    </row>
    <row r="156" spans="1:18" ht="50.25" hidden="1" customHeight="1">
      <c r="A156" s="8"/>
      <c r="B156" s="8"/>
      <c r="C156" s="2546" t="s">
        <v>888</v>
      </c>
      <c r="D156" s="2546"/>
      <c r="E156" s="2546"/>
      <c r="F156" s="843"/>
      <c r="G156" s="2540"/>
      <c r="H156" s="2540"/>
      <c r="I156" s="857"/>
      <c r="J156" s="8"/>
      <c r="K156" s="2570"/>
      <c r="L156" s="2000">
        <v>1</v>
      </c>
      <c r="M156" s="2006">
        <f>IF(K$149=0,0,L156)</f>
        <v>0</v>
      </c>
      <c r="N156" s="2676" t="s">
        <v>2754</v>
      </c>
      <c r="O156" s="2677"/>
      <c r="P156" s="2678"/>
      <c r="Q156" s="2003" t="str">
        <f>Data1!K$135</f>
        <v>Units-NS</v>
      </c>
      <c r="R156" s="348"/>
    </row>
    <row r="157" spans="1:18" ht="85.15" hidden="1" customHeight="1">
      <c r="A157" s="8"/>
      <c r="B157" s="8"/>
      <c r="C157" s="2546" t="str">
        <f>"Year Completed:
(can be no earlier than "&amp;TEXT(IF(Data1!K$130="Yes",DS_DevExp_PrgmSinceDate,DS_DevExp_SinceDate),"yyyy")&amp;")"</f>
        <v>Year Completed:
(can be no earlier than 2006)</v>
      </c>
      <c r="D157" s="2546"/>
      <c r="E157" s="2546"/>
      <c r="F157" s="656"/>
      <c r="G157" s="2540"/>
      <c r="H157" s="2540"/>
      <c r="I157" s="857"/>
      <c r="J157" s="8"/>
      <c r="K157" s="2570"/>
      <c r="L157" s="2000">
        <v>1</v>
      </c>
      <c r="M157" s="2006">
        <f>IF(K$149=0,0,L157)</f>
        <v>0</v>
      </c>
      <c r="N157" s="2676" t="s">
        <v>2754</v>
      </c>
      <c r="O157" s="2677"/>
      <c r="P157" s="2678"/>
      <c r="Q157" s="1053" t="str">
        <f>Data1!K$124</f>
        <v>Gen-NS</v>
      </c>
      <c r="R157" s="50"/>
    </row>
    <row r="158" spans="1:18" ht="10.5" hidden="1" customHeight="1">
      <c r="A158" s="8"/>
      <c r="B158" s="8"/>
      <c r="C158" s="8"/>
      <c r="D158" s="8"/>
      <c r="E158" s="836"/>
      <c r="F158" s="84"/>
      <c r="G158" s="70"/>
      <c r="H158" s="70"/>
      <c r="I158" s="857"/>
      <c r="J158" s="8"/>
      <c r="K158" s="2571"/>
      <c r="L158" s="739"/>
      <c r="M158" s="739"/>
      <c r="N158" s="1949"/>
    </row>
    <row r="159" spans="1:18" ht="32.25" hidden="1" customHeight="1">
      <c r="A159" s="8"/>
      <c r="B159" s="8"/>
      <c r="C159" s="8"/>
      <c r="D159" s="79" t="s">
        <v>2171</v>
      </c>
      <c r="E159" s="2544" t="str">
        <f>"Fourth development "&amp;IF(Data1!E$120&lt;2,"","out of "&amp;CHOOSE(Data1!E$120,"one ","two ","three ","four ","five "))&amp;"that meet"&amp;IF(Data1!E$120&lt;2,"s","")&amp;" the Developer experience requirement outlined in Section Four, A.3.b.(3)(a) of the RFA:"</f>
        <v>Fourth development that meets the Developer experience requirement outlined in Section Four, A.3.b.(3)(a) of the RFA:</v>
      </c>
      <c r="F159" s="2544"/>
      <c r="G159" s="2544"/>
      <c r="H159" s="2544"/>
      <c r="I159" s="857"/>
      <c r="J159" s="8"/>
      <c r="K159" s="2569">
        <v>0</v>
      </c>
      <c r="L159" s="855"/>
      <c r="M159" s="855"/>
      <c r="N159" s="2696" t="str">
        <f>"Controls Rows "&amp;TEXT(ROW($A159),"0")&amp;":"&amp;TEXT(ROW($A168),"0")&amp;" [Subsection Master (iv)]. Otherwise each row is controlled separately."</f>
        <v>Controls Rows 159:168 [Subsection Master (iv)]. Otherwise each row is controlled separately.</v>
      </c>
      <c r="O159" s="2696"/>
      <c r="P159" s="2697"/>
      <c r="Q159" s="1053">
        <f ca="1">COUNTIF(Q$129:Q158,"&gt;0")+1</f>
        <v>4</v>
      </c>
    </row>
    <row r="160" spans="1:18" ht="17.649999999999999" hidden="1" customHeight="1">
      <c r="A160" s="8"/>
      <c r="B160" s="8"/>
      <c r="C160" s="2546" t="s">
        <v>885</v>
      </c>
      <c r="D160" s="2546"/>
      <c r="E160" s="2546"/>
      <c r="F160" s="2541"/>
      <c r="G160" s="2541"/>
      <c r="H160" s="2541"/>
      <c r="I160" s="857"/>
      <c r="J160" s="8"/>
      <c r="K160" s="2570"/>
      <c r="L160" s="2000">
        <v>1</v>
      </c>
      <c r="M160" s="2006">
        <f>IF(K$159=0,0,L160)</f>
        <v>0</v>
      </c>
      <c r="N160" s="2699" t="s">
        <v>2756</v>
      </c>
      <c r="O160" s="2696"/>
      <c r="P160" s="2696"/>
    </row>
    <row r="161" spans="1:18" ht="17.649999999999999" hidden="1" customHeight="1">
      <c r="A161" s="8"/>
      <c r="B161" s="8"/>
      <c r="C161" s="2546" t="s">
        <v>3177</v>
      </c>
      <c r="D161" s="2546"/>
      <c r="E161" s="2546"/>
      <c r="F161" s="2542"/>
      <c r="G161" s="2542"/>
      <c r="H161" s="2542"/>
      <c r="I161" s="857"/>
      <c r="J161" s="8"/>
      <c r="K161" s="2570"/>
      <c r="L161" s="2000">
        <v>1</v>
      </c>
      <c r="M161" s="2006">
        <f>IF(K$159=0,0,L161)</f>
        <v>0</v>
      </c>
      <c r="N161" s="2699" t="s">
        <v>2756</v>
      </c>
      <c r="O161" s="2696"/>
      <c r="P161" s="2696"/>
    </row>
    <row r="162" spans="1:18" ht="17.649999999999999" hidden="1" customHeight="1">
      <c r="A162" s="8"/>
      <c r="B162" s="8"/>
      <c r="C162" s="2545" t="s">
        <v>3178</v>
      </c>
      <c r="D162" s="2545"/>
      <c r="E162" s="2545"/>
      <c r="F162" s="2542" t="s">
        <v>41</v>
      </c>
      <c r="G162" s="2542"/>
      <c r="H162" s="2542"/>
      <c r="I162" s="857"/>
      <c r="J162" s="8"/>
      <c r="K162" s="2570"/>
      <c r="L162" s="2000">
        <v>1</v>
      </c>
      <c r="M162" s="2006">
        <f>IF(K$159=0,0,L162)</f>
        <v>0</v>
      </c>
      <c r="N162" s="2699" t="s">
        <v>2756</v>
      </c>
      <c r="O162" s="2696"/>
      <c r="P162" s="2696"/>
      <c r="R162" s="823"/>
    </row>
    <row r="163" spans="1:18" ht="45" hidden="1" customHeight="1">
      <c r="A163" s="8"/>
      <c r="B163" s="8"/>
      <c r="C163" s="2546" t="str">
        <f>IF(AND($F163&lt;&gt;"",$F163&lt;&gt;$G$123,$F163&lt;&gt;$G$125),"Name entered does NOT match name(s) above","Name of natural person Principal associated with Development*")</f>
        <v>Name of natural person Principal associated with Development*</v>
      </c>
      <c r="D163" s="2546"/>
      <c r="E163" s="2546"/>
      <c r="F163" s="2542"/>
      <c r="G163" s="2542"/>
      <c r="H163" s="2542"/>
      <c r="I163" s="857"/>
      <c r="J163" s="82"/>
      <c r="K163" s="2570"/>
      <c r="L163" s="2000">
        <v>0</v>
      </c>
      <c r="M163" s="2006">
        <f>IF(OR(K$159=0,$L163=0),0,IF(AND(DevExp_Natural_Person_Meets="Yes",DevExp_natural_person_additional&lt;&gt;""),1,L163))</f>
        <v>0</v>
      </c>
      <c r="N163" s="2699" t="s">
        <v>2757</v>
      </c>
      <c r="O163" s="2696"/>
      <c r="P163" s="2696"/>
      <c r="Q163" s="312"/>
      <c r="R163" s="823"/>
    </row>
    <row r="164" spans="1:18" ht="38.25" hidden="1" customHeight="1">
      <c r="A164" s="8"/>
      <c r="B164" s="8"/>
      <c r="C164" s="2546" t="str">
        <f>C144</f>
        <v>Affordable Housing Program(s) that Provided Financing</v>
      </c>
      <c r="D164" s="2546"/>
      <c r="E164" s="2546"/>
      <c r="F164" s="776" t="s">
        <v>41</v>
      </c>
      <c r="G164" s="2540" t="str">
        <f>G144</f>
        <v>If 'Other' is selected, enter the name of the program in the row below.</v>
      </c>
      <c r="H164" s="2540"/>
      <c r="I164" s="857"/>
      <c r="J164" s="8"/>
      <c r="K164" s="2570"/>
      <c r="L164" s="2000">
        <v>1</v>
      </c>
      <c r="M164" s="2006">
        <f>IF(RIGHT(Data1!$F$7,3)&lt;&gt;"213",IF(OR(L$164=0,K$159=0),0,L164),3)</f>
        <v>0</v>
      </c>
      <c r="N164" s="2699" t="s">
        <v>2757</v>
      </c>
      <c r="O164" s="2696"/>
      <c r="P164" s="2697"/>
      <c r="Q164" s="1053" t="str">
        <f>Data1!L$129</f>
        <v>Prgm-NS</v>
      </c>
      <c r="R164" s="823"/>
    </row>
    <row r="165" spans="1:18" ht="40.5" hidden="1" customHeight="1">
      <c r="A165" s="8"/>
      <c r="B165" s="8"/>
      <c r="C165" s="2546" t="str">
        <f>C135</f>
        <v>If 'Other' is selected above, enter the name of the program</v>
      </c>
      <c r="D165" s="2546"/>
      <c r="E165" s="2546"/>
      <c r="F165" s="2541"/>
      <c r="G165" s="2541"/>
      <c r="H165" s="2541"/>
      <c r="I165" s="857"/>
      <c r="J165" s="8"/>
      <c r="K165" s="2570"/>
      <c r="L165" s="2000">
        <v>1</v>
      </c>
      <c r="M165" s="2006">
        <f>IF(OR(K$159=0,$L165=0),0,IF(AND(F164&lt;&gt;"&lt;select one&gt;",F164&lt;&gt;"Other"),3,IF(F164="Other",1,IF(F164="&lt;select one&gt;",L165,IF(DevExp_Natural_Person_Meets="Yes",L165,3)))))</f>
        <v>0</v>
      </c>
      <c r="N165" s="2699" t="s">
        <v>2757</v>
      </c>
      <c r="O165" s="2696"/>
      <c r="P165" s="2696"/>
      <c r="Q165" s="50"/>
      <c r="R165" s="823"/>
    </row>
    <row r="166" spans="1:18" ht="50.25" hidden="1" customHeight="1">
      <c r="A166" s="8"/>
      <c r="B166" s="8"/>
      <c r="C166" s="2546" t="s">
        <v>888</v>
      </c>
      <c r="D166" s="2546"/>
      <c r="E166" s="2546"/>
      <c r="F166" s="843"/>
      <c r="G166" s="2554"/>
      <c r="H166" s="2554"/>
      <c r="I166" s="857"/>
      <c r="J166" s="8"/>
      <c r="K166" s="2570"/>
      <c r="L166" s="2000">
        <v>1</v>
      </c>
      <c r="M166" s="2006">
        <f>IF(K$159=0,0,L166)</f>
        <v>0</v>
      </c>
      <c r="N166" s="2699" t="s">
        <v>2756</v>
      </c>
      <c r="O166" s="2696"/>
      <c r="P166" s="2697"/>
      <c r="Q166" s="2003" t="str">
        <f>Data1!L$135</f>
        <v>Units-NS</v>
      </c>
      <c r="R166" s="823"/>
    </row>
    <row r="167" spans="1:18" ht="85.15" hidden="1" customHeight="1">
      <c r="A167" s="8"/>
      <c r="B167" s="8"/>
      <c r="C167" s="2546" t="str">
        <f>"Year Completed:
(can be no earlier than "&amp;TEXT(IF(Data1!L$130="Yes",DS_DevExp_PrgmSinceDate,DS_DevExp_SinceDate),"yyyy")&amp;")"</f>
        <v>Year Completed:
(can be no earlier than 2006)</v>
      </c>
      <c r="D167" s="2546"/>
      <c r="E167" s="2546"/>
      <c r="F167" s="656"/>
      <c r="G167" s="2540"/>
      <c r="H167" s="2540"/>
      <c r="I167" s="857"/>
      <c r="J167" s="8"/>
      <c r="K167" s="2570"/>
      <c r="L167" s="2000">
        <v>1</v>
      </c>
      <c r="M167" s="2006">
        <f>IF(K$159=0,0,L167)</f>
        <v>0</v>
      </c>
      <c r="N167" s="2699" t="s">
        <v>2756</v>
      </c>
      <c r="O167" s="2696"/>
      <c r="P167" s="2697"/>
      <c r="Q167" s="1053" t="str">
        <f>Data1!L$124</f>
        <v>Gen-NS</v>
      </c>
      <c r="R167" s="50"/>
    </row>
    <row r="168" spans="1:18" ht="10.5" hidden="1" customHeight="1">
      <c r="A168" s="8"/>
      <c r="B168" s="8"/>
      <c r="C168" s="8"/>
      <c r="D168" s="8"/>
      <c r="E168" s="836"/>
      <c r="F168" s="84"/>
      <c r="G168" s="70"/>
      <c r="H168" s="70"/>
      <c r="I168" s="857"/>
      <c r="J168" s="8"/>
      <c r="K168" s="2571"/>
      <c r="L168" s="855"/>
      <c r="M168" s="855"/>
      <c r="N168" s="1949"/>
      <c r="R168" s="823"/>
    </row>
    <row r="169" spans="1:18" ht="32.25" hidden="1" customHeight="1">
      <c r="A169" s="8"/>
      <c r="B169" s="8"/>
      <c r="C169" s="8"/>
      <c r="D169" s="79" t="s">
        <v>2172</v>
      </c>
      <c r="E169" s="2544" t="str">
        <f>"Fifth development "&amp;IF(Data1!E$120&lt;2,"","out of "&amp;CHOOSE(Data1!E$120,"one ","two ","three ","four ","five "))&amp;"that meet"&amp;IF(Data1!E$120&lt;2,"s","")&amp;" the Developer experience requirement outlined in Section Four, A.3.b.(3)(a) of the RFA:"</f>
        <v>Fifth development that meets the Developer experience requirement outlined in Section Four, A.3.b.(3)(a) of the RFA:</v>
      </c>
      <c r="F169" s="2544"/>
      <c r="G169" s="2544"/>
      <c r="H169" s="2544"/>
      <c r="I169" s="857"/>
      <c r="J169" s="8"/>
      <c r="K169" s="2569">
        <v>0</v>
      </c>
      <c r="L169" s="855"/>
      <c r="M169" s="855"/>
      <c r="N169" s="2680" t="str">
        <f>"Controls Rows "&amp;TEXT(ROW($A169),"0")&amp;":"&amp;TEXT(ROW($A178),"0")&amp;" [Subsection Master (v)]. Otherwise each row is controlled separately."</f>
        <v>Controls Rows 169:178 [Subsection Master (v)]. Otherwise each row is controlled separately.</v>
      </c>
      <c r="O169" s="2680"/>
      <c r="P169" s="2681"/>
      <c r="Q169" s="1053">
        <f ca="1">COUNTIF(Q$129:Q168,"&gt;0")+1</f>
        <v>5</v>
      </c>
      <c r="R169" s="823"/>
    </row>
    <row r="170" spans="1:18" ht="17.649999999999999" hidden="1" customHeight="1">
      <c r="A170" s="8"/>
      <c r="B170" s="8"/>
      <c r="C170" s="2546" t="s">
        <v>885</v>
      </c>
      <c r="D170" s="2546"/>
      <c r="E170" s="2546"/>
      <c r="F170" s="2541"/>
      <c r="G170" s="2541"/>
      <c r="H170" s="2541"/>
      <c r="I170" s="857"/>
      <c r="J170" s="8"/>
      <c r="K170" s="2570"/>
      <c r="L170" s="2000">
        <v>1</v>
      </c>
      <c r="M170" s="2006">
        <f>IF(K$169=0,0,L170)</f>
        <v>0</v>
      </c>
      <c r="N170" s="2679" t="s">
        <v>2758</v>
      </c>
      <c r="O170" s="2680"/>
      <c r="P170" s="2680"/>
      <c r="R170" s="823"/>
    </row>
    <row r="171" spans="1:18" ht="17.649999999999999" hidden="1" customHeight="1">
      <c r="A171" s="8"/>
      <c r="B171" s="8"/>
      <c r="C171" s="2546" t="s">
        <v>3177</v>
      </c>
      <c r="D171" s="2546"/>
      <c r="E171" s="2546"/>
      <c r="F171" s="2542"/>
      <c r="G171" s="2542"/>
      <c r="H171" s="2542"/>
      <c r="I171" s="857"/>
      <c r="J171" s="8"/>
      <c r="K171" s="2570"/>
      <c r="L171" s="2000">
        <v>1</v>
      </c>
      <c r="M171" s="2006">
        <f>IF(K$169=0,0,L171)</f>
        <v>0</v>
      </c>
      <c r="N171" s="2679" t="s">
        <v>2758</v>
      </c>
      <c r="O171" s="2680"/>
      <c r="P171" s="2680"/>
      <c r="R171" s="823"/>
    </row>
    <row r="172" spans="1:18" ht="17.649999999999999" hidden="1" customHeight="1">
      <c r="A172" s="8"/>
      <c r="B172" s="8"/>
      <c r="C172" s="2545" t="s">
        <v>3178</v>
      </c>
      <c r="D172" s="2545"/>
      <c r="E172" s="2545"/>
      <c r="F172" s="2542" t="s">
        <v>41</v>
      </c>
      <c r="G172" s="2542"/>
      <c r="H172" s="2542"/>
      <c r="I172" s="857"/>
      <c r="J172" s="8"/>
      <c r="K172" s="2570"/>
      <c r="L172" s="2000">
        <v>1</v>
      </c>
      <c r="M172" s="2006">
        <f>IF(K$169=0,0,L172)</f>
        <v>0</v>
      </c>
      <c r="N172" s="2679" t="s">
        <v>2758</v>
      </c>
      <c r="O172" s="2680"/>
      <c r="P172" s="2680"/>
      <c r="R172" s="823"/>
    </row>
    <row r="173" spans="1:18" ht="45" hidden="1" customHeight="1">
      <c r="A173" s="8"/>
      <c r="B173" s="8"/>
      <c r="C173" s="2546" t="str">
        <f>IF(AND($F173&lt;&gt;"",$F173&lt;&gt;$G$123,$F173&lt;&gt;$G$125),"Name entered does NOT match name(s) above","Name of natural person Principal associated with Development*")</f>
        <v>Name of natural person Principal associated with Development*</v>
      </c>
      <c r="D173" s="2546"/>
      <c r="E173" s="2546"/>
      <c r="F173" s="2542"/>
      <c r="G173" s="2542"/>
      <c r="H173" s="2542"/>
      <c r="I173" s="857"/>
      <c r="J173" s="82"/>
      <c r="K173" s="2570"/>
      <c r="L173" s="2000">
        <v>0</v>
      </c>
      <c r="M173" s="2006">
        <f>IF(OR(K$169=0,$L173=0),0,IF(AND(DevExp_Natural_Person_Meets="Yes",DevExp_natural_person_additional&lt;&gt;""),1,L173))</f>
        <v>0</v>
      </c>
      <c r="N173" s="2679" t="s">
        <v>2759</v>
      </c>
      <c r="O173" s="2680"/>
      <c r="P173" s="2680"/>
      <c r="Q173" s="312"/>
      <c r="R173" s="823"/>
    </row>
    <row r="174" spans="1:18" ht="38.25" hidden="1" customHeight="1">
      <c r="A174" s="8"/>
      <c r="B174" s="8"/>
      <c r="C174" s="2546" t="str">
        <f>C154</f>
        <v>Affordable Housing Program(s) that Provided Financing</v>
      </c>
      <c r="D174" s="2546"/>
      <c r="E174" s="2546"/>
      <c r="F174" s="776" t="s">
        <v>41</v>
      </c>
      <c r="G174" s="2540" t="str">
        <f>G154</f>
        <v>If 'Other' is selected, enter the name of the program in the row below.</v>
      </c>
      <c r="H174" s="2540"/>
      <c r="I174" s="857"/>
      <c r="J174" s="82"/>
      <c r="K174" s="2570"/>
      <c r="L174" s="2000">
        <v>1</v>
      </c>
      <c r="M174" s="2006">
        <f>IF(RIGHT(Data1!$F$7,3)&lt;&gt;"213",IF(OR(L$174=0,K$169=0),0,L174),3)</f>
        <v>0</v>
      </c>
      <c r="N174" s="2679" t="s">
        <v>2759</v>
      </c>
      <c r="O174" s="2680"/>
      <c r="P174" s="2681"/>
      <c r="Q174" s="1053" t="str">
        <f>Data1!M$129</f>
        <v>Prgm-NS</v>
      </c>
      <c r="R174" s="823"/>
    </row>
    <row r="175" spans="1:18" ht="40.5" hidden="1" customHeight="1">
      <c r="A175" s="8"/>
      <c r="B175" s="8"/>
      <c r="C175" s="2546" t="str">
        <f>C135</f>
        <v>If 'Other' is selected above, enter the name of the program</v>
      </c>
      <c r="D175" s="2546"/>
      <c r="E175" s="2546"/>
      <c r="F175" s="2541"/>
      <c r="G175" s="2541"/>
      <c r="H175" s="2541"/>
      <c r="I175" s="857"/>
      <c r="J175" s="8"/>
      <c r="K175" s="2570"/>
      <c r="L175" s="2000">
        <v>1</v>
      </c>
      <c r="M175" s="2006">
        <f>IF(OR(K$169=0,$L175=0),0,IF(AND(F174&lt;&gt;"&lt;select one&gt;",F174&lt;&gt;"Other"),3,IF(F174="Other",1,IF(F174="&lt;select one&gt;",1,IF(DevExp_Natural_Person_Meets="Yes",1,3)))))</f>
        <v>0</v>
      </c>
      <c r="N175" s="2679" t="s">
        <v>2759</v>
      </c>
      <c r="O175" s="2680"/>
      <c r="P175" s="2680"/>
      <c r="Q175" s="50"/>
      <c r="R175" s="823"/>
    </row>
    <row r="176" spans="1:18" ht="50.25" hidden="1" customHeight="1">
      <c r="A176" s="8"/>
      <c r="B176" s="8"/>
      <c r="C176" s="2546" t="s">
        <v>888</v>
      </c>
      <c r="D176" s="2546"/>
      <c r="E176" s="2546"/>
      <c r="F176" s="843"/>
      <c r="G176" s="2554"/>
      <c r="H176" s="2554"/>
      <c r="I176" s="857"/>
      <c r="J176" s="8"/>
      <c r="K176" s="2570"/>
      <c r="L176" s="2000">
        <v>1</v>
      </c>
      <c r="M176" s="2006">
        <f>IF(K$169=0,0,L176)</f>
        <v>0</v>
      </c>
      <c r="N176" s="2679" t="s">
        <v>2758</v>
      </c>
      <c r="O176" s="2680"/>
      <c r="P176" s="2681"/>
      <c r="Q176" s="2003" t="str">
        <f>Data1!M$135</f>
        <v>Units-NS</v>
      </c>
      <c r="R176" s="823"/>
    </row>
    <row r="177" spans="1:21" ht="85.15" hidden="1" customHeight="1">
      <c r="A177" s="8"/>
      <c r="B177" s="8"/>
      <c r="C177" s="2546" t="str">
        <f>"Year Completed:
(can be no earlier than "&amp;TEXT(IF(Data1!M$130="Yes",DS_DevExp_PrgmSinceDate,DS_DevExp_SinceDate),"yyyy")&amp;")"</f>
        <v>Year Completed:
(can be no earlier than 2006)</v>
      </c>
      <c r="D177" s="2546"/>
      <c r="E177" s="2546"/>
      <c r="F177" s="656"/>
      <c r="G177" s="2540"/>
      <c r="H177" s="2540"/>
      <c r="I177" s="857"/>
      <c r="J177" s="8"/>
      <c r="K177" s="2570"/>
      <c r="L177" s="2000">
        <v>1</v>
      </c>
      <c r="M177" s="2006">
        <f>IF(K$169=0,0,L177)</f>
        <v>0</v>
      </c>
      <c r="N177" s="2679" t="s">
        <v>2758</v>
      </c>
      <c r="O177" s="2680"/>
      <c r="P177" s="2681"/>
      <c r="Q177" s="1053" t="str">
        <f>Data1!M$124</f>
        <v>Gen-NS</v>
      </c>
      <c r="R177" s="2070"/>
      <c r="S177" s="2070"/>
      <c r="T177" s="2070"/>
      <c r="U177" s="2070"/>
    </row>
    <row r="178" spans="1:21" ht="10.5" hidden="1" customHeight="1">
      <c r="A178" s="8"/>
      <c r="B178" s="8"/>
      <c r="C178" s="8"/>
      <c r="D178" s="8"/>
      <c r="E178" s="836"/>
      <c r="F178" s="84"/>
      <c r="G178" s="70"/>
      <c r="H178" s="70"/>
      <c r="I178" s="857"/>
      <c r="J178" s="8"/>
      <c r="K178" s="2571"/>
      <c r="L178" s="855"/>
      <c r="M178" s="855"/>
      <c r="N178" s="1949"/>
      <c r="R178" s="823"/>
    </row>
    <row r="179" spans="1:21" ht="50.25" customHeight="1">
      <c r="A179" s="457"/>
      <c r="B179"/>
      <c r="C179" s="2555" t="s">
        <v>2980</v>
      </c>
      <c r="D179" s="2556"/>
      <c r="E179" s="2556"/>
      <c r="F179" s="2556"/>
      <c r="G179" s="2556"/>
      <c r="H179" s="2557"/>
      <c r="I179" s="857"/>
      <c r="J179" s="8"/>
      <c r="K179" s="2569">
        <v>1</v>
      </c>
      <c r="L179" s="855"/>
      <c r="M179" s="855"/>
      <c r="N179" s="1949"/>
      <c r="R179" s="823"/>
    </row>
    <row r="180" spans="1:21" ht="35.25" customHeight="1">
      <c r="A180" s="457"/>
      <c r="B180"/>
      <c r="C180" s="2323" t="s">
        <v>1461</v>
      </c>
      <c r="D180" s="2544" t="str">
        <f>IF(DevExp_first_Dev_name="","The correct number of Completed Affordable Rental Housing Developments will be evaluated.","Information for the correct number of Completed Affordable Rental Housing Developments for this RFA has "&amp;IF(N(Data1!H120)&lt;Data1!E120,"NOT ","")&amp;"been provided.")</f>
        <v>The correct number of Completed Affordable Rental Housing Developments will be evaluated.</v>
      </c>
      <c r="E180" s="2544"/>
      <c r="F180" s="2544"/>
      <c r="G180" s="2544"/>
      <c r="H180" s="2558"/>
      <c r="I180" s="857"/>
      <c r="J180" s="8"/>
      <c r="K180" s="2570"/>
      <c r="L180" s="855"/>
      <c r="M180" s="855"/>
      <c r="N180" s="2693" t="str">
        <f>"(Must enter a Development Name on Row "&amp;TEXT(ROW(A130),"0")&amp;" inorder for these testing lines to become active.)"</f>
        <v>(Must enter a Development Name on Row 130 inorder for these testing lines to become active.)</v>
      </c>
      <c r="R180" s="823"/>
    </row>
    <row r="181" spans="1:21" ht="35.25" customHeight="1">
      <c r="A181" s="457"/>
      <c r="B181"/>
      <c r="C181" s="2323" t="s">
        <v>1461</v>
      </c>
      <c r="D181" s="2544" t="str">
        <f>IF(DevExp_first_Dev_name="","The number of units indicated in the Completed Affordable Rental Housing Developments will be evaluated.","The number of units indicated in the Completed Affordable Rental Housing Developments "&amp;IF(Data1!H134&lt;Data1!E137,"does NOT reflect","reflects")&amp;" a total number of units no less than "&amp;IF(DS_DevExp_MinUnits_Criteria="Percentage",TEXT(Data1!E134,"0%")&amp;" percent of the total number of",IF(DS_DevExp_MinUnits_Criteria="Number",TEXT(Data1!E135,"0"),"&lt;FHFC Needs To Select Criteria&gt;"))&amp;" units in the proposed Development.")</f>
        <v>The number of units indicated in the Completed Affordable Rental Housing Developments will be evaluated.</v>
      </c>
      <c r="E181" s="2544"/>
      <c r="F181" s="2544"/>
      <c r="G181" s="2544"/>
      <c r="H181" s="2558"/>
      <c r="I181" s="857"/>
      <c r="J181" s="8"/>
      <c r="K181" s="2570"/>
      <c r="L181" s="855"/>
      <c r="M181" s="855"/>
      <c r="N181" s="2694"/>
      <c r="R181" s="823"/>
    </row>
    <row r="182" spans="1:21" ht="17.649999999999999" customHeight="1">
      <c r="A182" s="457"/>
      <c r="B182"/>
      <c r="C182" s="2324" t="s">
        <v>1461</v>
      </c>
      <c r="D182" s="2559" t="str">
        <f>IF(DevExp_first_Dev_name="","The completion dates of the Completed Affordable Rental Housing Developments will be evaluated.","The Completed Affordable Rental Housing Developments "&amp;IF(Data1!H123&lt;Data1!E123,"do NOT ","")&amp;"meet the required completion date.")</f>
        <v>The completion dates of the Completed Affordable Rental Housing Developments will be evaluated.</v>
      </c>
      <c r="E182" s="2559"/>
      <c r="F182" s="2559"/>
      <c r="G182" s="2559"/>
      <c r="H182" s="2560"/>
      <c r="I182" s="857"/>
      <c r="J182" s="8"/>
      <c r="K182" s="2570"/>
      <c r="L182" s="855"/>
      <c r="M182" s="855"/>
      <c r="N182" s="2695"/>
      <c r="R182" s="823"/>
    </row>
    <row r="183" spans="1:21" ht="10.5" customHeight="1">
      <c r="A183" s="457"/>
      <c r="B183"/>
      <c r="C183" s="50"/>
      <c r="D183" s="50"/>
      <c r="E183" s="836"/>
      <c r="F183" s="84"/>
      <c r="G183" s="70"/>
      <c r="H183" s="70"/>
      <c r="I183" s="857"/>
      <c r="J183" s="8"/>
      <c r="K183" s="2571"/>
      <c r="L183" s="855"/>
      <c r="M183" s="855"/>
      <c r="N183" s="1949"/>
      <c r="R183" s="823"/>
    </row>
    <row r="184" spans="1:21" ht="17.649999999999999" hidden="1" customHeight="1">
      <c r="A184" s="8"/>
      <c r="B184" s="8"/>
      <c r="C184" s="78" t="str">
        <f>IF(K184=0,"",IF(SUM(K123:K157)=0,"(a)","(b)"))</f>
        <v/>
      </c>
      <c r="D184" s="2544" t="s">
        <v>3245</v>
      </c>
      <c r="E184" s="2544"/>
      <c r="F184" s="2544"/>
      <c r="G184" s="2544"/>
      <c r="H184" s="2544"/>
      <c r="I184" s="857"/>
      <c r="J184" s="8"/>
      <c r="K184" s="2569">
        <v>0</v>
      </c>
      <c r="L184" s="855"/>
      <c r="M184" s="855"/>
      <c r="N184" s="1949" t="str">
        <f>"Controls Rows "&amp;TEXT(ROW($A184),"0")&amp;":"&amp;TEXT(ROW($A186),"0")</f>
        <v>Controls Rows 184:186</v>
      </c>
    </row>
    <row r="185" spans="1:21" ht="32.25" hidden="1" customHeight="1">
      <c r="A185" s="8"/>
      <c r="B185" s="8"/>
      <c r="C185" s="8"/>
      <c r="D185" s="8"/>
      <c r="E185" s="2544" t="s">
        <v>3246</v>
      </c>
      <c r="F185" s="2544"/>
      <c r="G185" s="2544"/>
      <c r="H185" s="2544"/>
      <c r="I185" s="857"/>
      <c r="J185" s="846"/>
      <c r="K185" s="2570"/>
      <c r="L185" s="855"/>
      <c r="M185" s="855"/>
      <c r="N185" s="8"/>
    </row>
    <row r="186" spans="1:21" ht="10.5" hidden="1" customHeight="1">
      <c r="A186" s="8"/>
      <c r="B186" s="8"/>
      <c r="C186" s="8"/>
      <c r="D186" s="8"/>
      <c r="E186" s="826"/>
      <c r="F186" s="826"/>
      <c r="G186" s="826"/>
      <c r="H186" s="826"/>
      <c r="I186" s="857"/>
      <c r="J186" s="846"/>
      <c r="K186" s="2571"/>
      <c r="L186" s="855"/>
      <c r="M186" s="855"/>
      <c r="N186" s="8"/>
    </row>
    <row r="187" spans="1:21" ht="17.649999999999999" hidden="1" customHeight="1">
      <c r="A187" s="8"/>
      <c r="B187" s="8"/>
      <c r="C187" s="78" t="str">
        <f>IF(K187=0,"",IF(C184="(b)","(c)","(b)"))</f>
        <v/>
      </c>
      <c r="D187" s="2544" t="s">
        <v>892</v>
      </c>
      <c r="E187" s="2544"/>
      <c r="F187" s="2544"/>
      <c r="G187" s="2544"/>
      <c r="H187" s="2544"/>
      <c r="I187" s="857"/>
      <c r="J187" s="846"/>
      <c r="K187" s="2570">
        <v>0</v>
      </c>
      <c r="L187" s="855"/>
      <c r="M187" s="855"/>
      <c r="N187" s="1949" t="str">
        <f>"Controls Rows "&amp;TEXT(ROW($A187),"0")&amp;":"&amp;TEXT(ROW($A189),"0")</f>
        <v>Controls Rows 187:189</v>
      </c>
    </row>
    <row r="188" spans="1:21" ht="50.25" hidden="1" customHeight="1">
      <c r="A188" s="8"/>
      <c r="B188" s="8"/>
      <c r="C188" s="8"/>
      <c r="D188" s="8"/>
      <c r="E188" s="2544"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88" s="2544"/>
      <c r="G188" s="2544"/>
      <c r="H188" s="2544"/>
      <c r="I188" s="857"/>
      <c r="J188" s="846"/>
      <c r="K188" s="2570"/>
      <c r="N188" s="2690" t="s">
        <v>2254</v>
      </c>
      <c r="O188" s="2691"/>
      <c r="P188" s="2692"/>
      <c r="Q188" s="312"/>
    </row>
    <row r="189" spans="1:21" ht="10.5" hidden="1" customHeight="1">
      <c r="E189" s="829"/>
      <c r="F189" s="829"/>
      <c r="G189" s="829"/>
      <c r="H189" s="829"/>
      <c r="I189" s="857"/>
      <c r="J189" s="846"/>
      <c r="K189" s="2571"/>
      <c r="L189" s="855"/>
      <c r="M189" s="855"/>
      <c r="N189" s="8"/>
    </row>
    <row r="190" spans="1:21" ht="17.649999999999999" hidden="1" customHeight="1">
      <c r="B190" s="21" t="str">
        <f>IF(K190=0,"(-)","(4)")</f>
        <v>(-)</v>
      </c>
      <c r="C190" s="2544" t="s">
        <v>2245</v>
      </c>
      <c r="D190" s="2544"/>
      <c r="E190" s="2544"/>
      <c r="F190" s="2544"/>
      <c r="G190" s="2544"/>
      <c r="H190" s="2544"/>
      <c r="I190" s="857"/>
      <c r="J190" s="846"/>
      <c r="K190" s="2569">
        <v>0</v>
      </c>
      <c r="L190" s="855"/>
      <c r="M190" s="855"/>
      <c r="N190" s="1949" t="str">
        <f>"Controls Rows "&amp;TEXT(ROW($A190),"0")&amp;":"&amp;TEXT(ROW($A193),"0")&amp;". Only for RFA 206."</f>
        <v>Controls Rows 190:193. Only for RFA 206.</v>
      </c>
    </row>
    <row r="191" spans="1:21" ht="17.649999999999999" hidden="1" customHeight="1">
      <c r="B191" s="8"/>
      <c r="C191" s="78"/>
      <c r="D191" s="826"/>
      <c r="E191" s="17" t="s">
        <v>2246</v>
      </c>
      <c r="F191" s="826"/>
      <c r="G191" s="826"/>
      <c r="H191" s="826"/>
      <c r="I191" s="857"/>
      <c r="J191" s="846"/>
      <c r="K191" s="2570"/>
      <c r="L191" s="855"/>
      <c r="M191" s="855"/>
    </row>
    <row r="192" spans="1:21" ht="17.649999999999999" hidden="1" customHeight="1">
      <c r="B192" s="8"/>
      <c r="C192" s="78"/>
      <c r="D192" s="826"/>
      <c r="E192" s="660" t="s">
        <v>41</v>
      </c>
      <c r="F192" s="826"/>
      <c r="G192" s="826"/>
      <c r="H192" s="826"/>
      <c r="I192" s="857"/>
      <c r="J192" s="846"/>
      <c r="K192" s="2570"/>
      <c r="L192" s="50"/>
      <c r="M192" s="50"/>
      <c r="N192" s="50"/>
    </row>
    <row r="193" spans="1:24" ht="10.5" hidden="1" customHeight="1">
      <c r="E193" s="829"/>
      <c r="F193" s="829"/>
      <c r="G193" s="829"/>
      <c r="H193" s="829"/>
      <c r="I193" s="857"/>
      <c r="J193" s="846"/>
      <c r="K193" s="2571"/>
      <c r="L193" s="855"/>
      <c r="M193" s="855"/>
      <c r="N193" s="8"/>
    </row>
    <row r="194" spans="1:24" ht="17.649999999999999" hidden="1" customHeight="1">
      <c r="A194" s="10"/>
      <c r="B194" s="21" t="str">
        <f>IF(K190=0,"(4)","(5)")</f>
        <v>(4)</v>
      </c>
      <c r="C194" s="6" t="s">
        <v>893</v>
      </c>
      <c r="E194" s="829"/>
      <c r="F194" s="829"/>
      <c r="G194" s="829"/>
      <c r="H194" s="829"/>
      <c r="I194" s="857"/>
      <c r="J194" s="846"/>
      <c r="K194" s="2569">
        <v>0</v>
      </c>
      <c r="L194" s="855"/>
      <c r="M194" s="855"/>
      <c r="N194" s="2549" t="s">
        <v>3180</v>
      </c>
    </row>
    <row r="195" spans="1:24" ht="17.649999999999999" hidden="1" customHeight="1">
      <c r="C195" s="78" t="s">
        <v>860</v>
      </c>
      <c r="D195" s="6" t="s">
        <v>894</v>
      </c>
      <c r="E195" s="829"/>
      <c r="F195" s="829"/>
      <c r="G195" s="829"/>
      <c r="H195" s="829"/>
      <c r="I195" s="857"/>
      <c r="J195" s="846"/>
      <c r="K195" s="2570"/>
      <c r="L195" s="855"/>
      <c r="M195" s="855"/>
      <c r="N195" s="2549"/>
    </row>
    <row r="196" spans="1:24" ht="35.25" hidden="1" customHeight="1">
      <c r="D196" s="2544" t="s">
        <v>895</v>
      </c>
      <c r="E196" s="2544"/>
      <c r="F196" s="2544"/>
      <c r="G196" s="2544"/>
      <c r="H196" s="2544"/>
      <c r="I196" s="857"/>
      <c r="J196" s="846"/>
      <c r="K196" s="2570"/>
      <c r="L196" s="855"/>
      <c r="M196" s="855"/>
      <c r="N196" s="50"/>
    </row>
    <row r="197" spans="1:24" ht="10.5" hidden="1" customHeight="1">
      <c r="E197" s="829"/>
      <c r="F197" s="829"/>
      <c r="G197" s="829"/>
      <c r="H197" s="829"/>
      <c r="I197" s="857"/>
      <c r="J197" s="846"/>
      <c r="K197" s="2570"/>
      <c r="L197" s="855"/>
      <c r="M197" s="855"/>
      <c r="N197" s="50"/>
    </row>
    <row r="198" spans="1:24" ht="17.649999999999999" hidden="1" customHeight="1">
      <c r="C198" s="78" t="s">
        <v>862</v>
      </c>
      <c r="D198" s="6" t="s">
        <v>896</v>
      </c>
      <c r="E198" s="829"/>
      <c r="F198" s="829"/>
      <c r="G198" s="829"/>
      <c r="H198" s="829"/>
      <c r="I198" s="857"/>
      <c r="J198" s="846"/>
      <c r="K198" s="2570"/>
      <c r="L198" s="855"/>
      <c r="M198" s="855"/>
      <c r="N198" s="50"/>
    </row>
    <row r="199" spans="1:24" ht="35.25" hidden="1" customHeight="1">
      <c r="D199" s="2544" t="s">
        <v>897</v>
      </c>
      <c r="E199" s="2544"/>
      <c r="F199" s="2544"/>
      <c r="G199" s="2544"/>
      <c r="H199" s="2544"/>
      <c r="I199" s="857"/>
      <c r="J199" s="846"/>
      <c r="K199" s="2570"/>
      <c r="L199" s="855"/>
      <c r="M199" s="855"/>
      <c r="N199" s="50"/>
    </row>
    <row r="200" spans="1:24" ht="35.25" hidden="1" customHeight="1">
      <c r="D200" s="842" t="s">
        <v>884</v>
      </c>
      <c r="E200" s="2544" t="s">
        <v>1692</v>
      </c>
      <c r="F200" s="2544"/>
      <c r="G200" s="2544"/>
      <c r="H200" s="2544"/>
      <c r="I200" s="857"/>
      <c r="J200" s="846"/>
      <c r="K200" s="2570"/>
      <c r="L200" s="855"/>
      <c r="M200" s="855"/>
      <c r="N200" s="50"/>
    </row>
    <row r="201" spans="1:24" ht="17.649999999999999" hidden="1" customHeight="1">
      <c r="C201" s="2546" t="s">
        <v>885</v>
      </c>
      <c r="D201" s="2546"/>
      <c r="E201" s="2546"/>
      <c r="F201" s="2547"/>
      <c r="G201" s="2547"/>
      <c r="H201" s="2547"/>
      <c r="I201" s="857"/>
      <c r="J201" s="8"/>
      <c r="K201" s="2570"/>
      <c r="L201" s="2000">
        <v>1</v>
      </c>
      <c r="M201" s="2006">
        <f>IF(K$194=0,0,L201)</f>
        <v>0</v>
      </c>
      <c r="N201" s="1949" t="s">
        <v>2739</v>
      </c>
    </row>
    <row r="202" spans="1:24" ht="35.25" hidden="1" customHeight="1">
      <c r="C202" s="2545" t="s">
        <v>886</v>
      </c>
      <c r="D202" s="2545"/>
      <c r="E202" s="2545"/>
      <c r="F202" s="2543"/>
      <c r="G202" s="2543"/>
      <c r="H202" s="2543"/>
      <c r="I202" s="857"/>
      <c r="J202" s="8"/>
      <c r="K202" s="2570"/>
      <c r="L202" s="2000">
        <v>1</v>
      </c>
      <c r="M202" s="2006">
        <f>IF(K$194=0,0,L202)</f>
        <v>0</v>
      </c>
      <c r="N202" s="1949" t="s">
        <v>2739</v>
      </c>
      <c r="Q202" s="865"/>
      <c r="R202" s="865"/>
      <c r="S202" s="865"/>
      <c r="T202" s="865"/>
      <c r="U202" s="865"/>
      <c r="V202" s="865"/>
      <c r="W202" s="865"/>
      <c r="X202" s="865"/>
    </row>
    <row r="203" spans="1:24" ht="35.25" hidden="1" customHeight="1">
      <c r="C203" s="2546" t="str">
        <f>C134</f>
        <v>Affordable Housing Program(s) that Provided Financing</v>
      </c>
      <c r="D203" s="2546"/>
      <c r="E203" s="2546"/>
      <c r="F203" s="776" t="s">
        <v>41</v>
      </c>
      <c r="G203" s="2540" t="s">
        <v>890</v>
      </c>
      <c r="H203" s="2540"/>
      <c r="I203" s="857"/>
      <c r="J203" s="8"/>
      <c r="K203" s="2570"/>
      <c r="L203" s="2000">
        <v>1</v>
      </c>
      <c r="M203" s="2006">
        <f>IF(K$194=0,0,L203)</f>
        <v>0</v>
      </c>
      <c r="N203" s="1949" t="s">
        <v>2739</v>
      </c>
      <c r="Q203" s="865"/>
      <c r="R203" s="865"/>
      <c r="S203" s="865"/>
      <c r="T203" s="865"/>
      <c r="U203" s="865"/>
      <c r="V203" s="865"/>
      <c r="W203" s="865"/>
      <c r="X203" s="865"/>
    </row>
    <row r="204" spans="1:24" ht="35.25" hidden="1" customHeight="1">
      <c r="C204" s="2546" t="s">
        <v>2317</v>
      </c>
      <c r="D204" s="2546"/>
      <c r="E204" s="2546"/>
      <c r="F204" s="2541"/>
      <c r="G204" s="2541"/>
      <c r="H204" s="2541"/>
      <c r="I204" s="857"/>
      <c r="J204" s="8"/>
      <c r="K204" s="2570"/>
      <c r="L204" s="2000">
        <v>1</v>
      </c>
      <c r="M204" s="2006">
        <f>IF(OR(K$194=0,L204=0),0,IF(OR(AND(F203&lt;&gt;"&lt;select one&gt;",F203&lt;&gt;"Other"),F203="&lt;select one&gt;"),3,IF(F203="Other",1,L204)))</f>
        <v>0</v>
      </c>
      <c r="N204" s="1949" t="s">
        <v>2740</v>
      </c>
      <c r="Q204" s="865"/>
      <c r="R204" s="865"/>
      <c r="S204" s="865"/>
      <c r="T204" s="865"/>
      <c r="U204" s="865"/>
      <c r="V204" s="865"/>
      <c r="W204" s="865"/>
      <c r="X204" s="865"/>
    </row>
    <row r="205" spans="1:24" ht="40.15" hidden="1" customHeight="1">
      <c r="C205" s="2546" t="s">
        <v>888</v>
      </c>
      <c r="D205" s="2546"/>
      <c r="E205" s="2546"/>
      <c r="F205" s="843"/>
      <c r="G205" s="2540"/>
      <c r="H205" s="2540"/>
      <c r="I205" s="857"/>
      <c r="J205" s="8"/>
      <c r="K205" s="2570"/>
      <c r="L205" s="2000">
        <v>1</v>
      </c>
      <c r="M205" s="2006">
        <f>IF(K$194=0,0,L205)</f>
        <v>0</v>
      </c>
      <c r="N205" s="1949" t="s">
        <v>2739</v>
      </c>
    </row>
    <row r="206" spans="1:24" ht="50.25" hidden="1" customHeight="1">
      <c r="D206" s="2544" t="s">
        <v>898</v>
      </c>
      <c r="E206" s="2544"/>
      <c r="F206" s="2544"/>
      <c r="G206" s="2544"/>
      <c r="H206" s="2544"/>
      <c r="I206" s="857"/>
      <c r="J206" s="846"/>
      <c r="K206" s="2570"/>
      <c r="L206" s="2688">
        <v>0</v>
      </c>
      <c r="M206" s="2687">
        <f>IF(K$194=0,0,L206)</f>
        <v>0</v>
      </c>
      <c r="N206" s="1949" t="str">
        <f>"When Master is ""On"", Column K controls Rows "&amp;TEXT(ROW($A206),"0")&amp;":"&amp;TEXT(ROW($A208),"0")</f>
        <v>When Master is "On", Column K controls Rows 206:208</v>
      </c>
    </row>
    <row r="207" spans="1:24" ht="40.15" hidden="1" customHeight="1">
      <c r="E207" s="660" t="s">
        <v>41</v>
      </c>
      <c r="F207" s="2550" t="str">
        <f>IF(OR(M206=0,DS_GCExp_MinDevs_DB=0,GCExp_Davis_Bacon_1="&lt;select one&gt;"),"","The Applicant indicated the GC "&amp;IF(GCExp_Davis_Bacon_1="Yes","meets","does NOT meet")&amp;" the Davis-Bacon experience requirement for this completed development and the Applicant indicates the GC "&amp;IF(IF(AND(M206&gt;0,GCExp_Davis_Bacon_1="Yes"),1,0)+IF(AND(Q217&gt;0,GCExp_Davis_Bacon_2="Yes"),1,0)&lt;DS_GCExp_MinDevs_DB,"does NOT meet","meets")&amp;" the requirement of at least "&amp;TEXT(DS_GCExp_MinDevs_DB,"0")&amp;" completed development"&amp;IF(DS_GCExp_MinDevs_DB&gt;1,"s","")&amp;" with Davis-Bacon experience.")</f>
        <v/>
      </c>
      <c r="G207" s="2550"/>
      <c r="H207" s="2550"/>
      <c r="I207" s="857"/>
      <c r="J207" s="846"/>
      <c r="K207" s="2570"/>
      <c r="L207" s="2564"/>
      <c r="M207" s="2685"/>
      <c r="N207" s="50"/>
    </row>
    <row r="208" spans="1:24" ht="10.5" hidden="1" customHeight="1">
      <c r="I208" s="857"/>
      <c r="J208" s="846"/>
      <c r="K208" s="2570"/>
      <c r="L208" s="2565"/>
      <c r="M208" s="2685"/>
      <c r="N208" s="50"/>
    </row>
    <row r="209" spans="1:18" ht="14.65" hidden="1" customHeight="1">
      <c r="C209" s="2551" t="str">
        <f>IF(OR(AND(IF(M201=1,GCExp_Name_of_Development_1&lt;&gt;"",TRUE),IF(M202=1,GCExp_Location_of_Development_1&lt;&gt;"",TRUE),IF(M203=1,GCExp_Selected_Program_1&lt;&gt;"&lt;select one&gt;",TRUE),IF(M204=1,GCExp_Other_Program_1&lt;&gt;"",TRUE),IF(M205=1,GCExp_Development_Total_Units_1&lt;&gt;"",TRUE),IF(M206=1,GCExp_Davis_Bacon_1&lt;&gt;"&lt;select one&gt;",TRUE)),AND(IF(M201=1,GCExp_Name_of_Development_1="",TRUE),IF(M202=1,GCExp_Location_of_Development_1="",TRUE),IF(M203=1,GCExp_Selected_Program_1="&lt;select one&gt;",TRUE),IF(M204=1,GCExp_Other_Program_1="",TRUE),IF(M205=1,GCExp_Development_Total_Units_1="",TRUE),IF(M206=1,GCExp_Davis_Bacon_1="&lt;select one&gt;",TRUE))),"",IF(IF(AND(M201=1,GCExp_Name_of_Development_1=""),1,0)+IF(AND(M202=1,GCExp_Location_of_Development_1=""),1,0)+IF(AND(M203=1,GCExp_Selected_Program_1="&lt;select one&gt;"),1,0)+IF(AND(M204=1,GCExp_Other_Program_1=""),1,0)+IF(AND(M205=1,GCExp_Development_Total_Units_1=""),1,0)+IF(AND(M206=1,GCExp_Davis_Bacon_1="&lt;select one&gt;"),1,0)&gt;1,"Required fields for the above development are","A required field for the above development is")&amp;" missing.")</f>
        <v/>
      </c>
      <c r="D209" s="2551"/>
      <c r="E209" s="2551"/>
      <c r="F209" s="2551"/>
      <c r="G209" s="2551"/>
      <c r="H209" s="2551"/>
      <c r="I209" s="857"/>
      <c r="J209" s="846"/>
      <c r="K209" s="2570"/>
      <c r="L209" s="857"/>
      <c r="M209" s="857"/>
      <c r="N209" s="2549"/>
      <c r="O209" s="857"/>
    </row>
    <row r="210" spans="1:18" ht="10.5" hidden="1" customHeight="1">
      <c r="E210" s="829"/>
      <c r="F210" s="829"/>
      <c r="G210" s="829"/>
      <c r="H210" s="829"/>
      <c r="I210" s="857"/>
      <c r="J210" s="846"/>
      <c r="K210" s="2570"/>
      <c r="L210" s="855"/>
      <c r="M210" s="855"/>
      <c r="N210" s="2549"/>
    </row>
    <row r="211" spans="1:18" ht="35.25" hidden="1" customHeight="1">
      <c r="D211" s="842" t="s">
        <v>889</v>
      </c>
      <c r="E211" s="2544" t="s">
        <v>1693</v>
      </c>
      <c r="F211" s="2544"/>
      <c r="G211" s="2544"/>
      <c r="H211" s="2544"/>
      <c r="I211" s="857"/>
      <c r="J211" s="846"/>
      <c r="K211" s="2570"/>
      <c r="L211" s="2684">
        <f>IF(K194=0,0,IF(DS_GCExp_MinDevs_List=1,0,1))</f>
        <v>0</v>
      </c>
      <c r="M211" s="855"/>
      <c r="N211" s="2683" t="str">
        <f>"When Master is ""On"", Column L [Subsection Master (ii)] automated by response to ""# of housing developments to list"" question (cell Data1!E"&amp;TEXT(ROW(DS_GCExp_MinDevs_List),"0")&amp;") on Data1 tab. Otherwise certain rows are controlled separately."</f>
        <v>When Master is "On", Column L [Subsection Master (ii)] automated by response to "# of housing developments to list" question (cell Data1!E214) on Data1 tab. Otherwise certain rows are controlled separately.</v>
      </c>
      <c r="O211" s="2683"/>
      <c r="P211" s="2683"/>
      <c r="Q211" s="2683"/>
    </row>
    <row r="212" spans="1:18" ht="17.649999999999999" hidden="1" customHeight="1">
      <c r="C212" s="2546" t="s">
        <v>885</v>
      </c>
      <c r="D212" s="2546"/>
      <c r="E212" s="2546"/>
      <c r="F212" s="2547"/>
      <c r="G212" s="2547"/>
      <c r="H212" s="2547"/>
      <c r="I212" s="857"/>
      <c r="J212" s="846"/>
      <c r="K212" s="2570"/>
      <c r="L212" s="2685"/>
      <c r="M212" s="2002">
        <v>1</v>
      </c>
      <c r="N212" s="2674" t="s">
        <v>2762</v>
      </c>
      <c r="O212" s="2675"/>
      <c r="P212" s="2675"/>
      <c r="Q212" s="2675"/>
    </row>
    <row r="213" spans="1:18" ht="35.25" hidden="1" customHeight="1">
      <c r="C213" s="2545" t="s">
        <v>886</v>
      </c>
      <c r="D213" s="2545"/>
      <c r="E213" s="2545"/>
      <c r="F213" s="2543"/>
      <c r="G213" s="2543"/>
      <c r="H213" s="2543"/>
      <c r="I213" s="857"/>
      <c r="J213" s="846"/>
      <c r="K213" s="2570"/>
      <c r="L213" s="2685"/>
      <c r="M213" s="2002">
        <v>1</v>
      </c>
      <c r="N213" s="2674" t="s">
        <v>2762</v>
      </c>
      <c r="O213" s="2675"/>
      <c r="P213" s="2675"/>
      <c r="Q213" s="2675"/>
    </row>
    <row r="214" spans="1:18" ht="35.25" hidden="1" customHeight="1">
      <c r="C214" s="2546" t="str">
        <f>C134</f>
        <v>Affordable Housing Program(s) that Provided Financing</v>
      </c>
      <c r="D214" s="2546"/>
      <c r="E214" s="2546"/>
      <c r="F214" s="776" t="s">
        <v>41</v>
      </c>
      <c r="G214" s="2540" t="s">
        <v>890</v>
      </c>
      <c r="H214" s="2540"/>
      <c r="I214" s="857"/>
      <c r="J214" s="846"/>
      <c r="K214" s="2570"/>
      <c r="L214" s="2685"/>
      <c r="M214" s="2002">
        <v>1</v>
      </c>
      <c r="N214" s="2674" t="s">
        <v>2762</v>
      </c>
      <c r="O214" s="2675"/>
      <c r="P214" s="2675"/>
      <c r="Q214" s="2675"/>
    </row>
    <row r="215" spans="1:18" ht="35.25" hidden="1" customHeight="1">
      <c r="C215" s="2546" t="s">
        <v>2317</v>
      </c>
      <c r="D215" s="2546"/>
      <c r="E215" s="2546"/>
      <c r="F215" s="2541"/>
      <c r="G215" s="2541"/>
      <c r="H215" s="2541"/>
      <c r="I215" s="857"/>
      <c r="J215" s="846"/>
      <c r="K215" s="2570"/>
      <c r="L215" s="2685"/>
      <c r="M215" s="2002">
        <v>1</v>
      </c>
      <c r="N215" s="2674" t="s">
        <v>2762</v>
      </c>
      <c r="O215" s="2675"/>
      <c r="P215" s="2675"/>
      <c r="Q215" s="2675"/>
    </row>
    <row r="216" spans="1:18" ht="40.15" hidden="1" customHeight="1">
      <c r="C216" s="2546" t="s">
        <v>888</v>
      </c>
      <c r="D216" s="2546"/>
      <c r="E216" s="2546"/>
      <c r="F216" s="843"/>
      <c r="G216" s="2552"/>
      <c r="H216" s="2540"/>
      <c r="I216" s="857"/>
      <c r="J216" s="846"/>
      <c r="K216" s="2570"/>
      <c r="L216" s="2685"/>
      <c r="M216" s="2002">
        <v>1</v>
      </c>
      <c r="N216" s="2674" t="s">
        <v>2762</v>
      </c>
      <c r="O216" s="2675"/>
      <c r="P216" s="2675"/>
      <c r="Q216" s="2675"/>
    </row>
    <row r="217" spans="1:18" ht="50.25" hidden="1" customHeight="1">
      <c r="D217" s="2544" t="s">
        <v>898</v>
      </c>
      <c r="E217" s="2544"/>
      <c r="F217" s="2544"/>
      <c r="G217" s="2544"/>
      <c r="H217" s="2544"/>
      <c r="I217" s="857"/>
      <c r="J217" s="846"/>
      <c r="K217" s="2570"/>
      <c r="L217" s="2685"/>
      <c r="M217" s="2682">
        <v>0</v>
      </c>
      <c r="N217" s="2674" t="str">
        <f>"When Master and Subsection Master (ii) is ""On"", Column M controls Rows "&amp;TEXT(ROW($A217),"0")&amp;":"&amp;TEXT(ROW($A219),"0")</f>
        <v>When Master and Subsection Master (ii) is "On", Column M controls Rows 217:219</v>
      </c>
      <c r="O217" s="2675"/>
      <c r="P217" s="2675"/>
      <c r="Q217" s="2675"/>
    </row>
    <row r="218" spans="1:18" ht="40.15" hidden="1" customHeight="1">
      <c r="D218" s="826"/>
      <c r="E218" s="660" t="s">
        <v>41</v>
      </c>
      <c r="F218" s="2550" t="str">
        <f>IF(OR(Q217=0,DS_GCExp_MinDevs_DB=0,GCExp_Davis_Bacon_2="&lt;select one&gt;"),"","The Applicant indicated the GC "&amp;IF(GCExp_Davis_Bacon_2="Yes","meets","does NOT meet")&amp;" the Davis-Bacon experience requirement for this completed development and the Applicant indicates the GC "&amp;IF(IF(AND(M206&gt;0,GCExp_Davis_Bacon_1="Yes"),1,0)+IF(AND(Q217&gt;0,GCExp_Davis_Bacon_2="Yes"),1,0)&lt;DS_GCExp_MinDevs_DB,"does NOT meet","meets")&amp;" the requirement of at least "&amp;TEXT(DS_GCExp_MinDevs_DB,"0")&amp;" completed development"&amp;IF(DS_GCExp_MinDevs_DB&gt;1,"s","")&amp;" with Davis-Bacon experience.")</f>
        <v/>
      </c>
      <c r="G218" s="2550"/>
      <c r="H218" s="2550"/>
      <c r="I218" s="857"/>
      <c r="J218" s="846"/>
      <c r="K218" s="2570"/>
      <c r="L218" s="2685"/>
      <c r="M218" s="2682"/>
      <c r="N218" s="50"/>
      <c r="R218" s="312"/>
    </row>
    <row r="219" spans="1:18" ht="10.5" hidden="1" customHeight="1">
      <c r="I219" s="857"/>
      <c r="J219" s="846"/>
      <c r="K219" s="2570"/>
      <c r="L219" s="2685"/>
      <c r="M219" s="2682"/>
      <c r="N219" s="50"/>
      <c r="R219" s="312"/>
    </row>
    <row r="220" spans="1:18" ht="14.65" hidden="1" customHeight="1">
      <c r="C220" s="2609" t="str">
        <f>IF(OR(AND(IF(Q212=1,GCExp_Name_of_Development_2&lt;&gt;"",TRUE),IF(Q213=1,GCExp_Location_of_Development_2&lt;&gt;"",TRUE),IF(Q214=1,GCExp_Selected_Program_2&lt;&gt;"&lt;select one&gt;",TRUE),IF(Q215=1,GCExp_Other_Program_2&lt;&gt;"",TRUE),IF(Q216=1,GCExp_Development_Total_Units_2&lt;&gt;"",TRUE),IF(Q217=1,GCExp_Davis_Bacon_2&lt;&gt;"&lt;select one&gt;",TRUE)),AND(IF(Q212=1,GCExp_Name_of_Development_2="",TRUE),IF(Q213=1,GCExp_Location_of_Development_2="",TRUE),IF(Q214=1,GCExp_Selected_Program_2="&lt;select one&gt;",TRUE),IF(Q215=1,GCExp_Other_Program_2="",TRUE),IF(Q216=1,GCExp_Development_Total_Units_2="",TRUE),IF(Q217=1,GCExp_Davis_Bacon_2="&lt;select one&gt;",TRUE))),"",IF(IF(AND(Q212=1,GCExp_Name_of_Development_2=""),1,0)+IF(AND(Q213=1,GCExp_Location_of_Development_2=""),1,0)+IF(AND(Q214=1,GCExp_Selected_Program_2="&lt;select one&gt;"),1,0)+IF(AND(Q215=1,GCExp_Other_Program_2=""),1,0)+IF(AND(Q216=1,GCExp_Development_Total_Units_2=""),1,0)+IF(AND(Q217=1,GCExp_Davis_Bacon_2="&lt;select one&gt;"),1,0)&gt;1,"Required fields for the above development are","A required field for the above development is")&amp;" missing.")</f>
        <v/>
      </c>
      <c r="D220" s="2610"/>
      <c r="E220" s="2610"/>
      <c r="F220" s="2610"/>
      <c r="G220" s="2610"/>
      <c r="H220" s="2610"/>
      <c r="I220" s="857"/>
      <c r="J220" s="846"/>
      <c r="K220" s="2570"/>
      <c r="L220" s="2686"/>
      <c r="N220" s="2549"/>
      <c r="O220" s="2549"/>
      <c r="P220" s="2549"/>
    </row>
    <row r="221" spans="1:18" ht="10.5" hidden="1" customHeight="1">
      <c r="E221" s="829"/>
      <c r="F221" s="875"/>
      <c r="G221" s="875"/>
      <c r="H221" s="875"/>
      <c r="I221" s="857"/>
      <c r="J221" s="846"/>
      <c r="K221" s="2571"/>
      <c r="N221" s="2553"/>
      <c r="O221" s="2553"/>
      <c r="P221" s="2553"/>
    </row>
    <row r="222" spans="1:18" ht="14.65" customHeight="1">
      <c r="A222" s="335" t="str" cm="1">
        <f t="array" ref="A222">CHAR(CODE(LOOKUP(2,1/(COUNTIF(A$70:A189,"&gt;"&amp;A$70:A189&amp;"*")=0),A$70:A189))+1)</f>
        <v>c</v>
      </c>
      <c r="B222" s="2548" t="s">
        <v>2646</v>
      </c>
      <c r="C222" s="2548"/>
      <c r="D222" s="2548"/>
      <c r="E222" s="2548"/>
      <c r="F222" s="2548"/>
      <c r="G222" s="2548"/>
      <c r="H222" s="2548"/>
      <c r="I222" s="857"/>
      <c r="J222" s="846"/>
      <c r="K222" s="2644" t="s">
        <v>2737</v>
      </c>
      <c r="L222" s="855"/>
      <c r="M222" s="855"/>
      <c r="N222" s="8"/>
    </row>
    <row r="223" spans="1:18" ht="17.649999999999999" customHeight="1">
      <c r="A223" s="50"/>
      <c r="B223" s="78" t="str">
        <f>"(1)"</f>
        <v>(1)</v>
      </c>
      <c r="C223" s="2608" t="s">
        <v>899</v>
      </c>
      <c r="D223" s="2608"/>
      <c r="E223" s="2608"/>
      <c r="F223" s="2608"/>
      <c r="G223" s="2608"/>
      <c r="H223" s="2608"/>
      <c r="I223" s="857"/>
      <c r="J223" s="846"/>
      <c r="K223" s="2645"/>
      <c r="L223" s="855"/>
      <c r="M223" s="855"/>
    </row>
    <row r="224" spans="1:18" ht="50.25" customHeight="1">
      <c r="A224" s="50"/>
      <c r="B224" s="50"/>
      <c r="C224" s="50"/>
      <c r="D224" s="2544" t="s">
        <v>900</v>
      </c>
      <c r="E224" s="2544"/>
      <c r="F224" s="2544"/>
      <c r="G224" s="2544"/>
      <c r="H224" s="2544"/>
      <c r="I224" s="857"/>
      <c r="J224" s="846"/>
      <c r="K224" s="2645"/>
      <c r="L224" s="855"/>
      <c r="M224" s="855"/>
    </row>
    <row r="225" spans="1:14" ht="10.5" customHeight="1">
      <c r="A225" s="50"/>
      <c r="B225" s="50"/>
      <c r="C225" s="50"/>
      <c r="D225" s="50"/>
      <c r="E225" s="41"/>
      <c r="F225" s="41"/>
      <c r="G225" s="41"/>
      <c r="H225" s="41"/>
      <c r="I225" s="857"/>
      <c r="J225" s="846"/>
      <c r="K225" s="2645"/>
      <c r="L225" s="855"/>
      <c r="M225" s="855"/>
      <c r="N225" s="50"/>
    </row>
    <row r="226" spans="1:14" ht="17.649999999999999" customHeight="1">
      <c r="A226" s="50"/>
      <c r="B226" s="79" t="str">
        <f>"(2)"</f>
        <v>(2)</v>
      </c>
      <c r="C226" s="2608" t="s">
        <v>901</v>
      </c>
      <c r="D226" s="2608"/>
      <c r="E226" s="2608"/>
      <c r="F226" s="2608"/>
      <c r="G226" s="2608"/>
      <c r="H226" s="2608"/>
      <c r="I226" s="857"/>
      <c r="J226" s="846"/>
      <c r="K226" s="2645"/>
      <c r="L226" s="855"/>
      <c r="M226" s="855"/>
    </row>
    <row r="227" spans="1:14" ht="50.25" customHeight="1">
      <c r="A227" s="8"/>
      <c r="B227" s="8"/>
      <c r="C227" s="8"/>
      <c r="D227" s="2544" t="s">
        <v>2521</v>
      </c>
      <c r="E227" s="2544"/>
      <c r="F227" s="2544"/>
      <c r="G227" s="2544"/>
      <c r="H227" s="2544"/>
      <c r="I227" s="857"/>
      <c r="J227" s="846"/>
      <c r="K227" s="2645"/>
      <c r="L227" s="855"/>
      <c r="M227" s="855"/>
    </row>
    <row r="228" spans="1:14" ht="10.5" customHeight="1">
      <c r="A228" s="8"/>
      <c r="B228" s="8"/>
      <c r="C228" s="8"/>
      <c r="D228" s="8"/>
      <c r="E228" s="826"/>
      <c r="F228" s="826"/>
      <c r="G228" s="826"/>
      <c r="H228" s="826"/>
      <c r="I228" s="857"/>
      <c r="J228" s="846"/>
      <c r="K228" s="2646"/>
      <c r="L228" s="855"/>
      <c r="M228" s="855"/>
      <c r="N228" s="8"/>
    </row>
    <row r="229" spans="1:14" ht="17.649999999999999" hidden="1" customHeight="1">
      <c r="A229" s="8"/>
      <c r="B229" s="79" t="str">
        <f>"(3)"</f>
        <v>(3)</v>
      </c>
      <c r="C229" s="2608" t="s">
        <v>902</v>
      </c>
      <c r="D229" s="2608"/>
      <c r="E229" s="2608"/>
      <c r="F229" s="2608"/>
      <c r="G229" s="2608"/>
      <c r="H229" s="2608"/>
      <c r="I229" s="857"/>
      <c r="J229" s="846"/>
      <c r="K229" s="2569">
        <v>0</v>
      </c>
      <c r="L229" s="855"/>
      <c r="M229" s="855"/>
      <c r="N229" s="2549" t="s">
        <v>2760</v>
      </c>
    </row>
    <row r="230" spans="1:14" ht="32.25" hidden="1" customHeight="1">
      <c r="A230" s="8"/>
      <c r="B230" s="8"/>
      <c r="C230" s="79" t="str">
        <f>IF(L237=0,"","(a)")</f>
        <v>(a)</v>
      </c>
      <c r="D230" s="2544" t="str">
        <f>"Indicate whether this Application is designated as Priority 1 or Priority 2. "&amp;IF(AND(Priority_Level="&lt;select one&gt;",Name_of_Applicant="")," If no selection is made, the Application will be considered a Priority 2 Application. ","")&amp;IF(AND(Priority_Level="&lt;select one&gt;",K229&gt;0,Name_of_Applicant&lt;&gt;""),"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30" s="2544"/>
      <c r="F230" s="2544"/>
      <c r="G230" s="2544"/>
      <c r="H230" s="2544"/>
      <c r="I230" s="857"/>
      <c r="J230" s="846"/>
      <c r="K230" s="2570"/>
      <c r="L230" s="855"/>
      <c r="M230" s="855"/>
      <c r="N230" s="2549"/>
    </row>
    <row r="231" spans="1:14" ht="17.649999999999999" hidden="1" customHeight="1">
      <c r="A231" s="8"/>
      <c r="B231" s="8"/>
      <c r="C231" s="8"/>
      <c r="D231" s="2547" t="s">
        <v>41</v>
      </c>
      <c r="E231" s="2547"/>
      <c r="F231" s="2611" t="str">
        <f>IF(AND(K73&gt;0,Self_Sourced_Applicant="Yes",Priority_Level&lt;&gt;"Priority 1"),"All Self-Sourced Applicants must select Priority 1","")</f>
        <v/>
      </c>
      <c r="G231" s="2611"/>
      <c r="H231" s="2611"/>
      <c r="I231" s="857"/>
      <c r="J231" s="846"/>
      <c r="K231" s="2570"/>
      <c r="L231" s="50"/>
      <c r="M231" s="50"/>
      <c r="N231" s="50"/>
    </row>
    <row r="232" spans="1:14" ht="10.5" hidden="1" customHeight="1">
      <c r="A232" s="8"/>
      <c r="B232" s="8"/>
      <c r="C232" s="8"/>
      <c r="D232" s="8"/>
      <c r="E232" s="84"/>
      <c r="F232" s="846"/>
      <c r="G232" s="846"/>
      <c r="H232" s="863"/>
      <c r="I232" s="857"/>
      <c r="J232" s="846"/>
      <c r="K232" s="2570"/>
      <c r="M232" s="50"/>
      <c r="N232" s="50"/>
    </row>
    <row r="233" spans="1:14" ht="17.649999999999999" hidden="1" customHeight="1">
      <c r="A233" s="8"/>
      <c r="B233" s="8"/>
      <c r="C233" s="79" t="s">
        <v>862</v>
      </c>
      <c r="D233" s="829" t="s">
        <v>3179</v>
      </c>
      <c r="E233" s="84"/>
      <c r="F233" s="846"/>
      <c r="G233" s="846"/>
      <c r="H233" s="863"/>
      <c r="I233" s="857"/>
      <c r="J233" s="846"/>
      <c r="K233" s="2570"/>
      <c r="L233" s="2562">
        <v>1</v>
      </c>
      <c r="N233" s="1949" t="str">
        <f>"When Master is ""On"", controls Rows "&amp;TEXT(ROW($A233),"0")&amp;":"&amp;TEXT(ROW($A236),"0")</f>
        <v>When Master is "On", controls Rows 233:236</v>
      </c>
    </row>
    <row r="234" spans="1:14" ht="17.649999999999999" hidden="1" customHeight="1">
      <c r="A234" s="8"/>
      <c r="B234" s="8"/>
      <c r="C234" s="8"/>
      <c r="D234" s="2547"/>
      <c r="E234" s="2547"/>
      <c r="F234" s="2547"/>
      <c r="G234" s="2547"/>
      <c r="H234" s="2547"/>
      <c r="I234" s="857"/>
      <c r="J234" s="846"/>
      <c r="K234" s="2570"/>
      <c r="L234" s="2563"/>
      <c r="N234" s="50"/>
    </row>
    <row r="235" spans="1:14" ht="17.649999999999999" hidden="1" customHeight="1">
      <c r="A235" s="8"/>
      <c r="B235" s="8"/>
      <c r="C235" s="8"/>
      <c r="D235" s="2547"/>
      <c r="E235" s="2547"/>
      <c r="F235" s="2547"/>
      <c r="G235" s="2547"/>
      <c r="H235" s="2547"/>
      <c r="I235" s="857"/>
      <c r="J235" s="846"/>
      <c r="K235" s="2570"/>
      <c r="L235" s="2564"/>
      <c r="N235" s="50"/>
    </row>
    <row r="236" spans="1:14" ht="10.5" hidden="1" customHeight="1">
      <c r="A236" s="8"/>
      <c r="B236" s="8"/>
      <c r="C236" s="8"/>
      <c r="D236" s="8"/>
      <c r="E236" s="84"/>
      <c r="F236" s="846"/>
      <c r="G236" s="846"/>
      <c r="H236" s="863"/>
      <c r="I236" s="857"/>
      <c r="J236" s="846"/>
      <c r="K236" s="2570"/>
      <c r="L236" s="2565"/>
      <c r="N236" s="50"/>
    </row>
    <row r="237" spans="1:14" ht="34.5" hidden="1" customHeight="1">
      <c r="A237" s="8"/>
      <c r="B237" s="8"/>
      <c r="C237" s="79" t="s">
        <v>868</v>
      </c>
      <c r="D237" s="2544" t="s">
        <v>2592</v>
      </c>
      <c r="E237" s="2544"/>
      <c r="F237" s="2544"/>
      <c r="G237" s="2544"/>
      <c r="H237" s="2544"/>
      <c r="I237" s="857"/>
      <c r="J237" s="846"/>
      <c r="K237" s="2570"/>
      <c r="L237" s="2562">
        <v>1</v>
      </c>
      <c r="M237" s="2028"/>
      <c r="N237" s="1949" t="str">
        <f>"When Master is ""On"", controls Rows "&amp;TEXT(ROW($A237),"0")&amp;":"&amp;TEXT(ROW($A239),"0")</f>
        <v>When Master is "On", controls Rows 237:239</v>
      </c>
    </row>
    <row r="238" spans="1:14" ht="17.649999999999999" hidden="1" customHeight="1">
      <c r="A238" s="8"/>
      <c r="B238" s="8"/>
      <c r="C238" s="8"/>
      <c r="D238" s="2561" t="s">
        <v>41</v>
      </c>
      <c r="E238" s="2561"/>
      <c r="F238" s="846"/>
      <c r="G238" s="846"/>
      <c r="H238" s="863"/>
      <c r="I238" s="857"/>
      <c r="J238" s="846"/>
      <c r="K238" s="2570"/>
      <c r="L238" s="2563"/>
      <c r="M238" s="2028"/>
      <c r="N238" s="50"/>
    </row>
    <row r="239" spans="1:14" ht="10.5" hidden="1" customHeight="1">
      <c r="A239" s="8"/>
      <c r="B239" s="8"/>
      <c r="C239" s="8"/>
      <c r="D239" s="8"/>
      <c r="E239" s="84"/>
      <c r="F239" s="846"/>
      <c r="G239" s="846"/>
      <c r="H239" s="863"/>
      <c r="I239" s="857"/>
      <c r="J239" s="846"/>
      <c r="K239" s="2571"/>
      <c r="L239" s="2565"/>
      <c r="M239" s="2028"/>
      <c r="N239" s="8"/>
    </row>
    <row r="240" spans="1:14" ht="14.65" hidden="1" customHeight="1">
      <c r="A240" s="335" t="str" cm="1">
        <f t="array" ref="A240">IF(K240=0,"*",CHAR(CODE(LOOKUP(2,1/(COUNTIF(A$70:A239,"&gt;"&amp;A$70:A239&amp;"*")=0),A$70:A239))+1))</f>
        <v>*</v>
      </c>
      <c r="B240" s="2548" t="s">
        <v>2595</v>
      </c>
      <c r="C240" s="2548"/>
      <c r="D240" s="2548"/>
      <c r="E240" s="2548"/>
      <c r="F240" s="2548"/>
      <c r="G240" s="2548"/>
      <c r="H240" s="2548"/>
      <c r="I240" s="857"/>
      <c r="J240" s="846"/>
      <c r="K240" s="2569">
        <v>0</v>
      </c>
      <c r="L240" s="855"/>
      <c r="M240" s="855"/>
      <c r="N240" s="1949" t="str">
        <f>"Controls Rows "&amp;TEXT(ROW($A240),"0")&amp;":"&amp;TEXT(ROW($A242),"0")</f>
        <v>Controls Rows 240:242</v>
      </c>
    </row>
    <row r="241" spans="1:16" ht="14.65" hidden="1" customHeight="1">
      <c r="A241" s="8"/>
      <c r="C241" s="6" t="s">
        <v>2596</v>
      </c>
      <c r="D241" s="8"/>
      <c r="E241" s="84"/>
      <c r="F241" s="846"/>
      <c r="G241" s="846"/>
      <c r="H241" s="863"/>
      <c r="I241" s="857"/>
      <c r="J241" s="846"/>
      <c r="K241" s="2570"/>
      <c r="L241" s="855"/>
      <c r="M241" s="855"/>
      <c r="N241" s="8"/>
    </row>
    <row r="242" spans="1:16" ht="10.5" hidden="1" customHeight="1">
      <c r="A242" s="8"/>
      <c r="B242" s="8"/>
      <c r="C242" s="8"/>
      <c r="D242" s="8"/>
      <c r="E242" s="84"/>
      <c r="F242" s="846"/>
      <c r="G242" s="846"/>
      <c r="H242" s="863"/>
      <c r="I242" s="857"/>
      <c r="J242" s="846"/>
      <c r="K242" s="2571"/>
      <c r="L242" s="855"/>
      <c r="M242" s="855"/>
      <c r="N242" s="8"/>
    </row>
    <row r="243" spans="1:16" ht="14.65" customHeight="1">
      <c r="A243" s="335" t="str" cm="1">
        <f t="array" ref="A243">IF(OR($K$243=0,SUM($L$245:$L$253)=0),"",CHAR(CODE(LOOKUP(2,1/(COUNTIF(A$70:A242,"&gt;"&amp;A$70:A242&amp;"*")=0),A$70:A242))+1))</f>
        <v>d</v>
      </c>
      <c r="B243" s="2548" t="s">
        <v>903</v>
      </c>
      <c r="C243" s="2548"/>
      <c r="D243" s="2548"/>
      <c r="E243" s="2548"/>
      <c r="F243" s="2548"/>
      <c r="G243" s="2548"/>
      <c r="H243" s="2548"/>
      <c r="I243" s="857"/>
      <c r="J243" s="846"/>
      <c r="K243" s="2705">
        <v>1</v>
      </c>
      <c r="L243" s="8"/>
      <c r="M243" s="2038"/>
      <c r="N243" s="1949" t="str">
        <f>"Master, controls Rows "&amp;TEXT(ROW($A243),"0")&amp;":"&amp;TEXT(ROW($A254),"0")</f>
        <v>Master, controls Rows 243:254</v>
      </c>
    </row>
    <row r="244" spans="1:16" ht="17.649999999999999" customHeight="1">
      <c r="A244" s="863"/>
      <c r="B244" s="842" t="str">
        <f>"(1)"</f>
        <v>(1)</v>
      </c>
      <c r="C244" s="2544" t="s">
        <v>904</v>
      </c>
      <c r="D244" s="2544"/>
      <c r="E244" s="2544"/>
      <c r="F244" s="2544"/>
      <c r="G244" s="2544"/>
      <c r="H244" s="2544"/>
      <c r="I244" s="857"/>
      <c r="J244" s="846"/>
      <c r="K244" s="2706"/>
      <c r="L244" s="8"/>
      <c r="M244" s="2038"/>
      <c r="N244" s="8"/>
    </row>
    <row r="245" spans="1:16" ht="17.649999999999999" customHeight="1">
      <c r="A245" s="863"/>
      <c r="B245" s="69"/>
      <c r="C245" s="2545" t="s">
        <v>905</v>
      </c>
      <c r="D245" s="2545"/>
      <c r="E245" s="2545"/>
      <c r="F245" s="837"/>
      <c r="G245" s="838" t="s">
        <v>906</v>
      </c>
      <c r="H245" s="837"/>
      <c r="I245" s="857"/>
      <c r="K245" s="2706"/>
      <c r="L245" s="2000">
        <v>1</v>
      </c>
      <c r="M245" s="50"/>
      <c r="N245" s="1949" t="s">
        <v>2788</v>
      </c>
      <c r="P245" s="50"/>
    </row>
    <row r="246" spans="1:16" ht="17.649999999999999" customHeight="1">
      <c r="A246" s="863"/>
      <c r="B246" s="69"/>
      <c r="C246" s="2545" t="s">
        <v>907</v>
      </c>
      <c r="D246" s="2545"/>
      <c r="E246" s="2545"/>
      <c r="F246" s="843"/>
      <c r="G246" s="73"/>
      <c r="H246" s="73"/>
      <c r="I246" s="857"/>
      <c r="J246" s="52"/>
      <c r="K246" s="2706"/>
      <c r="L246" s="2000">
        <v>1</v>
      </c>
      <c r="M246" s="50"/>
      <c r="N246" s="1949" t="s">
        <v>2788</v>
      </c>
    </row>
    <row r="247" spans="1:16" ht="30" customHeight="1">
      <c r="C247" s="2546" t="s">
        <v>908</v>
      </c>
      <c r="D247" s="2546"/>
      <c r="E247" s="2546"/>
      <c r="F247" s="2567"/>
      <c r="G247" s="2567"/>
      <c r="H247" s="2567"/>
      <c r="I247" s="857"/>
      <c r="K247" s="2706"/>
      <c r="L247" s="2000">
        <v>1</v>
      </c>
      <c r="M247" s="50"/>
      <c r="N247" s="1949" t="s">
        <v>2788</v>
      </c>
      <c r="O247" s="823"/>
    </row>
    <row r="248" spans="1:16" ht="17.649999999999999" customHeight="1">
      <c r="C248" s="2546" t="s">
        <v>909</v>
      </c>
      <c r="D248" s="2546"/>
      <c r="E248" s="2546"/>
      <c r="F248" s="2568"/>
      <c r="G248" s="2568"/>
      <c r="H248" s="2568"/>
      <c r="I248" s="857"/>
      <c r="K248" s="2706"/>
      <c r="L248" s="2000">
        <v>1</v>
      </c>
      <c r="M248" s="50"/>
      <c r="N248" s="1949" t="s">
        <v>2788</v>
      </c>
      <c r="O248" s="823"/>
    </row>
    <row r="249" spans="1:16" ht="17.649999999999999" customHeight="1">
      <c r="C249" s="2546" t="s">
        <v>910</v>
      </c>
      <c r="D249" s="2546"/>
      <c r="E249" s="2546"/>
      <c r="F249" s="2568"/>
      <c r="G249" s="2568"/>
      <c r="H249" s="2568"/>
      <c r="I249" s="857"/>
      <c r="J249" s="15"/>
      <c r="K249" s="2706"/>
      <c r="L249" s="2000">
        <v>1</v>
      </c>
      <c r="M249" s="50"/>
      <c r="N249" s="1949" t="s">
        <v>2788</v>
      </c>
      <c r="O249" s="823"/>
    </row>
    <row r="250" spans="1:16" ht="17.649999999999999" customHeight="1">
      <c r="C250" s="2546" t="s">
        <v>911</v>
      </c>
      <c r="D250" s="2546"/>
      <c r="E250" s="2546"/>
      <c r="F250" s="657" t="s">
        <v>41</v>
      </c>
      <c r="G250" s="71"/>
      <c r="H250" s="71"/>
      <c r="I250" s="857"/>
      <c r="J250" s="15"/>
      <c r="K250" s="2706"/>
      <c r="L250" s="2000">
        <v>1</v>
      </c>
      <c r="M250" s="50"/>
      <c r="N250" s="1949" t="s">
        <v>2788</v>
      </c>
      <c r="O250" s="823"/>
    </row>
    <row r="251" spans="1:16" ht="17.649999999999999" customHeight="1">
      <c r="C251" s="2546" t="s">
        <v>912</v>
      </c>
      <c r="D251" s="2546"/>
      <c r="E251" s="2546"/>
      <c r="F251" s="802"/>
      <c r="G251" s="71"/>
      <c r="H251" s="71"/>
      <c r="I251" s="857"/>
      <c r="J251" s="15"/>
      <c r="K251" s="2706"/>
      <c r="L251" s="2000">
        <v>1</v>
      </c>
      <c r="M251" s="50"/>
      <c r="N251" s="1949" t="s">
        <v>2788</v>
      </c>
      <c r="O251" s="823"/>
    </row>
    <row r="252" spans="1:16" ht="17.649999999999999" customHeight="1">
      <c r="C252" s="2546" t="s">
        <v>913</v>
      </c>
      <c r="D252" s="2546"/>
      <c r="E252" s="2546"/>
      <c r="F252" s="658"/>
      <c r="G252" s="838" t="s">
        <v>914</v>
      </c>
      <c r="H252" s="659"/>
      <c r="I252" s="857"/>
      <c r="K252" s="2706"/>
      <c r="L252" s="2000">
        <v>1</v>
      </c>
      <c r="M252" s="50"/>
      <c r="N252" s="1949" t="s">
        <v>2788</v>
      </c>
      <c r="O252" s="823"/>
      <c r="P252" s="50"/>
    </row>
    <row r="253" spans="1:16" ht="17.649999999999999" customHeight="1">
      <c r="A253" s="863"/>
      <c r="B253" s="863"/>
      <c r="C253" s="2546" t="s">
        <v>915</v>
      </c>
      <c r="D253" s="2546"/>
      <c r="E253" s="2546"/>
      <c r="F253" s="2566"/>
      <c r="G253" s="2567"/>
      <c r="H253" s="2567"/>
      <c r="I253" s="857"/>
      <c r="J253" s="846"/>
      <c r="K253" s="2706"/>
      <c r="L253" s="2000">
        <v>1</v>
      </c>
      <c r="M253" s="50"/>
      <c r="N253" s="1949" t="s">
        <v>2788</v>
      </c>
      <c r="O253" s="823"/>
    </row>
    <row r="254" spans="1:16" ht="10.5" customHeight="1">
      <c r="A254" s="863"/>
      <c r="B254" s="863"/>
      <c r="C254" s="863"/>
      <c r="D254" s="863"/>
      <c r="E254" s="846"/>
      <c r="F254" s="15"/>
      <c r="G254" s="15"/>
      <c r="H254" s="846"/>
      <c r="I254" s="857"/>
      <c r="J254" s="846"/>
      <c r="K254" s="2707"/>
    </row>
    <row r="255" spans="1:16" ht="17.649999999999999" customHeight="1">
      <c r="A255" s="863"/>
      <c r="B255" s="842" t="str">
        <f>IF(SUM($L$247:$L$253)=0,"(1)","(2)")</f>
        <v>(2)</v>
      </c>
      <c r="C255" s="2544" t="s">
        <v>916</v>
      </c>
      <c r="D255" s="2544"/>
      <c r="E255" s="2544"/>
      <c r="F255" s="2544"/>
      <c r="G255" s="2544"/>
      <c r="H255" s="2544"/>
      <c r="I255" s="857"/>
      <c r="J255" s="846"/>
      <c r="K255" s="2569">
        <v>1</v>
      </c>
      <c r="L255" s="855"/>
      <c r="M255" s="855"/>
      <c r="N255" s="2009" t="s">
        <v>2760</v>
      </c>
    </row>
    <row r="256" spans="1:16" ht="37.5" hidden="1" customHeight="1">
      <c r="A256" s="863"/>
      <c r="B256" s="863"/>
      <c r="C256" s="2600" t="s">
        <v>917</v>
      </c>
      <c r="D256" s="2600"/>
      <c r="E256" s="2600"/>
      <c r="F256" s="2600"/>
      <c r="G256" s="2573"/>
      <c r="H256" s="2573"/>
      <c r="I256" s="857"/>
      <c r="J256" s="846"/>
      <c r="K256" s="2570"/>
      <c r="L256" s="2569">
        <v>0</v>
      </c>
      <c r="M256" s="2710">
        <f>IF(K$255=0,0,L256)</f>
        <v>0</v>
      </c>
      <c r="N256" s="1949" t="str">
        <f>"When Master is ""On"", controls Rows "&amp;TEXT(ROW($A256),"0")&amp;":"&amp;TEXT(ROW($A257),"0")</f>
        <v>When Master is "On", controls Rows 256:257</v>
      </c>
    </row>
    <row r="257" spans="1:18" ht="10.5" hidden="1" customHeight="1">
      <c r="A257" s="863"/>
      <c r="B257" s="863"/>
      <c r="C257" s="863"/>
      <c r="D257" s="863"/>
      <c r="E257" s="846"/>
      <c r="F257" s="846"/>
      <c r="G257" s="846"/>
      <c r="H257" s="846"/>
      <c r="I257" s="857"/>
      <c r="J257" s="846"/>
      <c r="K257" s="2570"/>
      <c r="L257" s="2571"/>
      <c r="M257" s="2710"/>
      <c r="N257" s="8"/>
      <c r="O257" s="855"/>
    </row>
    <row r="258" spans="1:18" ht="30.75" customHeight="1">
      <c r="A258" s="863"/>
      <c r="B258" s="863"/>
      <c r="C258" s="78" t="s">
        <v>860</v>
      </c>
      <c r="D258" s="2544" t="s">
        <v>3181</v>
      </c>
      <c r="E258" s="2544"/>
      <c r="F258" s="2544"/>
      <c r="G258" s="2544"/>
      <c r="H258" s="2544"/>
      <c r="I258" s="857"/>
      <c r="J258" s="851"/>
      <c r="K258" s="2570"/>
      <c r="L258" s="2569">
        <v>1</v>
      </c>
      <c r="M258" s="2004">
        <f>IF(K$255=0,0,L258)</f>
        <v>1</v>
      </c>
      <c r="N258" s="2650" t="s">
        <v>2741</v>
      </c>
      <c r="O258" s="2650"/>
      <c r="P258" s="2650"/>
      <c r="Q258" s="2650"/>
    </row>
    <row r="259" spans="1:18" ht="17.649999999999999" customHeight="1">
      <c r="A259" s="863"/>
      <c r="B259" s="863"/>
      <c r="C259" s="863"/>
      <c r="D259" s="2546" t="s">
        <v>885</v>
      </c>
      <c r="E259" s="2546"/>
      <c r="F259" s="2541"/>
      <c r="G259" s="2541"/>
      <c r="H259" s="2541"/>
      <c r="I259" s="857"/>
      <c r="J259" s="846"/>
      <c r="K259" s="2570"/>
      <c r="L259" s="2570"/>
      <c r="M259" s="2002">
        <v>1</v>
      </c>
      <c r="N259" s="2652" t="s">
        <v>2763</v>
      </c>
      <c r="O259" s="2652"/>
      <c r="P259" s="2652"/>
      <c r="Q259" s="2652"/>
      <c r="R259" s="2004">
        <f>IF(OR(K$255=0,L$258=0),0,M259)</f>
        <v>1</v>
      </c>
    </row>
    <row r="260" spans="1:18" ht="35.25" customHeight="1">
      <c r="A260" s="863"/>
      <c r="B260" s="2607"/>
      <c r="C260" s="2607"/>
      <c r="D260" s="2546" t="s">
        <v>886</v>
      </c>
      <c r="E260" s="2546"/>
      <c r="F260" s="2542"/>
      <c r="G260" s="2542"/>
      <c r="H260" s="2542"/>
      <c r="I260" s="857"/>
      <c r="J260" s="846"/>
      <c r="K260" s="2570"/>
      <c r="L260" s="2570"/>
      <c r="M260" s="2002">
        <v>1</v>
      </c>
      <c r="N260" s="2650" t="s">
        <v>2763</v>
      </c>
      <c r="O260" s="2650"/>
      <c r="P260" s="2650"/>
      <c r="Q260" s="2650"/>
      <c r="R260" s="2004">
        <f>IF(OR(K$255=0,L$258=0),0,M260)</f>
        <v>1</v>
      </c>
    </row>
    <row r="261" spans="1:18" ht="29.65" customHeight="1">
      <c r="A261" s="863"/>
      <c r="B261" s="863"/>
      <c r="C261" s="863"/>
      <c r="D261" s="2546" t="s">
        <v>918</v>
      </c>
      <c r="E261" s="2546"/>
      <c r="F261" s="776" t="s">
        <v>41</v>
      </c>
      <c r="G261" s="2598"/>
      <c r="H261" s="2598"/>
      <c r="I261" s="857"/>
      <c r="J261" s="846"/>
      <c r="K261" s="2570"/>
      <c r="L261" s="2570"/>
      <c r="M261" s="2002">
        <v>1</v>
      </c>
      <c r="N261" s="2650" t="s">
        <v>2763</v>
      </c>
      <c r="O261" s="2650"/>
      <c r="P261" s="2650"/>
      <c r="Q261" s="2650"/>
      <c r="R261" s="2004">
        <f>IF(OR(K$255=0,L$258=0),0,M261)</f>
        <v>1</v>
      </c>
    </row>
    <row r="262" spans="1:18" ht="35.25" customHeight="1">
      <c r="A262" s="863"/>
      <c r="B262" s="863"/>
      <c r="C262" s="2546" t="s">
        <v>887</v>
      </c>
      <c r="D262" s="2546"/>
      <c r="E262" s="2546"/>
      <c r="F262" s="776" t="s">
        <v>41</v>
      </c>
      <c r="G262" s="2540" t="s">
        <v>890</v>
      </c>
      <c r="H262" s="2540"/>
      <c r="I262" s="857"/>
      <c r="J262" s="846"/>
      <c r="K262" s="2570"/>
      <c r="L262" s="2570"/>
      <c r="M262" s="2002">
        <v>1</v>
      </c>
      <c r="N262" s="2650" t="s">
        <v>2763</v>
      </c>
      <c r="O262" s="2650"/>
      <c r="P262" s="2650"/>
      <c r="Q262" s="2650"/>
      <c r="R262" s="2004">
        <f>IF(OR(K$255=0,L$258=0),0,M262)</f>
        <v>1</v>
      </c>
    </row>
    <row r="263" spans="1:18" ht="35.25" customHeight="1">
      <c r="A263" s="863"/>
      <c r="B263" s="863"/>
      <c r="C263" s="2546" t="str">
        <f>IF(RIGHT(Data1!$F$7,3)&lt;&gt;"213","If 'Other' is selected above, enter the name of the program","Live Local Multifamily Rental Development Experience:")</f>
        <v>If 'Other' is selected above, enter the name of the program</v>
      </c>
      <c r="D263" s="2546"/>
      <c r="E263" s="2546"/>
      <c r="F263" s="2541"/>
      <c r="G263" s="2541"/>
      <c r="H263" s="2541"/>
      <c r="I263" s="857"/>
      <c r="J263" s="846"/>
      <c r="K263" s="2570"/>
      <c r="L263" s="2570"/>
      <c r="M263" s="2002">
        <v>1</v>
      </c>
      <c r="N263" s="2650" t="s">
        <v>2766</v>
      </c>
      <c r="O263" s="2650"/>
      <c r="P263" s="2650"/>
      <c r="Q263" s="2650"/>
      <c r="R263" s="2006">
        <f>IF(OR(K$255=0,L$258=0,M263=0),0,IF(F262="&lt;select one&gt;",3,IF(AND(F262&lt;&gt;"&lt;select one&gt;",F262&lt;&gt;""""),1,3)))</f>
        <v>3</v>
      </c>
    </row>
    <row r="264" spans="1:18" ht="35.25" hidden="1" customHeight="1">
      <c r="A264" s="863"/>
      <c r="B264" s="863"/>
      <c r="C264" s="863"/>
      <c r="D264" s="2546" t="s">
        <v>2597</v>
      </c>
      <c r="E264" s="2546"/>
      <c r="F264" s="1806" t="s">
        <v>41</v>
      </c>
      <c r="G264" s="1805"/>
      <c r="H264" s="1805"/>
      <c r="I264" s="857"/>
      <c r="J264" s="846"/>
      <c r="K264" s="2570"/>
      <c r="L264" s="2570"/>
      <c r="M264" s="2002">
        <v>0</v>
      </c>
      <c r="N264" s="2650" t="s">
        <v>2763</v>
      </c>
      <c r="O264" s="2650"/>
      <c r="P264" s="2650"/>
      <c r="Q264" s="2650"/>
      <c r="R264" s="2004">
        <f>IF(OR(K$255=0,L$258=0),0,M264)</f>
        <v>0</v>
      </c>
    </row>
    <row r="265" spans="1:18" ht="40.15" customHeight="1">
      <c r="A265" s="8"/>
      <c r="B265" s="8"/>
      <c r="C265" s="8"/>
      <c r="D265" s="2546" t="s">
        <v>888</v>
      </c>
      <c r="E265" s="2546"/>
      <c r="F265" s="843"/>
      <c r="G265" s="2550"/>
      <c r="H265" s="2550"/>
      <c r="I265" s="857"/>
      <c r="J265" s="8"/>
      <c r="K265" s="2570"/>
      <c r="L265" s="2570"/>
      <c r="M265" s="2002">
        <v>1</v>
      </c>
      <c r="N265" s="2650" t="s">
        <v>2763</v>
      </c>
      <c r="O265" s="2650"/>
      <c r="P265" s="2654"/>
      <c r="Q265" s="2010" t="str">
        <f>Data1!I223</f>
        <v>Units-SY</v>
      </c>
      <c r="R265" s="2004">
        <f>IF(OR(K$255=0,L$258=0),0,M265)</f>
        <v>1</v>
      </c>
    </row>
    <row r="266" spans="1:18" ht="50.25" customHeight="1">
      <c r="A266" s="8"/>
      <c r="B266" s="8"/>
      <c r="C266" s="8"/>
      <c r="D266" s="2546" t="s">
        <v>919</v>
      </c>
      <c r="E266" s="2546"/>
      <c r="F266" s="843"/>
      <c r="G266" s="2601"/>
      <c r="H266" s="2550"/>
      <c r="I266" s="857"/>
      <c r="J266" s="8"/>
      <c r="K266" s="2570"/>
      <c r="L266" s="2570"/>
      <c r="M266" s="2002">
        <v>1</v>
      </c>
      <c r="N266" s="2650" t="s">
        <v>2763</v>
      </c>
      <c r="O266" s="2650"/>
      <c r="P266" s="2654"/>
      <c r="Q266" s="2010" t="str">
        <f>Data1!I221</f>
        <v>Years-SNB</v>
      </c>
      <c r="R266" s="2004">
        <f>IF(OR(K$255=0,L$258=0),0,M266)</f>
        <v>1</v>
      </c>
    </row>
    <row r="267" spans="1:18" ht="14.65" customHeight="1">
      <c r="A267" s="8"/>
      <c r="B267" s="2602"/>
      <c r="C267" s="2602"/>
      <c r="D267" s="2602"/>
      <c r="E267" s="2602"/>
      <c r="F267" s="2602"/>
      <c r="G267" s="2602"/>
      <c r="H267" s="2602"/>
      <c r="I267" s="857"/>
      <c r="J267" s="857"/>
      <c r="K267" s="2570"/>
      <c r="L267" s="2570"/>
      <c r="N267" s="2549"/>
      <c r="O267" s="2549"/>
      <c r="Q267" s="1053" t="str">
        <f>Data1!I218</f>
        <v>List-SNB</v>
      </c>
    </row>
    <row r="268" spans="1:18" ht="10.5" customHeight="1">
      <c r="A268" s="8"/>
      <c r="B268" s="8"/>
      <c r="C268" s="8"/>
      <c r="D268" s="8"/>
      <c r="E268" s="16"/>
      <c r="F268" s="846"/>
      <c r="G268" s="866"/>
      <c r="H268" s="846"/>
      <c r="I268" s="857"/>
      <c r="J268" s="857"/>
      <c r="K268" s="2570"/>
      <c r="L268" s="2571"/>
      <c r="N268" s="2549"/>
      <c r="O268" s="2549"/>
    </row>
    <row r="269" spans="1:18" ht="30" customHeight="1">
      <c r="A269" s="863"/>
      <c r="B269" s="863"/>
      <c r="C269" s="78" t="str">
        <f>IF(SUM($R$259:$R$265)=0,"(a)","(b)")</f>
        <v>(b)</v>
      </c>
      <c r="D269" s="2544" t="s">
        <v>3182</v>
      </c>
      <c r="E269" s="2544"/>
      <c r="F269" s="2544"/>
      <c r="G269" s="2544"/>
      <c r="H269" s="2544"/>
      <c r="I269" s="857"/>
      <c r="J269" s="851"/>
      <c r="K269" s="2570"/>
      <c r="L269" s="2569">
        <v>1</v>
      </c>
      <c r="M269" s="2043">
        <f>IF(K$255=0,0,L269)</f>
        <v>1</v>
      </c>
      <c r="N269" s="2700" t="s">
        <v>2742</v>
      </c>
      <c r="O269" s="2675"/>
      <c r="P269" s="2675"/>
      <c r="Q269" s="2675"/>
    </row>
    <row r="270" spans="1:18" ht="17.649999999999999" customHeight="1">
      <c r="A270" s="8"/>
      <c r="B270" s="8"/>
      <c r="C270" s="8"/>
      <c r="D270" s="2546" t="s">
        <v>885</v>
      </c>
      <c r="E270" s="2546"/>
      <c r="F270" s="2541"/>
      <c r="G270" s="2541"/>
      <c r="H270" s="2541"/>
      <c r="I270" s="857"/>
      <c r="J270" s="8"/>
      <c r="K270" s="2570"/>
      <c r="L270" s="2570"/>
      <c r="M270" s="2000">
        <v>1</v>
      </c>
      <c r="N270" s="2700" t="s">
        <v>2765</v>
      </c>
      <c r="O270" s="2675"/>
      <c r="P270" s="2675"/>
      <c r="Q270" s="2675"/>
      <c r="R270" s="2004">
        <f>IF(OR(K$255=0,L$269=0),0,M270)</f>
        <v>1</v>
      </c>
    </row>
    <row r="271" spans="1:18" ht="35.25" customHeight="1">
      <c r="A271" s="8"/>
      <c r="B271" s="2607"/>
      <c r="C271" s="2607"/>
      <c r="D271" s="2546" t="s">
        <v>886</v>
      </c>
      <c r="E271" s="2546"/>
      <c r="F271" s="2542"/>
      <c r="G271" s="2542"/>
      <c r="H271" s="2542"/>
      <c r="I271" s="857"/>
      <c r="J271" s="8"/>
      <c r="K271" s="2570"/>
      <c r="L271" s="2570"/>
      <c r="M271" s="2000">
        <v>1</v>
      </c>
      <c r="N271" s="2700" t="s">
        <v>2765</v>
      </c>
      <c r="O271" s="2675"/>
      <c r="P271" s="2675"/>
      <c r="Q271" s="2675"/>
      <c r="R271" s="2004">
        <f>IF(OR(K$255=0,L$269=0),0,M271)</f>
        <v>1</v>
      </c>
    </row>
    <row r="272" spans="1:18" ht="29.25" customHeight="1">
      <c r="A272" s="8"/>
      <c r="B272" s="8"/>
      <c r="C272" s="8"/>
      <c r="D272" s="2546" t="s">
        <v>918</v>
      </c>
      <c r="E272" s="2546"/>
      <c r="F272" s="776" t="s">
        <v>41</v>
      </c>
      <c r="G272" s="2598"/>
      <c r="H272" s="2598"/>
      <c r="I272" s="857"/>
      <c r="J272" s="8"/>
      <c r="K272" s="2570"/>
      <c r="L272" s="2570"/>
      <c r="M272" s="2000">
        <v>1</v>
      </c>
      <c r="N272" s="2700" t="s">
        <v>2765</v>
      </c>
      <c r="O272" s="2675"/>
      <c r="P272" s="2675"/>
      <c r="Q272" s="2675"/>
      <c r="R272" s="2004">
        <f>IF(OR(K$255=0,L$269=0),0,M272)</f>
        <v>1</v>
      </c>
    </row>
    <row r="273" spans="1:18" ht="35.25" customHeight="1">
      <c r="A273" s="8"/>
      <c r="B273" s="8"/>
      <c r="C273" s="2546" t="s">
        <v>887</v>
      </c>
      <c r="D273" s="2546"/>
      <c r="E273" s="2546"/>
      <c r="F273" s="776" t="s">
        <v>41</v>
      </c>
      <c r="G273" s="2540" t="s">
        <v>890</v>
      </c>
      <c r="H273" s="2540"/>
      <c r="I273" s="857"/>
      <c r="J273" s="8"/>
      <c r="K273" s="2570"/>
      <c r="L273" s="2570"/>
      <c r="M273" s="2000">
        <v>1</v>
      </c>
      <c r="N273" s="2700" t="s">
        <v>2765</v>
      </c>
      <c r="O273" s="2675"/>
      <c r="P273" s="2675"/>
      <c r="Q273" s="2675"/>
      <c r="R273" s="2004">
        <f>IF(OR(K$255=0,L$269=0),0,M273)</f>
        <v>1</v>
      </c>
    </row>
    <row r="274" spans="1:18" ht="35.25" customHeight="1">
      <c r="A274" s="8"/>
      <c r="B274" s="8"/>
      <c r="C274" s="2546" t="str">
        <f>IF(RIGHT(Data1!$F$7,3)&lt;&gt;"213","If 'Other' is selected above, enter the name of the program","Live Local Multifamily Rental Development Experience:")</f>
        <v>If 'Other' is selected above, enter the name of the program</v>
      </c>
      <c r="D274" s="2546"/>
      <c r="E274" s="2546"/>
      <c r="F274" s="2541"/>
      <c r="G274" s="2541"/>
      <c r="H274" s="2541"/>
      <c r="I274" s="857"/>
      <c r="J274" s="8"/>
      <c r="K274" s="2570"/>
      <c r="L274" s="2570"/>
      <c r="M274" s="2000">
        <v>1</v>
      </c>
      <c r="N274" s="2700" t="s">
        <v>2765</v>
      </c>
      <c r="O274" s="2675"/>
      <c r="P274" s="2675"/>
      <c r="Q274" s="2675"/>
      <c r="R274" s="2006">
        <f>IF(OR(K$255=0,L$269=0,M274=0),0,IF(F273="&lt;select one&gt;",3,IF(AND(F273&lt;&gt;"&lt;select one&gt;",F273&lt;&gt;""""),1,3)))</f>
        <v>3</v>
      </c>
    </row>
    <row r="275" spans="1:18" ht="35.25" hidden="1" customHeight="1">
      <c r="A275" s="8"/>
      <c r="B275" s="8"/>
      <c r="C275" s="2546" t="s">
        <v>2597</v>
      </c>
      <c r="D275" s="2546"/>
      <c r="E275" s="2546"/>
      <c r="F275" s="1806" t="s">
        <v>41</v>
      </c>
      <c r="G275" s="1805"/>
      <c r="H275" s="1805"/>
      <c r="I275" s="857"/>
      <c r="J275" s="8"/>
      <c r="K275" s="2570"/>
      <c r="L275" s="2570"/>
      <c r="M275" s="2000">
        <v>0</v>
      </c>
      <c r="N275" s="2700" t="s">
        <v>2765</v>
      </c>
      <c r="O275" s="2675"/>
      <c r="P275" s="2675"/>
      <c r="Q275" s="2675"/>
      <c r="R275" s="2004">
        <f>IF(OR(K$255=0,L$269=0),0,M275)</f>
        <v>0</v>
      </c>
    </row>
    <row r="276" spans="1:18" ht="40.15" customHeight="1">
      <c r="A276" s="8"/>
      <c r="B276" s="8"/>
      <c r="C276" s="8"/>
      <c r="D276" s="2546" t="s">
        <v>888</v>
      </c>
      <c r="E276" s="2546"/>
      <c r="F276" s="843"/>
      <c r="G276" s="2550"/>
      <c r="H276" s="2550"/>
      <c r="I276" s="857"/>
      <c r="J276" s="8"/>
      <c r="K276" s="2570"/>
      <c r="L276" s="2570"/>
      <c r="M276" s="2000">
        <v>1</v>
      </c>
      <c r="N276" s="2700" t="s">
        <v>2765</v>
      </c>
      <c r="O276" s="2675"/>
      <c r="P276" s="2698"/>
      <c r="Q276" s="1053" t="str">
        <f>Data1!J223</f>
        <v>Units-SY</v>
      </c>
      <c r="R276" s="2004">
        <f>IF(OR(K$255=0,L$269=0),0,M276)</f>
        <v>1</v>
      </c>
    </row>
    <row r="277" spans="1:18" ht="50.25" customHeight="1">
      <c r="A277" s="8"/>
      <c r="B277" s="8"/>
      <c r="C277" s="8"/>
      <c r="D277" s="2546" t="s">
        <v>919</v>
      </c>
      <c r="E277" s="2546"/>
      <c r="F277" s="843"/>
      <c r="G277" s="2550"/>
      <c r="H277" s="2550"/>
      <c r="I277" s="857"/>
      <c r="J277" s="8"/>
      <c r="K277" s="2570"/>
      <c r="L277" s="2570"/>
      <c r="M277" s="2000">
        <v>1</v>
      </c>
      <c r="N277" s="2700" t="s">
        <v>2765</v>
      </c>
      <c r="O277" s="2675"/>
      <c r="P277" s="2698"/>
      <c r="Q277" s="1053" t="str">
        <f>Data1!J221</f>
        <v>Years-SNB</v>
      </c>
      <c r="R277" s="2004">
        <f>IF(OR(K$255=0,L$269=0),0,M277)</f>
        <v>1</v>
      </c>
    </row>
    <row r="278" spans="1:18" ht="14.65" customHeight="1">
      <c r="A278" s="8"/>
      <c r="B278" s="2602"/>
      <c r="C278" s="2602"/>
      <c r="D278" s="2602"/>
      <c r="E278" s="2602"/>
      <c r="F278" s="2602"/>
      <c r="G278" s="2602"/>
      <c r="H278" s="2602"/>
      <c r="I278" s="857"/>
      <c r="J278" s="8"/>
      <c r="K278" s="2570"/>
      <c r="L278" s="2701"/>
      <c r="M278" s="2426"/>
      <c r="N278" s="24"/>
      <c r="O278" s="24"/>
      <c r="P278" s="24"/>
      <c r="Q278" s="24"/>
      <c r="R278" s="24"/>
    </row>
    <row r="279" spans="1:18" ht="50.25" customHeight="1">
      <c r="A279" s="8"/>
      <c r="B279" s="2253"/>
      <c r="C279" s="2593" t="s">
        <v>2979</v>
      </c>
      <c r="D279" s="2594"/>
      <c r="E279" s="2594"/>
      <c r="F279" s="2594"/>
      <c r="G279" s="2594"/>
      <c r="H279" s="2595"/>
      <c r="I279" s="857"/>
      <c r="J279" s="8"/>
      <c r="K279" s="2570"/>
      <c r="L279" s="2569">
        <v>1</v>
      </c>
      <c r="M279" s="2426"/>
      <c r="N279" s="24"/>
      <c r="O279" s="24"/>
      <c r="P279" s="24"/>
      <c r="Q279" s="24"/>
      <c r="R279" s="24"/>
    </row>
    <row r="280" spans="1:18" ht="35.25" customHeight="1">
      <c r="A280" s="8"/>
      <c r="B280" s="2253"/>
      <c r="C280" s="2424" t="s">
        <v>1461</v>
      </c>
      <c r="D280" s="2603" t="str">
        <f>IF(MgmtExp_first_Dev_name="","The correct number of Completed Stabilized Affordable Rental Housing Developments will be evaluated.","Information for the correct number of Completed Stabilized Affordable Rental Housing Developments for this RFA has "&amp;IF(MgmtExp_MinDevs_List_Score&lt;&gt;"Yes","NOT ","")&amp;"been provided.")</f>
        <v>The correct number of Completed Stabilized Affordable Rental Housing Developments will be evaluated.</v>
      </c>
      <c r="E280" s="2603"/>
      <c r="F280" s="2603"/>
      <c r="G280" s="2603"/>
      <c r="H280" s="2604"/>
      <c r="I280" s="857"/>
      <c r="J280" s="8"/>
      <c r="K280" s="2570"/>
      <c r="L280" s="2570"/>
      <c r="M280" s="2426"/>
      <c r="N280" s="24"/>
      <c r="O280" s="24"/>
      <c r="P280" s="24"/>
      <c r="Q280" s="24"/>
      <c r="R280" s="24"/>
    </row>
    <row r="281" spans="1:18" ht="35.25" customHeight="1">
      <c r="A281" s="8"/>
      <c r="B281" s="2253"/>
      <c r="C281" s="2424" t="s">
        <v>1461</v>
      </c>
      <c r="D281" s="2603" t="str">
        <f>IF(MgmtExp_first_Dev_name="","The number of units indicated in the Completed Stabilized Affordable Rental Housing Developments will be evaluated.","The number of units managed "&amp;IF(DS_MgmtExp_MinUnits_Devs=1," in any Development",IF(DS_MgmtExp_MinUnits_Devs=2," in each Development","as"))&amp;" indicated in the Completed Stabilized Affordable Rental Housing Developments "&amp;IF(MgmtExp_MinUnits_Score&lt;&gt;"Yes","do NOT reflect","reflects")&amp;" a total number of units no less than "&amp;TEXT(DS_MgmtExp_MinUnits_Percent,"0%")&amp;" percent of the total number of units in the proposed Development.")</f>
        <v>The number of units indicated in the Completed Stabilized Affordable Rental Housing Developments will be evaluated.</v>
      </c>
      <c r="E281" s="2603"/>
      <c r="F281" s="2603"/>
      <c r="G281" s="2603"/>
      <c r="H281" s="2604"/>
      <c r="I281" s="857"/>
      <c r="J281" s="8"/>
      <c r="K281" s="2570"/>
      <c r="L281" s="2570"/>
      <c r="M281" s="2426"/>
      <c r="N281" s="24"/>
      <c r="O281" s="24"/>
      <c r="P281" s="24"/>
      <c r="Q281" s="24"/>
      <c r="R281" s="24"/>
    </row>
    <row r="282" spans="1:18" ht="35.25" customHeight="1">
      <c r="A282" s="8"/>
      <c r="B282" s="2253"/>
      <c r="C282" s="2425" t="s">
        <v>1461</v>
      </c>
      <c r="D282" s="2605" t="str">
        <f>IF(MgmtExp_first_Dev_name="","The number of years of management experience "&amp;IF(DS_MgmtExp_Yrs&gt;1,"in each Development ","")&amp;"indicated in the Completed Stabilized Affordable Rental Housing Developments will be evaluated.","The number of years managed "&amp;IF(DS_MgmtExp_Yrs=1," in any Development",IF(DS_MgmtExp_Yrs=2," in each Development","as"))&amp;" indicated in the Completed Stabilized Affordable Rental Housing Developments "&amp;IF(MgmtExp_MinDevs_time_Score&lt;&gt;"Yes","do NOT reflect","reflects")&amp;" the minuimum required in the RFA.")</f>
        <v>The number of years of management experience in each Development indicated in the Completed Stabilized Affordable Rental Housing Developments will be evaluated.</v>
      </c>
      <c r="E282" s="2605"/>
      <c r="F282" s="2605"/>
      <c r="G282" s="2605"/>
      <c r="H282" s="2606"/>
      <c r="I282" s="857"/>
      <c r="J282" s="8"/>
      <c r="K282" s="2570"/>
      <c r="L282" s="2570"/>
      <c r="M282" s="2426"/>
      <c r="N282" s="24"/>
      <c r="O282" s="24"/>
      <c r="P282" s="24"/>
      <c r="Q282" s="24"/>
      <c r="R282" s="24"/>
    </row>
    <row r="283" spans="1:18" ht="10.5" customHeight="1">
      <c r="A283" s="8"/>
      <c r="B283" s="8"/>
      <c r="C283" s="8"/>
      <c r="D283" s="8"/>
      <c r="E283" s="16"/>
      <c r="F283" s="863"/>
      <c r="G283" s="866"/>
      <c r="H283" s="863"/>
      <c r="I283" s="857"/>
      <c r="J283" s="8"/>
      <c r="K283" s="2571"/>
      <c r="L283" s="2701"/>
      <c r="M283" s="2426"/>
      <c r="N283" s="24"/>
      <c r="O283" s="24"/>
      <c r="P283" s="24"/>
      <c r="Q283" s="24"/>
      <c r="R283" s="24"/>
    </row>
    <row r="284" spans="1:18" ht="17.649999999999999" hidden="1" customHeight="1">
      <c r="A284" s="335" t="str" cm="1">
        <f t="array" ref="A284">IF($K$284=0,"",CHAR(CODE(LOOKUP(2,1/(COUNTIF(A$70:A283,"&gt;"&amp;A$70:A283&amp;"*")=0),A$70:A283))+1))</f>
        <v/>
      </c>
      <c r="B284" s="10" t="s">
        <v>920</v>
      </c>
      <c r="C284" s="8"/>
      <c r="D284" s="8"/>
      <c r="E284" s="16"/>
      <c r="F284" s="863"/>
      <c r="G284" s="866"/>
      <c r="H284" s="863"/>
      <c r="I284" s="857"/>
      <c r="J284" s="8"/>
      <c r="K284" s="2569">
        <v>0</v>
      </c>
      <c r="L284" s="855"/>
      <c r="M284" s="855"/>
      <c r="N284" s="1949" t="str">
        <f>"Controls Rows "&amp;TEXT(ROW($A284),"0")&amp;":"&amp;TEXT(ROW($A287),"0")</f>
        <v>Controls Rows 284:287</v>
      </c>
    </row>
    <row r="285" spans="1:18" ht="62.25" hidden="1" customHeight="1">
      <c r="A285" s="50"/>
      <c r="B285" s="50"/>
      <c r="C285" s="2544" t="s">
        <v>921</v>
      </c>
      <c r="D285" s="2544"/>
      <c r="E285" s="2544"/>
      <c r="F285" s="2544"/>
      <c r="G285" s="2544"/>
      <c r="H285" s="2544"/>
      <c r="I285" s="857"/>
      <c r="J285" s="8"/>
      <c r="K285" s="2570"/>
      <c r="L285" s="855"/>
      <c r="M285" s="855"/>
      <c r="N285" s="8"/>
    </row>
    <row r="286" spans="1:18" ht="17.649999999999999" hidden="1" customHeight="1">
      <c r="A286" s="50"/>
      <c r="B286" s="50"/>
      <c r="C286" s="2573" t="s">
        <v>41</v>
      </c>
      <c r="D286" s="2573"/>
      <c r="E286" s="2573"/>
      <c r="G286" s="846"/>
      <c r="H286" s="846"/>
      <c r="I286" s="857"/>
      <c r="J286" s="8"/>
      <c r="K286" s="2570"/>
      <c r="L286" s="50"/>
      <c r="M286" s="50"/>
      <c r="N286" s="50"/>
    </row>
    <row r="287" spans="1:18" ht="10.5" hidden="1" customHeight="1">
      <c r="A287" s="8"/>
      <c r="B287" s="8"/>
      <c r="C287" s="8"/>
      <c r="D287" s="8"/>
      <c r="E287" s="16"/>
      <c r="F287" s="863"/>
      <c r="G287" s="866"/>
      <c r="H287" s="863"/>
      <c r="I287" s="857"/>
      <c r="J287" s="8"/>
      <c r="K287" s="2571"/>
      <c r="L287" s="50"/>
      <c r="M287" s="50"/>
      <c r="N287" s="50"/>
    </row>
    <row r="288" spans="1:18" ht="14.65" customHeight="1">
      <c r="A288" s="335" t="str" cm="1">
        <f t="array" ref="A288">IF(SUM($K$289:$K$312)=0,"",CHAR(CODE(LOOKUP(2,1/(COUNTIF(A$70:A287,"&gt;"&amp;A$70:A287&amp;"*")=0),A$70:A287))+1))</f>
        <v>e</v>
      </c>
      <c r="B288" s="2548" t="s">
        <v>922</v>
      </c>
      <c r="C288" s="2548"/>
      <c r="D288" s="2548"/>
      <c r="E288" s="2548"/>
      <c r="F288" s="2548"/>
      <c r="G288" s="2548"/>
      <c r="H288" s="2548"/>
      <c r="I288" s="857"/>
      <c r="K288" s="2702" t="s">
        <v>2737</v>
      </c>
      <c r="L288" s="2703"/>
      <c r="M288" s="2704"/>
    </row>
    <row r="289" spans="2:16">
      <c r="B289" s="76" t="str">
        <f>"(1)"</f>
        <v>(1)</v>
      </c>
      <c r="C289" s="2608" t="s">
        <v>923</v>
      </c>
      <c r="D289" s="2608"/>
      <c r="E289" s="2608"/>
      <c r="F289" s="2608"/>
      <c r="G289" s="2608"/>
      <c r="H289" s="2608"/>
      <c r="I289" s="857"/>
      <c r="K289" s="2569">
        <v>1</v>
      </c>
      <c r="L289" s="50"/>
      <c r="M289" s="50"/>
      <c r="N289" s="2014" t="s">
        <v>2760</v>
      </c>
    </row>
    <row r="290" spans="2:16" ht="17.649999999999999" customHeight="1">
      <c r="C290" s="2545" t="s">
        <v>905</v>
      </c>
      <c r="D290" s="2545"/>
      <c r="E290" s="2545"/>
      <c r="F290" s="837"/>
      <c r="G290" s="838" t="s">
        <v>906</v>
      </c>
      <c r="H290" s="837"/>
      <c r="I290" s="857"/>
      <c r="K290" s="2570"/>
      <c r="L290" s="2005">
        <v>1</v>
      </c>
      <c r="M290" s="2013">
        <f t="shared" ref="M290:M299" si="0">IF(K$289=0,0,L290)</f>
        <v>1</v>
      </c>
      <c r="N290" s="2008" t="s">
        <v>2764</v>
      </c>
      <c r="P290" s="50"/>
    </row>
    <row r="291" spans="2:16" ht="17.649999999999999" customHeight="1">
      <c r="C291" s="2545" t="s">
        <v>907</v>
      </c>
      <c r="D291" s="2545"/>
      <c r="E291" s="2545"/>
      <c r="F291" s="843"/>
      <c r="G291" s="73"/>
      <c r="H291" s="73"/>
      <c r="I291" s="857"/>
      <c r="J291" s="52"/>
      <c r="K291" s="2570"/>
      <c r="L291" s="2005">
        <v>1</v>
      </c>
      <c r="M291" s="2013">
        <f t="shared" si="0"/>
        <v>1</v>
      </c>
      <c r="N291" s="2008" t="s">
        <v>2764</v>
      </c>
      <c r="P291" s="50"/>
    </row>
    <row r="292" spans="2:16" ht="17.649999999999999" customHeight="1">
      <c r="C292" s="2545" t="s">
        <v>924</v>
      </c>
      <c r="D292" s="2545"/>
      <c r="E292" s="2545"/>
      <c r="F292" s="2541"/>
      <c r="G292" s="2541"/>
      <c r="H292" s="2541"/>
      <c r="I292" s="857"/>
      <c r="K292" s="2570"/>
      <c r="L292" s="2005">
        <v>1</v>
      </c>
      <c r="M292" s="2013">
        <f t="shared" si="0"/>
        <v>1</v>
      </c>
      <c r="N292" s="2008" t="s">
        <v>2764</v>
      </c>
      <c r="P292" s="50"/>
    </row>
    <row r="293" spans="2:16" ht="30" customHeight="1">
      <c r="C293" s="2545" t="s">
        <v>909</v>
      </c>
      <c r="D293" s="2545"/>
      <c r="E293" s="2545"/>
      <c r="F293" s="2542"/>
      <c r="G293" s="2542"/>
      <c r="H293" s="2542"/>
      <c r="I293" s="857"/>
      <c r="K293" s="2570"/>
      <c r="L293" s="2005">
        <v>1</v>
      </c>
      <c r="M293" s="2013">
        <f t="shared" si="0"/>
        <v>1</v>
      </c>
      <c r="N293" s="2008" t="s">
        <v>2764</v>
      </c>
      <c r="P293" s="50"/>
    </row>
    <row r="294" spans="2:16" ht="17.649999999999999" customHeight="1">
      <c r="C294" s="2545" t="s">
        <v>910</v>
      </c>
      <c r="D294" s="2545"/>
      <c r="E294" s="2545"/>
      <c r="F294" s="843"/>
      <c r="G294" s="72"/>
      <c r="H294" s="74"/>
      <c r="I294" s="857"/>
      <c r="K294" s="2570"/>
      <c r="L294" s="2005">
        <v>1</v>
      </c>
      <c r="M294" s="2013">
        <f t="shared" si="0"/>
        <v>1</v>
      </c>
      <c r="N294" s="2008" t="s">
        <v>2764</v>
      </c>
      <c r="P294" s="50"/>
    </row>
    <row r="295" spans="2:16" ht="17.649999999999999" customHeight="1">
      <c r="C295" s="2545" t="s">
        <v>911</v>
      </c>
      <c r="D295" s="2545"/>
      <c r="E295" s="2545"/>
      <c r="F295" s="657" t="s">
        <v>41</v>
      </c>
      <c r="G295" s="72"/>
      <c r="H295" s="74"/>
      <c r="I295" s="857"/>
      <c r="K295" s="2570"/>
      <c r="L295" s="2005">
        <v>1</v>
      </c>
      <c r="M295" s="2013">
        <f t="shared" si="0"/>
        <v>1</v>
      </c>
      <c r="N295" s="2008" t="s">
        <v>2764</v>
      </c>
      <c r="P295" s="50"/>
    </row>
    <row r="296" spans="2:16" ht="17.649999999999999" customHeight="1">
      <c r="C296" s="2545" t="s">
        <v>912</v>
      </c>
      <c r="D296" s="2545"/>
      <c r="E296" s="2545"/>
      <c r="F296" s="803"/>
      <c r="G296" s="72"/>
      <c r="H296" s="74"/>
      <c r="I296" s="857"/>
      <c r="K296" s="2570"/>
      <c r="L296" s="2005">
        <v>1</v>
      </c>
      <c r="M296" s="2013">
        <f t="shared" si="0"/>
        <v>1</v>
      </c>
      <c r="N296" s="2008" t="s">
        <v>2764</v>
      </c>
      <c r="P296" s="50"/>
    </row>
    <row r="297" spans="2:16" ht="17.649999999999999" customHeight="1">
      <c r="C297" s="2545" t="s">
        <v>913</v>
      </c>
      <c r="D297" s="2545"/>
      <c r="E297" s="2545"/>
      <c r="F297" s="658"/>
      <c r="G297" s="838" t="s">
        <v>914</v>
      </c>
      <c r="H297" s="659"/>
      <c r="I297" s="857"/>
      <c r="K297" s="2570"/>
      <c r="L297" s="2005">
        <v>1</v>
      </c>
      <c r="M297" s="2013">
        <f t="shared" si="0"/>
        <v>1</v>
      </c>
      <c r="N297" s="2008" t="s">
        <v>2764</v>
      </c>
      <c r="P297" s="50"/>
    </row>
    <row r="298" spans="2:16" ht="17.649999999999999" customHeight="1">
      <c r="C298" s="2545" t="s">
        <v>915</v>
      </c>
      <c r="D298" s="2545"/>
      <c r="E298" s="2545"/>
      <c r="F298" s="2599"/>
      <c r="G298" s="2541"/>
      <c r="H298" s="2541"/>
      <c r="I298" s="857"/>
      <c r="K298" s="2570"/>
      <c r="L298" s="2005">
        <v>1</v>
      </c>
      <c r="M298" s="2013">
        <f t="shared" si="0"/>
        <v>1</v>
      </c>
      <c r="N298" s="2008" t="s">
        <v>2764</v>
      </c>
    </row>
    <row r="299" spans="2:16" ht="10.5" customHeight="1">
      <c r="E299" s="829"/>
      <c r="H299" s="829"/>
      <c r="I299" s="857"/>
      <c r="K299" s="2570"/>
      <c r="L299" s="2569">
        <v>1</v>
      </c>
      <c r="M299" s="2708">
        <f t="shared" si="0"/>
        <v>1</v>
      </c>
      <c r="N299" s="2650" t="str">
        <f>"When Master is ""On"", controls Rows "&amp;TEXT(ROW($A299),"0")&amp;":"&amp;TEXT(ROW($A300),"0")</f>
        <v>When Master is "On", controls Rows 299:300</v>
      </c>
      <c r="O299" s="855"/>
    </row>
    <row r="300" spans="2:16" ht="32.25" customHeight="1">
      <c r="E300" s="2596"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300" s="2596"/>
      <c r="G300" s="2596"/>
      <c r="H300" s="2596"/>
      <c r="I300" s="857"/>
      <c r="K300" s="2570"/>
      <c r="L300" s="2571"/>
      <c r="M300" s="2709"/>
      <c r="N300" s="2650"/>
      <c r="O300" s="855"/>
    </row>
    <row r="301" spans="2:16" ht="14.65" customHeight="1">
      <c r="E301" s="829"/>
      <c r="H301" s="829"/>
      <c r="I301" s="857"/>
      <c r="K301" s="2571"/>
      <c r="L301" s="855"/>
      <c r="M301" s="855"/>
      <c r="N301" s="954"/>
      <c r="O301" s="855"/>
    </row>
    <row r="302" spans="2:16">
      <c r="B302" s="77" t="str">
        <f>IF(SUM($L$290:$L$298)=0,"(1)","(2)")</f>
        <v>(2)</v>
      </c>
      <c r="C302" s="2597" t="s">
        <v>925</v>
      </c>
      <c r="D302" s="2597"/>
      <c r="E302" s="2597"/>
      <c r="F302" s="2597"/>
      <c r="G302" s="2597"/>
      <c r="H302" s="2597"/>
      <c r="I302" s="857"/>
      <c r="K302" s="2569">
        <v>1</v>
      </c>
      <c r="L302" s="855"/>
      <c r="M302" s="855"/>
      <c r="N302" s="2015" t="s">
        <v>2760</v>
      </c>
      <c r="O302" s="855"/>
    </row>
    <row r="303" spans="2:16" ht="17.649999999999999" customHeight="1">
      <c r="C303" s="2545" t="s">
        <v>905</v>
      </c>
      <c r="D303" s="2545"/>
      <c r="E303" s="2545"/>
      <c r="F303" s="837"/>
      <c r="G303" s="838" t="s">
        <v>906</v>
      </c>
      <c r="H303" s="837"/>
      <c r="I303" s="857"/>
      <c r="K303" s="2570"/>
      <c r="L303" s="2002">
        <v>1</v>
      </c>
      <c r="M303" s="2006">
        <f t="shared" ref="M303:M311" si="1">IF(K$302=0,0,L303)</f>
        <v>1</v>
      </c>
      <c r="N303" s="2007" t="s">
        <v>2764</v>
      </c>
      <c r="P303" s="50"/>
    </row>
    <row r="304" spans="2:16" ht="17.649999999999999" customHeight="1">
      <c r="C304" s="2545" t="s">
        <v>907</v>
      </c>
      <c r="D304" s="2545"/>
      <c r="E304" s="2545"/>
      <c r="F304" s="843"/>
      <c r="G304" s="72"/>
      <c r="H304" s="72"/>
      <c r="I304" s="857"/>
      <c r="J304" s="52"/>
      <c r="K304" s="2570"/>
      <c r="L304" s="2002">
        <v>1</v>
      </c>
      <c r="M304" s="2006">
        <f t="shared" si="1"/>
        <v>1</v>
      </c>
      <c r="N304" s="2007" t="s">
        <v>2764</v>
      </c>
      <c r="P304" s="50"/>
    </row>
    <row r="305" spans="3:16" ht="17.649999999999999" customHeight="1">
      <c r="C305" s="2545" t="s">
        <v>924</v>
      </c>
      <c r="D305" s="2545"/>
      <c r="E305" s="2545"/>
      <c r="F305" s="2541"/>
      <c r="G305" s="2541"/>
      <c r="H305" s="2541"/>
      <c r="I305" s="857"/>
      <c r="K305" s="2570"/>
      <c r="L305" s="2002">
        <v>1</v>
      </c>
      <c r="M305" s="2006">
        <f t="shared" si="1"/>
        <v>1</v>
      </c>
      <c r="N305" s="2007" t="s">
        <v>2764</v>
      </c>
      <c r="P305" s="50"/>
    </row>
    <row r="306" spans="3:16" ht="30.75" customHeight="1">
      <c r="C306" s="2545" t="s">
        <v>909</v>
      </c>
      <c r="D306" s="2545"/>
      <c r="E306" s="2545"/>
      <c r="F306" s="2542"/>
      <c r="G306" s="2542"/>
      <c r="H306" s="2542"/>
      <c r="I306" s="857"/>
      <c r="K306" s="2570"/>
      <c r="L306" s="2002">
        <v>1</v>
      </c>
      <c r="M306" s="2006">
        <f t="shared" si="1"/>
        <v>1</v>
      </c>
      <c r="N306" s="2007" t="s">
        <v>2764</v>
      </c>
      <c r="P306" s="50"/>
    </row>
    <row r="307" spans="3:16" ht="17.649999999999999" customHeight="1">
      <c r="C307" s="2545" t="s">
        <v>910</v>
      </c>
      <c r="D307" s="2545"/>
      <c r="E307" s="2545"/>
      <c r="F307" s="843"/>
      <c r="G307" s="72"/>
      <c r="H307" s="72"/>
      <c r="I307" s="857"/>
      <c r="K307" s="2570"/>
      <c r="L307" s="2002">
        <v>1</v>
      </c>
      <c r="M307" s="2006">
        <f t="shared" si="1"/>
        <v>1</v>
      </c>
      <c r="N307" s="2007" t="s">
        <v>2764</v>
      </c>
      <c r="P307" s="50"/>
    </row>
    <row r="308" spans="3:16" ht="17.649999999999999" customHeight="1">
      <c r="C308" s="2545" t="s">
        <v>911</v>
      </c>
      <c r="D308" s="2545"/>
      <c r="E308" s="2545"/>
      <c r="F308" s="657" t="s">
        <v>41</v>
      </c>
      <c r="G308" s="72"/>
      <c r="H308" s="72"/>
      <c r="I308" s="857"/>
      <c r="K308" s="2570"/>
      <c r="L308" s="2002">
        <v>1</v>
      </c>
      <c r="M308" s="2006">
        <f t="shared" si="1"/>
        <v>1</v>
      </c>
      <c r="N308" s="2007" t="s">
        <v>2764</v>
      </c>
      <c r="P308" s="50"/>
    </row>
    <row r="309" spans="3:16" ht="17.649999999999999" customHeight="1">
      <c r="C309" s="2545" t="s">
        <v>912</v>
      </c>
      <c r="D309" s="2545"/>
      <c r="E309" s="2545"/>
      <c r="F309" s="803"/>
      <c r="G309" s="72"/>
      <c r="H309" s="72"/>
      <c r="I309" s="857"/>
      <c r="K309" s="2570"/>
      <c r="L309" s="2002">
        <v>1</v>
      </c>
      <c r="M309" s="2006">
        <f t="shared" si="1"/>
        <v>1</v>
      </c>
      <c r="N309" s="2007" t="s">
        <v>2764</v>
      </c>
      <c r="P309" s="50"/>
    </row>
    <row r="310" spans="3:16" ht="17.649999999999999" customHeight="1">
      <c r="C310" s="2545" t="s">
        <v>913</v>
      </c>
      <c r="D310" s="2545"/>
      <c r="E310" s="2545"/>
      <c r="F310" s="658"/>
      <c r="G310" s="838" t="s">
        <v>914</v>
      </c>
      <c r="H310" s="659"/>
      <c r="I310" s="857"/>
      <c r="K310" s="2570"/>
      <c r="L310" s="2002">
        <v>1</v>
      </c>
      <c r="M310" s="2006">
        <f t="shared" si="1"/>
        <v>1</v>
      </c>
      <c r="N310" s="2007" t="s">
        <v>2764</v>
      </c>
      <c r="P310" s="50"/>
    </row>
    <row r="311" spans="3:16" ht="17.649999999999999" customHeight="1">
      <c r="C311" s="2545" t="s">
        <v>915</v>
      </c>
      <c r="D311" s="2545"/>
      <c r="E311" s="2545"/>
      <c r="F311" s="2541"/>
      <c r="G311" s="2541"/>
      <c r="H311" s="2541"/>
      <c r="I311" s="857"/>
      <c r="K311" s="2570"/>
      <c r="L311" s="2002">
        <v>1</v>
      </c>
      <c r="M311" s="2006">
        <f t="shared" si="1"/>
        <v>1</v>
      </c>
      <c r="N311" s="2007" t="s">
        <v>2764</v>
      </c>
    </row>
    <row r="312" spans="3:16" ht="10.5" customHeight="1">
      <c r="E312" s="849"/>
      <c r="F312" s="54"/>
      <c r="G312" s="829"/>
      <c r="H312" s="829"/>
      <c r="K312" s="2571"/>
      <c r="L312" s="2012"/>
      <c r="M312" s="2012"/>
      <c r="N312" s="2042"/>
    </row>
  </sheetData>
  <sheetProtection algorithmName="SHA-512" hashValue="uasuixI+f/Bzvj5wBktHc94gR2ApG0Z5X/8lai6QotKqZj6vzxD9/0pVh7dp09ekU2anIqqIreAuw6cLJXuKnQ==" saltValue="FxFO4Uzg92lPYvZ47203Dw==" spinCount="100000" sheet="1" formatRows="0" selectLockedCells="1"/>
  <sortState xmlns:xlrd2="http://schemas.microsoft.com/office/spreadsheetml/2017/richdata2" ref="Y260:Z276">
    <sortCondition ref="Z260:Z276"/>
  </sortState>
  <mergeCells count="456">
    <mergeCell ref="M299:M300"/>
    <mergeCell ref="L279:L283"/>
    <mergeCell ref="M256:M257"/>
    <mergeCell ref="L256:L257"/>
    <mergeCell ref="N270:Q270"/>
    <mergeCell ref="N271:Q271"/>
    <mergeCell ref="N272:Q272"/>
    <mergeCell ref="N151:P151"/>
    <mergeCell ref="N141:P141"/>
    <mergeCell ref="N146:P146"/>
    <mergeCell ref="N147:P147"/>
    <mergeCell ref="N148:P148"/>
    <mergeCell ref="N260:Q260"/>
    <mergeCell ref="N258:Q258"/>
    <mergeCell ref="N261:Q261"/>
    <mergeCell ref="N262:Q262"/>
    <mergeCell ref="K302:K312"/>
    <mergeCell ref="L258:L268"/>
    <mergeCell ref="K139:K148"/>
    <mergeCell ref="K169:K178"/>
    <mergeCell ref="K159:K168"/>
    <mergeCell ref="K149:K158"/>
    <mergeCell ref="K190:K193"/>
    <mergeCell ref="K222:K228"/>
    <mergeCell ref="N162:P162"/>
    <mergeCell ref="N163:P163"/>
    <mergeCell ref="N164:P164"/>
    <mergeCell ref="N165:P165"/>
    <mergeCell ref="N166:P166"/>
    <mergeCell ref="N167:P167"/>
    <mergeCell ref="L299:L300"/>
    <mergeCell ref="N299:N300"/>
    <mergeCell ref="K288:M288"/>
    <mergeCell ref="K289:K301"/>
    <mergeCell ref="N275:Q275"/>
    <mergeCell ref="N269:Q269"/>
    <mergeCell ref="N259:Q259"/>
    <mergeCell ref="K240:K242"/>
    <mergeCell ref="N264:Q264"/>
    <mergeCell ref="K243:K254"/>
    <mergeCell ref="K284:K287"/>
    <mergeCell ref="N267:O268"/>
    <mergeCell ref="N273:Q273"/>
    <mergeCell ref="N274:Q274"/>
    <mergeCell ref="K255:K283"/>
    <mergeCell ref="N276:P276"/>
    <mergeCell ref="N277:P277"/>
    <mergeCell ref="N265:P265"/>
    <mergeCell ref="N266:P266"/>
    <mergeCell ref="N263:Q263"/>
    <mergeCell ref="L269:L278"/>
    <mergeCell ref="K184:K186"/>
    <mergeCell ref="K187:K189"/>
    <mergeCell ref="N188:P188"/>
    <mergeCell ref="N180:N182"/>
    <mergeCell ref="N159:P159"/>
    <mergeCell ref="N170:P170"/>
    <mergeCell ref="N172:P172"/>
    <mergeCell ref="N173:P173"/>
    <mergeCell ref="N139:P139"/>
    <mergeCell ref="N174:P174"/>
    <mergeCell ref="N160:P160"/>
    <mergeCell ref="N169:P169"/>
    <mergeCell ref="N171:P171"/>
    <mergeCell ref="N161:P161"/>
    <mergeCell ref="N150:P150"/>
    <mergeCell ref="N152:P152"/>
    <mergeCell ref="N153:P153"/>
    <mergeCell ref="N154:P154"/>
    <mergeCell ref="N157:P157"/>
    <mergeCell ref="N140:P140"/>
    <mergeCell ref="N142:P142"/>
    <mergeCell ref="N143:P143"/>
    <mergeCell ref="N144:P144"/>
    <mergeCell ref="N145:P145"/>
    <mergeCell ref="Q124:Q128"/>
    <mergeCell ref="K194:K221"/>
    <mergeCell ref="N212:Q212"/>
    <mergeCell ref="N213:Q213"/>
    <mergeCell ref="N214:Q214"/>
    <mergeCell ref="N215:Q215"/>
    <mergeCell ref="N216:Q216"/>
    <mergeCell ref="N217:Q217"/>
    <mergeCell ref="N155:P155"/>
    <mergeCell ref="N156:P156"/>
    <mergeCell ref="N149:P149"/>
    <mergeCell ref="K179:K183"/>
    <mergeCell ref="N194:N195"/>
    <mergeCell ref="N175:P175"/>
    <mergeCell ref="N176:P176"/>
    <mergeCell ref="N177:P177"/>
    <mergeCell ref="N209:N210"/>
    <mergeCell ref="M217:M219"/>
    <mergeCell ref="N211:Q211"/>
    <mergeCell ref="L211:L220"/>
    <mergeCell ref="N220:P220"/>
    <mergeCell ref="M206:M208"/>
    <mergeCell ref="L206:L208"/>
    <mergeCell ref="K138:M138"/>
    <mergeCell ref="K90:K92"/>
    <mergeCell ref="N118:N121"/>
    <mergeCell ref="K122:K124"/>
    <mergeCell ref="K93:K99"/>
    <mergeCell ref="K100:K101"/>
    <mergeCell ref="K102:K103"/>
    <mergeCell ref="K41:K45"/>
    <mergeCell ref="N46:N47"/>
    <mergeCell ref="K64:K67"/>
    <mergeCell ref="K68:K72"/>
    <mergeCell ref="K75:L76"/>
    <mergeCell ref="N71:O72"/>
    <mergeCell ref="K73:K74"/>
    <mergeCell ref="M71:M77"/>
    <mergeCell ref="K77:K82"/>
    <mergeCell ref="N81:N82"/>
    <mergeCell ref="L62:L63"/>
    <mergeCell ref="K58:K63"/>
    <mergeCell ref="K28:K40"/>
    <mergeCell ref="N38:N39"/>
    <mergeCell ref="N4:Q4"/>
    <mergeCell ref="K104:K106"/>
    <mergeCell ref="K117:K121"/>
    <mergeCell ref="K127:K128"/>
    <mergeCell ref="N127:N128"/>
    <mergeCell ref="K107:K116"/>
    <mergeCell ref="K130:K137"/>
    <mergeCell ref="K129:L129"/>
    <mergeCell ref="N125:P125"/>
    <mergeCell ref="N126:P126"/>
    <mergeCell ref="N129:P129"/>
    <mergeCell ref="N130:P130"/>
    <mergeCell ref="N132:P132"/>
    <mergeCell ref="N133:P133"/>
    <mergeCell ref="N134:P134"/>
    <mergeCell ref="N135:P135"/>
    <mergeCell ref="N136:P136"/>
    <mergeCell ref="N137:P137"/>
    <mergeCell ref="O89:P89"/>
    <mergeCell ref="L83:L86"/>
    <mergeCell ref="N131:P131"/>
    <mergeCell ref="K83:K89"/>
    <mergeCell ref="K3:S3"/>
    <mergeCell ref="K20:L21"/>
    <mergeCell ref="K6:K7"/>
    <mergeCell ref="G144:H144"/>
    <mergeCell ref="G147:H147"/>
    <mergeCell ref="E139:H139"/>
    <mergeCell ref="D103:H103"/>
    <mergeCell ref="D101:H101"/>
    <mergeCell ref="C136:E136"/>
    <mergeCell ref="E129:H129"/>
    <mergeCell ref="K4:K5"/>
    <mergeCell ref="K54:K55"/>
    <mergeCell ref="K56:K57"/>
    <mergeCell ref="K46:K53"/>
    <mergeCell ref="K8:L19"/>
    <mergeCell ref="K22:L27"/>
    <mergeCell ref="N28:N29"/>
    <mergeCell ref="L34:L37"/>
    <mergeCell ref="L38:L40"/>
    <mergeCell ref="F133:H133"/>
    <mergeCell ref="C132:E132"/>
    <mergeCell ref="O88:P88"/>
    <mergeCell ref="F130:H130"/>
    <mergeCell ref="G124:H124"/>
    <mergeCell ref="C130:E130"/>
    <mergeCell ref="F132:H132"/>
    <mergeCell ref="C134:E134"/>
    <mergeCell ref="D117:H117"/>
    <mergeCell ref="C133:E133"/>
    <mergeCell ref="D126:F126"/>
    <mergeCell ref="G126:H126"/>
    <mergeCell ref="D128:H128"/>
    <mergeCell ref="C131:E131"/>
    <mergeCell ref="F131:H131"/>
    <mergeCell ref="G134:H134"/>
    <mergeCell ref="F153:H153"/>
    <mergeCell ref="C163:E163"/>
    <mergeCell ref="F150:H150"/>
    <mergeCell ref="C154:E154"/>
    <mergeCell ref="C155:E155"/>
    <mergeCell ref="C160:E160"/>
    <mergeCell ref="C162:E162"/>
    <mergeCell ref="C164:E164"/>
    <mergeCell ref="G164:H164"/>
    <mergeCell ref="E159:H159"/>
    <mergeCell ref="C157:E157"/>
    <mergeCell ref="G156:H156"/>
    <mergeCell ref="G154:H154"/>
    <mergeCell ref="C156:E156"/>
    <mergeCell ref="G157:H157"/>
    <mergeCell ref="F162:H162"/>
    <mergeCell ref="F155:H155"/>
    <mergeCell ref="F163:H163"/>
    <mergeCell ref="C153:E153"/>
    <mergeCell ref="F292:H292"/>
    <mergeCell ref="F270:H270"/>
    <mergeCell ref="B260:C260"/>
    <mergeCell ref="D265:E265"/>
    <mergeCell ref="C263:E263"/>
    <mergeCell ref="F259:H259"/>
    <mergeCell ref="G203:H203"/>
    <mergeCell ref="C203:E203"/>
    <mergeCell ref="F204:H204"/>
    <mergeCell ref="C205:E205"/>
    <mergeCell ref="G205:H205"/>
    <mergeCell ref="F207:H207"/>
    <mergeCell ref="C223:H223"/>
    <mergeCell ref="C220:H220"/>
    <mergeCell ref="C212:E212"/>
    <mergeCell ref="F212:H212"/>
    <mergeCell ref="C248:E248"/>
    <mergeCell ref="C249:E249"/>
    <mergeCell ref="B243:H243"/>
    <mergeCell ref="D230:H230"/>
    <mergeCell ref="F231:H231"/>
    <mergeCell ref="C226:H226"/>
    <mergeCell ref="C229:H229"/>
    <mergeCell ref="F274:H274"/>
    <mergeCell ref="C296:E296"/>
    <mergeCell ref="D261:E261"/>
    <mergeCell ref="D266:E266"/>
    <mergeCell ref="D271:E271"/>
    <mergeCell ref="D272:E272"/>
    <mergeCell ref="D270:E270"/>
    <mergeCell ref="C295:E295"/>
    <mergeCell ref="D258:H258"/>
    <mergeCell ref="D259:E259"/>
    <mergeCell ref="D276:E276"/>
    <mergeCell ref="B288:H288"/>
    <mergeCell ref="B271:C271"/>
    <mergeCell ref="D277:E277"/>
    <mergeCell ref="C292:E292"/>
    <mergeCell ref="G265:H265"/>
    <mergeCell ref="G261:H261"/>
    <mergeCell ref="B267:H267"/>
    <mergeCell ref="D269:H269"/>
    <mergeCell ref="C289:H289"/>
    <mergeCell ref="D260:E260"/>
    <mergeCell ref="G277:H277"/>
    <mergeCell ref="G262:H262"/>
    <mergeCell ref="F263:H263"/>
    <mergeCell ref="G273:H273"/>
    <mergeCell ref="B278:H278"/>
    <mergeCell ref="C285:H285"/>
    <mergeCell ref="C275:E275"/>
    <mergeCell ref="C273:E273"/>
    <mergeCell ref="C274:E274"/>
    <mergeCell ref="D280:H280"/>
    <mergeCell ref="D281:H281"/>
    <mergeCell ref="D282:H282"/>
    <mergeCell ref="F260:H260"/>
    <mergeCell ref="C291:E291"/>
    <mergeCell ref="C279:H279"/>
    <mergeCell ref="C247:E247"/>
    <mergeCell ref="D237:H237"/>
    <mergeCell ref="F306:H306"/>
    <mergeCell ref="F271:H271"/>
    <mergeCell ref="C297:E297"/>
    <mergeCell ref="E300:H300"/>
    <mergeCell ref="C298:E298"/>
    <mergeCell ref="C302:H302"/>
    <mergeCell ref="G276:H276"/>
    <mergeCell ref="G272:H272"/>
    <mergeCell ref="F293:H293"/>
    <mergeCell ref="C286:E286"/>
    <mergeCell ref="F298:H298"/>
    <mergeCell ref="C294:E294"/>
    <mergeCell ref="C290:E290"/>
    <mergeCell ref="C256:F256"/>
    <mergeCell ref="C293:E293"/>
    <mergeCell ref="C255:H255"/>
    <mergeCell ref="D264:E264"/>
    <mergeCell ref="G256:H256"/>
    <mergeCell ref="C262:E262"/>
    <mergeCell ref="G266:H266"/>
    <mergeCell ref="C309:E309"/>
    <mergeCell ref="C310:E310"/>
    <mergeCell ref="C311:E311"/>
    <mergeCell ref="C303:E303"/>
    <mergeCell ref="C304:E304"/>
    <mergeCell ref="C305:E305"/>
    <mergeCell ref="C306:E306"/>
    <mergeCell ref="C307:E307"/>
    <mergeCell ref="F311:H311"/>
    <mergeCell ref="C308:E308"/>
    <mergeCell ref="F305:H305"/>
    <mergeCell ref="B34:H34"/>
    <mergeCell ref="B36:H36"/>
    <mergeCell ref="F32:G32"/>
    <mergeCell ref="G33:H33"/>
    <mergeCell ref="D49:H49"/>
    <mergeCell ref="D52:H52"/>
    <mergeCell ref="D50:H50"/>
    <mergeCell ref="B70:H70"/>
    <mergeCell ref="B64:H64"/>
    <mergeCell ref="B38:H38"/>
    <mergeCell ref="F39:G39"/>
    <mergeCell ref="B54:H54"/>
    <mergeCell ref="B56:H56"/>
    <mergeCell ref="B41:H41"/>
    <mergeCell ref="D43:H43"/>
    <mergeCell ref="D44:H44"/>
    <mergeCell ref="C66:G66"/>
    <mergeCell ref="A68:H68"/>
    <mergeCell ref="F71:H71"/>
    <mergeCell ref="D90:G90"/>
    <mergeCell ref="D105:H105"/>
    <mergeCell ref="D124:F124"/>
    <mergeCell ref="A1:H2"/>
    <mergeCell ref="A8:H8"/>
    <mergeCell ref="B12:H12"/>
    <mergeCell ref="B14:H14"/>
    <mergeCell ref="B16:H16"/>
    <mergeCell ref="B22:H22"/>
    <mergeCell ref="B28:H28"/>
    <mergeCell ref="B10:H10"/>
    <mergeCell ref="F18:G18"/>
    <mergeCell ref="A20:H20"/>
    <mergeCell ref="B27:H27"/>
    <mergeCell ref="F26:G26"/>
    <mergeCell ref="B24:H24"/>
    <mergeCell ref="A6:H6"/>
    <mergeCell ref="A4:H4"/>
    <mergeCell ref="B46:H46"/>
    <mergeCell ref="D48:H48"/>
    <mergeCell ref="B58:H58"/>
    <mergeCell ref="C60:G60"/>
    <mergeCell ref="D51:H51"/>
    <mergeCell ref="C75:H75"/>
    <mergeCell ref="C78:H78"/>
    <mergeCell ref="C81:H81"/>
    <mergeCell ref="D79:E79"/>
    <mergeCell ref="C77:H77"/>
    <mergeCell ref="D86:H86"/>
    <mergeCell ref="D89:H89"/>
    <mergeCell ref="D88:H88"/>
    <mergeCell ref="D125:F125"/>
    <mergeCell ref="G125:H125"/>
    <mergeCell ref="D94:H94"/>
    <mergeCell ref="E98:H98"/>
    <mergeCell ref="C113:H113"/>
    <mergeCell ref="D122:H122"/>
    <mergeCell ref="B107:H107"/>
    <mergeCell ref="D109:H109"/>
    <mergeCell ref="D123:F123"/>
    <mergeCell ref="C108:H108"/>
    <mergeCell ref="D110:H110"/>
    <mergeCell ref="D111:H111"/>
    <mergeCell ref="C115:G115"/>
    <mergeCell ref="G123:H123"/>
    <mergeCell ref="D238:E238"/>
    <mergeCell ref="L233:L236"/>
    <mergeCell ref="D234:H234"/>
    <mergeCell ref="D235:H235"/>
    <mergeCell ref="C253:E253"/>
    <mergeCell ref="C244:H244"/>
    <mergeCell ref="F253:H253"/>
    <mergeCell ref="F247:H247"/>
    <mergeCell ref="F249:H249"/>
    <mergeCell ref="C252:E252"/>
    <mergeCell ref="C245:E245"/>
    <mergeCell ref="B240:H240"/>
    <mergeCell ref="C246:E246"/>
    <mergeCell ref="F248:H248"/>
    <mergeCell ref="C251:E251"/>
    <mergeCell ref="C250:E250"/>
    <mergeCell ref="L237:L239"/>
    <mergeCell ref="K229:K239"/>
    <mergeCell ref="C177:E177"/>
    <mergeCell ref="F202:H202"/>
    <mergeCell ref="E200:H200"/>
    <mergeCell ref="G177:H177"/>
    <mergeCell ref="C215:E215"/>
    <mergeCell ref="E185:H185"/>
    <mergeCell ref="C202:E202"/>
    <mergeCell ref="F215:H215"/>
    <mergeCell ref="C201:E201"/>
    <mergeCell ref="F201:H201"/>
    <mergeCell ref="D184:H184"/>
    <mergeCell ref="C190:H190"/>
    <mergeCell ref="C179:H179"/>
    <mergeCell ref="D180:H180"/>
    <mergeCell ref="D181:H181"/>
    <mergeCell ref="D182:H182"/>
    <mergeCell ref="D187:H187"/>
    <mergeCell ref="E188:H188"/>
    <mergeCell ref="D196:H196"/>
    <mergeCell ref="D199:H199"/>
    <mergeCell ref="F213:H213"/>
    <mergeCell ref="G214:H214"/>
    <mergeCell ref="G166:H166"/>
    <mergeCell ref="E169:H169"/>
    <mergeCell ref="C167:E167"/>
    <mergeCell ref="G174:H174"/>
    <mergeCell ref="C165:E165"/>
    <mergeCell ref="C143:E143"/>
    <mergeCell ref="C150:E150"/>
    <mergeCell ref="C141:E141"/>
    <mergeCell ref="C151:E151"/>
    <mergeCell ref="C161:E161"/>
    <mergeCell ref="F141:H141"/>
    <mergeCell ref="F151:H151"/>
    <mergeCell ref="F161:H161"/>
    <mergeCell ref="G167:H167"/>
    <mergeCell ref="C173:E173"/>
    <mergeCell ref="F173:H173"/>
    <mergeCell ref="C142:E142"/>
    <mergeCell ref="F165:H165"/>
    <mergeCell ref="F160:H160"/>
    <mergeCell ref="F143:H143"/>
    <mergeCell ref="C146:E146"/>
    <mergeCell ref="G146:H146"/>
    <mergeCell ref="C174:E174"/>
    <mergeCell ref="C166:E166"/>
    <mergeCell ref="G176:H176"/>
    <mergeCell ref="C175:E175"/>
    <mergeCell ref="C176:E176"/>
    <mergeCell ref="F170:H170"/>
    <mergeCell ref="F172:H172"/>
    <mergeCell ref="C170:E170"/>
    <mergeCell ref="C172:E172"/>
    <mergeCell ref="F171:H171"/>
    <mergeCell ref="C171:E171"/>
    <mergeCell ref="F175:H175"/>
    <mergeCell ref="B222:H222"/>
    <mergeCell ref="D206:H206"/>
    <mergeCell ref="C204:E204"/>
    <mergeCell ref="N229:N230"/>
    <mergeCell ref="D231:E231"/>
    <mergeCell ref="D227:H227"/>
    <mergeCell ref="F218:H218"/>
    <mergeCell ref="C214:E214"/>
    <mergeCell ref="C209:H209"/>
    <mergeCell ref="E211:H211"/>
    <mergeCell ref="C213:E213"/>
    <mergeCell ref="D224:H224"/>
    <mergeCell ref="C216:E216"/>
    <mergeCell ref="G216:H216"/>
    <mergeCell ref="D217:H217"/>
    <mergeCell ref="N221:P221"/>
    <mergeCell ref="G136:H136"/>
    <mergeCell ref="F135:H135"/>
    <mergeCell ref="F152:H152"/>
    <mergeCell ref="F142:H142"/>
    <mergeCell ref="E149:H149"/>
    <mergeCell ref="C152:E152"/>
    <mergeCell ref="G137:H137"/>
    <mergeCell ref="C145:E145"/>
    <mergeCell ref="C144:E144"/>
    <mergeCell ref="C147:E147"/>
    <mergeCell ref="C137:E137"/>
    <mergeCell ref="F145:H145"/>
    <mergeCell ref="C140:E140"/>
    <mergeCell ref="F140:H140"/>
    <mergeCell ref="C135:E135"/>
  </mergeCells>
  <conditionalFormatting sqref="A4:H5">
    <cfRule type="expression" dxfId="1190" priority="6678">
      <formula>$K$4=0</formula>
    </cfRule>
  </conditionalFormatting>
  <conditionalFormatting sqref="A8:H19 A22:H27">
    <cfRule type="expression" dxfId="1189" priority="5060">
      <formula>$K$4=1</formula>
    </cfRule>
  </conditionalFormatting>
  <conditionalFormatting sqref="A28:H40">
    <cfRule type="expression" dxfId="1187" priority="6486">
      <formula>$K$28=0</formula>
    </cfRule>
  </conditionalFormatting>
  <conditionalFormatting sqref="A34:H37">
    <cfRule type="expression" dxfId="1186" priority="6515">
      <formula>$L$34=0</formula>
    </cfRule>
  </conditionalFormatting>
  <conditionalFormatting sqref="A38:H40">
    <cfRule type="expression" dxfId="1185" priority="6583">
      <formula>$L$38=0</formula>
    </cfRule>
  </conditionalFormatting>
  <conditionalFormatting sqref="A41:H45">
    <cfRule type="expression" dxfId="1184" priority="6618">
      <formula>$K$41=0</formula>
    </cfRule>
  </conditionalFormatting>
  <conditionalFormatting sqref="A46:H53">
    <cfRule type="expression" dxfId="1183" priority="6649">
      <formula>$K$46=0</formula>
    </cfRule>
  </conditionalFormatting>
  <conditionalFormatting sqref="A48:H52 B88:H89 C245:H253">
    <cfRule type="expression" dxfId="1182" priority="337">
      <formula>$L48=0</formula>
    </cfRule>
  </conditionalFormatting>
  <conditionalFormatting sqref="A54:H57">
    <cfRule type="expression" dxfId="1181" priority="87">
      <formula>$K$56=0</formula>
    </cfRule>
  </conditionalFormatting>
  <conditionalFormatting sqref="A58:H63">
    <cfRule type="expression" dxfId="1180" priority="6708">
      <formula>$K$58=0</formula>
    </cfRule>
  </conditionalFormatting>
  <conditionalFormatting sqref="A62:H63">
    <cfRule type="expression" dxfId="1179" priority="4">
      <formula>$L$62=0</formula>
    </cfRule>
  </conditionalFormatting>
  <conditionalFormatting sqref="A64:H67">
    <cfRule type="expression" dxfId="1178" priority="6737">
      <formula>$K$64=0</formula>
    </cfRule>
  </conditionalFormatting>
  <conditionalFormatting sqref="A284:H287">
    <cfRule type="expression" dxfId="1177" priority="8506">
      <formula>$K$284=0</formula>
    </cfRule>
  </conditionalFormatting>
  <conditionalFormatting sqref="A302:H312">
    <cfRule type="expression" dxfId="1176" priority="8615">
      <formula>$K$302=0</formula>
    </cfRule>
  </conditionalFormatting>
  <conditionalFormatting sqref="B143:C143">
    <cfRule type="expression" dxfId="1175" priority="245">
      <formula>DevExp_Natural_Person_Meets&lt;&gt;"Yes"</formula>
    </cfRule>
  </conditionalFormatting>
  <conditionalFormatting sqref="B153:C153">
    <cfRule type="expression" dxfId="1174" priority="217">
      <formula>$E$118&lt;&gt;"Yes"</formula>
    </cfRule>
  </conditionalFormatting>
  <conditionalFormatting sqref="B163:C163">
    <cfRule type="expression" dxfId="1173" priority="213">
      <formula>$E$118&lt;&gt;"Yes"</formula>
    </cfRule>
  </conditionalFormatting>
  <conditionalFormatting sqref="B173:C173">
    <cfRule type="expression" dxfId="1172" priority="209">
      <formula>$E$118&lt;&gt;"Yes"</formula>
    </cfRule>
  </conditionalFormatting>
  <conditionalFormatting sqref="B279:C282 D280:D282 B283:H283">
    <cfRule type="expression" dxfId="1171" priority="18">
      <formula>$L$279=0</formula>
    </cfRule>
  </conditionalFormatting>
  <conditionalFormatting sqref="B180:D182 B179 B183:H183">
    <cfRule type="expression" dxfId="1170" priority="253">
      <formula>DevExp_Natural_Person_Meets&lt;&gt;"Yes"</formula>
    </cfRule>
  </conditionalFormatting>
  <conditionalFormatting sqref="B27:H27">
    <cfRule type="expression" dxfId="1169" priority="154">
      <formula>IFERROR(FIND("NOT",B27),0)&gt;0</formula>
    </cfRule>
  </conditionalFormatting>
  <conditionalFormatting sqref="B43:H43">
    <cfRule type="expression" dxfId="1167" priority="333">
      <formula>DS_ExcelCheckBox_LessThan80=TRUE</formula>
    </cfRule>
  </conditionalFormatting>
  <conditionalFormatting sqref="B43:H44">
    <cfRule type="expression" dxfId="1166" priority="266">
      <formula>AND(ExcelCheckBox_LessThan80="Yes",ExcelCheckBox_AtLeast80="Yes")</formula>
    </cfRule>
  </conditionalFormatting>
  <conditionalFormatting sqref="B44:H44">
    <cfRule type="expression" dxfId="1165" priority="334">
      <formula>DS_ExcelCheckBox_AtLeast80=TRUE</formula>
    </cfRule>
  </conditionalFormatting>
  <conditionalFormatting sqref="B73:H74">
    <cfRule type="expression" dxfId="1163" priority="9139">
      <formula>$K$73=0</formula>
    </cfRule>
  </conditionalFormatting>
  <conditionalFormatting sqref="B77:H92">
    <cfRule type="expression" dxfId="1162" priority="9173">
      <formula>$K$77=0</formula>
    </cfRule>
  </conditionalFormatting>
  <conditionalFormatting sqref="B83:H86">
    <cfRule type="expression" dxfId="1161" priority="16542">
      <formula>$L$88+$K$615=0</formula>
    </cfRule>
  </conditionalFormatting>
  <conditionalFormatting sqref="B83:H89">
    <cfRule type="expression" dxfId="1160" priority="6964">
      <formula>$K$83=0</formula>
    </cfRule>
  </conditionalFormatting>
  <conditionalFormatting sqref="B87:H87">
    <cfRule type="expression" dxfId="1159" priority="6899">
      <formula>$L88+$L89=0</formula>
    </cfRule>
  </conditionalFormatting>
  <conditionalFormatting sqref="B90:H92">
    <cfRule type="expression" dxfId="1158" priority="6999">
      <formula>$K$90=0</formula>
    </cfRule>
  </conditionalFormatting>
  <conditionalFormatting sqref="B93:H99">
    <cfRule type="expression" dxfId="1157" priority="7028">
      <formula>$K$93=0</formula>
    </cfRule>
  </conditionalFormatting>
  <conditionalFormatting sqref="B100:H101">
    <cfRule type="expression" dxfId="1156" priority="7057">
      <formula>$K$100=0</formula>
    </cfRule>
  </conditionalFormatting>
  <conditionalFormatting sqref="B102:H103">
    <cfRule type="expression" dxfId="1155" priority="7059">
      <formula>$K$102=0</formula>
    </cfRule>
  </conditionalFormatting>
  <conditionalFormatting sqref="B104:H106">
    <cfRule type="expression" dxfId="1154" priority="7058">
      <formula>$K$104=0</formula>
    </cfRule>
  </conditionalFormatting>
  <conditionalFormatting sqref="B134:H134 B144:H144 B154:H154 B164:H164 B174:H174">
    <cfRule type="expression" dxfId="1153" priority="9225">
      <formula>AND(RIGHT(Excel_RFA_Number,3)="213",$M134=3)</formula>
    </cfRule>
  </conditionalFormatting>
  <conditionalFormatting sqref="B139:H140 B141:C141 F141 B142:H148">
    <cfRule type="expression" dxfId="1152" priority="7284">
      <formula>$K$139=0</formula>
    </cfRule>
  </conditionalFormatting>
  <conditionalFormatting sqref="B149:H150 B151:C151 F151 B152:H158">
    <cfRule type="expression" dxfId="1151" priority="7455">
      <formula>$K$149=0</formula>
    </cfRule>
  </conditionalFormatting>
  <conditionalFormatting sqref="B159:H160 B161:C161 F161 B162:H168">
    <cfRule type="expression" dxfId="1150" priority="7484">
      <formula>$K$159=0</formula>
    </cfRule>
  </conditionalFormatting>
  <conditionalFormatting sqref="B172:H177 B130:H130 B131:F131 B132:H137 B140:H140 B141:C141 F141 B142:H147 B150:H150 B151:C151 F151 B152:H157 B160:H160 B161:C161 F161 B162:H167 B170:H170 B171:C171 F171 C201:H205 C290:H298 B303:H311">
    <cfRule type="expression" dxfId="1149" priority="9221">
      <formula>$M130=0</formula>
    </cfRule>
  </conditionalFormatting>
  <conditionalFormatting sqref="B172:H178 B169:H170 B171:C171 F171">
    <cfRule type="expression" dxfId="1148" priority="7559">
      <formula>$K$169=0</formula>
    </cfRule>
  </conditionalFormatting>
  <conditionalFormatting sqref="B179:H183">
    <cfRule type="expression" dxfId="1147" priority="20">
      <formula>$K$179=0</formula>
    </cfRule>
  </conditionalFormatting>
  <conditionalFormatting sqref="B184:H186">
    <cfRule type="expression" dxfId="1146" priority="7635">
      <formula>$K$184=0</formula>
    </cfRule>
  </conditionalFormatting>
  <conditionalFormatting sqref="B187:H189">
    <cfRule type="expression" dxfId="1145" priority="7666">
      <formula>$K$187=0</formula>
    </cfRule>
  </conditionalFormatting>
  <conditionalFormatting sqref="B190:H193">
    <cfRule type="expression" dxfId="1144" priority="7699">
      <formula>$K$190=0</formula>
    </cfRule>
  </conditionalFormatting>
  <conditionalFormatting sqref="B194:H221">
    <cfRule type="expression" dxfId="1143" priority="506">
      <formula>$K$194=0</formula>
    </cfRule>
  </conditionalFormatting>
  <conditionalFormatting sqref="B229:H239">
    <cfRule type="expression" dxfId="1142" priority="7963">
      <formula>$K$229=0</formula>
    </cfRule>
  </conditionalFormatting>
  <conditionalFormatting sqref="B240:H242">
    <cfRule type="expression" dxfId="1141" priority="8031">
      <formula>$K$240=0</formula>
    </cfRule>
  </conditionalFormatting>
  <conditionalFormatting sqref="B243:H254">
    <cfRule type="expression" dxfId="1140" priority="24">
      <formula>$K$243=0</formula>
    </cfRule>
  </conditionalFormatting>
  <conditionalFormatting sqref="B255:H278 B279:C282 D280:D282 B283:H283">
    <cfRule type="expression" dxfId="1139" priority="9400">
      <formula>$K$255=0</formula>
    </cfRule>
  </conditionalFormatting>
  <conditionalFormatting sqref="B256:H257">
    <cfRule type="expression" dxfId="1138" priority="9798">
      <formula>$M$256=0</formula>
    </cfRule>
  </conditionalFormatting>
  <conditionalFormatting sqref="B258:H268 F275">
    <cfRule type="expression" dxfId="1137" priority="9949">
      <formula>$L$258=0</formula>
    </cfRule>
  </conditionalFormatting>
  <conditionalFormatting sqref="B259:H266 B270:H277">
    <cfRule type="expression" dxfId="1136" priority="9945">
      <formula>$R259=0</formula>
    </cfRule>
  </conditionalFormatting>
  <conditionalFormatting sqref="B269:H278">
    <cfRule type="expression" dxfId="1135" priority="9913">
      <formula>$L$269=0</formula>
    </cfRule>
  </conditionalFormatting>
  <conditionalFormatting sqref="B289:H301">
    <cfRule type="expression" dxfId="1134" priority="661">
      <formula>$K$289=0</formula>
    </cfRule>
  </conditionalFormatting>
  <conditionalFormatting sqref="C66">
    <cfRule type="expression" dxfId="1133" priority="347">
      <formula>IFERROR(FIND("Elderly",Demographic),0)=0</formula>
    </cfRule>
  </conditionalFormatting>
  <conditionalFormatting sqref="C233">
    <cfRule type="expression" dxfId="1132" priority="13">
      <formula>AND($L$233=0,$K$229&lt;&gt;0)</formula>
    </cfRule>
  </conditionalFormatting>
  <conditionalFormatting sqref="C286">
    <cfRule type="cellIs" dxfId="1131" priority="647" operator="notEqual">
      <formula>"&lt;select one&gt;"</formula>
    </cfRule>
  </conditionalFormatting>
  <conditionalFormatting sqref="C280:D282">
    <cfRule type="expression" dxfId="1130" priority="16666">
      <formula>IFERROR(FIND("NOT",$D280),0)&gt;0</formula>
    </cfRule>
  </conditionalFormatting>
  <conditionalFormatting sqref="C133:E133">
    <cfRule type="expression" dxfId="1129" priority="242">
      <formula>DevExp_natural_person_additional=""</formula>
    </cfRule>
    <cfRule type="expression" dxfId="1128" priority="270">
      <formula>IFERROR(FIND("NOT",$C133),0)&gt;0</formula>
    </cfRule>
  </conditionalFormatting>
  <conditionalFormatting sqref="C143:E143">
    <cfRule type="expression" dxfId="1127" priority="219">
      <formula>IFERROR(FIND("NOT",$C143),0)&gt;0</formula>
    </cfRule>
    <cfRule type="expression" dxfId="1126" priority="220">
      <formula>DevExp_natural_person_additional=""</formula>
    </cfRule>
  </conditionalFormatting>
  <conditionalFormatting sqref="C153:E153">
    <cfRule type="expression" dxfId="1125" priority="215">
      <formula>IFERROR(FIND("NOT",$C153),0)&gt;0</formula>
    </cfRule>
    <cfRule type="expression" dxfId="1124" priority="216">
      <formula>DevExp_natural_person_additional=""</formula>
    </cfRule>
  </conditionalFormatting>
  <conditionalFormatting sqref="C163:E163">
    <cfRule type="expression" dxfId="1123" priority="211">
      <formula>IFERROR(FIND("NOT",$C163),0)&gt;0</formula>
    </cfRule>
    <cfRule type="expression" dxfId="1122" priority="212">
      <formula>DevExp_natural_person_additional=""</formula>
    </cfRule>
  </conditionalFormatting>
  <conditionalFormatting sqref="C173:E173">
    <cfRule type="expression" dxfId="1121" priority="207">
      <formula>IFERROR(FIND("NOT",$C173),0)&gt;0</formula>
    </cfRule>
    <cfRule type="expression" dxfId="1120" priority="208">
      <formula>DevExp_natural_person_additional=""</formula>
    </cfRule>
  </conditionalFormatting>
  <conditionalFormatting sqref="C273:E274">
    <cfRule type="expression" dxfId="1119" priority="587">
      <formula>$E$118&lt;&gt;"Yes"</formula>
    </cfRule>
  </conditionalFormatting>
  <conditionalFormatting sqref="C60:G62">
    <cfRule type="expression" dxfId="1118" priority="3">
      <formula>IFERROR(FIND("Family",Demographic),0)=0</formula>
    </cfRule>
  </conditionalFormatting>
  <conditionalFormatting sqref="C81:H89">
    <cfRule type="expression" dxfId="1117" priority="360">
      <formula>NonProfit_Applicant&lt;&gt;"Yes"</formula>
    </cfRule>
  </conditionalFormatting>
  <conditionalFormatting sqref="C180:H182">
    <cfRule type="expression" dxfId="1116" priority="22">
      <formula>IFERROR(FIND("NOT",$D180),0)&gt;0</formula>
    </cfRule>
  </conditionalFormatting>
  <conditionalFormatting sqref="C206:H208">
    <cfRule type="expression" dxfId="1115" priority="9666">
      <formula>$M$206=0</formula>
    </cfRule>
  </conditionalFormatting>
  <conditionalFormatting sqref="C209:H209">
    <cfRule type="cellIs" dxfId="1114" priority="481" operator="notEqual">
      <formula>""</formula>
    </cfRule>
  </conditionalFormatting>
  <conditionalFormatting sqref="C211:H220">
    <cfRule type="expression" dxfId="1113" priority="9762">
      <formula>$L$211=0</formula>
    </cfRule>
  </conditionalFormatting>
  <conditionalFormatting sqref="C212:H212">
    <cfRule type="expression" dxfId="1112" priority="511">
      <formula>IF(OR($K$194=0,$L$211=0),0,$M$212)=0</formula>
    </cfRule>
  </conditionalFormatting>
  <conditionalFormatting sqref="C213:H213">
    <cfRule type="expression" dxfId="1111" priority="512">
      <formula>IF(OR($K$194=0,$L$211=0),0,$M$213)=0</formula>
    </cfRule>
  </conditionalFormatting>
  <conditionalFormatting sqref="C214:H214">
    <cfRule type="expression" dxfId="1110" priority="514">
      <formula>IF(OR($K$194=0,$L$211=0),0,$M$214)=0</formula>
    </cfRule>
  </conditionalFormatting>
  <conditionalFormatting sqref="C215:H215">
    <cfRule type="expression" dxfId="1109" priority="7730">
      <formula>IF(OR($K$194=0,$L$211=0,$M$215=0),0,IF(AND($F$214&lt;&gt;"&lt;select one&gt;",$F$214&lt;&gt;"Other"),3,IF($F$214="Other",1,IF($F$214="&lt;select one&gt;",1,3))))=0</formula>
    </cfRule>
  </conditionalFormatting>
  <conditionalFormatting sqref="C216:H216">
    <cfRule type="expression" dxfId="1108" priority="9730">
      <formula>IF(OR($K$194=0,$L$211=0),0,$M$216)=0</formula>
    </cfRule>
  </conditionalFormatting>
  <conditionalFormatting sqref="C217:H219">
    <cfRule type="expression" dxfId="1107" priority="9732">
      <formula>IF(OR($K$194=0,$L$211=0),0,$M$217)=0</formula>
    </cfRule>
  </conditionalFormatting>
  <conditionalFormatting sqref="C220:H220">
    <cfRule type="cellIs" dxfId="1106" priority="523" operator="notEqual">
      <formula>""</formula>
    </cfRule>
  </conditionalFormatting>
  <conditionalFormatting sqref="C233:H233">
    <cfRule type="expression" dxfId="1105" priority="12">
      <formula>$D$231&lt;&gt;"Priority 1"</formula>
    </cfRule>
  </conditionalFormatting>
  <conditionalFormatting sqref="C237:H237">
    <cfRule type="expression" dxfId="1104" priority="123">
      <formula>$D$231&lt;&gt;"Priority 1"</formula>
    </cfRule>
  </conditionalFormatting>
  <conditionalFormatting sqref="C237:H239">
    <cfRule type="expression" dxfId="1103" priority="8002">
      <formula>AND($L$237=0,$K$229&lt;&gt;0)</formula>
    </cfRule>
  </conditionalFormatting>
  <conditionalFormatting sqref="C262:H263">
    <cfRule type="expression" dxfId="1102" priority="8065">
      <formula>$E$118&lt;&gt;"Yes"</formula>
    </cfRule>
  </conditionalFormatting>
  <conditionalFormatting sqref="C299:H300">
    <cfRule type="expression" dxfId="1101" priority="10065">
      <formula>$M$299=0</formula>
    </cfRule>
  </conditionalFormatting>
  <conditionalFormatting sqref="D79">
    <cfRule type="cellIs" dxfId="1100" priority="356" operator="notEqual">
      <formula>"&lt;select one&gt;"</formula>
    </cfRule>
  </conditionalFormatting>
  <conditionalFormatting sqref="D97">
    <cfRule type="expression" dxfId="1099" priority="384">
      <formula>$E$96&lt;&gt;"Yes"</formula>
    </cfRule>
  </conditionalFormatting>
  <conditionalFormatting sqref="D231">
    <cfRule type="cellIs" dxfId="1098" priority="534" operator="notEqual">
      <formula>"&lt;select one&gt;"</formula>
    </cfRule>
  </conditionalFormatting>
  <conditionalFormatting sqref="D238">
    <cfRule type="cellIs" dxfId="1097" priority="122" operator="notEqual">
      <formula>"&lt;select one&gt;"</formula>
    </cfRule>
    <cfRule type="cellIs" dxfId="1096" priority="120" operator="equal">
      <formula>""</formula>
    </cfRule>
  </conditionalFormatting>
  <conditionalFormatting sqref="D231:E231">
    <cfRule type="expression" dxfId="1095" priority="9140">
      <formula>AND($K$73&gt;0,$G$73="Yes",$D$231&lt;&gt;"Priority 1")</formula>
    </cfRule>
  </conditionalFormatting>
  <conditionalFormatting sqref="D238:E238">
    <cfRule type="expression" dxfId="1094" priority="8">
      <formula>AND($D$231&lt;&gt;"Priority 1",Tier_Level&lt;&gt;"&lt;select one&gt;")</formula>
    </cfRule>
    <cfRule type="expression" dxfId="1093" priority="9141">
      <formula>$D$231&lt;&gt;"Priority 1"</formula>
    </cfRule>
    <cfRule type="expression" dxfId="1092" priority="9142">
      <formula>AND($K$73&gt;0,$G$73="Yes",$D$231&lt;&gt;"Priority 1")</formula>
    </cfRule>
  </conditionalFormatting>
  <conditionalFormatting sqref="D124:F124">
    <cfRule type="expression" dxfId="1091" priority="256">
      <formula>$K$125+$K$126&gt;0</formula>
    </cfRule>
  </conditionalFormatting>
  <conditionalFormatting sqref="D125:F126">
    <cfRule type="expression" dxfId="1090" priority="257">
      <formula>$G123=""</formula>
    </cfRule>
  </conditionalFormatting>
  <conditionalFormatting sqref="D109:H111">
    <cfRule type="cellIs" dxfId="1089" priority="391" operator="notEqual">
      <formula>""</formula>
    </cfRule>
  </conditionalFormatting>
  <conditionalFormatting sqref="D117:H121">
    <cfRule type="expression" dxfId="1088" priority="392">
      <formula>$K$118=0</formula>
    </cfRule>
  </conditionalFormatting>
  <conditionalFormatting sqref="D120:H120 B122:H130 B131:F131 B132:H140 B141:C141 F141 B142:H150 B151:C151 F151 B152:H160 B161:C161 F161 B162:H170 B171:C171 F171 B172:H178">
    <cfRule type="expression" dxfId="1087" priority="19">
      <formula>AND($K$117=1,DevExp_Natural_Person_Meets&lt;&gt;"Yes")</formula>
    </cfRule>
  </conditionalFormatting>
  <conditionalFormatting sqref="D125:H126">
    <cfRule type="expression" dxfId="1086" priority="36">
      <formula>$K125=0</formula>
    </cfRule>
  </conditionalFormatting>
  <conditionalFormatting sqref="D127:H128">
    <cfRule type="expression" dxfId="1085" priority="252">
      <formula>$K$125+$K$126=0</formula>
    </cfRule>
  </conditionalFormatting>
  <conditionalFormatting sqref="D181:H181">
    <cfRule type="expression" dxfId="1084" priority="21">
      <formula>IFERROR(FIND("&lt;FHFC Needs To Select Criteria&gt;",$D181),0)&gt;0</formula>
    </cfRule>
  </conditionalFormatting>
  <conditionalFormatting sqref="D234:H235">
    <cfRule type="expression" dxfId="1083" priority="9">
      <formula>$D$231&lt;&gt;"Priority 1"</formula>
    </cfRule>
    <cfRule type="cellIs" dxfId="1082" priority="11" operator="notEqual">
      <formula>""</formula>
    </cfRule>
  </conditionalFormatting>
  <conditionalFormatting sqref="E96">
    <cfRule type="cellIs" dxfId="1081" priority="383" operator="notEqual">
      <formula>"&lt;select one&gt;"</formula>
    </cfRule>
  </conditionalFormatting>
  <conditionalFormatting sqref="E118">
    <cfRule type="cellIs" dxfId="1080" priority="393" operator="notEqual">
      <formula>"&lt;select one&gt;"</formula>
    </cfRule>
  </conditionalFormatting>
  <conditionalFormatting sqref="E192">
    <cfRule type="cellIs" dxfId="1079" priority="184" operator="equal">
      <formula>""</formula>
    </cfRule>
    <cfRule type="expression" dxfId="1078" priority="187">
      <formula>AND(E192&lt;&gt;"",E192&lt;&gt;"&lt;select one&gt;")</formula>
    </cfRule>
  </conditionalFormatting>
  <conditionalFormatting sqref="E207">
    <cfRule type="expression" dxfId="1077" priority="468">
      <formula>AND(E207&lt;&gt;"",E207&lt;&gt;"&lt;select one&gt;")</formula>
    </cfRule>
  </conditionalFormatting>
  <conditionalFormatting sqref="E218">
    <cfRule type="cellIs" dxfId="1076" priority="516" operator="notEqual">
      <formula>"&lt;select one&gt;"</formula>
    </cfRule>
  </conditionalFormatting>
  <conditionalFormatting sqref="E98:H98">
    <cfRule type="expression" dxfId="1075" priority="325">
      <formula>Qualify_as_CHDO&lt;&gt;"Yes"</formula>
    </cfRule>
    <cfRule type="expression" dxfId="1074" priority="386">
      <formula>AND($E$96="Yes",E98="")</formula>
    </cfRule>
    <cfRule type="cellIs" dxfId="1073" priority="387" operator="notEqual">
      <formula>""</formula>
    </cfRule>
  </conditionalFormatting>
  <conditionalFormatting sqref="E188:H188">
    <cfRule type="expression" dxfId="1072" priority="7668">
      <formula>AND($K$187&gt;0,IFERROR(FIND("NOT",E188),0)&gt;0,$F$130&lt;&gt;"",$F$132&lt;&gt;"",$F$134&lt;&gt;"&lt;select one&gt;")</formula>
    </cfRule>
  </conditionalFormatting>
  <conditionalFormatting sqref="E300:H300">
    <cfRule type="cellIs" dxfId="1071" priority="687" operator="notEqual">
      <formula>"This area intentionally left blank."</formula>
    </cfRule>
  </conditionalFormatting>
  <conditionalFormatting sqref="F18">
    <cfRule type="cellIs" dxfId="1070" priority="173" operator="notEqual">
      <formula>"&lt;select one&gt;"</formula>
    </cfRule>
  </conditionalFormatting>
  <conditionalFormatting sqref="F26">
    <cfRule type="cellIs" dxfId="1069" priority="167" operator="equal">
      <formula>""</formula>
    </cfRule>
  </conditionalFormatting>
  <conditionalFormatting sqref="F32">
    <cfRule type="cellIs" dxfId="1068" priority="329" operator="notEqual">
      <formula>"&lt;select one&gt;"</formula>
    </cfRule>
  </conditionalFormatting>
  <conditionalFormatting sqref="F39">
    <cfRule type="cellIs" dxfId="1067" priority="150" operator="equal">
      <formula>""</formula>
    </cfRule>
    <cfRule type="cellIs" dxfId="1066" priority="155" operator="notEqual">
      <formula>"&lt;select one&gt;"</formula>
    </cfRule>
  </conditionalFormatting>
  <conditionalFormatting sqref="F133">
    <cfRule type="cellIs" dxfId="1065" priority="323" operator="notEqual">
      <formula>""</formula>
    </cfRule>
  </conditionalFormatting>
  <conditionalFormatting sqref="F134 F144 F154 F164 F174 F32 H66 G73 D79 E96 E118 F203 E207 F214 E218 D231 F250 F261:F262 F272:F273 C286 F295 F308">
    <cfRule type="cellIs" dxfId="1064" priority="32" operator="equal">
      <formula>""</formula>
    </cfRule>
  </conditionalFormatting>
  <conditionalFormatting sqref="F134">
    <cfRule type="cellIs" dxfId="1063" priority="404" operator="notEqual">
      <formula>"&lt;select one&gt;"</formula>
    </cfRule>
  </conditionalFormatting>
  <conditionalFormatting sqref="F136:F137">
    <cfRule type="cellIs" dxfId="1062" priority="309" operator="notEqual">
      <formula>""</formula>
    </cfRule>
  </conditionalFormatting>
  <conditionalFormatting sqref="F137">
    <cfRule type="expression" dxfId="1061" priority="412">
      <formula>AND(F137&lt;&gt;"",OR(N(F137)&gt;YEAR(NOW()),N(F137)&lt;YEAR(DS_DevExp_SinceDate)))</formula>
    </cfRule>
  </conditionalFormatting>
  <conditionalFormatting sqref="F143">
    <cfRule type="cellIs" dxfId="1060" priority="248" operator="notEqual">
      <formula>""</formula>
    </cfRule>
  </conditionalFormatting>
  <conditionalFormatting sqref="F144">
    <cfRule type="cellIs" dxfId="1059" priority="422" operator="notEqual">
      <formula>"&lt;select one&gt;"</formula>
    </cfRule>
  </conditionalFormatting>
  <conditionalFormatting sqref="F146:F147">
    <cfRule type="cellIs" dxfId="1058" priority="427" operator="notEqual">
      <formula>""</formula>
    </cfRule>
  </conditionalFormatting>
  <conditionalFormatting sqref="F147">
    <cfRule type="expression" dxfId="1057" priority="429">
      <formula>AND(F147&lt;&gt;"",OR(N(F147)&gt;YEAR(NOW()),N(F147)&lt;YEAR(DS_DevExp_SinceDate)))</formula>
    </cfRule>
  </conditionalFormatting>
  <conditionalFormatting sqref="F153">
    <cfRule type="cellIs" dxfId="1056" priority="240" operator="notEqual">
      <formula>""</formula>
    </cfRule>
  </conditionalFormatting>
  <conditionalFormatting sqref="F154">
    <cfRule type="cellIs" dxfId="1055" priority="434" operator="notEqual">
      <formula>"&lt;select one&gt;"</formula>
    </cfRule>
  </conditionalFormatting>
  <conditionalFormatting sqref="F156:F157">
    <cfRule type="cellIs" dxfId="1054" priority="436" operator="notEqual">
      <formula>""</formula>
    </cfRule>
  </conditionalFormatting>
  <conditionalFormatting sqref="F157">
    <cfRule type="expression" dxfId="1053" priority="440">
      <formula>AND(F157&lt;&gt;"",OR(N(F157)&gt;YEAR(NOW()),N(F157)&lt;YEAR(DS_DevExp_SinceDate)))</formula>
    </cfRule>
  </conditionalFormatting>
  <conditionalFormatting sqref="F163">
    <cfRule type="cellIs" dxfId="1052" priority="235" operator="notEqual">
      <formula>""</formula>
    </cfRule>
  </conditionalFormatting>
  <conditionalFormatting sqref="F164">
    <cfRule type="cellIs" dxfId="1051" priority="411" operator="notEqual">
      <formula>"&lt;select one&gt;"</formula>
    </cfRule>
  </conditionalFormatting>
  <conditionalFormatting sqref="F166:F167">
    <cfRule type="cellIs" dxfId="1050" priority="414" operator="notEqual">
      <formula>""</formula>
    </cfRule>
  </conditionalFormatting>
  <conditionalFormatting sqref="F167">
    <cfRule type="expression" dxfId="1049" priority="416">
      <formula>AND(F167&lt;&gt;"",OR(N(F167)&gt;YEAR(NOW()),N(F167)&lt;YEAR(DS_DevExp_SinceDate)))</formula>
    </cfRule>
  </conditionalFormatting>
  <conditionalFormatting sqref="F173">
    <cfRule type="cellIs" dxfId="1048" priority="230" operator="notEqual">
      <formula>""</formula>
    </cfRule>
  </conditionalFormatting>
  <conditionalFormatting sqref="F174">
    <cfRule type="cellIs" dxfId="1047" priority="313" operator="notEqual">
      <formula>"&lt;select one&gt;"</formula>
    </cfRule>
  </conditionalFormatting>
  <conditionalFormatting sqref="F176">
    <cfRule type="cellIs" dxfId="1046" priority="394" operator="notEqual">
      <formula>""</formula>
    </cfRule>
  </conditionalFormatting>
  <conditionalFormatting sqref="F177">
    <cfRule type="expression" dxfId="1045" priority="400">
      <formula>AND(F177&lt;&gt;"",OR(N(F177)&gt;YEAR(NOW()),N(F177)&lt;YEAR(DS_DevExp_SinceDate)))</formula>
    </cfRule>
    <cfRule type="cellIs" dxfId="1044" priority="330" stopIfTrue="1" operator="notEqual">
      <formula>""</formula>
    </cfRule>
  </conditionalFormatting>
  <conditionalFormatting sqref="F203">
    <cfRule type="expression" dxfId="1043" priority="455">
      <formula>AND($F203&lt;&gt;"",$F203&lt;&gt;"&lt;select one&gt;")</formula>
    </cfRule>
  </conditionalFormatting>
  <conditionalFormatting sqref="F204 F155 F145 F165 F135 F175">
    <cfRule type="expression" dxfId="1042" priority="9236">
      <formula>$M135=3</formula>
    </cfRule>
  </conditionalFormatting>
  <conditionalFormatting sqref="F205">
    <cfRule type="cellIs" dxfId="1041" priority="457" operator="notEqual">
      <formula>""</formula>
    </cfRule>
  </conditionalFormatting>
  <conditionalFormatting sqref="F214">
    <cfRule type="expression" dxfId="1040" priority="35">
      <formula>AND(F214&lt;&gt;"",F214&lt;&gt;"&lt;select one&gt;")</formula>
    </cfRule>
  </conditionalFormatting>
  <conditionalFormatting sqref="F215">
    <cfRule type="expression" dxfId="1039" priority="9731">
      <formula>IF(OR($K$194=0,$L$211=0,$M$215=0),0,IF(AND($F$214&lt;&gt;"&lt;select one&gt;",$F$214&lt;&gt;"Other"),3,IF($F$214="Other",1,IF($F$214="&lt;select one&gt;",1,3))))=3</formula>
    </cfRule>
  </conditionalFormatting>
  <conditionalFormatting sqref="F216">
    <cfRule type="cellIs" dxfId="1038" priority="497" operator="notEqual">
      <formula>""</formula>
    </cfRule>
  </conditionalFormatting>
  <conditionalFormatting sqref="F245:F246">
    <cfRule type="cellIs" dxfId="1037" priority="540" operator="notEqual">
      <formula>""</formula>
    </cfRule>
  </conditionalFormatting>
  <conditionalFormatting sqref="F250">
    <cfRule type="cellIs" dxfId="1036" priority="546" operator="notEqual">
      <formula>"&lt;select one&gt;"</formula>
    </cfRule>
  </conditionalFormatting>
  <conditionalFormatting sqref="F261:F262">
    <cfRule type="cellIs" dxfId="1035" priority="146" operator="notEqual">
      <formula>"&lt;select one&gt;"</formula>
    </cfRule>
  </conditionalFormatting>
  <conditionalFormatting sqref="F263">
    <cfRule type="expression" dxfId="1034" priority="9950">
      <formula>R263=3</formula>
    </cfRule>
  </conditionalFormatting>
  <conditionalFormatting sqref="F264">
    <cfRule type="expression" dxfId="1033" priority="109">
      <formula>OR($F264="Yes",$F264="No")</formula>
    </cfRule>
    <cfRule type="cellIs" dxfId="1032" priority="108" operator="equal">
      <formula>""</formula>
    </cfRule>
  </conditionalFormatting>
  <conditionalFormatting sqref="F265:F266">
    <cfRule type="cellIs" dxfId="1031" priority="562" operator="notEqual">
      <formula>""</formula>
    </cfRule>
  </conditionalFormatting>
  <conditionalFormatting sqref="F272:F273">
    <cfRule type="cellIs" dxfId="1030" priority="582" operator="notEqual">
      <formula>"&lt;select one&gt;"</formula>
    </cfRule>
  </conditionalFormatting>
  <conditionalFormatting sqref="F274">
    <cfRule type="expression" dxfId="1029" priority="10258">
      <formula>$R274=3</formula>
    </cfRule>
    <cfRule type="cellIs" dxfId="1028" priority="133" operator="notEqual">
      <formula>""</formula>
    </cfRule>
  </conditionalFormatting>
  <conditionalFormatting sqref="F275">
    <cfRule type="expression" dxfId="1027" priority="134">
      <formula>OR($F275="Yes",$F275="No")</formula>
    </cfRule>
    <cfRule type="cellIs" dxfId="1026" priority="8172" operator="equal">
      <formula>""</formula>
    </cfRule>
  </conditionalFormatting>
  <conditionalFormatting sqref="F276:F277">
    <cfRule type="cellIs" dxfId="1025" priority="583" operator="notEqual">
      <formula>""</formula>
    </cfRule>
  </conditionalFormatting>
  <conditionalFormatting sqref="F290:F291">
    <cfRule type="cellIs" dxfId="1024" priority="670" operator="notEqual">
      <formula>""</formula>
    </cfRule>
  </conditionalFormatting>
  <conditionalFormatting sqref="F294">
    <cfRule type="cellIs" dxfId="1023" priority="677" operator="notEqual">
      <formula>""</formula>
    </cfRule>
  </conditionalFormatting>
  <conditionalFormatting sqref="F295">
    <cfRule type="cellIs" dxfId="1022" priority="678" operator="notEqual">
      <formula>"&lt;select one&gt;"</formula>
    </cfRule>
  </conditionalFormatting>
  <conditionalFormatting sqref="F296:F298">
    <cfRule type="cellIs" dxfId="1021" priority="679" operator="notEqual">
      <formula>""</formula>
    </cfRule>
  </conditionalFormatting>
  <conditionalFormatting sqref="F303:F304">
    <cfRule type="cellIs" dxfId="1020" priority="690" operator="notEqual">
      <formula>""</formula>
    </cfRule>
  </conditionalFormatting>
  <conditionalFormatting sqref="F307">
    <cfRule type="cellIs" dxfId="1019" priority="697" operator="notEqual">
      <formula>""</formula>
    </cfRule>
  </conditionalFormatting>
  <conditionalFormatting sqref="F308">
    <cfRule type="cellIs" dxfId="1018" priority="698" operator="notEqual">
      <formula>"&lt;select one&gt;"</formula>
    </cfRule>
  </conditionalFormatting>
  <conditionalFormatting sqref="F309:F310">
    <cfRule type="cellIs" dxfId="1017" priority="699" operator="notEqual">
      <formula>""</formula>
    </cfRule>
  </conditionalFormatting>
  <conditionalFormatting sqref="F26:G26">
    <cfRule type="expression" dxfId="1015" priority="26">
      <formula>$F$26="&lt;select one&gt;"</formula>
    </cfRule>
  </conditionalFormatting>
  <conditionalFormatting sqref="F71:H71">
    <cfRule type="cellIs" dxfId="1010" priority="172" operator="notEqual">
      <formula>""</formula>
    </cfRule>
  </conditionalFormatting>
  <conditionalFormatting sqref="F130:H130 F131">
    <cfRule type="cellIs" dxfId="1009" priority="402" operator="notEqual">
      <formula>""</formula>
    </cfRule>
  </conditionalFormatting>
  <conditionalFormatting sqref="F132:H132">
    <cfRule type="cellIs" dxfId="1008" priority="403" operator="notEqual">
      <formula>"&lt;select one&gt;"</formula>
    </cfRule>
  </conditionalFormatting>
  <conditionalFormatting sqref="F133:H133">
    <cfRule type="expression" dxfId="1007" priority="247">
      <formula>DevExp_natural_person_additional=""</formula>
    </cfRule>
  </conditionalFormatting>
  <conditionalFormatting sqref="F135:H135">
    <cfRule type="expression" dxfId="1006" priority="405">
      <formula>AND(F135&lt;&gt;"",F135&lt;&gt;"&lt;select one&gt;")</formula>
    </cfRule>
  </conditionalFormatting>
  <conditionalFormatting sqref="F140:H140 F141">
    <cfRule type="cellIs" dxfId="1005" priority="420" operator="notEqual">
      <formula>""</formula>
    </cfRule>
  </conditionalFormatting>
  <conditionalFormatting sqref="F142:H142">
    <cfRule type="cellIs" dxfId="1004" priority="421" operator="notEqual">
      <formula>"&lt;select one&gt;"</formula>
    </cfRule>
  </conditionalFormatting>
  <conditionalFormatting sqref="F143:H143">
    <cfRule type="expression" dxfId="1003" priority="222">
      <formula>DevExp_natural_person_additional=""</formula>
    </cfRule>
  </conditionalFormatting>
  <conditionalFormatting sqref="F145:H145">
    <cfRule type="expression" dxfId="1002" priority="425">
      <formula>AND(F145&lt;&gt;"",F145&lt;&gt;"&lt;select one&gt;")</formula>
    </cfRule>
  </conditionalFormatting>
  <conditionalFormatting sqref="F150:H150 F151">
    <cfRule type="cellIs" dxfId="1001" priority="432" operator="notEqual">
      <formula>""</formula>
    </cfRule>
  </conditionalFormatting>
  <conditionalFormatting sqref="F152:H152">
    <cfRule type="cellIs" dxfId="1000" priority="433" operator="notEqual">
      <formula>"&lt;select one&gt;"</formula>
    </cfRule>
  </conditionalFormatting>
  <conditionalFormatting sqref="F153:H153">
    <cfRule type="expression" dxfId="999" priority="237">
      <formula>DevExp_natural_person_additional=""</formula>
    </cfRule>
  </conditionalFormatting>
  <conditionalFormatting sqref="F155:H155">
    <cfRule type="expression" dxfId="998" priority="435">
      <formula>AND(F155&lt;&gt;"",F155&lt;&gt;"&lt;select one&gt;")</formula>
    </cfRule>
  </conditionalFormatting>
  <conditionalFormatting sqref="F160:H160 F161">
    <cfRule type="cellIs" dxfId="997" priority="408" operator="notEqual">
      <formula>""</formula>
    </cfRule>
  </conditionalFormatting>
  <conditionalFormatting sqref="F162:H162">
    <cfRule type="cellIs" dxfId="996" priority="409" operator="notEqual">
      <formula>"&lt;select one&gt;"</formula>
    </cfRule>
  </conditionalFormatting>
  <conditionalFormatting sqref="F163:H163">
    <cfRule type="expression" dxfId="995" priority="232">
      <formula>DevExp_natural_person_additional=""</formula>
    </cfRule>
  </conditionalFormatting>
  <conditionalFormatting sqref="F165:H165">
    <cfRule type="expression" dxfId="994" priority="413">
      <formula>AND(F165&lt;&gt;"",F165&lt;&gt;"&lt;select one&gt;")</formula>
    </cfRule>
  </conditionalFormatting>
  <conditionalFormatting sqref="F170:H170 F171">
    <cfRule type="cellIs" dxfId="993" priority="310" operator="notEqual">
      <formula>""</formula>
    </cfRule>
  </conditionalFormatting>
  <conditionalFormatting sqref="F172:H172">
    <cfRule type="cellIs" dxfId="992" priority="312" operator="notEqual">
      <formula>"&lt;select one&gt;"</formula>
    </cfRule>
  </conditionalFormatting>
  <conditionalFormatting sqref="F173:H173">
    <cfRule type="expression" dxfId="991" priority="227">
      <formula>DevExp_natural_person_additional=""</formula>
    </cfRule>
  </conditionalFormatting>
  <conditionalFormatting sqref="F175:H175">
    <cfRule type="expression" dxfId="990" priority="318">
      <formula>AND(F175&lt;&gt;"",F175&lt;&gt;"&lt;select one&gt;")</formula>
    </cfRule>
  </conditionalFormatting>
  <conditionalFormatting sqref="F201:H202">
    <cfRule type="cellIs" dxfId="989" priority="452" operator="notEqual">
      <formula>""</formula>
    </cfRule>
  </conditionalFormatting>
  <conditionalFormatting sqref="F204:H204">
    <cfRule type="cellIs" dxfId="988" priority="456" operator="notEqual">
      <formula>""</formula>
    </cfRule>
  </conditionalFormatting>
  <conditionalFormatting sqref="F207:H207">
    <cfRule type="expression" dxfId="987" priority="478">
      <formula>AND($F207&lt;&gt;"",IFERROR(FIND("NOT",$F207),0)&gt;1,IFERROR(FIND("meets",$F207),0)&gt;1)</formula>
    </cfRule>
    <cfRule type="expression" dxfId="986" priority="473">
      <formula>AND($F207&lt;&gt;"",IFERROR(FIND("NOT",$F207),0)&gt;0,IFERROR(FIND("meets",$F207),0)=0)</formula>
    </cfRule>
  </conditionalFormatting>
  <conditionalFormatting sqref="F212:H213">
    <cfRule type="cellIs" dxfId="985" priority="33" operator="notEqual">
      <formula>""</formula>
    </cfRule>
  </conditionalFormatting>
  <conditionalFormatting sqref="F215:H215">
    <cfRule type="cellIs" dxfId="984" priority="221" operator="notEqual">
      <formula>""</formula>
    </cfRule>
  </conditionalFormatting>
  <conditionalFormatting sqref="F218:H218">
    <cfRule type="expression" dxfId="983" priority="522">
      <formula>AND($F218&lt;&gt;"",IFERROR(FIND("NOT",$F218),0)&gt;1,IFERROR(FIND("meets",$F218),0)&gt;1)</formula>
    </cfRule>
    <cfRule type="expression" dxfId="982" priority="517">
      <formula>AND($F218&lt;&gt;"",IFERROR(FIND("NOT",$F218),0)&gt;0,IFERROR(FIND("meets",$F218),0)=0)</formula>
    </cfRule>
  </conditionalFormatting>
  <conditionalFormatting sqref="F231:H231">
    <cfRule type="cellIs" dxfId="981" priority="535" operator="notEqual">
      <formula>""</formula>
    </cfRule>
  </conditionalFormatting>
  <conditionalFormatting sqref="F247:H249 F251:F252 H252 F253:H253">
    <cfRule type="cellIs" dxfId="980" priority="545" operator="notEqual">
      <formula>""</formula>
    </cfRule>
  </conditionalFormatting>
  <conditionalFormatting sqref="F259:H260">
    <cfRule type="cellIs" dxfId="979" priority="135" operator="notEqual">
      <formula>""</formula>
    </cfRule>
  </conditionalFormatting>
  <conditionalFormatting sqref="F263:H263">
    <cfRule type="expression" dxfId="978" priority="7">
      <formula>$F262&lt;&gt;"Other"</formula>
    </cfRule>
    <cfRule type="cellIs" dxfId="977" priority="287" operator="notEqual">
      <formula>""</formula>
    </cfRule>
  </conditionalFormatting>
  <conditionalFormatting sqref="F270:H271">
    <cfRule type="cellIs" dxfId="976" priority="144" operator="notEqual">
      <formula>""</formula>
    </cfRule>
  </conditionalFormatting>
  <conditionalFormatting sqref="F274:H274">
    <cfRule type="expression" dxfId="975" priority="6">
      <formula>$F273&lt;&gt;"Other"</formula>
    </cfRule>
  </conditionalFormatting>
  <conditionalFormatting sqref="F292:H293">
    <cfRule type="cellIs" dxfId="974" priority="673" operator="notEqual">
      <formula>""</formula>
    </cfRule>
  </conditionalFormatting>
  <conditionalFormatting sqref="F305:H306">
    <cfRule type="cellIs" dxfId="973" priority="693" operator="notEqual">
      <formula>""</formula>
    </cfRule>
  </conditionalFormatting>
  <conditionalFormatting sqref="F311:H311">
    <cfRule type="cellIs" dxfId="972" priority="701" operator="notEqual">
      <formula>""</formula>
    </cfRule>
  </conditionalFormatting>
  <conditionalFormatting sqref="G73">
    <cfRule type="cellIs" dxfId="971" priority="354" operator="notEqual">
      <formula>"&lt;select one&gt;"</formula>
    </cfRule>
  </conditionalFormatting>
  <conditionalFormatting sqref="G33:H33 G35:H35 G37:H37">
    <cfRule type="cellIs" dxfId="970" priority="331" operator="notEqual">
      <formula>""</formula>
    </cfRule>
  </conditionalFormatting>
  <conditionalFormatting sqref="G39:H39">
    <cfRule type="cellIs" dxfId="969" priority="156" operator="notEqual">
      <formula>""</formula>
    </cfRule>
  </conditionalFormatting>
  <conditionalFormatting sqref="G123:H126">
    <cfRule type="cellIs" dxfId="968" priority="260" operator="notEqual">
      <formula>""</formula>
    </cfRule>
  </conditionalFormatting>
  <conditionalFormatting sqref="G125:H126">
    <cfRule type="expression" dxfId="967" priority="258">
      <formula>$G123=""</formula>
    </cfRule>
  </conditionalFormatting>
  <conditionalFormatting sqref="G216:H216">
    <cfRule type="expression" dxfId="966" priority="498">
      <formula>AND($G216&lt;&gt;"",IFERROR(FIND("do NOT",$G216),0)&gt;0,IFERROR(FIND("NOT met",$G216),0)&gt;0)</formula>
    </cfRule>
    <cfRule type="expression" dxfId="965" priority="502">
      <formula>AND($G216&lt;&gt;"",IFERROR(FIND("do NOT",$G216),0)=0,IFERROR(FIND("NOT met",$G216),0)=0)</formula>
    </cfRule>
    <cfRule type="expression" dxfId="964" priority="503">
      <formula>AND($G216&lt;&gt;"",OR(AND(IFERROR(FIND("do NOT",$G216),0)&gt;0,IFERROR(FIND("NOT met",$G216),0)=0),AND(IFERROR(FIND("do NOT",$G216),0)=0,IFERROR(FIND("NOT met",$G216),0)&gt;0)))</formula>
    </cfRule>
  </conditionalFormatting>
  <conditionalFormatting sqref="G256:H256">
    <cfRule type="cellIs" dxfId="963" priority="549" operator="notEqual">
      <formula>""</formula>
    </cfRule>
  </conditionalFormatting>
  <conditionalFormatting sqref="H60">
    <cfRule type="cellIs" dxfId="962" priority="342" operator="equal">
      <formula>""</formula>
    </cfRule>
    <cfRule type="cellIs" dxfId="961" priority="343" operator="notEqual">
      <formula>"&lt;select one&gt;"</formula>
    </cfRule>
    <cfRule type="expression" dxfId="960" priority="2">
      <formula>AND(IFERROR(FIND("Family",Demographic),0)=0,Youth_Aging_Out_Goal="&lt;select one&gt;")</formula>
    </cfRule>
    <cfRule type="expression" dxfId="959" priority="1">
      <formula>AND(IFERROR(FIND("Family",Demographic),0)=0,Youth_Aging_Out_Goal&lt;&gt;"&lt;select one&gt;")</formula>
    </cfRule>
  </conditionalFormatting>
  <conditionalFormatting sqref="H66">
    <cfRule type="expression" dxfId="958" priority="346">
      <formula>AND(IFERROR(FIND("Elderly",Demographic),0)=0,Veteran_Elderly_Pref="&lt;select one&gt;")</formula>
    </cfRule>
    <cfRule type="expression" dxfId="957" priority="303">
      <formula>AND(IFERROR(FIND("Elderly",Demographic),0)=0,Veteran_Elderly_Pref&lt;&gt;"&lt;select one&gt;")</formula>
    </cfRule>
    <cfRule type="cellIs" dxfId="956" priority="348" operator="notEqual">
      <formula>"&lt;select one&gt;"</formula>
    </cfRule>
  </conditionalFormatting>
  <conditionalFormatting sqref="H90">
    <cfRule type="cellIs" dxfId="955" priority="380" operator="notEqual">
      <formula>""</formula>
    </cfRule>
  </conditionalFormatting>
  <conditionalFormatting sqref="H245">
    <cfRule type="cellIs" dxfId="954" priority="541" operator="notEqual">
      <formula>""</formula>
    </cfRule>
  </conditionalFormatting>
  <conditionalFormatting sqref="H290">
    <cfRule type="cellIs" dxfId="953" priority="671" operator="notEqual">
      <formula>""</formula>
    </cfRule>
  </conditionalFormatting>
  <conditionalFormatting sqref="H297">
    <cfRule type="cellIs" dxfId="952" priority="680" operator="notEqual">
      <formula>""</formula>
    </cfRule>
  </conditionalFormatting>
  <conditionalFormatting sqref="H303">
    <cfRule type="cellIs" dxfId="951" priority="691" operator="notEqual">
      <formula>""</formula>
    </cfRule>
  </conditionalFormatting>
  <conditionalFormatting sqref="H310">
    <cfRule type="cellIs" dxfId="950" priority="700" operator="notEqual">
      <formula>""</formula>
    </cfRule>
  </conditionalFormatting>
  <conditionalFormatting sqref="K28:K45 L34:L37 L48:L52 K54:K58 K64:K67 M71:M77 K73:K74 K77:K106 L83:L86 L89 K117:K121 K125:K126 K130:L137 K139:K179 L140:L147 L150:L157 L160:L167 L170:L177 K184:K221 L201:L208 M212:M219 K229:K287 L245:L253 L256:L269 M259:M266 M270:M277 L279 K289:K312 L290:L300 L303:L311">
    <cfRule type="cellIs" dxfId="949" priority="23" operator="equal">
      <formula>0</formula>
    </cfRule>
  </conditionalFormatting>
  <conditionalFormatting sqref="K130:K131">
    <cfRule type="expression" dxfId="948" priority="9369">
      <formula>AND(DS_DevExp_MinDevs_List&gt;=Q129,K130=0)</formula>
    </cfRule>
    <cfRule type="expression" dxfId="947" priority="9370">
      <formula>AND(DS_DevExp_MinDevs_List&lt;Q129,K130&gt;0)</formula>
    </cfRule>
  </conditionalFormatting>
  <conditionalFormatting sqref="K139 K149 K159">
    <cfRule type="expression" dxfId="946" priority="9351">
      <formula>AND(DS_DevExp_MinDevs_List&lt;Q139,K139&gt;0)</formula>
    </cfRule>
    <cfRule type="expression" dxfId="945" priority="9350">
      <formula>AND(DS_DevExp_MinDevs_List&gt;=Q139,K139=0)</formula>
    </cfRule>
  </conditionalFormatting>
  <conditionalFormatting sqref="K169">
    <cfRule type="expression" dxfId="944" priority="9349">
      <formula>AND(DS_DevExp_MinDevs_List&lt;Q169,K169&gt;0)</formula>
    </cfRule>
  </conditionalFormatting>
  <conditionalFormatting sqref="L62">
    <cfRule type="cellIs" dxfId="942" priority="5" operator="equal">
      <formula>0</formula>
    </cfRule>
  </conditionalFormatting>
  <conditionalFormatting sqref="L233:L239">
    <cfRule type="cellIs" dxfId="941" priority="14" operator="equal">
      <formula>0</formula>
    </cfRule>
  </conditionalFormatting>
  <conditionalFormatting sqref="N118:N121">
    <cfRule type="expression" dxfId="940" priority="25">
      <formula>DevExp_Natural_Person_Meets="Yes"</formula>
    </cfRule>
  </conditionalFormatting>
  <dataValidations count="15">
    <dataValidation type="list" allowBlank="1" showInputMessage="1" showErrorMessage="1" sqref="G73 D79 C286 H66 E96 H96 E192 E207 E118 H60 E218" xr:uid="{EE622EE2-086B-4DC4-9639-FD4DAABD8AFF}">
      <formula1>"&lt;select one&gt;, Yes, No"</formula1>
    </dataValidation>
    <dataValidation type="list" allowBlank="1" showInputMessage="1" showErrorMessage="1" sqref="F308 F250 F295 F132:H132 F142:H142 F152:H152 F162:H162 F172:H172" xr:uid="{1E7D68E6-23C2-4D5B-A015-EB7C1BD60A48}">
      <formula1>DS_States_DDMenu</formula1>
    </dataValidation>
    <dataValidation type="list" allowBlank="1" showInputMessage="1" showErrorMessage="1" sqref="F39 F32" xr:uid="{5D954478-5EEB-42C3-A9C8-44EB7D0B99B4}">
      <formula1>DS_Demo_DDMenu</formula1>
    </dataValidation>
    <dataValidation type="list" allowBlank="1" showInputMessage="1" showErrorMessage="1" sqref="D231:E231" xr:uid="{50D70168-4D9E-461E-BFAD-650DA9629D6F}">
      <formula1>DS_Priority_DDMenu</formula1>
    </dataValidation>
    <dataValidation type="list" allowBlank="1" showInputMessage="1" showErrorMessage="1" sqref="F261 F272" xr:uid="{68019A2E-27E3-4C39-98E7-7A1709A55586}">
      <formula1>DS_Managing_DDMenu</formula1>
    </dataValidation>
    <dataValidation type="custom" allowBlank="1" showInputMessage="1" showErrorMessage="1" sqref="K190 K90 K229 L170:L172 L48:M52 L245:L253 K58 L174:L177 L144:L147 K64 M71 K93 L89:M89 K125:K127 K28 L237:M237 L154:L157 L164:L167 L140:L142 L150:L152 L160:L162 R270:R277 K73 M73 K77 M77 K289 M150:M157 M160:M167 M170:M177 L233 L201:M206 M212:M217 L256:M256 R259:R266 M259:M266 L303:M311 M269:M277 L290:L298 M130:M137 M140:M147" xr:uid="{E109FDF8-245F-47C5-B0C0-C57B6170FA70}">
      <formula1>AND(K28&gt;=0,K28&lt;4,K28=ROUND(K28,0))</formula1>
    </dataValidation>
    <dataValidation type="list" allowBlank="1" showInputMessage="1" showErrorMessage="1" sqref="F214 F144 F154 F203 F134 F164 F174 F262 F273" xr:uid="{96FA4B39-53A5-44BD-BF74-A1AB9F43A448}">
      <formula1>DS_DevExpProgs_DDMenu</formula1>
    </dataValidation>
    <dataValidation type="whole" allowBlank="1" showErrorMessage="1" error="Please enter a whole number." sqref="F136 F146 F156 F205 F216 F166 F176" xr:uid="{358741F8-ECDC-40B5-A7AC-98BABFA3007D}">
      <formula1>0</formula1>
      <formula2>3000</formula2>
    </dataValidation>
    <dataValidation type="whole" allowBlank="1" showInputMessage="1" showErrorMessage="1" sqref="L173 L130:L137 L143 L153 L163" xr:uid="{21F57029-B3F8-41B2-8B32-D05868B35A67}">
      <formula1>0</formula1>
      <formula2>3</formula2>
    </dataValidation>
    <dataValidation type="list" allowBlank="1" showInputMessage="1" showErrorMessage="1" sqref="C134:E134 C262:E262 C273:E273" xr:uid="{85D4DEB3-D68F-442A-BEF4-9DB9116E07C1}">
      <formula1>DS_DevExpDescription_DDMenu</formula1>
    </dataValidation>
    <dataValidation type="custom" allowBlank="1" showInputMessage="1" showErrorMessage="1" error="Enter either 0 or 3 only" sqref="L88:M88" xr:uid="{D1006316-376F-4401-9720-34A18CEA29D9}">
      <formula1>OR(L88=0,L88=3)</formula1>
    </dataValidation>
    <dataValidation type="list" allowBlank="1" showInputMessage="1" showErrorMessage="1" sqref="F18:G18" xr:uid="{737E7A90-ECD1-4079-89AA-C43987AFF57F}">
      <formula1>DS_Designation_DDMenu</formula1>
    </dataValidation>
    <dataValidation type="list" allowBlank="1" showInputMessage="1" showErrorMessage="1" sqref="D238:E238" xr:uid="{55CAEC0F-19C0-4ED7-81AF-FDFE34A3EF6A}">
      <formula1>DS_Tier_DDMenu</formula1>
    </dataValidation>
    <dataValidation type="list" allowBlank="1" showInputMessage="1" showErrorMessage="1" sqref="F264 F275" xr:uid="{28D8D7B8-6F40-445B-BBE4-954886140CB8}">
      <formula1>"&lt;select one&gt;,Yes,No"</formula1>
    </dataValidation>
    <dataValidation type="whole" allowBlank="1" showErrorMessage="1" error="Please enter an eligible 4-digit year." sqref="F137 F177 F167 F157 F147" xr:uid="{AD07F64A-E423-42F1-86D5-6A5DB08CFD9A}">
      <formula1>2006</formula1>
      <formula2>2026</formula2>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476250</xdr:rowOff>
                  </from>
                  <to>
                    <xdr:col>4</xdr:col>
                    <xdr:colOff>114300</xdr:colOff>
                    <xdr:row>67</xdr:row>
                    <xdr:rowOff>209550</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19050</xdr:rowOff>
                  </from>
                  <to>
                    <xdr:col>4</xdr:col>
                    <xdr:colOff>114300</xdr:colOff>
                    <xdr:row>67</xdr:row>
                    <xdr:rowOff>209550</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114300</xdr:colOff>
                    <xdr:row>67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143"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6584" id="{365C8418-030B-4E58-A386-E09943DBE875}">
            <xm:f>AND(Link_Classification&lt;&gt;Data1!$A$16,$L$38&gt;0)</xm:f>
            <x14:dxf>
              <font>
                <color theme="0" tint="-0.34998626667073579"/>
              </font>
            </x14:dxf>
          </x14:cfRule>
          <xm:sqref>B38:H38</xm:sqref>
        </x14:conditionalFormatting>
        <x14:conditionalFormatting xmlns:xm="http://schemas.microsoft.com/office/excel/2006/main">
          <x14:cfRule type="expression" priority="338"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6679"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14:cfRule type="expression" priority="169" id="{6C615A67-B132-4CAF-B03C-D112EDEB4FA9}">
            <xm:f>AND(Link_Classification&lt;&gt;Data1!$A$14,Link_Classification&lt;&gt;Data1!$A$16,$F$26&lt;&gt;"&lt;select one&gt;")</xm:f>
            <x14:dxf>
              <font>
                <color theme="0" tint="-4.9989318521683403E-2"/>
              </font>
              <fill>
                <patternFill>
                  <bgColor theme="0" tint="-4.9989318521683403E-2"/>
                </patternFill>
              </fill>
            </x14:dxf>
          </x14:cfRule>
          <xm:sqref>F26:G26</xm:sqref>
        </x14:conditionalFormatting>
        <x14:conditionalFormatting xmlns:xm="http://schemas.microsoft.com/office/excel/2006/main">
          <x14:cfRule type="expression" priority="6585" id="{2CA7DF7F-807E-41A8-9D24-0C24FD040ECF}">
            <xm:f>AND(Link_Classification&lt;&gt;Data1!$A$14,Link_Classification&lt;&gt;Data1!$A$16,$F$39&lt;&gt;"&lt;select one&gt;")</xm:f>
            <x14:dxf>
              <font>
                <color rgb="FFC00000"/>
              </font>
              <fill>
                <patternFill>
                  <bgColor rgb="FFFFEBFF"/>
                </patternFill>
              </fill>
            </x14:dxf>
          </x14:cfRule>
          <x14:cfRule type="expression" priority="6586" id="{789EB527-6F12-499D-A9DB-63B03C0197A3}">
            <xm:f>AND(Link_Classification&lt;&gt;Data1!$A$16,$L$38&gt;0)</xm:f>
            <x14:dxf>
              <font>
                <color theme="0" tint="-4.9989318521683403E-2"/>
              </font>
              <fill>
                <patternFill>
                  <bgColor theme="0" tint="-4.9989318521683403E-2"/>
                </patternFill>
              </fill>
            </x14:dxf>
          </x14:cfRule>
          <x14:cfRule type="expression" priority="6587" id="{334206F5-6189-4B79-BC2F-F4BBA8077FF1}">
            <xm:f>AND(Link_Classification&lt;&gt;Data1!$A$16,$L$38&gt;0,$F$39&lt;&gt;"&lt;select one&gt;")</xm:f>
            <x14:dxf>
              <font>
                <strike/>
                <color rgb="FFC00000"/>
              </font>
              <fill>
                <patternFill>
                  <bgColor theme="0" tint="-4.9989318521683403E-2"/>
                </patternFill>
              </fill>
            </x14:dxf>
          </x14:cfRule>
          <xm:sqref>F39:G39</xm:sqref>
        </x14:conditionalFormatting>
        <x14:conditionalFormatting xmlns:xm="http://schemas.microsoft.com/office/excel/2006/main">
          <x14:cfRule type="expression" priority="28" stopIfTrue="1" id="{5119CC2F-9D31-414E-B982-900CA08D8375}">
            <xm:f>Data1!$E$895="Yes"</xm:f>
            <x14:dxf>
              <font>
                <color theme="0"/>
              </font>
              <fill>
                <patternFill>
                  <bgColor theme="0"/>
                </patternFill>
              </fill>
              <border>
                <left/>
                <right/>
                <top/>
                <bottom/>
              </border>
            </x14:dxf>
          </x14:cfRule>
          <xm:sqref>K64:S231 K4:S58 K232:K235 K236:L236 K237:S312 L233:L236 K1:S2 L59:S61 M62:S63 M232:S232 N233:S236</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C179"/>
  <sheetViews>
    <sheetView showGridLines="0" zoomScale="110" zoomScaleNormal="110" zoomScaleSheetLayoutView="90" workbookViewId="0">
      <pane ySplit="2" topLeftCell="A3" activePane="bottomLeft" state="frozen"/>
      <selection activeCell="M249" sqref="M249"/>
      <selection pane="bottomLeft" activeCell="G3" sqref="G3:I3"/>
    </sheetView>
  </sheetViews>
  <sheetFormatPr defaultColWidth="9.1796875" defaultRowHeight="14.5"/>
  <cols>
    <col min="1" max="1" width="3" style="6" customWidth="1"/>
    <col min="2" max="3" width="3.54296875" style="6" customWidth="1"/>
    <col min="4" max="4" width="4.453125" style="6" customWidth="1"/>
    <col min="5" max="5" width="23.81640625" style="6" customWidth="1"/>
    <col min="6" max="7" width="19" style="6" customWidth="1"/>
    <col min="8" max="8" width="16.1796875" style="6" customWidth="1"/>
    <col min="9" max="9" width="18.81640625" style="6" customWidth="1"/>
    <col min="10" max="10" width="8.7265625" style="15" customWidth="1"/>
    <col min="11" max="11" width="3.54296875" style="15" customWidth="1"/>
    <col min="12" max="14" width="3.54296875" style="15" hidden="1" customWidth="1"/>
    <col min="15" max="15" width="35.7265625" style="6" hidden="1" customWidth="1"/>
    <col min="16" max="16" width="3.54296875" style="6" hidden="1" customWidth="1"/>
    <col min="17" max="17" width="14.26953125" style="6" hidden="1" customWidth="1"/>
    <col min="18" max="19" width="9.1796875" style="6" hidden="1" customWidth="1"/>
    <col min="20" max="16384" width="9.1796875" style="6"/>
  </cols>
  <sheetData>
    <row r="1" spans="1:29" ht="36" customHeight="1" thickBot="1">
      <c r="A1" s="2582" t="s">
        <v>926</v>
      </c>
      <c r="B1" s="2583"/>
      <c r="C1" s="2583"/>
      <c r="D1" s="2583"/>
      <c r="E1" s="2583"/>
      <c r="F1" s="2583"/>
      <c r="G1" s="2583"/>
      <c r="H1" s="2583"/>
      <c r="I1" s="2584"/>
      <c r="K1" s="577"/>
      <c r="L1" s="577"/>
      <c r="M1" s="577"/>
      <c r="N1" s="829"/>
      <c r="O1" s="577"/>
      <c r="P1" s="577"/>
      <c r="Q1" s="577"/>
      <c r="R1" s="577"/>
      <c r="S1" s="577"/>
      <c r="T1" s="577"/>
      <c r="U1" s="577"/>
      <c r="V1" s="577"/>
      <c r="W1" s="577"/>
      <c r="X1" s="577"/>
      <c r="Y1" s="577"/>
      <c r="Z1" s="577"/>
      <c r="AA1" s="577"/>
      <c r="AB1" s="577"/>
      <c r="AC1" s="577"/>
    </row>
    <row r="2" spans="1:29">
      <c r="K2" s="577"/>
      <c r="L2" s="2613" t="s">
        <v>845</v>
      </c>
      <c r="M2" s="2614"/>
      <c r="N2" s="2614"/>
      <c r="O2" s="2614"/>
      <c r="P2" s="2614"/>
      <c r="Q2" s="2614"/>
      <c r="R2" s="2614"/>
      <c r="S2" s="2615"/>
      <c r="T2" s="577"/>
      <c r="U2" s="577"/>
      <c r="V2" s="577"/>
      <c r="W2" s="577"/>
      <c r="X2" s="577"/>
      <c r="Y2" s="577"/>
      <c r="Z2" s="577"/>
      <c r="AA2" s="577"/>
      <c r="AB2" s="577"/>
      <c r="AC2" s="577"/>
    </row>
    <row r="3" spans="1:29" s="17" customFormat="1" ht="17.649999999999999" customHeight="1">
      <c r="A3" s="502" t="s">
        <v>858</v>
      </c>
      <c r="B3" s="10" t="str">
        <f>IF($L$6=0,"","(1)   State the ")&amp;"Name of the proposed Development:"</f>
        <v>Name of the proposed Development:</v>
      </c>
      <c r="C3" s="10"/>
      <c r="D3" s="10"/>
      <c r="E3" s="10"/>
      <c r="F3" s="10"/>
      <c r="G3" s="3181"/>
      <c r="H3" s="3181"/>
      <c r="I3" s="3181"/>
      <c r="J3" s="18"/>
      <c r="K3" s="18"/>
      <c r="L3" s="3193" t="s">
        <v>2737</v>
      </c>
      <c r="M3" s="3194"/>
      <c r="N3" s="855"/>
      <c r="O3" s="724"/>
    </row>
    <row r="4" spans="1:29" s="17" customFormat="1" ht="14.65" customHeight="1">
      <c r="C4" s="619"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3193"/>
      <c r="M4" s="3194"/>
    </row>
    <row r="5" spans="1:29" s="17" customFormat="1" ht="14.65" customHeight="1">
      <c r="C5" s="619"/>
      <c r="G5" s="18"/>
      <c r="H5" s="18"/>
      <c r="J5" s="18"/>
      <c r="K5" s="18"/>
      <c r="L5" s="3195"/>
      <c r="M5" s="3196"/>
    </row>
    <row r="6" spans="1:29" s="17" customFormat="1" ht="14.6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3205">
        <f>IF('General Information'!$K$4=0,1,0)</f>
        <v>0</v>
      </c>
      <c r="M6" s="444"/>
      <c r="N6" s="444"/>
      <c r="O6" s="3201" t="str">
        <f>"Controlled by RFA 214 Master (cell K"&amp;TEXT(ROW('General Information'!K4),"0")&amp;" in the General Info tab). Controls Rows "&amp;TEXT(ROW($A6),"0")&amp;":"&amp;TEXT(ROW($A10),"0")&amp;"."</f>
        <v>Controlled by RFA 214 Master (cell K4 in the General Info tab). Controls Rows 6:10.</v>
      </c>
      <c r="P6" s="3201"/>
      <c r="Q6" s="3201"/>
      <c r="R6" s="3201"/>
    </row>
    <row r="7" spans="1:29" s="17" customFormat="1" ht="14.65" hidden="1" customHeight="1">
      <c r="C7" s="619"/>
      <c r="G7" s="2573"/>
      <c r="H7" s="2573"/>
      <c r="I7" s="2573"/>
      <c r="J7" s="18"/>
      <c r="K7" s="18"/>
      <c r="L7" s="3206"/>
      <c r="M7" s="444"/>
      <c r="N7" s="444"/>
      <c r="O7" s="3201"/>
      <c r="P7" s="3201"/>
      <c r="Q7" s="3201"/>
      <c r="R7" s="3201"/>
    </row>
    <row r="8" spans="1:29" s="17" customFormat="1" ht="10.5" hidden="1" customHeight="1">
      <c r="C8" s="619"/>
      <c r="G8" s="18"/>
      <c r="H8" s="18"/>
      <c r="J8" s="18"/>
      <c r="K8" s="18"/>
      <c r="L8" s="3206"/>
      <c r="M8" s="444"/>
      <c r="N8" s="444"/>
      <c r="O8" s="2018"/>
      <c r="P8" s="2018"/>
      <c r="Q8" s="2018"/>
    </row>
    <row r="9" spans="1:29" s="17" customFormat="1" ht="50.25" hidden="1" customHeight="1">
      <c r="C9" s="2849"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849"/>
      <c r="E9" s="2849"/>
      <c r="F9" s="2849"/>
      <c r="G9" s="2849"/>
      <c r="H9" s="2849"/>
      <c r="I9" s="2849"/>
      <c r="J9" s="18"/>
      <c r="K9" s="18"/>
      <c r="L9" s="3206"/>
      <c r="M9" s="444"/>
      <c r="N9" s="444"/>
      <c r="O9" s="2018"/>
      <c r="P9" s="2018"/>
      <c r="Q9" s="2018"/>
    </row>
    <row r="10" spans="1:29" s="17" customFormat="1" ht="10.5" hidden="1" customHeight="1">
      <c r="C10" s="619"/>
      <c r="G10" s="18"/>
      <c r="H10" s="18"/>
      <c r="J10" s="18"/>
      <c r="K10" s="18"/>
      <c r="L10" s="3206"/>
      <c r="M10" s="444"/>
      <c r="N10" s="444"/>
      <c r="O10" s="2018"/>
      <c r="Q10" s="18"/>
    </row>
    <row r="11" spans="1:29" s="17" customFormat="1" ht="14.65" customHeight="1">
      <c r="A11" s="503" t="s">
        <v>927</v>
      </c>
      <c r="B11" s="2548" t="str">
        <f>IF('General Information'!K4=1,"Development Category","Occupied Development, New Development, Reconstructed Development, and Relocation Criteria")</f>
        <v>Development Category</v>
      </c>
      <c r="C11" s="2548"/>
      <c r="D11" s="2548"/>
      <c r="E11" s="2548"/>
      <c r="F11" s="2548"/>
      <c r="G11" s="2548"/>
      <c r="H11" s="2548"/>
      <c r="I11" s="2548"/>
      <c r="J11" s="716"/>
      <c r="K11" s="717"/>
      <c r="L11" s="3207"/>
    </row>
    <row r="12" spans="1:29" s="17" customFormat="1" ht="17.649999999999999" customHeight="1">
      <c r="B12" s="311">
        <v>1</v>
      </c>
      <c r="C12" s="829" t="s">
        <v>928</v>
      </c>
      <c r="D12" s="63"/>
      <c r="G12" s="2878" t="s">
        <v>41</v>
      </c>
      <c r="H12" s="2878"/>
      <c r="I12" s="716"/>
      <c r="J12" s="716"/>
      <c r="K12" s="717"/>
      <c r="L12" s="2642">
        <f>IF('General Information'!$K$4=0,0,1)</f>
        <v>1</v>
      </c>
      <c r="O12" s="2849" t="s">
        <v>2747</v>
      </c>
      <c r="P12" s="2849"/>
      <c r="Q12" s="2849"/>
      <c r="R12" s="2849"/>
    </row>
    <row r="13" spans="1:29" s="17" customFormat="1" ht="14.65" customHeight="1">
      <c r="F13" s="3198" t="str">
        <f>IF(AND('General Information'!$K$73&lt;&gt;0,Self_Sourced_Applicant="Yes"),IF(Development_Category&lt;&gt;"New Construction","Self-Sourced Applicants must select New Construction",""),"")</f>
        <v/>
      </c>
      <c r="G13" s="3198"/>
      <c r="H13" s="3198"/>
      <c r="I13" s="717"/>
      <c r="J13" s="717"/>
      <c r="K13" s="717"/>
      <c r="L13" s="2642"/>
      <c r="O13" s="2849"/>
      <c r="P13" s="2849"/>
      <c r="Q13" s="2849"/>
      <c r="R13" s="2849"/>
    </row>
    <row r="14" spans="1:29" s="17" customFormat="1" ht="14.65" hidden="1" customHeight="1">
      <c r="B14" s="311">
        <v>1</v>
      </c>
      <c r="C14" s="21" t="s">
        <v>2263</v>
      </c>
      <c r="F14" s="849"/>
      <c r="G14" s="849"/>
      <c r="H14" s="849"/>
      <c r="I14" s="717"/>
      <c r="J14" s="717"/>
      <c r="K14" s="717"/>
      <c r="L14" s="2642">
        <f>IF('General Information'!$K$4=0,1,0)</f>
        <v>0</v>
      </c>
      <c r="O14" s="3201" t="str">
        <f>"On/Off controlled by RFA 214 Master for Rows "&amp;TEXT(ROW($A14),"0")&amp;":"&amp;TEXT(ROW($A29),"0")&amp;". Link Classification controls fonts."</f>
        <v>On/Off controlled by RFA 214 Master for Rows 14:29. Link Classification controls fonts.</v>
      </c>
      <c r="P14" s="3201"/>
      <c r="Q14" s="3201"/>
      <c r="R14" s="3201"/>
    </row>
    <row r="15" spans="1:29" s="17" customFormat="1" ht="35.25" hidden="1" customHeight="1">
      <c r="C15" s="21" t="s">
        <v>868</v>
      </c>
      <c r="D15" s="2544"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classifications, indicate the information below regarding the Occupied Development.</v>
      </c>
      <c r="E15" s="2544"/>
      <c r="F15" s="2544"/>
      <c r="G15" s="2544"/>
      <c r="H15" s="2544"/>
      <c r="I15" s="2544"/>
      <c r="J15" s="717"/>
      <c r="K15" s="717"/>
      <c r="L15" s="2642"/>
      <c r="M15" s="855"/>
      <c r="N15" s="855"/>
      <c r="O15" s="3201"/>
      <c r="P15" s="3201"/>
      <c r="Q15" s="3201"/>
      <c r="R15" s="3201"/>
    </row>
    <row r="16" spans="1:29" s="17" customFormat="1" ht="17.649999999999999" hidden="1" customHeight="1">
      <c r="D16" s="348" t="s">
        <v>1461</v>
      </c>
      <c r="E16" s="2544" t="s">
        <v>2272</v>
      </c>
      <c r="F16" s="2544"/>
      <c r="G16" s="2544"/>
      <c r="H16" s="660" t="s">
        <v>41</v>
      </c>
      <c r="I16" s="849" t="str">
        <f>IF(OR(County_of_Occupied="&lt;select one&gt;",County="&lt;select one&gt;"),"",IF(County_of_Occupied=County,"(Matches)","(Does NOT Match)"))</f>
        <v/>
      </c>
      <c r="J16" s="717"/>
      <c r="K16" s="717"/>
      <c r="L16" s="2642"/>
      <c r="M16" s="853">
        <f>IF($L$6=0,0,IF(OR(Link_Classification=Data1!$A$14,Link_Classification=Data1!$A$16),1,3))</f>
        <v>0</v>
      </c>
      <c r="N16" s="746"/>
      <c r="O16" s="2024" t="s">
        <v>2769</v>
      </c>
    </row>
    <row r="17" spans="2:19" s="17" customFormat="1" ht="17.649999999999999" hidden="1" customHeight="1">
      <c r="D17" s="348" t="s">
        <v>1461</v>
      </c>
      <c r="E17" s="2544" t="s">
        <v>2273</v>
      </c>
      <c r="F17" s="2544"/>
      <c r="G17" s="2544"/>
      <c r="H17" s="849"/>
      <c r="I17" s="717"/>
      <c r="J17" s="717"/>
      <c r="K17" s="717"/>
      <c r="L17" s="2642"/>
      <c r="M17" s="853">
        <f>IF($L$6=0,0,IF(OR(Link_Classification=Data1!$A$14,Link_Classification=Data1!$A$16),1,3))</f>
        <v>0</v>
      </c>
      <c r="N17" s="746"/>
      <c r="O17" s="2024" t="s">
        <v>2769</v>
      </c>
    </row>
    <row r="18" spans="2:19" s="17" customFormat="1" ht="118.15" hidden="1" customHeight="1">
      <c r="E18" s="3200"/>
      <c r="F18" s="3200"/>
      <c r="G18" s="3200"/>
      <c r="H18" s="3200"/>
      <c r="I18" s="3200"/>
      <c r="J18" s="717"/>
      <c r="K18" s="717"/>
      <c r="L18" s="2642"/>
      <c r="M18" s="855"/>
      <c r="N18" s="855"/>
      <c r="O18" s="3197" t="s">
        <v>2831</v>
      </c>
      <c r="P18" s="3197"/>
      <c r="Q18" s="3197"/>
      <c r="R18" s="3197"/>
      <c r="S18" s="3197"/>
    </row>
    <row r="19" spans="2:19" s="17" customFormat="1" ht="10.5" hidden="1" customHeight="1">
      <c r="E19" s="1508"/>
      <c r="F19" s="1508"/>
      <c r="G19" s="1508"/>
      <c r="H19" s="1508"/>
      <c r="I19" s="1509"/>
      <c r="J19" s="717"/>
      <c r="K19" s="717"/>
      <c r="L19" s="2642"/>
      <c r="M19" s="855"/>
      <c r="N19" s="855"/>
      <c r="O19" s="829"/>
    </row>
    <row r="20" spans="2:19" s="17" customFormat="1" ht="17.649999999999999" hidden="1" customHeight="1">
      <c r="D20" s="348" t="s">
        <v>1461</v>
      </c>
      <c r="E20" s="2544" t="s">
        <v>2274</v>
      </c>
      <c r="F20" s="2544"/>
      <c r="G20" s="2544"/>
      <c r="H20" s="660"/>
      <c r="J20" s="717"/>
      <c r="K20" s="717"/>
      <c r="L20" s="2642"/>
      <c r="M20" s="2011">
        <f>IF($L$6=0,0,IF(OR(Link_Classification=Data1!$A$14,Link_Classification=Data1!$A$16),1,3))</f>
        <v>0</v>
      </c>
      <c r="N20" s="2022"/>
      <c r="O20" s="2024" t="s">
        <v>2769</v>
      </c>
    </row>
    <row r="21" spans="2:19" s="17" customFormat="1" ht="5.25" hidden="1" customHeight="1">
      <c r="H21" s="717"/>
      <c r="J21" s="717"/>
      <c r="K21" s="717"/>
      <c r="L21" s="2642"/>
      <c r="M21" s="2022"/>
      <c r="N21" s="2022"/>
    </row>
    <row r="22" spans="2:19" s="17" customFormat="1" ht="40.15" hidden="1" customHeight="1">
      <c r="D22" s="348" t="s">
        <v>1461</v>
      </c>
      <c r="E22" s="2544" t="s">
        <v>2276</v>
      </c>
      <c r="F22" s="2544"/>
      <c r="G22" s="2544"/>
      <c r="H22" s="660"/>
      <c r="I22" s="1533" t="str">
        <f>"(Must be at least 75% of total units "&amp;IF(N(H20)&gt;0,"("&amp;TEXT(ROUNDUP(75%*N(H20),0),"0")&amp;") ","")&amp;"in Occupied Development)"</f>
        <v>(Must be at least 75% of total units in Occupied Development)</v>
      </c>
      <c r="J22" s="717"/>
      <c r="K22" s="717"/>
      <c r="L22" s="2642"/>
      <c r="M22" s="2011">
        <f>IF($L$6=0,0,IF(Link_Classification="&lt;select one&gt;",3,1))</f>
        <v>0</v>
      </c>
      <c r="N22" s="2022"/>
      <c r="O22" s="2024" t="s">
        <v>2769</v>
      </c>
    </row>
    <row r="23" spans="2:19" s="17" customFormat="1" ht="5.25" hidden="1" customHeight="1">
      <c r="H23" s="717"/>
      <c r="J23" s="717"/>
      <c r="K23" s="717"/>
      <c r="L23" s="2642"/>
      <c r="M23" s="758"/>
      <c r="N23" s="758"/>
    </row>
    <row r="24" spans="2:19" s="17" customFormat="1" ht="17.649999999999999" hidden="1" customHeight="1">
      <c r="D24" s="348" t="s">
        <v>1461</v>
      </c>
      <c r="E24" s="2544" t="s">
        <v>2275</v>
      </c>
      <c r="F24" s="2544"/>
      <c r="G24" s="2544"/>
      <c r="H24" s="801" t="s">
        <v>41</v>
      </c>
      <c r="I24" s="849" t="str">
        <f>IF(H24="No","(Must be Yes)","")</f>
        <v/>
      </c>
      <c r="J24" s="717"/>
      <c r="K24" s="717"/>
      <c r="L24" s="2642"/>
      <c r="M24" s="2011">
        <f>IF($L$6=0,0,IF(OR(Link_Classification=Data1!$A$14,Link_Classification=Data1!$A$16),1,3))</f>
        <v>0</v>
      </c>
      <c r="N24" s="2022"/>
      <c r="O24" s="2024" t="s">
        <v>2769</v>
      </c>
    </row>
    <row r="25" spans="2:19" s="17" customFormat="1" ht="5.25" hidden="1" customHeight="1">
      <c r="H25" s="717"/>
      <c r="J25" s="717"/>
      <c r="K25" s="717"/>
      <c r="L25" s="2642"/>
      <c r="M25" s="758"/>
      <c r="N25" s="758"/>
    </row>
    <row r="26" spans="2:19" s="17" customFormat="1" ht="17.649999999999999" hidden="1" customHeight="1">
      <c r="D26" s="348" t="s">
        <v>1461</v>
      </c>
      <c r="E26" s="2544" t="s">
        <v>2287</v>
      </c>
      <c r="F26" s="2544"/>
      <c r="G26" s="2544"/>
      <c r="H26" s="1527"/>
      <c r="I26" s="1521" t="str">
        <f ca="1">IF(OR(N(Year_Built_of_Occupied)&lt;1900,Link_Classification=Data1!$A$15,Link_Classification="&lt;select one&gt;"),"",YEAR(NOW())-Year_Built_of_Occupied)</f>
        <v/>
      </c>
      <c r="J26" s="717"/>
      <c r="K26" s="717"/>
      <c r="L26" s="2642"/>
      <c r="M26" s="2011">
        <f>IF($L$6=0,0,IF(OR(Link_Classification=Data1!$A$14,Link_Classification=Data1!$A$16),1,3))</f>
        <v>0</v>
      </c>
      <c r="N26" s="2022"/>
      <c r="O26" s="2024" t="s">
        <v>2769</v>
      </c>
    </row>
    <row r="27" spans="2:19" s="17" customFormat="1" ht="14.65" hidden="1" customHeight="1">
      <c r="D27" s="348"/>
      <c r="E27" s="2596"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596"/>
      <c r="G27" s="2596"/>
      <c r="H27" s="2596"/>
      <c r="I27" s="2596"/>
      <c r="J27" s="581"/>
      <c r="K27" s="581"/>
      <c r="L27" s="2642"/>
      <c r="M27" s="581"/>
      <c r="N27" s="581"/>
      <c r="O27" s="581"/>
      <c r="Q27" s="581"/>
    </row>
    <row r="28" spans="2:19" s="17" customFormat="1" ht="14.65" hidden="1" customHeight="1">
      <c r="D28" s="2579" t="s">
        <v>2297</v>
      </c>
      <c r="E28" s="2579"/>
      <c r="F28" s="2579"/>
      <c r="G28" s="2579"/>
      <c r="H28" s="2579"/>
      <c r="I28" s="2579"/>
      <c r="J28" s="581"/>
      <c r="K28" s="581"/>
      <c r="L28" s="2642"/>
      <c r="M28" s="581"/>
      <c r="N28" s="581"/>
      <c r="O28" s="581"/>
      <c r="Q28" s="581"/>
    </row>
    <row r="29" spans="2:19" s="17" customFormat="1" ht="10.5" hidden="1" customHeight="1">
      <c r="F29" s="849"/>
      <c r="G29" s="849"/>
      <c r="H29" s="849"/>
      <c r="I29" s="717"/>
      <c r="J29" s="717"/>
      <c r="K29" s="717"/>
      <c r="L29" s="2642"/>
      <c r="M29" s="855"/>
      <c r="N29" s="855"/>
    </row>
    <row r="30" spans="2:19" s="17" customFormat="1" ht="17.649999999999999" hidden="1" customHeight="1">
      <c r="B30" s="91" t="str">
        <f>IF($L$30=0,"",MAX(B$12:B29)+1)</f>
        <v/>
      </c>
      <c r="C30" s="865" t="str">
        <f>IF(L6=0,"The Development Category requirements are outlined in Section Four.","New Development")</f>
        <v>The Development Category requirements are outlined in Section Four.</v>
      </c>
      <c r="D30" s="875"/>
      <c r="E30" s="875"/>
      <c r="F30" s="875"/>
      <c r="G30" s="875"/>
      <c r="H30" s="875"/>
      <c r="I30" s="581"/>
      <c r="J30" s="18"/>
      <c r="K30" s="18"/>
      <c r="L30" s="2642">
        <f>IF('General Information'!$K$4=0,1,0)</f>
        <v>0</v>
      </c>
      <c r="M30" s="855"/>
      <c r="N30" s="855"/>
      <c r="O30" s="3201" t="str">
        <f>"On/Off controlled by RFA 214 Master for Rows "&amp;TEXT(ROW($A30),"0")&amp;":"&amp;TEXT(ROW($A54),"0")&amp;". Link Classification controls font."</f>
        <v>On/Off controlled by RFA 214 Master for Rows 30:54. Link Classification controls font.</v>
      </c>
      <c r="P30" s="3201"/>
      <c r="Q30" s="3201"/>
      <c r="R30" s="3201"/>
    </row>
    <row r="31" spans="2:19" s="17" customFormat="1" ht="7.5" hidden="1" customHeight="1">
      <c r="B31" s="81"/>
      <c r="C31" s="846"/>
      <c r="D31" s="846"/>
      <c r="E31" s="846"/>
      <c r="F31" s="846"/>
      <c r="G31" s="846"/>
      <c r="H31" s="869"/>
      <c r="I31" s="672"/>
      <c r="J31" s="18"/>
      <c r="K31" s="18"/>
      <c r="L31" s="2642"/>
      <c r="M31" s="855"/>
      <c r="N31" s="855"/>
      <c r="O31" s="3201"/>
      <c r="P31" s="3201"/>
      <c r="Q31" s="3201"/>
      <c r="R31" s="3201"/>
    </row>
    <row r="32" spans="2:19" s="17" customFormat="1" ht="14.65" hidden="1" customHeight="1">
      <c r="B32" s="81"/>
      <c r="C32" s="348" t="s">
        <v>1461</v>
      </c>
      <c r="D32" t="s">
        <v>2314</v>
      </c>
      <c r="E32" s="846"/>
      <c r="F32" s="846"/>
      <c r="G32" s="846"/>
      <c r="H32" s="869"/>
      <c r="I32" s="672"/>
      <c r="J32" s="18"/>
      <c r="K32" s="18"/>
      <c r="L32" s="2642"/>
      <c r="M32" s="855"/>
      <c r="N32" s="855"/>
      <c r="O32" s="3201"/>
      <c r="P32" s="3201"/>
      <c r="Q32" s="3201"/>
      <c r="R32" s="3201"/>
    </row>
    <row r="33" spans="2:18" s="17" customFormat="1" ht="5.25" hidden="1" customHeight="1">
      <c r="B33" s="81"/>
      <c r="C33" s="846"/>
      <c r="D33" s="846"/>
      <c r="E33" s="846"/>
      <c r="F33" s="846"/>
      <c r="G33" s="846"/>
      <c r="H33" s="869"/>
      <c r="I33" s="672"/>
      <c r="J33" s="18"/>
      <c r="K33" s="18"/>
      <c r="L33" s="2642"/>
      <c r="M33" s="855"/>
      <c r="N33" s="855"/>
      <c r="O33" s="3201"/>
      <c r="P33" s="3201"/>
      <c r="Q33" s="3201"/>
      <c r="R33" s="3201"/>
    </row>
    <row r="34" spans="2:18" s="17" customFormat="1" ht="60" hidden="1" customHeight="1">
      <c r="B34" s="81"/>
      <c r="C34" s="348" t="s">
        <v>1461</v>
      </c>
      <c r="D34" s="2544"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qualify for the RFA requirements by either being vacant or, if there are any existing buildings that will be demolished, those buildings do not contain residential units:</v>
      </c>
      <c r="E34" s="2544"/>
      <c r="F34" s="2544"/>
      <c r="G34" s="2544"/>
      <c r="H34" s="801" t="s">
        <v>41</v>
      </c>
      <c r="I34" s="672"/>
      <c r="J34" s="18"/>
      <c r="K34" s="18"/>
      <c r="L34" s="2642"/>
      <c r="M34" s="2021">
        <f>IF('General Information'!$K$4=0,IF(AND(Link_Classification&lt;&gt;Data1!$A$14,Link_Classification&lt;&gt;Data1!$A$16),3,1),0)</f>
        <v>0</v>
      </c>
      <c r="N34" s="2022"/>
      <c r="O34" s="2024" t="s">
        <v>2769</v>
      </c>
    </row>
    <row r="35" spans="2:18" s="17" customFormat="1" ht="10.5" hidden="1" customHeight="1">
      <c r="B35" s="81"/>
      <c r="C35" s="829"/>
      <c r="D35" s="829"/>
      <c r="E35" s="829"/>
      <c r="F35" s="829"/>
      <c r="G35" s="829"/>
      <c r="H35" s="577"/>
      <c r="I35" s="672"/>
      <c r="J35" s="18"/>
      <c r="K35" s="18"/>
      <c r="L35" s="2642"/>
      <c r="M35" s="855"/>
      <c r="N35" s="855"/>
    </row>
    <row r="36" spans="2:18" s="17" customFormat="1" ht="14.65" hidden="1" customHeight="1">
      <c r="B36" s="91" t="str">
        <f>IF($L$6=0,"",MAX(B$12:B35)+1)</f>
        <v/>
      </c>
      <c r="C36" s="87" t="s">
        <v>2262</v>
      </c>
      <c r="D36" s="829"/>
      <c r="E36" s="829"/>
      <c r="F36" s="829"/>
      <c r="G36" s="829"/>
      <c r="H36" s="577"/>
      <c r="I36" s="672"/>
      <c r="J36" s="18"/>
      <c r="K36" s="18"/>
      <c r="L36" s="2642"/>
      <c r="M36" s="855"/>
      <c r="N36" s="855"/>
      <c r="O36" s="3197" t="str">
        <f>"When RFA 214 Master is on, Link Classification controls font on Rows "&amp;TEXT(ROW(A36),"0")&amp;":"&amp;TEXT(ROW(A39),"0")&amp;"."</f>
        <v>When RFA 214 Master is on, Link Classification controls font on Rows 36:39.</v>
      </c>
      <c r="P36" s="3197"/>
      <c r="Q36" s="3197"/>
      <c r="R36" s="3197"/>
    </row>
    <row r="37" spans="2:18" s="17" customFormat="1" ht="7.5" hidden="1" customHeight="1">
      <c r="B37" s="81"/>
      <c r="C37" s="829"/>
      <c r="D37" s="829"/>
      <c r="E37" s="829"/>
      <c r="F37" s="829"/>
      <c r="G37" s="829"/>
      <c r="H37" s="577"/>
      <c r="I37" s="672"/>
      <c r="J37" s="18"/>
      <c r="K37" s="18"/>
      <c r="L37" s="2642"/>
      <c r="M37" s="855"/>
      <c r="N37" s="855"/>
      <c r="O37" s="3197"/>
      <c r="P37" s="3197"/>
      <c r="Q37" s="3197"/>
      <c r="R37" s="3197"/>
    </row>
    <row r="38" spans="2:18" s="17" customFormat="1" ht="14.65" hidden="1" customHeight="1">
      <c r="B38" s="81"/>
      <c r="C38" t="s">
        <v>2313</v>
      </c>
      <c r="D38" s="829"/>
      <c r="E38" s="829"/>
      <c r="F38" s="829"/>
      <c r="G38" s="829"/>
      <c r="H38" s="577"/>
      <c r="I38" s="672"/>
      <c r="J38" s="18"/>
      <c r="K38" s="18"/>
      <c r="L38" s="2642"/>
      <c r="M38" s="855"/>
      <c r="N38" s="855"/>
      <c r="O38" s="3197"/>
      <c r="P38" s="3197"/>
      <c r="Q38" s="3197"/>
      <c r="R38" s="3197"/>
    </row>
    <row r="39" spans="2:18" s="17" customFormat="1" ht="10.5" hidden="1" customHeight="1">
      <c r="B39" s="81"/>
      <c r="C39" s="829"/>
      <c r="D39" s="829"/>
      <c r="E39" s="829"/>
      <c r="F39" s="829"/>
      <c r="G39" s="829"/>
      <c r="H39" s="577"/>
      <c r="I39" s="672"/>
      <c r="J39" s="18"/>
      <c r="K39" s="18"/>
      <c r="L39" s="2642"/>
      <c r="M39" s="855"/>
      <c r="N39" s="855"/>
      <c r="O39" s="3197"/>
      <c r="P39" s="3197"/>
      <c r="Q39" s="3197"/>
      <c r="R39" s="3197"/>
    </row>
    <row r="40" spans="2:18" s="17" customFormat="1" ht="14.65" hidden="1" customHeight="1">
      <c r="B40" s="91" t="str">
        <f>IF($L$6=0,"",MAX(B$12:B39)+1)</f>
        <v/>
      </c>
      <c r="C40" s="87" t="str">
        <f>"Relocation (New Development "&amp;IF(Link_Classification=Data1!A16,"and "&amp;Data1!A16&amp;" ","")&amp;"only)"</f>
        <v>Relocation (New Development only)</v>
      </c>
      <c r="D40" s="829"/>
      <c r="E40" s="829"/>
      <c r="F40" s="829"/>
      <c r="G40" s="829"/>
      <c r="H40" s="577"/>
      <c r="I40" s="672"/>
      <c r="J40" s="18"/>
      <c r="K40" s="18"/>
      <c r="L40" s="2642"/>
      <c r="M40" s="855"/>
      <c r="N40" s="855"/>
      <c r="O40" s="3197" t="str">
        <f>"When RFA 214 Master is on, Link Classification controls font on Rows "&amp;TEXT(ROW(A40),"0")&amp;":"&amp;TEXT(ROW(A49),"0")&amp;"."</f>
        <v>When RFA 214 Master is on, Link Classification controls font on Rows 40:49.</v>
      </c>
      <c r="P40" s="3197"/>
      <c r="Q40" s="3197"/>
      <c r="R40" s="3197"/>
    </row>
    <row r="41" spans="2:18" s="17" customFormat="1" ht="7.5" hidden="1" customHeight="1">
      <c r="B41" s="81"/>
      <c r="C41" s="829"/>
      <c r="D41" s="829"/>
      <c r="E41" s="829"/>
      <c r="F41" s="829"/>
      <c r="G41" s="829"/>
      <c r="H41" s="577"/>
      <c r="I41" s="672"/>
      <c r="J41" s="18"/>
      <c r="K41" s="18"/>
      <c r="L41" s="2642"/>
      <c r="M41" s="855"/>
      <c r="N41" s="855"/>
      <c r="O41" s="3197"/>
      <c r="P41" s="3197"/>
      <c r="Q41" s="3197"/>
      <c r="R41" s="3197"/>
    </row>
    <row r="42" spans="2:18" s="17" customFormat="1" ht="14.65" hidden="1" customHeight="1">
      <c r="B42" s="81"/>
      <c r="C42" s="848" t="s">
        <v>860</v>
      </c>
      <c r="D42" s="829" t="s">
        <v>2277</v>
      </c>
      <c r="E42" s="829"/>
      <c r="F42" s="829"/>
      <c r="G42" s="829"/>
      <c r="H42" s="577"/>
      <c r="I42" s="672"/>
      <c r="J42" s="18"/>
      <c r="K42" s="18"/>
      <c r="L42" s="2642"/>
      <c r="M42" s="855"/>
      <c r="N42" s="855"/>
      <c r="O42" s="3197"/>
      <c r="P42" s="3197"/>
      <c r="Q42" s="3197"/>
      <c r="R42" s="3197"/>
    </row>
    <row r="43" spans="2:18" s="17" customFormat="1" ht="7.5" hidden="1" customHeight="1">
      <c r="B43" s="81"/>
      <c r="C43" s="829"/>
      <c r="D43" s="829"/>
      <c r="E43" s="829"/>
      <c r="F43" s="829"/>
      <c r="G43" s="829"/>
      <c r="H43" s="577"/>
      <c r="I43" s="672"/>
      <c r="J43" s="18"/>
      <c r="K43" s="18"/>
      <c r="L43" s="2642"/>
      <c r="M43" s="855"/>
      <c r="N43" s="855"/>
      <c r="O43" s="3197"/>
      <c r="P43" s="3197"/>
      <c r="Q43" s="3197"/>
      <c r="R43" s="3197"/>
    </row>
    <row r="44" spans="2:18" s="17" customFormat="1" ht="30" hidden="1" customHeight="1">
      <c r="B44" s="81"/>
      <c r="C44" s="829"/>
      <c r="D44" s="2544" t="s">
        <v>2278</v>
      </c>
      <c r="E44" s="2544"/>
      <c r="F44" s="2544"/>
      <c r="G44" s="2544"/>
      <c r="H44" s="2544"/>
      <c r="I44" s="2544"/>
      <c r="J44" s="18"/>
      <c r="K44" s="18"/>
      <c r="L44" s="2642"/>
      <c r="M44" s="855"/>
      <c r="N44" s="855"/>
    </row>
    <row r="45" spans="2:18" s="17" customFormat="1" ht="7.5" hidden="1" customHeight="1">
      <c r="B45" s="81"/>
      <c r="C45" s="829"/>
      <c r="D45" s="829"/>
      <c r="E45" s="829"/>
      <c r="F45" s="829"/>
      <c r="G45" s="829"/>
      <c r="H45" s="577"/>
      <c r="I45" s="672"/>
      <c r="J45" s="18"/>
      <c r="K45" s="18"/>
      <c r="L45" s="2642"/>
      <c r="M45" s="855"/>
      <c r="N45" s="855"/>
    </row>
    <row r="46" spans="2:18" s="17" customFormat="1" ht="14.65" hidden="1" customHeight="1">
      <c r="B46" s="81"/>
      <c r="C46" s="848" t="s">
        <v>862</v>
      </c>
      <c r="D46" s="829" t="s">
        <v>2279</v>
      </c>
      <c r="E46" s="829"/>
      <c r="F46" s="829"/>
      <c r="G46" s="829"/>
      <c r="H46" s="577"/>
      <c r="I46" s="672"/>
      <c r="J46" s="18"/>
      <c r="K46" s="18"/>
      <c r="L46" s="2642"/>
      <c r="M46" s="855"/>
      <c r="N46" s="855"/>
    </row>
    <row r="47" spans="2:18" s="17" customFormat="1" ht="7.5" hidden="1" customHeight="1">
      <c r="B47" s="81"/>
      <c r="C47" s="829"/>
      <c r="D47" s="829"/>
      <c r="E47" s="829"/>
      <c r="F47" s="829"/>
      <c r="G47" s="829"/>
      <c r="H47" s="577"/>
      <c r="I47" s="672"/>
      <c r="J47" s="18"/>
      <c r="K47" s="18"/>
      <c r="L47" s="2642"/>
      <c r="M47" s="855"/>
      <c r="N47" s="855"/>
    </row>
    <row r="48" spans="2:18" s="17" customFormat="1" ht="30" hidden="1" customHeight="1">
      <c r="B48" s="81"/>
      <c r="C48" s="829"/>
      <c r="D48" s="2544" t="s">
        <v>2315</v>
      </c>
      <c r="E48" s="2544"/>
      <c r="F48" s="2544"/>
      <c r="G48" s="2544"/>
      <c r="H48" s="2544"/>
      <c r="I48" s="2544"/>
      <c r="J48" s="18"/>
      <c r="K48" s="18"/>
      <c r="L48" s="2642"/>
      <c r="M48" s="855"/>
      <c r="N48" s="855"/>
    </row>
    <row r="49" spans="2:18" s="17" customFormat="1" ht="10.5" hidden="1" customHeight="1">
      <c r="B49" s="81"/>
      <c r="C49" s="829"/>
      <c r="D49" s="829"/>
      <c r="E49" s="829"/>
      <c r="F49" s="829"/>
      <c r="G49" s="829"/>
      <c r="H49" s="577"/>
      <c r="I49" s="672"/>
      <c r="J49" s="18"/>
      <c r="K49" s="18"/>
      <c r="L49" s="2642"/>
      <c r="M49" s="855"/>
      <c r="N49" s="855"/>
    </row>
    <row r="50" spans="2:18" s="17" customFormat="1" ht="14.65" hidden="1" customHeight="1">
      <c r="B50" s="91" t="str">
        <f>IF($L$6=0,"",MAX(B$12:B49)+1)</f>
        <v/>
      </c>
      <c r="C50" s="87" t="s">
        <v>2298</v>
      </c>
      <c r="D50" s="829"/>
      <c r="E50" s="829"/>
      <c r="F50" s="829"/>
      <c r="G50" s="829"/>
      <c r="H50" s="577"/>
      <c r="I50" s="672"/>
      <c r="J50" s="18"/>
      <c r="K50" s="18"/>
      <c r="L50" s="2642"/>
      <c r="M50" s="855"/>
      <c r="N50" s="855"/>
    </row>
    <row r="51" spans="2:18" s="17" customFormat="1" ht="50.25" hidden="1" customHeight="1">
      <c r="B51" s="91"/>
      <c r="C51" s="87"/>
      <c r="D51" s="2544" t="s">
        <v>2299</v>
      </c>
      <c r="E51" s="2544"/>
      <c r="F51" s="2544"/>
      <c r="G51" s="2544"/>
      <c r="H51" s="2544"/>
      <c r="I51" s="2544"/>
      <c r="J51" s="18"/>
      <c r="K51" s="18"/>
      <c r="L51" s="2642"/>
      <c r="M51" s="855"/>
      <c r="N51" s="855"/>
      <c r="O51" s="2023" t="str">
        <f>"For RFA 214, Rows "&amp;TEXT(ROW(A52),"0")&amp;":"&amp;TEXT(ROW(A53),"0")&amp;" are reserved for large narrative blocks."</f>
        <v>For RFA 214, Rows 52:53 are reserved for large narrative blocks.</v>
      </c>
    </row>
    <row r="52" spans="2:18" s="17" customFormat="1" ht="300" hidden="1" customHeight="1">
      <c r="B52" s="81"/>
      <c r="C52" s="2875"/>
      <c r="D52" s="2875"/>
      <c r="E52" s="2875"/>
      <c r="F52" s="2875"/>
      <c r="G52" s="2875"/>
      <c r="H52" s="2875"/>
      <c r="I52" s="2875"/>
      <c r="J52" s="18"/>
      <c r="K52" s="18"/>
      <c r="L52" s="2642"/>
      <c r="M52" s="855"/>
      <c r="N52" s="855"/>
    </row>
    <row r="53" spans="2:18" s="17" customFormat="1" ht="300" hidden="1" customHeight="1">
      <c r="B53" s="81"/>
      <c r="C53" s="2875"/>
      <c r="D53" s="2875"/>
      <c r="E53" s="2875"/>
      <c r="F53" s="2875"/>
      <c r="G53" s="2875"/>
      <c r="H53" s="2875"/>
      <c r="I53" s="2875"/>
      <c r="J53" s="18"/>
      <c r="K53" s="18"/>
      <c r="L53" s="2642"/>
      <c r="M53" s="855"/>
      <c r="N53" s="855"/>
    </row>
    <row r="54" spans="2:18" s="17" customFormat="1" ht="14.65" hidden="1" customHeight="1">
      <c r="B54" s="81"/>
      <c r="C54" s="829"/>
      <c r="D54" s="829"/>
      <c r="E54" s="829"/>
      <c r="F54" s="829"/>
      <c r="G54" s="829"/>
      <c r="H54" s="577"/>
      <c r="I54" s="672"/>
      <c r="J54" s="18"/>
      <c r="K54" s="18"/>
      <c r="L54" s="2642"/>
      <c r="M54" s="855"/>
      <c r="N54" s="855"/>
    </row>
    <row r="55" spans="2:18" s="17" customFormat="1" ht="17.649999999999999" customHeight="1">
      <c r="B55" s="81"/>
      <c r="C55" s="829" t="s">
        <v>2471</v>
      </c>
      <c r="D55" s="846"/>
      <c r="E55" s="846"/>
      <c r="F55" s="846"/>
      <c r="G55" s="3199" t="s">
        <v>1796</v>
      </c>
      <c r="H55" s="3199"/>
      <c r="I55" s="3199"/>
      <c r="J55" s="18"/>
      <c r="K55" s="18"/>
      <c r="L55" s="3203">
        <f>IF('General Information'!$K$4=0,0,1)</f>
        <v>1</v>
      </c>
      <c r="M55" s="2569">
        <v>1</v>
      </c>
      <c r="N55" s="855"/>
      <c r="O55" s="1267" t="str">
        <f>"Rows "&amp;TEXT(ROW(A55),"0")&amp;":"&amp;TEXT(ROW(A56),"0")&amp;" turns on when RFA 214 Master is off. Also controls row "&amp;TEXT(ROW(M174),"0")&amp;"."</f>
        <v>Rows 55:56 turns on when RFA 214 Master is off. Also controls row 174.</v>
      </c>
    </row>
    <row r="56" spans="2:18" s="17" customFormat="1" ht="7.5" customHeight="1">
      <c r="B56" s="81"/>
      <c r="C56" s="846"/>
      <c r="D56" s="846"/>
      <c r="E56" s="846"/>
      <c r="F56" s="846"/>
      <c r="G56" s="846"/>
      <c r="H56" s="869"/>
      <c r="I56" s="672"/>
      <c r="J56" s="18"/>
      <c r="K56" s="18"/>
      <c r="L56" s="3204"/>
      <c r="M56" s="2570"/>
      <c r="N56" s="855"/>
    </row>
    <row r="57" spans="2:18" s="17" customFormat="1" ht="17.649999999999999" customHeight="1">
      <c r="B57" s="81"/>
      <c r="C57" s="2544"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544"/>
      <c r="E57" s="2544"/>
      <c r="F57" s="2544"/>
      <c r="G57" s="2544"/>
      <c r="H57" s="2544"/>
      <c r="I57" s="2544"/>
      <c r="J57" s="18"/>
      <c r="K57" s="18"/>
      <c r="L57" s="2682">
        <v>1</v>
      </c>
      <c r="M57" s="2570"/>
      <c r="N57" s="855"/>
      <c r="O57" s="1267" t="s">
        <v>2748</v>
      </c>
    </row>
    <row r="58" spans="2:18" s="17" customFormat="1" ht="7.5" customHeight="1">
      <c r="B58" s="81"/>
      <c r="C58" s="846"/>
      <c r="D58" s="846"/>
      <c r="E58" s="846"/>
      <c r="F58" s="846"/>
      <c r="G58" s="846"/>
      <c r="H58" s="869"/>
      <c r="I58" s="672"/>
      <c r="J58" s="18"/>
      <c r="K58" s="18"/>
      <c r="L58" s="2682"/>
      <c r="M58" s="2571"/>
      <c r="N58" s="855"/>
    </row>
    <row r="59" spans="2:18" s="17" customFormat="1" ht="35.15" customHeight="1">
      <c r="B59" s="81"/>
      <c r="C59" s="2581" t="str">
        <f>"Does the Unit Characteristics Chart below demonstrate that "&amp;IF(AND(OR(Development_Category="Rehabilitation",Development_Category="Acquisition and Rehabilitation"),Development_SubCategory&lt;&gt;"Preservation (w/ or w/o Acquisition)"),"less than "&amp;TEXT(Data1!B313*100,"0"),IF(AND(OR(Development_Category="Rehabilitation",Development_Category="Acquisition and Rehabilitation"),Development_SubCategory="Preservation (w/ or w/o Acquisition)"),"less than "&amp;TEXT(Data1!B280*100,"0"),IF(AND(Development_Category="New Construction",Development_SubCategory="Redevelopment (w/ or w/o Acquisition)"),"at least "&amp;TEXT(Data1!B264*100,"0"),"at least "&amp;TEXT(Data1!B256*100,"0"))))&amp;" percent of the total units consist of new construction?"</f>
        <v>Does the Unit Characteristics Chart below demonstrate that at least 50 percent of the total units consist of new construction?</v>
      </c>
      <c r="D59" s="2579"/>
      <c r="E59" s="2579"/>
      <c r="F59" s="2579"/>
      <c r="G59" s="2579"/>
      <c r="H59" s="2579"/>
      <c r="I59" s="2526" t="str">
        <f>IF(AND(OR(Development_Category="Rehabilitation",Development_Category="Acquisition and Rehabilitation"),Development_SubCategory&lt;&gt;"Preservation (w/ or w/o Acquisition)"),Data1!B316,IF(AND(OR(Development_Category="Rehabilitation",Development_Category="Acquisition and Rehabilitation"),Development_SubCategory="Preservation (w/ or w/o Acquisition)"),Data1!B283,IF(AND(Development_Category="New Construction",Development_SubCategory="Redevelopment (w/ or w/o Acquisition)"),Data1!B267,Data1!B259)))</f>
        <v>NA</v>
      </c>
      <c r="J59" s="18"/>
      <c r="K59" s="18"/>
      <c r="L59" s="2682">
        <v>1</v>
      </c>
      <c r="M59" s="2525"/>
      <c r="N59" s="855"/>
    </row>
    <row r="60" spans="2:18" s="17" customFormat="1" ht="7.5" customHeight="1">
      <c r="B60" s="81"/>
      <c r="C60" s="846"/>
      <c r="D60" s="846"/>
      <c r="E60" s="846"/>
      <c r="F60" s="846"/>
      <c r="G60" s="846"/>
      <c r="H60" s="869"/>
      <c r="I60" s="672"/>
      <c r="J60" s="18"/>
      <c r="K60" s="18"/>
      <c r="L60" s="2682"/>
      <c r="M60" s="2525"/>
      <c r="N60" s="855"/>
    </row>
    <row r="61" spans="2:18" s="17" customFormat="1" ht="50.25" hidden="1" customHeight="1">
      <c r="B61" s="81"/>
      <c r="C61" s="2579" t="str">
        <f>"If New Construction is the selected Development Category, did the Applicant indicate it or the General Partner or managing member of the Applicant meets the Rule definition of a Non-Profit at Section 4.A.3.a.("&amp;'General Information'!B77&amp;"). "</f>
        <v xml:space="preserve">If New Construction is the selected Development Category, did the Applicant indicate it or the General Partner or managing member of the Applicant meets the Rule definition of a Non-Profit at Section 4.A.3.a.(3). </v>
      </c>
      <c r="D61" s="2579"/>
      <c r="E61" s="2579"/>
      <c r="F61" s="2579"/>
      <c r="G61" s="2579"/>
      <c r="H61" s="2579"/>
      <c r="I61" s="890" t="str">
        <f>IF(AND(DS_NC_NP_Req="Yes",Development_Category="New Construction",NonProfit_Applicant="Yes"),"Yes",IF(AND(DS_NC_NP_Req="Yes",Development_Category="New Construction",NonProfit_Applicant&lt;&gt;"Yes"),"No","NA"))</f>
        <v>NA</v>
      </c>
      <c r="J61" s="18"/>
      <c r="K61" s="18"/>
      <c r="L61" s="2569">
        <v>1</v>
      </c>
      <c r="M61" s="3208">
        <f>IF(DS_NC_NP_Req&lt;&gt;"Yes",0,1)</f>
        <v>0</v>
      </c>
      <c r="N61" s="722"/>
      <c r="O61" s="3202" t="str">
        <f>"Controlled by input for ""Require the Applicant to be Non-Profit to qualify"" question (cell Data1!B"&amp;TEXT(ROW(DS_NC_NP_Req),"0")&amp;"). Needed for clarifying Non-Profit status for NC DevCat."</f>
        <v>Controlled by input for "Require the Applicant to be Non-Profit to qualify" question (cell Data1!B255). Needed for clarifying Non-Profit status for NC DevCat.</v>
      </c>
      <c r="P61" s="3202"/>
      <c r="Q61" s="3202"/>
      <c r="R61" s="3202"/>
    </row>
    <row r="62" spans="2:18" s="17" customFormat="1" ht="7.5" hidden="1" customHeight="1">
      <c r="B62" s="81"/>
      <c r="C62" s="829"/>
      <c r="D62" s="829"/>
      <c r="E62" s="829"/>
      <c r="F62" s="829"/>
      <c r="G62" s="829"/>
      <c r="H62" s="829"/>
      <c r="I62" s="829"/>
      <c r="J62" s="18"/>
      <c r="K62" s="18"/>
      <c r="L62" s="2570"/>
      <c r="M62" s="3208"/>
      <c r="N62" s="722"/>
      <c r="O62" s="3202"/>
      <c r="P62" s="3202"/>
      <c r="Q62" s="3202"/>
      <c r="R62" s="3202"/>
    </row>
    <row r="63" spans="2:18" s="17" customFormat="1" ht="35.25" customHeight="1">
      <c r="B63" s="81"/>
      <c r="C63" s="3173"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3174"/>
      <c r="E63" s="3174"/>
      <c r="F63" s="3174"/>
      <c r="G63" s="3174"/>
      <c r="H63" s="3174"/>
      <c r="I63" s="3175"/>
      <c r="J63" s="2025"/>
      <c r="K63" s="18"/>
      <c r="L63" s="2570"/>
      <c r="M63" s="2569">
        <v>1</v>
      </c>
      <c r="N63" s="2028"/>
      <c r="O63" s="2849" t="str">
        <f>"When 214 is Off, controls Rows "&amp;TEXT(ROW(A63),"0")&amp;":"&amp;TEXT(ROW(A68),"0")&amp;". This section asks either Redevelopment or Preservation questions, as applicable."</f>
        <v>When 214 is Off, controls Rows 63:68. This section asks either Redevelopment or Preservation questions, as applicable.</v>
      </c>
      <c r="P63" s="2849"/>
      <c r="Q63" s="2849"/>
      <c r="R63" s="2849"/>
    </row>
    <row r="64" spans="2:18" s="17" customFormat="1" ht="35.25" customHeight="1">
      <c r="B64" s="81"/>
      <c r="C64" s="3172"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579"/>
      <c r="E64" s="2579"/>
      <c r="F64" s="2579"/>
      <c r="G64" s="2579"/>
      <c r="H64" s="2579"/>
      <c r="I64" s="2231" t="s">
        <v>41</v>
      </c>
      <c r="J64" s="2025"/>
      <c r="K64" s="18"/>
      <c r="L64" s="2570"/>
      <c r="M64" s="2570"/>
      <c r="N64" s="3209">
        <f>IF(OR(AND(Development_Category="New Construction",Development_SubCategory="Redevelopment (w/ or w/o Acquisition)"),AND(OR(Development_Category="Rehabilitation",Development_Category="Acquisition and Rehabilitation"),Development_SubCategory="Preservation (w/ or w/o Acquisition)")),1,0)</f>
        <v>0</v>
      </c>
      <c r="O64" s="2849" t="s">
        <v>2749</v>
      </c>
      <c r="P64" s="2849"/>
      <c r="Q64" s="2849"/>
      <c r="R64" s="2849"/>
    </row>
    <row r="65" spans="2:19" s="17" customFormat="1" ht="7.5" customHeight="1">
      <c r="B65" s="81"/>
      <c r="C65" s="1303"/>
      <c r="D65" s="846"/>
      <c r="E65" s="846"/>
      <c r="F65" s="846"/>
      <c r="G65" s="846"/>
      <c r="H65" s="846"/>
      <c r="I65" s="1324"/>
      <c r="J65" s="2025"/>
      <c r="K65" s="18"/>
      <c r="L65" s="2570"/>
      <c r="M65" s="2570"/>
      <c r="N65" s="3209"/>
      <c r="O65" s="2849"/>
      <c r="P65" s="2849"/>
      <c r="Q65" s="2849"/>
      <c r="R65" s="2849"/>
    </row>
    <row r="66" spans="2:19" s="17" customFormat="1" ht="65" customHeight="1">
      <c r="B66" s="81"/>
      <c r="C66" s="3172"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Acquisition)"),_xlfn._LONGTEXT("Did the Development close on funding from HUD or RD within the 20 years prior to an Application Deadline in a competitive solicitation where the budget was at least $10,000 per unit for rehabilitation in any year? A response of ""Yes"" will cause the Applic","ation to fail to meet the definition of Preservation."),""))</f>
        <v/>
      </c>
      <c r="D66" s="2579"/>
      <c r="E66" s="2579"/>
      <c r="F66" s="2579"/>
      <c r="G66" s="2579"/>
      <c r="H66" s="2579"/>
      <c r="I66" s="976" t="s">
        <v>41</v>
      </c>
      <c r="J66" s="2025"/>
      <c r="K66" s="18"/>
      <c r="L66" s="2570"/>
      <c r="M66" s="2570"/>
      <c r="N66" s="2027">
        <f>IF(OR(AND(Development_Category="New Construction",Development_SubCategory="Redevelopment (w/ or w/o Acquisition)"),AND(OR(Development_Category="Rehabilitation",Development_Category="Acquisition and Rehabilitation"),Development_SubCategory="Preservation (w/ or w/o Acquisition)")),1,0)</f>
        <v>0</v>
      </c>
      <c r="O66" s="2849" t="s">
        <v>2746</v>
      </c>
      <c r="P66" s="2849"/>
      <c r="Q66" s="2849"/>
      <c r="R66" s="2849"/>
    </row>
    <row r="67" spans="2:19" s="17" customFormat="1" ht="7.5" customHeight="1">
      <c r="B67" s="81"/>
      <c r="C67" s="3176"/>
      <c r="D67" s="3177"/>
      <c r="E67" s="3177"/>
      <c r="F67" s="3177"/>
      <c r="G67" s="3177"/>
      <c r="H67" s="3177"/>
      <c r="I67" s="3178"/>
      <c r="J67" s="2025"/>
      <c r="K67" s="18"/>
      <c r="L67" s="2570"/>
      <c r="M67" s="2570"/>
      <c r="N67" s="2026"/>
      <c r="O67" s="2026"/>
      <c r="P67" s="2026"/>
      <c r="Q67" s="2026"/>
      <c r="R67" s="2026"/>
    </row>
    <row r="68" spans="2:19" s="17" customFormat="1" ht="7.5" customHeight="1">
      <c r="B68" s="81"/>
      <c r="C68" s="303"/>
      <c r="D68" s="303"/>
      <c r="E68" s="303"/>
      <c r="F68" s="303"/>
      <c r="G68" s="303"/>
      <c r="H68" s="303"/>
      <c r="I68" s="303"/>
      <c r="J68" s="2025"/>
      <c r="K68" s="18"/>
      <c r="L68" s="2570"/>
      <c r="M68" s="2571"/>
      <c r="N68" s="2026"/>
      <c r="O68" s="2026"/>
      <c r="P68" s="2026"/>
      <c r="Q68" s="2026"/>
      <c r="R68" s="2026"/>
    </row>
    <row r="69" spans="2:19" s="17" customFormat="1" ht="52.15" customHeight="1">
      <c r="B69" s="81"/>
      <c r="C69" s="2581" t="str">
        <f>IF(AND(DS_HC_Funding="Yes",OR(Development_Category="Rehabilitation",Development_Category="Acquisition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Acquisition)"),DS_IRC_Min_Cost_Bldg_Rehab,DS_IRC_Min_Cost_Bldg_Pres)*100,"0")&amp;" percent of the adjusted basis of the acquired building?","This area intentionally left blank.")</f>
        <v>This area intentionally left blank.</v>
      </c>
      <c r="D69" s="2579"/>
      <c r="E69" s="2579"/>
      <c r="F69" s="2579"/>
      <c r="G69" s="2579"/>
      <c r="H69" s="2579"/>
      <c r="I69" s="2523" t="str">
        <f>IF(DS_HC_Funding="Yes",IF(AND(OR(Development_Category="Rehabilitation",Development_Category="Acquisition and Rehabilitation"),Development_SubCategory&lt;&gt;"Preservation (w/ or w/o Acquisition)"),DS_IRC_Min_AB_Bldg_Met_Rehab,IF(AND(OR(Development_Category="Rehabilitation",Development_Category="Acquisition and Rehabilitation"),Development_SubCategory="Preservation (w/ or w/o Acquisition)"),DS_IRC_Min_AB_Bldg_Met_Pres,"")),"")</f>
        <v/>
      </c>
      <c r="J69" s="444"/>
      <c r="K69" s="18"/>
      <c r="L69" s="2570"/>
      <c r="M69" s="2569">
        <v>1</v>
      </c>
      <c r="N69" s="2026"/>
      <c r="O69" s="2603"/>
      <c r="P69" s="2603"/>
      <c r="Q69" s="2603"/>
      <c r="R69" s="2603"/>
    </row>
    <row r="70" spans="2:19" s="17" customFormat="1" ht="58.15" customHeight="1">
      <c r="B70" s="81"/>
      <c r="C70" s="3242" t="str">
        <f>IF(AND(DS_HC_Funding="Yes",OR(Development_Category="Rehabilitation",Development_Category="Acquisition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Acquisition)"),IF(LEFT(DS_IRC_Rehab_Costs_Rehab,1)="(",0,DS_IRC_Rehab_Costs_Rehab),IF(LEFT(DS_IRC_Rehab_Costs_Pres,1)="(",0,DS_IRC_Rehab_Costs_Pres)),"$#,##0")&amp;" is "&amp;IF(AND(OR(Development_Category="Rehabilitation",Development_Category="Acquisition and Rehabilitation"),Development_SubCategory&lt;&gt;"Preservation (w/ or w/o Acquisition)"),IF(IF(LEFT(DS_IRC_Rehab_Costs_Rehab,1)="(",0,DS_IRC_Rehab_Costs_Rehab)&gt;DS_IRC_Min_Adj_Basis_Bldg_Rehab,"more than",IF(IF(LEFT(DS_IRC_Rehab_Costs_Rehab,1)="(",0,DS_IRC_Rehab_Costs_Rehab)=DS_IRC_Min_Adj_Basis_Bldg_Rehab,"equal to",IF(IF(LEFT(DS_IRC_Rehab_Costs_Rehab,1)="(",0,DS_IRC_Rehab_Costs_Rehab)&lt;DS_IRC_Min_Adj_Basis_Bldg_Rehab,"less than","TBD"))),IF(IF(LEFT(DS_IRC_Rehab_Costs_Pres,1)="(",0,DS_IRC_Rehab_Costs_Pres)&gt;DS_IRC_Min_Adj_Basis_Bldg_Pres,"more than",IF(IF(LEFT(DS_IRC_Rehab_Costs_Pres,1)="(",0,DS_IRC_Rehab_Costs_Pres)=DS_IRC_Min_Adj_Basis_Bldg_Pres,"equal to",IF(IF(LEFT(DS_IRC_Rehab_Costs_Pres,1)="(",0,DS_IRC_Rehab_Costs_Pres)&lt;DS_IRC_Min_Adj_Basis_Bldg_Pres,"less than","TBD"))))&amp;" "&amp;TEXT(IF(AND(OR(Development_Category="Rehabilitation",Development_Category="Acquisition and Rehabilitation"),Development_SubCategory&lt;&gt;"Preservation (w/ or w/o Acquisition)"),DS_IRC_Min_Cost_Bldg_Rehab,DS_IRC_Min_Cost_Bldg_Pres),"0%")&amp;" of the adjusted basis amount of "&amp;TEXT(IF(AND(OR(Development_Category="Rehabilitation",Development_Category="Acquisition and Rehabilitation"),Development_SubCategory&lt;&gt;"Preservation (w/ or w/o Acquisition)"),IF(LEFT(DS_IRC_Adj_Basis_Bldg_Rehab,1)="(",0,DS_IRC_Adj_Basis_Bldg_Rehab),IF(LEFT(DS_IRC_Adj_Basis_Bldg_Pres,1)="(",0,DS_IRC_Adj_Basis_Bldg_Pres)),"$#,##0")&amp;", or "&amp;TEXT(IF(AND(OR(Development_Category="Rehabilitation",Development_Category="Acquisition and Rehabilitation"),Development_SubCategory&lt;&gt;"Preservation (w/ or w/o Acquisition)"),DS_IRC_Min_Adj_Basis_Bldg_Rehab,DS_IRC_Min_Adj_Basis_Bldg_Pres),"$#,##0")&amp;".  "&amp;IF(IF(AND(OR(Development_Category="Rehabilitation",Development_Category="Acquisition and Rehabilitation"),Development_SubCategory&lt;&gt;"Preservation (w/ or w/o Acquisition)"),DS_IRC_Rehab_Costs_Rehab,DS_IRC_Rehab_Costs_Pres)&lt;&gt;'Pro Forma'!H125,"(Certain fees and/or contingency reserves have been adjusted in accordance with RFA requirements to calculate IRS rehabilitation expenditures.)",""),"")</f>
        <v/>
      </c>
      <c r="D70" s="2849"/>
      <c r="E70" s="2849"/>
      <c r="F70" s="2849"/>
      <c r="G70" s="2849"/>
      <c r="H70" s="2849"/>
      <c r="I70" s="2849"/>
      <c r="J70" s="444"/>
      <c r="K70" s="18"/>
      <c r="L70" s="2570"/>
      <c r="M70" s="2570"/>
      <c r="N70" s="2026"/>
      <c r="O70" s="2603"/>
      <c r="P70" s="2603"/>
      <c r="Q70" s="2603"/>
      <c r="R70" s="2603"/>
      <c r="S70" s="2603"/>
    </row>
    <row r="71" spans="2:19" s="17" customFormat="1" ht="52.15" customHeight="1">
      <c r="B71" s="81"/>
      <c r="C71" s="2581" t="str">
        <f>IF(AND(DS_HC_Funding="Yes",OR(Development_Category="Rehabilitation",Development_Category="Acquisition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Acquisition)"),DS_IRC_Min_Rehab_Costs_PU,DS_IRC_Min_Pres_Costs_PU),"$#,##0")&amp;"?","")</f>
        <v/>
      </c>
      <c r="D71" s="2579"/>
      <c r="E71" s="2579"/>
      <c r="F71" s="2579"/>
      <c r="G71" s="2579"/>
      <c r="H71" s="2579"/>
      <c r="I71" s="2523" t="str">
        <f>IF(DS_HC_Funding="Yes",IF(AND(OR(Development_Category="Rehabilitation",Development_Category="Acquisition and Rehabilitation"),Development_SubCategory&lt;&gt;"Preservation (w/ or w/o Acquisition)"),DS_IRC_Qual_Basis_Rehab,IF(AND(OR(Development_Category="Rehabilitation",Development_Category="Acquisition and Rehabilitation"),Development_SubCategory="Preservation (w/ or w/o Acquisition)"),DS_IRC_Qual_Basis_Pres,"")),"")</f>
        <v/>
      </c>
      <c r="J71" s="444"/>
      <c r="K71" s="18"/>
      <c r="L71" s="2570"/>
      <c r="M71" s="2570"/>
      <c r="N71" s="2026"/>
      <c r="O71" s="2603"/>
      <c r="P71" s="2603"/>
      <c r="Q71" s="2603"/>
      <c r="R71" s="2603"/>
    </row>
    <row r="72" spans="2:19" s="17" customFormat="1" ht="63" customHeight="1">
      <c r="B72" s="81"/>
      <c r="C72" s="3242" t="str">
        <f>IF(AND(DS_HC_Funding="Yes",OR(Development_Category="Rehabilitation",Development_Category="Acquisition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Acquisition)"),IF(DS_Basis_Boost_Rehab=1,"not ",""),IF(DS_Basis_Boost_Pres=1,"not ",""))&amp;"qualify for the basis boost, the adjusted basis of the rehabilitation expenditures is "&amp;TEXT(IF(AND(OR(Development_Category="Rehabilitation",Development_Category="Acquisition and Rehabilitation"),Development_SubCategory&lt;&gt;"Preservation (w/ or w/o Acquisition)"),IF(LEFT(DS_QB_Rehab_Costs_Rehab,1)="(",0,DS_QB_Rehab_Costs_Rehab),IF(LEFT(DS_QB_Rehab_Costs_Pres,1)="(",0,DS_QB_Rehab_Costs_Pres)),"$#,##0.00")&amp;" ("&amp;TEXT(IF(AND(OR(Development_Category="Rehabilitation",Development_Category="Acquisition and Rehabilitation"),Development_SubCategory&lt;&gt;"Preservation (w/ or w/o Acquisition)"),IF(LEFT(DS_IRC_Rehab_Costs_Rehab,1)="(",0,DS_IRC_Rehab_Costs_Rehab),IF(LEFT(DS_IRC_Rehab_Costs_Pres,1)="(",0,DS_IRC_Rehab_Costs_Pres)),"$#,##0.00")&amp;" x "&amp;TEXT(IF(AND(OR(Development_Category="Rehabilitation",Development_Category="Acquisition and Rehabilitation"),Development_SubCategory&lt;&gt;"Preservation (w/ or w/o Acquisition)"),DS_Basis_Boost_Rehab,DS_Basis_Boost_Pres),"0.00x")&amp;" Basis Boost x "&amp;TEXT(IF(AND(OR(Development_Category="Rehabilitation",Development_Category="Acquisition and Rehabilitation"),Development_SubCategory&lt;&gt;"Preservation (w/ or w/o Acquisition)"),N(DS_SetAside_Percent_Rehab),N(DS_SetAside_Percent_Pres)),"0%")&amp;" Applicable Fraction). The qualified basis per housing credit unit is "&amp;TEXT(IF(AND(OR(Development_Category="Rehabilitation",Development_Category="Acquisition and Rehabilitation"),Development_SubCategory&lt;&gt;"Preservation (w/ or w/o Acquisition)"),IF(LEFT(DS_QB_Rehab_Costs_HC_Units_Rehab,1)="(",0,DS_QB_Rehab_Costs_HC_Units_Rehab),IF(LEFT(DS_QB_Rehab_Costs_HC_Units_Pres,1)="(",0,DS_QB_Rehab_Costs_HC_Units_Pres)),"$#,##0.00")&amp;", which is "&amp;IF(AND(OR(Development_Category="Rehabilitation",Development_Category="Acquisition and Rehabilitation"),Development_SubCategory&lt;&gt;"Preservation (w/ or w/o Acquisition)"),IF(IF(LEFT(DS_QB_Rehab_Costs_HC_Units_Rehab,1)="(",0,DS_QB_Rehab_Costs_HC_Units_Rehab)&gt;DS_IRC_Min_Rehab_Costs_PU,"greater than ",IF(IF(LEFT(DS_QB_Rehab_Costs_HC_Units_Rehab,1)="(",0,DS_QB_Rehab_Costs_HC_Units_Rehab)=DS_IRC_Min_Rehab_Costs_PU,"equal to ","less than ")),IF(IF(LEFT(DS_QB_Rehab_Costs_HC_Units_Pres,1)="(",0,DS_QB_Rehab_Costs_HC_Units_Pres)&gt;DS_IRC_Min_Pres_Costs_PU,"greater than ",IF(IF(LEFT(DS_QB_Rehab_Costs_HC_Units_Pres,1)="(",0,DS_QB_Rehab_Costs_HC_Units_Pres)=DS_IRC_Min_Pres_Costs_PU,"equal to ","less than ")))&amp;TEXT(IF(AND(OR(Development_Category="Rehabilitation",Development_Category="Acquisition and Rehabilitation"),Development_SubCategory&lt;&gt;"Preservation (w/ or w/o Acquisition)"),DS_IRC_Min_Rehab_Costs_PU,DS_IRC_Min_Pres_Costs_PU),"$#,##0")&amp;".","")</f>
        <v/>
      </c>
      <c r="D72" s="2849"/>
      <c r="E72" s="2849"/>
      <c r="F72" s="2849"/>
      <c r="G72" s="2849"/>
      <c r="H72" s="2849"/>
      <c r="I72" s="2849"/>
      <c r="J72" s="444"/>
      <c r="K72" s="18"/>
      <c r="L72" s="2570"/>
      <c r="M72" s="2570"/>
      <c r="N72" s="2026"/>
      <c r="O72" s="2603"/>
      <c r="P72" s="2603"/>
      <c r="Q72" s="2603"/>
      <c r="R72" s="2603"/>
      <c r="S72" s="2603"/>
    </row>
    <row r="73" spans="2:19" s="17" customFormat="1" ht="51" customHeight="1">
      <c r="B73" s="81"/>
      <c r="C73" s="2847" t="str">
        <f>IF(AND(DS_HC_Funding="Yes",OR(Development_Category="Rehabilitation",Development_Category="Acquisition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Acquisition)"),DS_FHFC_Min_Rehab_Costs_PU,DS_FHFC_Min_Pres_Costs_PU),"$#,##0")&amp;"?","")</f>
        <v/>
      </c>
      <c r="D73" s="2544"/>
      <c r="E73" s="2544"/>
      <c r="F73" s="2544"/>
      <c r="G73" s="2544"/>
      <c r="H73" s="2544"/>
      <c r="I73" s="2523" t="str">
        <f>IF(DS_HC_Funding="Yes",IF(AND(OR(Development_Category="Rehabilitation",Development_Category="Acquisition and Rehabilitation"),Development_SubCategory&lt;&gt;"Preservation (w/ or w/o Acquisition)"),DS_FHFC_Min_Hard_Cost_Met_Rehab,IF(AND(OR(Development_Category="Rehabilitation",Development_Category="Acquisition and Rehabilitation"),Development_SubCategory="Preservation (w/ or w/o Acquisition)"),DS_FHFC_Min_Hard_Cost_Met_Pres,"")),"")</f>
        <v/>
      </c>
      <c r="J73" s="444"/>
      <c r="K73" s="18"/>
      <c r="L73" s="2570"/>
      <c r="M73" s="2570"/>
      <c r="N73" s="2026"/>
      <c r="O73" s="2603"/>
      <c r="P73" s="2603"/>
      <c r="Q73" s="2603"/>
      <c r="R73" s="2603"/>
    </row>
    <row r="74" spans="2:19" s="17" customFormat="1" ht="63" customHeight="1">
      <c r="B74" s="81"/>
      <c r="C74" s="2847" t="str">
        <f>IF(AND(DS_HC_Funding="Yes",OR(Development_Category="Rehabilitation",Development_Category="Acquisition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"&amp;TEXT(IF(Total_Units=0,0,(N(Actual_Constructioncost_total)+N(Contingency_Hard_total))/Total_Units),"$#,##0")&amp;" per unit, which is "&amp;IF(IF(Total_Units=0,0,(N(Actual_Constructioncost_total)+N(Contingency_Hard_total))/Total_Units)&gt;=DS_FHFC_Min_Pres_Costs_PU,"equal to or greater","less")&amp;" than "&amp;TEXT(IF(AND(OR(Development_Category="Rehabilitation",Development_Category="Acquisition and Rehabilitation"),Development_SubCategory&lt;&gt;"Preservation (w/ or w/o Acquisition)"),DS_FHFC_Min_Rehab_Costs_PU,DS_FHFC_Min_Pres_Costs_PU),"$#,##0")&amp;".","")</f>
        <v/>
      </c>
      <c r="D74" s="2544"/>
      <c r="E74" s="2544"/>
      <c r="F74" s="2544"/>
      <c r="G74" s="2544"/>
      <c r="H74" s="2544"/>
      <c r="I74" s="2544"/>
      <c r="J74" s="444"/>
      <c r="K74" s="18"/>
      <c r="L74" s="2570"/>
      <c r="M74" s="2570"/>
      <c r="N74" s="2026"/>
      <c r="O74" s="2603"/>
      <c r="P74" s="2603"/>
      <c r="Q74" s="2603"/>
      <c r="R74" s="2603"/>
      <c r="S74" s="2603"/>
    </row>
    <row r="75" spans="2:19" s="17" customFormat="1" ht="7.5" customHeight="1">
      <c r="B75" s="81"/>
      <c r="C75" s="823"/>
      <c r="D75" s="823"/>
      <c r="E75" s="823"/>
      <c r="F75" s="823"/>
      <c r="G75" s="823"/>
      <c r="H75" s="823"/>
      <c r="I75" s="823"/>
      <c r="J75" s="444"/>
      <c r="K75" s="18"/>
      <c r="L75" s="2570"/>
      <c r="M75" s="2670"/>
      <c r="N75" s="2026"/>
      <c r="O75" s="2026"/>
      <c r="P75" s="2026"/>
      <c r="Q75" s="2026"/>
      <c r="R75" s="2026"/>
    </row>
    <row r="76" spans="2:19" s="17" customFormat="1" ht="65.25" hidden="1" customHeight="1">
      <c r="B76" s="81"/>
      <c r="C76" s="2544" t="s">
        <v>1627</v>
      </c>
      <c r="D76" s="2544"/>
      <c r="E76" s="2544"/>
      <c r="F76" s="2544"/>
      <c r="G76" s="2544"/>
      <c r="H76" s="2544"/>
      <c r="I76" s="2544"/>
      <c r="J76" s="18"/>
      <c r="K76" s="18"/>
      <c r="L76" s="2570"/>
      <c r="M76" s="2569">
        <v>0</v>
      </c>
      <c r="N76" s="2030"/>
      <c r="O76" s="2031" t="str">
        <f>"Controls Rows "&amp;TEXT(ROW(A76),"0")&amp;":"&amp;TEXT(ROW(A82),"0")&amp;". This section is for Farm/Fish RFA 104."</f>
        <v>Controls Rows 76:82. This section is for Farm/Fish RFA 104.</v>
      </c>
      <c r="P76" s="2031"/>
      <c r="Q76" s="865"/>
    </row>
    <row r="77" spans="2:19" s="17" customFormat="1" ht="35.25" hidden="1" customHeight="1">
      <c r="B77" s="1513" t="str">
        <f>IF(DS_ExcelCheckBox_DevCat_CorpPortfolio=TRUE,"Yes","No")</f>
        <v>No</v>
      </c>
      <c r="C77" s="1008"/>
      <c r="D77" s="846"/>
      <c r="E77" s="2579" t="s">
        <v>1628</v>
      </c>
      <c r="F77" s="2579"/>
      <c r="G77" s="2579"/>
      <c r="H77" s="2579"/>
      <c r="I77" s="2579"/>
      <c r="J77" s="18"/>
      <c r="K77" s="18"/>
      <c r="L77" s="2570"/>
      <c r="M77" s="2570"/>
    </row>
    <row r="78" spans="2:19" s="17" customFormat="1" ht="40.15" hidden="1" customHeight="1">
      <c r="B78" s="849"/>
      <c r="C78" s="846"/>
      <c r="D78" s="846"/>
      <c r="E78" s="2579" t="s">
        <v>1629</v>
      </c>
      <c r="F78" s="2579"/>
      <c r="G78" s="2579"/>
      <c r="H78" s="2579"/>
      <c r="I78" s="1009"/>
      <c r="J78" s="18"/>
      <c r="K78" s="18"/>
      <c r="L78" s="2570"/>
      <c r="M78" s="2570"/>
      <c r="N78" s="829"/>
    </row>
    <row r="79" spans="2:19" s="17" customFormat="1" ht="55.15" hidden="1" customHeight="1">
      <c r="B79" s="1513" t="str">
        <f>IF(DS_ExcelCheckBox_DevCat_RDPortfolio=TRUE,"Yes","No")</f>
        <v>No</v>
      </c>
      <c r="C79" s="1008"/>
      <c r="D79" s="846"/>
      <c r="E79" s="2579" t="s">
        <v>1630</v>
      </c>
      <c r="F79" s="2579"/>
      <c r="G79" s="2579"/>
      <c r="H79" s="2579"/>
      <c r="I79" s="2579"/>
      <c r="J79" s="18"/>
      <c r="K79" s="18"/>
      <c r="L79" s="2570"/>
      <c r="M79" s="2570"/>
    </row>
    <row r="80" spans="2:19" s="17" customFormat="1" ht="10.15" hidden="1" customHeight="1">
      <c r="B80" s="1513"/>
      <c r="C80" s="1513"/>
      <c r="D80" s="846"/>
      <c r="E80" s="846"/>
      <c r="F80" s="846"/>
      <c r="G80" s="846"/>
      <c r="H80" s="846"/>
      <c r="I80" s="846"/>
      <c r="J80" s="18"/>
      <c r="K80" s="18"/>
      <c r="L80" s="2570"/>
      <c r="M80" s="2570"/>
    </row>
    <row r="81" spans="1:18" s="17" customFormat="1" ht="30" hidden="1" customHeight="1">
      <c r="B81" s="81"/>
      <c r="C81" s="2579" t="s">
        <v>1631</v>
      </c>
      <c r="D81" s="2579"/>
      <c r="E81" s="2579"/>
      <c r="F81" s="2579"/>
      <c r="G81" s="2579"/>
      <c r="H81" s="2579"/>
      <c r="I81" s="917" t="s">
        <v>41</v>
      </c>
      <c r="J81" s="18"/>
      <c r="K81" s="18"/>
      <c r="L81" s="2570"/>
      <c r="M81" s="2570"/>
      <c r="N81" s="829"/>
    </row>
    <row r="82" spans="1:18" s="17" customFormat="1" ht="10.5" hidden="1" customHeight="1">
      <c r="B82" s="81"/>
      <c r="C82" s="1001"/>
      <c r="D82" s="1001"/>
      <c r="E82" s="1001"/>
      <c r="F82" s="1001"/>
      <c r="G82" s="1001"/>
      <c r="H82" s="1001"/>
      <c r="I82" s="1001"/>
      <c r="J82" s="18"/>
      <c r="K82" s="18"/>
      <c r="L82" s="2570"/>
      <c r="M82" s="2571"/>
      <c r="N82" s="855"/>
      <c r="O82" s="17" t="s">
        <v>1636</v>
      </c>
      <c r="Q82" s="865"/>
    </row>
    <row r="83" spans="1:18" s="17" customFormat="1" ht="17.649999999999999" hidden="1" customHeight="1">
      <c r="B83" s="81"/>
      <c r="C83" s="826" t="s">
        <v>868</v>
      </c>
      <c r="D83" s="17" t="s">
        <v>2535</v>
      </c>
      <c r="E83" s="826"/>
      <c r="F83" s="826"/>
      <c r="G83" s="826"/>
      <c r="H83" s="826"/>
      <c r="I83" s="1748" t="str">
        <f>IF(AND(Demographic="Family",Development_SubCategory=Data1!A240,IFERROR(FIND("to meet",D173),0)&gt;0,IFERROR(FIND("to meet",D174),0)&gt;0),"Yes","No")</f>
        <v>No</v>
      </c>
      <c r="J83" s="18"/>
      <c r="K83" s="18"/>
      <c r="L83" s="2569">
        <v>0</v>
      </c>
      <c r="N83" s="855"/>
      <c r="O83" s="2046" t="str">
        <f>"Controls Rows "&amp;TEXT(ROW(A83),"0")&amp;":"&amp;TEXT(ROW(A84),"0")&amp;". Only for RFA 205."</f>
        <v>Controls Rows 83:84. Only for RFA 205.</v>
      </c>
      <c r="P83" s="2046"/>
      <c r="Q83" s="2046"/>
      <c r="R83" s="2046"/>
    </row>
    <row r="84" spans="1:18" s="17" customFormat="1" ht="10.5" hidden="1" customHeight="1">
      <c r="B84" s="81"/>
      <c r="C84" s="850"/>
      <c r="D84" s="850"/>
      <c r="E84" s="850"/>
      <c r="F84" s="850"/>
      <c r="G84" s="850"/>
      <c r="H84" s="850"/>
      <c r="I84" s="850"/>
      <c r="J84" s="18"/>
      <c r="K84" s="18"/>
      <c r="L84" s="2571"/>
      <c r="N84" s="855"/>
      <c r="O84" s="2046"/>
      <c r="P84" s="2046"/>
      <c r="Q84" s="2046"/>
      <c r="R84" s="2046"/>
    </row>
    <row r="85" spans="1:18" s="17" customFormat="1" ht="17.899999999999999" customHeight="1">
      <c r="A85" s="504"/>
      <c r="B85" s="91">
        <f>IF($L$85=0,"",MAX(B$12:B84)+1)</f>
        <v>2</v>
      </c>
      <c r="C85" s="87" t="s">
        <v>3305</v>
      </c>
      <c r="D85" s="87"/>
      <c r="E85" s="87"/>
      <c r="F85" s="87"/>
      <c r="G85" s="87"/>
      <c r="H85" s="87"/>
      <c r="I85" s="850"/>
      <c r="J85" s="18"/>
      <c r="K85" s="18"/>
      <c r="L85" s="2569">
        <v>1</v>
      </c>
      <c r="N85" s="855"/>
      <c r="O85" s="2046" t="str">
        <f>"Controls Rows "&amp;TEXT(ROW(A85),"0")&amp;":"&amp;TEXT(ROW(A92),"0")&amp;"."</f>
        <v>Controls Rows 85:92.</v>
      </c>
      <c r="P85" s="2046"/>
      <c r="Q85" s="2046"/>
      <c r="R85" s="2046"/>
    </row>
    <row r="86" spans="1:18" s="17" customFormat="1" ht="5.15" customHeight="1">
      <c r="A86" s="6"/>
      <c r="B86" s="6"/>
      <c r="C86" s="6"/>
      <c r="D86" s="6"/>
      <c r="E86" s="6"/>
      <c r="F86" s="6"/>
      <c r="G86" s="6"/>
      <c r="H86" s="6"/>
      <c r="I86" s="850"/>
      <c r="J86" s="18"/>
      <c r="K86" s="18"/>
      <c r="L86" s="2570"/>
      <c r="N86" s="855"/>
      <c r="O86" s="2046"/>
      <c r="P86" s="2046"/>
      <c r="Q86" s="2046"/>
      <c r="R86" s="2046"/>
    </row>
    <row r="87" spans="1:18" s="17" customFormat="1" ht="17.649999999999999" customHeight="1">
      <c r="A87" s="6"/>
      <c r="B87" s="875"/>
      <c r="C87" s="2544" t="s">
        <v>3306</v>
      </c>
      <c r="D87" s="2544"/>
      <c r="E87" s="2544"/>
      <c r="F87" s="2544"/>
      <c r="G87" s="2544"/>
      <c r="H87" s="2544"/>
      <c r="I87" s="2521" t="s">
        <v>41</v>
      </c>
      <c r="J87" s="18"/>
      <c r="K87" s="18"/>
      <c r="L87" s="2570"/>
      <c r="N87" s="855"/>
      <c r="O87" s="2046"/>
      <c r="P87" s="2046"/>
      <c r="Q87" s="2046"/>
      <c r="R87" s="2046"/>
    </row>
    <row r="88" spans="1:18" s="17" customFormat="1" ht="17.649999999999999" customHeight="1">
      <c r="A88" s="6"/>
      <c r="C88" s="17" t="s">
        <v>3307</v>
      </c>
      <c r="I88" s="850"/>
      <c r="J88" s="18"/>
      <c r="K88" s="18"/>
      <c r="L88" s="2570"/>
      <c r="N88" s="855"/>
      <c r="O88" s="2046"/>
      <c r="P88" s="2046"/>
      <c r="Q88" s="2046"/>
      <c r="R88" s="2046"/>
    </row>
    <row r="89" spans="1:18" s="17" customFormat="1" ht="17.649999999999999" customHeight="1">
      <c r="A89" s="6"/>
      <c r="C89" s="2522" t="s">
        <v>951</v>
      </c>
      <c r="D89" s="17" t="s">
        <v>3308</v>
      </c>
      <c r="G89" s="865"/>
      <c r="I89" s="2521"/>
      <c r="J89" s="18"/>
      <c r="K89" s="18"/>
      <c r="L89" s="2570"/>
      <c r="N89" s="855"/>
      <c r="O89" s="2046"/>
      <c r="P89" s="2046"/>
      <c r="Q89" s="2046"/>
      <c r="R89" s="2046"/>
    </row>
    <row r="90" spans="1:18" s="17" customFormat="1" ht="7.5" customHeight="1">
      <c r="A90" s="6"/>
      <c r="C90" s="2508"/>
      <c r="G90" s="865"/>
      <c r="I90" s="850"/>
      <c r="J90" s="18"/>
      <c r="K90" s="18"/>
      <c r="L90" s="2570"/>
      <c r="N90" s="855"/>
      <c r="O90" s="2046"/>
      <c r="P90" s="2046"/>
      <c r="Q90" s="2046"/>
      <c r="R90" s="2046"/>
    </row>
    <row r="91" spans="1:18" s="17" customFormat="1" ht="35.15" customHeight="1">
      <c r="A91" s="6"/>
      <c r="C91" s="2522" t="s">
        <v>3311</v>
      </c>
      <c r="D91" s="2544" t="s">
        <v>3309</v>
      </c>
      <c r="E91" s="2544"/>
      <c r="F91" s="2544"/>
      <c r="G91" s="2544"/>
      <c r="H91" s="3183"/>
      <c r="I91" s="3183"/>
      <c r="J91" s="18"/>
      <c r="K91" s="18"/>
      <c r="L91" s="2570"/>
      <c r="N91" s="855"/>
      <c r="O91" s="2046"/>
      <c r="P91" s="2046"/>
      <c r="Q91" s="2046"/>
      <c r="R91" s="2046"/>
    </row>
    <row r="92" spans="1:18" s="17" customFormat="1" ht="10.5" customHeight="1">
      <c r="B92" s="81"/>
      <c r="C92" s="850"/>
      <c r="D92" s="850"/>
      <c r="E92" s="850"/>
      <c r="F92" s="850"/>
      <c r="G92" s="850"/>
      <c r="H92" s="850"/>
      <c r="I92" s="850"/>
      <c r="J92" s="18"/>
      <c r="K92" s="18"/>
      <c r="L92" s="2670"/>
      <c r="N92" s="855"/>
      <c r="O92" s="2046"/>
      <c r="P92" s="2046"/>
      <c r="Q92" s="2046"/>
      <c r="R92" s="2046"/>
    </row>
    <row r="93" spans="1:18" s="17" customFormat="1" ht="17.899999999999999" hidden="1" customHeight="1">
      <c r="A93" s="504"/>
      <c r="B93" s="91" t="str">
        <f>IF($L$93=0,"",MAX(B$12:B92)+1)</f>
        <v/>
      </c>
      <c r="C93" s="87" t="s">
        <v>3304</v>
      </c>
      <c r="D93" s="87"/>
      <c r="E93" s="87"/>
      <c r="F93" s="87"/>
      <c r="G93" s="87"/>
      <c r="H93" s="87"/>
      <c r="I93" s="850"/>
      <c r="J93" s="18"/>
      <c r="K93" s="18"/>
      <c r="L93" s="2569">
        <v>0</v>
      </c>
      <c r="N93" s="855"/>
      <c r="O93" s="2046" t="str">
        <f>"Controls Rows "&amp;TEXT(ROW(A93),"0")&amp;":"&amp;TEXT(ROW(A98),"0")&amp;"."</f>
        <v>Controls Rows 93:98.</v>
      </c>
      <c r="P93" s="2046"/>
      <c r="Q93" s="2046"/>
      <c r="R93" s="2046"/>
    </row>
    <row r="94" spans="1:18" s="17" customFormat="1" ht="7.5" hidden="1" customHeight="1">
      <c r="A94" s="6"/>
      <c r="B94" s="6"/>
      <c r="C94" s="6"/>
      <c r="D94" s="6"/>
      <c r="E94" s="6"/>
      <c r="F94" s="6"/>
      <c r="G94" s="6"/>
      <c r="H94" s="6"/>
      <c r="I94" s="850"/>
      <c r="J94" s="18"/>
      <c r="K94" s="18"/>
      <c r="L94" s="2570"/>
      <c r="N94" s="855"/>
      <c r="O94" s="2046"/>
      <c r="P94" s="2046"/>
      <c r="Q94" s="2046"/>
      <c r="R94" s="2046"/>
    </row>
    <row r="95" spans="1:18" s="17" customFormat="1" ht="35.15" hidden="1" customHeight="1">
      <c r="A95" s="6"/>
      <c r="B95" s="875"/>
      <c r="C95" s="2544" t="s">
        <v>3310</v>
      </c>
      <c r="D95" s="2544"/>
      <c r="E95" s="2544"/>
      <c r="F95" s="2544"/>
      <c r="G95" s="2544"/>
      <c r="H95" s="2544"/>
      <c r="I95" s="2521" t="s">
        <v>41</v>
      </c>
      <c r="J95" s="18"/>
      <c r="K95" s="18"/>
      <c r="L95" s="2570"/>
      <c r="N95" s="855"/>
      <c r="O95" s="2046"/>
      <c r="P95" s="2046"/>
      <c r="Q95" s="2046"/>
      <c r="R95" s="2046"/>
    </row>
    <row r="96" spans="1:18" s="17" customFormat="1" ht="10.5" hidden="1" customHeight="1">
      <c r="B96" s="81"/>
      <c r="C96" s="850"/>
      <c r="D96" s="850"/>
      <c r="E96" s="850"/>
      <c r="F96" s="850"/>
      <c r="G96" s="850"/>
      <c r="H96" s="850"/>
      <c r="I96" s="850"/>
      <c r="J96" s="18"/>
      <c r="K96" s="18"/>
      <c r="L96" s="2504"/>
      <c r="N96" s="855"/>
      <c r="O96" s="2046"/>
      <c r="P96" s="2046"/>
      <c r="Q96" s="2046"/>
      <c r="R96" s="2046"/>
    </row>
    <row r="97" spans="1:25" s="17" customFormat="1" ht="50.15" customHeight="1">
      <c r="A97" s="6"/>
      <c r="C97" s="3184" t="str">
        <f>IF(In_Corporation_Portfolio="Yes","The Development appears to qualify as a Development within the Corporation Portfolio. "&amp;IF(Affordability_Expiration_Period_Met="Yes","The Development also appears to meet the Approaching Expiration Date of Affordability Period Funding Preference. ","")&amp;IF(OR(County="Broward",County="Hillsborough",County="Miami-Dade",County="Orange",County="Palm Beach"),"The Development also appears to meet the County preference based on its location.",""),"")</f>
        <v/>
      </c>
      <c r="D97" s="3184"/>
      <c r="E97" s="3184"/>
      <c r="F97" s="3184"/>
      <c r="G97" s="3184"/>
      <c r="H97" s="3184"/>
      <c r="I97" s="3184"/>
      <c r="J97" s="18"/>
      <c r="K97" s="18"/>
      <c r="L97" s="2531"/>
      <c r="N97" s="855"/>
      <c r="O97" s="2046"/>
      <c r="P97" s="2046"/>
      <c r="Q97" s="2046"/>
      <c r="R97" s="2046"/>
    </row>
    <row r="98" spans="1:25" s="17" customFormat="1" ht="5.15" customHeight="1">
      <c r="B98" s="81"/>
      <c r="C98" s="850"/>
      <c r="D98" s="850"/>
      <c r="E98" s="850"/>
      <c r="F98" s="850"/>
      <c r="G98" s="850"/>
      <c r="H98" s="850"/>
      <c r="I98" s="850"/>
      <c r="J98" s="18"/>
      <c r="K98" s="18"/>
      <c r="L98" s="2504"/>
      <c r="N98" s="855"/>
      <c r="O98" s="2046"/>
      <c r="P98" s="2046"/>
      <c r="Q98" s="2046"/>
      <c r="R98" s="2046"/>
    </row>
    <row r="99" spans="1:25" s="17" customFormat="1" ht="17.649999999999999" customHeight="1">
      <c r="B99" s="311">
        <f>IF($L$99=0,"",MAX(B$12:B96)+1)</f>
        <v>3</v>
      </c>
      <c r="C99" s="829" t="s">
        <v>929</v>
      </c>
      <c r="D99" s="63"/>
      <c r="F99" s="829"/>
      <c r="G99" s="829"/>
      <c r="H99" s="970"/>
      <c r="I99" s="971"/>
      <c r="J99" s="18"/>
      <c r="K99" s="18"/>
      <c r="L99" s="2569">
        <v>1</v>
      </c>
      <c r="M99" s="855"/>
      <c r="N99" s="855"/>
      <c r="O99" s="2046" t="str">
        <f>"Controls Rows "&amp;TEXT(ROW(A99),"0")&amp;":"&amp;TEXT(ROW(A115),"0")&amp;". Also controls row "&amp;TEXT(ROW(M175),"0")&amp;"."</f>
        <v>Controls Rows 99:115. Also controls row 175.</v>
      </c>
      <c r="P99" s="2046"/>
      <c r="Q99" s="2046"/>
      <c r="R99" s="2046"/>
    </row>
    <row r="100" spans="1:25" s="17" customFormat="1" ht="14.65" customHeight="1">
      <c r="B100" s="829"/>
      <c r="C100" s="78" t="s">
        <v>860</v>
      </c>
      <c r="D100" s="829" t="s">
        <v>2619</v>
      </c>
      <c r="F100" s="829"/>
      <c r="G100" s="829"/>
      <c r="H100" s="350"/>
      <c r="I100" s="349"/>
      <c r="J100" s="18"/>
      <c r="K100" s="18"/>
      <c r="L100" s="2570"/>
      <c r="M100" s="855"/>
      <c r="N100" s="855"/>
      <c r="O100" s="2046"/>
      <c r="P100" s="2046"/>
      <c r="Q100" s="2046"/>
      <c r="R100" s="2046"/>
    </row>
    <row r="101" spans="1:25" s="17" customFormat="1" ht="34.5" customHeight="1">
      <c r="E101" s="2544" t="s">
        <v>2620</v>
      </c>
      <c r="F101" s="2544"/>
      <c r="G101" s="2544"/>
      <c r="H101" s="2544"/>
      <c r="I101" s="2544"/>
      <c r="J101" s="18"/>
      <c r="K101" s="18"/>
      <c r="L101" s="2570"/>
      <c r="M101" s="855"/>
      <c r="N101" s="855"/>
      <c r="O101" s="855"/>
    </row>
    <row r="102" spans="1:25" s="17" customFormat="1" ht="17.649999999999999" customHeight="1">
      <c r="C102" s="78" t="s">
        <v>862</v>
      </c>
      <c r="D102" s="829" t="str">
        <f>"Calculating the RA Level"&amp;IF(AND(Development_Category="New Construction",Development_SubCategory="Redevelopment (w/ or w/o Acquisition)")," and Confirmation of Development Category status","")</f>
        <v>Calculating the RA Level</v>
      </c>
      <c r="H102" s="826"/>
      <c r="J102" s="18"/>
      <c r="K102" s="18"/>
      <c r="L102" s="2570"/>
      <c r="M102" s="855"/>
      <c r="N102" s="855"/>
    </row>
    <row r="103" spans="1:25" s="17" customFormat="1" ht="50.25" customHeight="1">
      <c r="E103" s="2544"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103" s="2544"/>
      <c r="G103" s="2544"/>
      <c r="H103" s="2544"/>
      <c r="I103" s="2544"/>
      <c r="J103" s="241"/>
      <c r="K103" s="241"/>
      <c r="L103" s="2570"/>
      <c r="M103" s="855"/>
      <c r="N103" s="855"/>
    </row>
    <row r="104" spans="1:25" s="17" customFormat="1" ht="17.649999999999999" customHeight="1">
      <c r="E104" s="849" t="s">
        <v>930</v>
      </c>
      <c r="F104" s="985"/>
      <c r="G104" s="3235" t="str">
        <f ca="1">IF(year_built&lt;&gt;"",IF(year_built&gt;YEAR(NOW()),"Enter a valid four-digit year","Indicated age of development is "&amp;TEXT(YEAR(DS_AppDeadline)-year_built,"0")&amp;"."),IF(year_built="","A response is required.",""))</f>
        <v>A response is required.</v>
      </c>
      <c r="H104" s="3235"/>
      <c r="I104" s="3235"/>
      <c r="J104" s="18"/>
      <c r="K104" s="18"/>
      <c r="L104" s="2570"/>
      <c r="M104" s="855"/>
      <c r="N104" s="855"/>
      <c r="O104" s="724"/>
      <c r="R104" s="18"/>
      <c r="S104" s="18"/>
      <c r="T104" s="18"/>
      <c r="U104" s="18"/>
      <c r="V104" s="18"/>
      <c r="W104" s="18"/>
      <c r="X104" s="18"/>
      <c r="Y104" s="18"/>
    </row>
    <row r="105" spans="1:25" s="17" customFormat="1" ht="10.5" customHeight="1">
      <c r="E105" s="844"/>
      <c r="F105" s="875"/>
      <c r="G105" s="1280" t="s">
        <v>1530</v>
      </c>
      <c r="H105" s="344"/>
      <c r="J105" s="18"/>
      <c r="K105" s="18"/>
      <c r="L105" s="2570"/>
      <c r="M105" s="855"/>
      <c r="O105" s="726"/>
      <c r="R105" s="18"/>
      <c r="S105" s="18"/>
      <c r="T105" s="18"/>
      <c r="U105" s="18"/>
      <c r="V105" s="18"/>
      <c r="W105" s="18"/>
      <c r="X105" s="18"/>
      <c r="Y105" s="18"/>
    </row>
    <row r="106" spans="1:25" s="17" customFormat="1" ht="65.25" customHeight="1">
      <c r="D106" s="3236" t="str">
        <f>IF(LDA_Notice&lt;&gt;"LDA","","A proposed Development in an LDA must be classifed as RA Level 1 or 2 (it is a Level "&amp;TEXT(Data1!F365,"0")&amp;"), RA units must be greater than 75% of Total Units (it is at "&amp;TEXT(Data1!D363,"0.00%")&amp;").")</f>
        <v/>
      </c>
      <c r="E106" s="3237"/>
      <c r="F106" s="984" t="s">
        <v>2532</v>
      </c>
      <c r="G106" s="984" t="s">
        <v>1571</v>
      </c>
      <c r="H106" s="982"/>
      <c r="J106" s="18"/>
      <c r="K106" s="18"/>
      <c r="L106" s="2570"/>
      <c r="M106" s="855"/>
      <c r="R106" s="18"/>
      <c r="S106" s="18"/>
      <c r="T106" s="18"/>
      <c r="U106" s="18"/>
      <c r="V106" s="18"/>
      <c r="W106" s="18"/>
      <c r="X106" s="18"/>
      <c r="Y106" s="18"/>
    </row>
    <row r="107" spans="1:25" s="17" customFormat="1" ht="30" customHeight="1">
      <c r="D107" s="3180" t="s">
        <v>1541</v>
      </c>
      <c r="E107" s="3180"/>
      <c r="F107" s="973"/>
      <c r="G107" s="973"/>
      <c r="H107" s="3240" t="str">
        <f>IF(OR(F107+F108+IF(OR(Development_Category="New Construction",Development_Category="Rehabilitation",Development_Category="Acquisition and Rehabilitation"),F109,0)&gt;N(Total_Units),G107+G108+IF(OR(Development_Category="New Construction",Development_Category="Rehabilitation",Development_Category="Acquisition and Rehabilitation"),G109,0)&gt;N(Total_Units)),"  The number of "&amp;IF(F107+F108+IF(OR(Development_Category="New Construction",Development_Category="Rehabilitation",Development_Category="Acquisition and Rehabilitation"),F109,0)&gt;N(Total_Units),"currently","")&amp;IF(AND(F107+F108+IF(OR(Development_Category="New Construction",Development_Category="Rehabilitation",Development_Category="Acquisition and Rehabilitation"),F109,0)&gt;N(Total_Units),G107+G108+IF(OR(Development_Category="New Construction",Development_Category="Rehabilitation",Development_Category="Acquisition and Rehabilitation"),G109,0)&gt;N(Total_Units))," and ","")&amp;IF(G107+G108+IF(OR(Development_Category="New Construction",Development_Category="Rehabilitation",Development_Category="Acquisition and Rehabilitation"),G109,0)&gt;N(Total_Units),"future","")&amp;" receiving Rental Assistance Units entered exceeds Total Units.","")</f>
        <v/>
      </c>
      <c r="I107" s="3240"/>
      <c r="J107" s="18"/>
      <c r="K107" s="18"/>
      <c r="L107" s="2570"/>
      <c r="M107" s="2005">
        <v>1</v>
      </c>
      <c r="N107" s="2045">
        <f>IF(L$99=0,0,IF(AND(Development_SubCategory="Preservation (w/ or w/o Acquisition)",F107="",G107="",F108="",G108=""),1,IF(AND(Development_SubCategory="Preservation (w/ or w/o Acquisition)",OR(F107&lt;&gt;"",G107&lt;&gt;"")),1,M107)))</f>
        <v>1</v>
      </c>
      <c r="O107" s="2031" t="str">
        <f>"Controls shading in the table for this row and a message box in H"&amp;TEXT(ROW(A107),"0")&amp;":I"&amp;TEXT(ROW(A108),"0")&amp;"."</f>
        <v>Controls shading in the table for this row and a message box in H107:I108.</v>
      </c>
      <c r="R107" s="18"/>
      <c r="S107" s="18"/>
      <c r="T107" s="18"/>
      <c r="U107" s="18"/>
      <c r="V107" s="18"/>
      <c r="W107" s="18"/>
      <c r="X107" s="18"/>
      <c r="Y107" s="18"/>
    </row>
    <row r="108" spans="1:25" s="17" customFormat="1" ht="30" customHeight="1">
      <c r="D108" s="3180" t="s">
        <v>1542</v>
      </c>
      <c r="E108" s="3180"/>
      <c r="F108" s="973"/>
      <c r="G108" s="973"/>
      <c r="H108" s="3240"/>
      <c r="I108" s="3240"/>
      <c r="J108" s="18"/>
      <c r="K108" s="18"/>
      <c r="L108" s="2570"/>
      <c r="M108" s="2005">
        <v>1</v>
      </c>
      <c r="N108" s="2045">
        <f>IF(L$99=0,0,IF(N107=1,M108,IF(Development_SubCategory="Preservation (w/ or w/o Acquisition)",1,M108)))</f>
        <v>1</v>
      </c>
      <c r="O108" s="2031" t="s">
        <v>2767</v>
      </c>
      <c r="R108" s="18"/>
      <c r="S108" s="18"/>
      <c r="T108" s="18"/>
      <c r="U108" s="18"/>
      <c r="V108" s="18"/>
      <c r="W108" s="18"/>
      <c r="X108" s="18"/>
      <c r="Y108" s="18"/>
    </row>
    <row r="109" spans="1:25" s="17" customFormat="1" ht="30" customHeight="1">
      <c r="D109" s="3179" t="s">
        <v>1573</v>
      </c>
      <c r="E109" s="3179"/>
      <c r="F109" s="1271"/>
      <c r="G109" s="973"/>
      <c r="H109" s="3239"/>
      <c r="I109" s="3240"/>
      <c r="J109" s="18"/>
      <c r="K109" s="18"/>
      <c r="L109" s="2570"/>
      <c r="M109" s="855"/>
      <c r="N109" s="855"/>
      <c r="O109" s="726"/>
      <c r="R109" s="18"/>
      <c r="S109" s="18"/>
      <c r="T109" s="18"/>
      <c r="U109" s="18"/>
      <c r="V109" s="18"/>
      <c r="W109" s="18"/>
      <c r="X109" s="18"/>
      <c r="Y109" s="18"/>
    </row>
    <row r="110" spans="1:25" s="17" customFormat="1" ht="30" customHeight="1">
      <c r="D110" s="3238" t="s">
        <v>1572</v>
      </c>
      <c r="E110" s="3238"/>
      <c r="F110" s="1272"/>
      <c r="G110" s="974" t="s">
        <v>41</v>
      </c>
      <c r="H110" s="3239"/>
      <c r="I110" s="3240"/>
      <c r="J110" s="18"/>
      <c r="K110" s="18"/>
      <c r="L110" s="2570"/>
      <c r="M110" s="2005">
        <v>1</v>
      </c>
      <c r="N110" s="2045">
        <f>IF(L$99=0,0,M110)</f>
        <v>1</v>
      </c>
      <c r="O110" s="2031" t="s">
        <v>2767</v>
      </c>
    </row>
    <row r="111" spans="1:25" s="17" customFormat="1" ht="17.649999999999999" customHeight="1">
      <c r="D111" s="3238" t="s">
        <v>1574</v>
      </c>
      <c r="E111" s="3238"/>
      <c r="F111" s="1242">
        <f>PBRA_Units_Currently+ACC_Units_Currently</f>
        <v>0</v>
      </c>
      <c r="G111" s="1242">
        <f>PBRA_Units_Future+ACC_Units_Future+IF(OR(Development_Category="New Construction",Development_Category="Acquisition and Rehabilitation",Development_Category="Rehabilitation"),Other_Federal_assist_units_future,0)</f>
        <v>0</v>
      </c>
      <c r="H111" s="972"/>
      <c r="I111" s="972"/>
      <c r="J111" s="18"/>
      <c r="K111" s="18"/>
      <c r="L111" s="2570"/>
      <c r="M111" s="855"/>
      <c r="N111" s="855"/>
      <c r="O111" s="857"/>
    </row>
    <row r="112" spans="1:25" s="17" customFormat="1" ht="17.649999999999999" customHeight="1">
      <c r="D112" s="3238" t="s">
        <v>1575</v>
      </c>
      <c r="E112" s="3238"/>
      <c r="F112" s="1243">
        <f>IF(N(Total_Units)=0,0,F111/N(Total_Units))</f>
        <v>0</v>
      </c>
      <c r="G112" s="1243">
        <f>IF(N(Total_Units)=0,0,G111/N(Total_Units))</f>
        <v>0</v>
      </c>
      <c r="H112" s="972"/>
      <c r="I112" s="972"/>
      <c r="J112" s="18"/>
      <c r="K112" s="18"/>
      <c r="L112" s="2570"/>
      <c r="M112" s="855"/>
      <c r="N112" s="855"/>
      <c r="O112" s="857"/>
    </row>
    <row r="113" spans="1:18" s="17" customFormat="1" ht="14.65" customHeight="1">
      <c r="E113" s="988" t="s">
        <v>931</v>
      </c>
      <c r="F113" s="875"/>
      <c r="G113" s="875"/>
      <c r="H113" s="344"/>
      <c r="J113" s="18"/>
      <c r="K113" s="18"/>
      <c r="L113" s="2570"/>
      <c r="M113" s="855"/>
      <c r="N113" s="855"/>
      <c r="O113" s="726"/>
    </row>
    <row r="114" spans="1:18" s="17" customFormat="1" ht="45.75" customHeight="1">
      <c r="E114" s="2579" t="str">
        <f>IF(Data1!D364=0,"This Application qualifies for RA Level 6.","The "&amp;TEXT(Data1!D364,"0")&amp;" unit"&amp;IF(Data1!D364&gt;1,"s","")&amp;" entered to receive Rental Assistance represents "&amp;TEXT(Data1!D363,"0.00%")&amp;" of Total Units. This data indicates the proposed Development qualifies for a Rental Assistance Level of "&amp;TEXT(Data1!F365,"0")&amp;" via the "&amp;IF(Data1!D365="Percent","Percentage of Total Units method",IF(Data1!D365="Num","Number of RA Units method",IF(Data1!D365="Both","either method","neither method")))&amp;".")</f>
        <v>This Application qualifies for RA Level 6.</v>
      </c>
      <c r="F114" s="2579"/>
      <c r="G114" s="2579"/>
      <c r="H114" s="2579"/>
      <c r="I114" s="2579"/>
      <c r="J114" s="18"/>
      <c r="K114" s="18"/>
      <c r="L114" s="2570"/>
      <c r="M114" s="855"/>
      <c r="N114" s="855"/>
    </row>
    <row r="115" spans="1:18" s="17" customFormat="1" ht="10.5" customHeight="1">
      <c r="E115" s="49"/>
      <c r="F115" s="49"/>
      <c r="G115" s="49"/>
      <c r="H115" s="49"/>
      <c r="J115" s="18"/>
      <c r="K115" s="18"/>
      <c r="L115" s="2571"/>
      <c r="M115" s="855"/>
      <c r="N115" s="855"/>
    </row>
    <row r="116" spans="1:18" s="17" customFormat="1" ht="14.65" hidden="1" customHeight="1">
      <c r="B116" s="311" t="str">
        <f>IF($L$116=0,"",MAX(B$12:B114)+2)</f>
        <v/>
      </c>
      <c r="C116" s="17" t="s">
        <v>932</v>
      </c>
      <c r="D116" s="19"/>
      <c r="H116" s="826"/>
      <c r="J116" s="18"/>
      <c r="K116" s="18"/>
      <c r="L116" s="2569">
        <v>0</v>
      </c>
      <c r="M116" s="855"/>
      <c r="N116" s="855"/>
      <c r="O116" s="2046" t="str">
        <f>"Controls Rows "&amp;TEXT(ROW(A116),"0")&amp;":"&amp;TEXT(ROW(A121),"0")&amp;". Also controls row "&amp;TEXT(ROW(M176),"0")&amp;". Only for the 9% Geo RFAs."</f>
        <v>Controls Rows 116:121. Also controls row 176. Only for the 9% Geo RFAs.</v>
      </c>
      <c r="P116" s="2046"/>
      <c r="Q116" s="2046"/>
      <c r="R116" s="2046"/>
    </row>
    <row r="117" spans="1:18" s="17" customFormat="1" ht="34.5" hidden="1" customHeight="1">
      <c r="D117" s="2544" t="s">
        <v>933</v>
      </c>
      <c r="E117" s="2544"/>
      <c r="F117" s="2544"/>
      <c r="G117" s="2544"/>
      <c r="H117" s="2544"/>
      <c r="I117" s="2544"/>
      <c r="J117" s="18"/>
      <c r="K117" s="18"/>
      <c r="L117" s="2570"/>
      <c r="M117" s="855"/>
      <c r="N117" s="855"/>
      <c r="O117" s="2046"/>
      <c r="P117" s="2046"/>
      <c r="Q117" s="2046"/>
      <c r="R117" s="2046"/>
    </row>
    <row r="118" spans="1:18" s="17" customFormat="1" ht="30" hidden="1" customHeight="1">
      <c r="D118" s="3181" t="s">
        <v>41</v>
      </c>
      <c r="E118" s="3181"/>
      <c r="F118" s="2596" t="str">
        <f>IF(Development_Category="New Construction","(The selected Development Category of "&amp;Development_Category&amp;" automatically qualifies for the Development Category Funding Preference)","")</f>
        <v/>
      </c>
      <c r="G118" s="2596"/>
      <c r="H118" s="2596"/>
      <c r="I118" s="2596"/>
      <c r="J118" s="18"/>
      <c r="K118" s="18"/>
      <c r="L118" s="2570"/>
      <c r="M118" s="855"/>
    </row>
    <row r="119" spans="1:18" s="17" customFormat="1" ht="8.25" hidden="1" customHeight="1">
      <c r="E119" s="33"/>
      <c r="H119" s="826"/>
      <c r="J119" s="18"/>
      <c r="K119" s="18"/>
      <c r="L119" s="2570"/>
      <c r="M119" s="855"/>
      <c r="N119" s="855"/>
    </row>
    <row r="120" spans="1:18" s="17" customFormat="1" ht="46.15" hidden="1" customHeight="1">
      <c r="E120" s="2544" t="s">
        <v>934</v>
      </c>
      <c r="F120" s="2544"/>
      <c r="G120" s="2544"/>
      <c r="H120" s="2544"/>
      <c r="I120" s="2544"/>
      <c r="J120" s="18"/>
      <c r="K120" s="18"/>
      <c r="L120" s="2570"/>
      <c r="M120" s="855"/>
      <c r="N120" s="855"/>
      <c r="Q120" s="15"/>
    </row>
    <row r="121" spans="1:18" s="17" customFormat="1" ht="10.5" hidden="1" customHeight="1">
      <c r="E121" s="826"/>
      <c r="F121" s="826"/>
      <c r="G121" s="826"/>
      <c r="H121" s="826"/>
      <c r="J121" s="18"/>
      <c r="K121" s="18"/>
      <c r="L121" s="2571"/>
      <c r="M121" s="855"/>
      <c r="N121" s="855"/>
      <c r="Q121" s="15"/>
    </row>
    <row r="122" spans="1:18" s="17" customFormat="1" ht="14.65" customHeight="1">
      <c r="A122" s="504" t="str" cm="1">
        <f t="array" ref="A122">IF($L122=0,"",CHAR(CODE(LOOKUP(2,1/(COUNTIF(A$3:A121,"&gt;"&amp;A$3:A121&amp;"*")=0),A$3:A121))+1))</f>
        <v>c</v>
      </c>
      <c r="B122" s="87" t="s">
        <v>935</v>
      </c>
      <c r="C122" s="87"/>
      <c r="D122" s="87"/>
      <c r="E122" s="87"/>
      <c r="F122" s="3186"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Apartments.",IF(H$161&lt;N(Total_Units),"(Please complete the Unit Characteristics table in "&amp;A133&amp;". below)",IF(AND(DevType="&lt;select one&gt;",total_units_in_unit_desc_chart&gt;0),"(You have NOT yet selected a Development Type for this question.)",IF(OR(AND(Development_Category="New Construction",DS_UnitTypeMatch=1),AND(Development_Category&lt;&gt;"New Construction",DS_UnitTypeMatch=1,LEFT(DevType,6)=IF(Data1!C399="Other Dev Type*",LEFT(DevType,6),LEFT(Data1!C399,6)))),"(Your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below"&amp;IF(Other_ESS_NC_units+Other_Non_ESS_NC_units+Other_ESS_AR_units&gt;Data1!B398,", unless the 'Other Dev Type*' unit description is comprised of more than 1 eligible Development Type and one of those Types has at least "&amp;TEXT(Data1!C391,"0")&amp;"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22" s="3186"/>
      <c r="H122" s="3186"/>
      <c r="I122" s="3186"/>
      <c r="J122" s="18"/>
      <c r="K122" s="18"/>
      <c r="L122" s="2658">
        <v>1</v>
      </c>
      <c r="M122" s="855"/>
      <c r="N122" s="855"/>
      <c r="O122" s="2046" t="str">
        <f>"Controls Rows "&amp;TEXT(ROW(A122),"0")&amp;":"&amp;TEXT(ROW(A128),"0")&amp;"."</f>
        <v>Controls Rows 122:128.</v>
      </c>
      <c r="P122" s="2046"/>
      <c r="Q122" s="2046"/>
      <c r="R122" s="2046"/>
    </row>
    <row r="123" spans="1:18" s="17" customFormat="1" ht="14.65" customHeight="1">
      <c r="A123" s="504"/>
      <c r="B123" s="311">
        <v>1</v>
      </c>
      <c r="C123" s="865" t="s">
        <v>936</v>
      </c>
      <c r="D123" s="87"/>
      <c r="E123" s="87"/>
      <c r="F123" s="3186"/>
      <c r="G123" s="3186"/>
      <c r="H123" s="3186"/>
      <c r="I123" s="3186"/>
      <c r="J123" s="18"/>
      <c r="K123" s="18"/>
      <c r="L123" s="2659"/>
      <c r="M123" s="855"/>
      <c r="N123" s="855"/>
      <c r="O123" s="2046"/>
      <c r="P123" s="2046"/>
      <c r="Q123" s="2046"/>
      <c r="R123" s="2046"/>
    </row>
    <row r="124" spans="1:18" s="17" customFormat="1" ht="17.649999999999999" customHeight="1">
      <c r="C124" s="3181" t="s">
        <v>41</v>
      </c>
      <c r="D124" s="3181"/>
      <c r="E124" s="3181"/>
      <c r="F124" s="3186"/>
      <c r="G124" s="3186"/>
      <c r="H124" s="3186"/>
      <c r="I124" s="3186"/>
      <c r="J124" s="18"/>
      <c r="K124" s="18"/>
      <c r="L124" s="2659"/>
      <c r="Q124" s="15"/>
    </row>
    <row r="125" spans="1:18" s="17" customFormat="1" ht="10.5" customHeight="1">
      <c r="E125" s="20"/>
      <c r="F125" s="3186"/>
      <c r="G125" s="3186"/>
      <c r="H125" s="3186"/>
      <c r="I125" s="3186"/>
      <c r="J125" s="18"/>
      <c r="K125" s="18"/>
      <c r="L125" s="2659"/>
      <c r="Q125" s="15"/>
    </row>
    <row r="126" spans="1:18" s="17" customFormat="1" ht="45" customHeight="1">
      <c r="D126" s="2848" t="str">
        <f>"Based on the input in the Unit Characteristics Table below, "&amp;IF(OR(Total_Units=0,N(total_units_in_unit_desc_chart)&lt;&gt;Total_Units),"the predominant unit type is yet to be determined as the table input is not complete.","there "&amp;IF(Data1!O390&gt;1,"are ","is ")&amp;Data1!O390&amp;" predominant unit type"&amp;IF(Data1!O390&gt;1,"s and they are "," and it is ")&amp;Data1!O398&amp;".")</f>
        <v>Based on the input in the Unit Characteristics Table below, the predominant unit type is yet to be determined as the table input is not complete.</v>
      </c>
      <c r="E126" s="2848"/>
      <c r="F126" s="2848"/>
      <c r="G126" s="2848"/>
      <c r="H126" s="2848"/>
      <c r="I126" s="2848"/>
      <c r="J126" s="18"/>
      <c r="K126" s="18"/>
      <c r="L126" s="2659"/>
      <c r="Q126" s="15"/>
    </row>
    <row r="127" spans="1:18" s="17" customFormat="1" ht="14.65" customHeight="1">
      <c r="B127" s="311">
        <f>IF($L$122=0,"",MAX(B$123:B125)+1)</f>
        <v>2</v>
      </c>
      <c r="C127" s="6" t="s">
        <v>937</v>
      </c>
      <c r="D127" s="840"/>
      <c r="E127" s="840"/>
      <c r="F127" s="840"/>
      <c r="G127" s="840"/>
      <c r="H127" s="840"/>
      <c r="I127" s="840"/>
      <c r="J127" s="18"/>
      <c r="K127" s="18"/>
      <c r="L127" s="2659"/>
      <c r="Q127" s="15"/>
    </row>
    <row r="128" spans="1:18" s="17" customFormat="1" ht="6.75" customHeight="1">
      <c r="E128" s="20"/>
      <c r="F128" s="845"/>
      <c r="G128" s="845"/>
      <c r="H128" s="845"/>
      <c r="I128" s="845"/>
      <c r="J128" s="18"/>
      <c r="K128" s="18"/>
      <c r="L128" s="2571"/>
      <c r="Q128" s="15"/>
    </row>
    <row r="129" spans="1:18" s="21" customFormat="1" ht="14.65" customHeight="1">
      <c r="A129" s="520" t="str" cm="1">
        <f t="array" ref="A129">IF(OR($L129=0,$O$130=1),"",CHAR(CODE(LOOKUP(2,1/(COUNTIF(A$3:A125,"&gt;"&amp;A$3:A125&amp;"*")=0),A$3:A125))+1))</f>
        <v>d</v>
      </c>
      <c r="B129" s="242" t="str">
        <f>"ESS Construction "&amp;IF(O130=0,"Funding Preference","Requirement")</f>
        <v>ESS Construction Funding Preference</v>
      </c>
      <c r="C129" s="22"/>
      <c r="D129" s="22"/>
      <c r="E129" s="22"/>
      <c r="F129" s="518"/>
      <c r="G129" s="518"/>
      <c r="H129" s="519"/>
      <c r="I129" s="518"/>
      <c r="J129" s="242"/>
      <c r="K129" s="242"/>
      <c r="L129" s="2569">
        <v>1</v>
      </c>
      <c r="M129" s="17"/>
      <c r="N129" s="17"/>
      <c r="O129" s="2046" t="str">
        <f>"Controls Rows "&amp;TEXT(ROW(A129),"0")&amp;":"&amp;TEXT(ROW(A132),"0")&amp;". This row and cell below also controls row "&amp;TEXT(ROW(M177),"0")&amp;"."</f>
        <v>Controls Rows 129:132. This row and cell below also controls row 177.</v>
      </c>
    </row>
    <row r="130" spans="1:18" s="17" customFormat="1" ht="30" customHeight="1">
      <c r="A130" s="498"/>
      <c r="B130" s="2900" t="str">
        <f>"Does the proposed Development meet the "&amp;IF(O130=0,"requirements to be considered Enhanced Structural Systems Construction as outlined in Section Four A.4.d. of the RFA?","requirement that all New Construction Developments must qualify as ESS Construction?")</f>
        <v>Does the proposed Development meet the requirements to be considered Enhanced Structural Systems Construction as outlined in Section Four A.4.d. of the RFA?</v>
      </c>
      <c r="C130" s="2900"/>
      <c r="D130" s="2900"/>
      <c r="E130" s="2900"/>
      <c r="F130" s="2900"/>
      <c r="G130" s="2900"/>
      <c r="H130" s="2900"/>
      <c r="I130" s="2900"/>
      <c r="J130" s="18"/>
      <c r="K130" s="18"/>
      <c r="L130" s="2570"/>
      <c r="O130" s="3232">
        <v>0</v>
      </c>
      <c r="P130" s="3233"/>
      <c r="Q130" s="3234"/>
    </row>
    <row r="131" spans="1:18" s="17" customFormat="1" ht="17.649999999999999" customHeight="1">
      <c r="B131" s="22"/>
      <c r="C131" s="3231" t="str">
        <f>IF(L129=0,"",IF(H161=0,"Units must be entered in the Unit Characteristics table below to evaluate the Funding Preference.",IF(AND(H161&gt;0,H161&lt;&gt;N(Total_Units)),"Total Units in the Unit Characteristics table below does not match Total Units entered in Section 4.A.6.a.",IF(O130=0,IF(SUMIF(F138:G160,"ESS Construction",B138:B160)&gt;=ROUNDUP(50%*N(Total_Units),0),"Yes, at least 50% of Total Units ("&amp;TEXT(SUMIF(F138:G160,"ESS Construction",B138:B160),"0")&amp;" of "&amp;TEXT(N(Total_Units),"0")&amp;", or "&amp;TEXT(SUMIF(F138:G160,"ESS Construction",B138:B160)/N(Total_Units),"0%")&amp;") indicate they meet the Funding Preference requirement.","No, less than 50% of Total Units ("&amp;TEXT(SUMIF(F138:G160,"ESS Construction",B138:B160),"0")&amp;" of "&amp;TEXT(N(Total_Units),"0")&amp;", or "&amp;TEXT(SUMIF(F138:G160,"ESS Construction",B138:B160)/N(Total_Units),"0%")&amp;") indicate they meet the Funding Preference requirement."),IF(Development_Category="New Construction",IF(SUMIF(F138:G146,"ESS Construction",B138:B146)=N(Total_Units),"Yes, all of the units have been identified as ESS Construction within the New Construction section.","No, less than all of the units have been identified as ESS Construction in the New Construction section."),"This requirement is not applicable to this Development.")))))</f>
        <v>Units must be entered in the Unit Characteristics table below to evaluate the Funding Preference.</v>
      </c>
      <c r="D131" s="3231"/>
      <c r="E131" s="3231"/>
      <c r="F131" s="3231"/>
      <c r="G131" s="3231"/>
      <c r="H131" s="3231"/>
      <c r="I131" s="3231"/>
      <c r="J131" s="18"/>
      <c r="K131" s="18"/>
      <c r="L131" s="2570"/>
      <c r="O131" s="2743" t="str">
        <f>IF(O130=1,"Be sure to change the font in cell A"&amp;TEXT(ROW(A129),"0")&amp;" to white.","")</f>
        <v/>
      </c>
      <c r="P131" s="2993"/>
      <c r="Q131" s="2744"/>
    </row>
    <row r="132" spans="1:18" s="17" customFormat="1" ht="6.75" customHeight="1">
      <c r="F132" s="496"/>
      <c r="G132" s="496"/>
      <c r="H132" s="496"/>
      <c r="I132" s="496"/>
      <c r="J132" s="18"/>
      <c r="K132" s="18"/>
      <c r="L132" s="2571"/>
    </row>
    <row r="133" spans="1:18" s="17" customFormat="1" ht="14.65" customHeight="1">
      <c r="A133" s="504" t="str" cm="1">
        <f t="array" ref="A133">IF(SUM($L138:$L153)=0,"",CHAR(CODE(LOOKUP(2,1/(COUNTIF(A$3:A132,"&gt;"&amp;A$3:A132&amp;"*")=0),A$3:A132))+1))</f>
        <v>e</v>
      </c>
      <c r="B133" s="87" t="s">
        <v>938</v>
      </c>
      <c r="C133" s="87"/>
      <c r="D133" s="87"/>
      <c r="E133" s="87"/>
      <c r="F133" s="87"/>
      <c r="G133" s="87"/>
      <c r="H133" s="87"/>
      <c r="I133" s="826"/>
      <c r="J133" s="18"/>
      <c r="K133" s="18"/>
      <c r="L133" s="2644" t="s">
        <v>2737</v>
      </c>
      <c r="M133" s="855"/>
      <c r="N133" s="855"/>
    </row>
    <row r="134" spans="1:18" s="17" customFormat="1" ht="47.25" customHeight="1">
      <c r="B134" s="2544" t="s">
        <v>939</v>
      </c>
      <c r="C134" s="2544"/>
      <c r="D134" s="2544"/>
      <c r="E134" s="2544"/>
      <c r="F134" s="2544"/>
      <c r="G134" s="2544"/>
      <c r="H134" s="2544"/>
      <c r="I134" s="2544"/>
      <c r="J134" s="18"/>
      <c r="K134" s="18"/>
      <c r="L134" s="2645"/>
      <c r="M134" s="855"/>
      <c r="N134" s="855"/>
    </row>
    <row r="135" spans="1:18" ht="10.5" customHeight="1">
      <c r="B135" s="23"/>
      <c r="C135" s="23"/>
      <c r="D135" s="23"/>
      <c r="E135" s="23"/>
      <c r="F135" s="846"/>
      <c r="G135" s="846"/>
      <c r="H135" s="846"/>
      <c r="I135" s="846"/>
      <c r="L135" s="2645"/>
      <c r="M135" s="855"/>
      <c r="N135" s="855"/>
    </row>
    <row r="136" spans="1:18" ht="18" customHeight="1">
      <c r="B136" s="310"/>
      <c r="C136" s="3211" t="s">
        <v>940</v>
      </c>
      <c r="D136" s="3212"/>
      <c r="E136" s="3212"/>
      <c r="F136" s="3212"/>
      <c r="G136" s="3213"/>
      <c r="H136" s="3182" t="s">
        <v>941</v>
      </c>
      <c r="I136" s="3230" t="s">
        <v>942</v>
      </c>
      <c r="L136" s="2645"/>
      <c r="M136" s="855"/>
      <c r="N136" s="855"/>
    </row>
    <row r="137" spans="1:18" ht="18" customHeight="1">
      <c r="B137" s="310"/>
      <c r="C137" s="3214"/>
      <c r="D137" s="3215"/>
      <c r="E137" s="3215"/>
      <c r="F137" s="3215"/>
      <c r="G137" s="3216"/>
      <c r="H137" s="3182"/>
      <c r="I137" s="3230"/>
      <c r="L137" s="2646"/>
      <c r="M137" s="855"/>
      <c r="N137" s="855"/>
    </row>
    <row r="138" spans="1:18" ht="17.649999999999999" customHeight="1">
      <c r="A138" s="654" t="str">
        <f>IF(H$161=0,"",IF(COUNTIF(H$138:H$160,MAX(H$138:H$160))=1,"",IF(COUNTA(F$138:F138)=IFERROR(MATCH(MAX(H$138:H$160),H$138:H$160,0),""),"",IF(N(H138)=MAX(H$138:H$160),COUNTA(F$138:F138),""))))</f>
        <v/>
      </c>
      <c r="B138" s="753">
        <f t="shared" ref="B138:B147" si="0">N(H138)</f>
        <v>0</v>
      </c>
      <c r="C138" s="3224" t="s">
        <v>208</v>
      </c>
      <c r="D138" s="3225"/>
      <c r="E138" s="309" t="s">
        <v>268</v>
      </c>
      <c r="F138" s="3169" t="s">
        <v>943</v>
      </c>
      <c r="G138" s="3170"/>
      <c r="H138" s="973"/>
      <c r="I138" s="325">
        <f>DS_Lev_MP_GA*DS_Lev_MP_ESS</f>
        <v>0.83700000000000008</v>
      </c>
      <c r="K138" s="654"/>
      <c r="L138" s="2044">
        <v>1</v>
      </c>
      <c r="M138" s="855"/>
      <c r="N138" s="17"/>
      <c r="O138" s="17"/>
      <c r="Q138" s="15"/>
    </row>
    <row r="139" spans="1:18" ht="17.649999999999999" customHeight="1">
      <c r="A139" s="654" t="str">
        <f>IF(H$161=0,"",IF(COUNTIF(H$138:H$160,MAX(H$138:H$160))=1,"",IF(COUNTA(F$138:F139)=IFERROR(MATCH(MAX(H$138:H$160),H$138:H$160,0),""),"",IF(N(H139)=MAX(H$138:H$160),COUNTA(F$138:F139),""))))</f>
        <v/>
      </c>
      <c r="B139" s="753">
        <f t="shared" si="0"/>
        <v>0</v>
      </c>
      <c r="C139" s="3226"/>
      <c r="D139" s="3227"/>
      <c r="E139" s="44" t="s">
        <v>268</v>
      </c>
      <c r="F139" s="3169" t="s">
        <v>944</v>
      </c>
      <c r="G139" s="3170"/>
      <c r="H139" s="973"/>
      <c r="I139" s="325">
        <f>DS_Lev_MP_GA*1</f>
        <v>0.9</v>
      </c>
      <c r="K139" s="654"/>
      <c r="L139" s="2044">
        <v>1</v>
      </c>
      <c r="M139" s="855"/>
      <c r="N139" s="17"/>
      <c r="O139" s="17"/>
      <c r="Q139" s="15"/>
    </row>
    <row r="140" spans="1:18" ht="17.649999999999999" customHeight="1">
      <c r="A140" s="654" t="str">
        <f>IF(H$161=0,"",IF(COUNTIF(H$138:H$160,MAX(H$138:H$160))=1,"",IF(COUNTA(F$138:F140)=IFERROR(MATCH(MAX(H$138:H$160),H$138:H$160,0),""),"",IF(N(H140)=MAX(H$138:H$160),COUNTA(F$138:F140),""))))</f>
        <v/>
      </c>
      <c r="B140" s="753">
        <f t="shared" si="0"/>
        <v>0</v>
      </c>
      <c r="C140" s="3226"/>
      <c r="D140" s="3227"/>
      <c r="E140" s="44" t="s">
        <v>270</v>
      </c>
      <c r="F140" s="3169" t="s">
        <v>943</v>
      </c>
      <c r="G140" s="3170"/>
      <c r="H140" s="973"/>
      <c r="I140" s="325">
        <f>DS_Lev_MP_MR*DS_Lev_MP_ESS</f>
        <v>0.81840000000000002</v>
      </c>
      <c r="K140" s="654"/>
      <c r="L140" s="2044">
        <v>1</v>
      </c>
      <c r="M140" s="855"/>
      <c r="N140" s="17"/>
      <c r="O140" s="17"/>
      <c r="Q140" s="15"/>
    </row>
    <row r="141" spans="1:18" ht="17.649999999999999" customHeight="1">
      <c r="A141" s="654" t="str">
        <f>IF(H$161=0,"",IF(COUNTIF(H$138:H$160,MAX(H$138:H$160))=1,"",IF(COUNTA(F$138:F141)=IFERROR(MATCH(MAX(H$138:H$160),H$138:H$160,0),""),"",IF(N(H141)=MAX(H$138:H$160),COUNTA(F$138:F141),""))))</f>
        <v/>
      </c>
      <c r="B141" s="753">
        <f t="shared" si="0"/>
        <v>0</v>
      </c>
      <c r="C141" s="3226"/>
      <c r="D141" s="3227"/>
      <c r="E141" s="44" t="s">
        <v>270</v>
      </c>
      <c r="F141" s="3169" t="s">
        <v>944</v>
      </c>
      <c r="G141" s="3170"/>
      <c r="H141" s="973"/>
      <c r="I141" s="325">
        <f>DS_Lev_MP_MR*1</f>
        <v>0.88</v>
      </c>
      <c r="K141" s="654"/>
      <c r="L141" s="2044">
        <v>1</v>
      </c>
      <c r="M141" s="855"/>
      <c r="N141" s="17"/>
      <c r="O141" s="17"/>
      <c r="Q141" s="15"/>
    </row>
    <row r="142" spans="1:18" ht="17.649999999999999" customHeight="1">
      <c r="A142" s="654" t="str">
        <f>IF(H$161=0,"",IF(COUNTIF(H$138:H$160,MAX(H$138:H$160))=1,"",IF(COUNTA(F$138:F142)=IFERROR(MATCH(MAX(H$138:H$160),H$138:H$160,0),""),"",IF(N(H142)=MAX(H$138:H$160),COUNTA(F$138:F142),""))))</f>
        <v/>
      </c>
      <c r="B142" s="753">
        <f t="shared" si="0"/>
        <v>0</v>
      </c>
      <c r="C142" s="3226"/>
      <c r="D142" s="3227"/>
      <c r="E142" s="44" t="s">
        <v>269</v>
      </c>
      <c r="F142" s="3169" t="s">
        <v>943</v>
      </c>
      <c r="G142" s="3170"/>
      <c r="H142" s="973"/>
      <c r="I142" s="325">
        <f>DS_Lev_MP_HR*DS_Lev_MP_ESS</f>
        <v>0.79980000000000007</v>
      </c>
      <c r="K142" s="654"/>
      <c r="L142" s="2044">
        <v>1</v>
      </c>
      <c r="M142" s="855"/>
      <c r="N142" s="17"/>
      <c r="O142" s="17"/>
      <c r="Q142" s="15"/>
      <c r="R142" s="15"/>
    </row>
    <row r="143" spans="1:18" ht="17.649999999999999" hidden="1" customHeight="1">
      <c r="A143" s="654" t="str">
        <f>IF(H$161=0,"",IF(COUNTIF(H$138:H$160,MAX(H$138:H$160))=1,"",IF(COUNTA(F$138:F143)=IFERROR(MATCH(MAX(H$138:H$160),H$138:H$160,0),""),"",IF(N(H143)=MAX(H$138:H$160),COUNTA(F$138:F143),""))))</f>
        <v/>
      </c>
      <c r="B143" s="753">
        <f t="shared" si="0"/>
        <v>0</v>
      </c>
      <c r="C143" s="3226"/>
      <c r="D143" s="3227"/>
      <c r="E143" s="44" t="s">
        <v>272</v>
      </c>
      <c r="F143" s="3169" t="s">
        <v>943</v>
      </c>
      <c r="G143" s="3170"/>
      <c r="H143" s="973"/>
      <c r="I143" s="325">
        <f>DS_Lev_MP_Oth*DS_Lev_MP_ESS</f>
        <v>0.93</v>
      </c>
      <c r="K143" s="654"/>
      <c r="L143" s="2044">
        <v>0</v>
      </c>
      <c r="M143" s="855"/>
      <c r="N143" s="17"/>
      <c r="O143" s="17"/>
      <c r="Q143" s="15"/>
    </row>
    <row r="144" spans="1:18" ht="17.649999999999999" hidden="1" customHeight="1">
      <c r="A144" s="654" t="str">
        <f>IF(H$161=0,"",IF(COUNTIF(H$138:H$160,MAX(H$138:H$160))=1,"",IF(COUNTA(F$138:F144)=IFERROR(MATCH(MAX(H$138:H$160),H$138:H$160,0),""),"",IF(N(H144)=MAX(H$138:H$160),COUNTA(F$138:F144),""))))</f>
        <v/>
      </c>
      <c r="B144" s="753">
        <f t="shared" si="0"/>
        <v>0</v>
      </c>
      <c r="C144" s="3226"/>
      <c r="D144" s="3227"/>
      <c r="E144" s="44" t="s">
        <v>272</v>
      </c>
      <c r="F144" s="3169" t="s">
        <v>944</v>
      </c>
      <c r="G144" s="3170"/>
      <c r="H144" s="973"/>
      <c r="I144" s="325">
        <f>DS_Lev_MP_Oth*1</f>
        <v>1</v>
      </c>
      <c r="K144" s="654"/>
      <c r="L144" s="2044">
        <v>0</v>
      </c>
      <c r="M144" s="855"/>
      <c r="N144" s="17"/>
      <c r="O144" s="17"/>
      <c r="Q144" s="15"/>
    </row>
    <row r="145" spans="1:17" ht="17.649999999999999" customHeight="1">
      <c r="A145" s="654" t="str">
        <f>IF(H$161=0,"",IF(COUNTIF(H$138:H$160,MAX(H$138:H$160))=1,"",IF(COUNTA(F$138:F145)=IFERROR(MATCH(MAX(H$138:H$160),H$138:H$160,0),""),"",IF(N(H145)=MAX(H$138:H$160),COUNTA(F$138:F145),""))))</f>
        <v/>
      </c>
      <c r="B145" s="753">
        <f t="shared" si="0"/>
        <v>0</v>
      </c>
      <c r="C145" s="3226"/>
      <c r="D145" s="3227"/>
      <c r="E145" s="45" t="s">
        <v>271</v>
      </c>
      <c r="F145" s="3169" t="s">
        <v>943</v>
      </c>
      <c r="G145" s="3170"/>
      <c r="H145" s="973"/>
      <c r="I145" s="325">
        <f>DS_Lev_MP_Oth*DS_Lev_MP_ESS</f>
        <v>0.93</v>
      </c>
      <c r="K145" s="654"/>
      <c r="L145" s="2044">
        <v>1</v>
      </c>
      <c r="M145" s="855"/>
      <c r="N145" s="17"/>
      <c r="O145" s="17"/>
      <c r="Q145" s="15"/>
    </row>
    <row r="146" spans="1:17" ht="17.649999999999999" customHeight="1">
      <c r="A146" s="654" t="str">
        <f>IF(H$161=0,"",IF(COUNTIF(H$138:H$160,MAX(H$138:H$160))=1,"",IF(COUNTA(F$138:F146)=IFERROR(MATCH(MAX(H$138:H$160),H$138:H$160,0),""),"",IF(N(H146)=MAX(H$138:H$160),COUNTA(F$138:F146),""))))</f>
        <v/>
      </c>
      <c r="B146" s="753">
        <f t="shared" si="0"/>
        <v>0</v>
      </c>
      <c r="C146" s="3228"/>
      <c r="D146" s="3229"/>
      <c r="E146" s="45" t="s">
        <v>271</v>
      </c>
      <c r="F146" s="3169" t="s">
        <v>944</v>
      </c>
      <c r="G146" s="3170"/>
      <c r="H146" s="973"/>
      <c r="I146" s="325">
        <f>DS_Lev_MP_Oth*1</f>
        <v>1</v>
      </c>
      <c r="K146" s="654"/>
      <c r="L146" s="2044">
        <v>1</v>
      </c>
      <c r="M146" s="855"/>
      <c r="N146" s="17"/>
      <c r="O146" s="17"/>
      <c r="Q146" s="15"/>
    </row>
    <row r="147" spans="1:17" ht="17.649999999999999" customHeight="1">
      <c r="A147" s="654" t="str">
        <f>IF(H$161=0,"",IF(COUNTIF(H$138:H$160,MAX(H$138:H$160))=1,"",IF(COUNTA(F$138:F147)=IFERROR(MATCH(MAX(H$138:H$160),H$138:H$160,0),""),"",IF(N(H147)=MAX(H$138:H$160),COUNTA(F$138:F147),""))))</f>
        <v/>
      </c>
      <c r="B147" s="753">
        <f t="shared" si="0"/>
        <v>0</v>
      </c>
      <c r="C147" s="3187" t="s">
        <v>2288</v>
      </c>
      <c r="D147" s="3188"/>
      <c r="E147" s="852" t="s">
        <v>268</v>
      </c>
      <c r="F147" s="3185" t="s">
        <v>943</v>
      </c>
      <c r="G147" s="3185"/>
      <c r="H147" s="1325"/>
      <c r="I147" s="325">
        <v>1</v>
      </c>
      <c r="K147" s="654"/>
      <c r="L147" s="2044">
        <v>1</v>
      </c>
      <c r="M147" s="855"/>
      <c r="N147" s="17"/>
      <c r="O147" s="17"/>
      <c r="Q147" s="15"/>
    </row>
    <row r="148" spans="1:17" ht="17.649999999999999" customHeight="1">
      <c r="A148" s="654" t="str">
        <f>IF(H$161=0,"",IF(COUNTIF(H$138:H$160,MAX(H$138:H$160))=1,"",IF(COUNTA(F$138:F148)=IFERROR(MATCH(MAX(H$138:H$160),H$138:H$160,0),""),"",IF(N(H148)=MAX(H$138:H$160),COUNTA(F$138:F148),""))))</f>
        <v/>
      </c>
      <c r="B148" s="753">
        <f t="shared" ref="B148:B160" si="1">N(H148)</f>
        <v>0</v>
      </c>
      <c r="C148" s="3189"/>
      <c r="D148" s="3190"/>
      <c r="E148" s="852" t="s">
        <v>268</v>
      </c>
      <c r="F148" s="3185" t="s">
        <v>944</v>
      </c>
      <c r="G148" s="3185"/>
      <c r="H148" s="973"/>
      <c r="I148" s="325">
        <v>1</v>
      </c>
      <c r="K148" s="654"/>
      <c r="L148" s="2044">
        <v>1</v>
      </c>
      <c r="M148" s="855"/>
      <c r="N148" s="17"/>
      <c r="O148" s="17"/>
      <c r="Q148" s="15"/>
    </row>
    <row r="149" spans="1:17" ht="17.649999999999999" customHeight="1">
      <c r="A149" s="654" t="str">
        <f>IF(H$161=0,"",IF(COUNTIF(H$138:H$160,MAX(H$138:H$160))=1,"",IF(COUNTA(F$138:F149)=IFERROR(MATCH(MAX(H$138:H$160),H$138:H$160,0),""),"",IF(N(H149)=MAX(H$138:H$160),COUNTA(F$138:F149),""))))</f>
        <v/>
      </c>
      <c r="B149" s="753">
        <f t="shared" si="1"/>
        <v>0</v>
      </c>
      <c r="C149" s="3189"/>
      <c r="D149" s="3190"/>
      <c r="E149" s="852" t="s">
        <v>270</v>
      </c>
      <c r="F149" s="3171" t="s">
        <v>943</v>
      </c>
      <c r="G149" s="3171"/>
      <c r="H149" s="973"/>
      <c r="I149" s="325">
        <v>1</v>
      </c>
      <c r="K149" s="654"/>
      <c r="L149" s="2044">
        <v>1</v>
      </c>
      <c r="M149" s="855"/>
      <c r="N149" s="17"/>
      <c r="O149" s="17"/>
      <c r="Q149" s="15"/>
    </row>
    <row r="150" spans="1:17" ht="17.649999999999999" customHeight="1">
      <c r="A150" s="654" t="str">
        <f>IF(H$161=0,"",IF(COUNTIF(H$138:H$160,MAX(H$138:H$160))=1,"",IF(COUNTA(F$138:F150)=IFERROR(MATCH(MAX(H$138:H$160),H$138:H$160,0),""),"",IF(N(H150)=MAX(H$138:H$160),COUNTA(F$138:F150),""))))</f>
        <v/>
      </c>
      <c r="B150" s="753">
        <f t="shared" si="1"/>
        <v>0</v>
      </c>
      <c r="C150" s="3189"/>
      <c r="D150" s="3190"/>
      <c r="E150" s="852" t="s">
        <v>270</v>
      </c>
      <c r="F150" s="3171" t="s">
        <v>944</v>
      </c>
      <c r="G150" s="3171"/>
      <c r="H150" s="973"/>
      <c r="I150" s="325">
        <v>1</v>
      </c>
      <c r="K150" s="654"/>
      <c r="L150" s="2044">
        <v>1</v>
      </c>
      <c r="M150" s="855"/>
      <c r="N150" s="17"/>
      <c r="O150" s="17"/>
      <c r="Q150" s="15"/>
    </row>
    <row r="151" spans="1:17" ht="17.649999999999999" customHeight="1">
      <c r="A151" s="654" t="str">
        <f>IF(H$161=0,"",IF(COUNTIF(H$138:H$160,MAX(H$138:H$160))=1,"",IF(COUNTA(F$138:F151)=IFERROR(MATCH(MAX(H$138:H$160),H$138:H$160,0),""),"",IF(N(H151)=MAX(H$138:H$160),COUNTA(F$138:F151),""))))</f>
        <v/>
      </c>
      <c r="B151" s="753">
        <f t="shared" si="1"/>
        <v>0</v>
      </c>
      <c r="C151" s="3189"/>
      <c r="D151" s="3190"/>
      <c r="E151" s="852" t="s">
        <v>269</v>
      </c>
      <c r="F151" s="3169" t="s">
        <v>943</v>
      </c>
      <c r="G151" s="3170"/>
      <c r="H151" s="1300"/>
      <c r="I151" s="517">
        <v>1</v>
      </c>
      <c r="K151" s="654"/>
      <c r="L151" s="2044">
        <v>1</v>
      </c>
      <c r="M151" s="855"/>
      <c r="N151" s="17"/>
      <c r="O151" s="17"/>
      <c r="Q151" s="15"/>
    </row>
    <row r="152" spans="1:17" ht="17.649999999999999" customHeight="1">
      <c r="A152" s="654" t="str">
        <f>IF(H$161=0,"",IF(COUNTIF(H$138:H$160,MAX(H$138:H$160))=1,"",IF(COUNTA(F$138:F152)=IFERROR(MATCH(MAX(H$138:H$160),H$138:H$160,0),""),"",IF(N(H152)=MAX(H$138:H$160),COUNTA(F$138:F152),""))))</f>
        <v/>
      </c>
      <c r="B152" s="753">
        <f t="shared" si="1"/>
        <v>0</v>
      </c>
      <c r="C152" s="3189"/>
      <c r="D152" s="3190"/>
      <c r="E152" s="45" t="s">
        <v>271</v>
      </c>
      <c r="F152" s="3167" t="s">
        <v>943</v>
      </c>
      <c r="G152" s="3167"/>
      <c r="H152" s="1300"/>
      <c r="I152" s="517">
        <v>1</v>
      </c>
      <c r="K152" s="654"/>
      <c r="L152" s="2044">
        <v>1</v>
      </c>
      <c r="M152" s="855"/>
      <c r="N152" s="17"/>
      <c r="O152" s="17"/>
      <c r="Q152" s="15"/>
    </row>
    <row r="153" spans="1:17" ht="17.649999999999999" customHeight="1">
      <c r="A153" s="654" t="str">
        <f>IF(H$161=0,"",IF(COUNTIF(H$138:H$160,MAX(H$138:H$160))=1,"",IF(COUNTA(F$138:F153)=IFERROR(MATCH(MAX(H$138:H$160),H$138:H$160,0),""),"",IF(N(H153)=MAX(H$138:H$160),COUNTA(F$138:F153),""))))</f>
        <v/>
      </c>
      <c r="B153" s="753">
        <f t="shared" si="1"/>
        <v>0</v>
      </c>
      <c r="C153" s="3191"/>
      <c r="D153" s="3192"/>
      <c r="E153" s="45" t="s">
        <v>271</v>
      </c>
      <c r="F153" s="3167" t="s">
        <v>944</v>
      </c>
      <c r="G153" s="3168"/>
      <c r="H153" s="973"/>
      <c r="I153" s="517">
        <v>1</v>
      </c>
      <c r="K153" s="654"/>
      <c r="L153" s="2044">
        <v>1</v>
      </c>
      <c r="M153" s="855"/>
      <c r="N153" s="17"/>
      <c r="O153" s="17"/>
    </row>
    <row r="154" spans="1:17" ht="17.649999999999999" customHeight="1">
      <c r="A154" s="654" t="str">
        <f>IF(H$161=0,"",IF(COUNTIF(H$138:H$160,MAX(H$138:H$160))=1,"",IF(COUNTA(F$138:F154)=IFERROR(MATCH(MAX(H$138:H$160),H$138:H$160,0),""),"",IF(N(H154)=MAX(H$138:H$160),COUNTA(F$138:F154),""))))</f>
        <v/>
      </c>
      <c r="B154" s="1522">
        <f t="shared" si="1"/>
        <v>0</v>
      </c>
      <c r="C154" s="3187" t="s">
        <v>2289</v>
      </c>
      <c r="D154" s="3188"/>
      <c r="E154" s="852" t="s">
        <v>268</v>
      </c>
      <c r="F154" s="3185" t="s">
        <v>943</v>
      </c>
      <c r="G154" s="3185"/>
      <c r="H154" s="1325"/>
      <c r="I154" s="325">
        <v>1</v>
      </c>
      <c r="K154" s="654"/>
      <c r="L154" s="2044">
        <v>1</v>
      </c>
      <c r="M154" s="855"/>
      <c r="N154" s="17"/>
      <c r="O154" s="17"/>
    </row>
    <row r="155" spans="1:17" ht="17.649999999999999" customHeight="1">
      <c r="A155" s="654" t="str">
        <f>IF(H$161=0,"",IF(COUNTIF(H$138:H$160,MAX(H$138:H$160))=1,"",IF(COUNTA(F$138:F155)=IFERROR(MATCH(MAX(H$138:H$160),H$138:H$160,0),""),"",IF(N(H155)=MAX(H$138:H$160),COUNTA(F$138:F155),""))))</f>
        <v/>
      </c>
      <c r="B155" s="1522">
        <f t="shared" si="1"/>
        <v>0</v>
      </c>
      <c r="C155" s="3189"/>
      <c r="D155" s="3190"/>
      <c r="E155" s="852" t="s">
        <v>268</v>
      </c>
      <c r="F155" s="3185" t="s">
        <v>944</v>
      </c>
      <c r="G155" s="3185"/>
      <c r="H155" s="973"/>
      <c r="I155" s="325">
        <v>1</v>
      </c>
      <c r="K155" s="654"/>
      <c r="L155" s="2044">
        <v>1</v>
      </c>
      <c r="M155" s="855"/>
      <c r="N155" s="17"/>
      <c r="O155" s="17"/>
    </row>
    <row r="156" spans="1:17" ht="17.649999999999999" customHeight="1">
      <c r="A156" s="654" t="str">
        <f>IF(H$161=0,"",IF(COUNTIF(H$138:H$160,MAX(H$138:H$160))=1,"",IF(COUNTA(F$138:F156)=IFERROR(MATCH(MAX(H$138:H$160),H$138:H$160,0),""),"",IF(N(H156)=MAX(H$138:H$160),COUNTA(F$138:F156),""))))</f>
        <v/>
      </c>
      <c r="B156" s="1522">
        <f t="shared" si="1"/>
        <v>0</v>
      </c>
      <c r="C156" s="3189"/>
      <c r="D156" s="3190"/>
      <c r="E156" s="852" t="s">
        <v>270</v>
      </c>
      <c r="F156" s="3171" t="s">
        <v>943</v>
      </c>
      <c r="G156" s="3171"/>
      <c r="H156" s="973"/>
      <c r="I156" s="325">
        <v>1</v>
      </c>
      <c r="K156" s="654"/>
      <c r="L156" s="2044">
        <v>1</v>
      </c>
      <c r="M156" s="855"/>
      <c r="N156" s="17"/>
      <c r="O156" s="17"/>
    </row>
    <row r="157" spans="1:17" ht="17.649999999999999" customHeight="1">
      <c r="A157" s="654" t="str">
        <f>IF(H$161=0,"",IF(COUNTIF(H$138:H$160,MAX(H$138:H$160))=1,"",IF(COUNTA(F$138:F157)=IFERROR(MATCH(MAX(H$138:H$160),H$138:H$160,0),""),"",IF(N(H157)=MAX(H$138:H$160),COUNTA(F$138:F157),""))))</f>
        <v/>
      </c>
      <c r="B157" s="1522">
        <f t="shared" si="1"/>
        <v>0</v>
      </c>
      <c r="C157" s="3189"/>
      <c r="D157" s="3190"/>
      <c r="E157" s="852" t="s">
        <v>270</v>
      </c>
      <c r="F157" s="3171" t="s">
        <v>944</v>
      </c>
      <c r="G157" s="3171"/>
      <c r="H157" s="973"/>
      <c r="I157" s="325">
        <v>1</v>
      </c>
      <c r="K157" s="654"/>
      <c r="L157" s="2044">
        <v>1</v>
      </c>
      <c r="M157" s="855"/>
      <c r="N157" s="17"/>
      <c r="O157" s="17"/>
    </row>
    <row r="158" spans="1:17" ht="17.649999999999999" customHeight="1">
      <c r="A158" s="654" t="str">
        <f>IF(H$161=0,"",IF(COUNTIF(H$138:H$160,MAX(H$138:H$160))=1,"",IF(COUNTA(F$138:F158)=IFERROR(MATCH(MAX(H$138:H$160),H$138:H$160,0),""),"",IF(N(H158)=MAX(H$138:H$160),COUNTA(F$138:F158),""))))</f>
        <v/>
      </c>
      <c r="B158" s="1522">
        <f t="shared" si="1"/>
        <v>0</v>
      </c>
      <c r="C158" s="3189"/>
      <c r="D158" s="3190"/>
      <c r="E158" s="852" t="s">
        <v>269</v>
      </c>
      <c r="F158" s="3171" t="s">
        <v>943</v>
      </c>
      <c r="G158" s="3171"/>
      <c r="H158" s="1300"/>
      <c r="I158" s="517">
        <v>1</v>
      </c>
      <c r="K158" s="654"/>
      <c r="L158" s="2044">
        <v>1</v>
      </c>
      <c r="M158" s="855"/>
      <c r="N158" s="17"/>
      <c r="O158" s="17"/>
    </row>
    <row r="159" spans="1:17" ht="17.649999999999999" customHeight="1">
      <c r="A159" s="654" t="str">
        <f>IF(H$161=0,"",IF(COUNTIF(H$138:H$160,MAX(H$138:H$160))=1,"",IF(COUNTA(F$138:F159)=IFERROR(MATCH(MAX(H$138:H$160),H$138:H$160,0),""),"",IF(N(H159)=MAX(H$138:H$160),COUNTA(F$138:F159),""))))</f>
        <v/>
      </c>
      <c r="B159" s="1522">
        <f t="shared" si="1"/>
        <v>0</v>
      </c>
      <c r="C159" s="3189"/>
      <c r="D159" s="3190"/>
      <c r="E159" s="45" t="s">
        <v>271</v>
      </c>
      <c r="F159" s="3167" t="s">
        <v>943</v>
      </c>
      <c r="G159" s="3167"/>
      <c r="H159" s="1300"/>
      <c r="I159" s="517">
        <v>1</v>
      </c>
      <c r="K159" s="654"/>
      <c r="L159" s="2044">
        <v>1</v>
      </c>
      <c r="M159" s="855"/>
      <c r="N159" s="17"/>
      <c r="O159" s="17"/>
    </row>
    <row r="160" spans="1:17" ht="17.649999999999999" customHeight="1" thickBot="1">
      <c r="A160" s="654" t="str">
        <f>IF(H$161=0,"",IF(COUNTIF(H$138:H$160,MAX(H$138:H$160))=1,"",IF(COUNTA(F$138:F160)=IFERROR(MATCH(MAX(H$138:H$160),H$138:H$160,0),""),"",IF(N(H160)=MAX(H$138:H$160),COUNTA(F$138:F160),""))))</f>
        <v/>
      </c>
      <c r="B160" s="1522">
        <f t="shared" si="1"/>
        <v>0</v>
      </c>
      <c r="C160" s="3191"/>
      <c r="D160" s="3223"/>
      <c r="E160" s="45" t="s">
        <v>271</v>
      </c>
      <c r="F160" s="3167" t="s">
        <v>944</v>
      </c>
      <c r="G160" s="3167"/>
      <c r="H160" s="1300"/>
      <c r="I160" s="517">
        <v>1</v>
      </c>
      <c r="K160" s="654"/>
      <c r="L160" s="2044">
        <v>1</v>
      </c>
      <c r="M160" s="855"/>
      <c r="N160" s="17"/>
      <c r="O160" s="17"/>
    </row>
    <row r="161" spans="1:22" ht="17.649999999999999" customHeight="1" thickTop="1">
      <c r="A161" s="15"/>
      <c r="B161" s="846"/>
      <c r="C161" s="731"/>
      <c r="D161" s="731"/>
      <c r="E161" s="731"/>
      <c r="F161" s="732"/>
      <c r="G161" s="83" t="s">
        <v>946</v>
      </c>
      <c r="H161" s="1301">
        <f>SUM(H138:H160)</f>
        <v>0</v>
      </c>
      <c r="I161" s="326">
        <f>IF(H161=0,0,SUMPRODUCT(H138:H160,I138:I160)/H161)</f>
        <v>0</v>
      </c>
      <c r="K161" s="875"/>
      <c r="L161" s="3220" t="s">
        <v>2737</v>
      </c>
      <c r="M161" s="855"/>
      <c r="N161" s="875"/>
      <c r="O161" s="875"/>
      <c r="P161" s="875"/>
      <c r="Q161" s="875"/>
      <c r="R161" s="875"/>
      <c r="S161" s="875"/>
      <c r="T161" s="875"/>
      <c r="U161" s="875"/>
      <c r="V161" s="875"/>
    </row>
    <row r="162" spans="1:22" ht="10.5" customHeight="1">
      <c r="B162" s="846"/>
      <c r="C162" s="846"/>
      <c r="D162" s="846"/>
      <c r="E162" s="846"/>
      <c r="F162" s="846"/>
      <c r="G162" s="846"/>
      <c r="J162" s="875"/>
      <c r="K162" s="875"/>
      <c r="L162" s="3221"/>
      <c r="M162" s="875"/>
      <c r="N162" s="875"/>
      <c r="O162" s="875"/>
      <c r="P162" s="875"/>
      <c r="Q162" s="875"/>
      <c r="R162" s="875"/>
      <c r="S162" s="875"/>
      <c r="T162" s="875"/>
      <c r="U162" s="875"/>
      <c r="V162" s="875"/>
    </row>
    <row r="163" spans="1:22" ht="35.25" customHeight="1">
      <c r="B163" s="846"/>
      <c r="C163" s="2600"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Construction",N($H$147)+N($H$148)+N($H$149)+N($H$150)+N($H$152)+N($H$153)+N($H$154)+N($H$155)+N($H$156)+N($H$157)+N($H$159)+N($H$160)&gt;0)," Rehab units are NOT allowed when New Construction is the designated Development Category in this RFA.","")</f>
        <v>The number of units calculated here matches the 0 units in stated at 6.a.</v>
      </c>
      <c r="D163" s="2600"/>
      <c r="E163" s="2600"/>
      <c r="F163" s="2600"/>
      <c r="G163" s="2600"/>
      <c r="H163" s="2600"/>
      <c r="I163" s="2600"/>
      <c r="J163" s="826"/>
      <c r="K163" s="826"/>
      <c r="L163" s="3221"/>
      <c r="M163" s="826"/>
      <c r="N163" s="826"/>
      <c r="O163" s="826"/>
      <c r="P163" s="826"/>
      <c r="Q163" s="826"/>
      <c r="R163" s="826"/>
      <c r="S163" s="826"/>
      <c r="T163" s="826"/>
      <c r="U163" s="826"/>
      <c r="V163" s="826"/>
    </row>
    <row r="164" spans="1:22" ht="10.5" customHeight="1">
      <c r="B164" s="846"/>
      <c r="C164" s="846"/>
      <c r="D164" s="846"/>
      <c r="E164" s="846"/>
      <c r="F164" s="846"/>
      <c r="G164" s="846"/>
      <c r="J164" s="826"/>
      <c r="K164" s="826"/>
      <c r="L164" s="3221"/>
      <c r="M164" s="826"/>
      <c r="N164" s="826"/>
      <c r="O164" s="826"/>
      <c r="P164" s="826"/>
      <c r="Q164" s="826"/>
      <c r="R164" s="826"/>
      <c r="S164" s="826"/>
      <c r="T164" s="826"/>
      <c r="U164" s="826"/>
      <c r="V164" s="826"/>
    </row>
    <row r="165" spans="1:22" ht="30" customHeight="1">
      <c r="B165" s="2544" t="s">
        <v>947</v>
      </c>
      <c r="C165" s="2544"/>
      <c r="D165" s="2544"/>
      <c r="E165" s="2544"/>
      <c r="F165" s="2544"/>
      <c r="G165" s="2544"/>
      <c r="H165" s="2544"/>
      <c r="I165" s="2544"/>
      <c r="J165" s="875"/>
      <c r="K165" s="875"/>
      <c r="L165" s="3221"/>
      <c r="M165" s="875"/>
      <c r="N165" s="875"/>
      <c r="O165" s="875"/>
      <c r="P165" s="875"/>
      <c r="Q165" s="875"/>
    </row>
    <row r="166" spans="1:22" ht="78" customHeight="1">
      <c r="B166" s="2544" t="str" cm="1">
        <f t="array" aca="1" ref="B166"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66" s="2544"/>
      <c r="D166" s="2544"/>
      <c r="E166" s="2544"/>
      <c r="F166" s="2544"/>
      <c r="G166" s="2544"/>
      <c r="H166" s="2544"/>
      <c r="I166" s="2544"/>
      <c r="K166" s="15" t="s">
        <v>648</v>
      </c>
      <c r="L166" s="3221"/>
    </row>
    <row r="167" spans="1:22" ht="10.5" customHeight="1">
      <c r="A167" s="15"/>
      <c r="B167" s="15"/>
      <c r="C167" s="15"/>
      <c r="D167" s="15"/>
      <c r="E167" s="15"/>
      <c r="F167" s="15"/>
      <c r="G167" s="15"/>
      <c r="H167" s="15"/>
      <c r="I167" s="15"/>
      <c r="L167" s="3222"/>
    </row>
    <row r="168" spans="1:22" ht="17.649999999999999" hidden="1" customHeight="1">
      <c r="A168" s="504" t="str" cm="1">
        <f t="array" ref="A168">IF($L168=0,"",CHAR(CODE(LOOKUP(2,1/(COUNTIF(A$3:A167,"&gt;"&amp;A$3:A167&amp;"*")=0),A$3:A167))+1))</f>
        <v/>
      </c>
      <c r="B168" s="15" t="s">
        <v>948</v>
      </c>
      <c r="C168" s="15"/>
      <c r="D168" s="15"/>
      <c r="E168" s="15"/>
      <c r="F168" s="15"/>
      <c r="G168" s="15"/>
      <c r="I168" s="655" t="s">
        <v>41</v>
      </c>
      <c r="L168" s="3217">
        <v>0</v>
      </c>
      <c r="M168" s="855"/>
      <c r="N168" s="855"/>
      <c r="O168" s="2046" t="str">
        <f>"Controls Rows "&amp;TEXT(ROW(A168),"0")&amp;":"&amp;TEXT(ROW(A171),"0")&amp;"."</f>
        <v>Controls Rows 168:171.</v>
      </c>
    </row>
    <row r="169" spans="1:22" ht="10.5" hidden="1" customHeight="1">
      <c r="A169" s="15"/>
      <c r="B169" s="15"/>
      <c r="C169" s="15"/>
      <c r="D169" s="15"/>
      <c r="E169" s="15"/>
      <c r="F169" s="15"/>
      <c r="G169" s="15"/>
      <c r="H169" s="15"/>
      <c r="I169" s="15"/>
      <c r="L169" s="3218"/>
    </row>
    <row r="170" spans="1:22" hidden="1">
      <c r="A170" s="15"/>
      <c r="B170" t="s">
        <v>949</v>
      </c>
      <c r="C170" s="15"/>
      <c r="D170" s="15"/>
      <c r="E170" s="15"/>
      <c r="F170" s="15"/>
      <c r="G170" s="15"/>
      <c r="H170" s="15"/>
      <c r="I170" s="15"/>
      <c r="L170" s="3218"/>
    </row>
    <row r="171" spans="1:22" ht="10.5" hidden="1" customHeight="1">
      <c r="L171" s="3219"/>
    </row>
    <row r="172" spans="1:22" ht="65.25" customHeight="1">
      <c r="C172" s="2555" t="str">
        <f>"Florida Housing has reviewed some of the above"&amp;IF(M173=1," Development Category"&amp;CHOOSE(SUM(M174:M178)+1,""," and",",",",",",",","),"")&amp;IF(M174=1," Development Subcategory"&amp;CHOOSE(SUM(M175:M178)+1,""," and",",",",",","),"")&amp;IF(M175=1," RA Level"&amp;CHOOSE(SUM(M176:M178)+1,""," and",",",","),"")&amp;IF(M176=1," Development Category Funding Preference"&amp;CHOOSE(SUM(M177:M178)+1,""," and",","),"")&amp;IF(M177=1," ESS Construction Funding Preference"&amp;CHOOSE(SUM(M178:M178)+1,""," and"),"")&amp;IF(M178=1," total units in the Characteristic Chart","")&amp;" information through an automated process and has made the determinations below. Items not specifically addressed by these determination statements are not being automatically reviewed."</f>
        <v>Florida Housing has reviewed some of the above Development Category, Development Subcategory, RA Level, ESS Construction Funding Preference and total units in the Characteristic Chart information through an automated process and has made the determinations below. Items not specifically addressed by these determination statements are not being automatically reviewed.</v>
      </c>
      <c r="D172" s="2556"/>
      <c r="E172" s="2556"/>
      <c r="F172" s="2556"/>
      <c r="G172" s="2556"/>
      <c r="H172" s="2556"/>
      <c r="I172" s="2557"/>
      <c r="L172" s="2569">
        <v>1</v>
      </c>
      <c r="O172" s="2046" t="str">
        <f>"Controls Rows "&amp;TEXT(ROW(A172),"0")&amp;":"&amp;TEXT(ROW(A179),"0")&amp;"."</f>
        <v>Controls Rows 172:179.</v>
      </c>
    </row>
    <row r="173" spans="1:22" ht="35.25" customHeight="1">
      <c r="C173" s="2323" t="s">
        <v>1461</v>
      </c>
      <c r="D173" s="2544" t="str">
        <f>"Information "&amp;IF(OR(Name_of_proposed_Development="",Development_Category="&lt;select one&gt;"),"needs to be provided in order to determine if the proposed Development meets","provided reflects that the proposed Development appears to ")&amp;IF(OR(Name_of_proposed_Development="",Development_Category="&lt;select one&gt;"),"",IF(IF(AND(Development_Category="New Construction",Development_SubCategory&lt;&gt;"Redevelopment (w/ or w/o Acquisition)"),IF(AND(Data1!B259="Yes",IF(DS_NC_NP_Req="No",TRUE,IF(IFERROR(FIND("12",Data1!B260),0)=0,TRUE,FALSE))),"Yes","No"),IF(AND(Development_Category="New Construction",Development_SubCategory="Redevelopment (w/ or w/o Acquisition)"),IF(Data1!B267="Yes","Yes","No"),IF(AND(OR(Development_Category="Rehabilitation",Development_Category="Acquisition and Rehabilitation"),Development_SubCategory="Preservation (w/ or w/o Acquisition)"),IF(AND(Data1!B283="Yes",IF(DS_HC_Funding="Yes",AND(Data1!B294="Yes",Data1!B301="Yes",Data1!B305="Yes"),TRUE)),"Yes","No"),IF(AND(OR(Development_Category="Rehabilitation",Development_Category="Acquisition and Rehabilitation"),Development_SubCategory&lt;&gt;"Preservation (w/ or w/o Acquisition)"),IF(AND(Data1!B316="Yes",IF(RIGHT(Excel_RFA_Number,3)="104",AND(Data1!B318="Yes",OR(Data1!B319="Yes",Data1!B319="NA"),Data1!B320="Yes"),TRUE),IF(DS_HC_Funding="Yes",AND(Data1!B326="Yes",Data1!B333="Yes",Data1!B337="Yes",OR(Data1!B318="Yes",Data1!B318="NA"),OR(Data1!B319="Yes",Data1!B319="NA"),OR(Data1!B320="Yes",Data1!B320="NA")),TRUE)),"Yes","No"),""))))="Yes","meet","NOT meet"))&amp;" the Development Category of "&amp;IF(Development_Category="&lt;select one&gt;","TBD",Development_Category)&amp;"."</f>
        <v>Information needs to be provided in order to determine if the proposed Development meets the Development Category of TBD.</v>
      </c>
      <c r="E173" s="2544"/>
      <c r="F173" s="2544"/>
      <c r="G173" s="2544"/>
      <c r="H173" s="2544"/>
      <c r="I173" s="2558"/>
      <c r="L173" s="2570"/>
      <c r="M173" s="1993">
        <v>1</v>
      </c>
      <c r="R173" s="17"/>
      <c r="S173" s="823"/>
    </row>
    <row r="174" spans="1:22" ht="35.25" customHeight="1">
      <c r="C174" s="2323" t="s">
        <v>1461</v>
      </c>
      <c r="D174" s="2544" t="str">
        <f>IF(OR(Development_Category="&lt;select one&gt;",Development_SubCategory="&lt;select one&gt;"),"Information needs to be provided in order to determine if the proposed Development meets","Information provided reflects that the proposed Development appears to "&amp;IF(OR(AND(Development_Category="New Construction",Development_SubCategory&lt;&gt;"Redevelopment (w/ or w/o Acquisition)"),AND(OR(Development_Category="Rehabilitation",Development_Category="Acquisition and Rehabilitation"),Development_SubCategory&lt;&gt;"Preservation (w/ or w/o Acquisition)")),"not be applicable to meeting ",IF(IF(AND(Development_Category="New Construction",Development_SubCategory="Redevelopment (w/ or w/o Acquisition)"),IF(AND(Data1!B267="Yes",Data1!B268="Yes",OR(AND(Data1!B269="Yes",Data1!B270="Yes"),AND(Data1!B271="Yes",Data1!B272="Yes"))),"Yes","No"),IF(AND(OR(Development_Category="Rehabilitation",Development_Category="Acquisition and Rehabilitation"),Development_SubCategory="Preservation (w/ or w/o Acquisition)"),IF(OR(AND(Data1!B283="Yes",Data1!B284="Yes",Data1!B286="Yes",Data1!B287="Yes",Data1!B288="Yes",IF(DS_HC_Funding="Yes",AND(Data1!B294="Yes",Data1!B301="Yes",Data1!B305="Yes"),TRUE)),AND(In_Corporation_Portfolio="Yes",Data1!B284="Yes")),"Yes","No")))="Yes","meet","NOT meet")))&amp;" the Development Subcategory of "&amp;IF(Development_SubCategory="&lt;select one&gt;","TBD",Development_SubCategory)&amp;"."</f>
        <v>Information needs to be provided in order to determine if the proposed Development meets the Development Subcategory of Preservation (w/ or w/o Acquisition).</v>
      </c>
      <c r="E174" s="2544"/>
      <c r="F174" s="2544"/>
      <c r="G174" s="2544"/>
      <c r="H174" s="2544"/>
      <c r="I174" s="2558"/>
      <c r="L174" s="3210"/>
      <c r="M174" s="2045">
        <f>M55</f>
        <v>1</v>
      </c>
      <c r="O174" s="94" t="str">
        <f>"Turned On/Off by row "&amp;ROW(A55)&amp;"."</f>
        <v>Turned On/Off by row 55.</v>
      </c>
    </row>
    <row r="175" spans="1:22" ht="20.25" customHeight="1">
      <c r="C175" s="2323" t="s">
        <v>1461</v>
      </c>
      <c r="D175" s="2544" t="str">
        <f>"Information provided reflects that the proposed Development appears to qualify for RA Level "&amp;TEXT(Data1!F365,"0")&amp;"."</f>
        <v>Information provided reflects that the proposed Development appears to qualify for RA Level 6.</v>
      </c>
      <c r="E175" s="2544"/>
      <c r="F175" s="2544"/>
      <c r="G175" s="2544"/>
      <c r="H175" s="2544"/>
      <c r="I175" s="2558"/>
      <c r="L175" s="3210"/>
      <c r="M175" s="2045">
        <f>L99</f>
        <v>1</v>
      </c>
      <c r="O175" s="94" t="str">
        <f>"Turned On/Off by row "&amp;ROW(A99)&amp;"."</f>
        <v>Turned On/Off by row 99.</v>
      </c>
    </row>
    <row r="176" spans="1:22" ht="35.25" hidden="1" customHeight="1">
      <c r="C176" s="2323" t="s">
        <v>1461</v>
      </c>
      <c r="D176" s="2544" t="str">
        <f>"Information "&amp;IF(OR(Name_of_proposed_Development="",AND(Development_Category&lt;&gt;"New Construction",Pres_def="&lt;select one&gt;")),"needs to be provided in order to determine if the proposed Development qualifies for the Development Category Funding Preference.","provided reflects that the proposed Development appears to "&amp;IF(Pres_def="Yes","NOT ","")&amp;"qualify for the Development Category Funding Preference.")</f>
        <v>Information needs to be provided in order to determine if the proposed Development qualifies for the Development Category Funding Preference.</v>
      </c>
      <c r="E176" s="2544"/>
      <c r="F176" s="2544"/>
      <c r="G176" s="2544"/>
      <c r="H176" s="2544"/>
      <c r="I176" s="2558"/>
      <c r="L176" s="3210"/>
      <c r="M176" s="2433">
        <f>L116</f>
        <v>0</v>
      </c>
      <c r="O176" s="94" t="str">
        <f>"Turned On/Off by row "&amp;ROW(A116)&amp;"."</f>
        <v>Turned On/Off by row 116.</v>
      </c>
    </row>
    <row r="177" spans="3:15" ht="35.25" customHeight="1">
      <c r="C177" s="2323" t="s">
        <v>1461</v>
      </c>
      <c r="D177" s="2847" t="str">
        <f>"Information "&amp;IF(OR(H161=0,AND(H161&gt;0,H161&lt;&gt;N(Total_Units)))," needs to be provided in order to determine if the proposed Development qualifies for the ESS Construction Funding Preference.","provided reflects that the proposed Development appears to "&amp;IF(SUMIF(F138:F160,"ESS Construction",B138:B160)&gt;=ROUNDUP(50%*N(Total_Units),0),"","Not ")&amp;"qualify for the ESS Construction Funding Preference.")</f>
        <v>Information  needs to be provided in order to determine if the proposed Development qualifies for the ESS Construction Funding Preference.</v>
      </c>
      <c r="E177" s="2847"/>
      <c r="F177" s="2847"/>
      <c r="G177" s="2847"/>
      <c r="H177" s="2847"/>
      <c r="I177" s="2558"/>
      <c r="L177" s="3210"/>
      <c r="M177" s="1998">
        <f>IF(AND(L129=1,O130=0),1,0)</f>
        <v>1</v>
      </c>
      <c r="O177" s="94" t="str">
        <f>"Turned On/Off by cells L"&amp;ROW(A129)&amp;" &amp; O"&amp;ROW(A130)&amp;"."</f>
        <v>Turned On/Off by cells L129 &amp; O130.</v>
      </c>
    </row>
    <row r="178" spans="3:15" ht="35.25" customHeight="1">
      <c r="C178" s="2324" t="s">
        <v>1461</v>
      </c>
      <c r="D178" s="3241" t="str">
        <f>"The number of Units provided in the Unit Characteristic Chart "&amp;IF(N(total_units_in_unit_desc_chart)&lt;&gt;N(Total_Units),"does NOT match","matches")&amp;" the number of Units provided at question 6.a."</f>
        <v>The number of Units provided in the Unit Characteristic Chart matches the number of Units provided at question 6.a.</v>
      </c>
      <c r="E178" s="3241"/>
      <c r="F178" s="3241"/>
      <c r="G178" s="3241"/>
      <c r="H178" s="3241"/>
      <c r="I178" s="2560"/>
      <c r="L178" s="2570"/>
      <c r="M178" s="2244">
        <v>1</v>
      </c>
    </row>
    <row r="179" spans="3:15">
      <c r="L179" s="2701"/>
    </row>
  </sheetData>
  <sheetProtection algorithmName="SHA-512" hashValue="TrIEZCjQRpsLJFz7L0e+5y7XtnSs0KydMJFpZQWLLyBVbdTn+dPYRAIsHV0w6vKbhWIt7yhJR33J6veyoC9FBg==" saltValue="YCSDD8uQWQ6OvOul7rZFwQ==" spinCount="100000" sheet="1" selectLockedCells="1"/>
  <sortState xmlns:xlrd2="http://schemas.microsoft.com/office/spreadsheetml/2017/richdata2" ref="U3:U30">
    <sortCondition ref="U3:U30"/>
  </sortState>
  <mergeCells count="155">
    <mergeCell ref="D178:I178"/>
    <mergeCell ref="C172:I172"/>
    <mergeCell ref="F140:G140"/>
    <mergeCell ref="F141:G141"/>
    <mergeCell ref="C59:H59"/>
    <mergeCell ref="O69:R69"/>
    <mergeCell ref="O70:S70"/>
    <mergeCell ref="O71:R71"/>
    <mergeCell ref="O73:R73"/>
    <mergeCell ref="O72:S72"/>
    <mergeCell ref="O74:S74"/>
    <mergeCell ref="L99:L115"/>
    <mergeCell ref="L122:L128"/>
    <mergeCell ref="L116:L121"/>
    <mergeCell ref="D112:E112"/>
    <mergeCell ref="M69:M75"/>
    <mergeCell ref="C69:H69"/>
    <mergeCell ref="C70:I70"/>
    <mergeCell ref="C71:H71"/>
    <mergeCell ref="C72:I72"/>
    <mergeCell ref="C73:H73"/>
    <mergeCell ref="L93:L95"/>
    <mergeCell ref="C95:H95"/>
    <mergeCell ref="O66:R66"/>
    <mergeCell ref="O130:Q130"/>
    <mergeCell ref="G104:I104"/>
    <mergeCell ref="F118:I118"/>
    <mergeCell ref="D106:E106"/>
    <mergeCell ref="E101:I101"/>
    <mergeCell ref="E103:I103"/>
    <mergeCell ref="D107:E107"/>
    <mergeCell ref="D110:E110"/>
    <mergeCell ref="C124:E124"/>
    <mergeCell ref="E114:I114"/>
    <mergeCell ref="D111:E111"/>
    <mergeCell ref="H109:I110"/>
    <mergeCell ref="H107:I108"/>
    <mergeCell ref="E120:I120"/>
    <mergeCell ref="D117:I117"/>
    <mergeCell ref="D118:E118"/>
    <mergeCell ref="O131:Q131"/>
    <mergeCell ref="L172:L179"/>
    <mergeCell ref="C136:G137"/>
    <mergeCell ref="L129:L132"/>
    <mergeCell ref="L133:L137"/>
    <mergeCell ref="L168:L171"/>
    <mergeCell ref="L161:L167"/>
    <mergeCell ref="C154:D160"/>
    <mergeCell ref="F154:G154"/>
    <mergeCell ref="F155:G155"/>
    <mergeCell ref="F156:G156"/>
    <mergeCell ref="F157:G157"/>
    <mergeCell ref="F159:G159"/>
    <mergeCell ref="F160:G160"/>
    <mergeCell ref="C138:D146"/>
    <mergeCell ref="F142:G142"/>
    <mergeCell ref="F145:G145"/>
    <mergeCell ref="B134:I134"/>
    <mergeCell ref="I136:I137"/>
    <mergeCell ref="C131:I131"/>
    <mergeCell ref="D177:I177"/>
    <mergeCell ref="F150:G150"/>
    <mergeCell ref="F152:G152"/>
    <mergeCell ref="F149:G149"/>
    <mergeCell ref="O63:R63"/>
    <mergeCell ref="L61:L82"/>
    <mergeCell ref="M63:M68"/>
    <mergeCell ref="L83:L84"/>
    <mergeCell ref="M76:M82"/>
    <mergeCell ref="L85:L92"/>
    <mergeCell ref="O6:R7"/>
    <mergeCell ref="O12:R13"/>
    <mergeCell ref="O14:R15"/>
    <mergeCell ref="O30:R33"/>
    <mergeCell ref="O36:R39"/>
    <mergeCell ref="O40:R43"/>
    <mergeCell ref="O61:R62"/>
    <mergeCell ref="L30:L54"/>
    <mergeCell ref="L55:L56"/>
    <mergeCell ref="L57:L58"/>
    <mergeCell ref="L6:L11"/>
    <mergeCell ref="L12:L13"/>
    <mergeCell ref="L14:L29"/>
    <mergeCell ref="M61:M62"/>
    <mergeCell ref="M55:M58"/>
    <mergeCell ref="L59:L60"/>
    <mergeCell ref="O64:R65"/>
    <mergeCell ref="N64:N65"/>
    <mergeCell ref="L3:M5"/>
    <mergeCell ref="L2:S2"/>
    <mergeCell ref="O18:S18"/>
    <mergeCell ref="G12:H12"/>
    <mergeCell ref="C57:I57"/>
    <mergeCell ref="F13:H13"/>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A1:I1"/>
    <mergeCell ref="G3:I3"/>
    <mergeCell ref="G7:I7"/>
    <mergeCell ref="C9:I9"/>
    <mergeCell ref="D173:I173"/>
    <mergeCell ref="D174:I174"/>
    <mergeCell ref="D175:I175"/>
    <mergeCell ref="D176:I176"/>
    <mergeCell ref="H136:H137"/>
    <mergeCell ref="B166:I166"/>
    <mergeCell ref="B165:I165"/>
    <mergeCell ref="F143:G143"/>
    <mergeCell ref="F144:G144"/>
    <mergeCell ref="C87:H87"/>
    <mergeCell ref="H91:I91"/>
    <mergeCell ref="D91:G91"/>
    <mergeCell ref="C97:I97"/>
    <mergeCell ref="F147:G147"/>
    <mergeCell ref="B130:I130"/>
    <mergeCell ref="F122:I125"/>
    <mergeCell ref="D126:I126"/>
    <mergeCell ref="F148:G148"/>
    <mergeCell ref="C163:I163"/>
    <mergeCell ref="C147:D153"/>
    <mergeCell ref="F153:G153"/>
    <mergeCell ref="F146:G146"/>
    <mergeCell ref="F138:G138"/>
    <mergeCell ref="F139:G139"/>
    <mergeCell ref="F151:G151"/>
    <mergeCell ref="F158:G158"/>
    <mergeCell ref="C61:H61"/>
    <mergeCell ref="C76:I76"/>
    <mergeCell ref="E77:I77"/>
    <mergeCell ref="E78:H78"/>
    <mergeCell ref="E79:I79"/>
    <mergeCell ref="C81:H81"/>
    <mergeCell ref="C66:H66"/>
    <mergeCell ref="C64:H64"/>
    <mergeCell ref="C63:I63"/>
    <mergeCell ref="C67:I67"/>
    <mergeCell ref="C74:I74"/>
    <mergeCell ref="D109:E109"/>
    <mergeCell ref="D108:E108"/>
  </mergeCells>
  <conditionalFormatting sqref="A12:I13">
    <cfRule type="expression" dxfId="939" priority="79">
      <formula>$L$12=0</formula>
    </cfRule>
  </conditionalFormatting>
  <conditionalFormatting sqref="A83:I84">
    <cfRule type="expression" dxfId="938" priority="10592">
      <formula>$L$83=0</formula>
    </cfRule>
  </conditionalFormatting>
  <conditionalFormatting sqref="A85:I92">
    <cfRule type="expression" dxfId="937" priority="9">
      <formula>$L$85=0</formula>
    </cfRule>
  </conditionalFormatting>
  <conditionalFormatting sqref="A93:I96">
    <cfRule type="expression" dxfId="936" priority="24">
      <formula>$L$93=0</formula>
    </cfRule>
  </conditionalFormatting>
  <conditionalFormatting sqref="A99:I115">
    <cfRule type="expression" dxfId="935" priority="10339">
      <formula>$L$99=0</formula>
    </cfRule>
  </conditionalFormatting>
  <conditionalFormatting sqref="A116:I117 A118:F118 A119:I121">
    <cfRule type="expression" dxfId="934" priority="10399">
      <formula>$L$116=0</formula>
    </cfRule>
  </conditionalFormatting>
  <conditionalFormatting sqref="A122:I128">
    <cfRule type="expression" dxfId="933" priority="10500">
      <formula>$L$122=0</formula>
    </cfRule>
  </conditionalFormatting>
  <conditionalFormatting sqref="A129:I132">
    <cfRule type="expression" dxfId="932" priority="10530">
      <formula>$L$129=0</formula>
    </cfRule>
  </conditionalFormatting>
  <conditionalFormatting sqref="A168:I171">
    <cfRule type="expression" dxfId="930" priority="4731">
      <formula>$L$168=0</formula>
    </cfRule>
  </conditionalFormatting>
  <conditionalFormatting sqref="A172:I172 A173:D178 A179:I179">
    <cfRule type="expression" dxfId="929" priority="41">
      <formula>$L$172=0</formula>
    </cfRule>
  </conditionalFormatting>
  <conditionalFormatting sqref="B173:D178">
    <cfRule type="expression" dxfId="928" priority="40">
      <formula>$M173=0</formula>
    </cfRule>
  </conditionalFormatting>
  <conditionalFormatting sqref="B6:I10">
    <cfRule type="expression" dxfId="926" priority="8681">
      <formula>$L$6=0</formula>
    </cfRule>
  </conditionalFormatting>
  <conditionalFormatting sqref="B14:I15">
    <cfRule type="expression" dxfId="925" priority="82">
      <formula>Link_Classification="&lt;select one&gt;"</formula>
    </cfRule>
  </conditionalFormatting>
  <conditionalFormatting sqref="B14:I29">
    <cfRule type="expression" dxfId="924" priority="113">
      <formula>$L$14=0</formula>
    </cfRule>
  </conditionalFormatting>
  <conditionalFormatting sqref="B30:I54">
    <cfRule type="expression" dxfId="923" priority="8805">
      <formula>$L$30=0</formula>
    </cfRule>
  </conditionalFormatting>
  <conditionalFormatting sqref="B55:I56">
    <cfRule type="expression" dxfId="920" priority="168">
      <formula>$L$55=0</formula>
    </cfRule>
  </conditionalFormatting>
  <conditionalFormatting sqref="B55:I58 B59:C59 I59 B60:I60">
    <cfRule type="expression" dxfId="919" priority="46">
      <formula>$M$55=0</formula>
    </cfRule>
  </conditionalFormatting>
  <conditionalFormatting sqref="B57:I58 B59:C59 I59 B60:I60">
    <cfRule type="expression" dxfId="918" priority="8927">
      <formula>$L$57=0</formula>
    </cfRule>
  </conditionalFormatting>
  <conditionalFormatting sqref="B61:I68 I69 B69:C74 I71 I73 B75:I82">
    <cfRule type="expression" dxfId="917" priority="16468">
      <formula>$L$61=0</formula>
    </cfRule>
  </conditionalFormatting>
  <conditionalFormatting sqref="B165:I165">
    <cfRule type="expression" dxfId="916" priority="10465">
      <formula>$L$145+$L$146+$L$152+$L$153=0</formula>
    </cfRule>
  </conditionalFormatting>
  <conditionalFormatting sqref="C30 C36 C40 C50">
    <cfRule type="expression" dxfId="915" priority="8682">
      <formula>$L$6=1</formula>
    </cfRule>
  </conditionalFormatting>
  <conditionalFormatting sqref="C52:C53">
    <cfRule type="cellIs" dxfId="914" priority="165" operator="notEqual">
      <formula>""</formula>
    </cfRule>
  </conditionalFormatting>
  <conditionalFormatting sqref="C57 C84">
    <cfRule type="cellIs" dxfId="913" priority="186" operator="equal">
      <formula>"This area intentionally left blank."</formula>
    </cfRule>
  </conditionalFormatting>
  <conditionalFormatting sqref="C97">
    <cfRule type="expression" dxfId="912" priority="30">
      <formula>IFERROR(FIND("not",$C97),0)&gt;0</formula>
    </cfRule>
  </conditionalFormatting>
  <conditionalFormatting sqref="C124">
    <cfRule type="cellIs" dxfId="911" priority="340" operator="notEqual">
      <formula>"&lt;select one&gt;"</formula>
    </cfRule>
  </conditionalFormatting>
  <conditionalFormatting sqref="C88:G91">
    <cfRule type="expression" dxfId="909" priority="15">
      <formula>$I$87&lt;&gt;"Yes"</formula>
    </cfRule>
  </conditionalFormatting>
  <conditionalFormatting sqref="C61:H61">
    <cfRule type="expression" dxfId="908" priority="189">
      <formula>$I61="NA"</formula>
    </cfRule>
  </conditionalFormatting>
  <conditionalFormatting sqref="C64:H64">
    <cfRule type="expression" dxfId="907" priority="208">
      <formula>OR(Development_SubCategory="Redevelopment (w/ or w/o Acquisition)",Development_SubCategory="Preservation (w/ or w/o Acquisition)")</formula>
    </cfRule>
  </conditionalFormatting>
  <conditionalFormatting sqref="C69:H69">
    <cfRule type="cellIs" dxfId="906" priority="9094" operator="equal">
      <formula>"This area intentionally left blank."</formula>
    </cfRule>
  </conditionalFormatting>
  <conditionalFormatting sqref="C71:H71 C73:H73">
    <cfRule type="expression" dxfId="905" priority="2">
      <formula>$C$69="This area intentionally left blank."</formula>
    </cfRule>
  </conditionalFormatting>
  <conditionalFormatting sqref="C61:I62">
    <cfRule type="expression" dxfId="904" priority="201">
      <formula>DS_NC_NP_Req&lt;&gt;"Yes"</formula>
    </cfRule>
  </conditionalFormatting>
  <conditionalFormatting sqref="C63:I63">
    <cfRule type="expression" dxfId="903" priority="202" stopIfTrue="1">
      <formula>OR(Development_SubCategory="Redevelopment (w/ or w/o Acquisition)",Development_SubCategory="Preservation (w/ or w/o Acquisition)")</formula>
    </cfRule>
  </conditionalFormatting>
  <conditionalFormatting sqref="C63:I68 I69 C69:C74 I71 I73 C75:I75">
    <cfRule type="expression" dxfId="902" priority="16380">
      <formula>OR($M$63=0,$L$55=0)</formula>
    </cfRule>
  </conditionalFormatting>
  <conditionalFormatting sqref="C67:I67">
    <cfRule type="expression" dxfId="901" priority="16467">
      <formula>#REF!="This area intentionally left blank."</formula>
    </cfRule>
    <cfRule type="expression" dxfId="900" priority="16466">
      <formula>OR(Development_SubCategory="Redevelopment (w/ or w/o Acquisition)",Development_SubCategory="Preservation (w/ or w/o Acquisition)")</formula>
    </cfRule>
  </conditionalFormatting>
  <conditionalFormatting sqref="C70:I70 C72:I72">
    <cfRule type="expression" dxfId="899" priority="3">
      <formula>$C$69="This area intentionally left blank."</formula>
    </cfRule>
  </conditionalFormatting>
  <conditionalFormatting sqref="C74:I74">
    <cfRule type="expression" dxfId="898" priority="1">
      <formula>$C$69="This area intentionally left blank."</formula>
    </cfRule>
  </conditionalFormatting>
  <conditionalFormatting sqref="C76:I80">
    <cfRule type="expression" dxfId="897" priority="37">
      <formula>Developmednt_Category="New Construction"</formula>
    </cfRule>
  </conditionalFormatting>
  <conditionalFormatting sqref="C76:I82">
    <cfRule type="expression" dxfId="896" priority="9106">
      <formula>$M$76=0</formula>
    </cfRule>
  </conditionalFormatting>
  <conditionalFormatting sqref="C77:I77 C79:I80">
    <cfRule type="expression" dxfId="895" priority="246">
      <formula>AND(DS_ExcelCheckBox_DevCat_CorpPortfolio=TRUE,DS_ExcelCheckBox_DevCat_RDPortfolio=TRUE)</formula>
    </cfRule>
  </conditionalFormatting>
  <conditionalFormatting sqref="C77:I77">
    <cfRule type="expression" dxfId="894" priority="241">
      <formula>DS_ExcelCheckBox_DevCat_CorpPortfolio=TRUE</formula>
    </cfRule>
  </conditionalFormatting>
  <conditionalFormatting sqref="C79:I80">
    <cfRule type="expression" dxfId="893" priority="249">
      <formula>DS_ExcelCheckBox_DevCat_RDPortfolio=TRUE</formula>
    </cfRule>
  </conditionalFormatting>
  <conditionalFormatting sqref="C84:I84">
    <cfRule type="expression" dxfId="892" priority="16556">
      <formula>AND($C84&lt;&gt;"This area intentionally left blank.",$C84&lt;&gt;"",#REF!&lt;&gt;DS_DevCat_Note_05)</formula>
    </cfRule>
  </conditionalFormatting>
  <conditionalFormatting sqref="C131:I131">
    <cfRule type="expression" dxfId="891" priority="348">
      <formula>IFERROR(LEFT($C131,2),"")="No"</formula>
    </cfRule>
    <cfRule type="expression" dxfId="890" priority="382">
      <formula>IFERROR(LEFT($C131,3),"")="Yes"</formula>
    </cfRule>
  </conditionalFormatting>
  <conditionalFormatting sqref="C163:I163">
    <cfRule type="expression" dxfId="889" priority="4044">
      <formula>IFERROR(FIND("NOT",C163),0)&gt;0</formula>
    </cfRule>
  </conditionalFormatting>
  <conditionalFormatting sqref="D173:D174 D176:D178">
    <cfRule type="expression" dxfId="888" priority="42">
      <formula>IFERROR(FIND("NOT",$D173),0)&gt;0</formula>
    </cfRule>
  </conditionalFormatting>
  <conditionalFormatting sqref="D109:E110">
    <cfRule type="expression" dxfId="886" priority="260">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18:E118 D117:I117 E120:I120">
    <cfRule type="expression" dxfId="885" priority="281">
      <formula>AND(Development_Category&lt;&gt;"&lt;select one&gt;",Development_Category&lt;&gt;"Rehabilitation",Development_Category&lt;&gt;"Acquisition and Rehabilitation",Development_SubCategory&lt;&gt;"Preservation (w/ or w/o Acquisition")</formula>
    </cfRule>
  </conditionalFormatting>
  <conditionalFormatting sqref="D118:E118">
    <cfRule type="expression" dxfId="884" priority="284">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882" priority="66">
      <formula>Link_Classification="&lt;select one&gt;"</formula>
    </cfRule>
  </conditionalFormatting>
  <conditionalFormatting sqref="D16:G17">
    <cfRule type="expression" dxfId="881" priority="115">
      <formula>AND($L$14=1,$M16&lt;&gt;1)</formula>
    </cfRule>
  </conditionalFormatting>
  <conditionalFormatting sqref="D20:G20">
    <cfRule type="expression" dxfId="880" priority="8843">
      <formula>AND($L$14=1,$M$20&lt;&gt;1)</formula>
    </cfRule>
  </conditionalFormatting>
  <conditionalFormatting sqref="D22:G22">
    <cfRule type="expression" dxfId="879" priority="8760">
      <formula>AND($L$14=1,$M$22&lt;&gt;1)</formula>
    </cfRule>
  </conditionalFormatting>
  <conditionalFormatting sqref="D24:G24">
    <cfRule type="expression" dxfId="878" priority="8752">
      <formula>AND($L$14=1,$M$24&lt;&gt;1)</formula>
    </cfRule>
  </conditionalFormatting>
  <conditionalFormatting sqref="D26:G26">
    <cfRule type="expression" dxfId="877" priority="116">
      <formula>AND($L$14=1,$M$26&lt;&gt;1)</formula>
    </cfRule>
  </conditionalFormatting>
  <conditionalFormatting sqref="D107:I108 D110:I110">
    <cfRule type="expression" dxfId="876" priority="10369">
      <formula>$N107=0</formula>
    </cfRule>
  </conditionalFormatting>
  <conditionalFormatting sqref="E18">
    <cfRule type="cellIs" dxfId="875" priority="98" operator="notEqual">
      <formula>""</formula>
    </cfRule>
  </conditionalFormatting>
  <conditionalFormatting sqref="E149:G150 E151:F151">
    <cfRule type="expression" dxfId="874" priority="394">
      <formula>AND(a="Yes",aa="New Construction",N($H149)&gt;0)</formula>
    </cfRule>
  </conditionalFormatting>
  <conditionalFormatting sqref="E114:I114">
    <cfRule type="cellIs" dxfId="872" priority="274" operator="equal">
      <formula>"This Application qualifies for RA Level 6."</formula>
    </cfRule>
  </conditionalFormatting>
  <conditionalFormatting sqref="E138:I160">
    <cfRule type="expression" dxfId="871" priority="10435">
      <formula>$L138=0</formula>
    </cfRule>
  </conditionalFormatting>
  <conditionalFormatting sqref="E147:I148 H149:I151 E152:I160">
    <cfRule type="expression" dxfId="870" priority="391">
      <formula>AND(DS_100Percent_NC_Units="Yes",Development_Category="New Construction",N($H147)&gt;0)</formula>
    </cfRule>
  </conditionalFormatting>
  <conditionalFormatting sqref="F122:F123">
    <cfRule type="expression" dxfId="869" priority="335">
      <formula>FIND("NOT",F122)</formula>
    </cfRule>
  </conditionalFormatting>
  <conditionalFormatting sqref="F107:G108 G109">
    <cfRule type="cellIs" dxfId="868" priority="258" operator="notEqual">
      <formula>""</formula>
    </cfRule>
  </conditionalFormatting>
  <conditionalFormatting sqref="F122:I125">
    <cfRule type="cellIs" dxfId="867" priority="339" operator="equal">
      <formula>"If the Development Category is New Construction, the Development Type must be Garden Apartments."</formula>
    </cfRule>
  </conditionalFormatting>
  <conditionalFormatting sqref="G3 H138:H160">
    <cfRule type="cellIs" dxfId="866" priority="74" operator="notEqual">
      <formula>""</formula>
    </cfRule>
  </conditionalFormatting>
  <conditionalFormatting sqref="G7">
    <cfRule type="cellIs" dxfId="865" priority="77" operator="notEqual">
      <formula>""</formula>
    </cfRule>
  </conditionalFormatting>
  <conditionalFormatting sqref="G55">
    <cfRule type="cellIs" dxfId="864" priority="171" operator="equal">
      <formula>""</formula>
    </cfRule>
    <cfRule type="cellIs" dxfId="863" priority="183" operator="notEqual">
      <formula>"&lt;select one&gt;"</formula>
    </cfRule>
  </conditionalFormatting>
  <conditionalFormatting sqref="G109">
    <cfRule type="expression" dxfId="862" priority="262">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10">
    <cfRule type="expression" dxfId="861" priority="266">
      <formula>OR(AND(OR(Development_Category="Rehabilitation",Development_Category="Acquisition and Rehabilitation"),Development_SubCategory="Preservation (w/ or w/o Acquisition)"),AND(Development_Category="New Construction",Development_SubCategory="Redevelopment (w/ or w/o Acquisition)"))</formula>
    </cfRule>
    <cfRule type="cellIs" dxfId="860" priority="267" operator="notEqual">
      <formula>"&lt;select one&gt;"</formula>
    </cfRule>
  </conditionalFormatting>
  <conditionalFormatting sqref="G12:H12 I81 G110 D118:E118 C124:E124 I168">
    <cfRule type="cellIs" dxfId="859" priority="81" operator="equal">
      <formula>""</formula>
    </cfRule>
  </conditionalFormatting>
  <conditionalFormatting sqref="G12:H12">
    <cfRule type="cellIs" dxfId="858" priority="80" operator="notEqual">
      <formula>"&lt;select one&gt;"</formula>
    </cfRule>
  </conditionalFormatting>
  <conditionalFormatting sqref="G55:I55">
    <cfRule type="expression" dxfId="856" priority="179">
      <formula>AND(Development_Category&lt;&gt;"New Construction",Development_SubCategory="Redevelopment (w/ or w/o Acquisition)")</formula>
    </cfRule>
  </conditionalFormatting>
  <conditionalFormatting sqref="G104:I104">
    <cfRule type="expression" dxfId="855" priority="6">
      <formula>OR(AND(YEAR(DS_AppDeadline)-year_built&lt;20,In_Corporation_Portfolio&lt;&gt;"Yes"),AND(YEAR(DS_AppDeadline)-year_built&lt;13,In_Corporation_Portfolio="Yes"))</formula>
    </cfRule>
    <cfRule type="cellIs" dxfId="854" priority="7" operator="equal">
      <formula>"A response is required."</formula>
    </cfRule>
  </conditionalFormatting>
  <conditionalFormatting sqref="H16">
    <cfRule type="expression" dxfId="851" priority="87">
      <formula>I16="(Does NOT Match)"</formula>
    </cfRule>
    <cfRule type="cellIs" dxfId="850" priority="111" operator="notEqual">
      <formula>"&lt;select one&gt;"</formula>
    </cfRule>
    <cfRule type="cellIs" dxfId="849" priority="88" operator="equal">
      <formula>""</formula>
    </cfRule>
  </conditionalFormatting>
  <conditionalFormatting sqref="H20 H26">
    <cfRule type="expression" dxfId="848" priority="90">
      <formula>Link_Classification="&lt;select one&gt;"</formula>
    </cfRule>
  </conditionalFormatting>
  <conditionalFormatting sqref="H22 H20 H26">
    <cfRule type="cellIs" dxfId="847" priority="96" operator="notEqual">
      <formula>""</formula>
    </cfRule>
  </conditionalFormatting>
  <conditionalFormatting sqref="H22">
    <cfRule type="expression" dxfId="846" priority="91">
      <formula>Link_Classification="&lt;select one&gt;"</formula>
    </cfRule>
  </conditionalFormatting>
  <conditionalFormatting sqref="H24">
    <cfRule type="cellIs" dxfId="845" priority="104" operator="equal">
      <formula>"No"</formula>
    </cfRule>
    <cfRule type="cellIs" dxfId="844" priority="101" operator="notEqual">
      <formula>"&lt;select one&gt;"</formula>
    </cfRule>
    <cfRule type="cellIs" dxfId="843" priority="102" operator="equal">
      <formula>""</formula>
    </cfRule>
  </conditionalFormatting>
  <conditionalFormatting sqref="H34">
    <cfRule type="cellIs" dxfId="838" priority="133" operator="equal">
      <formula>""</formula>
    </cfRule>
    <cfRule type="cellIs" dxfId="837" priority="132" operator="notEqual">
      <formula>"&lt;select one&gt;"</formula>
    </cfRule>
  </conditionalFormatting>
  <conditionalFormatting sqref="H147:H160">
    <cfRule type="expression" dxfId="836" priority="392">
      <formula>AND(DS_100Percent_NC_Units="Yes",Development_Category="New Construction")</formula>
    </cfRule>
  </conditionalFormatting>
  <conditionalFormatting sqref="H161">
    <cfRule type="cellIs" dxfId="835" priority="2532" stopIfTrue="1" operator="notEqual">
      <formula>Total_Units</formula>
    </cfRule>
    <cfRule type="expression" dxfId="834" priority="2795">
      <formula>AND(H161=Total_Units,H161&lt;&gt;0)</formula>
    </cfRule>
  </conditionalFormatting>
  <conditionalFormatting sqref="H22:I22">
    <cfRule type="expression" dxfId="833" priority="100">
      <formula>AND(N($H20)&gt;0,N($H22)&gt;0,ROUNDUP(N($H22)&lt;N($H20)*75%,0))</formula>
    </cfRule>
  </conditionalFormatting>
  <conditionalFormatting sqref="H91:I91">
    <cfRule type="cellIs" dxfId="832" priority="21" operator="notEqual">
      <formula>""</formula>
    </cfRule>
  </conditionalFormatting>
  <conditionalFormatting sqref="H107:I112">
    <cfRule type="cellIs" dxfId="831" priority="259" operator="notEqual">
      <formula>""</formula>
    </cfRule>
  </conditionalFormatting>
  <conditionalFormatting sqref="I16">
    <cfRule type="cellIs" dxfId="830" priority="97" operator="equal">
      <formula>"(Does NOT Match)"</formula>
    </cfRule>
  </conditionalFormatting>
  <conditionalFormatting sqref="I24">
    <cfRule type="expression" dxfId="829" priority="112">
      <formula>H24="No"</formula>
    </cfRule>
  </conditionalFormatting>
  <conditionalFormatting sqref="I61">
    <cfRule type="expression" dxfId="828" priority="197">
      <formula>AND($I61="No",Name_of_proposed_Development&lt;&gt;"")</formula>
    </cfRule>
    <cfRule type="cellIs" dxfId="827" priority="199" operator="equal">
      <formula>"Yes"</formula>
    </cfRule>
    <cfRule type="cellIs" dxfId="826" priority="195" operator="equal">
      <formula>"NA"</formula>
    </cfRule>
  </conditionalFormatting>
  <conditionalFormatting sqref="I69">
    <cfRule type="expression" dxfId="821" priority="4">
      <formula>$C$69="This area intentionally left blank."</formula>
    </cfRule>
  </conditionalFormatting>
  <conditionalFormatting sqref="I71 I73">
    <cfRule type="expression" dxfId="820" priority="5">
      <formula>$C$69="This area intentionally left blank."</formula>
    </cfRule>
  </conditionalFormatting>
  <conditionalFormatting sqref="I78 F104">
    <cfRule type="cellIs" dxfId="819" priority="255" operator="notEqual">
      <formula>""</formula>
    </cfRule>
  </conditionalFormatting>
  <conditionalFormatting sqref="I78">
    <cfRule type="expression" dxfId="818" priority="247">
      <formula>AND(I78="",DS_ExcelCheckBox_DevCat_CorpPortfolio=TRUE)</formula>
    </cfRule>
  </conditionalFormatting>
  <conditionalFormatting sqref="I81 D118">
    <cfRule type="cellIs" dxfId="817" priority="286" operator="notEqual">
      <formula>"&lt;select one&gt;"</formula>
    </cfRule>
  </conditionalFormatting>
  <conditionalFormatting sqref="I81">
    <cfRule type="expression" dxfId="816" priority="250">
      <formula>AND(I81="&lt;select one&gt;",DS_ExcelCheckBox_DevCat_RDPortfolio=TRUE)</formula>
    </cfRule>
  </conditionalFormatting>
  <conditionalFormatting sqref="I87">
    <cfRule type="cellIs" dxfId="815" priority="14" operator="equal">
      <formula>""</formula>
    </cfRule>
    <cfRule type="cellIs" dxfId="814" priority="13" operator="notEqual">
      <formula>"&lt;select one&gt;"</formula>
    </cfRule>
  </conditionalFormatting>
  <conditionalFormatting sqref="I89 H91:I91">
    <cfRule type="expression" dxfId="813" priority="16">
      <formula>$I$87&lt;&gt;"Yes"</formula>
    </cfRule>
  </conditionalFormatting>
  <conditionalFormatting sqref="I89">
    <cfRule type="cellIs" dxfId="812" priority="20" operator="notEqual">
      <formula>""</formula>
    </cfRule>
  </conditionalFormatting>
  <conditionalFormatting sqref="I95">
    <cfRule type="cellIs" dxfId="811" priority="26" operator="notEqual">
      <formula>"&lt;select one&gt;"</formula>
    </cfRule>
    <cfRule type="cellIs" dxfId="810" priority="25" operator="equal">
      <formula>""</formula>
    </cfRule>
  </conditionalFormatting>
  <conditionalFormatting sqref="I168">
    <cfRule type="cellIs" dxfId="808" priority="5109" operator="notEqual">
      <formula>"&lt;select one&gt;"</formula>
    </cfRule>
  </conditionalFormatting>
  <conditionalFormatting sqref="L57 L61 M63 M76 L99 M107:M108 M110 L116">
    <cfRule type="cellIs" dxfId="807" priority="245" operator="equal">
      <formula>0</formula>
    </cfRule>
  </conditionalFormatting>
  <conditionalFormatting sqref="L59">
    <cfRule type="cellIs" dxfId="806" priority="8" operator="equal">
      <formula>0</formula>
    </cfRule>
  </conditionalFormatting>
  <conditionalFormatting sqref="L83 L122:L132 L138:L160 L168:L179">
    <cfRule type="cellIs" dxfId="805" priority="174" operator="equal">
      <formula>0</formula>
    </cfRule>
  </conditionalFormatting>
  <conditionalFormatting sqref="M55 M173:M178">
    <cfRule type="cellIs" dxfId="803" priority="62" operator="equal">
      <formula>0</formula>
    </cfRule>
  </conditionalFormatting>
  <conditionalFormatting sqref="O131:Q131">
    <cfRule type="cellIs" dxfId="802" priority="43" operator="equal">
      <formula>""</formula>
    </cfRule>
  </conditionalFormatting>
  <dataValidations count="12">
    <dataValidation type="list" allowBlank="1" showInputMessage="1" showErrorMessage="1" sqref="E119 D118 I168 I81 H24 H34 I87 I95"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110" xr:uid="{4ADEDEAD-22E4-47E7-96BC-E9B92E801898}">
      <formula1>DS_RA_Source_DDMenu</formula1>
    </dataValidation>
    <dataValidation type="whole" operator="greaterThanOrEqual" allowBlank="1" showInputMessage="1" showErrorMessage="1" sqref="F107:G109"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47:H160" xr:uid="{311F6E40-D030-4A5D-AF18-A211ABD1E82B}">
      <formula1>AND(DS_100Percent_NC_Units="Yes",Development_Category="New Construction")=FALSE</formula1>
    </dataValidation>
    <dataValidation type="custom" allowBlank="1" showInputMessage="1" showErrorMessage="1" sqref="L12 M16:N17 M24:N24 M26:N26 M22:N22 M20:N20" xr:uid="{C2508BEC-DF5E-4183-A063-C9BA2D06D4D1}">
      <formula1>AND(L12&gt;=0,L12&lt;4,L12=ROUND(L12,0))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19050</xdr:colOff>
                    <xdr:row>76</xdr:row>
                    <xdr:rowOff>19050</xdr:rowOff>
                  </from>
                  <to>
                    <xdr:col>4</xdr:col>
                    <xdr:colOff>342900</xdr:colOff>
                    <xdr:row>85</xdr:row>
                    <xdr:rowOff>19050</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85</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776" id="{9A694E20-528E-49FF-B2D3-822161172C10}">
            <xm:f>OR(Funding!$L$557=0,Funding!$M$602=0)</xm:f>
            <x14:dxf>
              <fill>
                <patternFill patternType="darkUp">
                  <fgColor theme="0" tint="-0.24994659260841701"/>
                </patternFill>
              </fill>
            </x14:dxf>
          </x14:cfRule>
          <xm:sqref>A166:I166</xm:sqref>
        </x14:conditionalFormatting>
        <x14:conditionalFormatting xmlns:xm="http://schemas.microsoft.com/office/excel/2006/main">
          <x14:cfRule type="expression" priority="8756" id="{F1C12376-DC59-42A8-B1CF-8A8732D4B5BF}">
            <xm:f>AND($L$30=1,OR(Link_Classification=Data1!$A$15,Link_Classification="&lt;select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8757" id="{C18A5914-B29A-4265-8952-97596DEFCB5A}">
            <xm:f>AND($L$30=1,OR(Link_Classification=Data1!$A$14,Link_Classification="&lt;select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758" id="{F358646E-7A7F-4F37-8340-DF950198AE2B}">
            <xm:f>AND($L$30=1,Link_Classification&lt;&gt;Data1!$A$14,Link_Classification&lt;&gt;Data1!$A$16)</xm:f>
            <x14:dxf>
              <font>
                <color theme="0" tint="-0.34998626667073579"/>
              </font>
            </x14:dxf>
          </x14:cfRule>
          <xm:sqref>B40:I49</xm:sqref>
        </x14:conditionalFormatting>
        <x14:conditionalFormatting xmlns:xm="http://schemas.microsoft.com/office/excel/2006/main">
          <x14:cfRule type="expression" priority="3710" id="{6A24685D-6F75-43C3-9658-14700296D782}">
            <xm:f>$H$161&lt;&gt;'Units, Set-Asides, Bldgs'!$K$3</xm:f>
            <x14:dxf>
              <font>
                <b val="0"/>
                <i val="0"/>
                <strike val="0"/>
                <color rgb="FFC00000"/>
              </font>
              <fill>
                <patternFill>
                  <bgColor rgb="FFFFE6FF"/>
                </patternFill>
              </fill>
            </x14:dxf>
          </x14:cfRule>
          <xm:sqref>C163</xm:sqref>
        </x14:conditionalFormatting>
        <x14:conditionalFormatting xmlns:xm="http://schemas.microsoft.com/office/excel/2006/main">
          <x14:cfRule type="expression" priority="256" id="{8C9C4CB1-FC7B-40CB-A54B-46C5970DCD2F}">
            <xm:f>AND(LDA_Notice="LDA",OR(Data1!$F$365&gt;2,Data1!$D$363&lt;=75%))</xm:f>
            <x14:dxf>
              <font>
                <color rgb="FFC00000"/>
              </font>
              <fill>
                <patternFill>
                  <bgColor rgb="FFFFE6FF"/>
                </patternFill>
              </fill>
              <border>
                <left style="thin">
                  <color rgb="FFC00000"/>
                </left>
                <top style="thin">
                  <color rgb="FFC00000"/>
                </top>
                <vertical/>
                <horizontal/>
              </border>
            </x14:dxf>
          </x14:cfRule>
          <xm:sqref>D106:E106</xm:sqref>
        </x14:conditionalFormatting>
        <x14:conditionalFormatting xmlns:xm="http://schemas.microsoft.com/office/excel/2006/main">
          <x14:cfRule type="expression" priority="67"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68"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78"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85"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14:cfRule type="expression" priority="86"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129"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123"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8892" id="{EEE7AC9E-FAF1-4E3B-BA1E-A7AC6C1B7370}">
            <xm:f>AND($M34=3,Link_Classification=Data1!$A$15)</xm:f>
            <x14:dxf>
              <font>
                <color theme="0" tint="-0.14996795556505021"/>
              </font>
              <fill>
                <patternFill patternType="darkUp">
                  <fgColor theme="0" tint="-0.24994659260841701"/>
                </patternFill>
              </fill>
            </x14:dxf>
          </x14:cfRule>
          <x14:cfRule type="expression" priority="8891" id="{95277570-DF93-40D0-8DE9-5FEB0DF60AD8}">
            <xm:f>AND($M34=3,Link_Classification=Data1!$A$15,$H$34&lt;&gt;"&lt;select one&gt;")</xm:f>
            <x14:dxf>
              <font>
                <strike/>
                <color rgb="FFC00000"/>
              </font>
              <fill>
                <patternFill patternType="darkUp">
                  <fgColor theme="0" tint="-0.24994659260841701"/>
                </patternFill>
              </fill>
            </x14:dxf>
          </x14:cfRule>
          <xm:sqref>H34</xm:sqref>
        </x14:conditionalFormatting>
        <x14:conditionalFormatting xmlns:xm="http://schemas.microsoft.com/office/excel/2006/main">
          <x14:cfRule type="expression" priority="209" id="{00000000-000E-0000-0500-000024000000}">
            <xm:f>AND(Data1!$E$346="Yes",OR(AND(Development_Category="New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14:cfRule type="expression" priority="210" id="{AF785A9D-7274-40C3-A1B0-D88C2D3EDD48}">
            <xm:f>AND(Data1!$E$346="Yes",OR(AND(Development_Category="New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m:sqref>I64</xm:sqref>
        </x14:conditionalFormatting>
        <x14:conditionalFormatting xmlns:xm="http://schemas.microsoft.com/office/excel/2006/main">
          <x14:cfRule type="expression" priority="212" id="{5AF37CF2-39D3-45D7-BA75-4AACC3EA5EAD}">
            <xm:f>AND(Data1!$E$346="Yes",OR(AND(Development_Category="New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14:cfRule type="expression" priority="211" id="{67FD1651-8204-4A93-9986-7BF9E74EB709}">
            <xm:f>AND(Data1!$E$346="Yes",OR(AND(Development_Category="New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775" id="{7CB2D855-4418-4F34-A29C-678657834227}">
            <xm:f>OR(Funding!$L$557=0,Funding!$M$602=0)</xm:f>
            <x14:dxf>
              <font>
                <color theme="0"/>
              </font>
              <border>
                <right/>
                <top/>
                <bottom/>
                <vertical/>
                <horizontal/>
              </border>
            </x14:dxf>
          </x14:cfRule>
          <xm:sqref>I136:I161</xm:sqref>
        </x14:conditionalFormatting>
        <x14:conditionalFormatting xmlns:xm="http://schemas.microsoft.com/office/excel/2006/main">
          <x14:cfRule type="expression" priority="38" stopIfTrue="1" id="{BC88F2F8-6902-4443-A600-178F6A8F1684}">
            <xm:f>Data1!$E$897="Yes"</xm:f>
            <x14:dxf>
              <font>
                <color theme="0"/>
              </font>
              <fill>
                <patternFill>
                  <bgColor theme="0"/>
                </patternFill>
              </fill>
              <border>
                <left/>
                <right/>
                <top/>
                <bottom/>
              </border>
            </x14:dxf>
          </x14:cfRule>
          <xm:sqref>L3:S68 L69:O69 S69 N70:O74 L70:L75 S71 S73 N75:S75 L76:S85 M86:S92 L93:S179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Data1!$F$376:$F$388</xm:f>
          </x14:formula1>
          <xm:sqref>C124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4.9989318521683403E-2"/>
  </sheetPr>
  <dimension ref="A1:AE55"/>
  <sheetViews>
    <sheetView showGridLines="0" zoomScale="110" zoomScaleNormal="110" zoomScaleSheetLayoutView="100" workbookViewId="0">
      <pane ySplit="2" topLeftCell="A3" activePane="bottomLeft" state="frozen"/>
      <selection pane="bottomLeft" activeCell="E3" sqref="E3"/>
    </sheetView>
  </sheetViews>
  <sheetFormatPr defaultColWidth="8.54296875" defaultRowHeight="14.5"/>
  <cols>
    <col min="1" max="1" width="3" customWidth="1"/>
    <col min="2" max="3" width="3.54296875" customWidth="1"/>
    <col min="4" max="4" width="4.453125" customWidth="1"/>
    <col min="5" max="6" width="23.453125" customWidth="1"/>
    <col min="7" max="7" width="16.453125" customWidth="1"/>
    <col min="8" max="8" width="13.54296875" customWidth="1"/>
    <col min="9" max="9" width="11.453125" customWidth="1"/>
    <col min="11" max="11" width="8.7265625" customWidth="1"/>
    <col min="12" max="12" width="3.54296875" customWidth="1"/>
    <col min="13" max="14" width="3.54296875" hidden="1" customWidth="1"/>
    <col min="15" max="15" width="35.7265625" hidden="1" customWidth="1"/>
    <col min="16" max="16" width="3.54296875" customWidth="1"/>
  </cols>
  <sheetData>
    <row r="1" spans="1:31" ht="36" customHeight="1" thickBot="1">
      <c r="A1" s="2582" t="s">
        <v>950</v>
      </c>
      <c r="B1" s="2583"/>
      <c r="C1" s="2583"/>
      <c r="D1" s="2583"/>
      <c r="E1" s="2583"/>
      <c r="F1" s="2583"/>
      <c r="G1" s="2583"/>
      <c r="H1" s="2583"/>
      <c r="I1" s="2583"/>
      <c r="J1" s="2584"/>
      <c r="L1" s="521"/>
      <c r="M1" s="521"/>
      <c r="N1" s="521"/>
      <c r="O1" s="521"/>
      <c r="P1" s="521"/>
      <c r="Q1" s="521"/>
      <c r="R1" s="521"/>
      <c r="S1" s="521"/>
      <c r="T1" s="521"/>
      <c r="U1" s="521"/>
      <c r="V1" s="521"/>
      <c r="W1" s="521"/>
      <c r="X1" s="521"/>
      <c r="Y1" s="521"/>
      <c r="Z1" s="521"/>
      <c r="AA1" s="521"/>
      <c r="AB1" s="521"/>
      <c r="AC1" s="521"/>
      <c r="AD1" s="521"/>
      <c r="AE1" s="521"/>
    </row>
    <row r="2" spans="1:31" ht="14.65" customHeight="1">
      <c r="L2" s="521"/>
      <c r="M2" s="2613" t="s">
        <v>845</v>
      </c>
      <c r="N2" s="2614"/>
      <c r="O2" s="2615"/>
      <c r="P2" s="521"/>
      <c r="Q2" s="521"/>
      <c r="R2" s="521"/>
      <c r="S2" s="521"/>
      <c r="T2" s="521"/>
      <c r="U2" s="521"/>
      <c r="V2" s="521"/>
      <c r="W2" s="521"/>
      <c r="X2" s="521"/>
      <c r="Y2" s="521"/>
      <c r="Z2" s="521"/>
      <c r="AA2" s="521"/>
      <c r="AB2" s="521"/>
      <c r="AC2" s="521"/>
      <c r="AD2" s="521"/>
      <c r="AE2" s="521"/>
    </row>
    <row r="3" spans="1:31" ht="17.649999999999999" customHeight="1">
      <c r="A3" s="506" t="s">
        <v>951</v>
      </c>
      <c r="B3" s="2585" t="s">
        <v>952</v>
      </c>
      <c r="C3" s="2585"/>
      <c r="D3" s="2585"/>
      <c r="E3" s="891" t="s">
        <v>41</v>
      </c>
      <c r="F3" s="333" t="s">
        <v>953</v>
      </c>
      <c r="G3" s="810" t="str">
        <f>IF(County="&lt;select one&gt;","",LOOKUP(County,Data1!A405:A471,Data1!H405:H471))</f>
        <v/>
      </c>
      <c r="H3" s="43" t="str">
        <f>Data1!J404&amp;":"</f>
        <v>Tier:</v>
      </c>
      <c r="I3" s="1156" t="str">
        <f>IF(DS_County_Classification_Active&lt;&gt;"Yes","",IF(County="&lt;select one&gt;","",LOOKUP(County,Data1!G405:G471,Data1!J405:J471)))</f>
        <v/>
      </c>
      <c r="J3" s="9" t="str">
        <f>IF(LDA_Selection_Location="Yes","LDA","")</f>
        <v/>
      </c>
      <c r="M3" s="2663" t="s">
        <v>2737</v>
      </c>
      <c r="N3" s="2664"/>
    </row>
    <row r="4" spans="1:31" ht="14.65" customHeight="1">
      <c r="C4" s="619" t="str">
        <f>IF(E3="&lt;select one&gt;","(The proposed Development's County must have an entry to turn on some of the validation formulas in Exhibit A)","")</f>
        <v>(The proposed Development's County must have an entry to turn on some of the validation formulas in Exhibit A)</v>
      </c>
      <c r="M4" s="2665"/>
      <c r="N4" s="2666"/>
    </row>
    <row r="5" spans="1:31" ht="50.25" customHeight="1">
      <c r="B5" s="87" t="str">
        <f>IF(M5&lt;&gt;0,"(1)","(-)")</f>
        <v>(1)</v>
      </c>
      <c r="C5" s="2544" t="s">
        <v>2473</v>
      </c>
      <c r="D5" s="2544"/>
      <c r="E5" s="2544"/>
      <c r="F5" s="2544"/>
      <c r="G5" s="2544"/>
      <c r="H5" s="3248" t="s">
        <v>41</v>
      </c>
      <c r="I5" s="3248"/>
      <c r="J5" s="3248"/>
      <c r="M5" s="2659">
        <v>1</v>
      </c>
      <c r="N5" s="855"/>
      <c r="O5" s="2046" t="str">
        <f>"Controls Rows "&amp;TEXT(ROW(A5),"0")&amp;":"&amp;TEXT(ROW(A6),"0")&amp;"."</f>
        <v>Controls Rows 5:6.</v>
      </c>
    </row>
    <row r="6" spans="1:31" ht="10.5" customHeight="1">
      <c r="M6" s="2571"/>
    </row>
    <row r="7" spans="1:31" ht="35.25" hidden="1" customHeight="1">
      <c r="B7" s="87" t="str">
        <f>IF(AND(M7&lt;&gt;0,M5&lt;&gt;0),"(2)",IF(AND(M7&lt;&gt;0,M5=0),"(1)","(-)"))</f>
        <v>(-)</v>
      </c>
      <c r="C7" s="2544" t="s">
        <v>954</v>
      </c>
      <c r="D7" s="2544"/>
      <c r="E7" s="2544"/>
      <c r="F7" s="2544"/>
      <c r="G7" s="2544"/>
      <c r="H7" s="3248" t="s">
        <v>41</v>
      </c>
      <c r="I7" s="3248"/>
      <c r="J7" s="3248"/>
      <c r="M7" s="2569">
        <v>0</v>
      </c>
      <c r="N7" s="855"/>
      <c r="O7" s="2046" t="str">
        <f>"Controls Rows "&amp;TEXT(ROW(A7),"0")&amp;":"&amp;TEXT(ROW(A8),"0")&amp;". Only For RFA 203."</f>
        <v>Controls Rows 7:8. Only For RFA 203.</v>
      </c>
    </row>
    <row r="8" spans="1:31" ht="10.5" hidden="1" customHeight="1">
      <c r="B8" s="264"/>
      <c r="M8" s="2571"/>
    </row>
    <row r="9" spans="1:31" ht="17.649999999999999" hidden="1" customHeight="1">
      <c r="B9" s="264"/>
      <c r="F9" s="1456" t="s">
        <v>2164</v>
      </c>
      <c r="G9" s="3177" t="str">
        <f>IF(OR(County="&lt;select one&gt;",County="",M9=0),"",IF(VLOOKUP(County,DS_County_Sizes,5)="","",VLOOKUP(County,DS_County_Sizes,5)))</f>
        <v/>
      </c>
      <c r="H9" s="3177"/>
      <c r="M9" s="2002">
        <v>0</v>
      </c>
      <c r="O9" s="2031" t="s">
        <v>2768</v>
      </c>
    </row>
    <row r="10" spans="1:31" ht="17.649999999999999" hidden="1" customHeight="1">
      <c r="B10" s="264"/>
      <c r="F10" s="1456" t="s">
        <v>2413</v>
      </c>
      <c r="G10" s="2573" t="s">
        <v>41</v>
      </c>
      <c r="H10" s="2573"/>
      <c r="I10" s="2573"/>
      <c r="J10" s="2573"/>
      <c r="M10" s="2569">
        <v>0</v>
      </c>
      <c r="N10" s="855"/>
      <c r="O10" s="2046" t="str">
        <f>"Controls Rows "&amp;TEXT(ROW(A10),"0")&amp;":"&amp;TEXT(ROW(A11),"0")&amp;"."</f>
        <v>Controls Rows 10:11.</v>
      </c>
    </row>
    <row r="11" spans="1:31" ht="17.649999999999999" hidden="1" customHeight="1">
      <c r="B11" s="264"/>
      <c r="F11" s="1456" t="s">
        <v>2414</v>
      </c>
      <c r="G11" s="3249" t="str">
        <f>IFERROR(_xlfn.XLOOKUP(Military_Installation,DS_Military_DataNames,DS_Military_Region)&amp;" Region","")</f>
        <v/>
      </c>
      <c r="H11" s="3249"/>
      <c r="I11" s="15"/>
      <c r="M11" s="2571"/>
    </row>
    <row r="12" spans="1:31" ht="17.649999999999999" hidden="1" customHeight="1">
      <c r="B12" s="264"/>
      <c r="F12" s="1456" t="s">
        <v>2472</v>
      </c>
      <c r="G12" s="2993" t="str">
        <f>IF(OR(County="&lt;select one&gt;",County="",M12=0),"",IF(VLOOKUP(County,DS_County_Sizes,11)="","",VLOOKUP(County,DS_County_Sizes,11)))</f>
        <v/>
      </c>
      <c r="H12" s="2993"/>
      <c r="I12" s="3253" t="str">
        <f>IF(IFERROR(FIND("*",G12),0)&gt;0,"(*limited area(s) only)","")</f>
        <v/>
      </c>
      <c r="J12" s="3253"/>
      <c r="M12" s="2044">
        <v>0</v>
      </c>
      <c r="O12" s="2031" t="s">
        <v>2768</v>
      </c>
    </row>
    <row r="13" spans="1:31" ht="10.5" hidden="1" customHeight="1">
      <c r="B13" s="264"/>
      <c r="M13" s="2047">
        <f>IF(M9+M10+M12=0,0,1)</f>
        <v>0</v>
      </c>
      <c r="O13" s="94" t="str">
        <f>"Controlled by Rows "&amp;TEXT(ROW(A9),"0")&amp;":"&amp;TEXT(ROW(A10),"0")&amp;" and "&amp;TEXT(ROW(A12),"0")&amp;"."</f>
        <v>Controlled by Rows 9:10 and 12.</v>
      </c>
    </row>
    <row r="14" spans="1:31" ht="14.65" customHeight="1">
      <c r="A14" s="505" t="str" cm="1">
        <f t="array" ref="A14">IF($M14=0,"",CHAR(CODE(LOOKUP(2,1/(COUNTIF(A$3:A8,"&gt;"&amp;A$3:A8&amp;"*")=0),A$3:A8))+1))</f>
        <v>b</v>
      </c>
      <c r="B14" s="3246" t="s">
        <v>955</v>
      </c>
      <c r="C14" s="3246"/>
      <c r="D14" s="3246"/>
      <c r="E14" s="3246"/>
      <c r="F14" s="3246"/>
      <c r="M14" s="2569">
        <v>1</v>
      </c>
      <c r="O14" s="2046" t="str">
        <f>"Master controls Rows "&amp;TEXT(ROW(A14),"0")&amp;":"&amp;TEXT(ROW(A20),"0")&amp;"."</f>
        <v>Master controls Rows 14:20.</v>
      </c>
    </row>
    <row r="15" spans="1:31" ht="14.65" customHeight="1">
      <c r="B15" t="s">
        <v>956</v>
      </c>
      <c r="M15" s="2570"/>
    </row>
    <row r="16" spans="1:31" ht="118.15" customHeight="1">
      <c r="E16" s="3247"/>
      <c r="F16" s="3247"/>
      <c r="G16" s="3247"/>
      <c r="H16" s="3247"/>
      <c r="I16" s="3247"/>
      <c r="J16" s="3247"/>
      <c r="M16" s="2570"/>
      <c r="N16" s="855"/>
      <c r="O16" s="829"/>
    </row>
    <row r="17" spans="1:15" ht="10.5" customHeight="1">
      <c r="E17" s="42"/>
      <c r="F17" s="42"/>
      <c r="G17" s="42"/>
      <c r="H17" s="42"/>
      <c r="I17" s="42"/>
      <c r="J17" s="42"/>
      <c r="M17" s="2570"/>
    </row>
    <row r="18" spans="1:15" ht="17.649999999999999" customHeight="1">
      <c r="E18" s="2579" t="s">
        <v>957</v>
      </c>
      <c r="F18" s="2579"/>
      <c r="G18" s="3181"/>
      <c r="H18" s="3181"/>
      <c r="I18" s="3181"/>
      <c r="J18" s="3181"/>
      <c r="M18" s="2570"/>
      <c r="N18" s="2569">
        <v>1</v>
      </c>
      <c r="O18" s="2046" t="str">
        <f>"Controls Rows "&amp;TEXT(ROW(A18),"0")&amp;":"&amp;TEXT(ROW(A20),"0")&amp;" when Master is ""On""."</f>
        <v>Controls Rows 18:20 when Master is "On".</v>
      </c>
    </row>
    <row r="19" spans="1:15" ht="14.65" customHeight="1">
      <c r="E19" s="94" t="s">
        <v>958</v>
      </c>
      <c r="M19" s="2570"/>
      <c r="N19" s="2570"/>
    </row>
    <row r="20" spans="1:15" ht="10.5" customHeight="1">
      <c r="M20" s="2571"/>
      <c r="N20" s="2571"/>
    </row>
    <row r="21" spans="1:15" ht="14.65" customHeight="1">
      <c r="A21" s="505" t="str" cm="1">
        <f t="array" ref="A21">IF($M21=0,"",CHAR(CODE(LOOKUP(2,1/(COUNTIF(A$3:A20,"&gt;"&amp;A$3:A20&amp;"*")=0),A$3:A20))+1))</f>
        <v>c</v>
      </c>
      <c r="B21" s="25" t="s">
        <v>959</v>
      </c>
      <c r="M21" s="2569">
        <v>1</v>
      </c>
      <c r="O21" s="2046" t="str">
        <f>"Controls Rows "&amp;TEXT(ROW(A21),"0")&amp;":"&amp;TEXT(ROW(A24),"0")&amp;"."</f>
        <v>Controls Rows 21:24.</v>
      </c>
    </row>
    <row r="22" spans="1:15" ht="10.5" customHeight="1">
      <c r="M22" s="2570"/>
    </row>
    <row r="23" spans="1:15" ht="17.649999999999999" customHeight="1">
      <c r="B23" s="87" t="str">
        <f>"(1)"</f>
        <v>(1)</v>
      </c>
      <c r="C23" s="865" t="s">
        <v>960</v>
      </c>
      <c r="G23" s="801" t="s">
        <v>41</v>
      </c>
      <c r="M23" s="2570"/>
      <c r="N23" s="855"/>
      <c r="O23" s="829"/>
    </row>
    <row r="24" spans="1:15" ht="10.5" customHeight="1">
      <c r="M24" s="2571"/>
    </row>
    <row r="25" spans="1:15" ht="14.65" customHeight="1">
      <c r="A25" s="505" t="str" cm="1">
        <f t="array" ref="A25">IF($M25=0,"",CHAR(CODE(LOOKUP(2,1/(COUNTIF(A$3:A24,"&gt;"&amp;A$3:A24&amp;"*")=0),A$3:A24))+1))</f>
        <v>d</v>
      </c>
      <c r="B25" s="25" t="s">
        <v>961</v>
      </c>
      <c r="C25" s="25"/>
      <c r="D25" s="25"/>
      <c r="E25" s="25"/>
      <c r="F25" s="25"/>
      <c r="J25" s="333"/>
      <c r="M25" s="2569">
        <v>1</v>
      </c>
      <c r="O25" s="2046" t="str">
        <f>"Controls Rows "&amp;TEXT(ROW(A25),"0")&amp;":"&amp;TEXT(ROW(A37),"0")&amp;"."</f>
        <v>Controls Rows 25:37.</v>
      </c>
    </row>
    <row r="26" spans="1:15" ht="14.65" customHeight="1">
      <c r="B26" s="87" t="str">
        <f>"(1)"</f>
        <v>(1)</v>
      </c>
      <c r="C26" s="865" t="s">
        <v>962</v>
      </c>
      <c r="D26" s="865"/>
      <c r="E26" s="865"/>
      <c r="M26" s="2570"/>
    </row>
    <row r="27" spans="1:15" ht="14.65" customHeight="1">
      <c r="F27" s="865"/>
      <c r="G27" s="545"/>
      <c r="H27" s="545"/>
      <c r="I27" s="545"/>
      <c r="J27" s="718" t="str">
        <f>IFERROR(IF(AND(DLP_latitude="",DLP_longitude=""),"",IF(DLP_latitude="","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#",""))))),"Verify inputs are valid.")</f>
        <v/>
      </c>
      <c r="M27" s="2570"/>
    </row>
    <row r="28" spans="1:15" ht="17.649999999999999" customHeight="1">
      <c r="D28" t="s">
        <v>963</v>
      </c>
      <c r="H28" s="3254"/>
      <c r="I28" s="3254"/>
      <c r="J28" s="3254"/>
      <c r="M28" s="2570"/>
      <c r="N28" s="855"/>
    </row>
    <row r="29" spans="1:15" ht="17.649999999999999" customHeight="1">
      <c r="D29" t="s">
        <v>964</v>
      </c>
      <c r="H29" s="3256"/>
      <c r="I29" s="3256"/>
      <c r="J29" s="3256"/>
      <c r="M29" s="2570"/>
      <c r="N29" s="855"/>
    </row>
    <row r="30" spans="1:15">
      <c r="M30" s="2570"/>
    </row>
    <row r="31" spans="1:15" ht="50.25" customHeight="1">
      <c r="B31" s="80" t="s">
        <v>849</v>
      </c>
      <c r="C31" s="2544" t="s">
        <v>965</v>
      </c>
      <c r="D31" s="2544"/>
      <c r="E31" s="2544"/>
      <c r="F31" s="2544"/>
      <c r="G31" s="2544"/>
      <c r="H31" s="2544"/>
      <c r="I31" s="2544"/>
      <c r="J31" s="2544"/>
      <c r="M31" s="2570"/>
    </row>
    <row r="32" spans="1:15" ht="9.75" customHeight="1">
      <c r="M32" s="2570"/>
    </row>
    <row r="33" spans="1:15" ht="36" customHeight="1">
      <c r="E33" s="2875"/>
      <c r="F33" s="2875"/>
      <c r="G33" s="2875"/>
      <c r="H33" s="2875"/>
      <c r="I33" s="2875"/>
      <c r="J33" s="2875"/>
      <c r="M33" s="2570"/>
      <c r="N33" s="347"/>
    </row>
    <row r="34" spans="1:15">
      <c r="E34" s="2875"/>
      <c r="F34" s="2875"/>
      <c r="G34" s="2875"/>
      <c r="H34" s="2875"/>
      <c r="I34" s="2875"/>
      <c r="J34" s="2875"/>
      <c r="M34" s="2570"/>
      <c r="N34" s="347"/>
    </row>
    <row r="35" spans="1:15">
      <c r="E35" s="2875"/>
      <c r="F35" s="2875"/>
      <c r="G35" s="2875"/>
      <c r="H35" s="2875"/>
      <c r="I35" s="2875"/>
      <c r="J35" s="2875"/>
      <c r="M35" s="2570"/>
      <c r="N35" s="347"/>
    </row>
    <row r="36" spans="1:15">
      <c r="E36" s="3251"/>
      <c r="F36" s="3251"/>
      <c r="G36" s="3251"/>
      <c r="H36" s="3251"/>
      <c r="I36" s="3251"/>
      <c r="J36" s="3251"/>
      <c r="M36" s="2570"/>
      <c r="N36" s="347"/>
    </row>
    <row r="37" spans="1:15" ht="10.5" customHeight="1">
      <c r="M37" s="2571"/>
    </row>
    <row r="38" spans="1:15" hidden="1">
      <c r="A38" s="505" t="str" cm="1">
        <f t="array" ref="A38">IF($M38=0,"",CHAR(CODE(LOOKUP(2,1/(COUNTIF(A$3:A37,"&gt;"&amp;A$3:A37&amp;"*")=0),A$3:A37))+1))</f>
        <v/>
      </c>
      <c r="B38" s="25" t="s">
        <v>966</v>
      </c>
      <c r="C38" s="25"/>
      <c r="D38" s="25"/>
      <c r="E38" s="25"/>
      <c r="F38" s="25"/>
      <c r="J38" s="333"/>
      <c r="M38" s="2569">
        <v>0</v>
      </c>
      <c r="N38" s="855"/>
      <c r="O38" s="2046" t="str">
        <f>"Controls Rows "&amp;TEXT(ROW(A38),"0")&amp;":"&amp;TEXT(ROW(A42),"0")&amp;"."</f>
        <v>Controls Rows 38:42.</v>
      </c>
    </row>
    <row r="39" spans="1:15" ht="10.5" hidden="1" customHeight="1">
      <c r="A39" s="505"/>
      <c r="J39" s="333"/>
      <c r="M39" s="2570"/>
      <c r="N39" s="855"/>
      <c r="O39" s="829"/>
    </row>
    <row r="40" spans="1:15" ht="40.15" hidden="1" customHeight="1">
      <c r="B40" s="2544" t="s">
        <v>967</v>
      </c>
      <c r="C40" s="2544"/>
      <c r="D40" s="2544"/>
      <c r="E40" s="2544"/>
      <c r="F40" s="2544"/>
      <c r="G40" s="2544"/>
      <c r="H40" s="2544"/>
      <c r="I40" s="2544"/>
      <c r="J40" s="2544"/>
      <c r="M40" s="2570"/>
    </row>
    <row r="41" spans="1:15" hidden="1">
      <c r="B41" t="s">
        <v>968</v>
      </c>
      <c r="M41" s="2570"/>
    </row>
    <row r="42" spans="1:15" ht="10.5" hidden="1" customHeight="1">
      <c r="M42" s="2571"/>
    </row>
    <row r="43" spans="1:15" hidden="1">
      <c r="A43" s="505" t="str" cm="1">
        <f t="array" ref="A43">IF($M43=0,"",CHAR(CODE(LOOKUP(2,1/(COUNTIF(A$3:A42,"&gt;"&amp;A$3:A42&amp;"*")=0),A$3:A42))+1))</f>
        <v/>
      </c>
      <c r="B43" s="25" t="s">
        <v>969</v>
      </c>
      <c r="C43" s="25"/>
      <c r="D43" s="25"/>
      <c r="E43" s="25"/>
      <c r="F43" s="25"/>
      <c r="J43" s="333"/>
      <c r="M43" s="2569">
        <v>0</v>
      </c>
      <c r="N43" s="855"/>
      <c r="O43" s="2046" t="str">
        <f>"Controls Rows "&amp;TEXT(ROW(A43),"0")&amp;":"&amp;TEXT(ROW(A46),"0")&amp;"."</f>
        <v>Controls Rows 43:46.</v>
      </c>
    </row>
    <row r="44" spans="1:15" ht="10.5" hidden="1" customHeight="1">
      <c r="A44" s="505"/>
      <c r="J44" s="333"/>
      <c r="M44" s="2570"/>
      <c r="N44" s="855"/>
      <c r="O44" s="829"/>
    </row>
    <row r="45" spans="1:15" ht="35.25" hidden="1" customHeight="1">
      <c r="B45" s="2544" t="s">
        <v>970</v>
      </c>
      <c r="C45" s="2544"/>
      <c r="D45" s="2544"/>
      <c r="E45" s="2544"/>
      <c r="F45" s="2544"/>
      <c r="G45" s="2544"/>
      <c r="H45" s="2544"/>
      <c r="I45" s="2544"/>
      <c r="J45" s="2544"/>
      <c r="M45" s="2570"/>
    </row>
    <row r="46" spans="1:15" ht="10.5" hidden="1" customHeight="1">
      <c r="M46" s="2571"/>
    </row>
    <row r="47" spans="1:15" hidden="1">
      <c r="A47" s="505" t="str" cm="1">
        <f t="array" ref="A47">IF($M47=0,"",CHAR(CODE(LOOKUP(2,1/(COUNTIF(A$3:A46,"&gt;"&amp;A$3:A46&amp;"*")=0),A$3:A46))+1))</f>
        <v/>
      </c>
      <c r="B47" s="25" t="s">
        <v>1939</v>
      </c>
      <c r="M47" s="2569">
        <v>0</v>
      </c>
      <c r="O47" s="2046" t="str">
        <f>"Controls Rows "&amp;TEXT(ROW(A47),"0")&amp;":"&amp;TEXT(ROW(A50),"0")&amp;"."</f>
        <v>Controls Rows 47:50.</v>
      </c>
    </row>
    <row r="48" spans="1:15" ht="10.5" hidden="1" customHeight="1">
      <c r="M48" s="2570"/>
      <c r="O48" s="3243" t="s">
        <v>2974</v>
      </c>
    </row>
    <row r="49" spans="1:15" hidden="1">
      <c r="B49" s="2579" t="s">
        <v>1638</v>
      </c>
      <c r="C49" s="2579"/>
      <c r="D49" s="2579"/>
      <c r="E49" s="2579"/>
      <c r="F49" s="2579"/>
      <c r="G49" s="2579"/>
      <c r="H49" s="2579"/>
      <c r="I49" s="3255" t="str">
        <f>IF($M$47=0,"",IF(IFERROR(VLOOKUP(County,DS_LDA_Counties,13),"No")="Yes",IF(AND(IFERROR(RIGHT(Excel_RFA_Number,3),"0")="104",OR(Development_Category="New Construction",Development_Category="Acquisition and Rehabilitation"),ExcelCheckBox_DevCat_CorpPortfolio="Yes",SAIL_CorpPortfolio_AppNumber&lt;&gt;""),"No",IF(Demographic="Family",IF(IFERROR(VLOOKUP(County,DS_LDA_Counties,14),0)=1,"Yes","No"),IF(Demographic="Elderly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
      </c>
      <c r="J49" s="3255"/>
      <c r="M49" s="2570"/>
      <c r="O49" s="3244"/>
    </row>
    <row r="50" spans="1:15" ht="10.5" hidden="1" customHeight="1">
      <c r="M50" s="2571"/>
      <c r="O50" s="3245"/>
    </row>
    <row r="51" spans="1:15" ht="15" hidden="1" customHeight="1">
      <c r="A51" s="1618" t="str" cm="1">
        <f t="array" ref="A51">IF($M51=0,"",CHAR(CODE(LOOKUP(2,1/(COUNTIF(A$3:A50,"&gt;"&amp;A$3:A50&amp;"*")=0),A$3:A50))+1))</f>
        <v/>
      </c>
      <c r="B51" s="25" t="s">
        <v>2387</v>
      </c>
      <c r="M51" s="2569">
        <v>0</v>
      </c>
      <c r="O51" s="2046" t="str">
        <f>"Controls Rows "&amp;TEXT(ROW(A51),"0")&amp;":"&amp;TEXT(ROW(A55),"0")&amp;"."</f>
        <v>Controls Rows 51:55.</v>
      </c>
    </row>
    <row r="52" spans="1:15" ht="10.5" hidden="1" customHeight="1">
      <c r="A52" s="356"/>
      <c r="M52" s="2570"/>
    </row>
    <row r="53" spans="1:15" ht="65.25" hidden="1" customHeight="1">
      <c r="A53" s="356"/>
      <c r="B53" s="2544" t="s">
        <v>2388</v>
      </c>
      <c r="C53" s="2544"/>
      <c r="D53" s="2544"/>
      <c r="E53" s="2544"/>
      <c r="F53" s="2544"/>
      <c r="G53" s="2544"/>
      <c r="H53" s="2544"/>
      <c r="I53" s="2544"/>
      <c r="J53" s="2544"/>
      <c r="M53" s="2570"/>
    </row>
    <row r="54" spans="1:15" ht="50.25" hidden="1" customHeight="1">
      <c r="E54" s="3250"/>
      <c r="F54" s="3250"/>
      <c r="G54" s="3250"/>
      <c r="H54" s="3250"/>
      <c r="I54" s="3250"/>
      <c r="J54" s="3250"/>
      <c r="M54" s="2570"/>
      <c r="N54" s="347"/>
      <c r="O54" s="50"/>
    </row>
    <row r="55" spans="1:15" ht="65.25" hidden="1" customHeight="1">
      <c r="B55" s="3252" t="s">
        <v>2389</v>
      </c>
      <c r="C55" s="3252"/>
      <c r="D55" s="3252"/>
      <c r="E55" s="3252"/>
      <c r="F55" s="3252"/>
      <c r="G55" s="3252"/>
      <c r="H55" s="3252"/>
      <c r="I55" s="3252"/>
      <c r="J55" s="3252"/>
      <c r="M55" s="2571"/>
    </row>
  </sheetData>
  <sheetProtection algorithmName="SHA-512" hashValue="++6GfpA5615qsI8MTohqjeCKCGbOrkXys1AQVRGKkslYDKE0xakNK2gYrrjEhHaA8hAKEg6VpM4QzY+mVIMgdA==" saltValue="l7HAQQ310VbicaFyQx/iqg==" spinCount="100000" sheet="1" selectLockedCells="1"/>
  <mergeCells count="40">
    <mergeCell ref="M3:N4"/>
    <mergeCell ref="B49:H49"/>
    <mergeCell ref="I49:J49"/>
    <mergeCell ref="B45:J45"/>
    <mergeCell ref="B40:J40"/>
    <mergeCell ref="M21:M24"/>
    <mergeCell ref="M25:M37"/>
    <mergeCell ref="M38:M42"/>
    <mergeCell ref="M43:M46"/>
    <mergeCell ref="M47:M50"/>
    <mergeCell ref="M14:M20"/>
    <mergeCell ref="N18:N20"/>
    <mergeCell ref="H29:J29"/>
    <mergeCell ref="M5:M6"/>
    <mergeCell ref="M7:M8"/>
    <mergeCell ref="M10:M11"/>
    <mergeCell ref="C31:J31"/>
    <mergeCell ref="B55:J55"/>
    <mergeCell ref="C5:G5"/>
    <mergeCell ref="C7:G7"/>
    <mergeCell ref="G12:H12"/>
    <mergeCell ref="I12:J12"/>
    <mergeCell ref="H28:J28"/>
    <mergeCell ref="G9:H9"/>
    <mergeCell ref="O48:O50"/>
    <mergeCell ref="M51:M55"/>
    <mergeCell ref="M2:O2"/>
    <mergeCell ref="A1:J1"/>
    <mergeCell ref="B14:F14"/>
    <mergeCell ref="E18:F18"/>
    <mergeCell ref="E16:J16"/>
    <mergeCell ref="G18:J18"/>
    <mergeCell ref="H5:J5"/>
    <mergeCell ref="H7:J7"/>
    <mergeCell ref="B3:D3"/>
    <mergeCell ref="G10:J10"/>
    <mergeCell ref="G11:H11"/>
    <mergeCell ref="B53:J53"/>
    <mergeCell ref="E54:J54"/>
    <mergeCell ref="E33:J36"/>
  </mergeCells>
  <conditionalFormatting sqref="A14:J20">
    <cfRule type="expression" dxfId="801" priority="10644">
      <formula>$M$14=0</formula>
    </cfRule>
  </conditionalFormatting>
  <conditionalFormatting sqref="A21:J24">
    <cfRule type="expression" dxfId="800" priority="10733">
      <formula>$M$21=0</formula>
    </cfRule>
  </conditionalFormatting>
  <conditionalFormatting sqref="A25:J37">
    <cfRule type="expression" dxfId="799" priority="15">
      <formula>$M$25=0</formula>
    </cfRule>
  </conditionalFormatting>
  <conditionalFormatting sqref="A38:J42">
    <cfRule type="expression" dxfId="798" priority="10793">
      <formula>$M$38=0</formula>
    </cfRule>
  </conditionalFormatting>
  <conditionalFormatting sqref="A43:J46">
    <cfRule type="expression" dxfId="797" priority="10823">
      <formula>$M$43=0</formula>
    </cfRule>
  </conditionalFormatting>
  <conditionalFormatting sqref="A47:J50">
    <cfRule type="expression" dxfId="796" priority="10853">
      <formula>OR($M$47=0,$M$47=3)</formula>
    </cfRule>
  </conditionalFormatting>
  <conditionalFormatting sqref="A51:J55">
    <cfRule type="expression" dxfId="795" priority="10884">
      <formula>$M$51=0</formula>
    </cfRule>
  </conditionalFormatting>
  <conditionalFormatting sqref="B5:G5">
    <cfRule type="expression" dxfId="794" priority="31">
      <formula>County&lt;&gt;"Monroe"</formula>
    </cfRule>
  </conditionalFormatting>
  <conditionalFormatting sqref="B7:G7">
    <cfRule type="expression" dxfId="793" priority="29">
      <formula>County&lt;&gt;"Miami-Dade"</formula>
    </cfRule>
  </conditionalFormatting>
  <conditionalFormatting sqref="B5:J6">
    <cfRule type="expression" dxfId="792" priority="41">
      <formula>$M$5=0</formula>
    </cfRule>
  </conditionalFormatting>
  <conditionalFormatting sqref="B7:J8">
    <cfRule type="expression" dxfId="791" priority="49">
      <formula>$M$7=0</formula>
    </cfRule>
  </conditionalFormatting>
  <conditionalFormatting sqref="B9:J9 B12:I12">
    <cfRule type="expression" dxfId="790" priority="10577">
      <formula>$M9=0</formula>
    </cfRule>
  </conditionalFormatting>
  <conditionalFormatting sqref="B10:J11">
    <cfRule type="expression" dxfId="789" priority="24">
      <formula>$M$10=0</formula>
    </cfRule>
  </conditionalFormatting>
  <conditionalFormatting sqref="B13:J13">
    <cfRule type="expression" dxfId="788" priority="10614">
      <formula>$M$9+$M$10+$M$12=0</formula>
    </cfRule>
  </conditionalFormatting>
  <conditionalFormatting sqref="B18:J20">
    <cfRule type="expression" dxfId="787" priority="10674">
      <formula>$N$18=0</formula>
    </cfRule>
  </conditionalFormatting>
  <conditionalFormatting sqref="B31:J31">
    <cfRule type="expression" dxfId="786" priority="57">
      <formula>Scattered_Sites&lt;&gt;"Yes"</formula>
    </cfRule>
  </conditionalFormatting>
  <conditionalFormatting sqref="D27:J27">
    <cfRule type="expression" dxfId="785" priority="63">
      <formula>$J27&lt;&gt;""</formula>
    </cfRule>
  </conditionalFormatting>
  <conditionalFormatting sqref="E3 G23">
    <cfRule type="cellIs" dxfId="784" priority="38" operator="notEqual">
      <formula>"&lt;select one&gt;"</formula>
    </cfRule>
  </conditionalFormatting>
  <conditionalFormatting sqref="E16:J16 G18:J18 H28:H29">
    <cfRule type="cellIs" dxfId="783" priority="19" operator="notEqual">
      <formula>""</formula>
    </cfRule>
  </conditionalFormatting>
  <conditionalFormatting sqref="E33:J36">
    <cfRule type="expression" dxfId="782" priority="62">
      <formula>AND($E$33&lt;&gt;"",$G$23="Yes")</formula>
    </cfRule>
    <cfRule type="expression" dxfId="781" priority="67">
      <formula>AND(Scattered_Sites&lt;&gt;"Yes",Scattered_Sites_lat_long&lt;&gt;"")</formula>
    </cfRule>
    <cfRule type="expression" dxfId="780" priority="10763">
      <formula>AND(Scattered_Sites&lt;&gt;"Yes",Scattered_Sites_lat_long="")</formula>
    </cfRule>
  </conditionalFormatting>
  <conditionalFormatting sqref="E54:J54">
    <cfRule type="cellIs" dxfId="779" priority="26" operator="notEqual">
      <formula>""</formula>
    </cfRule>
  </conditionalFormatting>
  <conditionalFormatting sqref="G9:H9 G11:H12">
    <cfRule type="cellIs" dxfId="778" priority="13" operator="notEqual">
      <formula>""</formula>
    </cfRule>
  </conditionalFormatting>
  <conditionalFormatting sqref="G12:H12">
    <cfRule type="expression" dxfId="777" priority="10611">
      <formula>AND($M$12&gt;0,$M$10=0)</formula>
    </cfRule>
  </conditionalFormatting>
  <conditionalFormatting sqref="G10:J10">
    <cfRule type="cellIs" dxfId="776" priority="10579" operator="notEqual">
      <formula>"&lt;select one&gt;"</formula>
    </cfRule>
    <cfRule type="expression" dxfId="775" priority="10580">
      <formula>AND($M$9=0,$M$10&gt;0)</formula>
    </cfRule>
  </conditionalFormatting>
  <conditionalFormatting sqref="H3:I3">
    <cfRule type="expression" dxfId="774" priority="39">
      <formula>DS_County_Classification_Active&lt;&gt;"Yes"</formula>
    </cfRule>
  </conditionalFormatting>
  <conditionalFormatting sqref="H5:J5 H7:J7 E3 G23">
    <cfRule type="cellIs" dxfId="773" priority="37" operator="equal">
      <formula>""</formula>
    </cfRule>
  </conditionalFormatting>
  <conditionalFormatting sqref="H5:J5 H7:J7">
    <cfRule type="expression" dxfId="772" priority="45">
      <formula>AND($H$5&lt;&gt;"&lt;select one&gt;",$H$7&lt;&gt;"&lt;select one&gt;")</formula>
    </cfRule>
  </conditionalFormatting>
  <conditionalFormatting sqref="H5:J5">
    <cfRule type="expression" dxfId="771" priority="21">
      <formula>AND(County&lt;&gt;"Monroe",$H5&lt;&gt;"&lt;select one&gt;")</formula>
    </cfRule>
    <cfRule type="expression" dxfId="770" priority="47">
      <formula>AND(County="Monroe",$H$5&lt;&gt;"&lt;select one&gt;")</formula>
    </cfRule>
    <cfRule type="expression" dxfId="769" priority="44" stopIfTrue="1">
      <formula>AND(County&lt;&gt;"Monroe",$H$5&lt;&gt;"&lt;select one&gt;")</formula>
    </cfRule>
    <cfRule type="expression" dxfId="768" priority="30">
      <formula>County&lt;&gt;"Monroe"</formula>
    </cfRule>
  </conditionalFormatting>
  <conditionalFormatting sqref="H7:J7">
    <cfRule type="expression" dxfId="767" priority="20">
      <formula>AND(County&lt;&gt;"Miami-Dade",$H7&lt;&gt;"&lt;select one&gt;")</formula>
    </cfRule>
    <cfRule type="expression" dxfId="766" priority="28">
      <formula>County&lt;&gt;"Miami-Dade"</formula>
    </cfRule>
    <cfRule type="expression" dxfId="765" priority="53">
      <formula>AND(County="Miami-Dade",$H$7&lt;&gt;"&lt;select one&gt;")</formula>
    </cfRule>
    <cfRule type="expression" dxfId="764" priority="50" stopIfTrue="1">
      <formula>AND(County&lt;&gt;"Miami-Dade",$H$7&lt;&gt;"&lt;select one&gt;")</formula>
    </cfRule>
  </conditionalFormatting>
  <conditionalFormatting sqref="I49:J49">
    <cfRule type="expression" dxfId="763" priority="10854">
      <formula>AND($M$47&lt;&gt;0,LDA_Selection_Location&lt;&gt;"Select a County",LDA_Selection_Location&lt;&gt;"")</formula>
    </cfRule>
  </conditionalFormatting>
  <conditionalFormatting sqref="J3">
    <cfRule type="cellIs" dxfId="762" priority="40" operator="equal">
      <formula>"LDA"</formula>
    </cfRule>
  </conditionalFormatting>
  <conditionalFormatting sqref="M5:M12 M14:M55 N18">
    <cfRule type="cellIs" dxfId="761" priority="51"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N33 M14 N18 M21 M51 M10 M7 M5 M25" xr:uid="{6917A045-B6E6-4C97-9D38-7F989CF55CFE}">
      <formula1>AND(M5&gt;=0,M5&lt;3,M5=ROUND(M5,0))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36" stopIfTrue="1" id="{A18EE100-DC28-4727-BF16-026884928911}">
            <xm:f>Data1!$E$898="Yes"</xm:f>
            <x14:dxf>
              <font>
                <color theme="0"/>
              </font>
              <fill>
                <patternFill>
                  <bgColor theme="0"/>
                </patternFill>
              </fill>
              <border>
                <left/>
                <right/>
                <top/>
                <bottom/>
              </border>
            </x14:dxf>
          </x14:cfRule>
          <xm:sqref>M3:O55</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theme="0" tint="-4.9989318521683403E-2"/>
  </sheetPr>
  <dimension ref="A1:AE122"/>
  <sheetViews>
    <sheetView showGridLines="0" zoomScale="110" zoomScaleNormal="110" zoomScaleSheetLayoutView="100" workbookViewId="0">
      <pane ySplit="2" topLeftCell="A3" activePane="bottomLeft" state="frozen"/>
      <selection activeCell="L364" sqref="L364:N364"/>
      <selection pane="bottomLeft" activeCell="D7" sqref="D7:E7"/>
    </sheetView>
  </sheetViews>
  <sheetFormatPr defaultColWidth="8.54296875" defaultRowHeight="14.5"/>
  <cols>
    <col min="1" max="1" width="3" customWidth="1"/>
    <col min="2" max="3" width="3.54296875" customWidth="1"/>
    <col min="4" max="4" width="4.453125" customWidth="1"/>
    <col min="5" max="7" width="22.453125" customWidth="1"/>
    <col min="8" max="8" width="16.7265625" customWidth="1"/>
    <col min="9" max="9" width="12.81640625" customWidth="1"/>
    <col min="10" max="10" width="8.7265625" customWidth="1"/>
    <col min="11" max="11" width="3.54296875" customWidth="1"/>
    <col min="12" max="14" width="3.54296875" hidden="1" customWidth="1"/>
    <col min="15" max="15" width="35.7265625" hidden="1" customWidth="1"/>
    <col min="16" max="16" width="3.54296875" hidden="1" customWidth="1"/>
  </cols>
  <sheetData>
    <row r="1" spans="1:31" ht="36" customHeight="1" thickBot="1">
      <c r="A1" s="2582" t="s">
        <v>971</v>
      </c>
      <c r="B1" s="2583"/>
      <c r="C1" s="2583"/>
      <c r="D1" s="2583"/>
      <c r="E1" s="2583"/>
      <c r="F1" s="2583"/>
      <c r="G1" s="2583"/>
      <c r="H1" s="2583"/>
      <c r="I1" s="2584"/>
      <c r="L1" s="106"/>
      <c r="M1" s="106"/>
      <c r="N1" s="106"/>
      <c r="O1" s="106"/>
      <c r="P1" s="106"/>
      <c r="Q1" s="106"/>
      <c r="R1" s="106"/>
      <c r="S1" s="106"/>
      <c r="T1" s="106"/>
      <c r="U1" s="106"/>
      <c r="V1" s="106"/>
      <c r="W1" s="106"/>
      <c r="X1" s="106"/>
      <c r="Y1" s="106"/>
      <c r="Z1" s="106"/>
      <c r="AA1" s="106"/>
      <c r="AB1" s="106"/>
      <c r="AC1" s="106"/>
      <c r="AD1" s="106"/>
      <c r="AE1" s="106"/>
    </row>
    <row r="2" spans="1:31">
      <c r="I2" s="3275" t="s">
        <v>2421</v>
      </c>
      <c r="L2" s="3293" t="s">
        <v>845</v>
      </c>
      <c r="M2" s="3294"/>
      <c r="N2" s="3294"/>
      <c r="O2" s="3294"/>
      <c r="P2" s="3295"/>
      <c r="Q2" s="106"/>
      <c r="R2" s="106"/>
      <c r="S2" s="106"/>
      <c r="T2" s="106"/>
      <c r="U2" s="106"/>
      <c r="V2" s="106"/>
      <c r="W2" s="106"/>
      <c r="X2" s="106"/>
      <c r="Y2" s="106"/>
      <c r="Z2" s="106"/>
      <c r="AA2" s="106"/>
      <c r="AB2" s="106"/>
      <c r="AC2" s="106"/>
      <c r="AD2" s="106"/>
      <c r="AE2" s="106"/>
    </row>
    <row r="3" spans="1:31" ht="17.649999999999999" customHeight="1">
      <c r="A3" s="506" t="str" cm="1">
        <f t="array" ref="A3">IF($L5+$L10+$L17+$L21+$L35+$L42=0,"",CHAR(CODE(LOOKUP(2,1/(COUNTIF('Development Location'!A$3:A55,"&gt;"&amp;'Development Location'!A$3:A55&amp;"*")=0),'Development Location'!A$3:A55))+1))</f>
        <v>e</v>
      </c>
      <c r="B3" s="10" t="s">
        <v>972</v>
      </c>
      <c r="I3" s="3276"/>
      <c r="L3" s="2048">
        <f>IF(AND($L$5=0,$L$10=0,$L$17=0,$L$21=0,$L$35=0,$L$42=0),0,1)</f>
        <v>1</v>
      </c>
      <c r="O3" s="2031" t="s">
        <v>2782</v>
      </c>
    </row>
    <row r="4" spans="1:31" ht="14.65" customHeight="1">
      <c r="B4" s="977">
        <f>IF(L5+L10=0,"",1)</f>
        <v>1</v>
      </c>
      <c r="C4" s="865" t="str">
        <f>IF(L5=0,"","PHA")&amp;IF(AND(L5&gt;0,L10&gt;0)," or","")&amp;IF(L10=0,""," RD 515")&amp;" Proximity Point Boost"</f>
        <v>PHA or RD 515 Proximity Point Boost</v>
      </c>
      <c r="I4" s="3277"/>
      <c r="L4" s="2048">
        <f>IF(L5+L10=0,0,1)</f>
        <v>1</v>
      </c>
      <c r="O4" s="2031" t="s">
        <v>2779</v>
      </c>
    </row>
    <row r="5" spans="1:31" ht="10.5" customHeight="1">
      <c r="B5" s="3"/>
      <c r="C5" s="3"/>
      <c r="I5" s="2889" t="str">
        <f>IF($L$5&lt;&gt;0,"Points awarded for Proximity ","")&amp;"Point Boost*"</f>
        <v>Points awarded for Proximity Point Boost*</v>
      </c>
      <c r="L5" s="2569">
        <v>1</v>
      </c>
      <c r="O5" s="3297" t="str">
        <f>"Controls Rows "&amp;TEXT(ROW(A5),"0")&amp;":"&amp;TEXT(ROW(A8),"0")&amp;"."</f>
        <v>Controls Rows 5:8.</v>
      </c>
    </row>
    <row r="6" spans="1:31" ht="14.65" customHeight="1">
      <c r="C6" s="87" t="s">
        <v>860</v>
      </c>
      <c r="D6" s="2544" t="s">
        <v>973</v>
      </c>
      <c r="E6" s="2544"/>
      <c r="F6" s="2544"/>
      <c r="G6" s="2544"/>
      <c r="H6" s="2544"/>
      <c r="I6" s="3271"/>
      <c r="L6" s="2570"/>
      <c r="O6" s="3297"/>
    </row>
    <row r="7" spans="1:31" ht="17.649999999999999" customHeight="1">
      <c r="D7" s="2573" t="s">
        <v>41</v>
      </c>
      <c r="E7" s="2573"/>
      <c r="I7" s="3271"/>
      <c r="L7" s="2570"/>
      <c r="M7" s="2461">
        <v>1</v>
      </c>
      <c r="N7" s="264"/>
      <c r="O7" s="264" t="s">
        <v>3247</v>
      </c>
    </row>
    <row r="8" spans="1:31" ht="14.65" customHeight="1">
      <c r="D8" t="s">
        <v>3404</v>
      </c>
      <c r="H8" s="3266">
        <f>Boost_Points</f>
        <v>0</v>
      </c>
      <c r="I8" s="3271"/>
      <c r="L8" s="2670"/>
      <c r="M8" s="2460"/>
      <c r="O8" s="264"/>
    </row>
    <row r="9" spans="1:31" ht="14.25" customHeight="1">
      <c r="D9" s="865"/>
      <c r="G9" s="959" t="s">
        <v>1535</v>
      </c>
      <c r="H9" s="3266"/>
      <c r="I9" s="3271"/>
      <c r="L9" s="2702" t="s">
        <v>2737</v>
      </c>
      <c r="M9" s="3296"/>
      <c r="N9" s="2704"/>
      <c r="O9" s="264"/>
    </row>
    <row r="10" spans="1:31" ht="14.65" customHeight="1">
      <c r="C10" s="87" t="str">
        <f>IF(L5=0,"(a)","(b)")</f>
        <v>(b)</v>
      </c>
      <c r="D10" s="2544" t="s">
        <v>974</v>
      </c>
      <c r="E10" s="2544"/>
      <c r="F10" s="2544"/>
      <c r="G10" s="2544"/>
      <c r="H10" s="2544"/>
      <c r="I10" s="3273">
        <f>IF(PHA_Prox_boost="Yes",Data1!C504,IF(AND(PHA_Prox_boost&lt;&gt;"Yes",RD_Prox_boost="Yes"),Data1!C505,0))</f>
        <v>0</v>
      </c>
      <c r="L10" s="2570">
        <v>1</v>
      </c>
      <c r="O10" s="353" t="str">
        <f>"Controls Rows "&amp;TEXT(ROW(A10),"0")&amp;":"&amp;TEXT(ROW(A13),"0")&amp;"."</f>
        <v>Controls Rows 10:13.</v>
      </c>
    </row>
    <row r="11" spans="1:31" ht="17.649999999999999" customHeight="1">
      <c r="D11" s="2573" t="s">
        <v>41</v>
      </c>
      <c r="E11" s="2573"/>
      <c r="H11" s="24"/>
      <c r="I11" s="3274"/>
      <c r="L11" s="2570"/>
      <c r="O11" s="264"/>
    </row>
    <row r="12" spans="1:31" ht="14.65" customHeight="1">
      <c r="D12" t="s">
        <v>2621</v>
      </c>
      <c r="H12" s="24"/>
      <c r="I12" s="959" t="s">
        <v>1535</v>
      </c>
      <c r="L12" s="2570"/>
    </row>
    <row r="13" spans="1:31" ht="10.5" customHeight="1">
      <c r="L13" s="2571"/>
    </row>
    <row r="14" spans="1:31" ht="14.65" customHeight="1">
      <c r="B14" s="977">
        <f>IF(L5+L10+L17=0,"",MAX(B$4:B13)+1)</f>
        <v>2</v>
      </c>
      <c r="C14" t="s">
        <v>975</v>
      </c>
      <c r="L14" s="2852" t="s">
        <v>2737</v>
      </c>
    </row>
    <row r="15" spans="1:31" ht="10.5" customHeight="1">
      <c r="L15" s="2853"/>
    </row>
    <row r="16" spans="1:31" ht="35.25" customHeight="1">
      <c r="C16" s="2544" t="str">
        <f>IF(L17&gt;0,"Applicants may select Private Transportation or provide the location information and distance for one of the remaining ","Applicants may provide the location information and distance for one of the ")&amp;IF(M29=0,"three","four")&amp;"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544"/>
      <c r="E16" s="2544"/>
      <c r="F16" s="2544"/>
      <c r="G16" s="2544"/>
      <c r="H16" s="2544"/>
      <c r="I16" s="2544"/>
      <c r="L16" s="2854"/>
    </row>
    <row r="17" spans="3:16" ht="10.5" customHeight="1">
      <c r="D17" s="826"/>
      <c r="E17" s="826"/>
      <c r="F17" s="826"/>
      <c r="G17" s="826"/>
      <c r="H17" s="826"/>
      <c r="I17" s="2889" t="s">
        <v>981</v>
      </c>
      <c r="L17" s="2569">
        <v>1</v>
      </c>
      <c r="O17" s="3197" t="str">
        <f>"Controls Rows "&amp;TEXT(ROW(A17),"0")&amp;":"&amp;TEXT(ROW(A20),"0")&amp;" and wording on Row 16. Font controlled by Demo. Response controls font color in Transit Table below."</f>
        <v>Controls Rows 17:20 and wording on Row 16. Font controlled by Demo. Response controls font color in Transit Table below.</v>
      </c>
      <c r="P17" s="3197"/>
    </row>
    <row r="18" spans="3:16" ht="35.25" customHeight="1">
      <c r="C18" s="87" t="s">
        <v>860</v>
      </c>
      <c r="D18" s="2544" t="s">
        <v>2770</v>
      </c>
      <c r="E18" s="2544"/>
      <c r="F18" s="2544"/>
      <c r="G18" s="2544"/>
      <c r="H18" s="2544"/>
      <c r="I18" s="3271"/>
      <c r="L18" s="2570"/>
      <c r="O18" s="3197"/>
      <c r="P18" s="3197"/>
    </row>
    <row r="19" spans="3:16" ht="17.649999999999999" customHeight="1">
      <c r="D19" s="2573" t="s">
        <v>41</v>
      </c>
      <c r="E19" s="2573"/>
      <c r="F19" s="3272" t="str">
        <f>IF(OR(Demographic="Elderly ALF",Demographic="Elderly Non-ALF"),"(The proposed Development's Demographic Commitment of "&amp;Demographic&amp;" qualifies it to select this option for "&amp;TEXT(Data1!$B$508,"0")&amp;" transit points.",IF(AND(Private_transportation&lt;&gt;"Yes",OR(Demographic="&lt;select one&gt;",Demographic="")),"","(The proposed Development does not qualify to select this option.)"))</f>
        <v/>
      </c>
      <c r="G19" s="2549"/>
      <c r="H19" s="2549"/>
      <c r="I19" s="539">
        <f>IF(AND(OR(Demographic="Elderly ALF",Demographic="Elderly Non-ALF"),Private_transportation="Yes"),2,0)</f>
        <v>0</v>
      </c>
      <c r="L19" s="2570"/>
      <c r="O19" s="3197"/>
      <c r="P19" s="3197"/>
    </row>
    <row r="20" spans="3:16" ht="9.75" customHeight="1">
      <c r="F20" s="2549"/>
      <c r="G20" s="2549"/>
      <c r="H20" s="2549"/>
      <c r="I20" s="954"/>
      <c r="L20" s="2571"/>
      <c r="O20" s="3197"/>
      <c r="P20" s="3197"/>
    </row>
    <row r="21" spans="3:16">
      <c r="C21" s="87" t="str">
        <f>IF(L17=0,"(a)","(b)")</f>
        <v>(b)</v>
      </c>
      <c r="D21" s="865" t="s">
        <v>976</v>
      </c>
      <c r="G21" s="2903" t="str">
        <f>IF(AND(County="&lt;select one&gt;",OR(Transit_PBS_points&lt;&gt;"",Transit_BTS_points&lt;&gt;"",Transit_PBRTS_points&lt;&gt;"",Transit_Rail_points&lt;&gt;"")),"Please select a County in the Development Location tab.","")</f>
        <v/>
      </c>
      <c r="H21" s="2903"/>
      <c r="I21" s="2903"/>
      <c r="L21" s="2569">
        <v>1</v>
      </c>
      <c r="O21" s="353" t="str">
        <f>"Controls Rows "&amp;TEXT(ROW(A21),"0")&amp;":"&amp;TEXT(ROW(A30),"0")&amp;"."</f>
        <v>Controls Rows 21:30.</v>
      </c>
    </row>
    <row r="22" spans="3:16" ht="10.5" customHeight="1">
      <c r="L22" s="2570"/>
    </row>
    <row r="23" spans="3:16" ht="43.5">
      <c r="E23" s="26" t="s">
        <v>977</v>
      </c>
      <c r="F23" s="48" t="s">
        <v>978</v>
      </c>
      <c r="G23" s="48" t="s">
        <v>979</v>
      </c>
      <c r="H23" s="824" t="s">
        <v>980</v>
      </c>
      <c r="I23" s="48" t="s">
        <v>981</v>
      </c>
      <c r="J23" s="29"/>
      <c r="K23" s="29"/>
      <c r="L23" s="2570"/>
      <c r="M23" s="953"/>
    </row>
    <row r="24" spans="3:16" ht="30" customHeight="1">
      <c r="E24" s="95" t="s">
        <v>416</v>
      </c>
      <c r="F24" s="1198"/>
      <c r="G24" s="1198"/>
      <c r="H24" s="1195"/>
      <c r="I24" s="3283"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L24" s="2570"/>
      <c r="M24" s="2011">
        <f>IF($L$21=0,0,IF(D$19="Yes",3,IF(OR(County_Size="Small",County_Size="Medium",LGAO_Designation="Yes"),3,IF(OR(PHA_Prox_boost="Yes",RD_Prox_boost="Yes"),IF(N(I$24)+N(I$27)+N(I$28)+N(I$29)&lt;1.5,IF(OR(AND(N(I$24)&gt;0,F24&lt;&gt;"",G24&lt;&gt;"",H24&lt;&gt;""),COUNTIF(M$23:M23,1)=0),1,$L$21),IF(AND(F24&lt;&gt;"",G24&lt;&gt;"",H24&lt;&gt;"",COUNTIF(M$23:M23,1)=0),1,$L$21)),IF(N(I$24)+N(I$27)+N(I$28)+N(I$29)&lt;2,IF(OR(AND(N(I$24)&gt;0,F24&lt;&gt;"",G24&lt;&gt;"",H24&lt;&gt;""),COUNTIF(M$23:M23,1)=0),1,$L$21),IF(AND(N(I$24)&gt;0,F24&lt;&gt;"",G24&lt;&gt;"",H24&lt;&gt;""),1,$L$21))))))</f>
        <v>1</v>
      </c>
      <c r="N24" s="348"/>
      <c r="O24" s="2051" t="s">
        <v>2780</v>
      </c>
    </row>
    <row r="25" spans="3:16" ht="30" customHeight="1">
      <c r="E25" s="95" t="s">
        <v>417</v>
      </c>
      <c r="F25" s="1199"/>
      <c r="G25" s="1199"/>
      <c r="H25" s="1197"/>
      <c r="I25" s="3284"/>
      <c r="L25" s="2570"/>
      <c r="M25" s="2011">
        <f>IF($L$21=0,0,IF(D$19="Yes",3,IF(OR(County_Size="Small",County_Size="Medium",LGAO_Designation="Yes"),3,IF(OR(PHA_Prox_boost="Yes",RD_Prox_boost="Yes"),IF(N(I$24)+N(I$27)+N(I$28)+N(I$29)&lt;1.5,IF(OR(AND(N(I$24)&gt;0,F25&lt;&gt;"",G25&lt;&gt;"",H25&lt;&gt;""),COUNTIF(M$23:M24,1)=0),1,$L$21),IF(AND(F25&lt;&gt;"",G25&lt;&gt;"",H25&lt;&gt;"",COUNTIF(M$23:M24,1)=0),1,$L$21)),IF(N(I$24)+N(I$27)+N(I$28)+N(I$29)&lt;2,IF(OR(AND(N(I$24)&gt;0,F25&lt;&gt;"",G25&lt;&gt;"",H25&lt;&gt;""),COUNTIF(M$23:M24,1)=0),1,$L$21),IF(AND(N(I$24)&gt;0,F25&lt;&gt;"",G25&lt;&gt;"",H25&lt;&gt;""),1,$L$21))))))</f>
        <v>1</v>
      </c>
      <c r="N25" s="348"/>
      <c r="O25" s="2051" t="s">
        <v>2780</v>
      </c>
    </row>
    <row r="26" spans="3:16" ht="30" customHeight="1">
      <c r="E26" s="95" t="s">
        <v>418</v>
      </c>
      <c r="F26" s="1199"/>
      <c r="G26" s="1199"/>
      <c r="H26" s="1197"/>
      <c r="I26" s="3285"/>
      <c r="L26" s="2570"/>
      <c r="M26" s="2011">
        <f>IF($L$21=0,0,IF(D$19="Yes",3,IF(OR(County_Size="Small",County_Size="Medium",LGAO_Designation="Yes"),3,IF(OR(PHA_Prox_boost="Yes",RD_Prox_boost="Yes"),IF(N(I$24)+N(I$27)+N(I$28)+N(I$29)&lt;1.5,IF(OR(AND(N(I$24)&gt;0,F26&lt;&gt;"",G26&lt;&gt;"",H26&lt;&gt;""),COUNTIF(M$23:M25,1)=0),1,$L$21),IF(AND(F26&lt;&gt;"",G26&lt;&gt;"",H26&lt;&gt;"",COUNTIF(M$23:M25,1)=0),1,$L$21)),IF(N(I$24)+N(I$27)+N(I$28)+N(I$29)&lt;2,IF(OR(AND(N(I$24)&gt;0,F26&lt;&gt;"",G26&lt;&gt;"",H26&lt;&gt;""),COUNTIF(M$23:M25,1)=0),1,$L$21),IF(AND(N(I$24)&gt;0,F26&lt;&gt;"",G26&lt;&gt;"",H26&lt;&gt;""),1,$L$21))))))</f>
        <v>1</v>
      </c>
      <c r="N26" s="348"/>
      <c r="O26" s="2051" t="s">
        <v>2780</v>
      </c>
    </row>
    <row r="27" spans="3:16" ht="30" customHeight="1">
      <c r="E27" s="96" t="s">
        <v>419</v>
      </c>
      <c r="F27" s="1199"/>
      <c r="G27" s="1199"/>
      <c r="H27" s="1197"/>
      <c r="I27" s="1169"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L27" s="2570"/>
      <c r="M27" s="2050">
        <f>IF($L$21=0,0,IF(D$19="Yes",3,IF(OR(County_Size="Small",County_Size="Medium",LGAO_Designation="Yes"),3,IF(OR(PHA_Prox_boost="Yes",RD_Prox_boost="Yes"),IF(N(I$24)+N(I$27)+N(I$28)+N(I$29)&lt;1.5,IF(OR(AND(N(I27)&gt;0,F27&lt;&gt;"",G27&lt;&gt;"",H27&lt;&gt;""),COUNTIF(M$23:M26,1)=0),1,$L$21),IF(AND(F27&lt;&gt;"",G27&lt;&gt;"",H27&lt;&gt;"",COUNTIF(M$23:M26,1)=0),1,$L$21)),IF(N(I$24)+N(I$27)+N(I$28)+N(I$29)&lt;2,IF(OR(AND(N(I27)&gt;0,F27&lt;&gt;"",G27&lt;&gt;"",H27&lt;&gt;""),COUNTIF(M$23:M26,1)=0),1,$L$21),IF(AND(N(I27)&gt;0,F27&lt;&gt;"",G27&lt;&gt;"",H27&lt;&gt;""),1,$L$21))))))</f>
        <v>1</v>
      </c>
      <c r="N27" s="348"/>
      <c r="O27" s="2051" t="s">
        <v>2780</v>
      </c>
    </row>
    <row r="28" spans="3:16" ht="30" customHeight="1">
      <c r="E28" s="96" t="s">
        <v>420</v>
      </c>
      <c r="F28" s="1199"/>
      <c r="G28" s="1199"/>
      <c r="H28" s="1197"/>
      <c r="I28" s="1169"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L28" s="2570"/>
      <c r="M28" s="2050">
        <f>IF($L$21=0,0,IF(D$19="Yes",3,IF(OR(County_Size="Small",County_Size="Medium",LGAO_Designation="Yes"),3,IF(OR(PHA_Prox_boost="Yes",RD_Prox_boost="Yes"),IF(N(I$24)+N(I$27)+N(I$28)+N(I$29)&lt;1.5,IF(OR(AND(N(I28)&gt;0,F28&lt;&gt;"",G28&lt;&gt;"",H28&lt;&gt;""),COUNTIF(M$23:M27,1)=0),1,$L$21),IF(AND(F28&lt;&gt;"",G28&lt;&gt;"",H28&lt;&gt;"",COUNTIF(M$23:M27,1)=0),1,$L$21)),IF(N(I$24)+N(I$27)+N(I$28)+N(I$29)&lt;2,IF(OR(AND(N(I28)&gt;0,F28&lt;&gt;"",G28&lt;&gt;"",H28&lt;&gt;""),COUNTIF(M$23:M27,1)=0),1,$L$21),IF(AND(N(I28)&gt;0,F28&lt;&gt;"",G28&lt;&gt;"",H28&lt;&gt;""),1,$L$21))))))</f>
        <v>1</v>
      </c>
      <c r="N28" s="348"/>
      <c r="O28" s="2051" t="s">
        <v>2780</v>
      </c>
    </row>
    <row r="29" spans="3:16" ht="30" customHeight="1">
      <c r="E29" s="96" t="s">
        <v>421</v>
      </c>
      <c r="F29" s="1199"/>
      <c r="G29" s="1199"/>
      <c r="H29" s="1197"/>
      <c r="I29" s="1169"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L29" s="2570"/>
      <c r="M29" s="2050">
        <f>IF($L$21=0,0,IF(D$19="Yes",3,IF(OR(County_Size="Small",County_Size="Medium",LGAO_Designation="Yes"),3,IF(OR(PHA_Prox_boost="Yes",RD_Prox_boost="Yes"),IF(N(I$24)+N(I$27)+N(I$28)+N(I$29)&lt;1.5,IF(OR(AND(N(I29)&gt;0,F29&lt;&gt;"",G29&lt;&gt;"",H29&lt;&gt;""),COUNTIF(M$23:M28,1)=0),1,$L$21),IF(AND(F29&lt;&gt;"",G29&lt;&gt;"",H29&lt;&gt;"",COUNTIF(M$23:M28,1)=0),1,$L$21)),IF(N(I$24)+N(I$27)+N(I$28)+N(I$29)&lt;2,IF(OR(AND(N(I29)&gt;0,F29&lt;&gt;"",G29&lt;&gt;"",H29&lt;&gt;""),COUNTIF(M$23:M28,1)=0),1,$L$21),IF(AND(N(I29)&gt;0,F29&lt;&gt;"",G29&lt;&gt;"",H29&lt;&gt;""),1,$L$21))))))</f>
        <v>1</v>
      </c>
      <c r="N29" s="348"/>
      <c r="O29" s="2051" t="s">
        <v>2780</v>
      </c>
    </row>
    <row r="30" spans="3:16" ht="7.5" customHeight="1">
      <c r="E30" s="8"/>
      <c r="H30" s="516"/>
      <c r="L30" s="2571"/>
      <c r="M30" s="343"/>
      <c r="N30" s="855"/>
    </row>
    <row r="31" spans="3:16" ht="21.75" customHeight="1">
      <c r="E31" s="3282" t="str">
        <f>IF(OR(AND(Private_transportation="Yes",OR(Transit_PBS_points&lt;&gt;"",Transit_BTS_points&lt;&gt;"",Transit_PBRTS_points&lt;&gt;"",Transit_Rail_points&lt;&gt;"")),COUNT(I24:I29)&gt;1),"Only one type of transit may be selected.","This area intentionally left blank.")</f>
        <v>This area intentionally left blank.</v>
      </c>
      <c r="F31" s="3282"/>
      <c r="G31" s="3282"/>
      <c r="H31" s="3282"/>
      <c r="I31" s="3282"/>
      <c r="L31" s="2852" t="s">
        <v>2737</v>
      </c>
    </row>
    <row r="32" spans="3:16" ht="7.5" customHeight="1">
      <c r="E32" s="857"/>
      <c r="L32" s="2853"/>
    </row>
    <row r="33" spans="2:17" ht="64.150000000000006" customHeight="1">
      <c r="E33" s="2900" t="str">
        <f>IF(Data1!O520&lt;&gt;"","PB Stop 1: "&amp;Data1!O520,"")&amp;IF(AND(Data1!O520&lt;&gt;"",OR(Data1!O521&lt;&gt;"",Data1!O522&lt;&gt;"",Data1!O523&lt;&gt;"",Data1!O524&lt;&gt;"",Data1!O525&lt;&gt;"")),"; ","")&amp;IF(Data1!O521&lt;&gt;"","PB Stop 2: "&amp;Data1!O521,"")&amp;IF(AND(Data1!O521&lt;&gt;"",OR(Data1!O522&lt;&gt;"",Data1!O523&lt;&gt;"",Data1!O524&lt;&gt;"",Data1!O525&lt;&gt;"")),"; ","")&amp;IF(Data1!O522&lt;&gt;"","PB Stop 3: "&amp;Data1!O522,"")&amp;IF(AND(Data1!O522&lt;&gt;"",OR(Data1!O523&lt;&gt;"",Data1!O524&lt;&gt;"",Data1!O525&lt;&gt;"")),"; ","")&amp;IF(Data1!O523&lt;&gt;"","PB Transfer Stop: "&amp;Data1!O523,"")&amp;IF(AND(Data1!O523&lt;&gt;"",OR(Data1!O524&lt;&gt;"",Data1!O525&lt;&gt;"")),"; ","")&amp;IF(Data1!O524&lt;&gt;"","PB Rapid Transit Stop: "&amp;Data1!O524,"")&amp;IF(AND(Data1!O524&lt;&gt;"",Data1!O525&lt;&gt;""),"; ","")&amp;IF(Data1!O525&lt;&gt;"","PB Rail Station: "&amp;Data1!O525,IF(E$31="This area intentionally left blank.","","This area intentionally left blank."))</f>
        <v/>
      </c>
      <c r="F33" s="2900"/>
      <c r="G33" s="2900"/>
      <c r="H33" s="2900"/>
      <c r="I33" s="2900"/>
      <c r="L33" s="2853"/>
    </row>
    <row r="34" spans="2:17" ht="10.5" customHeight="1">
      <c r="E34" s="857"/>
      <c r="L34" s="2854"/>
    </row>
    <row r="35" spans="2:17" ht="14.65" hidden="1" customHeight="1">
      <c r="C35" s="87" t="str">
        <f>IF(M19=0,"(b)","(c)")</f>
        <v>(b)</v>
      </c>
      <c r="D35" t="s">
        <v>982</v>
      </c>
      <c r="L35" s="2569">
        <v>0</v>
      </c>
      <c r="O35" s="353" t="str">
        <f>"Controls Rows "&amp;TEXT(ROW(A35),"0")&amp;":"&amp;TEXT(ROW(A41),"0")&amp;"."</f>
        <v>Controls Rows 35:41.</v>
      </c>
    </row>
    <row r="36" spans="2:17" ht="14.65" hidden="1" customHeight="1">
      <c r="D36" t="s">
        <v>983</v>
      </c>
      <c r="L36" s="2570"/>
    </row>
    <row r="37" spans="2:17" ht="17.649999999999999" hidden="1" customHeight="1">
      <c r="D37" s="2573" t="s">
        <v>41</v>
      </c>
      <c r="E37" s="2573"/>
      <c r="G37" s="43" t="s">
        <v>2627</v>
      </c>
      <c r="H37" s="1899" t="str">
        <f>IFERROR(VLOOKUP(SunRail_Name,Sunrail_Stations,7),"")</f>
        <v/>
      </c>
      <c r="I37" s="847"/>
      <c r="L37" s="2570"/>
      <c r="O37" s="264"/>
    </row>
    <row r="38" spans="2:17" ht="10.5" hidden="1" customHeight="1">
      <c r="L38" s="2570"/>
    </row>
    <row r="39" spans="2:17" ht="14.65" hidden="1" customHeight="1">
      <c r="D39" t="s">
        <v>984</v>
      </c>
      <c r="L39" s="2570"/>
      <c r="O39" s="264"/>
    </row>
    <row r="40" spans="2:17" ht="30" hidden="1" customHeight="1">
      <c r="D40" s="2547" t="s">
        <v>41</v>
      </c>
      <c r="E40" s="2547"/>
      <c r="F40" s="2547"/>
      <c r="G40" s="2547"/>
      <c r="H40" s="2547"/>
      <c r="I40" s="2547"/>
      <c r="L40" s="2570"/>
      <c r="O40" s="264"/>
    </row>
    <row r="41" spans="2:17" ht="10.5" hidden="1" customHeight="1">
      <c r="L41" s="2571"/>
    </row>
    <row r="42" spans="2:17" ht="14.65" customHeight="1">
      <c r="B42" s="1231">
        <f>IF(L42=0,"",MAX(B$4:B41)+1)</f>
        <v>3</v>
      </c>
      <c r="C42" s="865" t="s">
        <v>985</v>
      </c>
      <c r="L42" s="2569">
        <v>1</v>
      </c>
      <c r="O42" s="353" t="str">
        <f>"Controls Rows "&amp;TEXT(ROW(A42),"0")&amp;":"&amp;TEXT(ROW(A52),"0")&amp;"."</f>
        <v>Controls Rows 42:52.</v>
      </c>
    </row>
    <row r="43" spans="2:17" ht="14.65" customHeight="1">
      <c r="C43" s="2544" t="s">
        <v>986</v>
      </c>
      <c r="D43" s="2544"/>
      <c r="E43" s="2544"/>
      <c r="F43" s="2544"/>
      <c r="G43" s="2544"/>
      <c r="H43" s="2544"/>
      <c r="I43" s="2544"/>
      <c r="L43" s="2570"/>
    </row>
    <row r="44" spans="2:17" ht="10.5" customHeight="1">
      <c r="L44" s="2570"/>
    </row>
    <row r="45" spans="2:17" ht="58">
      <c r="E45" s="824" t="s">
        <v>977</v>
      </c>
      <c r="F45" s="824" t="s">
        <v>987</v>
      </c>
      <c r="G45" s="824" t="s">
        <v>988</v>
      </c>
      <c r="H45" s="824" t="s">
        <v>980</v>
      </c>
      <c r="I45" s="48" t="s">
        <v>989</v>
      </c>
      <c r="L45" s="2570"/>
      <c r="Q45" s="264"/>
    </row>
    <row r="46" spans="2:17" ht="30" customHeight="1">
      <c r="E46" s="95" t="s">
        <v>422</v>
      </c>
      <c r="F46" s="1194"/>
      <c r="G46" s="1194"/>
      <c r="H46" s="1195"/>
      <c r="I46" s="589"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2570"/>
      <c r="O46" s="264"/>
    </row>
    <row r="47" spans="2:17" ht="30" customHeight="1">
      <c r="E47" s="95" t="s">
        <v>423</v>
      </c>
      <c r="F47" s="1196"/>
      <c r="G47" s="1196"/>
      <c r="H47" s="1197"/>
      <c r="I47" s="589"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2570"/>
      <c r="O47" s="264"/>
      <c r="Q47" s="264"/>
    </row>
    <row r="48" spans="2:17" ht="30" customHeight="1">
      <c r="E48" s="95" t="s">
        <v>424</v>
      </c>
      <c r="F48" s="1196"/>
      <c r="G48" s="1196"/>
      <c r="H48" s="1197"/>
      <c r="I48" s="589"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2570"/>
      <c r="O48" s="264"/>
    </row>
    <row r="49" spans="1:18" ht="30" customHeight="1">
      <c r="E49" s="95" t="s">
        <v>415</v>
      </c>
      <c r="F49" s="1196"/>
      <c r="G49" s="1196"/>
      <c r="H49" s="1197"/>
      <c r="I49" s="589"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2570"/>
      <c r="O49" s="264"/>
      <c r="R49" s="264"/>
    </row>
    <row r="50" spans="1:18" ht="20.25" customHeight="1">
      <c r="E50" s="6" t="str">
        <f>IF(AND(Grocery_points&lt;&gt;"",Medical_points&lt;&gt;"",Pharmacy_points&lt;&gt;"",School_points&lt;&gt;""),"Only three Community Services may be selected.","")</f>
        <v/>
      </c>
      <c r="L50" s="2570"/>
    </row>
    <row r="51" spans="1:18" ht="63.75" customHeight="1">
      <c r="B51" s="2544" t="s">
        <v>990</v>
      </c>
      <c r="C51" s="2544"/>
      <c r="D51" s="2544"/>
      <c r="E51" s="2544"/>
      <c r="F51" s="2544"/>
      <c r="G51" s="2544"/>
      <c r="H51" s="2544"/>
      <c r="I51" s="2544"/>
      <c r="L51" s="2570"/>
      <c r="O51" s="829"/>
    </row>
    <row r="52" spans="1:18" ht="10.5" customHeight="1">
      <c r="L52" s="2570"/>
    </row>
    <row r="53" spans="1:18" ht="14.65" hidden="1" customHeight="1">
      <c r="A53" s="504" t="str" cm="1">
        <f t="array" ref="A53">IF($L54+$L57=0,"",IFERROR(CHAR(CODE(LOOKUP(2,1/(COUNTIF(A$3:A52,"&gt;"&amp;A$3:A52&amp;"*")=0),A$3:A52))+1),CHAR(CODE(LOOKUP(2,1/(COUNTIF('Development Location'!A$3:A55,"&gt;"&amp;'Development Location'!A$3:A55&amp;"*")=0),'Development Location'!A$3:A55))+1)))</f>
        <v/>
      </c>
      <c r="B53" s="87" t="s">
        <v>991</v>
      </c>
      <c r="C53" s="25"/>
      <c r="L53" s="2053">
        <f>IF(L54+L57=0,0,1)</f>
        <v>0</v>
      </c>
      <c r="O53" s="3257" t="str">
        <f>"Controlled by Rows "&amp;TEXT(ROW(A54),"0")&amp;" and "&amp;TEXT(ROW(A57),"0")&amp;"."</f>
        <v>Controlled by Rows 54 and 57.</v>
      </c>
      <c r="P53" s="3257"/>
    </row>
    <row r="54" spans="1:18" ht="14.65" hidden="1" customHeight="1">
      <c r="B54" s="3270" t="s">
        <v>992</v>
      </c>
      <c r="C54" s="3270"/>
      <c r="D54" s="3270"/>
      <c r="E54" s="3270"/>
      <c r="F54" s="3270"/>
      <c r="G54" s="3270"/>
      <c r="H54" s="3270"/>
      <c r="I54" s="3270"/>
      <c r="L54" s="2570">
        <v>0</v>
      </c>
      <c r="O54" s="3258" t="str">
        <f>"Controls ""Off""/""On"" for Rows "&amp;TEXT(ROW(A54),"0")&amp;":"&amp;TEXT(ROW(A56),"0")&amp;".
Controls ""Off"" for Rows "&amp;TEXT(ROW(A60),"0")&amp;":"&amp;TEXT(ROW(A66),"0")&amp;".
Combined with L"&amp;TEXT(ROW(A57),"0")&amp;" to control Row "&amp;TEXT(ROW(A53),"0")&amp;"."</f>
        <v>Controls "Off"/"On" for Rows 54:56.
Controls "Off" for Rows 60:66.
Combined with L57 to control Row 53.</v>
      </c>
      <c r="P54" s="3258"/>
    </row>
    <row r="55" spans="1:18" ht="17.649999999999999" hidden="1" customHeight="1">
      <c r="B55" s="2573" t="s">
        <v>41</v>
      </c>
      <c r="C55" s="2573"/>
      <c r="D55" s="2573"/>
      <c r="E55" s="2573"/>
      <c r="F55" s="3281" t="str">
        <f>IF(LDA_Notice&lt;&gt;"LDA","","LDA Developments do not automatically qualify.")</f>
        <v/>
      </c>
      <c r="G55" s="3281"/>
      <c r="H55" s="3281"/>
      <c r="I55" s="3281"/>
      <c r="L55" s="2570"/>
      <c r="O55" s="3202"/>
      <c r="P55" s="3202"/>
    </row>
    <row r="56" spans="1:18" ht="9" hidden="1" customHeight="1">
      <c r="L56" s="2571"/>
      <c r="O56" s="3259"/>
      <c r="P56" s="3259"/>
    </row>
    <row r="57" spans="1:18" ht="49.5" hidden="1" customHeight="1">
      <c r="B57" s="2544" t="s">
        <v>993</v>
      </c>
      <c r="C57" s="2544"/>
      <c r="D57" s="2544"/>
      <c r="E57" s="2544"/>
      <c r="F57" s="2544"/>
      <c r="G57" s="2544"/>
      <c r="H57" s="2544"/>
      <c r="I57" s="2544"/>
      <c r="L57" s="2569">
        <v>0</v>
      </c>
      <c r="N57" s="238"/>
      <c r="O57" s="2049" t="str">
        <f>"Controls ""Off""/""On"" for Rows "&amp;TEXT(ROW(A57),"0")&amp;":"&amp;TEXT(ROW(A59),"0")&amp;".
Controls ""Off"" for Rows "&amp;TEXT(ROW(A60),"0")&amp;":"&amp;TEXT(ROW(A66),"0")&amp;".
Combined with L"&amp;TEXT(ROW(A54),"0")&amp;" to control Row "&amp;TEXT(ROW(A53),"0")&amp;"."</f>
        <v>Controls "Off"/"On" for Rows 57:59.
Controls "Off" for Rows 60:66.
Combined with L54 to control Row 53.</v>
      </c>
      <c r="P57" s="2049"/>
    </row>
    <row r="58" spans="1:18" ht="17.649999999999999" hidden="1" customHeight="1">
      <c r="B58" s="3290" t="s">
        <v>41</v>
      </c>
      <c r="C58" s="3290"/>
      <c r="D58" s="3290"/>
      <c r="E58" s="3290"/>
      <c r="L58" s="2570"/>
      <c r="O58" s="264"/>
    </row>
    <row r="59" spans="1:18" ht="10.5" hidden="1" customHeight="1">
      <c r="L59" s="2570"/>
    </row>
    <row r="60" spans="1:18" ht="45" hidden="1" customHeight="1">
      <c r="B60" s="2544" t="s">
        <v>994</v>
      </c>
      <c r="C60" s="2544"/>
      <c r="D60" s="2544"/>
      <c r="E60" s="2544"/>
      <c r="F60" s="2544"/>
      <c r="G60" s="2544"/>
      <c r="H60" s="2544"/>
      <c r="I60" s="2544"/>
      <c r="L60" s="3278">
        <f>IF(OR(L54=0,L57=0),0,1)</f>
        <v>0</v>
      </c>
      <c r="O60" s="2849" t="str">
        <f>"""Off"" controlled by either Row "&amp;TEXT(ROW(A54),"0")&amp;" or Row "&amp;TEXT(ROW(A57),"0")&amp;".  Controls Rows "&amp;TEXT(ROW(A60),"0")&amp;":"&amp;TEXT(ROW(A66),"0")&amp;"."</f>
        <v>"Off" controlled by either Row 54 or Row 57.  Controls Rows 60:66.</v>
      </c>
      <c r="P60" s="2849"/>
    </row>
    <row r="61" spans="1:18" ht="22.15" hidden="1" customHeight="1">
      <c r="B61" s="2573" t="s">
        <v>41</v>
      </c>
      <c r="C61" s="2573"/>
      <c r="D61" s="2573"/>
      <c r="E61" s="2573"/>
      <c r="F61" s="2573"/>
      <c r="G61" s="3267" t="s">
        <v>2702</v>
      </c>
      <c r="H61" s="3268"/>
      <c r="I61" s="3269"/>
      <c r="L61" s="3279"/>
      <c r="O61" s="264"/>
    </row>
    <row r="62" spans="1:18" ht="22.15" hidden="1" customHeight="1">
      <c r="B62" s="3287" t="s">
        <v>41</v>
      </c>
      <c r="C62" s="3287"/>
      <c r="D62" s="3287"/>
      <c r="E62" s="3287"/>
      <c r="F62" s="3287"/>
      <c r="G62" s="3288" t="str">
        <f>Data2!ES13</f>
        <v/>
      </c>
      <c r="H62" s="3288"/>
      <c r="I62" s="3288"/>
      <c r="L62" s="3279"/>
    </row>
    <row r="63" spans="1:18" ht="22.15" hidden="1" customHeight="1">
      <c r="B63" s="3287" t="s">
        <v>41</v>
      </c>
      <c r="C63" s="3287"/>
      <c r="D63" s="3287"/>
      <c r="E63" s="3287"/>
      <c r="F63" s="3287"/>
      <c r="G63" s="3288" t="str">
        <f>Data2!ES14</f>
        <v/>
      </c>
      <c r="H63" s="3288"/>
      <c r="I63" s="3288"/>
      <c r="L63" s="3279"/>
      <c r="M63" s="855"/>
      <c r="N63" s="829"/>
    </row>
    <row r="64" spans="1:18" ht="22.15" hidden="1" customHeight="1">
      <c r="B64" s="3287" t="s">
        <v>41</v>
      </c>
      <c r="C64" s="3287"/>
      <c r="D64" s="3287"/>
      <c r="E64" s="3287"/>
      <c r="F64" s="3287"/>
      <c r="G64" s="3288" t="str">
        <f>Data2!ES15</f>
        <v/>
      </c>
      <c r="H64" s="3288"/>
      <c r="I64" s="3288"/>
      <c r="L64" s="3279"/>
    </row>
    <row r="65" spans="1:16" ht="22.15" hidden="1" customHeight="1">
      <c r="B65" s="3286" t="s">
        <v>41</v>
      </c>
      <c r="C65" s="3286"/>
      <c r="D65" s="3286"/>
      <c r="E65" s="3286"/>
      <c r="F65" s="3286"/>
      <c r="G65" s="3288" t="str">
        <f>Data2!ES16</f>
        <v/>
      </c>
      <c r="H65" s="3288"/>
      <c r="I65" s="3288"/>
      <c r="L65" s="3279"/>
      <c r="M65" s="855"/>
      <c r="N65" s="855"/>
      <c r="O65" s="829"/>
    </row>
    <row r="66" spans="1:16" ht="25.15" hidden="1" customHeight="1">
      <c r="E66" s="3292" t="str">
        <f>"*That either have not been or are not qualifed to be selected from the dropdown menu and have the same Demographic
"&amp;IF(Data2!$EV$11="No",IF(Data2!$EU$12=0,"","(There are a total of "&amp;TEXT(Data2!EU12,"0")&amp;IF(COUNTIF(B61:B65,"&lt;&gt;"&amp;"&lt;select one&gt;")&gt;0," other","")&amp;" properties identifed.)"),"(If the Proximity List Development has more than 1 site, only 1 site will be listed.)")</f>
        <v>*That either have not been or are not qualifed to be selected from the dropdown menu and have the same Demographic
(If the Proximity List Development has more than 1 site, only 1 site will be listed.)</v>
      </c>
      <c r="F66" s="3292"/>
      <c r="G66" s="3292"/>
      <c r="H66" s="3292"/>
      <c r="I66" s="3292"/>
      <c r="L66" s="3280"/>
    </row>
    <row r="67" spans="1:16" ht="17.649999999999999" hidden="1" customHeight="1">
      <c r="A67" s="334" t="str" cm="1">
        <f t="array" ref="A67">IF($L67=0,"",CHAR(CODE(LOOKUP(2,1/(COUNTIF(A$3:A66,"&gt;"&amp;A$3:A66&amp;"*")=0),A$3:A66))+1))</f>
        <v/>
      </c>
      <c r="B67" s="25" t="s">
        <v>1939</v>
      </c>
      <c r="L67" s="2643">
        <f>IF(COUNTIF(DS_LDA_Listed,"=Yes")&gt;0,IF(M67&gt;0,1,0),0)</f>
        <v>0</v>
      </c>
      <c r="M67" s="2562">
        <v>0</v>
      </c>
      <c r="O67" s="3242" t="str">
        <f>"Automatically turns ""Off"" when no LDA county is an eligible location. Otherwise controlled by M"&amp;TEXT(ROW(A67),"0")&amp;"."</f>
        <v>Automatically turns "Off" when no LDA county is an eligible location. Otherwise controlled by M67.</v>
      </c>
      <c r="P67" s="3242"/>
    </row>
    <row r="68" spans="1:16" ht="17.649999999999999" hidden="1" customHeight="1">
      <c r="B68" s="829" t="s">
        <v>1638</v>
      </c>
      <c r="H68" s="3291" t="str">
        <f>IF(IFERROR(VLOOKUP(County,DS_LDA_Counties,13),"No")="Yes",IF(Demographic="Family",IF(IFERROR(VLOOKUP(County,DS_LDA_Counties,14),0)=1,"Yes","No"),IF(Demographic="Elderly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Select a County</v>
      </c>
      <c r="I68" s="3291"/>
      <c r="L68" s="3260"/>
      <c r="M68" s="2563"/>
      <c r="O68" s="3242"/>
      <c r="P68" s="3242"/>
    </row>
    <row r="69" spans="1:16" ht="10.5" hidden="1" customHeight="1">
      <c r="L69" s="3261"/>
      <c r="M69" s="2565"/>
      <c r="O69" s="3242"/>
      <c r="P69" s="3242"/>
    </row>
    <row r="70" spans="1:16" ht="14.65" hidden="1" customHeight="1">
      <c r="A70" s="334" t="str" cm="1">
        <f t="array" ref="A70">IF($L70=0,"",CHAR(CODE(LOOKUP(2,1/(COUNTIF(A$3:A69,"&gt;"&amp;A$3:A69&amp;"*")=0),A$3:A69))+1))</f>
        <v/>
      </c>
      <c r="B70" s="25" t="s">
        <v>995</v>
      </c>
      <c r="C70" s="25"/>
      <c r="L70" s="2570">
        <v>0</v>
      </c>
      <c r="O70" s="3258" t="str">
        <f>"Controls ""Off""/""On"" for Rows "&amp;TEXT(ROW(A70),"0")&amp;":"&amp;TEXT(ROW(A73),"0")&amp;".
Controls ""Off"" for Rows "&amp;TEXT(ROW(A74),"0")&amp;":"&amp;TEXT(ROW(A77),"0")&amp;"."</f>
        <v>Controls "Off"/"On" for Rows 70:73.
Controls "Off" for Rows 74:77.</v>
      </c>
      <c r="P70" s="3258"/>
    </row>
    <row r="71" spans="1:16" ht="14.65" hidden="1" customHeight="1">
      <c r="B71" s="2579" t="s">
        <v>996</v>
      </c>
      <c r="C71" s="2579"/>
      <c r="D71" s="2579"/>
      <c r="E71" s="2579"/>
      <c r="F71" s="2579"/>
      <c r="G71" s="2579"/>
      <c r="H71" s="2579"/>
      <c r="I71" s="2579"/>
      <c r="L71" s="2570"/>
      <c r="O71" s="3202"/>
      <c r="P71" s="3202"/>
    </row>
    <row r="72" spans="1:16" ht="35.25" hidden="1" customHeight="1">
      <c r="B72" s="3181" t="s">
        <v>41</v>
      </c>
      <c r="C72" s="3181"/>
      <c r="D72" s="3181"/>
      <c r="E72" s="3181"/>
      <c r="F72" s="2546" t="str" cm="1">
        <f t="array" ref="F72">IF(RECAP&lt;&gt;"Yes","","Eligibility for funding is "&amp;IF(OR(RECAP_Except_1="Yes",RECAP_Except_2="Yes"),"","NOT ")&amp;"met from the responses below"&amp;IF(AND(RECAP_Except_1="No",RECAP_Except_2="Yes"),", subject to verification of RFA criteria.","."))</f>
        <v/>
      </c>
      <c r="G72" s="2546"/>
      <c r="H72" s="2546"/>
      <c r="I72" s="2546"/>
      <c r="L72" s="2570"/>
      <c r="O72" s="3259"/>
      <c r="P72" s="3259"/>
    </row>
    <row r="73" spans="1:16" ht="10.5" hidden="1" customHeight="1">
      <c r="L73" s="2570"/>
    </row>
    <row r="74" spans="1:16" ht="35.25" hidden="1" customHeight="1">
      <c r="B74" s="87" t="str">
        <f>IF(1&lt;2,"(1)","")</f>
        <v>(1)</v>
      </c>
      <c r="C74" s="2544" t="s">
        <v>1940</v>
      </c>
      <c r="D74" s="2544"/>
      <c r="E74" s="2544"/>
      <c r="F74" s="2544"/>
      <c r="G74" s="2544"/>
      <c r="H74" s="2544"/>
      <c r="I74" s="1265" t="str">
        <f>IF(RECAP&lt;&gt;"Yes","",IF(AND(Development_Category="New Construction",Development_SubCategory="Redevelopment (w/ or w/o Acquisition)",Data1!B274="Yes")=TRUE,"Yes","No"))</f>
        <v/>
      </c>
      <c r="L74" s="3210"/>
      <c r="M74" s="2569">
        <v>0</v>
      </c>
      <c r="O74" s="2458" t="str">
        <f>"Controls ""Off"" for Rows "&amp;TEXT(ROW(A74),"0")&amp;":"&amp;TEXT(ROW(A75),"0")&amp;"."</f>
        <v>Controls "Off" for Rows 74:75.</v>
      </c>
      <c r="P74" s="2458"/>
    </row>
    <row r="75" spans="1:16" ht="7.5" hidden="1" customHeight="1">
      <c r="B75" s="80"/>
      <c r="C75" s="826"/>
      <c r="D75" s="826"/>
      <c r="E75" s="826"/>
      <c r="F75" s="826"/>
      <c r="G75" s="826"/>
      <c r="H75" s="826"/>
      <c r="I75" s="1266"/>
      <c r="L75" s="3210"/>
      <c r="M75" s="2670"/>
      <c r="O75" s="2458"/>
      <c r="P75" s="2458"/>
    </row>
    <row r="76" spans="1:16" ht="35.25" hidden="1" customHeight="1">
      <c r="B76" s="87" t="str">
        <f>IF(1&lt;2,"(2)","")</f>
        <v>(2)</v>
      </c>
      <c r="C76" s="2544" t="s">
        <v>3183</v>
      </c>
      <c r="D76" s="2544"/>
      <c r="E76" s="2544"/>
      <c r="F76" s="2544"/>
      <c r="G76" s="2544"/>
      <c r="H76" s="2544"/>
      <c r="I76" s="2226" t="str">
        <f>LGAO_Designation_Prox_Score</f>
        <v>TBD</v>
      </c>
      <c r="L76" s="2570"/>
      <c r="M76" s="2569">
        <v>0</v>
      </c>
      <c r="O76" s="2458" t="str">
        <f>"Controls ""Off"" for Rows "&amp;TEXT(ROW(A76),"0")&amp;":"&amp;TEXT(ROW(A77),"0")&amp;"."</f>
        <v>Controls "Off" for Rows 76:77.</v>
      </c>
      <c r="P76" s="2458"/>
    </row>
    <row r="77" spans="1:16" ht="10.5" hidden="1" customHeight="1">
      <c r="L77" s="2571"/>
      <c r="M77" s="2670"/>
    </row>
    <row r="78" spans="1:16" ht="15" hidden="1" customHeight="1">
      <c r="A78" s="334" t="str" cm="1">
        <f t="array" ref="A78">IF($L78=0,"",CHAR(CODE(LOOKUP(2,1/(COUNTIF(A$3:A77,"&gt;"&amp;A$3:A77&amp;"*")=0),A$3:A77))+1))</f>
        <v/>
      </c>
      <c r="B78" s="25" t="s">
        <v>997</v>
      </c>
      <c r="C78" s="25"/>
      <c r="L78" s="2569">
        <v>0</v>
      </c>
      <c r="M78" s="264"/>
      <c r="O78" s="353" t="str">
        <f>"Controls Rows "&amp;TEXT(ROW(A78),"0")&amp;":"&amp;TEXT(ROW(A83),"0")&amp;". Only for RFA 203."</f>
        <v>Controls Rows 78:83. Only for RFA 203.</v>
      </c>
    </row>
    <row r="79" spans="1:16" ht="17.649999999999999" hidden="1" customHeight="1">
      <c r="B79" s="87" t="str">
        <f>IF(1&lt;2,"(1)","")</f>
        <v>(1)</v>
      </c>
      <c r="C79" s="865" t="s">
        <v>998</v>
      </c>
      <c r="D79" s="865"/>
      <c r="E79" s="865"/>
      <c r="F79" s="865"/>
      <c r="G79" s="865"/>
      <c r="H79" s="3289" t="s">
        <v>41</v>
      </c>
      <c r="I79" s="3289"/>
      <c r="L79" s="2570"/>
      <c r="O79" s="264"/>
    </row>
    <row r="80" spans="1:16" ht="7.5" hidden="1" customHeight="1">
      <c r="B80" s="87"/>
      <c r="C80" s="865"/>
      <c r="D80" s="865"/>
      <c r="E80" s="865"/>
      <c r="F80" s="865"/>
      <c r="G80" s="865"/>
      <c r="H80" s="51"/>
      <c r="I80" s="51"/>
      <c r="L80" s="2570"/>
      <c r="M80" s="1281"/>
      <c r="N80" s="855"/>
      <c r="O80" s="829"/>
    </row>
    <row r="81" spans="1:16" ht="65.25" hidden="1" customHeight="1">
      <c r="B81" s="87" t="str">
        <f>IF(1&lt;2,"(2)","")</f>
        <v>(2)</v>
      </c>
      <c r="C81" s="2544" t="s">
        <v>1819</v>
      </c>
      <c r="D81" s="2544"/>
      <c r="E81" s="2544"/>
      <c r="F81" s="2544"/>
      <c r="G81" s="2544"/>
      <c r="H81" s="1279" t="s">
        <v>41</v>
      </c>
      <c r="I81" s="892" t="str">
        <f>IFERROR(VLOOKUP(UrbanCenter_Name,Data2!$EJ$91:$EK$101,2),"")</f>
        <v>Level</v>
      </c>
      <c r="L81" s="2570"/>
      <c r="M81" s="264"/>
      <c r="O81" s="264"/>
    </row>
    <row r="82" spans="1:16" ht="17.649999999999999" hidden="1" customHeight="1">
      <c r="C82" s="806" t="s">
        <v>999</v>
      </c>
      <c r="L82" s="2570"/>
    </row>
    <row r="83" spans="1:16" ht="10.5" hidden="1" customHeight="1">
      <c r="L83" s="2571"/>
    </row>
    <row r="84" spans="1:16" ht="15" hidden="1" customHeight="1">
      <c r="A84" s="334"/>
      <c r="B84" s="25" t="s">
        <v>1812</v>
      </c>
      <c r="C84" s="25"/>
      <c r="L84" s="2569">
        <v>0</v>
      </c>
      <c r="O84" s="353" t="str">
        <f>"Controls Rows "&amp;TEXT(ROW(A84),"0")&amp;":"&amp;TEXT(ROW(A88),"0")&amp;". Only for RFA 203"</f>
        <v>Controls Rows 84:88. Only for RFA 203</v>
      </c>
    </row>
    <row r="85" spans="1:16" ht="17.649999999999999" hidden="1" customHeight="1">
      <c r="B85" s="1625" t="str">
        <f>IF(1&lt;2,"(3)","")</f>
        <v>(3)</v>
      </c>
      <c r="C85" s="865" t="s">
        <v>1813</v>
      </c>
      <c r="D85" s="865"/>
      <c r="E85" s="865"/>
      <c r="F85" s="865"/>
      <c r="G85" s="865"/>
      <c r="H85" s="3289" t="s">
        <v>41</v>
      </c>
      <c r="I85" s="3289"/>
      <c r="L85" s="2570"/>
      <c r="O85" s="264"/>
    </row>
    <row r="86" spans="1:16" ht="7.5" hidden="1" customHeight="1">
      <c r="B86" s="80"/>
      <c r="C86" s="865"/>
      <c r="D86" s="865"/>
      <c r="E86" s="865"/>
      <c r="F86" s="865"/>
      <c r="G86" s="865"/>
      <c r="H86" s="51"/>
      <c r="I86" s="51"/>
      <c r="L86" s="2570"/>
      <c r="N86" s="855"/>
      <c r="O86" s="829"/>
    </row>
    <row r="87" spans="1:16" ht="50.25" hidden="1" customHeight="1">
      <c r="B87" s="10" t="str">
        <f>IF(1&lt;2,"(4)","")</f>
        <v>(4)</v>
      </c>
      <c r="C87" s="2888" t="s">
        <v>1820</v>
      </c>
      <c r="D87" s="2888"/>
      <c r="E87" s="2888"/>
      <c r="F87" s="2888"/>
      <c r="G87" s="2888"/>
      <c r="H87" s="1279" t="s">
        <v>41</v>
      </c>
      <c r="I87" s="1282" t="str">
        <f>IFERROR(VLOOKUP(MetroRail_Name,Data2!EE91:EF114,2),"")</f>
        <v>Level</v>
      </c>
      <c r="L87" s="2570"/>
      <c r="O87" s="264"/>
    </row>
    <row r="88" spans="1:16" ht="10.5" hidden="1" customHeight="1">
      <c r="L88" s="2571"/>
    </row>
    <row r="89" spans="1:16" ht="15" hidden="1" customHeight="1">
      <c r="A89" s="505" t="str" cm="1">
        <f t="array" ref="A89">IF($L89=0,"",CHAR(CODE(LOOKUP(2,1/(COUNTIF(A$3:A88,"&gt;"&amp;A$3:A88&amp;"*")=0),A$3:A88))+1))</f>
        <v/>
      </c>
      <c r="B89" s="25" t="s">
        <v>1637</v>
      </c>
      <c r="L89" s="2624">
        <f>IF(COUNTIF(DS_LDA_Listed,"=Yes")&gt;0,IF(M89&gt;0,1,0),0)</f>
        <v>0</v>
      </c>
      <c r="M89" s="2569">
        <v>0</v>
      </c>
      <c r="O89" s="3242" t="str">
        <f>"Automatically turns ""Off"" when no LDA county is an eligible location. Otherwise controlled by M"&amp;TEXT(ROW(A89),"0")&amp;". Controls Rows "&amp;TEXT(ROW(A89),"0")&amp;":"&amp;TEXT(ROW(A92),"0")&amp;"."</f>
        <v>Automatically turns "Off" when no LDA county is an eligible location. Otherwise controlled by M89. Controls Rows 89:92.</v>
      </c>
      <c r="P89" s="3242"/>
    </row>
    <row r="90" spans="1:16" ht="7.5" hidden="1" customHeight="1">
      <c r="L90" s="2625"/>
      <c r="M90" s="2570"/>
      <c r="O90" s="3242"/>
      <c r="P90" s="3242"/>
    </row>
    <row r="91" spans="1:16" ht="17.25" hidden="1" customHeight="1">
      <c r="B91" s="2579" t="s">
        <v>1638</v>
      </c>
      <c r="C91" s="2579"/>
      <c r="D91" s="2579"/>
      <c r="E91" s="2579"/>
      <c r="F91" s="2579"/>
      <c r="G91" s="2579"/>
      <c r="H91" s="3255" t="str">
        <f>IF(LDA_Notice="LDA","Yes","No")</f>
        <v>No</v>
      </c>
      <c r="I91" s="3255"/>
      <c r="L91" s="2625"/>
      <c r="M91" s="2570"/>
      <c r="O91" s="3242"/>
      <c r="P91" s="3242"/>
    </row>
    <row r="92" spans="1:16" ht="7.5" hidden="1" customHeight="1">
      <c r="B92" s="846"/>
      <c r="C92" s="846"/>
      <c r="D92" s="846"/>
      <c r="E92" s="846"/>
      <c r="F92" s="846"/>
      <c r="G92" s="846"/>
      <c r="H92" s="1326"/>
      <c r="I92" s="1326"/>
      <c r="L92" s="2626"/>
      <c r="M92" s="2571"/>
      <c r="O92" s="3242"/>
      <c r="P92" s="3242"/>
    </row>
    <row r="93" spans="1:16" ht="17.649999999999999" hidden="1" customHeight="1">
      <c r="A93" s="505" t="str" cm="1">
        <f t="array" ref="A93">IF($L93=0,"",CHAR(CODE(LOOKUP(2,1/(COUNTIF(A$3:A92,"&gt;"&amp;A$3:A92&amp;"*")=0),A$3:A92))+1))</f>
        <v/>
      </c>
      <c r="B93" s="10" t="s">
        <v>2601</v>
      </c>
      <c r="C93" s="846"/>
      <c r="D93" s="846"/>
      <c r="E93" s="846"/>
      <c r="F93" s="846"/>
      <c r="G93" s="846"/>
      <c r="H93" s="1326"/>
      <c r="I93" s="1326"/>
      <c r="L93" s="2569">
        <v>0</v>
      </c>
      <c r="O93" s="353" t="str">
        <f>"Controls Rows "&amp;TEXT(ROW(A93),"0")&amp;":"&amp;TEXT(ROW(A95),"0")&amp;"."</f>
        <v>Controls Rows 93:95.</v>
      </c>
    </row>
    <row r="94" spans="1:16" ht="17.649999999999999" hidden="1" customHeight="1">
      <c r="B94" t="s">
        <v>3250</v>
      </c>
      <c r="C94" s="846"/>
      <c r="D94" s="846"/>
      <c r="E94" s="846"/>
      <c r="F94" s="846"/>
      <c r="G94" s="846"/>
      <c r="H94" s="1326"/>
      <c r="I94" s="1326"/>
      <c r="L94" s="2570"/>
    </row>
    <row r="95" spans="1:16" ht="17.649999999999999" hidden="1" customHeight="1">
      <c r="B95" s="846"/>
      <c r="C95" s="846"/>
      <c r="D95" s="846"/>
      <c r="E95" s="846"/>
      <c r="F95" s="846"/>
      <c r="G95" s="846"/>
      <c r="H95" s="1326"/>
      <c r="I95" s="1326"/>
      <c r="L95" s="2571"/>
    </row>
    <row r="96" spans="1:16" ht="35.25" customHeight="1">
      <c r="B96" s="2555" t="s">
        <v>2910</v>
      </c>
      <c r="C96" s="2556"/>
      <c r="D96" s="2556"/>
      <c r="E96" s="2556"/>
      <c r="F96" s="2556"/>
      <c r="G96" s="2556"/>
      <c r="H96" s="2556"/>
      <c r="I96" s="2557"/>
      <c r="L96" s="2852" t="s">
        <v>2737</v>
      </c>
    </row>
    <row r="97" spans="2:18" ht="17.649999999999999" customHeight="1">
      <c r="B97" s="247"/>
      <c r="C97" s="6" t="s">
        <v>1000</v>
      </c>
      <c r="D97" s="6"/>
      <c r="E97" s="6"/>
      <c r="F97" s="6"/>
      <c r="G97" s="6"/>
      <c r="H97" s="719">
        <f>IF(E31="Only one type of transit may be selected.","too many Transit Services",IF(Private_transportation="Yes",Data1!B508,0)+SUM(I24:I29))</f>
        <v>0</v>
      </c>
      <c r="I97" s="1397"/>
      <c r="L97" s="2853"/>
    </row>
    <row r="98" spans="2:18" ht="17.649999999999999" customHeight="1">
      <c r="B98" s="247"/>
      <c r="C98" s="6" t="s">
        <v>1001</v>
      </c>
      <c r="D98" s="6"/>
      <c r="E98" s="6"/>
      <c r="F98" s="6"/>
      <c r="G98" s="6"/>
      <c r="H98" s="749">
        <f>IF(E50="Only three Community Services may be selected.","too many Comm. Services",SUM(I46:I49))</f>
        <v>0</v>
      </c>
      <c r="I98" s="1397"/>
      <c r="L98" s="2853"/>
    </row>
    <row r="99" spans="2:18" ht="17.649999999999999" customHeight="1" thickBot="1">
      <c r="B99" s="247"/>
      <c r="C99" s="6" t="s">
        <v>1002</v>
      </c>
      <c r="D99" s="6"/>
      <c r="E99" s="6"/>
      <c r="F99" s="6"/>
      <c r="G99" s="6"/>
      <c r="H99" s="720">
        <f>IF(PHA_Prox_boost="Yes",Data1!B504,IF(RD_Prox_boost="Yes",Data1!B505,0))</f>
        <v>0</v>
      </c>
      <c r="I99" s="1397"/>
      <c r="L99" s="2853"/>
    </row>
    <row r="100" spans="2:18" ht="7.5" customHeight="1" thickTop="1">
      <c r="B100" s="1396"/>
      <c r="H100" s="24"/>
      <c r="I100" s="1397"/>
      <c r="L100" s="2853"/>
    </row>
    <row r="101" spans="2:18">
      <c r="B101" s="2341"/>
      <c r="C101" s="25" t="s">
        <v>1003</v>
      </c>
      <c r="H101" s="2342">
        <f>SUM(H97:H99)</f>
        <v>0</v>
      </c>
      <c r="I101" s="1397"/>
      <c r="L101" s="2853"/>
    </row>
    <row r="102" spans="2:18" ht="10.5" customHeight="1">
      <c r="B102" s="1396"/>
      <c r="H102" s="24"/>
      <c r="I102" s="1397"/>
      <c r="L102" s="3265"/>
    </row>
    <row r="103" spans="2:18" ht="40.15" hidden="1" customHeight="1">
      <c r="B103" s="2343" t="s">
        <v>1461</v>
      </c>
      <c r="C103" s="3300" t="s">
        <v>1004</v>
      </c>
      <c r="D103" s="3300"/>
      <c r="E103" s="3300"/>
      <c r="F103" s="3300"/>
      <c r="G103" s="3300"/>
      <c r="H103" s="2342" t="str">
        <f>IF(Name_of_proposed_Development="","TBD",IF(LGAO_Designation="Yes","Yes","No"))</f>
        <v>TBD</v>
      </c>
      <c r="I103" s="2344"/>
      <c r="J103" s="386"/>
      <c r="K103" s="2214"/>
      <c r="L103" s="2569">
        <v>0</v>
      </c>
      <c r="M103" s="3262" t="s">
        <v>2868</v>
      </c>
      <c r="N103" s="855"/>
      <c r="O103" s="861" t="s">
        <v>2768</v>
      </c>
      <c r="R103" s="312"/>
    </row>
    <row r="104" spans="2:18" ht="5.25" hidden="1" customHeight="1">
      <c r="B104" s="2343"/>
      <c r="C104" s="826"/>
      <c r="D104" s="826"/>
      <c r="E104" s="826"/>
      <c r="F104" s="826"/>
      <c r="G104" s="826"/>
      <c r="H104" s="444"/>
      <c r="I104" s="2345"/>
      <c r="J104" s="1645"/>
      <c r="K104" s="2220"/>
      <c r="L104" s="2571"/>
      <c r="M104" s="3263"/>
      <c r="N104" s="855"/>
      <c r="O104" s="861"/>
      <c r="R104" s="312"/>
    </row>
    <row r="105" spans="2:18" ht="40.15" hidden="1" customHeight="1">
      <c r="B105" s="2346" t="s">
        <v>1461</v>
      </c>
      <c r="C105" s="3300" t="s">
        <v>1006</v>
      </c>
      <c r="D105" s="3300"/>
      <c r="E105" s="3300"/>
      <c r="F105" s="3300"/>
      <c r="G105" s="3300"/>
      <c r="H105" s="2347" t="str">
        <f>IF(Name_of_proposed_Development="","TBD",IF(OR(County_Size="Medium",County_Size="Small",County="Lee",County="Polk",AND(L103=1,LGAO_Designation_Prox_Score="Yes"),AND(L113=1,SunRail_Prox_Score="Yes"),AND(L119=1,FL_Keys_Goal_Prox_Score="Yes")),"Yes - automatically",IF(AND(OR(PHA_Prox_boost="Yes",RD_Prox_boost="Yes"),transit_points_achieved&gt;=Data1!B526),"Yes",IF(transit_points_achieved&gt;=Data1!B527,"Yes","No"))))</f>
        <v>TBD</v>
      </c>
      <c r="I105" s="2219"/>
      <c r="J105" s="477"/>
      <c r="K105" s="2219"/>
      <c r="L105" s="2569">
        <v>0</v>
      </c>
      <c r="M105" s="3263"/>
      <c r="O105" s="858" t="s">
        <v>2768</v>
      </c>
    </row>
    <row r="106" spans="2:18" ht="5.25" hidden="1" customHeight="1">
      <c r="B106" s="2348"/>
      <c r="C106" s="2222"/>
      <c r="D106" s="2222"/>
      <c r="E106" s="2222"/>
      <c r="F106" s="2222"/>
      <c r="G106" s="2222"/>
      <c r="H106" s="2349"/>
      <c r="I106" s="2220"/>
      <c r="J106" s="1645"/>
      <c r="K106" s="2220"/>
      <c r="L106" s="2571"/>
      <c r="M106" s="3263"/>
      <c r="O106" s="858"/>
    </row>
    <row r="107" spans="2:18" ht="40.15" hidden="1" customHeight="1">
      <c r="B107" s="2350" t="s">
        <v>1461</v>
      </c>
      <c r="C107" s="3298" t="s">
        <v>1007</v>
      </c>
      <c r="D107" s="3298"/>
      <c r="E107" s="3298"/>
      <c r="F107" s="3298"/>
      <c r="G107" s="3298"/>
      <c r="H107" s="2347" t="str">
        <f>IF(Name_of_proposed_Development="","TBD",IF(OR(AND(L103=1,LGAO_Designation_Prox_Score="Yes"),AND(L113=1,SunRail_Prox_Score="Yes"),AND(L119=1,FL_Keys_Goal_Prox_Score="Yes")),"Yes - automatically",IF(AND(County_Size="Small",total_proximity_points_achieved&gt;=Data1!B520),"Yes",IF(AND(OR(County="Lee",County="Polk",County_Size="Medium"),total_proximity_points_achieved&gt;=Data1!B519),"Yes",IF(AND(County&lt;&gt;"Lee",County&lt;&gt;"Polk",County_Size="Large",total_proximity_points_achieved&gt;=Data1!B518),"Yes","No")))))</f>
        <v>TBD</v>
      </c>
      <c r="I107" s="2219"/>
      <c r="J107" s="477"/>
      <c r="K107" s="2219"/>
      <c r="L107" s="2569">
        <v>0</v>
      </c>
      <c r="M107" s="3263"/>
      <c r="O107" s="858" t="s">
        <v>2768</v>
      </c>
    </row>
    <row r="108" spans="2:18" ht="5.25" hidden="1" customHeight="1">
      <c r="B108" s="2351"/>
      <c r="C108" s="826"/>
      <c r="D108" s="826"/>
      <c r="E108" s="826"/>
      <c r="F108" s="826"/>
      <c r="G108" s="826"/>
      <c r="H108" s="2349"/>
      <c r="I108" s="2220"/>
      <c r="J108" s="1645"/>
      <c r="K108" s="2220"/>
      <c r="L108" s="2571"/>
      <c r="M108" s="3263"/>
      <c r="O108" s="858"/>
    </row>
    <row r="109" spans="2:18" ht="40.15" customHeight="1">
      <c r="B109" s="2350" t="s">
        <v>1461</v>
      </c>
      <c r="C109" s="3298" t="s">
        <v>1008</v>
      </c>
      <c r="D109" s="3298"/>
      <c r="E109" s="3298"/>
      <c r="F109" s="3298"/>
      <c r="G109" s="3298"/>
      <c r="H109" s="2342" t="str">
        <f>IF(Name_of_proposed_Development="","TBD",IF(AND(County_Size="Small",OR(H119="Yes",total_proximity_points_achieved&gt;=Data1!B524)),"Yes",IF(AND(OR(County="Lee",County="Polk",County_Size="Medium"),total_proximity_points_achieved&gt;=Data1!B523),"Yes",IF(AND(County&lt;&gt;"Lee",County&lt;&gt;"Polk",County_Size="Large",total_proximity_points_achieved&gt;=Data1!B522),"Yes","No"))))</f>
        <v>TBD</v>
      </c>
      <c r="I109" s="2219"/>
      <c r="J109" s="477"/>
      <c r="K109" s="2219"/>
      <c r="L109" s="2569">
        <v>1</v>
      </c>
      <c r="M109" s="3263"/>
      <c r="O109" s="858" t="s">
        <v>2768</v>
      </c>
    </row>
    <row r="110" spans="2:18" ht="5.25" customHeight="1">
      <c r="B110" s="2352"/>
      <c r="C110" s="2223"/>
      <c r="D110" s="2223"/>
      <c r="E110" s="2223"/>
      <c r="F110" s="2223"/>
      <c r="G110" s="2223"/>
      <c r="H110" s="444"/>
      <c r="I110" s="2220"/>
      <c r="J110" s="1645"/>
      <c r="K110" s="2220"/>
      <c r="L110" s="2571"/>
      <c r="M110" s="3263"/>
      <c r="O110" s="858"/>
    </row>
    <row r="111" spans="2:18" ht="40.15" hidden="1" customHeight="1">
      <c r="B111" s="2350" t="s">
        <v>1461</v>
      </c>
      <c r="C111" s="3298" t="s">
        <v>2151</v>
      </c>
      <c r="D111" s="3298"/>
      <c r="E111" s="3298"/>
      <c r="F111" s="3298"/>
      <c r="G111" s="3298"/>
      <c r="H111" s="2353">
        <f>total_proximity_points_achieved-PHA_or_RD_points_achieved</f>
        <v>0</v>
      </c>
      <c r="I111" s="2219"/>
      <c r="J111" s="477"/>
      <c r="K111" s="2219"/>
      <c r="L111" s="2569">
        <v>0</v>
      </c>
      <c r="M111" s="3263"/>
      <c r="O111" s="858" t="s">
        <v>2768</v>
      </c>
    </row>
    <row r="112" spans="2:18" ht="5.25" hidden="1" customHeight="1">
      <c r="B112" s="2352"/>
      <c r="C112" s="2223"/>
      <c r="D112" s="2223"/>
      <c r="E112" s="2223"/>
      <c r="F112" s="2223"/>
      <c r="G112" s="2223"/>
      <c r="H112" s="823"/>
      <c r="I112" s="2220"/>
      <c r="J112" s="1645"/>
      <c r="K112" s="2220"/>
      <c r="L112" s="2571"/>
      <c r="M112" s="3263"/>
      <c r="O112" s="858"/>
    </row>
    <row r="113" spans="2:18" ht="40.15" hidden="1" customHeight="1">
      <c r="B113" s="2350" t="s">
        <v>1461</v>
      </c>
      <c r="C113" s="3298" t="s">
        <v>1540</v>
      </c>
      <c r="D113" s="3298"/>
      <c r="E113" s="3298"/>
      <c r="F113" s="3298"/>
      <c r="G113" s="3298"/>
      <c r="H113" s="2342" t="str">
        <f>IF(Name_of_proposed_Development="","TBD",IF(AND(SunRail_Goal="Yes",SunRail_Name&lt;&gt;"&lt;select one&gt;",Transit_Rail_distance&lt;=0.5),"Yes","No"))</f>
        <v>TBD</v>
      </c>
      <c r="I113" s="2219"/>
      <c r="J113" s="477"/>
      <c r="K113" s="2219"/>
      <c r="L113" s="2569">
        <v>0</v>
      </c>
      <c r="M113" s="3263"/>
      <c r="O113" s="858" t="s">
        <v>2768</v>
      </c>
      <c r="R113" s="264"/>
    </row>
    <row r="114" spans="2:18" ht="5.25" hidden="1" customHeight="1">
      <c r="B114" s="2354"/>
      <c r="C114" s="2221"/>
      <c r="D114" s="2221"/>
      <c r="E114" s="2221"/>
      <c r="F114" s="2221"/>
      <c r="G114" s="2221"/>
      <c r="H114" s="444"/>
      <c r="I114" s="2220"/>
      <c r="J114" s="1645"/>
      <c r="K114" s="2220"/>
      <c r="L114" s="2571"/>
      <c r="M114" s="3263"/>
      <c r="O114" s="858"/>
      <c r="R114" s="264"/>
    </row>
    <row r="115" spans="2:18" ht="40.15" hidden="1" customHeight="1">
      <c r="B115" s="2350" t="s">
        <v>1461</v>
      </c>
      <c r="C115" s="3298" t="s">
        <v>2867</v>
      </c>
      <c r="D115" s="3298"/>
      <c r="E115" s="3298"/>
      <c r="F115" s="3298"/>
      <c r="G115" s="3298"/>
      <c r="H115" s="2342" t="str">
        <f>IF(Name_of_proposed_Development="","TBD",IF(OR(G62&lt;&gt;"",G63&lt;&gt;"",G64&lt;&gt;"",G65&lt;&gt;""),"No","Yes"))</f>
        <v>TBD</v>
      </c>
      <c r="I115" s="2219"/>
      <c r="J115" s="477"/>
      <c r="K115" s="2219"/>
      <c r="L115" s="2569">
        <v>0</v>
      </c>
      <c r="M115" s="3263"/>
      <c r="N115" s="855"/>
      <c r="O115" s="858" t="s">
        <v>2768</v>
      </c>
      <c r="R115" s="312"/>
    </row>
    <row r="116" spans="2:18" ht="5.25" hidden="1" customHeight="1">
      <c r="B116" s="2354"/>
      <c r="C116" s="2221"/>
      <c r="D116" s="2221"/>
      <c r="E116" s="2221"/>
      <c r="F116" s="2221"/>
      <c r="G116" s="2221"/>
      <c r="H116" s="444"/>
      <c r="I116" s="2220"/>
      <c r="J116" s="1645"/>
      <c r="K116" s="2220"/>
      <c r="L116" s="2571"/>
      <c r="M116" s="3263"/>
      <c r="N116" s="855"/>
      <c r="O116" s="858"/>
      <c r="R116" s="312"/>
    </row>
    <row r="117" spans="2:18" ht="40.15" hidden="1" customHeight="1">
      <c r="B117" s="2355" t="s">
        <v>1461</v>
      </c>
      <c r="C117" s="3299" t="s">
        <v>2474</v>
      </c>
      <c r="D117" s="3299"/>
      <c r="E117" s="3299"/>
      <c r="F117" s="3299"/>
      <c r="G117" s="3299"/>
      <c r="H117" s="2342" t="str">
        <f>IF(Name_of_proposed_Development="","TBD",IF(OR(AND(UrbanCenter="Yes",UrbanCenter_Name&lt;&gt;"&lt;select one&gt;",N(Transit_PBS_points)+N(Transit_BTS_points)+N(Transit_PBRTS_points)+N(Transit_Rail_points)&gt;=5),AND(MetroRail="Yes",MetroRail_Name&lt;&gt;"&lt;select one&gt;",N(Transit_Rail_points)&gt;=5.5)),"Yes","No"))</f>
        <v>TBD</v>
      </c>
      <c r="I117" s="2219"/>
      <c r="J117" s="477"/>
      <c r="K117" s="2219"/>
      <c r="L117" s="2569">
        <v>0</v>
      </c>
      <c r="M117" s="3263"/>
      <c r="O117" s="858" t="s">
        <v>2768</v>
      </c>
    </row>
    <row r="118" spans="2:18" ht="5.25" hidden="1" customHeight="1">
      <c r="B118" s="2356"/>
      <c r="C118" s="2218"/>
      <c r="D118" s="2218"/>
      <c r="E118" s="2218"/>
      <c r="F118" s="2218"/>
      <c r="G118" s="2218"/>
      <c r="H118" s="444"/>
      <c r="I118" s="2220"/>
      <c r="J118" s="1645"/>
      <c r="K118" s="2220"/>
      <c r="L118" s="2571"/>
      <c r="M118" s="3263"/>
      <c r="O118" s="858"/>
    </row>
    <row r="119" spans="2:18" ht="55.15" hidden="1" customHeight="1">
      <c r="B119" s="2355" t="s">
        <v>1461</v>
      </c>
      <c r="C119" s="3299" t="s">
        <v>2602</v>
      </c>
      <c r="D119" s="3299"/>
      <c r="E119" s="3299"/>
      <c r="F119" s="3299"/>
      <c r="G119" s="3299"/>
      <c r="H119" s="2342" t="str">
        <f>IF(Name_of_proposed_Development="","TBD",IF(AND(Priority_Level="Priority 1",County="Monroe"),"Yes","No"))</f>
        <v>TBD</v>
      </c>
      <c r="I119" s="2219"/>
      <c r="J119" s="477"/>
      <c r="K119" s="2219"/>
      <c r="L119" s="2569">
        <v>0</v>
      </c>
      <c r="M119" s="3263"/>
      <c r="O119" s="858" t="s">
        <v>2768</v>
      </c>
    </row>
    <row r="120" spans="2:18" ht="5.25" hidden="1" customHeight="1">
      <c r="B120" s="2356"/>
      <c r="C120" s="2218"/>
      <c r="D120" s="2218"/>
      <c r="E120" s="2218"/>
      <c r="F120" s="2218"/>
      <c r="G120" s="2218"/>
      <c r="H120" s="444"/>
      <c r="I120" s="2220"/>
      <c r="J120" s="1645"/>
      <c r="K120" s="2220"/>
      <c r="L120" s="2571"/>
      <c r="M120" s="3263"/>
      <c r="O120" s="858"/>
    </row>
    <row r="121" spans="2:18" ht="55.15" hidden="1" customHeight="1">
      <c r="B121" s="2350" t="s">
        <v>1461</v>
      </c>
      <c r="C121" s="3298" t="s">
        <v>1005</v>
      </c>
      <c r="D121" s="3298"/>
      <c r="E121" s="3298"/>
      <c r="F121" s="3298"/>
      <c r="G121" s="3298"/>
      <c r="H121" s="2342" t="str">
        <f>IF(Name_of_proposed_Development="","TBD",IF(DS_ExcelCheckbox_LGAO_Prior_App_2YR=TRUE,"Yes","No"))</f>
        <v>TBD</v>
      </c>
      <c r="I121" s="2219"/>
      <c r="J121" s="477"/>
      <c r="K121" s="2219"/>
      <c r="L121" s="2002">
        <v>0</v>
      </c>
      <c r="M121" s="3264"/>
      <c r="O121" s="858" t="s">
        <v>2768</v>
      </c>
    </row>
    <row r="122" spans="2:18" ht="10.5" customHeight="1">
      <c r="B122" s="2357"/>
      <c r="C122" s="2358"/>
      <c r="D122" s="2358"/>
      <c r="E122" s="2358"/>
      <c r="F122" s="2358"/>
      <c r="G122" s="2358"/>
      <c r="H122" s="2358"/>
      <c r="I122" s="1952"/>
      <c r="L122" s="2702" t="s">
        <v>2737</v>
      </c>
      <c r="M122" s="2703"/>
      <c r="N122" s="2704"/>
    </row>
  </sheetData>
  <sheetProtection algorithmName="SHA-512" hashValue="XmkdXNi1ApKVKmVjs5qsfxin/CTb2mub9RktaqIwg/e93MdCVtRAxmqtKGuj8L8iGf6yMfjUucbkvEaHwp0YOg==" saltValue="0AjCo7pHuNHIzexhFL1GvQ==" spinCount="100000" sheet="1" selectLockedCells="1"/>
  <mergeCells count="105">
    <mergeCell ref="H91:I91"/>
    <mergeCell ref="B91:G91"/>
    <mergeCell ref="L93:L95"/>
    <mergeCell ref="B96:I96"/>
    <mergeCell ref="C103:G103"/>
    <mergeCell ref="C105:G105"/>
    <mergeCell ref="C107:G107"/>
    <mergeCell ref="C109:G109"/>
    <mergeCell ref="C111:G111"/>
    <mergeCell ref="C113:G113"/>
    <mergeCell ref="C115:G115"/>
    <mergeCell ref="C117:G117"/>
    <mergeCell ref="C119:G119"/>
    <mergeCell ref="C121:G121"/>
    <mergeCell ref="L103:L104"/>
    <mergeCell ref="L105:L106"/>
    <mergeCell ref="L107:L108"/>
    <mergeCell ref="L109:L110"/>
    <mergeCell ref="L111:L112"/>
    <mergeCell ref="L21:L30"/>
    <mergeCell ref="L31:L34"/>
    <mergeCell ref="L35:L41"/>
    <mergeCell ref="L42:L52"/>
    <mergeCell ref="L17:L20"/>
    <mergeCell ref="L2:P2"/>
    <mergeCell ref="L10:L13"/>
    <mergeCell ref="L5:L8"/>
    <mergeCell ref="L9:N9"/>
    <mergeCell ref="O5:O6"/>
    <mergeCell ref="O17:P20"/>
    <mergeCell ref="B71:I71"/>
    <mergeCell ref="C81:G81"/>
    <mergeCell ref="H79:I79"/>
    <mergeCell ref="C87:G87"/>
    <mergeCell ref="H85:I85"/>
    <mergeCell ref="F72:I72"/>
    <mergeCell ref="B64:F64"/>
    <mergeCell ref="B55:E55"/>
    <mergeCell ref="B58:E58"/>
    <mergeCell ref="H68:I68"/>
    <mergeCell ref="B72:E72"/>
    <mergeCell ref="C74:H74"/>
    <mergeCell ref="C76:H76"/>
    <mergeCell ref="E66:I66"/>
    <mergeCell ref="I24:I26"/>
    <mergeCell ref="C43:I43"/>
    <mergeCell ref="D40:I40"/>
    <mergeCell ref="D37:E37"/>
    <mergeCell ref="B51:I51"/>
    <mergeCell ref="B65:F65"/>
    <mergeCell ref="B63:F63"/>
    <mergeCell ref="B61:F61"/>
    <mergeCell ref="B60:I60"/>
    <mergeCell ref="G64:I64"/>
    <mergeCell ref="B62:F62"/>
    <mergeCell ref="G62:I62"/>
    <mergeCell ref="G63:I63"/>
    <mergeCell ref="G65:I65"/>
    <mergeCell ref="H8:H9"/>
    <mergeCell ref="G61:I61"/>
    <mergeCell ref="L14:L16"/>
    <mergeCell ref="A1:I1"/>
    <mergeCell ref="D6:H6"/>
    <mergeCell ref="D7:E7"/>
    <mergeCell ref="B54:I54"/>
    <mergeCell ref="B57:I57"/>
    <mergeCell ref="I5:I9"/>
    <mergeCell ref="D18:H18"/>
    <mergeCell ref="F19:H20"/>
    <mergeCell ref="I17:I18"/>
    <mergeCell ref="I10:I11"/>
    <mergeCell ref="I2:I4"/>
    <mergeCell ref="L60:L66"/>
    <mergeCell ref="L57:L59"/>
    <mergeCell ref="D10:H10"/>
    <mergeCell ref="D19:E19"/>
    <mergeCell ref="E33:I33"/>
    <mergeCell ref="F55:I55"/>
    <mergeCell ref="E31:I31"/>
    <mergeCell ref="C16:I16"/>
    <mergeCell ref="D11:E11"/>
    <mergeCell ref="G21:I21"/>
    <mergeCell ref="L122:N122"/>
    <mergeCell ref="O53:P53"/>
    <mergeCell ref="O54:P56"/>
    <mergeCell ref="O60:P60"/>
    <mergeCell ref="L54:L56"/>
    <mergeCell ref="L113:L114"/>
    <mergeCell ref="L115:L116"/>
    <mergeCell ref="L117:L118"/>
    <mergeCell ref="L119:L120"/>
    <mergeCell ref="O89:P92"/>
    <mergeCell ref="O67:P69"/>
    <mergeCell ref="O70:P72"/>
    <mergeCell ref="L84:L88"/>
    <mergeCell ref="L89:L92"/>
    <mergeCell ref="M89:M92"/>
    <mergeCell ref="L70:L77"/>
    <mergeCell ref="L78:L83"/>
    <mergeCell ref="L67:L69"/>
    <mergeCell ref="M67:M69"/>
    <mergeCell ref="M103:M121"/>
    <mergeCell ref="L96:L102"/>
    <mergeCell ref="M74:M75"/>
    <mergeCell ref="M76:M77"/>
  </mergeCells>
  <conditionalFormatting sqref="A67:I69">
    <cfRule type="expression" dxfId="759" priority="11862">
      <formula>$L$67=0</formula>
    </cfRule>
  </conditionalFormatting>
  <conditionalFormatting sqref="A70:I77">
    <cfRule type="expression" dxfId="758" priority="11892">
      <formula>$L$70=0</formula>
    </cfRule>
  </conditionalFormatting>
  <conditionalFormatting sqref="A74:I75">
    <cfRule type="expression" dxfId="757" priority="11922">
      <formula>$M$74=0</formula>
    </cfRule>
  </conditionalFormatting>
  <conditionalFormatting sqref="A76:I77">
    <cfRule type="expression" dxfId="756" priority="2">
      <formula>$M$76=0</formula>
    </cfRule>
  </conditionalFormatting>
  <conditionalFormatting sqref="A78:I83">
    <cfRule type="expression" dxfId="755" priority="11952">
      <formula>$L$78=0</formula>
    </cfRule>
  </conditionalFormatting>
  <conditionalFormatting sqref="A84:I88">
    <cfRule type="expression" dxfId="754" priority="11983">
      <formula>$L$84=0</formula>
    </cfRule>
  </conditionalFormatting>
  <conditionalFormatting sqref="A89:I92">
    <cfRule type="expression" dxfId="753" priority="12013">
      <formula>$L$89=0</formula>
    </cfRule>
  </conditionalFormatting>
  <conditionalFormatting sqref="A93:I95">
    <cfRule type="expression" dxfId="752" priority="12043">
      <formula>$L$93=0</formula>
    </cfRule>
  </conditionalFormatting>
  <conditionalFormatting sqref="B60">
    <cfRule type="expression" dxfId="751" priority="92">
      <formula>Proximity_list_related&lt;&gt;"Yes"</formula>
    </cfRule>
  </conditionalFormatting>
  <conditionalFormatting sqref="B55:E55">
    <cfRule type="expression" dxfId="750" priority="156">
      <formula>AND($B$55="Yes",LDA_Notice="LDA")</formula>
    </cfRule>
  </conditionalFormatting>
  <conditionalFormatting sqref="B61:F65">
    <cfRule type="expression" dxfId="749" priority="90">
      <formula>AND(Proximity_list_related="Yes",$B61&lt;&gt;"&lt;select one&gt;")</formula>
    </cfRule>
    <cfRule type="expression" dxfId="748" priority="161">
      <formula>AND(Proximity_list_related&lt;&gt;"Yes",$B61="&lt;select one&gt;")</formula>
    </cfRule>
    <cfRule type="expression" dxfId="747" priority="159">
      <formula>AND(Proximity_list_related&lt;&gt;"Yes",$B61&lt;&gt;"&lt;select one&gt;")</formula>
    </cfRule>
  </conditionalFormatting>
  <conditionalFormatting sqref="B81:G82">
    <cfRule type="expression" dxfId="746" priority="207">
      <formula>UrbanCenter&lt;&gt;"Yes"</formula>
    </cfRule>
  </conditionalFormatting>
  <conditionalFormatting sqref="B87:G87">
    <cfRule type="expression" dxfId="745" priority="204">
      <formula>MetroRail&lt;&gt;"Yes"</formula>
    </cfRule>
  </conditionalFormatting>
  <conditionalFormatting sqref="B103:G103 B105:G105 B107:G107 B109:G109 B111:G111 B113:G113 B115:G115 B117:G117 B119:G119 B121:G121">
    <cfRule type="expression" dxfId="744" priority="5">
      <formula>$H103="No"</formula>
    </cfRule>
  </conditionalFormatting>
  <conditionalFormatting sqref="B3:H3">
    <cfRule type="expression" dxfId="743" priority="11696">
      <formula>AND($L$5=0,$L$10=0,$L$17=0,$L$21=0,$L$35=0,$L$42=0)</formula>
    </cfRule>
  </conditionalFormatting>
  <conditionalFormatting sqref="B4:H5 I5:I13">
    <cfRule type="expression" dxfId="742" priority="11333">
      <formula>$L$5+$L$10=0</formula>
    </cfRule>
  </conditionalFormatting>
  <conditionalFormatting sqref="B5:H7 B8:G8">
    <cfRule type="expression" dxfId="741" priority="11269">
      <formula>$L$5=0</formula>
    </cfRule>
  </conditionalFormatting>
  <conditionalFormatting sqref="B10:I13">
    <cfRule type="expression" dxfId="740" priority="11308">
      <formula>$L$10=0</formula>
    </cfRule>
  </conditionalFormatting>
  <conditionalFormatting sqref="B14:I16 B17:H17 B42">
    <cfRule type="expression" dxfId="739" priority="11629">
      <formula>AND($L$17=0,$L$21=0)</formula>
    </cfRule>
  </conditionalFormatting>
  <conditionalFormatting sqref="B17:I20">
    <cfRule type="expression" dxfId="738" priority="11365">
      <formula>$L$17=0</formula>
    </cfRule>
  </conditionalFormatting>
  <conditionalFormatting sqref="B21:I30">
    <cfRule type="expression" dxfId="737" priority="11624">
      <formula>$L$21=0</formula>
    </cfRule>
  </conditionalFormatting>
  <conditionalFormatting sqref="B24:I29">
    <cfRule type="expression" dxfId="736" priority="133">
      <formula>$M24=0</formula>
    </cfRule>
  </conditionalFormatting>
  <conditionalFormatting sqref="B35:I41">
    <cfRule type="expression" dxfId="735" priority="11662">
      <formula>$L$35=0</formula>
    </cfRule>
  </conditionalFormatting>
  <conditionalFormatting sqref="B43:I52 C42:I42">
    <cfRule type="expression" dxfId="734" priority="11692">
      <formula>$L$42=0</formula>
    </cfRule>
  </conditionalFormatting>
  <conditionalFormatting sqref="B53:I53">
    <cfRule type="expression" dxfId="733" priority="11832">
      <formula>$L$54+$L$57=0</formula>
    </cfRule>
  </conditionalFormatting>
  <conditionalFormatting sqref="B54:I54 B55:F55 B56:I56">
    <cfRule type="expression" dxfId="732" priority="11796">
      <formula>$L$54=0</formula>
    </cfRule>
  </conditionalFormatting>
  <conditionalFormatting sqref="B57:I65 B66:E66">
    <cfRule type="expression" dxfId="731" priority="11829">
      <formula>$L$60=0</formula>
    </cfRule>
  </conditionalFormatting>
  <conditionalFormatting sqref="B74:I76">
    <cfRule type="expression" dxfId="730" priority="180">
      <formula>RECAP&lt;&gt;"Yes"</formula>
    </cfRule>
  </conditionalFormatting>
  <conditionalFormatting sqref="B105:I105 B107:I107 B103:I103 B109:I109 B111:I111 B113:I113 B115:I115 B117:I117 B119:I119 B121:I121">
    <cfRule type="expression" dxfId="729" priority="1772">
      <formula>$L103=0</formula>
    </cfRule>
  </conditionalFormatting>
  <conditionalFormatting sqref="B106:I106 B108:I108 B104:I104 B110:I110 B112:I112 B114:I114 B116:I116 B118:I118 B120:I120">
    <cfRule type="expression" dxfId="728" priority="12073">
      <formula>$L103=0</formula>
    </cfRule>
  </conditionalFormatting>
  <conditionalFormatting sqref="C18:D18">
    <cfRule type="expression" dxfId="727" priority="122">
      <formula>AND(Demographic&lt;&gt;"Elderly Non-ALF",Demographic&lt;&gt;"Elderly ALF",Demographic&lt;&gt;"&lt;select one&gt;")</formula>
    </cfRule>
  </conditionalFormatting>
  <conditionalFormatting sqref="D7:E7 D11:E11 D19:E19 D37:E37 D40:I40 B55:E55 B58:E58 B61:F65 B72:E72 H79:I79 H81 H85:I85 H87">
    <cfRule type="cellIs" dxfId="726" priority="79" operator="equal">
      <formula>""</formula>
    </cfRule>
  </conditionalFormatting>
  <conditionalFormatting sqref="D19:E19">
    <cfRule type="expression" dxfId="725" priority="125">
      <formula>AND(Demographic&lt;&gt;"Elderly Non-ALF",Demographic&lt;&gt;"Elderly ALF",Demographic&lt;&gt;"&lt;select one&gt;")</formula>
    </cfRule>
  </conditionalFormatting>
  <conditionalFormatting sqref="D8:G8">
    <cfRule type="expression" dxfId="724" priority="109">
      <formula>PHA_Prox_boost&lt;&gt;"Yes"</formula>
    </cfRule>
  </conditionalFormatting>
  <conditionalFormatting sqref="D12:H12">
    <cfRule type="expression" dxfId="723" priority="112">
      <formula>RD_Prox_boost&lt;&gt;"Yes"</formula>
    </cfRule>
  </conditionalFormatting>
  <conditionalFormatting sqref="D39:I40">
    <cfRule type="expression" dxfId="722" priority="143">
      <formula>SunRail_Goal&lt;&gt;"Yes"</formula>
    </cfRule>
  </conditionalFormatting>
  <conditionalFormatting sqref="D40:I40">
    <cfRule type="expression" dxfId="721" priority="138">
      <formula>AND(SunRail_Goal="Yes",SunRail_Name&lt;&gt;"&lt;select one&gt;")</formula>
    </cfRule>
    <cfRule type="expression" dxfId="720" priority="139">
      <formula>AND(SunRail_Goal&lt;&gt;"Yes",SunRail_Name="&lt;select one&gt;")</formula>
    </cfRule>
    <cfRule type="expression" dxfId="719" priority="141">
      <formula>AND(SunRail_Goal&lt;&gt;"Yes",SunRail_Name&lt;&gt;"&lt;select one&gt;")</formula>
    </cfRule>
  </conditionalFormatting>
  <conditionalFormatting sqref="E31 E33">
    <cfRule type="expression" dxfId="718" priority="135">
      <formula>AND($E31&lt;&gt;"This area intentionally left blank.",$E31&lt;&gt;"")</formula>
    </cfRule>
  </conditionalFormatting>
  <conditionalFormatting sqref="E50:G50">
    <cfRule type="expression" dxfId="717" priority="148">
      <formula>$E50="Only three Community Services may be selected."</formula>
    </cfRule>
  </conditionalFormatting>
  <conditionalFormatting sqref="E23:I29">
    <cfRule type="expression" dxfId="716" priority="132">
      <formula>$D$19="Yes"</formula>
    </cfRule>
  </conditionalFormatting>
  <conditionalFormatting sqref="E31:I31 E33:I33">
    <cfRule type="cellIs" dxfId="715" priority="136" operator="equal">
      <formula>"This area intentionally left blank."</formula>
    </cfRule>
  </conditionalFormatting>
  <conditionalFormatting sqref="F24:H29 F46:H49">
    <cfRule type="cellIs" dxfId="714" priority="147" operator="notEqual">
      <formula>""</formula>
    </cfRule>
  </conditionalFormatting>
  <conditionalFormatting sqref="F24:I29">
    <cfRule type="expression" dxfId="713" priority="134">
      <formula>$D$19="Yes"</formula>
    </cfRule>
  </conditionalFormatting>
  <conditionalFormatting sqref="F72:I72">
    <cfRule type="expression" dxfId="712" priority="168">
      <formula>IFERROR(FIND("NOT",$F72),0)&gt;0</formula>
    </cfRule>
  </conditionalFormatting>
  <conditionalFormatting sqref="G9">
    <cfRule type="expression" dxfId="711" priority="11314">
      <formula>$L$10&gt;0</formula>
    </cfRule>
    <cfRule type="expression" dxfId="710" priority="11313">
      <formula>AND(Boost_Points=0,$L$10=0)</formula>
    </cfRule>
  </conditionalFormatting>
  <conditionalFormatting sqref="G21:I21">
    <cfRule type="cellIs" dxfId="709" priority="130" operator="notEqual">
      <formula>""</formula>
    </cfRule>
  </conditionalFormatting>
  <conditionalFormatting sqref="G62:I65">
    <cfRule type="expression" dxfId="708" priority="53">
      <formula>G62&lt;&gt;""</formula>
    </cfRule>
  </conditionalFormatting>
  <conditionalFormatting sqref="H7">
    <cfRule type="expression" dxfId="707" priority="108">
      <formula>PHA_Prox_boost&lt;&gt;"Yes"</formula>
    </cfRule>
  </conditionalFormatting>
  <conditionalFormatting sqref="H8:H9">
    <cfRule type="expression" dxfId="706" priority="11312">
      <formula>AND($L$10=0,Boost_Points&gt;0)</formula>
    </cfRule>
    <cfRule type="expression" dxfId="705" priority="11311">
      <formula>AND($L$10=0,Boost_Points=0)</formula>
    </cfRule>
  </conditionalFormatting>
  <conditionalFormatting sqref="H81">
    <cfRule type="expression" dxfId="704" priority="84">
      <formula>AND(UrbanCenter="Yes",UrbanCenter_Name&lt;&gt;"&lt;select one&gt;",UrbanCenter_Name&lt;&gt;"")</formula>
    </cfRule>
    <cfRule type="expression" dxfId="703" priority="89">
      <formula>UrbanCenter&lt;&gt;"Yes"</formula>
    </cfRule>
    <cfRule type="expression" dxfId="702" priority="107">
      <formula>AND($H$79="Yes",$H$81="&lt;select one&gt;")</formula>
    </cfRule>
  </conditionalFormatting>
  <conditionalFormatting sqref="H87">
    <cfRule type="expression" dxfId="701" priority="209">
      <formula>AND(MetroRail="Yes",MetroRail_Name&lt;&gt;"&lt;select one&gt;",MetroRail_Name&lt;&gt;"")</formula>
    </cfRule>
    <cfRule type="expression" dxfId="700" priority="231">
      <formula>MetroRail&lt;&gt;"Yes"</formula>
    </cfRule>
    <cfRule type="expression" dxfId="699" priority="234">
      <formula>AND($H$85="Yes",$H$87="&lt;select one&gt;")</formula>
    </cfRule>
  </conditionalFormatting>
  <conditionalFormatting sqref="H97:H98">
    <cfRule type="expression" dxfId="698" priority="241">
      <formula>LEFT(H97,3)="too"</formula>
    </cfRule>
  </conditionalFormatting>
  <conditionalFormatting sqref="H103:H121">
    <cfRule type="cellIs" dxfId="697" priority="59" operator="equal">
      <formula>"No"</formula>
    </cfRule>
  </conditionalFormatting>
  <conditionalFormatting sqref="H105:H108">
    <cfRule type="expression" dxfId="696" priority="1143">
      <formula>AND($H105="No",$H$97=0,$H$98=0,$H$99=0)</formula>
    </cfRule>
    <cfRule type="expression" dxfId="695" priority="7">
      <formula>AND($H105="No",OR($H$97&lt;&gt;0,$H$98&lt;&gt;0,$H$99&lt;&gt;0))</formula>
    </cfRule>
  </conditionalFormatting>
  <conditionalFormatting sqref="H79:I79">
    <cfRule type="expression" dxfId="694" priority="81">
      <formula>AND(UrbanCenter&lt;&gt;"Yes",UrbanCenter_Name&lt;&gt;"&lt;select one&gt;")</formula>
    </cfRule>
  </conditionalFormatting>
  <conditionalFormatting sqref="H81:I81">
    <cfRule type="expression" dxfId="693" priority="85">
      <formula>AND(UrbanCenter&lt;&gt;"Yes",UrbanCenter_Name&lt;&gt;"&lt;select one&gt;")</formula>
    </cfRule>
  </conditionalFormatting>
  <conditionalFormatting sqref="H85:I85 H79:I79 D7 D11 D19 D37 B55 B58 B72">
    <cfRule type="cellIs" dxfId="692" priority="83" operator="notEqual">
      <formula>"&lt;select one&gt;"</formula>
    </cfRule>
  </conditionalFormatting>
  <conditionalFormatting sqref="H85:I85">
    <cfRule type="expression" dxfId="691" priority="82">
      <formula>AND(MetroRail&lt;&gt;"Yes",MetroRail_Name&lt;&gt;"&lt;select one&gt;")</formula>
    </cfRule>
  </conditionalFormatting>
  <conditionalFormatting sqref="H87:I87">
    <cfRule type="expression" dxfId="690" priority="214">
      <formula>AND(MetroRail&lt;&gt;"Yes",MetroRail_Name&lt;&gt;"&lt;select one&gt;")</formula>
    </cfRule>
  </conditionalFormatting>
  <conditionalFormatting sqref="H91:I91">
    <cfRule type="cellIs" dxfId="689" priority="239" operator="equal">
      <formula>""</formula>
    </cfRule>
  </conditionalFormatting>
  <conditionalFormatting sqref="I2:I4">
    <cfRule type="expression" dxfId="688" priority="11275">
      <formula>AND($L$5=0,Boost_Points=0)</formula>
    </cfRule>
    <cfRule type="expression" dxfId="687" priority="11274">
      <formula>AND($L$5=0,Boost_Points&gt;0)</formula>
    </cfRule>
  </conditionalFormatting>
  <conditionalFormatting sqref="I5:I9">
    <cfRule type="expression" dxfId="686" priority="11273">
      <formula>AND($L$5=0,Boost_Points&gt;0)</formula>
    </cfRule>
  </conditionalFormatting>
  <conditionalFormatting sqref="I5:I11">
    <cfRule type="expression" dxfId="685" priority="11271">
      <formula>AND(Boost_Points=0,$L$5=0)</formula>
    </cfRule>
    <cfRule type="expression" dxfId="684" priority="11272">
      <formula>AND(Boost_Points=0,$L$5&gt;0)</formula>
    </cfRule>
  </conditionalFormatting>
  <conditionalFormatting sqref="I12">
    <cfRule type="expression" dxfId="683" priority="11310">
      <formula>Boost_Points=0</formula>
    </cfRule>
    <cfRule type="expression" dxfId="682" priority="11309">
      <formula>$L$10=0</formula>
    </cfRule>
  </conditionalFormatting>
  <conditionalFormatting sqref="I17:I19">
    <cfRule type="expression" dxfId="681" priority="121">
      <formula>$I$19=0</formula>
    </cfRule>
  </conditionalFormatting>
  <conditionalFormatting sqref="I19:I20 F19">
    <cfRule type="expression" dxfId="680" priority="126">
      <formula>AND(FIND("does not qualify",$F19),Private_transportation="Yes")</formula>
    </cfRule>
  </conditionalFormatting>
  <conditionalFormatting sqref="I76">
    <cfRule type="expression" dxfId="679" priority="93">
      <formula>AND(RECAP="Yes",Selected_Goal="a. Local Government Area of Opportunity Designation Goal",RECAP_Except_2&lt;&gt;"&lt;select one&gt;")</formula>
    </cfRule>
  </conditionalFormatting>
  <conditionalFormatting sqref="I81">
    <cfRule type="expression" dxfId="678" priority="88">
      <formula>OR(UrbanCenter_Name="&lt;select one&gt;",UrbanCenter_Name="")</formula>
    </cfRule>
    <cfRule type="expression" dxfId="677" priority="87">
      <formula>AND(UrbanCenter_Name&lt;&gt;"&lt;select one&gt;",UrbanCenter_Name&lt;&gt;"")</formula>
    </cfRule>
  </conditionalFormatting>
  <conditionalFormatting sqref="I87">
    <cfRule type="expression" dxfId="676" priority="229">
      <formula>OR(MetroRail_Name="&lt;select one&gt;",MetroRail_Name="")</formula>
    </cfRule>
    <cfRule type="expression" dxfId="675" priority="221">
      <formula>AND(MetroRail_Name&lt;&gt;"&lt;select one&gt;",MetroRail_Name&lt;&gt;"")</formula>
    </cfRule>
  </conditionalFormatting>
  <conditionalFormatting sqref="L5 L10 L17:L30 L35:L52 L54:L59 M67 L70:L88 M74 M76 M89 L93 L103 L105 L107 L109 L111 L113 L115 L117 L119 L121">
    <cfRule type="cellIs" dxfId="671" priority="105" operator="equal">
      <formula>0</formula>
    </cfRule>
  </conditionalFormatting>
  <conditionalFormatting sqref="M7">
    <cfRule type="cellIs" dxfId="669" priority="1" operator="equal">
      <formula>0</formula>
    </cfRule>
  </conditionalFormatting>
  <conditionalFormatting sqref="M78">
    <cfRule type="expression" dxfId="668" priority="11953">
      <formula>$L78=1</formula>
    </cfRule>
  </conditionalFormatting>
  <conditionalFormatting sqref="O14">
    <cfRule type="cellIs" dxfId="667" priority="178" operator="greaterThan">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custom" allowBlank="1" showInputMessage="1" showErrorMessage="1" sqref="L57" xr:uid="{AF4DCAEA-7522-4E9C-96E4-3D1D566CC795}">
      <formula1>AND(L57&gt;=0,L57&lt;3,L57=ROUND(L57,0))</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3" id="{7DFF54A1-2A93-42BF-8782-E065E8AFD622}">
            <xm:f>Data1!$E$899="Yes"</xm:f>
            <x14:dxf>
              <border>
                <left/>
                <right style="thin">
                  <color auto="1"/>
                </right>
                <top/>
                <bottom/>
                <vertical/>
                <horizontal/>
              </border>
            </x14:dxf>
          </x14:cfRule>
          <xm:sqref>I103:I121</xm:sqref>
        </x14:conditionalFormatting>
        <x14:conditionalFormatting xmlns:xm="http://schemas.microsoft.com/office/excel/2006/main">
          <x14:cfRule type="expression" priority="4" id="{77771D48-C6A8-4810-97B1-A34C308DEA0F}">
            <xm:f>Data1!$E$899="Yes"</xm:f>
            <x14:dxf>
              <border>
                <left/>
                <right style="thin">
                  <color auto="1"/>
                </right>
                <top/>
                <bottom style="thin">
                  <color auto="1"/>
                </bottom>
                <vertical/>
                <horizontal/>
              </border>
            </x14:dxf>
          </x14:cfRule>
          <xm:sqref>I122</xm:sqref>
        </x14:conditionalFormatting>
        <x14:conditionalFormatting xmlns:xm="http://schemas.microsoft.com/office/excel/2006/main">
          <x14:cfRule type="expression" priority="6" id="{23D912C0-AB8E-45B6-98E4-C2B8B76BCF3A}">
            <xm:f>Data1!$E$899="Yes"</xm:f>
            <x14:dxf>
              <border>
                <left/>
                <right/>
                <top/>
                <bottom/>
                <vertical/>
                <horizontal/>
              </border>
            </x14:dxf>
          </x14:cfRule>
          <xm:sqref>J103:K122</xm:sqref>
        </x14:conditionalFormatting>
        <x14:conditionalFormatting xmlns:xm="http://schemas.microsoft.com/office/excel/2006/main">
          <x14:cfRule type="expression" priority="12" stopIfTrue="1" id="{B6D96654-0174-4CF4-860E-95150DC59E6C}">
            <xm:f>Data1!$E$899="Yes"</xm:f>
            <x14:dxf>
              <font>
                <color theme="0"/>
              </font>
              <fill>
                <patternFill>
                  <bgColor theme="0"/>
                </patternFill>
              </fill>
              <border>
                <left/>
                <right/>
                <top/>
                <bottom/>
              </border>
            </x14:dxf>
          </x14:cfRule>
          <xm:sqref>L3:P74 L75 N75:P75 L76:P76 L77 N77:P77 L78:P96 M97:P102 L103:P122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Data2!$EJ$91:$EJ$101</xm:f>
          </x14:formula1>
          <xm:sqref>H81</xm:sqref>
        </x14:dataValidation>
        <x14:dataValidation type="list" allowBlank="1" showInputMessage="1" showErrorMessage="1" xr:uid="{5F3738E2-F091-48BE-A5D7-B9741B24DBEA}">
          <x14:formula1>
            <xm:f>Data2!$EE$91:$EE$114</xm:f>
          </x14:formula1>
          <xm:sqref>H87</xm:sqref>
        </x14:dataValidation>
        <x14:dataValidation type="list" allowBlank="1" showInputMessage="1" showErrorMessage="1" xr:uid="{2ACEFF71-0D30-4E53-8C75-FCD6BDFC6675}">
          <x14:formula1>
            <xm:f>Data2!$EJ$12:$EJ$85</xm:f>
          </x14:formula1>
          <xm:sqref>B61:F65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tabColor theme="0" tint="-4.9989318521683403E-2"/>
  </sheetPr>
  <dimension ref="A1:AG167"/>
  <sheetViews>
    <sheetView showGridLines="0" zoomScale="110" zoomScaleNormal="110" zoomScaleSheetLayoutView="90" workbookViewId="0">
      <pane ySplit="2" topLeftCell="A3" activePane="bottomLeft" state="frozen"/>
      <selection activeCell="P5" sqref="P5"/>
      <selection pane="bottomLeft" activeCell="K3" sqref="K3"/>
    </sheetView>
  </sheetViews>
  <sheetFormatPr defaultColWidth="8.54296875" defaultRowHeight="14.5"/>
  <cols>
    <col min="1" max="1" width="3" customWidth="1"/>
    <col min="2" max="3" width="3.54296875" customWidth="1"/>
    <col min="4" max="4" width="4.453125" customWidth="1"/>
    <col min="5" max="5" width="7.54296875" customWidth="1"/>
    <col min="6" max="6" width="14.54296875" customWidth="1"/>
    <col min="7" max="7" width="10.1796875" customWidth="1"/>
    <col min="8" max="8" width="12.453125" customWidth="1"/>
    <col min="9" max="9" width="14.54296875" customWidth="1"/>
    <col min="10" max="10" width="23.54296875" customWidth="1"/>
    <col min="11" max="11" width="14" customWidth="1"/>
    <col min="12" max="12" width="8.7265625" customWidth="1"/>
    <col min="13" max="13" width="3.54296875" customWidth="1"/>
    <col min="14" max="16" width="3.54296875" hidden="1" customWidth="1"/>
    <col min="17" max="17" width="35.7265625" hidden="1" customWidth="1"/>
    <col min="18" max="18" width="3.54296875" hidden="1" customWidth="1"/>
    <col min="19" max="20" width="0" hidden="1" customWidth="1"/>
  </cols>
  <sheetData>
    <row r="1" spans="1:33" ht="36" customHeight="1" thickBot="1">
      <c r="A1" s="2582" t="s">
        <v>1009</v>
      </c>
      <c r="B1" s="2583"/>
      <c r="C1" s="2583"/>
      <c r="D1" s="2583"/>
      <c r="E1" s="2583"/>
      <c r="F1" s="2583"/>
      <c r="G1" s="2583"/>
      <c r="H1" s="2583"/>
      <c r="I1" s="2583"/>
      <c r="J1" s="2583"/>
      <c r="K1" s="2584"/>
      <c r="N1" s="264"/>
      <c r="O1" s="264"/>
      <c r="P1" s="264"/>
      <c r="Q1" s="264"/>
      <c r="R1" s="264"/>
      <c r="S1" s="264"/>
      <c r="T1" s="264"/>
      <c r="U1" s="264"/>
      <c r="V1" s="264"/>
      <c r="W1" s="264"/>
      <c r="X1" s="264"/>
      <c r="Y1" s="264"/>
      <c r="Z1" s="264"/>
      <c r="AA1" s="264"/>
      <c r="AB1" s="264"/>
      <c r="AC1" s="264"/>
      <c r="AD1" s="264"/>
      <c r="AE1" s="264"/>
      <c r="AF1" s="264"/>
      <c r="AG1" s="264"/>
    </row>
    <row r="2" spans="1:33">
      <c r="N2" s="2613" t="s">
        <v>845</v>
      </c>
      <c r="O2" s="2614"/>
      <c r="P2" s="2614"/>
      <c r="Q2" s="2614"/>
      <c r="R2" s="2614"/>
      <c r="S2" s="2614"/>
      <c r="T2" s="2615"/>
      <c r="U2" s="264"/>
      <c r="V2" s="264"/>
      <c r="W2" s="264"/>
      <c r="X2" s="264"/>
      <c r="Y2" s="264"/>
      <c r="Z2" s="264"/>
      <c r="AA2" s="264"/>
      <c r="AB2" s="264"/>
      <c r="AC2" s="264"/>
      <c r="AD2" s="264"/>
      <c r="AE2" s="264"/>
      <c r="AF2" s="264"/>
      <c r="AG2" s="264"/>
    </row>
    <row r="3" spans="1:33" ht="30" customHeight="1">
      <c r="A3" s="86" t="s">
        <v>858</v>
      </c>
      <c r="B3" s="2577" t="str">
        <f>"Enter the total number of units in the proposed Development upon completion"&amp;IF(AND(N9&lt;&gt;0,Link_Classification&lt;&gt;Data1!$A$16)," of the Development that is the subject of this Application",IF(AND(N9&lt;&gt;0,Link_Classification=Data1!$A$16)," (includes the total for the New Development and the Reconstructed Development)",""))&amp;":"</f>
        <v>Enter the total number of units in the proposed Development upon completion:</v>
      </c>
      <c r="C3" s="2577"/>
      <c r="D3" s="2577"/>
      <c r="E3" s="2577"/>
      <c r="F3" s="2577"/>
      <c r="G3" s="2577"/>
      <c r="H3" s="2577"/>
      <c r="I3" s="2577"/>
      <c r="J3" s="2577"/>
      <c r="K3" s="660"/>
      <c r="L3" s="6"/>
      <c r="M3" s="6"/>
      <c r="N3" s="2569">
        <v>1</v>
      </c>
      <c r="P3" s="18"/>
      <c r="Q3" s="2024" t="str">
        <f>"Controls Rows "&amp;TEXT(ROW(A3),"0")&amp;":"&amp;TEXT(ROW(A5),"0")&amp;"."</f>
        <v>Controls Rows 3:5.</v>
      </c>
    </row>
    <row r="4" spans="1:33" ht="50.25" customHeight="1">
      <c r="A4" s="43"/>
      <c r="C4" s="2888"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"&amp;IF(Unit_Min_Limit_Basis="Total Units","","Set-Aside ")&amp;"units cannot be determined until 6."&amp;A28&amp;". below has a response.",IF(AND(N(Total_Units)&gt;0,DS_Min_Units_1&lt;&gt;"No Limit",N(IF(Unit_Min_Limit_Basis="Total",Total_Units,Set_Asides_from_Charts))&lt;IF(DS_Min_Units_1="&gt;=90% of Existing Units",90%*N(Existing_Units),N(DS_Min_Units_1))),"Attention: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units.",IF(AND(N(Total_Units)&gt;0,DS_Min_Units_1="No Limit",N(IF(Unit_Min_Limit_Basis="Total",Total_Units,Set_Asides_from_Charts))&gt;=IF(DS_Min_Units_1="&gt;=90% of Existing Units",90%*N(Existing_Units),N(DS_Min_Units_1))),"Minimum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Limit",N(Set_Asides_from_Charts)&lt;IF(DS_Min_Units_1="&gt;=90% of Existing Units",90%*N(Existing_Units),N(DS_Min_Units_1)+N(IF(Link_Classification=Data1!$A$16,N(DS_Min_Units_2),0)))),"Attention: With "&amp;TEXT(Set_Asides_from_Charts,"0")&amp;" set-aside units identified in the chart below, the minimum number of set-aside units of "&amp;TEXT(IF(DS_Min_Units_1="&gt;=90% of Existing Units",90%*N(Existing_Units),N(DS_Min_Units_1)+N(IF(Link_Classification=Data1!$A$16,N(DS_Min_Units_2),0))),"0")&amp;" is not met.",IF(OR(N(Set_Asides_from_Charts)&gt;=IF(DS_Min_Units_1="&gt;=90%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"&amp;IF(DS_Max_Units_1&lt;&gt;"No Limit",IF(N(Set_Asides_from_Charts)&gt;N(DS_Max_Units_1)+N(IF(Link_Classification=Data1!$A$16,N(DS_Max_Units_2),0)),"Attention: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2888"/>
      <c r="E4" s="2888"/>
      <c r="F4" s="2888"/>
      <c r="G4" s="2888"/>
      <c r="H4" s="2888"/>
      <c r="I4" s="2888"/>
      <c r="J4" s="2888"/>
      <c r="K4" s="2888"/>
      <c r="L4" s="2359"/>
      <c r="M4" s="6"/>
      <c r="N4" s="2570"/>
      <c r="Q4" s="2020" t="s">
        <v>2900</v>
      </c>
    </row>
    <row r="5" spans="1:33" ht="10.5" customHeight="1">
      <c r="A5" s="43"/>
      <c r="C5" s="851"/>
      <c r="D5" s="851"/>
      <c r="E5" s="851"/>
      <c r="F5" s="851"/>
      <c r="G5" s="851"/>
      <c r="H5" s="851"/>
      <c r="I5" s="851"/>
      <c r="J5" s="851"/>
      <c r="K5" s="851"/>
      <c r="L5" s="6"/>
      <c r="M5" s="6"/>
      <c r="N5" s="2571"/>
      <c r="O5" s="587"/>
      <c r="P5" s="587"/>
      <c r="Q5" s="587"/>
      <c r="R5" s="587"/>
      <c r="S5" s="6"/>
    </row>
    <row r="6" spans="1:33" ht="17.649999999999999" hidden="1" customHeight="1">
      <c r="A6" s="43"/>
      <c r="B6" s="2544" t="s">
        <v>2394</v>
      </c>
      <c r="C6" s="2544"/>
      <c r="D6" s="2544"/>
      <c r="E6" s="2544"/>
      <c r="F6" s="2544"/>
      <c r="G6" s="2544"/>
      <c r="H6" s="2544"/>
      <c r="I6" s="2544"/>
      <c r="J6" s="2544"/>
      <c r="K6" s="1622"/>
      <c r="L6" s="6"/>
      <c r="M6" s="6"/>
      <c r="N6" s="2569">
        <v>0</v>
      </c>
      <c r="P6" s="857"/>
      <c r="Q6" s="2024" t="str">
        <f>"Controls Rows "&amp;TEXT(ROW(A6),"0")&amp;":"&amp;TEXT(ROW(A9),"0")&amp;"."</f>
        <v>Controls Rows 6:9.</v>
      </c>
      <c r="R6" s="587"/>
      <c r="S6" s="6"/>
    </row>
    <row r="7" spans="1:33" ht="17.649999999999999" hidden="1" customHeight="1">
      <c r="A7" s="43"/>
      <c r="C7" s="2603" t="str">
        <f>IF(County="&lt;select one&gt;","","("&amp;County_Size&amp;" Counties are expected to have at least "&amp;IF(County_Size="Small","240",IF(County_Size="Medium","320","400"))&amp;" affordable units within the Master Plan)")</f>
        <v/>
      </c>
      <c r="D7" s="2603"/>
      <c r="E7" s="2603"/>
      <c r="F7" s="2603"/>
      <c r="G7" s="2603"/>
      <c r="H7" s="2603"/>
      <c r="I7" s="2603"/>
      <c r="J7" s="2603"/>
      <c r="L7" s="6"/>
      <c r="M7" s="6"/>
      <c r="N7" s="2570"/>
    </row>
    <row r="8" spans="1:33" ht="10.5" hidden="1" customHeight="1">
      <c r="A8" s="43"/>
      <c r="C8" s="851"/>
      <c r="D8" s="851"/>
      <c r="E8" s="851"/>
      <c r="F8" s="851"/>
      <c r="G8" s="851"/>
      <c r="H8" s="851"/>
      <c r="I8" s="851"/>
      <c r="J8" s="851"/>
      <c r="K8" s="851"/>
      <c r="L8" s="6"/>
      <c r="M8" s="6"/>
      <c r="N8" s="2571"/>
      <c r="O8" s="587"/>
      <c r="P8" s="587"/>
      <c r="Q8" s="587"/>
      <c r="R8" s="587"/>
      <c r="S8" s="6"/>
    </row>
    <row r="9" spans="1:33" ht="14.65" hidden="1" customHeight="1">
      <c r="A9" s="43"/>
      <c r="C9" s="826"/>
      <c r="D9" s="826"/>
      <c r="E9" s="826"/>
      <c r="F9" s="826"/>
      <c r="G9" s="826"/>
      <c r="H9" s="826"/>
      <c r="I9" s="826"/>
      <c r="J9" s="826"/>
      <c r="K9" s="51"/>
      <c r="N9" s="3204">
        <f>IF('General Information'!$K$4=0,1,0)</f>
        <v>0</v>
      </c>
      <c r="O9" s="587"/>
      <c r="P9" s="587"/>
      <c r="Q9" s="3197" t="str">
        <f>"Controlled by Cell K4 in General Information tab.
Controls Rows "&amp;TEXT(ROW(A9),"0")&amp;":"&amp;TEXT(ROW(A24),"0")&amp;".
Font controlled by Link_Classification response."</f>
        <v>Controlled by Cell K4 in General Information tab.
Controls Rows 9:24.
Font controlled by Link_Classification response.</v>
      </c>
      <c r="R9" s="3197"/>
      <c r="S9" s="3197"/>
    </row>
    <row r="10" spans="1:33" ht="30" hidden="1" customHeight="1">
      <c r="A10" s="43"/>
      <c r="C10" s="2544" t="s">
        <v>2300</v>
      </c>
      <c r="D10" s="2544"/>
      <c r="E10" s="2544"/>
      <c r="F10" s="2544"/>
      <c r="G10" s="2544"/>
      <c r="H10" s="2544"/>
      <c r="I10" s="2544"/>
      <c r="J10" s="2544"/>
      <c r="K10" s="660"/>
      <c r="L10" s="6"/>
      <c r="M10" s="6"/>
      <c r="N10" s="3204"/>
      <c r="O10" s="444"/>
      <c r="P10" s="855"/>
      <c r="Q10" s="3197"/>
      <c r="R10" s="3197"/>
      <c r="S10" s="3197"/>
    </row>
    <row r="11" spans="1:33" ht="6" hidden="1" customHeight="1">
      <c r="A11" s="43"/>
      <c r="C11" s="826"/>
      <c r="D11" s="826"/>
      <c r="E11" s="826"/>
      <c r="F11" s="826"/>
      <c r="G11" s="826"/>
      <c r="H11" s="826"/>
      <c r="I11" s="826"/>
      <c r="J11" s="826"/>
      <c r="K11" s="51"/>
      <c r="L11" s="6"/>
      <c r="M11" s="6"/>
      <c r="N11" s="3204"/>
      <c r="O11" s="587"/>
      <c r="P11" s="587"/>
      <c r="Q11" s="587"/>
      <c r="R11" s="587"/>
    </row>
    <row r="12" spans="1:33" ht="30" hidden="1" customHeight="1">
      <c r="A12" s="43"/>
      <c r="C12" s="2544" t="s">
        <v>2301</v>
      </c>
      <c r="D12" s="2544"/>
      <c r="E12" s="2544"/>
      <c r="F12" s="2544"/>
      <c r="G12" s="2544"/>
      <c r="H12" s="2544"/>
      <c r="I12" s="2544"/>
      <c r="J12" s="2544"/>
      <c r="K12" s="660"/>
      <c r="L12" s="6"/>
      <c r="M12" s="6"/>
      <c r="N12" s="3204"/>
      <c r="O12" s="444"/>
      <c r="P12" s="855"/>
      <c r="Q12" s="857"/>
      <c r="R12" s="587"/>
    </row>
    <row r="13" spans="1:33" ht="30" hidden="1" customHeight="1">
      <c r="A13" s="43"/>
      <c r="C13" s="2579"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579"/>
      <c r="E13" s="2579"/>
      <c r="F13" s="2579"/>
      <c r="G13" s="2579"/>
      <c r="H13" s="2579"/>
      <c r="I13" s="2579"/>
      <c r="J13" s="2579"/>
      <c r="K13" s="2579"/>
      <c r="L13" s="6"/>
      <c r="M13" s="6"/>
      <c r="N13" s="3204"/>
      <c r="O13" s="587"/>
      <c r="P13" s="587"/>
      <c r="Q13" s="444"/>
      <c r="R13" s="587"/>
    </row>
    <row r="14" spans="1:33" ht="10.15" hidden="1" customHeight="1">
      <c r="A14" s="43"/>
      <c r="C14" s="826"/>
      <c r="D14" s="826"/>
      <c r="E14" s="826"/>
      <c r="F14" s="826"/>
      <c r="G14" s="826"/>
      <c r="H14" s="826"/>
      <c r="I14" s="826"/>
      <c r="J14" s="826"/>
      <c r="K14" s="51"/>
      <c r="L14" s="6"/>
      <c r="M14" s="6"/>
      <c r="N14" s="3204"/>
      <c r="O14" s="587"/>
      <c r="P14" s="587"/>
      <c r="Q14" s="444"/>
      <c r="R14" s="587"/>
    </row>
    <row r="15" spans="1:33" ht="10.15" hidden="1" customHeight="1">
      <c r="A15" s="43"/>
      <c r="C15" s="3338"/>
      <c r="D15" s="3338"/>
      <c r="E15" s="3338"/>
      <c r="F15" s="3338"/>
      <c r="G15" s="3338"/>
      <c r="H15" s="3338"/>
      <c r="I15" s="3338"/>
      <c r="J15" s="3338"/>
      <c r="K15" s="3338"/>
      <c r="L15" s="6"/>
      <c r="M15" s="6"/>
      <c r="N15" s="3204"/>
      <c r="O15" s="587"/>
      <c r="P15" s="587"/>
      <c r="Q15" s="444"/>
      <c r="R15" s="587"/>
    </row>
    <row r="16" spans="1:33" ht="30" hidden="1" customHeight="1">
      <c r="A16" s="43"/>
      <c r="B16" s="6"/>
      <c r="C16" s="2544" t="s">
        <v>2302</v>
      </c>
      <c r="D16" s="2544"/>
      <c r="E16" s="2544"/>
      <c r="F16" s="2544"/>
      <c r="G16" s="2544"/>
      <c r="H16" s="2544"/>
      <c r="I16" s="2544"/>
      <c r="J16" s="2544"/>
      <c r="K16" s="660"/>
      <c r="L16" s="6"/>
      <c r="M16" s="6"/>
      <c r="N16" s="3204"/>
      <c r="O16" s="444"/>
      <c r="P16" s="855"/>
      <c r="Q16" s="857"/>
      <c r="R16" s="587"/>
    </row>
    <row r="17" spans="1:18" ht="6" hidden="1" customHeight="1">
      <c r="A17" s="43"/>
      <c r="C17" s="826"/>
      <c r="D17" s="826"/>
      <c r="E17" s="826"/>
      <c r="F17" s="826"/>
      <c r="G17" s="826"/>
      <c r="H17" s="826"/>
      <c r="I17" s="826"/>
      <c r="J17" s="826"/>
      <c r="K17" s="51"/>
      <c r="L17" s="6"/>
      <c r="M17" s="6"/>
      <c r="N17" s="3204"/>
      <c r="O17" s="587"/>
      <c r="P17" s="587"/>
      <c r="Q17" s="444"/>
      <c r="R17" s="587"/>
    </row>
    <row r="18" spans="1:18" ht="30" hidden="1" customHeight="1">
      <c r="A18" s="43"/>
      <c r="C18" s="2544" t="s">
        <v>2303</v>
      </c>
      <c r="D18" s="2544"/>
      <c r="E18" s="2544"/>
      <c r="F18" s="2544"/>
      <c r="G18" s="2544"/>
      <c r="H18" s="2544"/>
      <c r="I18" s="2544"/>
      <c r="J18" s="2544"/>
      <c r="K18" s="660"/>
      <c r="L18" s="6"/>
      <c r="M18" s="6"/>
      <c r="N18" s="3204"/>
      <c r="O18" s="444"/>
      <c r="P18" s="855"/>
      <c r="Q18" s="857"/>
    </row>
    <row r="19" spans="1:18" ht="30" hidden="1" customHeight="1">
      <c r="A19" s="43"/>
      <c r="C19" s="2888"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2888"/>
      <c r="E19" s="2888"/>
      <c r="F19" s="2888"/>
      <c r="G19" s="2888"/>
      <c r="H19" s="2888"/>
      <c r="I19" s="2888"/>
      <c r="J19" s="2888"/>
      <c r="K19" s="2888"/>
      <c r="L19" s="6"/>
      <c r="M19" s="6"/>
      <c r="N19" s="3204"/>
      <c r="O19" s="1515"/>
      <c r="P19" s="1515"/>
      <c r="Q19" s="444"/>
      <c r="R19" s="1515"/>
    </row>
    <row r="20" spans="1:18" ht="17.649999999999999" hidden="1" customHeight="1">
      <c r="A20" s="43"/>
      <c r="B20" s="503" t="str">
        <f>"(1)"</f>
        <v>(1)</v>
      </c>
      <c r="C20" s="865" t="s">
        <v>2261</v>
      </c>
      <c r="L20" s="6"/>
      <c r="M20" s="6"/>
      <c r="N20" s="3204"/>
      <c r="Q20" s="444"/>
    </row>
    <row r="21" spans="1:18" ht="17.649999999999999" hidden="1" customHeight="1">
      <c r="A21" s="43"/>
      <c r="B21" s="503"/>
      <c r="C21" s="1510" t="s">
        <v>862</v>
      </c>
      <c r="D21" s="865" t="s">
        <v>2280</v>
      </c>
      <c r="I21" s="1516" t="s">
        <v>2281</v>
      </c>
      <c r="J21" s="3343" t="str">
        <f>IF(OR(Link_Classification=Data1!F13,AND(Link_Classification=Data1!A14,N(Total_Units_of_Occupied)=0),N(Total_Units)=0),"To be determined",IF(Link_Classification=Data1!A15,"Not Applicable",IF(IF(Link_Classification=Data1!$A$16,N(Set_Aside_Units_1),Data1!G590)&gt;=ROUNDDOWN(N(Affordable_Units_of_Occupied)*1.2,0),"Earned","Not Earned")))</f>
        <v>To be determined</v>
      </c>
      <c r="K21" s="3343"/>
      <c r="L21" s="6"/>
      <c r="M21" s="6"/>
      <c r="N21" s="3204"/>
      <c r="Q21" s="444"/>
    </row>
    <row r="22" spans="1:18" ht="5.25" hidden="1" customHeight="1">
      <c r="A22" s="43"/>
      <c r="B22" s="503"/>
      <c r="C22" s="1510"/>
      <c r="D22" s="865"/>
      <c r="L22" s="6"/>
      <c r="M22" s="6"/>
      <c r="N22" s="3204"/>
      <c r="Q22" s="444"/>
    </row>
    <row r="23" spans="1:18" ht="80.25" hidden="1" customHeight="1">
      <c r="A23" s="43"/>
      <c r="D23" s="2900"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"&amp;TEXT(Data1!G590,"0")&amp;"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2900"/>
      <c r="F23" s="2900"/>
      <c r="G23" s="2900"/>
      <c r="H23" s="2900"/>
      <c r="I23" s="2900"/>
      <c r="J23" s="2900"/>
      <c r="K23" s="2900"/>
      <c r="L23" s="6"/>
      <c r="M23" s="6"/>
      <c r="N23" s="3204"/>
      <c r="Q23" s="444"/>
    </row>
    <row r="24" spans="1:18" ht="7.5" hidden="1" customHeight="1">
      <c r="A24" s="43"/>
      <c r="C24" s="1508"/>
      <c r="D24" s="1508"/>
      <c r="E24" s="1508"/>
      <c r="F24" s="1508"/>
      <c r="G24" s="1508"/>
      <c r="H24" s="1508"/>
      <c r="I24" s="1508"/>
      <c r="J24" s="1508"/>
      <c r="K24" s="1508"/>
      <c r="L24" s="6"/>
      <c r="M24" s="6"/>
      <c r="N24" s="3204"/>
      <c r="Q24" s="444"/>
    </row>
    <row r="25" spans="1:18" ht="33" hidden="1" customHeight="1">
      <c r="A25" s="335" t="str" cm="1">
        <f t="array" ref="A25">IF($N25=0,"",CHAR(CODE(LOOKUP(2,1/(COUNTIF(A$3:A4,"&gt;"&amp;A$3:A4&amp;"*")=0),A$3:A4))+1))</f>
        <v/>
      </c>
      <c r="B25" s="2577"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577"/>
      <c r="D25" s="2577"/>
      <c r="E25" s="2577"/>
      <c r="F25" s="2577"/>
      <c r="G25" s="2577"/>
      <c r="H25" s="2577"/>
      <c r="I25" s="2577"/>
      <c r="J25" s="2577"/>
      <c r="K25" s="842"/>
      <c r="L25" s="6"/>
      <c r="M25" s="6"/>
      <c r="N25" s="2569">
        <v>0</v>
      </c>
      <c r="Q25" s="2024" t="str">
        <f>"Controls Rows "&amp;TEXT(ROW(A25),"0")&amp;":"&amp;TEXT(ROW(A27),"0")&amp;"."</f>
        <v>Controls Rows 25:27.</v>
      </c>
    </row>
    <row r="26" spans="1:18" ht="17.649999999999999" hidden="1" customHeight="1">
      <c r="A26" s="43"/>
      <c r="C26" s="2547" t="s">
        <v>41</v>
      </c>
      <c r="D26" s="2547"/>
      <c r="E26" s="2547"/>
      <c r="F26" s="2547"/>
      <c r="G26" s="2547"/>
      <c r="H26" s="2547"/>
      <c r="I26" s="2547"/>
      <c r="J26" s="2547"/>
      <c r="K26" s="2547"/>
      <c r="L26" s="6"/>
      <c r="M26" s="6"/>
      <c r="N26" s="2570"/>
      <c r="P26" s="24"/>
      <c r="Q26" s="24"/>
    </row>
    <row r="27" spans="1:18" ht="7.5" hidden="1" customHeight="1">
      <c r="A27" s="43"/>
      <c r="L27" s="6"/>
      <c r="M27" s="6"/>
      <c r="N27" s="2571"/>
    </row>
    <row r="28" spans="1:18" ht="33" hidden="1" customHeight="1">
      <c r="A28" s="335" t="str" cm="1">
        <f t="array" ref="A28">IF($N28=0,"",CHAR(CODE(LOOKUP(2,1/(COUNTIF(A$3:A27,"&gt;"&amp;A$3:A27&amp;"*")=0),A$3:A27))+1))</f>
        <v/>
      </c>
      <c r="B28" s="2577" t="s">
        <v>1647</v>
      </c>
      <c r="C28" s="2577"/>
      <c r="D28" s="2577"/>
      <c r="E28" s="2577"/>
      <c r="F28" s="2577"/>
      <c r="G28" s="2577"/>
      <c r="H28" s="2577"/>
      <c r="I28" s="2577"/>
      <c r="J28" s="2577"/>
      <c r="K28" s="1200"/>
      <c r="L28" s="6"/>
      <c r="M28" s="6"/>
      <c r="N28" s="2658">
        <v>0</v>
      </c>
      <c r="Q28" s="2024" t="str">
        <f>"Controls Rows "&amp;TEXT(ROW(A28),"0")&amp;":"&amp;TEXT(ROW(A29),"0")&amp;"."</f>
        <v>Controls Rows 28:29.</v>
      </c>
    </row>
    <row r="29" spans="1:18" ht="7.5" hidden="1" customHeight="1">
      <c r="A29" s="43"/>
      <c r="L29" s="6"/>
      <c r="M29" s="6"/>
      <c r="N29" s="2571"/>
    </row>
    <row r="30" spans="1:18" ht="33" customHeight="1">
      <c r="A30" s="335" t="str" cm="1">
        <f t="array" ref="A30">IF(OR($N$25=1,$N$30=0),"",CHAR(CODE(LOOKUP(2,1/(COUNTIF(A$3:A29,"&gt;"&amp;A$3:A29&amp;"*")=0),A$3:A29))+1))</f>
        <v>b</v>
      </c>
      <c r="B30" s="2577" t="s">
        <v>1010</v>
      </c>
      <c r="C30" s="2577"/>
      <c r="D30" s="2577"/>
      <c r="E30" s="2577"/>
      <c r="F30" s="2577"/>
      <c r="G30" s="2577"/>
      <c r="H30" s="2577"/>
      <c r="I30" s="2577"/>
      <c r="J30" s="2577"/>
      <c r="K30" s="842"/>
      <c r="L30" s="6"/>
      <c r="M30" s="6"/>
      <c r="N30" s="2569">
        <v>1</v>
      </c>
      <c r="Q30" s="2024" t="str">
        <f>"Controls Rows "&amp;TEXT(ROW(A30),"0")&amp;":"&amp;TEXT(ROW(A31),"0")&amp;"."</f>
        <v>Controls Rows 30:31.</v>
      </c>
    </row>
    <row r="31" spans="1:18" ht="7.5" customHeight="1">
      <c r="A31" s="43"/>
      <c r="L31" s="6"/>
      <c r="M31" s="6"/>
      <c r="N31" s="2571"/>
    </row>
    <row r="32" spans="1:18">
      <c r="A32" s="335" t="str" cm="1">
        <f t="array" ref="A32">CHAR(CODE(LOOKUP(2,1/(COUNTIF(A$3:A31,"&gt;"&amp;A$3:A31&amp;"*")=0),A$3:A31))+1)</f>
        <v>c</v>
      </c>
      <c r="B32" s="25" t="s">
        <v>1011</v>
      </c>
      <c r="L32" s="6"/>
      <c r="M32" s="6"/>
      <c r="N32" s="2702" t="s">
        <v>2737</v>
      </c>
      <c r="O32" s="2703"/>
      <c r="P32" s="2704"/>
    </row>
    <row r="33" spans="1:20" ht="30" hidden="1" customHeight="1">
      <c r="A33" s="335"/>
      <c r="B33" s="87" t="str">
        <f>"(1)"</f>
        <v>(1)</v>
      </c>
      <c r="C33" s="865" t="s">
        <v>1012</v>
      </c>
      <c r="L33" s="6"/>
      <c r="M33" s="6"/>
      <c r="N33" s="2002">
        <v>0</v>
      </c>
      <c r="Q33" s="2024" t="str">
        <f>"Controls Rows "&amp;TEXT(ROW(A33),"0")&amp;":"&amp;TEXT(ROW(A37),"0")&amp;"."</f>
        <v>Controls Rows 33:37.</v>
      </c>
      <c r="R33" s="3412" t="s">
        <v>2771</v>
      </c>
      <c r="S33" s="3413"/>
      <c r="T33" s="3414"/>
    </row>
    <row r="34" spans="1:20" ht="30" customHeight="1">
      <c r="B34" s="87" t="str">
        <f>IF(RIGHT(Excel_RFA_Number,3)="104","(2)","(1)")</f>
        <v>(1)</v>
      </c>
      <c r="C34" s="865" t="s">
        <v>1650</v>
      </c>
      <c r="D34" s="3"/>
      <c r="J34" s="3339" t="str">
        <f>IF(1&lt;2,"",IF(Minimum_SetAside_per_Sec_42=DS_IRS_AIT,"(with or without Housing Credits)",IF(OR(Minimum_SetAside_per_Sec_42=DS_IRS_2050,Minimum_SetAside_per_Sec_42=DS_IRS_4060),"(only for Housing Credit Developments)","")))</f>
        <v/>
      </c>
      <c r="K34" s="3339"/>
      <c r="L34" s="6"/>
      <c r="M34" s="6"/>
      <c r="N34" s="3204">
        <f>IF(N33=0,1,0)</f>
        <v>1</v>
      </c>
    </row>
    <row r="35" spans="1:20" ht="17.649999999999999" customHeight="1">
      <c r="C35" s="3401" t="s">
        <v>41</v>
      </c>
      <c r="D35" s="2547"/>
      <c r="E35" s="2547"/>
      <c r="F35" s="2547"/>
      <c r="G35" s="2547"/>
      <c r="H35" s="2547"/>
      <c r="I35" s="2547"/>
      <c r="J35" s="2547"/>
      <c r="K35" s="2547"/>
      <c r="L35" s="6"/>
      <c r="M35" s="6"/>
      <c r="N35" s="3204"/>
    </row>
    <row r="36" spans="1:20" ht="7.5" customHeight="1">
      <c r="L36" s="6"/>
      <c r="M36" s="6"/>
      <c r="N36" s="3204"/>
    </row>
    <row r="37" spans="1:20" ht="7.5" customHeight="1">
      <c r="L37" s="6"/>
      <c r="M37" s="6"/>
      <c r="N37" s="3204"/>
    </row>
    <row r="38" spans="1:20" ht="14.65" customHeight="1">
      <c r="B38" s="87" t="str">
        <f>IF($N$38=0,"","(2)")</f>
        <v>(2)</v>
      </c>
      <c r="C38" s="2544" t="s">
        <v>2155</v>
      </c>
      <c r="D38" s="2544"/>
      <c r="E38" s="2544"/>
      <c r="F38" s="2544"/>
      <c r="G38" s="2544"/>
      <c r="H38" s="2544"/>
      <c r="I38" s="2544"/>
      <c r="J38" s="2544"/>
      <c r="K38" s="2544"/>
      <c r="L38" s="6"/>
      <c r="M38" s="6"/>
      <c r="N38" s="2658">
        <v>1</v>
      </c>
      <c r="Q38" s="2024" t="str">
        <f>"Controls Rows "&amp;TEXT(ROW(A38),"0")&amp;":"&amp;TEXT(ROW(A41),"0")&amp;"."</f>
        <v>Controls Rows 38:41.</v>
      </c>
    </row>
    <row r="39" spans="1:20" ht="7.5" customHeight="1">
      <c r="B39" s="87"/>
      <c r="C39" s="826"/>
      <c r="D39" s="826"/>
      <c r="E39" s="826"/>
      <c r="F39" s="826"/>
      <c r="G39" s="826"/>
      <c r="H39" s="826"/>
      <c r="I39" s="826"/>
      <c r="J39" s="826"/>
      <c r="K39" s="826"/>
      <c r="L39" s="6"/>
      <c r="M39" s="6"/>
      <c r="N39" s="2659"/>
    </row>
    <row r="40" spans="1:20" ht="50.25" customHeight="1">
      <c r="B40" s="87"/>
      <c r="C40" s="2544" t="s">
        <v>2284</v>
      </c>
      <c r="D40" s="2544"/>
      <c r="E40" s="2544"/>
      <c r="F40" s="2544"/>
      <c r="G40" s="2544"/>
      <c r="H40" s="2544"/>
      <c r="I40" s="2544"/>
      <c r="J40" s="2544"/>
      <c r="K40" s="2544"/>
      <c r="L40" s="6"/>
      <c r="M40" s="6"/>
      <c r="N40" s="2659"/>
    </row>
    <row r="41" spans="1:20" ht="7.5" customHeight="1">
      <c r="L41" s="6"/>
      <c r="M41" s="6"/>
      <c r="N41" s="2571"/>
    </row>
    <row r="42" spans="1:20" ht="30" hidden="1" customHeight="1">
      <c r="B42" s="87" t="str">
        <f>IF($N$38=0,"(2)","(3)")</f>
        <v>(3)</v>
      </c>
      <c r="C42" s="865" t="s">
        <v>2267</v>
      </c>
      <c r="L42" s="6"/>
      <c r="M42" s="6"/>
      <c r="N42" s="2569">
        <v>0</v>
      </c>
      <c r="Q42" s="2024" t="str">
        <f>"Controls Rows "&amp;TEXT(ROW(A42),"0")&amp;":"&amp;TEXT(ROW(A44),"0")&amp;". This section for Farm/Fish RFA 104."</f>
        <v>Controls Rows 42:44. This section for Farm/Fish RFA 104.</v>
      </c>
    </row>
    <row r="43" spans="1:20" ht="17.649999999999999" hidden="1" customHeight="1">
      <c r="B43" s="87"/>
      <c r="C43" s="3340" t="s">
        <v>41</v>
      </c>
      <c r="D43" s="3340"/>
      <c r="E43" s="3340"/>
      <c r="F43" s="3340"/>
      <c r="G43" s="3340"/>
      <c r="H43" s="3340"/>
      <c r="I43" s="3340"/>
      <c r="J43" s="3340"/>
      <c r="K43" s="3340"/>
      <c r="L43" s="6"/>
      <c r="M43" s="6"/>
      <c r="N43" s="2570"/>
      <c r="Q43" s="1267"/>
    </row>
    <row r="44" spans="1:20" ht="7.5" hidden="1" customHeight="1">
      <c r="A44" s="87"/>
      <c r="B44" s="865"/>
      <c r="K44" s="6"/>
      <c r="L44" s="6"/>
      <c r="M44" s="6"/>
      <c r="N44" s="2571"/>
    </row>
    <row r="45" spans="1:20" ht="14.65" customHeight="1">
      <c r="B45" s="87" t="str">
        <f>IF($N$38=0,"(2)","(3)")</f>
        <v>(3)</v>
      </c>
      <c r="C45" s="865" t="s">
        <v>1013</v>
      </c>
      <c r="D45" s="3"/>
      <c r="L45" s="1612"/>
      <c r="M45" s="1612"/>
      <c r="N45" s="3416">
        <f>IF(OR(RIGHT(Excel_RFA_Number,3)="104",AND($N$47=0,$N$68=0,$MQ$90=0,SUM(O59:O63)=0)),0,1)</f>
        <v>1</v>
      </c>
      <c r="O45" s="1612"/>
      <c r="P45" s="1612"/>
      <c r="Q45" s="2031" t="s">
        <v>2773</v>
      </c>
      <c r="R45" s="2056"/>
      <c r="S45" s="2056"/>
      <c r="T45" s="2056"/>
    </row>
    <row r="46" spans="1:20" ht="7.5" customHeight="1">
      <c r="B46" s="3"/>
      <c r="C46" s="3"/>
      <c r="D46" s="3"/>
      <c r="L46" s="1612"/>
      <c r="M46" s="1612"/>
      <c r="N46" s="3417"/>
      <c r="O46" s="1612"/>
      <c r="P46" s="1612"/>
      <c r="Q46" s="2056"/>
      <c r="R46" s="2056"/>
      <c r="S46" s="2056"/>
      <c r="T46" s="2056"/>
    </row>
    <row r="47" spans="1:20" ht="80.150000000000006" customHeight="1">
      <c r="C47" s="90" t="s">
        <v>951</v>
      </c>
      <c r="D47" s="2544" t="str">
        <f>IF(OR(N47=0,AND(OR(RIGHT(Excel_RFA_Number,3)="215",RIGHT(Excel_RFA_Number,3)="216"),Minimum_SetAside_per_Sec_42=DS_FHFC_NonHC,DS_FHFC_NonHC_Table&lt;&gt;"Non-AIT")),"This commitment table is not applicable.",IF(AND(Minimum_SetAside_per_Sec_42=DS_FHFC_NonHC,Data1!B653="Non_AIT"), "Applicants must complete the following chart for the FHFC Loan Only proposed Developments. ",IF(Minimum_SetAside_per_Sec_42&lt;&gt;DS_FHFC_NonHC,"Applicants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"&amp;IF(OR(DS_Gap1_YN="Yes"),"FHFC Gap Loan and ","")&amp;"HC Set-Aside Commitments."&amp;IF(AND(P65=2,RIGHT(Excel_RFA_Number,3)="213")," The ELI Set-Aside Commitment is for only "&amp;TEXT(Data1!B668,"0")&amp;" years prior to returning to "&amp;TEXT(IF(Minimum_SetAside_per_Sec_42=DS_IRS_2050,50%,60%),"0%")&amp;" AMI HC Units.",""),"Applicants must complete the following chart. The Loan Only Set-Aside Commitments below are for the entire "&amp;TEXT(Data1!B667,"0")&amp;" years"&amp;IF(OR(Data1!B668=Data1!B667,Data1!B668=0),"."," while the ELI Set-Aside Commitment is for only "&amp;TEXT(Data1!B668,"0")&amp;" years prior to returning to 60% AMI."))))&amp;IF(DS_TableA_Whole_Nos="Yes"," All set-aside entries that are not whole percentages will be rounded up to the next whole percentage number to calculate the number of set-aside units.","")</f>
        <v>Applicants committing to the minimum IRS set-aside commitment of 20 percent of the total units at 50 percent of the Area Median Income or less or 40 percent of the total units at 60 percent of the Area Median Income or less must complete the following chart for FHFC Gap Loan and HC Set-Aside Commitments. All set-aside entries that are not whole percentages will be rounded up to the next whole percentage number to calculate the number of set-aside units.</v>
      </c>
      <c r="E47" s="2544"/>
      <c r="F47" s="2544"/>
      <c r="G47" s="2544"/>
      <c r="H47" s="2544"/>
      <c r="I47" s="2544"/>
      <c r="J47" s="2544"/>
      <c r="K47" s="2544"/>
      <c r="L47" s="6"/>
      <c r="M47" s="6"/>
      <c r="N47" s="1993">
        <v>1</v>
      </c>
      <c r="Q47" s="3197" t="str">
        <f>"Controls Rows "&amp;TEXT(ROW(A47),"0")&amp;":"&amp;TEXT(ROW(A67),"0")&amp;". This is the Master control for table (a)."&amp;CHAR(10)&amp;"• Gap is turned """&amp;IF(OR(DS_Gap1_YN="Yes",DS_Gap2_YN="Yes"),"On","Off")&amp;"""."&amp;CHAR(10)&amp;"• Program coding below is set for "&amp;CHOOSE(P65+1,"Workforce","Market Rate","Live Local","""Loan Only/Gap Loan""")&amp;"."</f>
        <v>Controls Rows 47:67. This is the Master control for table (a).
• Gap is turned "On".
• Program coding below is set for Market Rate.</v>
      </c>
      <c r="R47" s="3197"/>
      <c r="S47" s="3197"/>
      <c r="T47" s="3197"/>
    </row>
    <row r="48" spans="1:20" ht="14.65" customHeight="1" thickBot="1">
      <c r="E48" s="865"/>
      <c r="F48" s="826"/>
      <c r="G48" s="826"/>
      <c r="H48" s="826"/>
      <c r="I48" s="826"/>
      <c r="J48" s="1370"/>
      <c r="K48" s="826"/>
      <c r="L48" s="6"/>
      <c r="M48" s="6"/>
      <c r="N48" s="2059" t="s">
        <v>2772</v>
      </c>
    </row>
    <row r="49" spans="4:26" ht="44.25" customHeight="1">
      <c r="F49" s="440" t="s">
        <v>1014</v>
      </c>
      <c r="G49" s="3399" t="s">
        <v>1015</v>
      </c>
      <c r="H49" s="3400"/>
      <c r="I49" s="432" t="s">
        <v>1016</v>
      </c>
      <c r="J49" s="441" t="s">
        <v>1017</v>
      </c>
      <c r="K49" s="1427" t="s">
        <v>2119</v>
      </c>
      <c r="L49" s="3313"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49" s="3313"/>
      <c r="N49" s="3313"/>
      <c r="O49" s="3313"/>
      <c r="P49" s="3313"/>
      <c r="Q49" s="3313"/>
      <c r="R49" s="3313"/>
      <c r="S49" s="3313"/>
      <c r="T49" s="3313"/>
      <c r="U49" s="3313"/>
      <c r="V49" s="3313"/>
    </row>
    <row r="50" spans="4:26" ht="17.649999999999999" customHeight="1">
      <c r="D50" s="3324" t="str">
        <f>IF(AND(DS_ELI_UnitLimit="Yes",SUM(Data1!U682:U690)&gt;0,Minimum_SetAside_per_Sec_42&lt;&gt;DS_IRS_AIT,Minimum_SetAside_per_Sec_42&lt;&gt;"&lt;select one&gt;"),"Due to the ELI Unit limit of "&amp;TEXT(Data1!B718,"0")&amp;" units, the "&amp;TEXT(ROUNDUP(SUM(Data1!U682:U690),0),"0")&amp;" ELI units in excess of the limit created by the entry of the "&amp;TEXT(CHOOSE(IFERROR(MATCH(IFERROR(VLOOKUP(County,DS_CountyData,14),0),I50:I58,0),0)+1,0,G50,G51,G52,G53,G54,G55,G56,G57,G58),"0%")&amp;" ELI commitment have been moved to be part of the "&amp;IF(IFERROR(N(IF(Data1!V$679=Data1!V$681,VLOOKUP(SUM(Data1!U$682:U$690),Data1!V$682:X$690,3,FALSE),VLOOKUP(SUM(Data1!U$682:U$690),Data1!W$682:X$690,2,FALSE))),0)&gt;0,TEXT(N(IF(Data1!V$679=Data1!V$681,VLOOKUP(SUM(Data1!U$682:U$690),Data1!V$682:X$690,3,FALSE),VLOOKUP(SUM(Data1!U$682:U$690),Data1!W$682:X$690,2,FALSE))),"0%")&amp;" AMI",IF(VLOOKUP(MAX(Data1!U682:U687),Data1!V682:X720,3,FALSE)="Market","Market Rate",CHOOSE(P65+1,"Workforce "," ","Live Local ","Restricted ")&amp;TEXT(VLOOKUP(MAX(Data1!U682:U687),Data1!V682:X720,3,FALSE),"0%")&amp;" AMI"))&amp;" commitment.","")</f>
        <v/>
      </c>
      <c r="E50" s="3325"/>
      <c r="F50" s="2266">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five_AMI_HC)=0),0,IF(DS_ELI_UnitLimit="Yes",MIN(DS_ELI_UnitLimit_Units,ROUNDUP(N(twentyfive_AMI_HC)*N(Total_Units),0)),ROUNDUP(ROUNDUP(N(twentyfive_AMI_HC),IF(DS_TableA_Whole_Nos="Yes",2,100))*N(Total_Units),0))),0)</f>
        <v>0</v>
      </c>
      <c r="G50" s="3341"/>
      <c r="H50" s="3342"/>
      <c r="I50" s="423">
        <v>0.25</v>
      </c>
      <c r="J50" s="3402" t="str">
        <f>IF(OR(RIGHT(Excel_RFA_Number,3)="213",RIGHT(Excel_RFA_Number,3)="214",AND(P65&lt;&gt;1,Minimum_SetAside_per_Sec_42&lt;&gt;DS_FHFC_NonHC,OR(DS_Gap1_YN="Yes",DS_Gap2_YN="Yes"))),"FHFC Gap Loan/Housing Credit",IF(Minimum_SetAside_per_Sec_42=DS_FHFC_NonHC,"FHFC Loan Only","Housing Credit"))&amp;" Units"</f>
        <v>Housing Credit Units</v>
      </c>
      <c r="K50" s="1428" t="str">
        <f>IF(OR(Minimum_SetAside_per_Sec_42="&lt;select one&gt;",Minimum_SetAside_per_Sec_42=DS_IRS_AIT,N(Total_Units)=0,DS_ELI_UnitLimit&lt;&gt;"Yes",DS_ELI_UnitLimit_Exception_Goal_Met="MEETS",N(F50)=0,AND(I50=IFERROR(VLOOKUP(County,DS_CountyData,14),0),N(F50)&lt;DS_ELI_UnitLimit_Units)),"",IF(AND(Minimum_SetAside_per_Sec_42&lt;&gt;"&lt;select one&gt;",Minimum_SetAside_per_Sec_42&lt;&gt;DS_IRS_AIT,I50=IFERROR(VLOOKUP(County,DS_CountyData,14),0)),ROUND(F50/N(Total_Units),5),IF(Data1!$W$679=Data1!$W$681,IF(OR(AND(Minimum_SetAside_per_Sec_42=DS_IRS_2050,I50=50%),AND(Minimum_SetAside_per_Sec_42=DS_IRS_4060,I50=60%)),SUM(G$50:G50)-L1,G50+IF(SUM(G50:G$58)=0,SUM(Data1!U$682:U$690)/N(Total_Units),0)),IF(Data1!W682=MAX(Data1!$U$682:$U$687),G50+Data1!W682/N(Total_Units),""))))</f>
        <v/>
      </c>
      <c r="L50" s="829" t="str">
        <f t="shared" ref="L50:L56"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one&gt;",Minimum_SetAside_per_Sec_42&lt;&gt;DS_IRS_AIT,I50&lt;IFERROR(VLOOKUP(County,DS_CountyData,14),0)),"",IF(I50=IFERROR(VLOOKUP(County,DS_CountyData,14),0),"&lt;= "&amp;County&amp;" County's designated ELI AMI Level is "&amp;TEXT(IFERROR(VLOOKUP(County,DS_CountyData,14),0),"0%")&amp;".","")))</f>
        <v/>
      </c>
      <c r="M50" s="829"/>
      <c r="N50" s="2057"/>
    </row>
    <row r="51" spans="4:26" ht="17.649999999999999" customHeight="1">
      <c r="D51" s="3324"/>
      <c r="E51" s="3325"/>
      <c r="F51" s="22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51=IFERROR(VLOOKUP(County,DS_CountyData,14),0)),MIN(DS_ELI_UnitLimit_Units,ROUNDUP(SUM(G$50:G51)*N(Total_Units),0)-SUM(F$50:F50)-SUM(Data1!U$682:U682)),IF(AND(SUM(G$50:G$58)=SUM(G$50:G51),N(G51)&gt;0),SUM(Data1!U$682:U682),0)+ROUNDUP(ROUNDUP(SUM(G$50:G51),IF(DS_TableA_Whole_Nos="Yes",2,100))*N(Total_Units),0)-SUM(F$50:F50)-SUM(Data1!U$682:U682))),0)</f>
        <v>0</v>
      </c>
      <c r="G51" s="3334"/>
      <c r="H51" s="3335"/>
      <c r="I51" s="424">
        <v>0.28000000000000003</v>
      </c>
      <c r="J51" s="3403"/>
      <c r="K51" s="1428" t="str">
        <f>IF(OR(Minimum_SetAside_per_Sec_42="&lt;select one&gt;",Minimum_SetAside_per_Sec_42=DS_IRS_AIT,N(Total_Units)=0,DS_ELI_UnitLimit&lt;&gt;"Yes",DS_ELI_UnitLimit_Exception_Goal_Met="MEETS",N(F51)=0,AND(I51=IFERROR(VLOOKUP(County,DS_CountyData,14),0),N(F51)&lt;DS_ELI_UnitLimit_Units)),"",IF(AND(Minimum_SetAside_per_Sec_42&lt;&gt;"&lt;select one&gt;",Minimum_SetAside_per_Sec_42&lt;&gt;DS_IRS_AIT,I51=IFERROR(VLOOKUP(County,DS_CountyData,14),0)),ROUND(F51/N(Total_Units),5),IF(Data1!$W$679=Data1!$W$681,IF(OR(AND(Minimum_SetAside_per_Sec_42=DS_IRS_2050,I51=50%),AND(Minimum_SetAside_per_Sec_42=DS_IRS_4060,I51=60%)),SUM(G$50:G50)-SUM(K$50:K50),G51+IF(SUM(G50:G$58)=0,SUM(Data1!U$682:U$690)/N(Total_Units),0)),IF(Data1!W683=MAX(Data1!$U$682:$U$687),G50+Data1!W683/N(Total_Units),""))))</f>
        <v/>
      </c>
      <c r="L51" s="829" t="str">
        <f t="shared" si="0"/>
        <v/>
      </c>
      <c r="M51" s="829"/>
      <c r="N51" s="2057"/>
      <c r="Q51" t="str">
        <f>IF(AND(P65=2,RIGHT(Excel_RFA_Number,3)="213")," The ELI Set-Aside Commitment is for only ","")</f>
        <v/>
      </c>
    </row>
    <row r="52" spans="4:26" ht="17.649999999999999" customHeight="1">
      <c r="D52" s="3324"/>
      <c r="E52" s="3325"/>
      <c r="F52" s="22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_AMI_HC)=0),0,IF(AND(DS_ELI_UnitLimit="Yes",DS_ELI_UnitLimit_Exception_Goal_Met&lt;&gt;"MEETS",I52=IFERROR(VLOOKUP(County,DS_CountyData,14),0)),MIN(DS_ELI_UnitLimit_Units,ROUNDUP(SUM(G$50:G52)*N(Total_Units),0)-SUM(F$50:F51)-SUM(Data1!U$682:U683)),IF(AND(SUM(G$50:G$58)=SUM(G$50:G52),N(G52)&gt;0),SUM(Data1!U$682:U683),0)+ROUNDUP(ROUNDUP(SUM(G$50:G52),IF(DS_TableA_Whole_Nos="Yes",2,100))*N(Total_Units),0)-SUM(F$50:F51)-SUM(Data1!U$682:U683))),0)</f>
        <v>0</v>
      </c>
      <c r="G52" s="3355"/>
      <c r="H52" s="3356"/>
      <c r="I52" s="424">
        <v>0.3</v>
      </c>
      <c r="J52" s="3403"/>
      <c r="K52" s="1428"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$679=Data1!$W$681,IF(OR(AND(Minimum_SetAside_per_Sec_42=DS_IRS_2050,I52=50%),AND(Minimum_SetAside_per_Sec_42=DS_IRS_4060,I52=60%)),SUM(G$50:G51)-SUM(K$50:K51),G52+IF(SUM(G51:G$58)=0,SUM(Data1!U$682:U$690)/N(Total_Units),0)),IF(Data1!W684=MAX(Data1!$U$682:$U$687),G51+Data1!W684/N(Total_Units),""))))</f>
        <v/>
      </c>
      <c r="L52" s="829" t="str">
        <f t="shared" si="0"/>
        <v/>
      </c>
      <c r="M52" s="829"/>
      <c r="N52" s="2057"/>
    </row>
    <row r="53" spans="4:26" ht="17.649999999999999" customHeight="1">
      <c r="D53" s="3324"/>
      <c r="E53" s="3325"/>
      <c r="F53" s="22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three_AMI_HC)=0),0,IF(AND(DS_ELI_UnitLimit="Yes",DS_ELI_UnitLimit_Exception_Goal_Met&lt;&gt;"MEETS",I53=IFERROR(VLOOKUP(County,DS_CountyData,14),0)),MIN(DS_ELI_UnitLimit_Units,ROUNDUP(SUM(G$50:G53)*N(Total_Units),0)-SUM(F$50:F52)-SUM(Data1!U$682:U684)),IF(AND(SUM(G$50:G$58)=SUM(G$50:G53),N(G53)&gt;0),SUM(Data1!U$682:U684),0)+ROUNDUP(ROUNDUP(SUM(G$50:G53),IF(DS_TableA_Whole_Nos="Yes",2,100))*N(Total_Units),0)-SUM(F$50:F52)-SUM(Data1!U$682:U684))),0)</f>
        <v>0</v>
      </c>
      <c r="G53" s="3334"/>
      <c r="H53" s="3335"/>
      <c r="I53" s="424">
        <v>0.33</v>
      </c>
      <c r="J53" s="3403"/>
      <c r="K53" s="1428"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$679=Data1!$W$681,IF(OR(AND(Minimum_SetAside_per_Sec_42=DS_IRS_2050,I53=50%),AND(Minimum_SetAside_per_Sec_42=DS_IRS_4060,I53=60%)),SUM(G$50:G53)-SUM(K$50:K52),G53+IF(SUM(G53:G$58)=0,SUM(Data1!U$682:U$690)/N(Total_Units),0)),IF(Data1!W685=MAX(Data1!$U$682:$U$687),G53+Data1!W685/N(Total_Units),""))))</f>
        <v/>
      </c>
      <c r="L53" s="829" t="str">
        <f t="shared" si="0"/>
        <v/>
      </c>
      <c r="M53" s="829"/>
      <c r="N53" s="2057"/>
    </row>
    <row r="54" spans="4:26" ht="17.649999999999999" customHeight="1">
      <c r="D54" s="3324"/>
      <c r="E54" s="3325"/>
      <c r="F54" s="22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five_AMI_HC)=0),0,IF(AND(DS_ELI_UnitLimit="Yes",DS_ELI_UnitLimit_Exception_Goal_Met&lt;&gt;"MEETS",I54=IFERROR(VLOOKUP(County,DS_CountyData,14),0)),MIN(DS_ELI_UnitLimit_Units,ROUNDUP(SUM(G$50:G54)*N(Total_Units),0)-SUM(F$50:F53)-SUM(Data1!U$682:U685)),IF(AND(SUM(G$50:G$58)=SUM(G$50:G54),N(G54)&gt;0),SUM(Data1!U$682:U685),0)+ROUNDUP(ROUNDUP(SUM(G$50:G54),IF(DS_TableA_Whole_Nos="Yes",2,100))*N(Total_Units),0)-SUM(F$50:F53)-SUM(Data1!U$682:U685))),0)</f>
        <v>0</v>
      </c>
      <c r="G54" s="3334"/>
      <c r="H54" s="3335"/>
      <c r="I54" s="424">
        <v>0.35</v>
      </c>
      <c r="J54" s="3403"/>
      <c r="K54" s="1428"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$679=Data1!$W$681,IF(OR(AND(Minimum_SetAside_per_Sec_42=DS_IRS_2050,I54=50%),AND(Minimum_SetAside_per_Sec_42=DS_IRS_4060,I54=60%)),SUM(G$50:G54)-SUM(K$50:K53),G54+IF(SUM(G54:G$58)=0,SUM(Data1!U$682:U$690)/N(Total_Units),0)),IF(Data1!W686=MAX(Data1!$U$682:$U$687),G54+Data1!W686/N(Total_Units),""))))</f>
        <v/>
      </c>
      <c r="L54" s="829" t="str">
        <f t="shared" si="0"/>
        <v/>
      </c>
      <c r="M54" s="829"/>
      <c r="N54" s="2057"/>
    </row>
    <row r="55" spans="4:26" ht="17.649999999999999" customHeight="1">
      <c r="D55" s="3324"/>
      <c r="E55" s="3325"/>
      <c r="F55" s="22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_AMI_HC)=0),0,IF(AND(DS_ELI_UnitLimit="Yes",DS_ELI_UnitLimit_Exception_Goal_Met&lt;&gt;"MEETS",I55=IFERROR(VLOOKUP(County,DS_CountyData,14),0)),MIN(DS_ELI_UnitLimit_Units,ROUNDUP(SUM(G$50:G55)*N(Total_Units),0)-SUM(F$50:F54)-SUM(Data1!U$682:U687)),IF(AND(SUM(G$50:G$58)=SUM(G$50:G55),N(G55)&gt;0),SUM(Data1!U$682:U687),0)+ROUNDUP(ROUNDUP(SUM(G$50:G55),IF(DS_TableA_Whole_Nos="Yes",2,100))*N(Total_Units),0)-SUM(F$50:F54)-SUM(Data1!U$682:U687))),0)</f>
        <v>0</v>
      </c>
      <c r="G55" s="3334"/>
      <c r="H55" s="3335"/>
      <c r="I55" s="424">
        <v>0.4</v>
      </c>
      <c r="J55" s="3403"/>
      <c r="K55" s="1428"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$679=Data1!$W$681,IF(OR(AND(Minimum_SetAside_per_Sec_42=DS_IRS_2050,I55=50%),AND(Minimum_SetAside_per_Sec_42=DS_IRS_4060,I55=60%)),SUM(G$50:G55)-SUM(K$50:K54),G55+IF(SUM(G55:G$58)=0,SUM(Data1!U$682:U$690)/N(Total_Units),0)),IF(Data1!W687=MAX(Data1!$U$682:$U$687),G55+Data1!W687/N(Total_Units),""))))</f>
        <v/>
      </c>
      <c r="L55" s="829" t="str">
        <f t="shared" si="0"/>
        <v/>
      </c>
      <c r="M55" s="829"/>
      <c r="N55" s="2057"/>
    </row>
    <row r="56" spans="4:26" ht="17.649999999999999" customHeight="1">
      <c r="D56" s="3324"/>
      <c r="E56" s="3325"/>
      <c r="F56" s="22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five_AMI_HC)=0),0,IF(AND(DS_ELI_UnitLimit="Yes",DS_ELI_UnitLimit_Exception_Goal_Met&lt;&gt;"MEETS",I56=IFERROR(VLOOKUP(County,DS_CountyData,14),0)),MIN(DS_ELI_UnitLimit_Units,ROUNDUP(SUM(G$50:G56)*N(Total_Units),0)-SUM(F$50:F55)-SUM(Data1!U$682:U687)),IF(AND(SUM(G$50:G$58)=SUM(G$50:G56),N(G56)&gt;0),SUM(Data1!U$682:U687),0)+ROUNDUP(ROUNDUP(SUM(G$50:G56),IF(DS_TableA_Whole_Nos="Yes",2,100))*N(Total_Units),0)-SUM(F$50:F55)-SUM(Data1!U$682:U687))),0)</f>
        <v>0</v>
      </c>
      <c r="G56" s="3334"/>
      <c r="H56" s="3335"/>
      <c r="I56" s="424">
        <v>0.45</v>
      </c>
      <c r="J56" s="3403"/>
      <c r="K56" s="1428"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$679=Data1!$W$681,IF(OR(AND(Minimum_SetAside_per_Sec_42=DS_IRS_2050,I56=50%),AND(Minimum_SetAside_per_Sec_42=DS_IRS_4060,I56=60%)),SUM(G$50:G56)-SUM(K$50:K55),G56+IF(SUM(G56:G$58)=0,SUM(Data1!U$682:U$690)/N(Total_Units),0)),IF(Data1!W688=MAX(Data1!$U$682:$U$687),G56+Data1!W688/N(Total_Units),""))))</f>
        <v/>
      </c>
      <c r="L56" s="829" t="str">
        <f t="shared" si="0"/>
        <v/>
      </c>
      <c r="M56" s="829"/>
      <c r="N56" s="2057"/>
    </row>
    <row r="57" spans="4:26" ht="17.649999999999999" customHeight="1">
      <c r="D57" s="3324"/>
      <c r="E57" s="3325"/>
      <c r="F57" s="22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ifty_AMI_HC)=0),0,IF(AND(DS_ELI_UnitLimit="Yes",DS_ELI_UnitLimit_Exception_Goal_Met&lt;&gt;"MEETS",I57=IFERROR(VLOOKUP(County,DS_CountyData,14),0)),MIN(DS_ELI_UnitLimit_Units,ROUNDUP(SUM(G$50:G57)*N(Total_Units),0)-SUM(F$50:F56)-SUM(Data1!U$682:U688)),IF(Minimum_SetAside_per_Sec_42=DS_IRS_2050,SUM(Data1!U$682:U688),0)+ROUNDUP(ROUNDUP(SUM(G$50:G57),IF(DS_TableA_Whole_Nos="Yes",2,100))*N(Total_Units),0)-SUM(F$50:F56)-SUM(Data1!U$682:U688))),0)</f>
        <v>0</v>
      </c>
      <c r="G57" s="3334"/>
      <c r="H57" s="3335"/>
      <c r="I57" s="424">
        <v>0.5</v>
      </c>
      <c r="J57" s="3403"/>
      <c r="K57" s="1428"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$679=Data1!$W$681,IF(OR(AND(Minimum_SetAside_per_Sec_42=DS_IRS_2050,I57=50%),AND(Minimum_SetAside_per_Sec_42=DS_IRS_4060,I57=60%)),SUM(G$50:G57)-SUM(K$50:K56),G57+IF(SUM(G57:G$58)=0,SUM(Data1!U$682:U$690)/N(Total_Units),0)),IF(Data1!W689=MAX(Data1!$U$682:$U$687),G57+Data1!W689/N(Total_Units),""))))</f>
        <v/>
      </c>
      <c r="L57" s="829" t="str">
        <f>IF(AND(DS_Loan_Name="HOME",Minimum_SetAside_per_Sec_42=DS_FHFC_NonHC),"&lt;= Low HOME Rent Units; must equal 20% of Total HOME-Assisted Units ("&amp;TEXT(ROUNDUP(20%*SUM(Funding!F121:F125),0),"0")&amp;")","")</f>
        <v/>
      </c>
      <c r="M57" s="829"/>
      <c r="N57" s="2058"/>
    </row>
    <row r="58" spans="4:26" ht="17.649999999999999" customHeight="1" thickBot="1">
      <c r="D58" s="3324"/>
      <c r="E58" s="3325"/>
      <c r="F58" s="2268">
        <f>IFERROR(MIN(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Minimum_SetAside_per_Sec_42=DS_IRS_2050),0,IF(Minimum_SetAside_per_Sec_42=DS_IRS_2050,0,IF(AND(DS_ELI_UnitLimit="Yes",DS_ELI_UnitLimit_Exception_Goal_Met&lt;&gt;"MEETS",I58=IFERROR(VLOOKUP(County,DS_CountyData,14),0)),MIN(DS_ELI_UnitLimit_Units,ROUNDUP(ROUNDUP(SUM(G$50:G58),IF(DS_TableA_Whole_Nos="Yes",2,100))*N(Total_Units),0)-SUM(F$50:F57)-SUM(Data1!U$682:U689)),IF(Minimum_SetAside_per_Sec_42=DS_IRS_4060,SUM(Data1!U$682:U689),0)+ROUNDUP(ROUNDUP(SUM(G$50:G58),IF(DS_TableA_Whole_Nos="Yes",2,100))*N(Total_Units),0)-SUM(F$50:F57)-SUM(Data1!U$682:U689)))),Total_Units-SUM(F$50:F57)),0)</f>
        <v>0</v>
      </c>
      <c r="G58" s="3334"/>
      <c r="H58" s="3335"/>
      <c r="I58" s="424">
        <v>0.6</v>
      </c>
      <c r="J58" s="3403"/>
      <c r="K58" s="1428" t="str">
        <f>IF(OR(Minimum_SetAside_per_Sec_42="&lt;select one&gt;",Minimum_SetAside_per_Sec_42=DS_IRS_AIT,N(Total_Units)=0,DS_ELI_UnitLimit&lt;&gt;"Yes",DS_ELI_UnitLimit_Exception_Goal_Met="MEETS",Minimum_SetAside_per_Sec_42=DS_IRS_2050,AND(I58=IFERROR(VLOOKUP(County,DS_CountyData,14),0),N(F58)&lt;DS_ELI_UnitLimit_Units)),"",IF(AND(Minimum_SetAside_per_Sec_42&lt;&gt;"&lt;select one&gt;",Minimum_SetAside_per_Sec_42&lt;&gt;DS_IRS_AIT,I58=IFERROR(VLOOKUP(County,DS_CountyData,14),0)),ROUND(F58/N(Total_Units),5),IF(Data1!$W$679=Data1!$W$681,IF(OR(AND(Minimum_SetAside_per_Sec_42=DS_IRS_2050,I58=50%),AND(Minimum_SetAside_per_Sec_42=DS_IRS_4060,I58=60%)),SUM(G$50:G58)-SUM(K$50:K57),G58+IF(SUM(G58:G$58)=0,SUM(Data1!U$682:U$690)/N(Total_Units),0)),IF(Data1!W690=MAX(Data1!$U$682:$U$687),G58+Data1!W690/N(Total_Units),""))))</f>
        <v/>
      </c>
      <c r="L58" s="829" t="str">
        <f>IF(LEFT(Minimum_SetAside_per_Sec_42,3)="20%","&lt;= These units cannot be HC Units due to minimum IRS Set-Aside selected.","")</f>
        <v/>
      </c>
      <c r="M58" s="829"/>
      <c r="N58" s="2058"/>
    </row>
    <row r="59" spans="4:26" ht="35.25" hidden="1" customHeight="1">
      <c r="D59" s="3324"/>
      <c r="E59" s="3325"/>
      <c r="F59" s="1467">
        <f>IF(OR(Minimum_SetAside_per_Sec_42=DS_IRS_AIT,Minimum_SetAside_per_Sec_42=DS_FHFC_NonHC,N(Workforce_AMI_80_NonAIT)=0,O59=0),0,ROUNDUP((SUM(G$50:G59)-IF(Minimum_SetAside_per_Sec_42=DS_IRS_2050,G$58,0))*N(Total_Units),0)-(SUM(F$50:F58)-IF(Minimum_SetAside_per_Sec_42=DS_IRS_2050,F$58,0)))</f>
        <v>0</v>
      </c>
      <c r="G59" s="3397"/>
      <c r="H59" s="3398"/>
      <c r="I59" s="1319">
        <v>0.8</v>
      </c>
      <c r="J59" s="1315" t="str">
        <f>IF(P$65=0,"Workforce Housing Units",IF(P$65=2,IF(Minimum_SetAside_per_Sec_42&lt;&gt;DS_FHFC_NonHC,"Non-HC ","")&amp;"80% Live Local Housing Units",IF(P$65=3,IF(Minimum_SetAside_per_Sec_42=DS_FHFC_NonHC,"FHFC Loan Only",IF(OR(DS_Gap1_YN="Yes",DS_Gap2_YN="Yes"),"FHFC Gap Loan",""))&amp;" Housing Units","Non-HC 80% Units")))</f>
        <v>Non-HC 80% Units</v>
      </c>
      <c r="K59" s="1430" t="str">
        <f>IF(OR(Minimum_SetAside_per_Sec_42="&lt;select one&gt;",Minimum_SetAside_per_Sec_42=DS_IRS_AIT,N(Total_Units)=0,N(F59)=0),"",IF(OR(AND(Minimum_SetAside_per_Sec_42&lt;&gt;"&lt;select one&gt;",Minimum_SetAside_per_Sec_42&lt;&gt;DS_IRS_AIT,I59=IFERROR(VLOOKUP(County,DS_CountyData,14),0))),"",G59+IF(Data1!$W$679=Data1!$W$681,0,IF(Data1!V691&gt;0,SUM(Data1!U$682:U$690),0))/N(Total_Units)))</f>
        <v/>
      </c>
      <c r="N59" s="3204">
        <f>N47</f>
        <v>1</v>
      </c>
      <c r="O59" s="2054">
        <v>0</v>
      </c>
      <c r="Q59" s="2024" t="s">
        <v>2774</v>
      </c>
      <c r="Z59" s="264"/>
    </row>
    <row r="60" spans="4:26" ht="35.25" hidden="1" customHeight="1">
      <c r="D60" s="3324"/>
      <c r="E60" s="3325"/>
      <c r="F60" s="1467">
        <f>IF(OR(Minimum_SetAside_per_Sec_42=DS_IRS_AIT,Minimum_SetAside_per_Sec_42=DS_FHFC_NonHC,N(Workforce_AMI_90_NonAIT)=0,O60=0),0,ROUNDUP((SUM(G$50:G60)-IF(Minimum_SetAside_per_Sec_42=DS_IRS_2050,G$58,0))*N(Total_Units),0)-(SUM(F$50:F59)-IF(Minimum_SetAside_per_Sec_42=DS_IRS_2050,F$58,0)))</f>
        <v>0</v>
      </c>
      <c r="G60" s="3334"/>
      <c r="H60" s="3335"/>
      <c r="I60" s="1358">
        <v>0.9</v>
      </c>
      <c r="J60" s="1359" t="str">
        <f>IF(P$65=0,"Workforce Housing Units",IF(P$65=2,IF(Minimum_SetAside_per_Sec_42&lt;&gt;DS_FHFC_NonHC,"Non-HC ","")&amp;"90% Live Local Housing Units",IF(P$65=3,IF(Minimum_SetAside_per_Sec_42=DS_FHFC_NonHC,"FHFC Loan Only",IF(OR(DS_Gap1_YN="Yes",DS_Gap2_YN="Yes"),"FHFC Gap Loan",""))&amp;" Housing Units","Non-HC 90% Units")))</f>
        <v>Non-HC 90% Units</v>
      </c>
      <c r="K60" s="1428" t="str">
        <f>IF(OR(Minimum_SetAside_per_Sec_42="&lt;select one&gt;",Minimum_SetAside_per_Sec_42=DS_IRS_AIT,N(Total_Units)=0,N(F60)=0),"",IF(OR(AND(Minimum_SetAside_per_Sec_42&lt;&gt;"&lt;select one&gt;",Minimum_SetAside_per_Sec_42&lt;&gt;DS_IRS_AIT,I60=IFERROR(VLOOKUP(County,DS_CountyData,14),0))),"",G60+IF(Data1!$W$679=Data1!$W$681,0,IF(Data1!V693&gt;0,SUM(Data1!U$682:U$690),0))/N(Total_Units)))</f>
        <v/>
      </c>
      <c r="N60" s="3415"/>
      <c r="O60" s="2054">
        <v>0</v>
      </c>
      <c r="Q60" s="2024" t="s">
        <v>2774</v>
      </c>
    </row>
    <row r="61" spans="4:26" ht="35.25" hidden="1" customHeight="1">
      <c r="D61" s="3324"/>
      <c r="E61" s="3325"/>
      <c r="F61" s="1467">
        <f>IF(OR(Minimum_SetAside_per_Sec_42=DS_IRS_AIT,Minimum_SetAside_per_Sec_42=DS_FHFC_NonHC,N(Workforce_AMI_100_NonAIT)=0,O61=0),0,ROUNDUP((SUM(G$50:G61)-IF(Minimum_SetAside_per_Sec_42=DS_IRS_2050,G$58,0))*N(Total_Units),0)-(SUM(F$50:F60)-IF(Minimum_SetAside_per_Sec_42=DS_IRS_2050,F$58,0)))</f>
        <v>0</v>
      </c>
      <c r="G61" s="3334"/>
      <c r="H61" s="3335"/>
      <c r="I61" s="1358">
        <v>1</v>
      </c>
      <c r="J61" s="1359" t="str">
        <f>IF(P$65=0,"Workforce Housing Units",IF(P$65=2,IF(Minimum_SetAside_per_Sec_42&lt;&gt;DS_FHFC_NonHC,"Non-HC ","")&amp;"100% Live Local Housing Units",IF(P$65=3,IF(Minimum_SetAside_per_Sec_42=DS_FHFC_NonHC,"FHFC Loan Only",IF(OR(DS_Gap1_YN="Yes",DS_Gap2_YN="Yes"),"FHFC Gap Loan",""))&amp;" Housing Units","Non-HC 100% Units")))</f>
        <v>Non-HC 100% Units</v>
      </c>
      <c r="K61" s="1428" t="str">
        <f>IF(OR(Minimum_SetAside_per_Sec_42="&lt;select one&gt;",Minimum_SetAside_per_Sec_42=DS_IRS_AIT,N(Total_Units)=0,N(F61)=0),"",IF(OR(AND(Minimum_SetAside_per_Sec_42&lt;&gt;"&lt;select one&gt;",Minimum_SetAside_per_Sec_42&lt;&gt;DS_IRS_AIT,I61=IFERROR(VLOOKUP(County,DS_CountyData,14),0))),"",G61+IF(Data1!$W$679=Data1!$W$681,0,IF(Data1!V693&gt;0,SUM(Data1!U$682:U$690),0))/N(Total_Units)))</f>
        <v/>
      </c>
      <c r="N61" s="3415"/>
      <c r="O61" s="2054">
        <v>0</v>
      </c>
      <c r="Q61" s="2024" t="s">
        <v>2774</v>
      </c>
    </row>
    <row r="62" spans="4:26" ht="35.25" hidden="1" customHeight="1">
      <c r="D62" s="1464"/>
      <c r="E62" s="1464"/>
      <c r="F62" s="1467">
        <f>IF(OR(Minimum_SetAside_per_Sec_42=DS_IRS_AIT,Minimum_SetAside_per_Sec_42=DS_FHFC_NonHC,N(Workforce_AMI_110_NonAIT)=0,O62=0),0,ROUNDUP((SUM(G$50:G62)-IF(Minimum_SetAside_per_Sec_42=DS_IRS_2050,G$58,0))*N(Total_Units),0)-(SUM(F$50:F61)-IF(Minimum_SetAside_per_Sec_42=DS_IRS_2050,F$58,0)))</f>
        <v>0</v>
      </c>
      <c r="G62" s="3334"/>
      <c r="H62" s="3335"/>
      <c r="I62" s="1358">
        <v>1.1000000000000001</v>
      </c>
      <c r="J62" s="1359" t="str">
        <f>IF(P$65=0,"Workforce Housing Units",IF(P$65=2,IF(Minimum_SetAside_per_Sec_42&lt;&gt;DS_FHFC_NonHC,"Non-HC ","")&amp;"110% Live Local Housing Units",IF(P$65=3,IF(Minimum_SetAside_per_Sec_42=DS_FHFC_NonHC,"FHFC Loan Only",IF(OR(DS_Gap1_YN="Yes",DS_Gap2_YN="Yes"),"FHFC Gap Loan",""))&amp;" Housing Units","Non-HC 110% Units")))</f>
        <v>Non-HC 110% Units</v>
      </c>
      <c r="K62" s="1428" t="str">
        <f>IF(OR(Minimum_SetAside_per_Sec_42="&lt;select one&gt;",Minimum_SetAside_per_Sec_42=DS_IRS_AIT,N(Total_Units)=0,N(F62)=0),"",IF(OR(AND(Minimum_SetAside_per_Sec_42&lt;&gt;"&lt;select one&gt;",Minimum_SetAside_per_Sec_42&lt;&gt;DS_IRS_AIT,I62=IFERROR(VLOOKUP(County,DS_CountyData,14),0))),"",G62+IF(Data1!$W$679=Data1!$W$681,0,IF(Data1!V696&gt;0,SUM(Data1!U$682:U$690),0))/N(Total_Units)))</f>
        <v/>
      </c>
      <c r="N62" s="3415"/>
      <c r="O62" s="2054">
        <v>0</v>
      </c>
      <c r="Q62" s="2024" t="s">
        <v>2774</v>
      </c>
    </row>
    <row r="63" spans="4:26" ht="35.25" hidden="1" customHeight="1" thickBot="1">
      <c r="F63" s="433">
        <f>IF(OR(Minimum_SetAside_per_Sec_42=DS_IRS_AIT,Minimum_SetAside_per_Sec_42=DS_FHFC_NonHC,N(Workforce_AMI_120_NonAIT)=0,O63=0),0,ROUNDUP((SUM(G$50:G63)-IF(Minimum_SetAside_per_Sec_42=DS_IRS_2050,G$58,0))*N(Total_Units),0)-(SUM(F$50:F62)-IF(Minimum_SetAside_per_Sec_42=DS_IRS_2050,F$58,0)))</f>
        <v>0</v>
      </c>
      <c r="G63" s="3353"/>
      <c r="H63" s="3354"/>
      <c r="I63" s="1592">
        <v>1.2</v>
      </c>
      <c r="J63" s="1593" t="str">
        <f>IF(P$65=0,"Workforce Housing Units",IF(P$65=2,IF(Minimum_SetAside_per_Sec_42&lt;&gt;DS_FHFC_NonHC,"Non-HC ","")&amp;"120% Live Local Housing Units",IF(P$65=3,IF(Minimum_SetAside_per_Sec_42=DS_FHFC_NonHC,"FHFC Loan Only",IF(OR(DS_Gap1_YN="Yes",DS_Gap2_YN="Yes"),"FHFC Gap Loan",""))&amp;" Housing Units","Non-HC 120% Units")))</f>
        <v>Non-HC 120% Units</v>
      </c>
      <c r="K63" s="1428" t="str">
        <f>IF(OR(Minimum_SetAside_per_Sec_42="&lt;select one&gt;",Minimum_SetAside_per_Sec_42=DS_IRS_AIT,N(Total_Units)=0,N(F63)=0),"",IF(OR(AND(Minimum_SetAside_per_Sec_42&lt;&gt;"&lt;select one&gt;",Minimum_SetAside_per_Sec_42&lt;&gt;DS_IRS_AIT,I63=IFERROR(VLOOKUP(County,DS_CountyData,14),0))),"",G63+IF(Data1!$W$679=Data1!$W$681,0,IF(Data1!V695&gt;0,SUM(Data1!U$682:U$690),0))/N(Total_Units)))</f>
        <v/>
      </c>
      <c r="N63" s="3415"/>
      <c r="O63" s="2054">
        <v>0</v>
      </c>
      <c r="Q63" s="2024" t="s">
        <v>2774</v>
      </c>
    </row>
    <row r="64" spans="4:26" ht="35.25" customHeight="1" thickBot="1">
      <c r="F64" s="459">
        <f>IF(OR(Minimum_SetAside_per_Sec_42=DS_IRS_AIT,Minimum_SetAside_per_Sec_42=DS_FHFC_NonHC,AND(RIGHT(Excel_RFA_Number,3)="215",Minimum_SetAside_per_Sec_42=DS_FHFC_NonHC,DS_FHFC_NonHC_Table&lt;&gt;"Non-AIT"),Minimum_SetAside_per_Sec_42=DS_IRS_AIT,SUM(G50:G63)=0),0,N(Total_Units)-SUM(F50:F63))</f>
        <v>0</v>
      </c>
      <c r="G64" s="3357">
        <f>IF(OR(AND(RIGHT(Excel_RFA_Number,3)="215",Minimum_SetAside_per_Sec_42=DS_FHFC_NonHC),Minimum_SetAside_per_Sec_42=DS_IRS_AIT),0,MAX(0,IF(OR(SUM(O59:O63)=0,SUM(G50:G58)+SUMPRODUCT(G59:G63,O59:O63)=0),0,1-SUM(G50:G58)-SUMPRODUCT(G59:G63,O59:O63)+IF(AND(Minimum_SetAside_per_Sec_42=DS_IRS_2050,N($G58)&gt;0),G58,0))))</f>
        <v>0</v>
      </c>
      <c r="H64" s="3358"/>
      <c r="I64" s="1594" t="s">
        <v>2008</v>
      </c>
      <c r="J64" s="1595" t="s">
        <v>2007</v>
      </c>
      <c r="K64" s="1429" t="str">
        <f>IF(OR(Minimum_SetAside_per_Sec_42="&lt;select one&gt;",Minimum_SetAside_per_Sec_42=DS_IRS_AIT,N(Total_Units)=0,N(F64)=0),"",IF(OR(AND(Minimum_SetAside_per_Sec_42&lt;&gt;"&lt;select one&gt;",Minimum_SetAside_per_Sec_42&lt;&gt;DS_IRS_AIT,I64=IFERROR(VLOOKUP(County,DS_CountyData,14),0))),"",1-SUM(K50:K63)))</f>
        <v/>
      </c>
      <c r="N64" s="3415"/>
      <c r="O64" s="2054">
        <v>1</v>
      </c>
      <c r="Q64" s="2024" t="s">
        <v>2774</v>
      </c>
    </row>
    <row r="65" spans="3:25" ht="35.25" customHeight="1" thickBot="1">
      <c r="F65" s="429">
        <f>SUM(F50:F58)</f>
        <v>0</v>
      </c>
      <c r="G65" s="3405">
        <f>IF(OR(AND(RIGHT(Excel_RFA_Number,3)="215",Minimum_SetAside_per_Sec_42=DS_FHFC_NonHC),Minimum_SetAside_per_Sec_42=DS_IRS_AIT),0,MIN(1,SUM(G50:G57)+IF(Minimum_SetAside_per_Sec_42&lt;&gt;DS_IRS_2050,G58,0)))</f>
        <v>0</v>
      </c>
      <c r="H65" s="3406"/>
      <c r="I65" s="430"/>
      <c r="J65" s="431" t="str">
        <f>"Total Qualifying "&amp;IF(Minimum_SetAside_per_Sec_42=DS_FHFC_NonHC,"FHFC Loan Only","HC")&amp;" Units"</f>
        <v>Total Qualifying HC Units</v>
      </c>
      <c r="K65" s="1431"/>
      <c r="L65" s="865"/>
      <c r="M65" s="865"/>
      <c r="N65" s="3415"/>
      <c r="P65" s="2274">
        <v>1</v>
      </c>
      <c r="Q65" s="3423" t="s">
        <v>2918</v>
      </c>
      <c r="R65" s="3424"/>
      <c r="S65" s="3424"/>
      <c r="T65" s="3425"/>
    </row>
    <row r="66" spans="3:25" ht="17.649999999999999" customHeight="1" thickTop="1" thickBot="1">
      <c r="F66" s="426">
        <f>SUM(F50:F64)-IF(Minimum_SetAside_per_Sec_42=DS_IRS_2050,F58,0)</f>
        <v>0</v>
      </c>
      <c r="G66" s="3349">
        <f>IF(OR(AND(RIGHT(Excel_RFA_Number,3)="215",Minimum_SetAside_per_Sec_42=DS_FHFC_NonHC),Minimum_SetAside_per_Sec_42=DS_IRS_AIT),0,MIN(1,SUM(G50:G57)+IF(Minimum_SetAside_per_Sec_42&lt;&gt;DS_IRS_2050,G58,0)+SUMPRODUCT(G59:G63,O59:O63)+Market_AMI_NonAIT))</f>
        <v>0</v>
      </c>
      <c r="H66" s="3350"/>
      <c r="I66" s="427"/>
      <c r="J66" s="428" t="s">
        <v>1018</v>
      </c>
      <c r="K66" s="1432">
        <f>SUM(K50:K64)</f>
        <v>0</v>
      </c>
      <c r="L66" s="865"/>
      <c r="M66" s="865"/>
      <c r="N66" s="3415"/>
      <c r="O66" s="50"/>
      <c r="P66" s="50"/>
      <c r="Q66" s="3314" t="s">
        <v>2922</v>
      </c>
      <c r="R66" s="3315"/>
      <c r="S66" s="3315"/>
      <c r="T66" s="3316"/>
    </row>
    <row r="67" spans="3:25" ht="10.5" customHeight="1">
      <c r="F67" s="38"/>
      <c r="G67" s="39"/>
      <c r="H67" s="39"/>
      <c r="I67" s="40"/>
      <c r="J67" s="50"/>
      <c r="K67" s="6"/>
      <c r="L67" s="716"/>
      <c r="M67" s="716"/>
      <c r="N67" s="3415"/>
      <c r="O67" s="469"/>
      <c r="P67" s="50"/>
      <c r="Q67" s="3317"/>
      <c r="R67" s="3318"/>
      <c r="S67" s="3318"/>
      <c r="T67" s="3319"/>
    </row>
    <row r="68" spans="3:25" ht="65.25" customHeight="1">
      <c r="C68" s="372" t="str" cm="1">
        <f t="array" ref="C68">IF($N68=0,"",CHAR(CODE(LOOKUP(2,1/(COUNTIF(C$47:C67,"&gt;"&amp;C$47:C67&amp;"*")=0),C$47:C67))+1))</f>
        <v>b</v>
      </c>
      <c r="D68" s="2544" t="str">
        <f>IF(N68=0,"This commitment table is not applicable.","Applicants committing to "&amp;IF(AND(Minimum_SetAside_per_Sec_42&lt;&gt;"&lt;select one&gt;",Minimum_SetAside_per_Sec_42&lt;&gt;DS_FHFC_NonHC),IF(OR(DS_Gap1_YN="Yes",DS_Gap2_YN="Yes"),"FHFC Gap Loan and ","")&amp;"IRS Average Income Test",IF(AND(Data1!B633=1,Minimum_SetAside_per_Sec_42=DS_FHFC_NonHC,DS_FHFC_NonHC_Table="AIT"),"FHFC Loan Only",IF(AND(Data1!B633=1,DS_FHFC_NonHC_Table="AIT",OR(DS_Gap1_YN="Yes",DS_Gap2_YN="Yes")),"Either FHFC Loan Only or FHFC Gap Loan and the IRS Average Income Test",IF(AND(Data1!B633=1,DS_FHFC_NonHC_Table="AIT",DS_Gap1_YN="No",DS_Gap2_YN="No"),"Either FHFC Loan Only or the IRS Average Income Test",IF(AND(OR(Data1!B633=0,DS_FHFC_NonHC_Table&lt;&gt;"AIT"),OR(DS_Gap1_YN="Yes",DS_Gap2_YN="Yes")),"FHFC Gap Loan and the IRS Average Income Test","the IRS Average Income Test"))))&amp;" must complete this chart for "&amp;IF(OR(DS_Gap1_YN="Yes",DS_Gap2_YN="Yes"),"FHFC Gap Loan"&amp;IF(Minimum_SetAside_per_Sec_42=DS_FHFC_NonHC," ",IF(Minimum_SetAside_per_Sec_42="&lt;select one&gt;"," and/or "," and ")&amp;"Housing Credit ")," "))&amp;"Set-Aside Commitments. The minimum ELI Set-Aside Commitment is "&amp;TEXT(IF(AND(Minimum_SetAside_per_Sec_42=DS_FHFC_NonHC,DS_FHFC_NonHC_Table="AIT"),IF(AND('General Information'!K73&gt;0,'General Information'!G73="Yes"),0,Data1!B700+Data1!B701),Data1!B698+Data1!B699),"0%")&amp;" of Total Units ("&amp;TEXT(ROUNDUP(IF(AND(Minimum_SetAside_per_Sec_42=DS_FHFC_NonHC,DS_FHFC_NonHC_Table="AIT"),IF(AND('General Information'!K73&gt;0,'General Information'!G73="Yes"),0,Data1!B700+Data1!B701),Data1!B698+Data1!B699)*N(Total_Units),0),"0")&amp;" units at 30% AMI or less).")</f>
        <v>Applicants committing to FHFC Gap Loan and the IRS Average Income Test must complete this chart for FHFC Gap Loan and/or Housing Credit Set-Aside Commitments. The minimum ELI Set-Aside Commitment is 15% of Total Units (0 units at 30% AMI or less).</v>
      </c>
      <c r="E68" s="2544"/>
      <c r="F68" s="2544"/>
      <c r="G68" s="2544"/>
      <c r="H68" s="2544"/>
      <c r="I68" s="2544"/>
      <c r="J68" s="2544"/>
      <c r="K68" s="826"/>
      <c r="L68" s="716"/>
      <c r="M68" s="716"/>
      <c r="N68" s="1993">
        <v>1</v>
      </c>
      <c r="O68" s="469"/>
      <c r="Q68" s="2024" t="str">
        <f>"Controls Rows "&amp;TEXT(ROW(A68),"0")&amp;":"&amp;TEXT(ROW(A89),"0")&amp;". This is the Master control for table (b). [Master (b)]"</f>
        <v>Controls Rows 68:89. This is the Master control for table (b). [Master (b)]</v>
      </c>
      <c r="R68" s="1351"/>
    </row>
    <row r="69" spans="3:25" ht="10.5" customHeight="1" thickBot="1">
      <c r="L69" s="716"/>
      <c r="M69" s="716"/>
      <c r="N69" s="2059" t="s">
        <v>2772</v>
      </c>
      <c r="O69" s="469"/>
    </row>
    <row r="70" spans="3:25" ht="44.25" customHeight="1">
      <c r="F70" s="440" t="s">
        <v>1014</v>
      </c>
      <c r="G70" s="3399" t="s">
        <v>1015</v>
      </c>
      <c r="H70" s="3400"/>
      <c r="I70" s="860" t="s">
        <v>1016</v>
      </c>
      <c r="J70" s="442" t="s">
        <v>1017</v>
      </c>
      <c r="K70" s="1373"/>
      <c r="L70" s="3313"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0" s="3313"/>
      <c r="N70" s="3313"/>
      <c r="O70" s="3313"/>
      <c r="P70" s="3313"/>
      <c r="Q70" s="3313"/>
      <c r="R70" s="3313"/>
      <c r="S70" s="3313"/>
      <c r="T70" s="3313"/>
      <c r="U70" s="3313"/>
      <c r="V70" s="3313"/>
      <c r="W70" s="3313"/>
      <c r="X70" s="3313"/>
      <c r="Y70" s="3313"/>
    </row>
    <row r="71" spans="3:25" ht="17.649999999999999" customHeight="1">
      <c r="F71" s="661"/>
      <c r="G71" s="3332">
        <f t="shared" ref="G71:G77" si="1">IF(OR(N(Total_Units)=0,$F71=0,AND(Minimum_SetAside_per_Sec_42&lt;&gt;"&lt;select one&gt;",Minimum_SetAside_per_Sec_42&lt;&gt;DS_IRS_AIT,Minimum_SetAside_per_Sec_42&lt;&gt;DS_FHFC_NonHC),AND(Minimum_SetAside_per_Sec_42=DS_FHFC_NonHC,DS_FHFC_NonHC_Table&lt;&gt;"AIT")),0,F71/N(Total_Units))</f>
        <v>0</v>
      </c>
      <c r="H71" s="3333"/>
      <c r="I71" s="423">
        <v>0.2</v>
      </c>
      <c r="J71" s="3402" t="str">
        <f>IF($P$65=1,CHAR(10)&amp;CHAR(10)&amp;IF(AND(OR(DS_Gap1_YN="Yes",DS_Gap2_YN="Yes"),Minimum_SetAside_per_Sec_42=DS_IRS_AIT),"",CHAR(13)),"")&amp;IF($P$65=2,CHAR(10),"")&amp;IF(AND($P$65=3,RIGHT(Excel_RFA_Number,3)="213",Minimum_SetAside_per_Sec_42=DS_FHFC_NonHC),"",IF(AND(OR(RIGHT(Excel_RFA_Number,3)="215",RIGHT(Excel_RFA_Number,3)="216"),Minimum_SetAside_per_Sec_42=DS_FHFC_NonHC),"",IF(AND(RIGHT(Excel_RFA_Number,3)="213",Minimum_SetAside_per_Sec_42=DS_FHFC_NonHC),CHAR(10)&amp;"Non-HC, Live Local Housing",IF(Minimum_SetAside_per_Sec_42=DS_FHFC_NonHC,"","Housing Credit"))))&amp;IF(OR(AND(OR(DS_Gap1_YN="Yes",DS_Gap2_YN="Yes"),Minimum_SetAside_per_Sec_42&lt;&gt;DS_FHFC_NonHC),OR(Minimum_SetAside_per_Sec_42=DS_IRS_AIT,AND(OR(RIGHT(Excel_RFA_Number,3)="213",RIGHT(Excel_RFA_Number,3)="215",RIGHT(Excel_RFA_Number,3)="216"),Minimum_SetAside_per_Sec_42=DS_FHFC_NonHC)))," and ","")&amp;IF(OR(DS_Gap1_YN="Yes",DS_Gap2_YN="Yes",OR(Minimum_SetAside_per_Sec_42=DS_IRS_AIT,AND(OR(RIGHT(Excel_RFA_Number,3)="213",RIGHT(Excel_RFA_Number,3)="215",RIGHT(Excel_RFA_Number,3)="216"),Minimum_SetAside_per_Sec_42=DS_FHFC_NonHC))),IF(AND(Minimum_SetAside_per_Sec_42=DS_FHFC_NonHC,DS_FHFC_NonHC_Table="AIT"),"FHFC Loan Only","FHFC Gap Loan"),"")&amp;" Units"</f>
        <v xml:space="preserve">
_x000D_Housing Credit and FHFC Gap Loan Units</v>
      </c>
      <c r="K71" s="1374"/>
      <c r="N71" s="3326">
        <f>N68</f>
        <v>1</v>
      </c>
      <c r="Q71" s="829" t="s">
        <v>2776</v>
      </c>
      <c r="R71" s="467"/>
      <c r="S71" s="467"/>
      <c r="U71" s="468"/>
      <c r="V71" s="467"/>
      <c r="W71" s="467"/>
      <c r="X71" s="467"/>
    </row>
    <row r="72" spans="3:25" ht="17.649999999999999" customHeight="1">
      <c r="F72" s="662"/>
      <c r="G72" s="3332">
        <f t="shared" si="1"/>
        <v>0</v>
      </c>
      <c r="H72" s="3333"/>
      <c r="I72" s="424">
        <v>0.3</v>
      </c>
      <c r="J72" s="3403"/>
      <c r="K72" s="1374"/>
      <c r="N72" s="3326"/>
      <c r="R72" s="467"/>
      <c r="S72" s="467"/>
      <c r="U72" s="467"/>
      <c r="V72" s="467"/>
      <c r="W72" s="467"/>
      <c r="X72" s="467"/>
    </row>
    <row r="73" spans="3:25" ht="17.649999999999999" customHeight="1">
      <c r="F73" s="662"/>
      <c r="G73" s="3332">
        <f t="shared" si="1"/>
        <v>0</v>
      </c>
      <c r="H73" s="3333"/>
      <c r="I73" s="424">
        <v>0.4</v>
      </c>
      <c r="J73" s="3403"/>
      <c r="K73" s="1374"/>
      <c r="N73" s="3326"/>
      <c r="R73" s="467"/>
      <c r="S73" s="467"/>
      <c r="T73" s="467"/>
      <c r="U73" s="467"/>
      <c r="V73" s="467"/>
      <c r="W73" s="467"/>
      <c r="X73" s="467"/>
    </row>
    <row r="74" spans="3:25" ht="17.649999999999999" customHeight="1">
      <c r="F74" s="662"/>
      <c r="G74" s="3332">
        <f t="shared" si="1"/>
        <v>0</v>
      </c>
      <c r="H74" s="3333"/>
      <c r="I74" s="424">
        <v>0.5</v>
      </c>
      <c r="J74" s="3403"/>
      <c r="K74" s="1374"/>
      <c r="N74" s="3326"/>
      <c r="O74" s="436"/>
      <c r="P74" s="436"/>
      <c r="Q74" s="467"/>
      <c r="R74" s="467"/>
      <c r="S74" s="467"/>
      <c r="T74" s="467"/>
      <c r="U74" s="467"/>
      <c r="V74" s="467"/>
      <c r="W74" s="467"/>
      <c r="X74" s="467"/>
    </row>
    <row r="75" spans="3:25" ht="17.649999999999999" customHeight="1">
      <c r="F75" s="1629"/>
      <c r="G75" s="3332">
        <f t="shared" si="1"/>
        <v>0</v>
      </c>
      <c r="H75" s="3333"/>
      <c r="I75" s="424">
        <v>0.6</v>
      </c>
      <c r="J75" s="3404"/>
      <c r="K75" s="1374"/>
      <c r="N75" s="3326"/>
      <c r="O75" s="436"/>
      <c r="P75" s="3301" t="s">
        <v>1019</v>
      </c>
      <c r="Q75" s="3302"/>
      <c r="R75" s="3302"/>
      <c r="S75" s="3302"/>
      <c r="T75" s="3303"/>
      <c r="U75" s="467"/>
      <c r="V75" s="467"/>
      <c r="W75" s="467"/>
      <c r="X75" s="467"/>
    </row>
    <row r="76" spans="3:25" ht="17.649999999999999" customHeight="1">
      <c r="F76" s="1365"/>
      <c r="G76" s="3332">
        <f t="shared" si="1"/>
        <v>0</v>
      </c>
      <c r="H76" s="3333"/>
      <c r="I76" s="1318">
        <v>0.7</v>
      </c>
      <c r="J76" s="1461" t="str">
        <f>IF(P$65=0,"Joint HC Units /",IF(P$65=1,"",IF(P$65=2,"",IF(P$65=3,"",""))))</f>
        <v/>
      </c>
      <c r="K76" s="1374"/>
      <c r="L76" s="735"/>
      <c r="M76" s="735"/>
      <c r="N76" s="3326"/>
      <c r="O76" s="436"/>
      <c r="P76" s="3304"/>
      <c r="Q76" s="3305"/>
      <c r="R76" s="3305"/>
      <c r="S76" s="3305"/>
      <c r="T76" s="3306"/>
      <c r="U76" s="467"/>
      <c r="V76" s="467"/>
      <c r="W76" s="467"/>
      <c r="X76" s="467"/>
    </row>
    <row r="77" spans="3:25" ht="17.649999999999999" customHeight="1" thickBot="1">
      <c r="F77" s="663"/>
      <c r="G77" s="3328">
        <f t="shared" si="1"/>
        <v>0</v>
      </c>
      <c r="H77" s="3329"/>
      <c r="I77" s="425">
        <v>0.8</v>
      </c>
      <c r="J77" s="1462" t="str">
        <f>IF(P$65=0,"Workforce Units",IF(P$65=1,"",IF(AND(P$65=2,RIGHT(Excel_RFA_Number,3)&lt;&gt;"215",Minimum_SetAside_per_Sec_42&lt;&gt;DS_FHFC_NonHC),"Joint HC/LL Units",IF(AND(P$65=2,Minimum_SetAside_per_Sec_42=DS_FHFC_NonHC,DS_FHFC_NonHC_Table="AIT"),"",IF(P$65=3,"","Not Available")))))</f>
        <v/>
      </c>
      <c r="K77" s="1374"/>
      <c r="L77" s="735"/>
      <c r="M77" s="735"/>
      <c r="N77" s="3326"/>
      <c r="O77" s="436"/>
      <c r="P77" s="3307"/>
      <c r="Q77" s="3308"/>
      <c r="R77" s="3308"/>
      <c r="S77" s="3308"/>
      <c r="T77" s="3309"/>
      <c r="U77" s="467"/>
      <c r="V77" s="467"/>
      <c r="W77" s="467"/>
      <c r="X77" s="467"/>
    </row>
    <row r="78" spans="3:25" ht="35.25" hidden="1" customHeight="1">
      <c r="F78" s="1364"/>
      <c r="G78" s="3351">
        <f t="shared" ref="G78:G82" si="2">IF(OR(N(Total_Units)=0,$F78=0),0,F78/N(Total_Units))</f>
        <v>0</v>
      </c>
      <c r="H78" s="3352"/>
      <c r="I78" s="1360">
        <v>0.8</v>
      </c>
      <c r="J78" s="1315" t="str">
        <f>"Non-HC"&amp;IF(P$65&lt;&gt;1," "&amp;IF(P$65=0,"Workforce",IF(P$65=2,"80% Live Local",IF(P$65=3,"80% FHFC Loan Only","")))," 80%")&amp;" Housing Units"</f>
        <v>Non-HC 80% Housing Units</v>
      </c>
      <c r="K78" s="1374"/>
      <c r="N78" s="3326"/>
      <c r="O78" s="2054">
        <v>0</v>
      </c>
      <c r="P78" s="436"/>
      <c r="Q78" s="2024" t="s">
        <v>2775</v>
      </c>
      <c r="R78" s="467"/>
      <c r="S78" s="467"/>
      <c r="T78" s="467"/>
      <c r="U78" s="436"/>
    </row>
    <row r="79" spans="3:25" ht="35.25" hidden="1" customHeight="1">
      <c r="F79" s="1365"/>
      <c r="G79" s="3330">
        <f t="shared" si="2"/>
        <v>0</v>
      </c>
      <c r="H79" s="3331"/>
      <c r="I79" s="1360">
        <v>0.9</v>
      </c>
      <c r="J79" s="1468" t="str">
        <f>"Non-HC"&amp;IF(P$65&lt;&gt;1," "&amp;IF(P$65=0,"Workforce",IF(P$65=2,"90% Live Local",IF(P$65=3,"90% FHFC Loan Only","")))," 90%")&amp;" Housing Units"</f>
        <v>Non-HC 90% Housing Units</v>
      </c>
      <c r="K79" s="1374"/>
      <c r="N79" s="3326"/>
      <c r="O79" s="2054">
        <v>0</v>
      </c>
      <c r="P79" s="436"/>
      <c r="Q79" s="2024" t="s">
        <v>2775</v>
      </c>
      <c r="R79" s="467"/>
      <c r="S79" s="467"/>
      <c r="T79" s="467"/>
      <c r="U79" s="436"/>
    </row>
    <row r="80" spans="3:25" ht="35.25" hidden="1" customHeight="1">
      <c r="F80" s="662"/>
      <c r="G80" s="3330">
        <f t="shared" si="2"/>
        <v>0</v>
      </c>
      <c r="H80" s="3331"/>
      <c r="I80" s="1320">
        <v>1</v>
      </c>
      <c r="J80" s="1361" t="str">
        <f>"Non-HC"&amp;IF(P$65&lt;&gt;1," "&amp;IF(P$65=0,"Workforce",IF(P$65=2,"100% Live Local",IF(P$65=3,"100% FHFC Loan Only","")))," 100%")&amp;" Housing Units"</f>
        <v>Non-HC 100% Housing Units</v>
      </c>
      <c r="K80" s="1374"/>
      <c r="N80" s="3326"/>
      <c r="O80" s="2054">
        <v>0</v>
      </c>
      <c r="P80" s="436"/>
      <c r="Q80" s="2024" t="s">
        <v>2775</v>
      </c>
      <c r="R80" s="467"/>
      <c r="S80" s="467"/>
      <c r="T80" s="467"/>
      <c r="U80" s="436"/>
    </row>
    <row r="81" spans="3:21" ht="35.25" hidden="1" customHeight="1">
      <c r="F81" s="662"/>
      <c r="G81" s="3330">
        <f t="shared" si="2"/>
        <v>0</v>
      </c>
      <c r="H81" s="3331"/>
      <c r="I81" s="1320">
        <v>1.1000000000000001</v>
      </c>
      <c r="J81" s="1316" t="str">
        <f>"Non-HC"&amp;IF(P$65&lt;&gt;1," "&amp;IF(P$65=0,"Workforce",IF(P$65=2,"110% Live Local",IF(P$65=3,"110% FHFC Loan Only","")))," 110%")&amp;" Housing Units"</f>
        <v>Non-HC 110% Housing Units</v>
      </c>
      <c r="K81" s="1374"/>
      <c r="N81" s="3326"/>
      <c r="O81" s="2054">
        <v>0</v>
      </c>
      <c r="P81" s="436"/>
      <c r="Q81" s="2024" t="s">
        <v>2775</v>
      </c>
      <c r="R81" s="467"/>
      <c r="S81" s="467"/>
      <c r="T81" s="467"/>
      <c r="U81" s="436"/>
    </row>
    <row r="82" spans="3:21" ht="35.25" hidden="1" customHeight="1">
      <c r="F82" s="662"/>
      <c r="G82" s="3330">
        <f t="shared" si="2"/>
        <v>0</v>
      </c>
      <c r="H82" s="3331"/>
      <c r="I82" s="1320">
        <v>1.2</v>
      </c>
      <c r="J82" s="1316" t="str">
        <f>"Non-HC"&amp;IF(P$65&lt;&gt;1," "&amp;IF(P$65=0,"Workforce",IF(P$65=2,"120% Live Local",IF(P$65=3,"120% FHFC Loan Only","")))," 120%")&amp;" Housing Units"</f>
        <v>Non-HC 120% Housing Units</v>
      </c>
      <c r="K82" s="1374"/>
      <c r="N82" s="3326"/>
      <c r="O82" s="2054">
        <v>0</v>
      </c>
      <c r="P82" s="436"/>
      <c r="Q82" s="2024" t="s">
        <v>2775</v>
      </c>
      <c r="R82" s="467"/>
      <c r="S82" s="467"/>
      <c r="T82" s="467"/>
      <c r="U82" s="436"/>
    </row>
    <row r="83" spans="3:21" ht="35.25" customHeight="1" thickBot="1">
      <c r="F83" s="1317">
        <f>IF(OR(AND(Minimum_SetAside_per_Sec_42&lt;&gt;"&lt;select one&gt;",Minimum_SetAside_per_Sec_42&lt;&gt;DS_IRS_AIT,Minimum_SetAside_per_Sec_42&lt;&gt;DS_FHFC_NonHC),AND(Minimum_SetAside_per_Sec_42=DS_FHFC_NonHC,DS_FHFC_NonHC_Table&lt;&gt;"AIT")),0,IF(SUM(F71:F77)=0,0,MAX(0,N(Total_Units)-SUM(F71:F82))))</f>
        <v>0</v>
      </c>
      <c r="G83" s="3347">
        <f>IF(OR(N(Total_Units)=0,$F83=0,AND(Minimum_SetAside_per_Sec_42&lt;&gt;"&lt;select one&gt;",Minimum_SetAside_per_Sec_42&lt;&gt;DS_IRS_AIT,Minimum_SetAside_per_Sec_42&lt;&gt;DS_FHFC_NonHC),AND(Minimum_SetAside_per_Sec_42=DS_FHFC_NonHC,DS_FHFC_NonHC_Table&lt;&gt;"AIT")),0,F83/N(Total_Units))</f>
        <v>0</v>
      </c>
      <c r="H83" s="3348"/>
      <c r="I83" s="1362" t="s">
        <v>2008</v>
      </c>
      <c r="J83" s="1363" t="s">
        <v>2007</v>
      </c>
      <c r="K83" s="1374"/>
      <c r="N83" s="3326"/>
      <c r="O83" s="436"/>
      <c r="P83" s="436"/>
      <c r="R83" s="467"/>
      <c r="S83" s="467"/>
      <c r="T83" s="467"/>
      <c r="U83" s="436"/>
    </row>
    <row r="84" spans="3:21" ht="35.25" customHeight="1" thickBot="1">
      <c r="F84" s="420">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71:F75),SUM(F71:F77)))</f>
        <v>0</v>
      </c>
      <c r="G84" s="3320">
        <f>IF(OR(N(Total_Units)=0,F84=0,AND(Minimum_SetAside_per_Sec_42&lt;&gt;"&lt;select one&gt;",Minimum_SetAside_per_Sec_42&lt;&gt;DS_IRS_AIT,Minimum_SetAside_per_Sec_42&lt;&gt;DS_FHFC_NonHC),AND(Minimum_SetAside_per_Sec_42=DS_FHFC_NonHC,DS_FHFC_NonHC_Table&lt;&gt;"AIT")),0,F84/N(Total_Units))</f>
        <v>0</v>
      </c>
      <c r="H84" s="3321"/>
      <c r="I84" s="419"/>
      <c r="J84" s="1596" t="str">
        <f>"Total Qualifying"&amp;IF(AND(OR(DS_Gap1_YN="Yes",DS_Gap2_YN="Yes"),Minimum_SetAside_per_Sec_42=DS_IRS_AIT)," HC"&amp;CHAR(10)&amp;"&amp; Joint FHFC Gap Loan",IF(AND(OR(RIGHT(Excel_RFA_Number,3)="213",RIGHT(Excel_RFA_Number,3)="214",RIGHT(Excel_RFA_Number,3)="215",RIGHT(Excel_RFA_Number,3)="216"),Minimum_SetAside_per_Sec_42=DS_FHFC_NonHC),""," HC"))&amp;" Units"</f>
        <v>Total Qualifying HC Units</v>
      </c>
      <c r="K84" s="1373"/>
      <c r="L84" s="735"/>
      <c r="M84" s="735"/>
      <c r="N84" s="3326"/>
      <c r="O84" s="375"/>
      <c r="P84" s="375"/>
      <c r="Q84" s="3310" t="str">
        <f>"F"&amp;ROW(A84)&amp;" will sum only 20%-80% AMI HC units (except 213, then 20%-60%). If not accurate, edit formula."</f>
        <v>F84 will sum only 20%-80% AMI HC units (except 213, then 20%-60%). If not accurate, edit formula.</v>
      </c>
      <c r="R84" s="3311"/>
      <c r="S84" s="3311"/>
      <c r="T84" s="3312"/>
    </row>
    <row r="85" spans="3:21" ht="18" customHeight="1" thickTop="1" thickBot="1">
      <c r="F85" s="421">
        <f>IF(OR(AND(Minimum_SetAside_per_Sec_42&lt;&gt;"&lt;select one&gt;",Minimum_SetAside_per_Sec_42&lt;&gt;DS_IRS_AIT,Minimum_SetAside_per_Sec_42&lt;&gt;DS_FHFC_NonHC),AND(Minimum_SetAside_per_Sec_42=DS_FHFC_NonHC,DS_FHFC_NonHC_Table&lt;&gt;"AIT")),0,SUM(F71:F83))</f>
        <v>0</v>
      </c>
      <c r="G85" s="3322">
        <f>SUM(G71:G83)</f>
        <v>0</v>
      </c>
      <c r="H85" s="3323"/>
      <c r="I85" s="427"/>
      <c r="J85" s="422" t="s">
        <v>1018</v>
      </c>
      <c r="K85" s="1373"/>
      <c r="L85" s="6"/>
      <c r="M85" s="6"/>
      <c r="N85" s="3326"/>
    </row>
    <row r="86" spans="3:21" ht="35.25" customHeight="1" thickBot="1">
      <c r="F86" s="2248"/>
      <c r="G86" s="2245"/>
      <c r="H86" s="2246"/>
      <c r="I86" s="2247">
        <f>IF($F84=0,0,IF(AND(RIGHT(Excel_RFA_Number,3)="213",Minimum_SetAside_per_Sec_42=DS_FHFC_NonHC),"NA",SUMPRODUCT(I71:I77,F71:F77)/total_HC_units_AIT))</f>
        <v>0</v>
      </c>
      <c r="J86" s="2249" t="s">
        <v>2286</v>
      </c>
      <c r="K86" s="854"/>
      <c r="L86" s="6"/>
      <c r="M86" s="6"/>
      <c r="N86" s="3326"/>
      <c r="O86" s="50"/>
      <c r="P86" s="50"/>
    </row>
    <row r="87" spans="3:21" ht="10.5" customHeight="1">
      <c r="F87" s="27"/>
      <c r="G87" s="28"/>
      <c r="H87" s="29"/>
      <c r="I87" s="29"/>
      <c r="L87" s="6"/>
      <c r="M87" s="6"/>
      <c r="N87" s="3326"/>
      <c r="O87" s="50"/>
      <c r="P87" s="50"/>
    </row>
    <row r="88" spans="3:21" ht="67.5" customHeight="1">
      <c r="D88" s="2544" t="s">
        <v>2285</v>
      </c>
      <c r="E88" s="2544"/>
      <c r="F88" s="2544"/>
      <c r="G88" s="2544"/>
      <c r="H88" s="2544"/>
      <c r="I88" s="2544"/>
      <c r="J88" s="2544"/>
      <c r="K88" s="2544"/>
      <c r="L88" s="6"/>
      <c r="M88" s="6"/>
      <c r="N88" s="3326"/>
    </row>
    <row r="89" spans="3:21" ht="10.5" customHeight="1">
      <c r="D89" s="826"/>
      <c r="E89" s="826"/>
      <c r="F89" s="826"/>
      <c r="G89" s="826"/>
      <c r="H89" s="826"/>
      <c r="I89" s="826"/>
      <c r="J89" s="826"/>
      <c r="K89" s="826"/>
      <c r="L89" s="6"/>
      <c r="M89" s="6"/>
      <c r="N89" s="3327"/>
    </row>
    <row r="90" spans="3:21" ht="30" hidden="1" customHeight="1">
      <c r="C90" s="372" t="str" cm="1">
        <f t="array" ref="C90">IF($N90=0,"",CHAR(CODE(LOOKUP(2,1/(COUNTIF(C$47:C89,"&gt;"&amp;C$47:C89&amp;"*")=0),C$47:C89))+1))</f>
        <v/>
      </c>
      <c r="D90" s="2544" t="str">
        <f>IF(N90=0,"Tha commitment table is not applicable.","Applicants requesting MMRB Funding along with Housing Credits will have the following MMRB Set-Aside Commitment:")</f>
        <v>Tha commitment table is not applicable.</v>
      </c>
      <c r="E90" s="2544"/>
      <c r="F90" s="2544"/>
      <c r="G90" s="2544"/>
      <c r="H90" s="2544"/>
      <c r="I90" s="2544"/>
      <c r="J90" s="2544"/>
      <c r="K90" s="826"/>
      <c r="L90" s="6"/>
      <c r="M90" s="6"/>
      <c r="N90" s="2658">
        <v>0</v>
      </c>
      <c r="Q90" s="2024" t="str">
        <f>"Controls Rows "&amp;TEXT(ROW(A90),"0")&amp;":"&amp;TEXT(ROW(A93),"0")&amp;"."</f>
        <v>Controls Rows 90:93.</v>
      </c>
    </row>
    <row r="91" spans="3:21" ht="10.5" hidden="1" customHeight="1">
      <c r="D91" s="826"/>
      <c r="E91" s="826"/>
      <c r="F91" s="826"/>
      <c r="G91" s="826"/>
      <c r="H91" s="826"/>
      <c r="I91" s="826"/>
      <c r="J91" s="826"/>
      <c r="K91" s="826"/>
      <c r="L91" s="6"/>
      <c r="M91" s="6"/>
      <c r="N91" s="2659"/>
    </row>
    <row r="92" spans="3:21" ht="30" hidden="1" customHeight="1">
      <c r="D92" s="826"/>
      <c r="E92" s="2579" t="s">
        <v>2877</v>
      </c>
      <c r="F92" s="2579"/>
      <c r="G92" s="2579"/>
      <c r="H92" s="2579"/>
      <c r="I92" s="2579"/>
      <c r="J92" s="2579"/>
      <c r="K92" s="1279" t="s">
        <v>41</v>
      </c>
      <c r="L92" s="6"/>
      <c r="M92" s="6"/>
      <c r="N92" s="2659"/>
    </row>
    <row r="93" spans="3:21" ht="10.5" hidden="1" customHeight="1">
      <c r="D93" s="826"/>
      <c r="E93" s="826"/>
      <c r="F93" s="826"/>
      <c r="G93" s="826"/>
      <c r="H93" s="826"/>
      <c r="I93" s="826"/>
      <c r="J93" s="826"/>
      <c r="K93" s="826"/>
      <c r="L93" s="6"/>
      <c r="M93" s="6"/>
      <c r="N93" s="2571"/>
    </row>
    <row r="94" spans="3:21" ht="17.649999999999999" customHeight="1">
      <c r="C94" s="3344" t="str">
        <f>"Florida Housing is "&amp;IF(SUM(O95:O98)=0,"not reviewing any","reviewing some")&amp;" of the above Set-Aside commitment information through an"&amp;IF(SUM(O95:O98)=0,"y","")&amp;" automated process"&amp;IF(SUM(O95:O98)=0,"."," and has made the determinations below. Items not specifically addressed by these determination statements are not being automatically reviewed.")</f>
        <v>Florida Housing is not reviewing any of the above Set-Aside commitment information through any automated process.</v>
      </c>
      <c r="D94" s="3345"/>
      <c r="E94" s="3345"/>
      <c r="F94" s="3345"/>
      <c r="G94" s="3345"/>
      <c r="H94" s="3345"/>
      <c r="I94" s="3345"/>
      <c r="J94" s="3345"/>
      <c r="K94" s="3346"/>
      <c r="L94" s="6"/>
      <c r="M94" s="6"/>
      <c r="N94" s="2569">
        <v>1</v>
      </c>
      <c r="Q94" s="17" t="s">
        <v>2917</v>
      </c>
    </row>
    <row r="95" spans="3:21" ht="35.25" hidden="1" customHeight="1">
      <c r="C95" s="336" t="s">
        <v>1461</v>
      </c>
      <c r="D95" s="2544" t="s">
        <v>2923</v>
      </c>
      <c r="E95" s="2544"/>
      <c r="F95" s="2544"/>
      <c r="G95" s="2544"/>
      <c r="H95" s="2544"/>
      <c r="I95" s="2544"/>
      <c r="J95" s="2544"/>
      <c r="K95" s="2544"/>
      <c r="L95" s="6"/>
      <c r="M95" s="6"/>
      <c r="N95" s="2570"/>
      <c r="O95" s="2054">
        <v>0</v>
      </c>
      <c r="P95" s="436"/>
      <c r="Q95" s="2024" t="s">
        <v>2775</v>
      </c>
    </row>
    <row r="96" spans="3:21" ht="35.25" hidden="1" customHeight="1">
      <c r="C96" s="336" t="s">
        <v>1461</v>
      </c>
      <c r="D96" s="2544" t="s">
        <v>2923</v>
      </c>
      <c r="E96" s="2544"/>
      <c r="F96" s="2544"/>
      <c r="G96" s="2544"/>
      <c r="H96" s="2544"/>
      <c r="I96" s="2544"/>
      <c r="J96" s="2544"/>
      <c r="K96" s="2544"/>
      <c r="L96" s="6"/>
      <c r="M96" s="6"/>
      <c r="N96" s="2570"/>
      <c r="O96" s="2054">
        <v>0</v>
      </c>
      <c r="P96" s="436"/>
      <c r="Q96" s="2024" t="s">
        <v>2775</v>
      </c>
    </row>
    <row r="97" spans="1:20" ht="35.25" hidden="1" customHeight="1">
      <c r="C97" s="336" t="s">
        <v>1461</v>
      </c>
      <c r="D97" s="2544" t="s">
        <v>2923</v>
      </c>
      <c r="E97" s="2544"/>
      <c r="F97" s="2544"/>
      <c r="G97" s="2544"/>
      <c r="H97" s="2544"/>
      <c r="I97" s="2544"/>
      <c r="J97" s="2544"/>
      <c r="K97" s="2544"/>
      <c r="L97" s="6"/>
      <c r="M97" s="6"/>
      <c r="N97" s="2570"/>
      <c r="O97" s="2054">
        <v>0</v>
      </c>
      <c r="P97" s="436"/>
      <c r="Q97" s="2024" t="s">
        <v>2775</v>
      </c>
    </row>
    <row r="98" spans="1:20" ht="35.25" hidden="1" customHeight="1">
      <c r="C98" s="336" t="s">
        <v>1461</v>
      </c>
      <c r="D98" s="2544" t="s">
        <v>2923</v>
      </c>
      <c r="E98" s="2544"/>
      <c r="F98" s="2544"/>
      <c r="G98" s="2544"/>
      <c r="H98" s="2544"/>
      <c r="I98" s="2544"/>
      <c r="J98" s="2544"/>
      <c r="K98" s="2544"/>
      <c r="L98" s="6"/>
      <c r="M98" s="6"/>
      <c r="N98" s="2570"/>
      <c r="O98" s="2054">
        <v>0</v>
      </c>
      <c r="P98" s="436"/>
      <c r="Q98" s="2024" t="s">
        <v>2775</v>
      </c>
    </row>
    <row r="99" spans="1:20" ht="10.5" customHeight="1">
      <c r="D99" s="826"/>
      <c r="E99" s="826"/>
      <c r="F99" s="826"/>
      <c r="G99" s="826"/>
      <c r="H99" s="826"/>
      <c r="I99" s="826"/>
      <c r="J99" s="826"/>
      <c r="K99" s="826"/>
      <c r="L99" s="6"/>
      <c r="M99" s="6"/>
      <c r="N99" s="2701"/>
    </row>
    <row r="100" spans="1:20" ht="17.649999999999999" customHeight="1">
      <c r="A100" s="335" t="str" cm="1">
        <f t="array" ref="A100">CHAR(CODE(LOOKUP(2,1/(COUNTIF(A$3:A93,"&gt;"&amp;A$3:A93&amp;"*")=0),A$3:A93))+1)</f>
        <v>d</v>
      </c>
      <c r="B100" s="2548" t="s">
        <v>1020</v>
      </c>
      <c r="C100" s="2548"/>
      <c r="D100" s="2548"/>
      <c r="E100" s="2548"/>
      <c r="F100" s="2548"/>
      <c r="G100" s="2548"/>
      <c r="H100" s="2548"/>
      <c r="I100" s="2548"/>
      <c r="J100" s="2548"/>
      <c r="K100" s="21"/>
      <c r="L100" s="312"/>
      <c r="M100" s="312"/>
      <c r="N100" s="2852" t="s">
        <v>2737</v>
      </c>
      <c r="O100" s="15"/>
      <c r="P100" s="15"/>
      <c r="Q100" s="15"/>
    </row>
    <row r="101" spans="1:20">
      <c r="B101" t="s">
        <v>1021</v>
      </c>
      <c r="L101" s="6"/>
      <c r="M101" s="6"/>
      <c r="N101" s="2853"/>
      <c r="O101" s="15"/>
      <c r="P101" s="15"/>
      <c r="Q101" s="15"/>
    </row>
    <row r="102" spans="1:20" ht="10.5" customHeight="1" thickBot="1">
      <c r="B102" s="3"/>
      <c r="C102" s="3"/>
      <c r="D102" s="3"/>
      <c r="L102" s="6"/>
      <c r="M102" s="6"/>
      <c r="N102" s="2853"/>
    </row>
    <row r="103" spans="1:20" ht="31.5" customHeight="1">
      <c r="B103" s="3"/>
      <c r="C103" s="3"/>
      <c r="D103" s="3"/>
      <c r="F103" s="3389" t="s">
        <v>1022</v>
      </c>
      <c r="G103" s="3364"/>
      <c r="H103" s="3363" t="s">
        <v>1023</v>
      </c>
      <c r="I103" s="3364"/>
      <c r="J103" s="3336" t="s">
        <v>1024</v>
      </c>
      <c r="N103" s="2853"/>
      <c r="O103" s="3426" t="str">
        <f>"For monitoring purposes:"&amp;CHAR(10)&amp;IF(Demographic="&lt;select one&gt;","","Demographic: "&amp;Demographic)&amp;CHAR(10)&amp;"Development Category: "&amp;Development_Category</f>
        <v>For monitoring purposes:
Development Category: &lt;select one&gt;</v>
      </c>
      <c r="P103" s="3427"/>
      <c r="Q103" s="3427"/>
      <c r="R103" s="3428"/>
    </row>
    <row r="104" spans="1:20" ht="17.649999999999999" customHeight="1">
      <c r="B104" s="3"/>
      <c r="C104" s="3"/>
      <c r="D104" s="3"/>
      <c r="F104" s="3390"/>
      <c r="G104" s="3365"/>
      <c r="H104" s="2809"/>
      <c r="I104" s="3365"/>
      <c r="J104" s="3337"/>
      <c r="L104" s="6"/>
      <c r="M104" s="6"/>
      <c r="N104" s="2853"/>
      <c r="O104" s="3429"/>
      <c r="P104" s="3430"/>
      <c r="Q104" s="3430"/>
      <c r="R104" s="3431"/>
    </row>
    <row r="105" spans="1:20" ht="35.25" customHeight="1">
      <c r="B105" s="3"/>
      <c r="C105" s="3"/>
      <c r="D105" s="3"/>
      <c r="F105" s="3374" t="s">
        <v>1025</v>
      </c>
      <c r="G105" s="3375"/>
      <c r="H105" s="3366"/>
      <c r="I105" s="3367"/>
      <c r="J105" s="736">
        <f>H135</f>
        <v>0</v>
      </c>
      <c r="L105" s="15"/>
      <c r="M105" s="15"/>
      <c r="N105" s="2853"/>
      <c r="O105" s="50"/>
      <c r="P105" s="50"/>
      <c r="Q105" s="15"/>
      <c r="R105" s="15"/>
      <c r="S105" s="15"/>
      <c r="T105" s="15"/>
    </row>
    <row r="106" spans="1:20" ht="35.25" customHeight="1">
      <c r="B106" s="3"/>
      <c r="C106" s="3"/>
      <c r="D106" s="3"/>
      <c r="F106" s="3374" t="s">
        <v>1026</v>
      </c>
      <c r="G106" s="3375"/>
      <c r="H106" s="3395"/>
      <c r="I106" s="3396"/>
      <c r="J106" s="736">
        <f>H136</f>
        <v>0</v>
      </c>
      <c r="L106" s="15"/>
      <c r="M106" s="15"/>
      <c r="N106" s="2853"/>
      <c r="O106" s="50"/>
      <c r="P106" s="50"/>
      <c r="Q106" s="15"/>
      <c r="R106" s="15"/>
      <c r="S106" s="15"/>
      <c r="T106" s="15"/>
    </row>
    <row r="107" spans="1:20" ht="17.649999999999999" customHeight="1">
      <c r="B107" s="3"/>
      <c r="C107" s="3"/>
      <c r="D107" s="3"/>
      <c r="F107" s="3376" t="s">
        <v>1027</v>
      </c>
      <c r="G107" s="3377"/>
      <c r="H107" s="3372"/>
      <c r="I107" s="3373"/>
      <c r="J107" s="3386">
        <f>H137</f>
        <v>0</v>
      </c>
      <c r="L107" s="15"/>
      <c r="M107" s="15"/>
      <c r="N107" s="2853"/>
    </row>
    <row r="108" spans="1:20" ht="17.649999999999999" customHeight="1">
      <c r="B108" s="3"/>
      <c r="C108" s="3"/>
      <c r="D108" s="3"/>
      <c r="F108" s="3359" t="s">
        <v>1028</v>
      </c>
      <c r="G108" s="3360"/>
      <c r="H108" s="3361"/>
      <c r="I108" s="3362"/>
      <c r="J108" s="3387"/>
      <c r="L108" s="15"/>
      <c r="M108" s="15"/>
      <c r="N108" s="2853"/>
    </row>
    <row r="109" spans="1:20" ht="17.649999999999999" customHeight="1">
      <c r="B109" s="3"/>
      <c r="C109" s="3"/>
      <c r="D109" s="3"/>
      <c r="F109" s="3370" t="s">
        <v>1029</v>
      </c>
      <c r="G109" s="3371"/>
      <c r="H109" s="3368"/>
      <c r="I109" s="3369"/>
      <c r="J109" s="3388"/>
      <c r="L109" s="15"/>
      <c r="M109" s="15"/>
      <c r="N109" s="2854"/>
    </row>
    <row r="110" spans="1:20" ht="17.649999999999999" customHeight="1">
      <c r="B110" s="3"/>
      <c r="C110" s="3"/>
      <c r="D110" s="3"/>
      <c r="F110" s="3376" t="s">
        <v>1030</v>
      </c>
      <c r="G110" s="3377"/>
      <c r="H110" s="3372"/>
      <c r="I110" s="3373"/>
      <c r="J110" s="3386">
        <f>H138</f>
        <v>0</v>
      </c>
      <c r="L110" s="375"/>
      <c r="M110" s="375"/>
      <c r="N110" s="3407">
        <v>1</v>
      </c>
      <c r="O110" s="2292">
        <f>IF(AND(Development_Category&lt;&gt;"&lt;select one&gt;",OR(Development_Category="New Construction",Development_Category="Redevelopment",Development_Category="Acquisition and Redevelopment")),0,1)</f>
        <v>1</v>
      </c>
      <c r="Q110" s="2024" t="str">
        <f>"Controls Rows "&amp;TEXT(ROW(A110),"0")&amp;":"&amp;TEXT(ROW(A114),"0")&amp;". This is the Master control for 3 Bedrooms. [Master 3]"</f>
        <v>Controls Rows 110:114. This is the Master control for 3 Bedrooms. [Master 3]</v>
      </c>
      <c r="S110" s="6"/>
    </row>
    <row r="111" spans="1:20" ht="17.649999999999999" customHeight="1">
      <c r="B111" s="3"/>
      <c r="C111" s="3"/>
      <c r="D111" s="3"/>
      <c r="F111" s="3359" t="s">
        <v>1031</v>
      </c>
      <c r="G111" s="3360"/>
      <c r="H111" s="3361"/>
      <c r="I111" s="3362"/>
      <c r="J111" s="3387"/>
      <c r="L111" s="375"/>
      <c r="M111" s="375"/>
      <c r="N111" s="3210"/>
      <c r="O111" s="2292">
        <f>IF(AND(Development_Category&lt;&gt;"&lt;select one&gt;",OR(Development_Category="New Construction",Development_Category="Redevelopment",Development_Category="Acquisition and Redevelopment")),0,1)</f>
        <v>1</v>
      </c>
      <c r="Q111" s="2024" t="str">
        <f>"Rows "&amp;TEXT(ROW(A110),"0")&amp;":"&amp;TEXT(ROW(A111),"0")&amp;" turns off for New Construction, Redevelopment, and Acquisition and Redevelopment"</f>
        <v>Rows 110:111 turns off for New Construction, Redevelopment, and Acquisition and Redevelopment</v>
      </c>
      <c r="S111" s="6"/>
    </row>
    <row r="112" spans="1:20" ht="17.649999999999999" customHeight="1">
      <c r="B112" s="3"/>
      <c r="C112" s="3"/>
      <c r="D112" s="3"/>
      <c r="F112" s="3359" t="s">
        <v>1032</v>
      </c>
      <c r="G112" s="3360"/>
      <c r="H112" s="3361"/>
      <c r="I112" s="3362"/>
      <c r="J112" s="3387"/>
      <c r="L112" s="375"/>
      <c r="M112" s="375"/>
      <c r="N112" s="2570"/>
      <c r="O112" s="2291">
        <v>1</v>
      </c>
      <c r="Q112" s="2024" t="s">
        <v>2777</v>
      </c>
      <c r="S112" s="6"/>
    </row>
    <row r="113" spans="1:20" ht="17.649999999999999" customHeight="1">
      <c r="B113" s="3"/>
      <c r="C113" s="3"/>
      <c r="D113" s="3"/>
      <c r="F113" s="3359" t="s">
        <v>1033</v>
      </c>
      <c r="G113" s="3360"/>
      <c r="H113" s="3361"/>
      <c r="I113" s="3362"/>
      <c r="J113" s="3387"/>
      <c r="L113" s="375"/>
      <c r="M113" s="375"/>
      <c r="N113" s="2570"/>
      <c r="O113" s="2044">
        <v>1</v>
      </c>
      <c r="Q113" s="2024" t="s">
        <v>2777</v>
      </c>
      <c r="S113" s="6"/>
    </row>
    <row r="114" spans="1:20" ht="17.649999999999999" customHeight="1">
      <c r="B114" s="3"/>
      <c r="C114" s="3"/>
      <c r="D114" s="3"/>
      <c r="F114" s="3370" t="s">
        <v>1034</v>
      </c>
      <c r="G114" s="3371"/>
      <c r="H114" s="3368"/>
      <c r="I114" s="3369"/>
      <c r="J114" s="3388"/>
      <c r="L114" s="375"/>
      <c r="M114" s="375"/>
      <c r="N114" s="2571"/>
      <c r="O114" s="2290">
        <v>1</v>
      </c>
      <c r="Q114" s="2024" t="s">
        <v>2777</v>
      </c>
      <c r="S114" s="6"/>
    </row>
    <row r="115" spans="1:20" ht="17.649999999999999" customHeight="1">
      <c r="B115" s="3"/>
      <c r="C115" s="3"/>
      <c r="D115" s="3"/>
      <c r="F115" s="3376" t="s">
        <v>1035</v>
      </c>
      <c r="G115" s="3377"/>
      <c r="H115" s="3372"/>
      <c r="I115" s="3373"/>
      <c r="J115" s="3386">
        <f>H139</f>
        <v>0</v>
      </c>
      <c r="L115" s="375"/>
      <c r="M115" s="375"/>
      <c r="N115" s="3407">
        <v>1</v>
      </c>
      <c r="O115" s="2292">
        <f>IF(AND(Development_Category&lt;&gt;"&lt;select one&gt;",OR(Development_Category="New Construction",Development_Category="Redevelopment",Development_Category="Acquisition and Redevelopment")),0,1)</f>
        <v>1</v>
      </c>
      <c r="Q115" s="2024" t="str">
        <f>"Controls Rows "&amp;TEXT(ROW(A115),"0")&amp;":"&amp;TEXT(ROW(A121),"0")&amp;". This is the Master control for 4 Bedrooms. [Master 4]"</f>
        <v>Controls Rows 115:121. This is the Master control for 4 Bedrooms. [Master 4]</v>
      </c>
      <c r="S115" s="6"/>
    </row>
    <row r="116" spans="1:20" ht="17.649999999999999" customHeight="1">
      <c r="B116" s="3"/>
      <c r="C116" s="3"/>
      <c r="D116" s="3"/>
      <c r="F116" s="3359" t="s">
        <v>1036</v>
      </c>
      <c r="G116" s="3360"/>
      <c r="H116" s="3361"/>
      <c r="I116" s="3362"/>
      <c r="J116" s="3387"/>
      <c r="L116" s="375"/>
      <c r="M116" s="375"/>
      <c r="N116" s="3210"/>
      <c r="O116" s="2292">
        <f>IF(AND(Development_Category&lt;&gt;"&lt;select one&gt;",OR(Development_Category="New Construction",Development_Category="Redevelopment",Development_Category="Acquisition and Redevelopment")),0,1)</f>
        <v>1</v>
      </c>
      <c r="Q116" s="2024" t="str">
        <f>"Rows "&amp;TEXT(ROW(A115),"0")&amp;":"&amp;TEXT(ROW(A116),"0")&amp;" turns off for New Construction, Redevelopment, and Acquisition and Redevelopment"</f>
        <v>Rows 115:116 turns off for New Construction, Redevelopment, and Acquisition and Redevelopment</v>
      </c>
      <c r="S116" s="6"/>
    </row>
    <row r="117" spans="1:20" ht="17.649999999999999" customHeight="1">
      <c r="B117" s="3"/>
      <c r="C117" s="3"/>
      <c r="D117" s="3"/>
      <c r="F117" s="3359" t="s">
        <v>1037</v>
      </c>
      <c r="G117" s="3360"/>
      <c r="H117" s="3361"/>
      <c r="I117" s="3362"/>
      <c r="J117" s="3387"/>
      <c r="L117" s="375"/>
      <c r="M117" s="375"/>
      <c r="N117" s="2570"/>
      <c r="S117" s="6"/>
    </row>
    <row r="118" spans="1:20" ht="17.649999999999999" customHeight="1">
      <c r="B118" s="3"/>
      <c r="C118" s="3"/>
      <c r="D118" s="3"/>
      <c r="F118" s="3359" t="s">
        <v>1038</v>
      </c>
      <c r="G118" s="3360"/>
      <c r="H118" s="3361"/>
      <c r="I118" s="3362"/>
      <c r="J118" s="3387"/>
      <c r="L118" s="375"/>
      <c r="M118" s="375"/>
      <c r="N118" s="2570"/>
      <c r="S118" s="6"/>
    </row>
    <row r="119" spans="1:20" ht="17.649999999999999" customHeight="1">
      <c r="B119" s="3"/>
      <c r="C119" s="3"/>
      <c r="D119" s="3"/>
      <c r="F119" s="3359" t="s">
        <v>1039</v>
      </c>
      <c r="G119" s="3360"/>
      <c r="H119" s="3361"/>
      <c r="I119" s="3362"/>
      <c r="J119" s="3387"/>
      <c r="L119" s="375"/>
      <c r="M119" s="375"/>
      <c r="N119" s="2570"/>
      <c r="S119" s="6"/>
    </row>
    <row r="120" spans="1:20" ht="17.649999999999999" customHeight="1">
      <c r="E120" s="858"/>
      <c r="F120" s="3359" t="s">
        <v>1040</v>
      </c>
      <c r="G120" s="3360"/>
      <c r="H120" s="3361"/>
      <c r="I120" s="3362"/>
      <c r="J120" s="3387"/>
      <c r="L120" s="6"/>
      <c r="M120" s="6"/>
      <c r="N120" s="2570"/>
      <c r="S120" s="6"/>
    </row>
    <row r="121" spans="1:20" ht="17.649999999999999" customHeight="1">
      <c r="E121" s="858"/>
      <c r="F121" s="3370" t="s">
        <v>1041</v>
      </c>
      <c r="G121" s="3371"/>
      <c r="H121" s="3391"/>
      <c r="I121" s="3392"/>
      <c r="J121" s="3388"/>
      <c r="L121" s="6"/>
      <c r="M121" s="6"/>
      <c r="N121" s="2571"/>
      <c r="O121" s="50"/>
      <c r="P121" s="50"/>
      <c r="S121" s="6"/>
    </row>
    <row r="122" spans="1:20" ht="17.649999999999999" customHeight="1" thickBot="1">
      <c r="E122" s="858"/>
      <c r="F122" s="3384" t="s">
        <v>2921</v>
      </c>
      <c r="G122" s="3385"/>
      <c r="H122" s="3382"/>
      <c r="I122" s="3383"/>
      <c r="J122" s="2361">
        <f>H140</f>
        <v>0</v>
      </c>
      <c r="L122" s="6"/>
      <c r="M122" s="6"/>
      <c r="N122" s="2044">
        <v>1</v>
      </c>
      <c r="O122" s="751">
        <f>IF(OR(N(H122)=0,PHA_land_lease="Yes",AND(PHA_as_Principal="Yes",PHA_Name&lt;&gt;"")),1,0)</f>
        <v>1</v>
      </c>
      <c r="P122" s="50"/>
      <c r="Q122" s="3432" t="str">
        <f>"Must provide a positive response at Section 4.A.10."&amp;Funding!A520&amp;".("&amp;Funding!B522&amp;"), or "&amp;Funding!A520&amp;".("&amp;Funding!B525&amp;") in the Funding tab to have a valid input."</f>
        <v>Must provide a positive response at Section 4.A.10.d.(1), or d.(2) in the Funding tab to have a valid input.</v>
      </c>
      <c r="R122" s="3433"/>
      <c r="S122" s="3433"/>
      <c r="T122" s="3434"/>
    </row>
    <row r="123" spans="1:20" ht="17.649999999999999" customHeight="1" thickTop="1" thickBot="1">
      <c r="E123" s="858"/>
      <c r="F123" s="3380" t="s">
        <v>1042</v>
      </c>
      <c r="G123" s="3381"/>
      <c r="H123" s="3393">
        <f>SUM(H105:H109)+IFERROR(SUMPRODUCT(H110:H116,O110:O116),0)+SUM(H117:H121)+MIN(Data1!B754,Five_Bed_Total_Units*O122*N122)</f>
        <v>0</v>
      </c>
      <c r="I123" s="3394"/>
      <c r="J123" s="2287">
        <f>SUM(J105:J122)</f>
        <v>0</v>
      </c>
      <c r="L123" s="6"/>
      <c r="M123" s="6"/>
      <c r="N123" s="2852" t="s">
        <v>2737</v>
      </c>
      <c r="O123" s="50"/>
      <c r="P123" s="50"/>
      <c r="Q123" s="3435"/>
      <c r="R123" s="3436"/>
      <c r="S123" s="3436"/>
      <c r="T123" s="3437"/>
    </row>
    <row r="124" spans="1:20" ht="10.5" customHeight="1">
      <c r="E124" s="858"/>
      <c r="F124" s="24"/>
      <c r="G124" s="24"/>
      <c r="H124" s="24"/>
      <c r="I124" s="24"/>
      <c r="J124" s="24"/>
      <c r="K124" s="24"/>
      <c r="L124" s="6"/>
      <c r="M124" s="6"/>
      <c r="N124" s="2853"/>
      <c r="O124" s="50"/>
      <c r="P124" s="50"/>
    </row>
    <row r="125" spans="1:20" ht="95.25" customHeight="1">
      <c r="B125" s="739"/>
      <c r="C125" s="738"/>
      <c r="D125" s="2900" t="str">
        <f>IF(OR(N122=0,AND(Development_Category&lt;&gt;"&lt;select one&gt;",Development_Category&lt;&gt;"New Construction")),"","*Units with more than 4 Bedrooms must have the site subject to HUD restrictions that require 5-Bedroom units and a Principal of the Applicant must either be PHA or an instrumentality of a PHA. The number is restricted to no more than "&amp;TEXT(Data1!B753,"0%")&amp;" of Total Units"&amp;IF(N(Total_Units)=0,". "," ("&amp;TEXT(ROUNDDOWN(Data1!B753*Total_Units,0),"0")&amp;" units). "))&amp;IF(O122=0," Attention: Verification of PHA requirements has not been completed in Section 4.A.10."&amp;Funding!A520&amp;". in the Funding tab. These units will not be included in the total until the requirements have been completed. ","")&amp;IF(AND(Five_Bed_Total_Units&gt;Data1!B754,N122&gt;0,O122&gt;0),"The number of 5-bedroom units entered exceeds the limit of "&amp;TEXT(Data1!B754,"0")&amp;" units. The excess has been removed from the total.","")&amp;IF(H123=Total_Units,"The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 ")</f>
        <v>*Units with more than 4 Bedrooms must have the site subject to HUD restrictions that require 5-Bedroom units and a Principal of the Applicant must either be PHA or an instrumentality of a PHA. The number is restricted to no more than 10% of Total Units. The total number of units calculated in the Unit Mix Chart matches the total number of units of 0 stated at 6.a. above.</v>
      </c>
      <c r="E125" s="2900"/>
      <c r="F125" s="2900"/>
      <c r="G125" s="2900"/>
      <c r="H125" s="2900"/>
      <c r="I125" s="2900"/>
      <c r="J125" s="2900"/>
      <c r="K125" s="2900"/>
      <c r="L125" s="6"/>
      <c r="M125" s="6"/>
      <c r="N125" s="2853"/>
      <c r="O125" s="50"/>
      <c r="P125" s="50"/>
    </row>
    <row r="126" spans="1:20" ht="80.25" customHeight="1">
      <c r="B126" s="739"/>
      <c r="C126" s="739"/>
      <c r="D126" s="2900" t="str">
        <f>IF(OR(Demographic="&lt;select one&gt;",Development_Category="&lt;select one&gt;"),"This area intentionally left blank.",IF(Demographic="Elderly Non-ALF",IF(OR(Development_Category="Rehabilitation",Development_Category="Acquisition and Rehabilitation"),Data1!$G$747,IF(OR(Development_Category="New Construction",Development_Category="Redevelopment",Development_Category="Acquisition and Redevelopment"),Data1!$G$749,"The Development Category selected does not have a minimum for 0 and 1 bedroom units for the selected Demographic Commitment.")),IF(Demographic="Elderly ALF",Data1!$G$751,IF(OR(Demographic="Family",Demographic="Workforce"),IF(Development_Category="New Construction",Data1!$G$752&amp;IF(N122=1,Data1!$G$753,""),"The Development Category selected does not have a minimum for 0 and 1 bedroom units for the selected Demographic Commitment."),IF(Demographic="Homeless",Data1!$G$755,IF(OR(Demographic="Farmworker/Commercial Fish Worker",Demographic="Farmworker",Demographic="Unaccompanied Farmworker",Demographic="Commercial Fishing Worker",Demographic="Unaccompanied Commercial Fishing Worker"),Data1!$G$759,IF(OR(Demographic="Persons with a Disabling Condition",Demographic="Persons with Developmental Disabilities"),Data1!$G$761,IF(Demographic="Persons with Special Needs",Data1!$G$764,""))))))))</f>
        <v>This area intentionally left blank.</v>
      </c>
      <c r="E126" s="2900"/>
      <c r="F126" s="2900"/>
      <c r="G126" s="2900"/>
      <c r="H126" s="2900"/>
      <c r="I126" s="2900"/>
      <c r="J126" s="2900"/>
      <c r="K126" s="2900"/>
      <c r="L126" s="6"/>
      <c r="M126" s="6"/>
      <c r="N126" s="2853"/>
      <c r="O126" s="50"/>
      <c r="P126" s="50"/>
    </row>
    <row r="127" spans="1:20" ht="35.25" customHeight="1">
      <c r="A127" s="740"/>
      <c r="B127" s="739"/>
      <c r="C127" s="739"/>
      <c r="D127" s="2900" t="str">
        <f>IF(OR(Demographic="&lt;select one&gt;",Development_Category="&lt;select one&gt;"),IF(D126="This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ALF","",IF(Demographic="Family","",IF(Demographic="Homeless",Data1!$G$756,IF(OR(Demographic="Farmworker/Commercial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Disabilities"),Data1!$G$762,IF(Demographic="Persons with Special Needs","",""))))))))</f>
        <v/>
      </c>
      <c r="E127" s="2900"/>
      <c r="F127" s="2900"/>
      <c r="G127" s="2900"/>
      <c r="H127" s="2900"/>
      <c r="I127" s="2900"/>
      <c r="J127" s="2900"/>
      <c r="K127" s="2900"/>
      <c r="L127" s="737"/>
      <c r="M127" s="737"/>
      <c r="N127" s="2853"/>
      <c r="O127" s="15"/>
      <c r="P127" s="15"/>
      <c r="Q127" s="15"/>
      <c r="R127" s="15"/>
    </row>
    <row r="128" spans="1:20" ht="35.25" customHeight="1">
      <c r="B128" s="739"/>
      <c r="C128" s="739"/>
      <c r="D128" s="2900" t="str">
        <f>IF(Demographic="&lt;select one&gt;",IF(D127="This area intentionally left blank.","","This area intentionally left blank."),IF(Demographic="Elderly Non-ALF",IF(Development_Category="New Construction",Data1!$G$750,Data1!$G$748),IF(Demographic="Elderly ALF",IF(D127="This area intentionally left blank.","","This area intentionally left blank."),IF(Demographic="Family",IF(D127="This area intentionally left blank.","","This area intentionally left blank."),IF(Demographic="Homeless",Data1!$G$757,IF(OR(Demographic="Farmworker/Commercial Fish Worker",Demographic="Farmworker",Demographic="Unaccompanied Farmworker",Demographic="Commercial Fishing Worker",Demographic="Unaccompanied Commercial Fishing Worker"),IF(D127="This area intentionally left blank.","","This area intentionally left blank."),IF(OR(Demographic="Persons with a Disabling Condition",Demographic="Persons with Developmental Disabilities"),IF(D127="This area intentionally left blank.","","This area intentionally left blank."),IF(Demographic="Persons with Special Needs",Data1!$G$765,IF(D127="This area intentionally left blank.","","This area intentionally left blank.")))))))))</f>
        <v>This area intentionally left blank.</v>
      </c>
      <c r="E128" s="2900"/>
      <c r="F128" s="2900"/>
      <c r="G128" s="2900"/>
      <c r="H128" s="2900"/>
      <c r="I128" s="2900"/>
      <c r="J128" s="2900"/>
      <c r="K128" s="2900"/>
      <c r="L128" s="6"/>
      <c r="M128" s="6"/>
      <c r="N128" s="2853"/>
      <c r="O128" s="50"/>
      <c r="P128" s="50"/>
    </row>
    <row r="129" spans="1:18" ht="35.25" customHeight="1">
      <c r="B129" s="739"/>
      <c r="C129" s="739"/>
      <c r="D129" s="2544" t="str">
        <f>IF(Demographic="&lt;select one&gt;",IF(D128="This area intentionally left blank.","","This area intentionally left blank."),IF(Demographic="Elderly Non-ALF",IF(D128="This area intentionally left blank.","","This area intentionally left blank."),IF(Demographic="Elderly ALF",IF(D128="This area intentionally left blank.","","This area intentionally left blank."),IF(Demographic="Family",IF(D128="This area intentionally left blank.","","This area intentionally left blank."),IF(Demographic="Homeless",IF(Data1!B758&gt;=2,Data1!G758,IF(D128="This area intentionally left blank.","","This area intentionally left blank.")),IF(OR(Demographic="Farmworker/Commercial Fish Worker",Demographic="Farmworker",Demographic="Unaccompanied Farmworker",Demographic="Commercial Fishing Worker",Demographic="Unaccompanied Commercial Fishing Worker"),IF(Data1!B760&gt;=2,Data1!G760,IF(D128="This area intentionally left blank.","","This area intentionally left blank.")),IF(OR(Demographic="Persons with a Disabling Condition",Demographic="Persons with Developmental Disabilities"),IF(Data1!B763&gt;=2,Data1!G763,IF(D128="This area intentionally left blank.","","This area intentionally left blank.")),IF(Demographic="Persons with Special Needs",IF(Data1!B766&gt;=2,Data1!G766,IF(D128="This area intentionally left blank.","","This area intentionally left blank.")),IF(D128="This area intentionally left blank.","","This area intentionally left blank.")))))))))</f>
        <v/>
      </c>
      <c r="E129" s="2544"/>
      <c r="F129" s="2544"/>
      <c r="G129" s="2544"/>
      <c r="H129" s="2544"/>
      <c r="I129" s="2544"/>
      <c r="J129" s="2544"/>
      <c r="K129" s="2544"/>
      <c r="L129" s="6"/>
      <c r="M129" s="6"/>
      <c r="N129" s="2853"/>
      <c r="O129" s="50"/>
      <c r="P129" s="50"/>
    </row>
    <row r="130" spans="1:18" ht="17.649999999999999" customHeight="1">
      <c r="E130" s="858"/>
      <c r="F130" s="2900"/>
      <c r="G130" s="2900"/>
      <c r="H130" s="2900"/>
      <c r="I130" s="2900"/>
      <c r="J130" s="2900"/>
      <c r="K130" s="2900"/>
      <c r="L130" s="6"/>
      <c r="M130" s="6"/>
      <c r="N130" s="2854"/>
      <c r="O130" s="50"/>
      <c r="P130" s="50"/>
    </row>
    <row r="131" spans="1:18" ht="17.649999999999999" customHeight="1">
      <c r="E131" s="856" t="s">
        <v>1043</v>
      </c>
      <c r="F131" s="27"/>
      <c r="G131" s="27"/>
      <c r="H131" s="27"/>
      <c r="I131" s="27"/>
      <c r="J131" s="27"/>
      <c r="K131" s="27"/>
      <c r="L131" s="6"/>
      <c r="M131" s="6"/>
      <c r="N131" s="2569">
        <v>1</v>
      </c>
      <c r="O131" s="50"/>
      <c r="P131" s="50"/>
      <c r="Q131" s="2024" t="str">
        <f>"Controls Rows "&amp;TEXT(ROW(A131),"0")&amp;":"&amp;TEXT(ROW(A143),"0")&amp;"."</f>
        <v>Controls Rows 131:143.</v>
      </c>
    </row>
    <row r="132" spans="1:18" ht="17.649999999999999" customHeight="1">
      <c r="F132" s="15"/>
      <c r="G132" s="847" t="str">
        <f>"ELI Commitment"&amp;IF(I132=0,"","s")&amp;":"</f>
        <v>ELI Commitment:</v>
      </c>
      <c r="H132" s="745" cm="1">
        <f t="array" ref="H132">IF(OR(Minimum_SetAside_per_Sec_42=DS_IRS_2050,Minimum_SetAside_per_Sec_42=DS_IRS_4060,Minimum_SetAside_per_Sec_42=DS_FHFC_NonHC),MAX(IF(AND('General Information'!K73&lt;&gt;0,Self_Sourced_Applicant="Yes"),MAX(SUMIF(I50:I56,"&lt;="&amp;IFERROR(VLOOKUP(County,DS_CountyData,14),0),G50:G56),DS_Min_ELI_NonAIT_HC_SS+IF(Data1!B678="Yes",DS_Min_ELI_NonAIT_HC_Buy_SS,0)),IF(AND(DS_ELI_UnitLimit="Yes",SUM(Data1!U682:U690)&gt;0,Minimum_SetAside_per_Sec_42&lt;&gt;DS_IRS_AIT,Minimum_SetAside_per_Sec_42&lt;&gt;"&lt;select one&gt;")=TRUE,VLOOKUP(IFERROR(VLOOKUP(County,DS_CountyData,14),0),DS_Adj_Perc_ELI,3),DS_Min_ELI_NonAIT_HC_NSS+IF(Data1!B677="Yes",DS_Min_ELI_NonAIT_HC_Buy_NSS,0))),IF(AND(DS_ELI_UnitLimit="Yes",SUM(Data1!U682:U690)&gt;0,Minimum_SetAside_per_Sec_42&lt;&gt;DS_IRS_AIT,Minimum_SetAside_per_Sec_42&lt;&gt;"&lt;select one&gt;")=TRUE,VLOOKUP(IFERROR(VLOOKUP(County,DS_CountyData,14),0),DS_Adj_Perc_ELI,3),SUMIF(I50:I56,"&lt;="&amp;IFERROR(VLOOKUP(County,DS_CountyData,14),0),G50:G56))),IF(Minimum_SetAside_per_Sec_42=DS_IRS_AIT,MAX(IF(AND('General Information'!K73&lt;&gt;0,Self_Sourced_Applicant="Yes"),DS_Min_ELI_AIT_HC_SS+IF(Data1!B678="Yes",DS_Min_ELI_AIT_HC_Buy_SS,0),DS_Min_ELI_AIT_HC_NSS+IF(Data1!B677="Yes",DS_Min_ELI_AIT_HC_Buy_NSS,0)),G71+G72),0))</f>
        <v>0</v>
      </c>
      <c r="I132" s="745">
        <f>IF(Funding!L59&gt;0,IF(OR(LEFT(Minimum_SetAside_per_Sec_42,3)="20%",LEFT(Minimum_SetAside_per_Sec_42,3)="40%",AND(Minimum_SetAside_per_Sec_42=DS_FHFC_NonHC,Data1!B679="Yes")),IF(Self_Sourced_Applicant="Yes",MIN(DS_Min_ELI_NonAIT_HC_Buy_SS,SUMIF(I50:I58,"&lt;="&amp;IFERROR(VLOOKUP(County,DS_CountyData,14),0),G50:G58)),IF(AND(DS_ELI_UnitLimit="Yes",SUM(Data1!U682:U690)&gt;0,Minimum_SetAside_per_Sec_42&lt;&gt;DS_IRS_AIT,Minimum_SetAside_per_Sec_42&lt;&gt;"&lt;select one&gt;")=TRUE,VLOOKUP(IFERROR(VLOOKUP(County,DS_CountyData,14),0),DS_Adj_Perc_ELI,3),DS_Min_ELI_NonAIT_HC_Buy_NSS)),IF(Minimum_SetAside_per_Sec_42=DS_IRS_AIT,IF(Self_Sourced_Applicant="Yes",MAX(0,MIN(DS_Min_ELI_AIT_HC_Buy_SS,G71+G72-IF(G73&gt;=Data1!B709,0,Data1!B709-G73))),DS_Min_ELI_AIT_HC_Buy_NSS),0)),0)</f>
        <v>0</v>
      </c>
      <c r="K132" s="1448" t="str">
        <f>IF(AND(DS_ELI_UnitLimit="Yes",ROUNDUP(I132*N(Total_Units),0)&gt;DS_ELI_UnitLimit_Units,OR(DS_ELI_UnitLimit_Exception="No",DS_ELI_UnitLimit_Exception_Goal_Met="Does NOT meet")),"* ELI units are limited to a total of 15","")</f>
        <v/>
      </c>
      <c r="L132" s="6"/>
      <c r="M132" s="6"/>
      <c r="N132" s="2570"/>
      <c r="Q132" s="3408" t="str">
        <f>IF(N131=0,"With the table ""Off"", be sure the 8 ""DS_Min_ELI_..."" named ranges are zero.","NA")</f>
        <v>NA</v>
      </c>
      <c r="R132" s="3409"/>
    </row>
    <row r="133" spans="1:18" ht="17.649999999999999" customHeight="1">
      <c r="D133" s="6"/>
      <c r="E133" s="6"/>
      <c r="F133" s="292" t="s">
        <v>1044</v>
      </c>
      <c r="G133" s="287" t="s">
        <v>1018</v>
      </c>
      <c r="H133" s="287" t="str">
        <f>"Total ELI"&amp;IF(AND(DS_ELI_UnitLimit="Yes",ROUNDUP(I132*N(Total_Units),0)&gt;DS_ELI_UnitLimit_Units,OR(DS_ELI_UnitLimit_Exception="No",DS_ELI_UnitLimit_Exception_Goal_Met="Does NOT meet")),"*","")</f>
        <v>Total ELI</v>
      </c>
      <c r="I133" s="287" t="str">
        <f>"Funded ELI"&amp;IF(AND(DS_ELI_UnitLimit="Yes",ROUNDUP(I132*N(Total_Units),0)&gt;DS_ELI_UnitLimit_Units,OR(DS_ELI_UnitLimit_Exception="No",DS_ELI_UnitLimit_Exception_Goal_Met="Does NOT meet")),"*","")</f>
        <v>Funded ELI</v>
      </c>
      <c r="J133" s="287" t="s">
        <v>1045</v>
      </c>
      <c r="K133" s="289" t="s">
        <v>1046</v>
      </c>
      <c r="L133" s="6"/>
      <c r="M133" s="6"/>
      <c r="N133" s="2570"/>
      <c r="Q133" s="3410"/>
      <c r="R133" s="3411"/>
    </row>
    <row r="134" spans="1:18" ht="5.25" customHeight="1">
      <c r="D134" s="6"/>
      <c r="E134" s="6"/>
      <c r="F134" s="296"/>
      <c r="G134" s="297"/>
      <c r="H134" s="298"/>
      <c r="I134" s="298"/>
      <c r="J134" s="303"/>
      <c r="K134" s="299"/>
      <c r="L134" s="6"/>
      <c r="M134" s="6"/>
      <c r="N134" s="2570"/>
    </row>
    <row r="135" spans="1:18" ht="17.649999999999999" customHeight="1">
      <c r="D135" s="6"/>
      <c r="E135" s="6"/>
      <c r="F135" s="300">
        <v>0</v>
      </c>
      <c r="G135" s="413">
        <f>Zero_Bed_One_Bath_Total_Units</f>
        <v>0</v>
      </c>
      <c r="H135" s="413">
        <f>ROUNDUP(IF(AND(DS_ELI_UnitLimit="Yes",ROUNDUP(H$132*N(Total_Units),0)&gt;DS_ELI_UnitLimit_Units,OR(DS_ELI_UnitLimit_Exception="No",DS_ELI_UnitLimit_Exception_Goal_Met="Does NOT meet"),Minimum_SetAside_per_Sec_42&lt;&gt;DS_IRS_AIT),IF(N(Total_Units)=0,0,DS_ELI_UnitLimit_Units*SUM($G$134:$G135)/N(Total_Units)),SUM($G$134:$G135)*H$132),0)-SUM(H$134:H134)</f>
        <v>0</v>
      </c>
      <c r="I135" s="413">
        <f>ROUNDUP(IF(AND(DS_ELI_UnitLimit="Yes",ROUNDUP(I$132*N(Total_Units),0)&gt;DS_ELI_UnitLimit_Units,OR(DS_ELI_UnitLimit_Exception="No",DS_ELI_UnitLimit_Exception_Goal_Met="Does NOT meet")),IF(N(Total_Units)=0,0,DS_ELI_UnitLimit_Units*SUM($G$134:$G135)/N(Total_Units)),SUM($G$134:$G135)*I$132),0)-SUM(I$134:I134)</f>
        <v>0</v>
      </c>
      <c r="J135" s="301">
        <f>IFERROR(VLOOKUP(County,DS_CountyData,7+F135),0)</f>
        <v>0</v>
      </c>
      <c r="K135" s="302">
        <f t="shared" ref="K135:K140" si="3">I135*J135</f>
        <v>0</v>
      </c>
      <c r="L135" s="6"/>
      <c r="M135" s="6"/>
      <c r="N135" s="2570"/>
      <c r="O135" s="3408" t="s">
        <v>2183</v>
      </c>
      <c r="P135" s="3418"/>
      <c r="Q135" s="3418"/>
      <c r="R135" s="3409"/>
    </row>
    <row r="136" spans="1:18" ht="17.649999999999999" customHeight="1">
      <c r="D136" s="6"/>
      <c r="E136" s="6"/>
      <c r="F136" s="293">
        <v>1</v>
      </c>
      <c r="G136" s="414">
        <f>One_Bed_One_Bath_Total_Units</f>
        <v>0</v>
      </c>
      <c r="H136" s="413">
        <f>ROUNDUP(IF(AND(DS_ELI_UnitLimit="Yes",ROUNDUP(H$132*N(Total_Units),0)&gt;DS_ELI_UnitLimit_Units,OR(DS_ELI_UnitLimit_Exception="No",DS_ELI_UnitLimit_Exception_Goal_Met="Does NOT meet"),Minimum_SetAside_per_Sec_42&lt;&gt;DS_IRS_AIT),IF(N(Total_Units)=0,0,DS_ELI_UnitLimit_Units*SUM($G$134:$G136)/N(Total_Units)),SUM($G$134:$G136)*H$132),0)-SUM(H$134:H135)</f>
        <v>0</v>
      </c>
      <c r="I136" s="413">
        <f>ROUNDUP(IF(AND(DS_ELI_UnitLimit="Yes",ROUNDUP(I$132*N(Total_Units),0)&gt;DS_ELI_UnitLimit_Units,OR(DS_ELI_UnitLimit_Exception="No",DS_ELI_UnitLimit_Exception_Goal_Met="Does NOT meet")),IF(N(Total_Units)=0,0,DS_ELI_UnitLimit_Units*SUM($G$134:$G136)/N(Total_Units)),SUM($G$134:$G136)*I$132),0)-SUM(I$134:I135)</f>
        <v>0</v>
      </c>
      <c r="J136" s="286">
        <f>IFERROR(VLOOKUP(County,DS_CountyData,7+F136),0)</f>
        <v>0</v>
      </c>
      <c r="K136" s="288">
        <f t="shared" si="3"/>
        <v>0</v>
      </c>
      <c r="L136" s="6"/>
      <c r="M136" s="6"/>
      <c r="N136" s="2570"/>
      <c r="O136" s="3419"/>
      <c r="P136" s="3420"/>
      <c r="Q136" s="3420"/>
      <c r="R136" s="3421"/>
    </row>
    <row r="137" spans="1:18" ht="17.649999999999999" customHeight="1">
      <c r="D137" s="6"/>
      <c r="E137" s="6"/>
      <c r="F137" s="293">
        <v>2</v>
      </c>
      <c r="G137" s="414">
        <f>SUM(H107:I109)</f>
        <v>0</v>
      </c>
      <c r="H137" s="413">
        <f>ROUNDUP(IF(AND(DS_ELI_UnitLimit="Yes",ROUNDUP(H$132*N(Total_Units),0)&gt;DS_ELI_UnitLimit_Units,OR(DS_ELI_UnitLimit_Exception="No",DS_ELI_UnitLimit_Exception_Goal_Met="Does NOT meet"),Minimum_SetAside_per_Sec_42&lt;&gt;DS_IRS_AIT),IF(N(Total_Units)=0,0,DS_ELI_UnitLimit_Units*SUM($G$134:$G137)/N(Total_Units)),SUM($G$134:$G137)*H$132),0)-SUM(H$134:H136)</f>
        <v>0</v>
      </c>
      <c r="I137" s="413">
        <f>ROUNDUP(IF(AND(DS_ELI_UnitLimit="Yes",ROUNDUP(I$132*N(Total_Units),0)&gt;DS_ELI_UnitLimit_Units,OR(DS_ELI_UnitLimit_Exception="No",DS_ELI_UnitLimit_Exception_Goal_Met="Does NOT meet")),IF(N(Total_Units)=0,0,DS_ELI_UnitLimit_Units*SUM($G$134:$G137)/N(Total_Units)),SUM($G$134:$G137)*I$132),0)-SUM(I$134:I136)</f>
        <v>0</v>
      </c>
      <c r="J137" s="286">
        <f>IFERROR(VLOOKUP(County,DS_CountyData,7+F137),0)</f>
        <v>0</v>
      </c>
      <c r="K137" s="288">
        <f t="shared" si="3"/>
        <v>0</v>
      </c>
      <c r="L137" s="6"/>
      <c r="M137" s="6"/>
      <c r="N137" s="2570"/>
      <c r="O137" s="3410"/>
      <c r="P137" s="3422"/>
      <c r="Q137" s="3422"/>
      <c r="R137" s="3411"/>
    </row>
    <row r="138" spans="1:18" ht="17.649999999999999" customHeight="1">
      <c r="D138" s="6"/>
      <c r="E138" s="6"/>
      <c r="F138" s="293">
        <v>3</v>
      </c>
      <c r="G138" s="414">
        <f>SUM(H110:I114)</f>
        <v>0</v>
      </c>
      <c r="H138" s="413">
        <f>ROUNDUP(IF(AND(DS_ELI_UnitLimit="Yes",ROUNDUP(H$132*N(Total_Units),0)&gt;DS_ELI_UnitLimit_Units,OR(DS_ELI_UnitLimit_Exception="No",DS_ELI_UnitLimit_Exception_Goal_Met="Does NOT meet"),Minimum_SetAside_per_Sec_42&lt;&gt;DS_IRS_AIT),IF(N(Total_Units)=0,0,DS_ELI_UnitLimit_Units*SUM($G$134:$G138)/N(Total_Units)),SUM($G$134:$G138)*H$132),0)-SUM(H$134:H137)</f>
        <v>0</v>
      </c>
      <c r="I138" s="413">
        <f>ROUNDUP(IF(AND(DS_ELI_UnitLimit="Yes",ROUNDUP(I$132*N(Total_Units),0)&gt;DS_ELI_UnitLimit_Units,OR(DS_ELI_UnitLimit_Exception="No",DS_ELI_UnitLimit_Exception_Goal_Met="Does NOT meet")),IF(N(Total_Units)=0,0,DS_ELI_UnitLimit_Units*SUM($G$134:$G138)/N(Total_Units)),SUM($G$134:$G138)*I$132),0)-SUM(I$134:I137)</f>
        <v>0</v>
      </c>
      <c r="J138" s="286">
        <f>IFERROR(VLOOKUP(County,DS_CountyData,7+F138),0)</f>
        <v>0</v>
      </c>
      <c r="K138" s="288">
        <f t="shared" si="3"/>
        <v>0</v>
      </c>
      <c r="L138" s="6"/>
      <c r="M138" s="6"/>
      <c r="N138" s="2570"/>
    </row>
    <row r="139" spans="1:18" ht="17.649999999999999" customHeight="1">
      <c r="D139" s="6"/>
      <c r="E139" s="6"/>
      <c r="F139" s="293">
        <v>4</v>
      </c>
      <c r="G139" s="414">
        <f>SUM(H115:I121)</f>
        <v>0</v>
      </c>
      <c r="H139" s="413">
        <f>ROUNDUP(IF(AND(DS_ELI_UnitLimit="Yes",ROUNDUP(H$132*N(Total_Units),0)&gt;DS_ELI_UnitLimit_Units,OR(DS_ELI_UnitLimit_Exception="No",DS_ELI_UnitLimit_Exception_Goal_Met="Does NOT meet"),Minimum_SetAside_per_Sec_42&lt;&gt;DS_IRS_AIT),IF(N(Total_Units)=0,0,DS_ELI_UnitLimit_Units*SUM($G$134:$G139)/N(Total_Units)),SUM($G$134:$G139)*H$132),0)-SUM(H$134:H138)</f>
        <v>0</v>
      </c>
      <c r="I139" s="413">
        <f>ROUNDUP(IF(AND(DS_ELI_UnitLimit="Yes",ROUNDUP(I$132*N(Total_Units),0)&gt;DS_ELI_UnitLimit_Units,OR(DS_ELI_UnitLimit_Exception="No",DS_ELI_UnitLimit_Exception_Goal_Met="Does NOT meet")),IF(N(Total_Units)=0,0,DS_ELI_UnitLimit_Units*SUM($G$134:$G139)/N(Total_Units)),SUM($G$134:$G139)*I$132),0)-SUM(I$134:I138)</f>
        <v>0</v>
      </c>
      <c r="J139" s="286">
        <f>IFERROR(VLOOKUP(County,DS_CountyData,7+F139),0)</f>
        <v>0</v>
      </c>
      <c r="K139" s="288">
        <f t="shared" si="3"/>
        <v>0</v>
      </c>
      <c r="L139" s="6"/>
      <c r="M139" s="6"/>
      <c r="N139" s="2570"/>
    </row>
    <row r="140" spans="1:18" ht="17.649999999999999" customHeight="1">
      <c r="D140" s="6"/>
      <c r="E140" s="6"/>
      <c r="F140" s="293">
        <v>5</v>
      </c>
      <c r="G140" s="414">
        <f>H122*O122</f>
        <v>0</v>
      </c>
      <c r="H140" s="413">
        <f>ROUNDUP(IF(AND(DS_ELI_UnitLimit="Yes",ROUNDUP(H$132*N(Total_Units),0)&gt;DS_ELI_UnitLimit_Units,OR(DS_ELI_UnitLimit_Exception="No",DS_ELI_UnitLimit_Exception_Goal_Met="Does NOT meet"),Minimum_SetAside_per_Sec_42&lt;&gt;DS_IRS_AIT),IF(N(Total_Units)=0,0,DS_ELI_UnitLimit_Units*SUM($G$134:$G140)/N(Total_Units)),SUM($G$134:$G140)*H$132),0)-SUM(H$134:H139)</f>
        <v>0</v>
      </c>
      <c r="I140" s="413">
        <f>ROUNDUP(IF(AND(DS_ELI_UnitLimit="Yes",ROUNDUP(I$132*N(Total_Units),0)&gt;DS_ELI_UnitLimit_Units,OR(DS_ELI_UnitLimit_Exception="No",DS_ELI_UnitLimit_Exception_Goal_Met="Does NOT meet")),IF(N(Total_Units)=0,0,DS_ELI_UnitLimit_Units*SUM($G$134:$G140)/N(Total_Units)),SUM($G$134:$G140)*I$132),0)-SUM(I$134:I139)</f>
        <v>0</v>
      </c>
      <c r="J140" s="286">
        <f>IFERROR(VLOOKUP(County,DS_CountyData,7+F139),0)</f>
        <v>0</v>
      </c>
      <c r="K140" s="288">
        <f t="shared" si="3"/>
        <v>0</v>
      </c>
      <c r="L140" s="6"/>
      <c r="M140" s="6"/>
      <c r="N140" s="2570"/>
      <c r="O140" s="2292">
        <f>N122</f>
        <v>1</v>
      </c>
    </row>
    <row r="141" spans="1:18" ht="5.25" customHeight="1" thickBot="1">
      <c r="D141" s="6"/>
      <c r="E141" s="6"/>
      <c r="F141" s="304"/>
      <c r="G141" s="239"/>
      <c r="H141" s="239"/>
      <c r="I141" s="239"/>
      <c r="J141" s="285"/>
      <c r="K141" s="305"/>
      <c r="L141" s="6"/>
      <c r="M141" s="6"/>
      <c r="N141" s="2570"/>
    </row>
    <row r="142" spans="1:18" ht="17.649999999999999" customHeight="1" thickTop="1">
      <c r="D142" s="10"/>
      <c r="E142" s="6"/>
      <c r="F142" s="294" t="s">
        <v>1042</v>
      </c>
      <c r="G142" s="412">
        <f>SUM(G135:G140)</f>
        <v>0</v>
      </c>
      <c r="H142" s="412">
        <f>SUM(H135:H140)</f>
        <v>0</v>
      </c>
      <c r="I142" s="412">
        <f>SUM(I135:I140)</f>
        <v>0</v>
      </c>
      <c r="J142" s="744"/>
      <c r="K142" s="295">
        <f>SUM(K135:K140)</f>
        <v>0</v>
      </c>
      <c r="N142" s="2570"/>
    </row>
    <row r="143" spans="1:18" ht="17.649999999999999" customHeight="1">
      <c r="E143" s="858"/>
      <c r="F143" s="3198" t="str">
        <f>IF(OR(AND(Funding!L59&gt;0,SUM(K135:K139)&gt;DS_ELI_PD),AND(Funding!M101&gt;0,Funding!N102&gt;0,SUM(K135:K139)&gt;DS_RRLP_ELI_PD)),"The funding tab will limit the request amount to the Per Development Limit of "&amp;TEXT(IF(Funding!L59&gt;0,DS_ELI_PD,IF(AND(Funding!M101&gt;0,Funding!N102&gt;0),DS_RRLP_ELI_PD,0)),"$#,##0")&amp;".",IF(AND(N($I$142)&gt;0,Data1!B674=Data1!B673),"The Proposed Development does not qualify for ELI funding.",""))</f>
        <v/>
      </c>
      <c r="G143" s="3198"/>
      <c r="H143" s="3198"/>
      <c r="I143" s="3198"/>
      <c r="J143" s="3198"/>
      <c r="K143" s="3198"/>
      <c r="L143" s="6"/>
      <c r="M143" s="6"/>
      <c r="N143" s="2571"/>
      <c r="O143" s="50"/>
      <c r="P143" s="50"/>
    </row>
    <row r="144" spans="1:18" ht="14.65" customHeight="1">
      <c r="A144" s="335" t="str" cm="1">
        <f t="array" ref="A144">CHAR(CODE(LOOKUP(2,1/(COUNTIF(A$3:A142,"&gt;"&amp;A$3:A142&amp;"*")=0),A$3:A142))+1)</f>
        <v>e</v>
      </c>
      <c r="B144" s="2548" t="s">
        <v>1047</v>
      </c>
      <c r="C144" s="2548"/>
      <c r="D144" s="2548"/>
      <c r="E144" s="2548"/>
      <c r="F144" s="2548"/>
      <c r="G144" s="2548"/>
      <c r="L144" s="6"/>
      <c r="M144" s="6"/>
      <c r="N144" s="2569">
        <v>1</v>
      </c>
      <c r="O144" s="50"/>
      <c r="P144" s="50"/>
      <c r="Q144" s="2024" t="str">
        <f>"Controls Rows "&amp;TEXT(ROW(A144),"0")&amp;":"&amp;TEXT(ROW(A146),"0")&amp;"."</f>
        <v>Controls Rows 144:146.</v>
      </c>
    </row>
    <row r="145" spans="1:20" ht="17.649999999999999" customHeight="1">
      <c r="B145" s="858" t="s">
        <v>1048</v>
      </c>
      <c r="D145" s="858"/>
      <c r="E145" s="858"/>
      <c r="F145" s="858"/>
      <c r="G145" s="443"/>
      <c r="H145" s="841"/>
      <c r="I145" s="3379" t="str">
        <f>IF(Link_Classification=Data1!$A$16,"(Combination Applications must have
at least 2 residential buildings)","")</f>
        <v/>
      </c>
      <c r="J145" s="3379"/>
      <c r="K145" s="3379"/>
      <c r="L145" s="6"/>
      <c r="M145" s="6"/>
      <c r="N145" s="2570"/>
    </row>
    <row r="146" spans="1:20" ht="10.5" customHeight="1">
      <c r="L146" s="6"/>
      <c r="M146" s="6"/>
      <c r="N146" s="2571"/>
    </row>
    <row r="147" spans="1:20">
      <c r="A147" s="335" t="str" cm="1">
        <f t="array" ref="A147">CHAR(CODE(LOOKUP(2,1/(COUNTIF(A$3:A146,"&gt;"&amp;A$3:A146&amp;"*")=0),A$3:A146))+1)</f>
        <v>f</v>
      </c>
      <c r="B147" s="87" t="s">
        <v>1049</v>
      </c>
      <c r="L147" s="6"/>
      <c r="M147" s="6"/>
      <c r="N147" s="2702" t="s">
        <v>2737</v>
      </c>
      <c r="O147" s="2703"/>
      <c r="P147" s="2704"/>
    </row>
    <row r="148" spans="1:20" ht="30" customHeight="1">
      <c r="B148" s="3378" t="str">
        <f>"All "&amp;IF(N148=0,"",IF(N160=0,"","Non-Self-Sourced "))&amp;"Applicants are required to set aside the units for this number of years, as further described in Section Four of the RFA"&amp;IF(Data1!B674&gt;Data1!B673,"*",".")</f>
        <v>All Applicants are required to set aside the units for this number of years, as further described in Section Four of the RFA*</v>
      </c>
      <c r="C148" s="3378"/>
      <c r="D148" s="3378"/>
      <c r="E148" s="3378"/>
      <c r="F148" s="3378"/>
      <c r="G148" s="3378"/>
      <c r="H148" s="3378"/>
      <c r="I148" s="3378"/>
      <c r="J148" s="3378"/>
      <c r="K148" s="893">
        <f>Data1!B667</f>
        <v>50</v>
      </c>
      <c r="L148" s="6"/>
      <c r="M148" s="6"/>
      <c r="N148" s="2569">
        <v>1</v>
      </c>
      <c r="Q148" s="3197" t="str">
        <f>"Toggles the ""Non-Self Sourced"" qualifying adjective. Cell N"&amp;TEXT(ROW(A160),"0")&amp;" must be turned on to have access to the ""Non-Self Sourced"" wording."</f>
        <v>Toggles the "Non-Self Sourced" qualifying adjective. Cell N160 must be turned on to have access to the "Non-Self Sourced" wording.</v>
      </c>
      <c r="R148" s="3197"/>
      <c r="S148" s="3197"/>
      <c r="T148" s="3197"/>
    </row>
    <row r="149" spans="1:20" ht="10.5" customHeight="1">
      <c r="L149" s="6"/>
      <c r="M149" s="6"/>
      <c r="N149" s="2571"/>
      <c r="Q149" s="3197"/>
      <c r="R149" s="3197"/>
      <c r="S149" s="3197"/>
      <c r="T149" s="3197"/>
    </row>
    <row r="150" spans="1:20" ht="65.25" customHeight="1">
      <c r="B150" s="2579" t="str">
        <f>"For Applicants that wish to qualify for an exemption from the ad valorem tax pursuant to 196.1978(4), F.S., does the Applicant elect to commit to an additional minimum "&amp;TEXT(99-Data1!B667,"0")&amp;"-year extended affordability period, for a total affordability period of 99 years (""Perpetuity"") to be applied to the SAIL and Bond LURAs, as applicable."</f>
        <v>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v>
      </c>
      <c r="C150" s="2579"/>
      <c r="D150" s="2579"/>
      <c r="E150" s="2579"/>
      <c r="F150" s="2579"/>
      <c r="G150" s="2579"/>
      <c r="H150" s="2579"/>
      <c r="I150" s="2579"/>
      <c r="J150" s="2579"/>
      <c r="K150" s="1279" t="s">
        <v>41</v>
      </c>
      <c r="L150" s="6"/>
      <c r="M150" s="6"/>
      <c r="N150" s="2569">
        <v>1</v>
      </c>
      <c r="Q150" s="2024" t="str">
        <f>"Controls Rows "&amp;TEXT(ROW(A150),"0")&amp;":"&amp;TEXT(ROW(A151),"0")&amp;"."</f>
        <v>Controls Rows 150:151.</v>
      </c>
    </row>
    <row r="151" spans="1:20" ht="35.15" customHeight="1">
      <c r="B151" s="2544" t="str">
        <f>IF(OR(N(Total_Units)=0,AND(N(total_units_in_NonAIT_setaside_chart)&gt;0,SUM(F50:F59)&gt;70),AND(N(Total_AIT_Chart_Units)&gt;0,SUM(F71:F77)+N(Workforce_80_AIT_Units)&gt;70),Perpetuity_Election&lt;&gt;"Yes"),"","The Florida Statute requires a minimum of 71 units to be set-aside to serve households at 80% of AMI, or less. The proposed Development does NOT meet that requirementn with "&amp;TEXT(IF(AND(N(total_units_in_NonAIT_setaside_chart)=0,N(Total_AIT_Chart_Units)=0),0,IF(N(total_units_in_NonAIT_setaside_chart)&gt;0,SUM(F50:F59),SUM(F71:F77)+N(Workforce_80_AIT_Units))),"0")&amp;" set-aside units entered.")</f>
        <v/>
      </c>
      <c r="C151" s="2544"/>
      <c r="D151" s="2544"/>
      <c r="E151" s="2544"/>
      <c r="F151" s="2544"/>
      <c r="G151" s="2544"/>
      <c r="H151" s="2544"/>
      <c r="I151" s="2544"/>
      <c r="J151" s="2544"/>
      <c r="K151" s="2544"/>
      <c r="L151" s="6"/>
      <c r="M151" s="6"/>
      <c r="N151" s="2571"/>
      <c r="Q151" s="444"/>
    </row>
    <row r="152" spans="1:20" ht="50.25" hidden="1" customHeight="1">
      <c r="B152" s="2544" t="str">
        <f>IF(OR(AND(DS_Gap1_YN="No",DS_Gap2_YN="No"),N152=0,Data1!B674=Data1!B673),"",IF(Data1!B674&gt;Data1!B673,"*Any ELI units being purchased with FHFC Gap Loan funding will have a commitment period of "&amp;TEXT(Data1!B668,"0")&amp;" years at which time the ELI AMI commitment can convert to 60% AMI. They remain Housing Credit units throughout the Compliance Period. "&amp;IF(AND(DS_ELI_UnitLimit="Yes",ROUNDUP(I132*Total_Units,0)&gt;DS_ELI_UnitLimit_Units),"This Application indicates "&amp;TEXT(I142,"0")&amp;" ELI units being purchased.",""),""))</f>
        <v/>
      </c>
      <c r="C152" s="2544"/>
      <c r="D152" s="2544"/>
      <c r="E152" s="2544"/>
      <c r="F152" s="2544"/>
      <c r="G152" s="2544"/>
      <c r="H152" s="2544"/>
      <c r="I152" s="2544"/>
      <c r="J152" s="2544"/>
      <c r="K152" s="2544"/>
      <c r="L152" s="6"/>
      <c r="M152" s="6"/>
      <c r="N152" s="2002">
        <v>0</v>
      </c>
      <c r="Q152" s="2849" t="str">
        <f>"This is row is reserved for a pop-up message about purchased ELI units when gap loan funding is offered. Gap loan funding is currently turned "&amp;IF(DS_Gap1_YN="Yes","on","off")&amp;"."</f>
        <v>This is row is reserved for a pop-up message about purchased ELI units when gap loan funding is offered. Gap loan funding is currently turned on.</v>
      </c>
      <c r="R152" s="2849"/>
      <c r="S152" s="2849"/>
      <c r="T152" s="2849"/>
    </row>
    <row r="153" spans="1:20" ht="35.25" hidden="1" customHeight="1">
      <c r="B153" s="2544" t="str">
        <f>IF(OR(Funding!$L$213+SUM(Funding!$L$226:$L$230)=0,N153=0),"","*Any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53" s="2544"/>
      <c r="D153" s="2544"/>
      <c r="E153" s="2544"/>
      <c r="F153" s="2544"/>
      <c r="G153" s="2544"/>
      <c r="H153" s="2544"/>
      <c r="I153" s="2544"/>
      <c r="J153" s="2544"/>
      <c r="K153" s="2544"/>
      <c r="L153" s="6"/>
      <c r="M153" s="6"/>
      <c r="N153" s="3438">
        <f>IF(Funding!$L$213+SUM(Funding!$L$226:$L$230)=0,0,1)</f>
        <v>0</v>
      </c>
      <c r="Q153" s="2024" t="s">
        <v>2778</v>
      </c>
    </row>
    <row r="154" spans="1:20" ht="10.5" hidden="1" customHeight="1">
      <c r="L154" s="6"/>
      <c r="M154" s="6"/>
      <c r="N154" s="3439"/>
    </row>
    <row r="155" spans="1:20" ht="14.65" hidden="1" customHeight="1">
      <c r="A155" s="335" t="str" cm="1">
        <f t="array" ref="A155">CHAR(CODE(LOOKUP(2,1/(COUNTIF(A$3:A154,"&gt;"&amp;A$3:A154&amp;"*")=0),A$3:A154))+1)</f>
        <v>g</v>
      </c>
      <c r="B155" s="87" t="s">
        <v>2304</v>
      </c>
      <c r="L155" s="6"/>
      <c r="M155" s="6"/>
      <c r="N155" s="2658">
        <v>0</v>
      </c>
      <c r="Q155" s="2024" t="str">
        <f>"Controls Rows "&amp;TEXT(ROW(A155),"0")&amp;":"&amp;TEXT(ROW(A159),"0")&amp;"."</f>
        <v>Controls Rows 155:159.</v>
      </c>
    </row>
    <row r="156" spans="1:20" ht="14.65" hidden="1" customHeight="1">
      <c r="B156" t="s">
        <v>2305</v>
      </c>
      <c r="L156" s="6"/>
      <c r="M156" s="6"/>
      <c r="N156" s="2659"/>
    </row>
    <row r="157" spans="1:20" ht="7.5" hidden="1" customHeight="1">
      <c r="L157" s="6"/>
      <c r="M157" s="6"/>
      <c r="N157" s="2659"/>
    </row>
    <row r="158" spans="1:20" ht="110.25" hidden="1" customHeight="1">
      <c r="B158" s="2544" t="s">
        <v>2494</v>
      </c>
      <c r="C158" s="2544"/>
      <c r="D158" s="2544"/>
      <c r="E158" s="2544"/>
      <c r="F158" s="2544"/>
      <c r="G158" s="2544"/>
      <c r="H158" s="2544"/>
      <c r="I158" s="2544"/>
      <c r="J158" s="2544"/>
      <c r="K158" s="2544"/>
      <c r="L158" s="6"/>
      <c r="M158" s="6"/>
      <c r="N158" s="2659"/>
    </row>
    <row r="159" spans="1:20" ht="10.5" hidden="1" customHeight="1">
      <c r="L159" s="6"/>
      <c r="M159" s="6"/>
      <c r="N159" s="2571"/>
    </row>
    <row r="160" spans="1:20" ht="30" hidden="1" customHeight="1">
      <c r="B160" s="2544" t="s">
        <v>1050</v>
      </c>
      <c r="C160" s="2544"/>
      <c r="D160" s="2544"/>
      <c r="E160" s="2544"/>
      <c r="F160" s="2544"/>
      <c r="G160" s="2544"/>
      <c r="H160" s="2544"/>
      <c r="I160" s="2544"/>
      <c r="J160" s="2544"/>
      <c r="K160" s="1233"/>
      <c r="L160" s="6"/>
      <c r="M160" s="6"/>
      <c r="N160" s="2569">
        <v>0</v>
      </c>
      <c r="Q160" s="3197" t="str">
        <f>"Controls Rows "&amp;TEXT(ROW(A160),"0")&amp;":"&amp;TEXT(ROW(A163),"0")&amp;"."&amp;CHAR(10)&amp;"This row is also tied to wording on row "&amp;TEXT(ROW(A148),"0")&amp;"."&amp;CHAR(10)&amp;"The Self-Sourced option is turned "&amp;IF('General Information'!K73=0,"off","on")&amp;"."</f>
        <v>Controls Rows 160:163.
This row is also tied to wording on row 148.
The Self-Sourced option is turned off.</v>
      </c>
      <c r="R160" s="3197"/>
      <c r="S160" s="3197"/>
    </row>
    <row r="161" spans="2:19" ht="30" hidden="1" customHeight="1">
      <c r="B161" s="875"/>
      <c r="C161" s="2544" t="str">
        <f>IF(N160=0,"",IF(AND(Self_Sourced_Applicant&lt;&gt;"Yes",'Units, Set-Asides, Bldgs'!$K160&lt;&gt;""),"The Applicant did not indicate it was a Self-Sourced Applicant.",IF(AND(Self_Sourced_Applicant="Yes",'Units, Set-Asides, Bldgs'!$K160=""),"Without a response to indicate otherwise, the Self-Sourced Applicant is electing the miniumum Compliance Period of 15 years.","")))</f>
        <v/>
      </c>
      <c r="D161" s="2544"/>
      <c r="E161" s="2544"/>
      <c r="F161" s="2544"/>
      <c r="G161" s="2544"/>
      <c r="H161" s="2544"/>
      <c r="I161" s="2544"/>
      <c r="J161" s="2544"/>
      <c r="K161" s="2544"/>
      <c r="N161" s="2570"/>
      <c r="Q161" s="3197"/>
      <c r="R161" s="3197"/>
      <c r="S161" s="3197"/>
    </row>
    <row r="162" spans="2:19" ht="30" hidden="1" customHeight="1">
      <c r="B162" s="2544" t="s">
        <v>1051</v>
      </c>
      <c r="C162" s="2544"/>
      <c r="D162" s="2544"/>
      <c r="E162" s="2544"/>
      <c r="F162" s="2544"/>
      <c r="G162" s="2544"/>
      <c r="H162" s="2544"/>
      <c r="I162" s="2544"/>
      <c r="J162" s="2544"/>
      <c r="K162" s="811" t="str">
        <f>IF(Self_Sourced_Applicant&lt;&gt;"Yes","NA",IF(SS_Compliance_Period&gt;=50,4,IF(SS_Compliance_Period&gt;=40,3,IF(SS_Compliance_Period&gt;=30,2,IF(SS_Compliance_Period&gt;=20,1,0)))))</f>
        <v>NA</v>
      </c>
      <c r="N162" s="2570"/>
      <c r="O162" s="24"/>
    </row>
    <row r="163" spans="2:19" ht="10.5" hidden="1" customHeight="1">
      <c r="N163" s="2571"/>
    </row>
    <row r="164" spans="2:19" ht="50.25" hidden="1" customHeight="1">
      <c r="B164" s="2464">
        <v>1</v>
      </c>
      <c r="C164" s="2579" t="s">
        <v>3251</v>
      </c>
      <c r="D164" s="2579"/>
      <c r="E164" s="2579"/>
      <c r="F164" s="2579"/>
      <c r="G164" s="2579"/>
      <c r="H164" s="2579"/>
      <c r="I164" s="2579"/>
      <c r="J164" s="2579"/>
      <c r="K164" s="801" t="s">
        <v>280</v>
      </c>
      <c r="N164" s="2569">
        <v>0</v>
      </c>
      <c r="Q164" s="2052" t="str">
        <f>"Controls Rows "&amp;TEXT(ROW(A164),"0")&amp;":"&amp;TEXT(ROW(A165),"0")&amp;"."&amp;CHAR(10)&amp;"The Self-Sourced option is turned "&amp;IF('General Information'!K$77=0,"off","on")&amp;"."</f>
        <v>Controls Rows 164:165.
The Self-Sourced option is turned on.</v>
      </c>
    </row>
    <row r="165" spans="2:19" ht="10.5" hidden="1" customHeight="1">
      <c r="B165" s="2465"/>
      <c r="C165" s="457"/>
      <c r="D165" s="457"/>
      <c r="E165" s="457"/>
      <c r="F165" s="457"/>
      <c r="G165" s="457"/>
      <c r="H165" s="457"/>
      <c r="I165" s="457"/>
      <c r="J165" s="457"/>
      <c r="N165" s="2670"/>
    </row>
    <row r="166" spans="2:19" ht="35.25" hidden="1" customHeight="1">
      <c r="B166" s="2464">
        <v>2</v>
      </c>
      <c r="C166" s="2579" t="s">
        <v>3252</v>
      </c>
      <c r="D166" s="2579"/>
      <c r="E166" s="2579"/>
      <c r="F166" s="2579"/>
      <c r="G166" s="2579"/>
      <c r="H166" s="2579"/>
      <c r="I166" s="2579"/>
      <c r="J166" s="2579"/>
      <c r="K166" s="801" t="s">
        <v>280</v>
      </c>
      <c r="N166" s="2569">
        <v>0</v>
      </c>
      <c r="Q166" s="2052" t="str">
        <f>"Controls Rows "&amp;TEXT(ROW(A166),"0")&amp;":"&amp;TEXT(ROW(A167),"0")&amp;"."&amp;CHAR(10)&amp;"The Self-Sourced option is turned "&amp;IF('General Information'!K$77=0,"off","on")&amp;"."</f>
        <v>Controls Rows 166:167.
The Self-Sourced option is turned on.</v>
      </c>
    </row>
    <row r="167" spans="2:19" ht="17.649999999999999" hidden="1" customHeight="1">
      <c r="C167" s="332" t="str">
        <f>IF(AND(SS_Conversion_Option="Yes",SS_Waiver_Option="Yes"),"The maximum Compliance Peirod points that can be earned is six.","")</f>
        <v>The maximum Compliance Peirod points that can be earned is six.</v>
      </c>
      <c r="D167" s="332"/>
      <c r="E167" s="332"/>
      <c r="F167" s="332"/>
      <c r="G167" s="332"/>
      <c r="H167" s="332"/>
      <c r="I167" s="332"/>
      <c r="J167" s="332"/>
      <c r="N167" s="2670"/>
    </row>
  </sheetData>
  <sheetProtection algorithmName="SHA-512" hashValue="JtAFTlW4vxKscGNG9KQ693irVnfeZAK61wQDev5hfq8ACMecWDSoFzAP48e0TqIpzA8GOIiMa/1F+MqImOpmNw==" saltValue="Zdsc1JW8W6eh7xHUMlNmXw==" spinCount="100000" sheet="1" selectLockedCells="1"/>
  <mergeCells count="181">
    <mergeCell ref="C166:J166"/>
    <mergeCell ref="N164:N165"/>
    <mergeCell ref="N166:N167"/>
    <mergeCell ref="Q122:T123"/>
    <mergeCell ref="N144:N146"/>
    <mergeCell ref="N150:N151"/>
    <mergeCell ref="N155:N159"/>
    <mergeCell ref="N160:N163"/>
    <mergeCell ref="N153:N154"/>
    <mergeCell ref="Q160:S161"/>
    <mergeCell ref="N148:N149"/>
    <mergeCell ref="Q148:T149"/>
    <mergeCell ref="N147:P147"/>
    <mergeCell ref="Q152:T152"/>
    <mergeCell ref="C164:J164"/>
    <mergeCell ref="N2:T2"/>
    <mergeCell ref="N100:N109"/>
    <mergeCell ref="N110:N114"/>
    <mergeCell ref="N115:N121"/>
    <mergeCell ref="N123:N130"/>
    <mergeCell ref="N131:N143"/>
    <mergeCell ref="Q132:R133"/>
    <mergeCell ref="N6:N8"/>
    <mergeCell ref="R33:T33"/>
    <mergeCell ref="N32:P32"/>
    <mergeCell ref="N38:N41"/>
    <mergeCell ref="N42:N44"/>
    <mergeCell ref="N59:N67"/>
    <mergeCell ref="N90:N93"/>
    <mergeCell ref="N45:N46"/>
    <mergeCell ref="L70:Y70"/>
    <mergeCell ref="N34:N37"/>
    <mergeCell ref="O135:R137"/>
    <mergeCell ref="N30:N31"/>
    <mergeCell ref="N9:N24"/>
    <mergeCell ref="Q9:S10"/>
    <mergeCell ref="Q65:T65"/>
    <mergeCell ref="O103:R104"/>
    <mergeCell ref="N94:N99"/>
    <mergeCell ref="A1:K1"/>
    <mergeCell ref="G74:H74"/>
    <mergeCell ref="G59:H59"/>
    <mergeCell ref="G58:H58"/>
    <mergeCell ref="G73:H73"/>
    <mergeCell ref="D68:J68"/>
    <mergeCell ref="G70:H70"/>
    <mergeCell ref="C35:K35"/>
    <mergeCell ref="C26:K26"/>
    <mergeCell ref="B30:J30"/>
    <mergeCell ref="J71:J75"/>
    <mergeCell ref="B3:J3"/>
    <mergeCell ref="G75:H75"/>
    <mergeCell ref="G65:H65"/>
    <mergeCell ref="G71:H71"/>
    <mergeCell ref="G49:H49"/>
    <mergeCell ref="C4:K4"/>
    <mergeCell ref="B28:J28"/>
    <mergeCell ref="G61:H61"/>
    <mergeCell ref="B6:J6"/>
    <mergeCell ref="G55:H55"/>
    <mergeCell ref="J50:J58"/>
    <mergeCell ref="G56:H56"/>
    <mergeCell ref="G51:H51"/>
    <mergeCell ref="J107:J109"/>
    <mergeCell ref="F143:K143"/>
    <mergeCell ref="J110:J114"/>
    <mergeCell ref="C161:K161"/>
    <mergeCell ref="B162:J162"/>
    <mergeCell ref="F103:G104"/>
    <mergeCell ref="J115:J121"/>
    <mergeCell ref="H119:I119"/>
    <mergeCell ref="F112:G112"/>
    <mergeCell ref="F116:G116"/>
    <mergeCell ref="F130:K130"/>
    <mergeCell ref="D125:K125"/>
    <mergeCell ref="D126:K126"/>
    <mergeCell ref="D127:K127"/>
    <mergeCell ref="H120:I120"/>
    <mergeCell ref="H114:I114"/>
    <mergeCell ref="F115:G115"/>
    <mergeCell ref="H115:I115"/>
    <mergeCell ref="H121:I121"/>
    <mergeCell ref="H123:I123"/>
    <mergeCell ref="F120:G120"/>
    <mergeCell ref="F121:G121"/>
    <mergeCell ref="F107:G107"/>
    <mergeCell ref="H106:I106"/>
    <mergeCell ref="F119:G119"/>
    <mergeCell ref="B160:J160"/>
    <mergeCell ref="B152:K152"/>
    <mergeCell ref="B148:J148"/>
    <mergeCell ref="B158:K158"/>
    <mergeCell ref="B150:J150"/>
    <mergeCell ref="I145:K145"/>
    <mergeCell ref="F123:G123"/>
    <mergeCell ref="B144:G144"/>
    <mergeCell ref="B153:K153"/>
    <mergeCell ref="D128:K128"/>
    <mergeCell ref="D129:K129"/>
    <mergeCell ref="H122:I122"/>
    <mergeCell ref="F122:G122"/>
    <mergeCell ref="B151:K151"/>
    <mergeCell ref="F117:G117"/>
    <mergeCell ref="H108:I108"/>
    <mergeCell ref="H118:I118"/>
    <mergeCell ref="H111:I111"/>
    <mergeCell ref="H103:I104"/>
    <mergeCell ref="F108:G108"/>
    <mergeCell ref="H105:I105"/>
    <mergeCell ref="F111:G111"/>
    <mergeCell ref="H109:I109"/>
    <mergeCell ref="H116:I116"/>
    <mergeCell ref="H112:I112"/>
    <mergeCell ref="F114:G114"/>
    <mergeCell ref="H117:I117"/>
    <mergeCell ref="F118:G118"/>
    <mergeCell ref="H110:I110"/>
    <mergeCell ref="F113:G113"/>
    <mergeCell ref="F109:G109"/>
    <mergeCell ref="F105:G105"/>
    <mergeCell ref="F106:G106"/>
    <mergeCell ref="H107:I107"/>
    <mergeCell ref="F110:G110"/>
    <mergeCell ref="H113:I113"/>
    <mergeCell ref="G66:H66"/>
    <mergeCell ref="G78:H78"/>
    <mergeCell ref="G63:H63"/>
    <mergeCell ref="G53:H53"/>
    <mergeCell ref="G52:H52"/>
    <mergeCell ref="G76:H76"/>
    <mergeCell ref="G64:H64"/>
    <mergeCell ref="G62:H62"/>
    <mergeCell ref="G60:H60"/>
    <mergeCell ref="B100:J100"/>
    <mergeCell ref="J103:J104"/>
    <mergeCell ref="C15:K15"/>
    <mergeCell ref="C16:J16"/>
    <mergeCell ref="C18:J18"/>
    <mergeCell ref="J34:K34"/>
    <mergeCell ref="C43:K43"/>
    <mergeCell ref="G50:H50"/>
    <mergeCell ref="D23:K23"/>
    <mergeCell ref="J21:K21"/>
    <mergeCell ref="B25:J25"/>
    <mergeCell ref="C38:K38"/>
    <mergeCell ref="C40:K40"/>
    <mergeCell ref="C94:K94"/>
    <mergeCell ref="D95:K95"/>
    <mergeCell ref="D96:K96"/>
    <mergeCell ref="D97:K97"/>
    <mergeCell ref="D98:K98"/>
    <mergeCell ref="G80:H80"/>
    <mergeCell ref="G82:H82"/>
    <mergeCell ref="G81:H81"/>
    <mergeCell ref="G83:H83"/>
    <mergeCell ref="E92:J92"/>
    <mergeCell ref="D90:J90"/>
    <mergeCell ref="P75:T77"/>
    <mergeCell ref="Q84:T84"/>
    <mergeCell ref="N3:N5"/>
    <mergeCell ref="N28:N29"/>
    <mergeCell ref="N25:N27"/>
    <mergeCell ref="L49:V49"/>
    <mergeCell ref="Q47:T47"/>
    <mergeCell ref="Q66:T67"/>
    <mergeCell ref="D88:K88"/>
    <mergeCell ref="G84:H84"/>
    <mergeCell ref="G85:H85"/>
    <mergeCell ref="C7:J7"/>
    <mergeCell ref="C19:K19"/>
    <mergeCell ref="D50:E61"/>
    <mergeCell ref="D47:K47"/>
    <mergeCell ref="C10:J10"/>
    <mergeCell ref="C12:J12"/>
    <mergeCell ref="C13:K13"/>
    <mergeCell ref="N71:N89"/>
    <mergeCell ref="G77:H77"/>
    <mergeCell ref="G79:H79"/>
    <mergeCell ref="G72:H72"/>
    <mergeCell ref="G57:H57"/>
    <mergeCell ref="G54:H54"/>
  </mergeCells>
  <conditionalFormatting sqref="A3:K5">
    <cfRule type="expression" dxfId="666" priority="12243">
      <formula>$N$3=0</formula>
    </cfRule>
  </conditionalFormatting>
  <conditionalFormatting sqref="A6:K8">
    <cfRule type="expression" dxfId="665" priority="12213">
      <formula>$N$6=0</formula>
    </cfRule>
  </conditionalFormatting>
  <conditionalFormatting sqref="A9:K24">
    <cfRule type="expression" dxfId="664" priority="94">
      <formula>$N$9=0</formula>
    </cfRule>
  </conditionalFormatting>
  <conditionalFormatting sqref="A25:K26">
    <cfRule type="expression" dxfId="663" priority="248">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cfRule type="expression" dxfId="662" priority="254">
      <formula>$N$25=0</formula>
    </cfRule>
  </conditionalFormatting>
  <conditionalFormatting sqref="A28:K28">
    <cfRule type="expression" dxfId="661" priority="353">
      <formula>AND(Development_Category&lt;&gt;"Rehabilitation",Development_Category&lt;&gt;"Acquisition and Rehabilitation")</formula>
    </cfRule>
  </conditionalFormatting>
  <conditionalFormatting sqref="A28:K29">
    <cfRule type="expression" dxfId="660" priority="12311">
      <formula>$N$28=0</formula>
    </cfRule>
  </conditionalFormatting>
  <conditionalFormatting sqref="A30:K31">
    <cfRule type="expression" dxfId="659" priority="12341">
      <formula>$N$30=0</formula>
    </cfRule>
  </conditionalFormatting>
  <conditionalFormatting sqref="A45:K46">
    <cfRule type="expression" dxfId="658" priority="267">
      <formula>RIGHT(Excel_RFA_Number,3)="104"</formula>
    </cfRule>
  </conditionalFormatting>
  <conditionalFormatting sqref="A94:K94 A95:D98 A99:K99">
    <cfRule type="expression" dxfId="657" priority="27">
      <formula>$N$94=0</formula>
    </cfRule>
  </conditionalFormatting>
  <conditionalFormatting sqref="A95:K98">
    <cfRule type="expression" dxfId="656" priority="22">
      <formula>$O95=0</formula>
    </cfRule>
  </conditionalFormatting>
  <conditionalFormatting sqref="A131:K143">
    <cfRule type="expression" dxfId="655" priority="442">
      <formula>$N$131=0</formula>
    </cfRule>
  </conditionalFormatting>
  <conditionalFormatting sqref="A152:K152">
    <cfRule type="expression" dxfId="654" priority="12957">
      <formula>$N152=0</formula>
    </cfRule>
  </conditionalFormatting>
  <conditionalFormatting sqref="A153:K154">
    <cfRule type="expression" dxfId="653" priority="13077">
      <formula>$N$153=0</formula>
    </cfRule>
  </conditionalFormatting>
  <conditionalFormatting sqref="A155:K159">
    <cfRule type="expression" dxfId="652" priority="12987">
      <formula>$N$155=0</formula>
    </cfRule>
  </conditionalFormatting>
  <conditionalFormatting sqref="A160:K163">
    <cfRule type="expression" dxfId="651" priority="13017">
      <formula>$N$160=0</formula>
    </cfRule>
  </conditionalFormatting>
  <conditionalFormatting sqref="A164:K165">
    <cfRule type="expression" dxfId="650" priority="13047">
      <formula>$N$164=0</formula>
    </cfRule>
  </conditionalFormatting>
  <conditionalFormatting sqref="A166:K167">
    <cfRule type="expression" dxfId="649" priority="4">
      <formula>$N$166=0</formula>
    </cfRule>
  </conditionalFormatting>
  <conditionalFormatting sqref="B6">
    <cfRule type="expression" dxfId="648" priority="72">
      <formula>OR(IFERROR(FIND("validation",$B6),0)&gt;0,IFERROR(FIND("cannot",$B6),0)&gt;0,IFERROR(FIND("NOT met",$B6),0)&gt;0)</formula>
    </cfRule>
    <cfRule type="expression" dxfId="647" priority="73">
      <formula>OR(IFERROR(FIND("Attention",$B6),0)&gt;0,IFERROR(FIND("NOT met",$B6),0)&gt;0,IFERROR(FIND("do not",$B6),0)&gt;0)</formula>
    </cfRule>
  </conditionalFormatting>
  <conditionalFormatting sqref="B78:J82">
    <cfRule type="expression" dxfId="646" priority="14006">
      <formula>$P$65=1</formula>
    </cfRule>
    <cfRule type="expression" dxfId="645" priority="12770">
      <formula>$O78=0</formula>
    </cfRule>
  </conditionalFormatting>
  <conditionalFormatting sqref="B164:J164">
    <cfRule type="expression" dxfId="644" priority="2361">
      <formula>Self_Sourced_Applicant&lt;&gt;"Yes"</formula>
    </cfRule>
  </conditionalFormatting>
  <conditionalFormatting sqref="B166:J166">
    <cfRule type="expression" dxfId="643" priority="3">
      <formula>Self_Sourced_Applicant&lt;&gt;"Yes"</formula>
    </cfRule>
  </conditionalFormatting>
  <conditionalFormatting sqref="B33:K33">
    <cfRule type="expression" dxfId="641" priority="12399">
      <formula>AND($N$33=0,RIGHT(Excel_RFA_Number,3)&lt;&gt;"104")</formula>
    </cfRule>
  </conditionalFormatting>
  <conditionalFormatting sqref="B34:K37">
    <cfRule type="expression" dxfId="640" priority="12398">
      <formula>$N$33=1</formula>
    </cfRule>
  </conditionalFormatting>
  <conditionalFormatting sqref="B38:K41">
    <cfRule type="expression" dxfId="639" priority="12429">
      <formula>$N$38=0</formula>
    </cfRule>
  </conditionalFormatting>
  <conditionalFormatting sqref="B42:K44">
    <cfRule type="expression" dxfId="638" priority="12459">
      <formula>$N$42=0</formula>
    </cfRule>
  </conditionalFormatting>
  <conditionalFormatting sqref="B45:K46">
    <cfRule type="expression" dxfId="637" priority="16661">
      <formula>AND($N$47=0,$N$68=0,$N$90=0,#REF!=0)</formula>
    </cfRule>
  </conditionalFormatting>
  <conditionalFormatting sqref="B47:K67">
    <cfRule type="expression" dxfId="636" priority="129">
      <formula>$N$47=0</formula>
    </cfRule>
  </conditionalFormatting>
  <conditionalFormatting sqref="B68:K89">
    <cfRule type="expression" dxfId="635" priority="227">
      <formula>$N$68=0</formula>
    </cfRule>
  </conditionalFormatting>
  <conditionalFormatting sqref="B90:K93">
    <cfRule type="expression" dxfId="634" priority="12589">
      <formula>$N$90=0</formula>
    </cfRule>
  </conditionalFormatting>
  <conditionalFormatting sqref="B150:K150 B151">
    <cfRule type="expression" dxfId="633" priority="12927">
      <formula>$N$150=0</formula>
    </cfRule>
  </conditionalFormatting>
  <conditionalFormatting sqref="B151:K151">
    <cfRule type="cellIs" dxfId="632" priority="1" operator="notEqual">
      <formula>""</formula>
    </cfRule>
  </conditionalFormatting>
  <conditionalFormatting sqref="C4:C5 C8">
    <cfRule type="expression" dxfId="631" priority="117">
      <formula>OR(IFERROR(FIND("Attention",$C4),0)&gt;0,IFERROR(FIND("NOT met",$C4),0)&gt;0,IFERROR(FIND("do not",$C4),0)&gt;0)</formula>
    </cfRule>
  </conditionalFormatting>
  <conditionalFormatting sqref="C7">
    <cfRule type="expression" dxfId="630" priority="78">
      <formula>OR(IFERROR(FIND("validation",#REF!),0)&gt;0,IFERROR(FIND("cannot",#REF!),0)&gt;0,IFERROR(FIND("NOT met",#REF!),0)&gt;0)</formula>
    </cfRule>
    <cfRule type="expression" dxfId="629" priority="77">
      <formula>OR(IFERROR(FIND("Attention",#REF!),0)&gt;0,IFERROR(FIND("NOT met",#REF!),0)&gt;0,IFERROR(FIND("do not",#REF!),0)&gt;0)</formula>
    </cfRule>
    <cfRule type="expression" dxfId="628" priority="74">
      <formula>$K$6&lt;IF(County_Size="Small",240,IF(County_Size="Medium",320,IF(County_Size="Large",400,0)))</formula>
    </cfRule>
  </conditionalFormatting>
  <conditionalFormatting sqref="C167:J167">
    <cfRule type="expression" dxfId="625" priority="2">
      <formula>$C$167&lt;&gt;""</formula>
    </cfRule>
  </conditionalFormatting>
  <conditionalFormatting sqref="C4:K5 C8:K8">
    <cfRule type="expression" dxfId="624" priority="123">
      <formula>OR(IFERROR(FIND("validation",$C4),0)&gt;0,IFERROR(FIND("cannot",$C4),0)&gt;0,IFERROR(FIND("NOT met",$C4),0)&gt;0)</formula>
    </cfRule>
  </conditionalFormatting>
  <conditionalFormatting sqref="C13:K13 C19:K19">
    <cfRule type="expression" dxfId="621" priority="97">
      <formula>OR(IFERROR(FIND("must have an entry",$C13),0)&gt;0,IFERROR(FIND("cannot",$C13),0)&gt;0)</formula>
    </cfRule>
  </conditionalFormatting>
  <conditionalFormatting sqref="C26:K26 C35:K35 C43:K43">
    <cfRule type="cellIs" dxfId="620" priority="259" operator="notEqual">
      <formula>"&lt;select one&gt;"</formula>
    </cfRule>
  </conditionalFormatting>
  <conditionalFormatting sqref="C26:K26 C35:K35">
    <cfRule type="cellIs" dxfId="619" priority="258" operator="equal">
      <formula>""</formula>
    </cfRule>
  </conditionalFormatting>
  <conditionalFormatting sqref="C26:K26">
    <cfRule type="expression" dxfId="618" priority="253">
      <formula>AND(Development_Category&lt;&gt;"Rehabilitation",Development_Category&lt;&gt;"Acquisition and Rehabilitation",Development_Category&lt;&gt;"Preservation",Development_Category&lt;&gt;"Acquisition and Preservation",Development_Category&lt;&gt;"&lt;select one&gt;")</formula>
    </cfRule>
    <cfRule type="expression" dxfId="617" priority="255"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7:K67">
    <cfRule type="expression" dxfId="616" priority="14005">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68:K88">
    <cfRule type="expression" dxfId="615" priority="16631">
      <formula>OR(AND($C$35&lt;&gt;"&lt;select one&gt;",$C$35&lt;&gt;"Average Income Test",$C$35&lt;&gt;DS_FHFC_NonHC),AND($C$35=DS_FHFC_NonHC,DS_FHFC_NonHC_Table&lt;&gt;"AIT"))</formula>
    </cfRule>
  </conditionalFormatting>
  <conditionalFormatting sqref="C90:K92">
    <cfRule type="expression" dxfId="614" priority="327">
      <formula>Minimum_SetAside_per_Sec_42=DS_FHFC_NonHC</formula>
    </cfRule>
  </conditionalFormatting>
  <conditionalFormatting sqref="C161:K161">
    <cfRule type="cellIs" dxfId="613" priority="2206" operator="notEqual">
      <formula>""</formula>
    </cfRule>
  </conditionalFormatting>
  <conditionalFormatting sqref="D125">
    <cfRule type="expression" dxfId="612" priority="405">
      <formula>IFERROR(FIND("Attention",$D$125),0)&gt;0</formula>
    </cfRule>
  </conditionalFormatting>
  <conditionalFormatting sqref="D126:D129">
    <cfRule type="expression" dxfId="611" priority="421">
      <formula>IFERROR(FIND("NOT",$D126),0)&gt;0</formula>
    </cfRule>
    <cfRule type="cellIs" dxfId="610" priority="287" operator="equal">
      <formula>"This area intentionally left blank."</formula>
    </cfRule>
  </conditionalFormatting>
  <conditionalFormatting sqref="F58 I58">
    <cfRule type="expression" dxfId="609" priority="282">
      <formula>LEFT($C$35,3)="20%"</formula>
    </cfRule>
  </conditionalFormatting>
  <conditionalFormatting sqref="F59:F63">
    <cfRule type="expression" dxfId="608" priority="234">
      <formula>AND($J59="NA",N(F59)=0)</formula>
    </cfRule>
  </conditionalFormatting>
  <conditionalFormatting sqref="F64">
    <cfRule type="cellIs" dxfId="607" priority="204" operator="lessThan">
      <formula>0</formula>
    </cfRule>
  </conditionalFormatting>
  <conditionalFormatting sqref="F65:F66">
    <cfRule type="cellIs" dxfId="606" priority="203" operator="greaterThan">
      <formula>Total_Units</formula>
    </cfRule>
  </conditionalFormatting>
  <conditionalFormatting sqref="F71:F82">
    <cfRule type="expression" dxfId="605" priority="16630">
      <formula>OR(AND($C$35&lt;&gt;"&lt;select one&gt;",$C$35&lt;&gt;"Average Income Test",$C$35&lt;&gt;DS_FHFC_NonHC),AND($C$35=DS_FHFC_NonHC,DS_FHFC_NonHC_Table&lt;&gt;"AIT"))</formula>
    </cfRule>
  </conditionalFormatting>
  <conditionalFormatting sqref="F84">
    <cfRule type="cellIs" dxfId="604" priority="63" operator="greaterThan">
      <formula>Total_Units</formula>
    </cfRule>
  </conditionalFormatting>
  <conditionalFormatting sqref="F50:I58">
    <cfRule type="expression" dxfId="602" priority="284">
      <formula>AND($C$35&lt;&gt;"&lt;select one&gt;",OR($C$35="Average Income Test",AND($C$35=DS_FHFC_NonHC,DS_FHFC_NonHC_Table&lt;&gt;"Non-AIT")),OR(IF(RIGHT(Excel_RFA_Number,3)="215",$C$35=DS_FHFC_NonHC,TRUE),IF(RIGHT(Excel_RFA_Number,3)="216",$C$35&lt;&gt;DS_FHFC_NonHC,TRUE)),$I53&lt;VLOOKUP(County,DS_CountyData,14))</formula>
    </cfRule>
  </conditionalFormatting>
  <conditionalFormatting sqref="F110:I114">
    <cfRule type="expression" dxfId="601" priority="375">
      <formula>$O110=0</formula>
    </cfRule>
  </conditionalFormatting>
  <conditionalFormatting sqref="F115:I116">
    <cfRule type="expression" dxfId="600" priority="382">
      <formula>$O115=0</formula>
    </cfRule>
  </conditionalFormatting>
  <conditionalFormatting sqref="F59:J63">
    <cfRule type="expression" dxfId="599" priority="16634">
      <formula>$P$65=1</formula>
    </cfRule>
    <cfRule type="expression" dxfId="598" priority="16633">
      <formula>$J59="NA"</formula>
    </cfRule>
  </conditionalFormatting>
  <conditionalFormatting sqref="F110:J114">
    <cfRule type="expression" dxfId="597" priority="12803">
      <formula>$N$110=0</formula>
    </cfRule>
  </conditionalFormatting>
  <conditionalFormatting sqref="F115:J121">
    <cfRule type="expression" dxfId="596" priority="12833">
      <formula>$N$115=0</formula>
    </cfRule>
  </conditionalFormatting>
  <conditionalFormatting sqref="F122:J122">
    <cfRule type="expression" dxfId="595" priority="15">
      <formula>$N$122=0</formula>
    </cfRule>
  </conditionalFormatting>
  <conditionalFormatting sqref="F59:K64">
    <cfRule type="expression" dxfId="594" priority="12522">
      <formula>$O59=0</formula>
    </cfRule>
  </conditionalFormatting>
  <conditionalFormatting sqref="F140:K140">
    <cfRule type="expression" dxfId="593" priority="12896">
      <formula>$O140=0</formula>
    </cfRule>
  </conditionalFormatting>
  <conditionalFormatting sqref="G50:H58">
    <cfRule type="expression" dxfId="592" priority="128">
      <formula>OR($C$35="Average Income Test",AND(RIGHT(Excel_RFA_Number,3)="215",$C$35=DS_FHFC_NonHC,DS_FHFC_NonHC_Table&lt;&gt;"Non-AIT"))</formula>
    </cfRule>
  </conditionalFormatting>
  <conditionalFormatting sqref="G58:H58">
    <cfRule type="expression" dxfId="591" priority="276">
      <formula>AND(Minimum_SetAside_per_Sec_42=DS_IRS_2050,N($G58)&gt;0)</formula>
    </cfRule>
    <cfRule type="expression" dxfId="590" priority="272">
      <formula>AND(Minimum_SetAside_per_Sec_42=DS_IRS_2050,N(G58)=0)</formula>
    </cfRule>
  </conditionalFormatting>
  <conditionalFormatting sqref="G75:I75">
    <cfRule type="expression" dxfId="589" priority="16629">
      <formula>$P$65=1</formula>
    </cfRule>
  </conditionalFormatting>
  <conditionalFormatting sqref="H105:I106">
    <cfRule type="expression" dxfId="588" priority="373">
      <formula>AND(LEFT(RIGHT($L105,28),3)="NOT",$H105&gt;0)</formula>
    </cfRule>
  </conditionalFormatting>
  <conditionalFormatting sqref="H105:I121 G53:H63 G50:H51 G52 K28 F71:F82 H122 H145 K160">
    <cfRule type="cellIs" dxfId="587" priority="12624" operator="notEqual">
      <formula>""</formula>
    </cfRule>
  </conditionalFormatting>
  <conditionalFormatting sqref="H110:I111 H115:I116 H122:I122">
    <cfRule type="expression" dxfId="586" priority="17">
      <formula>$O110=0</formula>
    </cfRule>
  </conditionalFormatting>
  <conditionalFormatting sqref="H110:I111 H115:I116">
    <cfRule type="expression" dxfId="585" priority="376">
      <formula>AND(N($H110)&gt;0,$O110=0)</formula>
    </cfRule>
  </conditionalFormatting>
  <conditionalFormatting sqref="H110:I121">
    <cfRule type="expression" dxfId="584" priority="380">
      <formula>AND(LEFT(RIGHT($D$129,28),3)="NOT",$H110&gt;0)</formula>
    </cfRule>
  </conditionalFormatting>
  <conditionalFormatting sqref="H123:I123">
    <cfRule type="cellIs" dxfId="583" priority="395" operator="notEqual">
      <formula>Total_Units</formula>
    </cfRule>
  </conditionalFormatting>
  <conditionalFormatting sqref="H132:I132">
    <cfRule type="expression" dxfId="582" priority="133">
      <formula>LEN(TEXT(H132,"@"))=6</formula>
    </cfRule>
    <cfRule type="expression" dxfId="581" priority="132">
      <formula>LEN(TEXT(H132,"@"))&gt;6</formula>
    </cfRule>
    <cfRule type="expression" dxfId="580" priority="134">
      <formula>LEN(TEXT(H132,"@"))=5</formula>
    </cfRule>
    <cfRule type="expression" dxfId="579" priority="135">
      <formula>LEN(TEXT(H132,"@"))=4</formula>
    </cfRule>
  </conditionalFormatting>
  <conditionalFormatting sqref="I133:I142">
    <cfRule type="expression" dxfId="576" priority="428">
      <formula>$I$132=0</formula>
    </cfRule>
  </conditionalFormatting>
  <conditionalFormatting sqref="I132:K142">
    <cfRule type="expression" dxfId="575" priority="18">
      <formula>$I$132=0</formula>
    </cfRule>
  </conditionalFormatting>
  <conditionalFormatting sqref="J71:J75">
    <cfRule type="expression" dxfId="574" priority="242">
      <formula>RIGHT(Excel_RFA_Number,3)="215"</formula>
    </cfRule>
  </conditionalFormatting>
  <conditionalFormatting sqref="J76">
    <cfRule type="expression" dxfId="573" priority="16628">
      <formula>AND($P$65=2,RIGHT(Excel_RFA_Number,3)&lt;&gt;"215",NOT(AND(Minimum_SetAside_per_Sec_42=DS_FHFC_NonHC,DS_FHFC_NonHC_Table="AIT")))</formula>
    </cfRule>
    <cfRule type="expression" dxfId="572" priority="16">
      <formula>AND($P$65=2,RIGHT(Excel_RFA_Number,3)&lt;&gt;"215",AND(Minimum_SetAside_per_Sec_42=DS_FHFC_NonHC,DS_FHFC_NonHC_Table="AIT"))</formula>
    </cfRule>
  </conditionalFormatting>
  <conditionalFormatting sqref="J76:J77">
    <cfRule type="expression" dxfId="571" priority="16627">
      <formula>OR($P$65=1,$P$65=3)</formula>
    </cfRule>
  </conditionalFormatting>
  <conditionalFormatting sqref="J103:J123">
    <cfRule type="expression" dxfId="570" priority="12897">
      <formula>$N$131=0</formula>
    </cfRule>
  </conditionalFormatting>
  <conditionalFormatting sqref="J123">
    <cfRule type="cellIs" dxfId="569" priority="399" operator="notEqual">
      <formula>$H$142</formula>
    </cfRule>
  </conditionalFormatting>
  <conditionalFormatting sqref="J133:K142">
    <cfRule type="expression" dxfId="568" priority="440">
      <formula>$I$132=0</formula>
    </cfRule>
  </conditionalFormatting>
  <conditionalFormatting sqref="K6">
    <cfRule type="expression" dxfId="567" priority="12211">
      <formula>AND($N$6&gt;0,$K$6&lt;IF(County_Size="Small",240,IF(County_Size="Medium",320,IF(County_Size="Large",400,0))))</formula>
    </cfRule>
    <cfRule type="cellIs" dxfId="566" priority="12212" operator="notEqual">
      <formula>""</formula>
    </cfRule>
    <cfRule type="expression" dxfId="565" priority="82">
      <formula>OR(IFERROR(FIND("validation",$C6),0)&gt;0,IFERROR(FIND("cannot",$C6),0)&gt;0,IFERROR(FIND("NOT met",$C6),0)&gt;0)</formula>
    </cfRule>
  </conditionalFormatting>
  <conditionalFormatting sqref="K10 K12 K16 K18 K3">
    <cfRule type="cellIs" dxfId="564" priority="12181" operator="notEqual">
      <formula>""</formula>
    </cfRule>
  </conditionalFormatting>
  <conditionalFormatting sqref="K49:K66">
    <cfRule type="expression" dxfId="559" priority="30">
      <formula>$D$50=""</formula>
    </cfRule>
  </conditionalFormatting>
  <conditionalFormatting sqref="K66 G66:H66">
    <cfRule type="cellIs" dxfId="558" priority="186" operator="greaterThan">
      <formula>1</formula>
    </cfRule>
  </conditionalFormatting>
  <conditionalFormatting sqref="K78:K82">
    <cfRule type="expression" dxfId="556" priority="12769">
      <formula>OR($P$65=1,$O78=0)</formula>
    </cfRule>
  </conditionalFormatting>
  <conditionalFormatting sqref="K92">
    <cfRule type="cellIs" dxfId="555" priority="52" operator="notEqual">
      <formula>"&lt;select one&gt;"</formula>
    </cfRule>
  </conditionalFormatting>
  <conditionalFormatting sqref="K150">
    <cfRule type="cellIs" dxfId="554" priority="70" operator="notEqual">
      <formula>"&lt;select one&gt;"</formula>
    </cfRule>
  </conditionalFormatting>
  <conditionalFormatting sqref="K164">
    <cfRule type="cellIs" dxfId="553" priority="4376" operator="notEqual">
      <formula>"&lt;select one&gt;"</formula>
    </cfRule>
    <cfRule type="cellIs" dxfId="552" priority="2485" operator="equal">
      <formula>""</formula>
    </cfRule>
    <cfRule type="expression" dxfId="551" priority="2461">
      <formula>AND(Self_Sourced_Applicant&lt;&gt;"Yes",$K$164="&lt;select one&gt;")</formula>
    </cfRule>
    <cfRule type="expression" dxfId="550" priority="2372">
      <formula>AND(Self_Sourced_Applicant&lt;&gt;"Yes",$K$164&lt;&gt;"&lt;select one&gt;")</formula>
    </cfRule>
  </conditionalFormatting>
  <conditionalFormatting sqref="K166">
    <cfRule type="expression" dxfId="549" priority="10">
      <formula>AND(Self_Sourced_Applicant&lt;&gt;"Yes",$K$164&lt;&gt;"&lt;select one&gt;")</formula>
    </cfRule>
    <cfRule type="expression" dxfId="548" priority="11">
      <formula>AND(Self_Sourced_Applicant&lt;&gt;"Yes",$K$164="&lt;select one&gt;")</formula>
    </cfRule>
    <cfRule type="cellIs" dxfId="547" priority="13" operator="notEqual">
      <formula>"&lt;select one&gt;"</formula>
    </cfRule>
    <cfRule type="cellIs" dxfId="546" priority="12" operator="equal">
      <formula>""</formula>
    </cfRule>
  </conditionalFormatting>
  <conditionalFormatting sqref="L70:M70">
    <cfRule type="expression" dxfId="545" priority="300">
      <formula>AND(Minimum_SetAside_per_Sec_42="Average Income Test",$F85&gt;0)</formula>
    </cfRule>
    <cfRule type="expression" dxfId="544" priority="278">
      <formula>AND(Minimum_SetAside_per_Sec_42&lt;&gt;"&lt;select one&gt;",Minimum_SetAside_per_Sec_42&lt;&gt;"",Minimum_SetAside_per_Sec_42&lt;&gt;"Average Income Test",$F85&gt;0)</formula>
    </cfRule>
  </conditionalFormatting>
  <conditionalFormatting sqref="L104:M104">
    <cfRule type="expression" dxfId="543" priority="323">
      <formula>LEFT(RIGHT(L104,28),3)="NOT"</formula>
    </cfRule>
  </conditionalFormatting>
  <conditionalFormatting sqref="N3 N6 N25 N28 N30 N33 N38 N42 N47 O59:O64 N68 O78:O82 N90 N110 O112:O114 N115 N131 N144 N148 N150 N152 N155 N160 N164">
    <cfRule type="cellIs" dxfId="542" priority="48" operator="equal">
      <formula>0</formula>
    </cfRule>
  </conditionalFormatting>
  <conditionalFormatting sqref="N69">
    <cfRule type="expression" dxfId="541" priority="268">
      <formula>N68=0</formula>
    </cfRule>
  </conditionalFormatting>
  <conditionalFormatting sqref="N166">
    <cfRule type="cellIs" dxfId="540" priority="8" operator="equal">
      <formula>0</formula>
    </cfRule>
  </conditionalFormatting>
  <conditionalFormatting sqref="O95:O98 N122 O140">
    <cfRule type="cellIs" dxfId="537" priority="40" operator="equal">
      <formula>0</formula>
    </cfRule>
  </conditionalFormatting>
  <conditionalFormatting sqref="Q152:T152">
    <cfRule type="expression" dxfId="536" priority="28">
      <formula>OR(AND(DS_Gap1_YN="Yes",$N$152=0),AND(DS_Gap1_YN="No",$N$152=1))</formula>
    </cfRule>
  </conditionalFormatting>
  <dataValidations count="8">
    <dataValidation type="list" allowBlank="1" showInputMessage="1" showErrorMessage="1" sqref="C35:K35"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164 K166"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3:K43" xr:uid="{11776F50-DF55-4241-A3BB-44CED57469BB}">
      <formula1>DS_FF_DDMenu</formula1>
    </dataValidation>
    <dataValidation type="custom" allowBlank="1" showInputMessage="1" showErrorMessage="1" sqref="N3 N6" xr:uid="{6820A971-87C7-4FF1-BBF3-D6E698143CD5}">
      <formula1>AND(N3&gt;=0,N3&lt;4,N3=ROUND(N3,0))</formula1>
    </dataValidation>
    <dataValidation type="list" allowBlank="1" showInputMessage="1" showErrorMessage="1" sqref="K150" xr:uid="{6D8AA849-3048-403C-92D9-302565F4DD74}">
      <formula1>"&lt;select one&gt;,Yes,No"</formula1>
    </dataValidation>
    <dataValidation type="list" allowBlank="1" showInputMessage="1" showErrorMessage="1" sqref="K92" xr:uid="{289DAED4-0DCD-4F9D-BB30-94C0647703A9}">
      <formula1>"&lt;select one&gt;, 40% @ 60%, 20% @ 50%, AIT"</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0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115" id="{ECA75AC1-A55C-4AD0-AE16-4EEE2EB02E57}">
            <xm:f>Link_Classification&lt;&gt;Data1!$A$16</xm:f>
            <x14:dxf>
              <font>
                <color theme="0"/>
              </font>
              <fill>
                <patternFill patternType="none">
                  <bgColor auto="1"/>
                </patternFill>
              </fill>
            </x14:dxf>
          </x14:cfRule>
          <x14:cfRule type="expression" priority="98"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106"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107" id="{00000000-000E-0000-0A00-00003C000000}">
            <xm:f>Link_Classification&lt;&gt;Data1!$A$16</xm:f>
            <x14:dxf>
              <font>
                <color theme="0" tint="-0.34998626667073579"/>
              </font>
            </x14:dxf>
          </x14:cfRule>
          <xm:sqref>C10:K19</xm:sqref>
        </x14:conditionalFormatting>
        <x14:conditionalFormatting xmlns:xm="http://schemas.microsoft.com/office/excel/2006/main">
          <x14:cfRule type="expression" priority="306" stopIfTrue="1" id="{00000000-000E-0000-0800-0000E9000000}">
            <xm:f>AND(F85&lt;&gt;Total_Units,F85&gt;0,Total_Units&gt;0,Minimum_SetAside_per_Sec_42="Average Income Test",IF(RIGHT(Excel_RFA_Number,3)="216",Minimum_SetAside_per_Sec_42=Data1!$A$633,TRUE))</xm:f>
            <x14:dxf>
              <font>
                <color rgb="FFC00000"/>
              </font>
              <fill>
                <patternFill>
                  <bgColor rgb="FFFFE6FF"/>
                </patternFill>
              </fill>
            </x14:dxf>
          </x14:cfRule>
          <xm:sqref>F85</xm:sqref>
        </x14:conditionalFormatting>
        <x14:conditionalFormatting xmlns:xm="http://schemas.microsoft.com/office/excel/2006/main">
          <x14:cfRule type="expression" priority="57" id="{00000000-000E-0000-0800-0000C5000000}">
            <xm:f>AND($C$35&lt;&gt;"&lt;select one&gt;",$C$35&lt;&gt;"Average Income Test",AND($C$35=DS_FHFC_NonHC,DS_FHFC_NonHC_Table&lt;&gt;"Non-AIT"),IF(RIGHT(Excel_RFA_Number,3)="216",$C$35&lt;&gt;Data1!$A$633,TRUE),$I50&lt;VLOOKUP(County,DS_CountyData,14))</xm:f>
            <x14:dxf>
              <font>
                <color theme="0" tint="-0.34998626667073579"/>
              </font>
            </x14:dxf>
          </x14:cfRule>
          <xm:sqref>I50:I58</xm:sqref>
        </x14:conditionalFormatting>
        <x14:conditionalFormatting xmlns:xm="http://schemas.microsoft.com/office/excel/2006/main">
          <x14:cfRule type="expression" priority="311" id="{00000000-000E-0000-0800-0000EC000000}">
            <xm:f>AND($C$35="Average Income Test",IF(RIGHT(Excel_RFA_Number,3)="216",Minimum_SetAside_per_Sec_42=Data1!$A$633,TRUE),$I$86&gt;60%)</xm:f>
            <x14:dxf>
              <font>
                <color rgb="FFC00000"/>
              </font>
              <fill>
                <patternFill>
                  <bgColor rgb="FFFFE6FF"/>
                </patternFill>
              </fill>
            </x14:dxf>
          </x14:cfRule>
          <xm:sqref>I86</xm:sqref>
        </x14:conditionalFormatting>
        <x14:conditionalFormatting xmlns:xm="http://schemas.microsoft.com/office/excel/2006/main">
          <x14:cfRule type="expression" priority="10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99"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96"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296" id="{E08ABDEE-2049-4241-BA3B-45390125EE20}">
            <xm:f>SUM(Funding!$M$38:$M$44)=0</xm:f>
            <x14:dxf>
              <font>
                <color theme="0"/>
              </font>
              <border>
                <right/>
                <top/>
                <bottom/>
                <vertical/>
                <horizontal/>
              </border>
            </x14:dxf>
          </x14:cfRule>
          <xm:sqref>K49:K66</xm:sqref>
        </x14:conditionalFormatting>
        <x14:conditionalFormatting xmlns:xm="http://schemas.microsoft.com/office/excel/2006/main">
          <x14:cfRule type="expression" priority="16632" id="{95F1DEBC-E924-473E-B9E5-05F08FF5B987}">
            <xm:f>SUM(Funding!$M$38:$M$44)=0</xm:f>
            <x14:dxf>
              <font>
                <color theme="0"/>
              </font>
              <border>
                <right/>
                <top/>
                <bottom/>
                <vertical/>
                <horizontal/>
              </border>
            </x14:dxf>
          </x14:cfRule>
          <xm:sqref>K70:K83</xm:sqref>
        </x14:conditionalFormatting>
        <x14:conditionalFormatting xmlns:xm="http://schemas.microsoft.com/office/excel/2006/main">
          <x14:cfRule type="expression" priority="7" stopIfTrue="1" id="{E34F5CAB-D6CC-444A-9495-3A638F593537}">
            <xm:f>Data1!$E$900="Yes"</xm:f>
            <x14:dxf>
              <font>
                <color theme="0"/>
              </font>
              <fill>
                <patternFill>
                  <bgColor theme="0"/>
                </patternFill>
              </fill>
              <border>
                <left/>
                <right/>
                <top/>
                <bottom/>
              </border>
            </x14:dxf>
          </x14:cfRule>
          <xm:sqref>N166:Q166</xm:sqref>
        </x14:conditionalFormatting>
        <x14:conditionalFormatting xmlns:xm="http://schemas.microsoft.com/office/excel/2006/main">
          <x14:cfRule type="expression" priority="26" stopIfTrue="1" id="{30A8E0E5-7F50-48D6-8427-DB6EA79808E0}">
            <xm:f>Data1!$E$900="Yes"</xm:f>
            <x14:dxf>
              <font>
                <color theme="0"/>
              </font>
              <fill>
                <patternFill>
                  <bgColor theme="0"/>
                </patternFill>
              </fill>
              <border>
                <left/>
                <right/>
                <top/>
                <bottom/>
              </border>
            </x14:dxf>
          </x14:cfRule>
          <xm:sqref>N3:T164</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OR(Minimum_SetAside_per_Sec_42=Data1!$A$631,Minimum_SetAside_per_Sec_42=Data1!$A$633)</xm:f>
          </x14:formula1>
          <xm:sqref>G58:H58</xm:sqref>
        </x14:dataValidation>
        <x14:dataValidation type="whole" allowBlank="1" showInputMessage="1" showErrorMessage="1" xr:uid="{F7443669-80E7-48DC-A97C-63933B8D4BA4}">
          <x14:formula1>
            <xm:f>Data1!B669</xm:f>
          </x14:formula1>
          <x14:formula2>
            <xm:f>Data1!B670</xm:f>
          </x14:formula2>
          <xm:sqref>K160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tabColor theme="0" tint="-4.9989318521683403E-2"/>
  </sheetPr>
  <dimension ref="A1:V17"/>
  <sheetViews>
    <sheetView showGridLines="0" zoomScale="110" zoomScaleNormal="110" zoomScaleSheetLayoutView="100" workbookViewId="0">
      <pane ySplit="2" topLeftCell="A3" activePane="bottomLeft" state="frozen"/>
      <selection activeCell="P5" sqref="P5"/>
      <selection pane="bottomLeft" activeCell="A2" sqref="A2"/>
    </sheetView>
  </sheetViews>
  <sheetFormatPr defaultColWidth="8.54296875" defaultRowHeight="14.5"/>
  <cols>
    <col min="1" max="1" width="3" customWidth="1"/>
    <col min="2" max="3" width="3.54296875" customWidth="1"/>
    <col min="4" max="4" width="4.453125" customWidth="1"/>
    <col min="13" max="13" width="11.26953125" customWidth="1"/>
    <col min="15" max="15" width="8.453125" customWidth="1"/>
    <col min="16" max="16" width="8.7265625" customWidth="1"/>
    <col min="17" max="17" width="3.54296875" customWidth="1"/>
    <col min="18" max="19" width="3.54296875" hidden="1" customWidth="1"/>
    <col min="20" max="20" width="35.7265625" hidden="1" customWidth="1"/>
    <col min="21" max="22" width="3.54296875" customWidth="1"/>
  </cols>
  <sheetData>
    <row r="1" spans="1:22" ht="36" customHeight="1" thickBot="1">
      <c r="A1" s="2582" t="s">
        <v>1052</v>
      </c>
      <c r="B1" s="2583"/>
      <c r="C1" s="2583"/>
      <c r="D1" s="2583"/>
      <c r="E1" s="2583"/>
      <c r="F1" s="2583"/>
      <c r="G1" s="2583"/>
      <c r="H1" s="2583"/>
      <c r="I1" s="2583"/>
      <c r="J1" s="2583"/>
      <c r="K1" s="2583"/>
      <c r="L1" s="2583"/>
      <c r="M1" s="2583"/>
      <c r="N1" s="2583"/>
      <c r="O1" s="2584"/>
    </row>
    <row r="2" spans="1:22" ht="14.65" customHeight="1">
      <c r="R2" s="2613" t="s">
        <v>845</v>
      </c>
      <c r="S2" s="2614"/>
      <c r="T2" s="2615"/>
    </row>
    <row r="3" spans="1:22" ht="14.65" customHeight="1">
      <c r="A3" s="87" t="s">
        <v>858</v>
      </c>
      <c r="B3" s="87" t="s">
        <v>1053</v>
      </c>
      <c r="C3" s="87"/>
      <c r="D3" s="87"/>
      <c r="R3" s="3443" t="s">
        <v>2737</v>
      </c>
      <c r="S3" s="3444"/>
      <c r="U3" s="332"/>
      <c r="V3" s="332"/>
    </row>
    <row r="4" spans="1:22" ht="16.149999999999999" customHeight="1">
      <c r="B4" s="2544" t="s">
        <v>1054</v>
      </c>
      <c r="C4" s="2544"/>
      <c r="D4" s="2544"/>
      <c r="E4" s="2544"/>
      <c r="F4" s="2544"/>
      <c r="G4" s="2544"/>
      <c r="H4" s="2544"/>
      <c r="I4" s="2544"/>
      <c r="J4" s="2544"/>
      <c r="K4" s="2544"/>
      <c r="L4" s="2544"/>
      <c r="M4" s="2544"/>
      <c r="N4" s="2544"/>
      <c r="O4" s="2544"/>
      <c r="R4" s="3445"/>
      <c r="S4" s="3446"/>
      <c r="T4" s="2063"/>
    </row>
    <row r="5" spans="1:22" ht="10.5" customHeight="1">
      <c r="R5" s="3447"/>
      <c r="S5" s="3448"/>
      <c r="T5" s="2063"/>
    </row>
    <row r="6" spans="1:22" ht="14.65" customHeight="1">
      <c r="A6" s="25" t="str">
        <f>IF(R6=0,".",CHOOSE(COUNTA(A$3:A5)+1,"a. ","b.","c.","d."))</f>
        <v>b.</v>
      </c>
      <c r="B6" s="25" t="s">
        <v>1055</v>
      </c>
      <c r="C6" s="25"/>
      <c r="D6" s="25"/>
      <c r="R6" s="3217">
        <v>1</v>
      </c>
      <c r="S6" s="2062"/>
      <c r="T6" s="2024" t="str">
        <f>"Controls Rows "&amp;TEXT(ROW(C6),"0")&amp;":"&amp;TEXT(ROW(C8),"0")&amp;"."</f>
        <v>Controls Rows 6:8.</v>
      </c>
    </row>
    <row r="7" spans="1:22" ht="46.15" customHeight="1">
      <c r="B7" s="2544" t="s">
        <v>2636</v>
      </c>
      <c r="C7" s="2544"/>
      <c r="D7" s="2544"/>
      <c r="E7" s="2544"/>
      <c r="F7" s="2544"/>
      <c r="G7" s="2544"/>
      <c r="H7" s="2544"/>
      <c r="I7" s="2544"/>
      <c r="J7" s="2544"/>
      <c r="K7" s="2544"/>
      <c r="L7" s="2544"/>
      <c r="M7" s="2544"/>
      <c r="N7" s="2544"/>
      <c r="O7" s="2544"/>
      <c r="R7" s="3218"/>
      <c r="S7" s="2062"/>
    </row>
    <row r="8" spans="1:22" ht="10.5" customHeight="1">
      <c r="R8" s="3219"/>
      <c r="S8" s="2062"/>
    </row>
    <row r="9" spans="1:22" ht="14.65" hidden="1" customHeight="1">
      <c r="A9" s="25" t="str">
        <f>IF(R9=0,".",CHOOSE(COUNTA(A$3:A8)+1,"a. ","b.","c.","d."))</f>
        <v>.</v>
      </c>
      <c r="B9" s="25" t="s">
        <v>2639</v>
      </c>
      <c r="R9" s="3440">
        <v>0</v>
      </c>
      <c r="S9" s="2062"/>
      <c r="T9" s="2024" t="str">
        <f>"Controls Rows "&amp;TEXT(ROW(C9),"0")&amp;":"&amp;TEXT(ROW(C13),"0")&amp;"."</f>
        <v>Controls Rows 9:13.</v>
      </c>
    </row>
    <row r="10" spans="1:22" ht="35.25" hidden="1" customHeight="1">
      <c r="B10" s="2466">
        <v>1</v>
      </c>
      <c r="C10" s="2544" t="str">
        <f>"Does the Application meet the eligibility requirements described in Section Four A.7."&amp;LEFT(A9,1)&amp;". to qualify as Permit Ready?"</f>
        <v>Does the Application meet the eligibility requirements described in Section Four A.7... to qualify as Permit Ready?</v>
      </c>
      <c r="D10" s="2544"/>
      <c r="E10" s="2544"/>
      <c r="F10" s="2544"/>
      <c r="G10" s="2544"/>
      <c r="H10" s="2544"/>
      <c r="I10" s="2544"/>
      <c r="J10" s="2544"/>
      <c r="K10" s="2544"/>
      <c r="L10" s="2544"/>
      <c r="M10" s="2544"/>
      <c r="N10" s="2547" t="s">
        <v>41</v>
      </c>
      <c r="O10" s="2547"/>
      <c r="R10" s="3441"/>
      <c r="S10" s="2062"/>
    </row>
    <row r="11" spans="1:22" s="6" customFormat="1" ht="35.25" hidden="1" customHeight="1">
      <c r="C11" s="2544" t="s">
        <v>2604</v>
      </c>
      <c r="D11" s="2544"/>
      <c r="E11" s="2544"/>
      <c r="F11" s="2544"/>
      <c r="G11" s="2544"/>
      <c r="H11" s="2544"/>
      <c r="I11" s="2544"/>
      <c r="J11" s="2544"/>
      <c r="K11" s="2544"/>
      <c r="L11" s="2544"/>
      <c r="M11" s="2544"/>
      <c r="N11" s="1808"/>
      <c r="O11" s="1808"/>
      <c r="R11" s="3441"/>
      <c r="S11" s="2062"/>
    </row>
    <row r="12" spans="1:22" s="6" customFormat="1" ht="35.25" hidden="1" customHeight="1">
      <c r="B12" s="2466">
        <v>2</v>
      </c>
      <c r="C12" s="2544" t="s">
        <v>2628</v>
      </c>
      <c r="D12" s="2544"/>
      <c r="E12" s="2544"/>
      <c r="F12" s="2544"/>
      <c r="G12" s="2544"/>
      <c r="H12" s="2544"/>
      <c r="I12" s="2544"/>
      <c r="J12" s="2544"/>
      <c r="K12" s="2544"/>
      <c r="L12" s="2544"/>
      <c r="M12" s="2544"/>
      <c r="N12" s="2547" t="s">
        <v>41</v>
      </c>
      <c r="O12" s="2547"/>
      <c r="R12" s="3441"/>
      <c r="S12" s="3440">
        <v>0</v>
      </c>
    </row>
    <row r="13" spans="1:22" ht="10.5" hidden="1" customHeight="1">
      <c r="R13" s="3442"/>
      <c r="S13" s="3442"/>
    </row>
    <row r="14" spans="1:22" ht="14.65" hidden="1" customHeight="1">
      <c r="A14" s="25" t="str">
        <f>IF(R14=0,".",CHOOSE(COUNTA(A$3:A13)+1,"a. ","b.","c.","d."))</f>
        <v>.</v>
      </c>
      <c r="B14" s="25" t="s">
        <v>2153</v>
      </c>
      <c r="R14" s="3440">
        <v>0</v>
      </c>
      <c r="S14" s="2062"/>
      <c r="T14" s="2024" t="str">
        <f>"Controls Rows "&amp;TEXT(ROW(C14),"0")&amp;":"&amp;TEXT(ROW(C17),"0")&amp;"."</f>
        <v>Controls Rows 14:17.</v>
      </c>
    </row>
    <row r="15" spans="1:22" ht="35.25" hidden="1" customHeight="1">
      <c r="B15" s="2544" t="s">
        <v>2154</v>
      </c>
      <c r="C15" s="2544"/>
      <c r="D15" s="2544"/>
      <c r="E15" s="2544"/>
      <c r="F15" s="2544"/>
      <c r="G15" s="2544"/>
      <c r="H15" s="2544"/>
      <c r="I15" s="2544"/>
      <c r="J15" s="2544"/>
      <c r="K15" s="2544"/>
      <c r="L15" s="2544"/>
      <c r="M15" s="2544"/>
      <c r="N15" s="2544"/>
      <c r="O15" s="2544"/>
      <c r="R15" s="3441"/>
      <c r="S15" s="2062"/>
    </row>
    <row r="16" spans="1:22" ht="35.25" hidden="1" customHeight="1">
      <c r="B16" s="2544" t="str">
        <f>"Does the Application meet the eligibility described in Section Four A.7."&amp;LEFT(A14,1)&amp;". to qualify for the Publicly Owned Land Goal?"</f>
        <v>Does the Application meet the eligibility described in Section Four A.7... to qualify for the Publicly Owned Land Goal?</v>
      </c>
      <c r="C16" s="2544"/>
      <c r="D16" s="2544"/>
      <c r="E16" s="2544"/>
      <c r="F16" s="2544"/>
      <c r="G16" s="2544"/>
      <c r="H16" s="2544"/>
      <c r="I16" s="2544"/>
      <c r="J16" s="2544"/>
      <c r="K16" s="2544"/>
      <c r="L16" s="2544"/>
      <c r="M16" s="2544"/>
      <c r="N16" s="2547" t="s">
        <v>41</v>
      </c>
      <c r="O16" s="2547"/>
      <c r="R16" s="3441"/>
      <c r="S16" s="2062"/>
    </row>
    <row r="17" spans="18:19" hidden="1">
      <c r="R17" s="3219"/>
      <c r="S17" s="2062"/>
    </row>
  </sheetData>
  <sheetProtection algorithmName="SHA-512" hashValue="50MGq1nOeT8p0lMepDfffWFHyxpp/CbY5/wdAF72+SX1CCjuh+XPGWzzfI9i7iJdvO0l/a4zt7fTP/LpaGHzaw==" saltValue="KOmYhEYciyqLoZ0jAvSoag==" spinCount="100000" sheet="1" selectLockedCells="1"/>
  <mergeCells count="17">
    <mergeCell ref="R6:R8"/>
    <mergeCell ref="R9:R13"/>
    <mergeCell ref="R2:T2"/>
    <mergeCell ref="R14:R17"/>
    <mergeCell ref="R3:S5"/>
    <mergeCell ref="S12:S13"/>
    <mergeCell ref="B16:M16"/>
    <mergeCell ref="N16:O16"/>
    <mergeCell ref="B7:O7"/>
    <mergeCell ref="B4:O4"/>
    <mergeCell ref="A1:O1"/>
    <mergeCell ref="B15:O15"/>
    <mergeCell ref="C11:M11"/>
    <mergeCell ref="N12:O12"/>
    <mergeCell ref="C12:M12"/>
    <mergeCell ref="N10:O10"/>
    <mergeCell ref="C10:M10"/>
  </mergeCells>
  <conditionalFormatting sqref="A11:M12">
    <cfRule type="expression" dxfId="535" priority="9">
      <formula>$N$10&lt;&gt;"Yes"</formula>
    </cfRule>
  </conditionalFormatting>
  <conditionalFormatting sqref="A6:O8">
    <cfRule type="expression" dxfId="534" priority="13084">
      <formula>$R$6=0</formula>
    </cfRule>
  </conditionalFormatting>
  <conditionalFormatting sqref="A9:O13">
    <cfRule type="expression" dxfId="533" priority="13114">
      <formula>$R$9=0</formula>
    </cfRule>
  </conditionalFormatting>
  <conditionalFormatting sqref="A12:O13">
    <cfRule type="expression" dxfId="532" priority="1">
      <formula>$S$12=0</formula>
    </cfRule>
  </conditionalFormatting>
  <conditionalFormatting sqref="A14:O17">
    <cfRule type="expression" dxfId="531" priority="13144">
      <formula>$R$14=0</formula>
    </cfRule>
  </conditionalFormatting>
  <conditionalFormatting sqref="N10:O10">
    <cfRule type="cellIs" dxfId="530" priority="15" operator="notEqual">
      <formula>"&lt;select one&gt;"</formula>
    </cfRule>
  </conditionalFormatting>
  <conditionalFormatting sqref="N12:O12">
    <cfRule type="expression" dxfId="529" priority="13">
      <formula>$N$10&lt;&gt;"Yes"</formula>
    </cfRule>
    <cfRule type="cellIs" dxfId="528" priority="18" operator="notEqual">
      <formula>"&lt;select one&gt;"</formula>
    </cfRule>
  </conditionalFormatting>
  <conditionalFormatting sqref="N16:O16">
    <cfRule type="cellIs" dxfId="527" priority="22" operator="notEqual">
      <formula>"&lt;select one&gt;"</formula>
    </cfRule>
  </conditionalFormatting>
  <conditionalFormatting sqref="R6 R9 S12:S13 R14">
    <cfRule type="cellIs" dxfId="526" priority="24"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9" stopIfTrue="1" id="{3B07DCA4-2B3B-4BA2-9C80-06A09EF27A51}">
            <xm:f>Data1!$E$901="Yes"</xm:f>
            <x14:dxf>
              <font>
                <color theme="0"/>
              </font>
              <fill>
                <patternFill>
                  <bgColor theme="0"/>
                </patternFill>
              </fill>
              <border>
                <left/>
                <right/>
                <top/>
                <bottom/>
              </border>
            </x14:dxf>
          </x14:cfRule>
          <xm:sqref>R3:T12 R13 T13 R14:T17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theme="0" tint="-4.9989318521683403E-2"/>
  </sheetPr>
  <dimension ref="A1:Q38"/>
  <sheetViews>
    <sheetView showGridLines="0" zoomScale="110" zoomScaleNormal="110" zoomScaleSheetLayoutView="100" workbookViewId="0">
      <pane ySplit="2" topLeftCell="A3" activePane="bottomLeft" state="frozen"/>
      <selection activeCell="P5" sqref="P5"/>
      <selection pane="bottomLeft" activeCell="A2" sqref="A2"/>
    </sheetView>
  </sheetViews>
  <sheetFormatPr defaultColWidth="8.54296875" defaultRowHeight="14.5"/>
  <cols>
    <col min="1" max="1" width="3" customWidth="1"/>
    <col min="2" max="3" width="3.54296875" customWidth="1"/>
    <col min="4" max="6" width="4.453125" customWidth="1"/>
    <col min="7" max="7" width="73.54296875" customWidth="1"/>
    <col min="8" max="8" width="8.81640625" customWidth="1"/>
    <col min="9" max="9" width="5.54296875" customWidth="1"/>
    <col min="10" max="10" width="8.7265625" customWidth="1"/>
    <col min="11" max="11" width="3.54296875" customWidth="1"/>
    <col min="12" max="14" width="3.54296875" hidden="1" customWidth="1"/>
    <col min="15" max="15" width="35.7265625" hidden="1" customWidth="1"/>
    <col min="16" max="17" width="3.54296875" hidden="1" customWidth="1"/>
  </cols>
  <sheetData>
    <row r="1" spans="1:17" ht="36" customHeight="1" thickBot="1">
      <c r="A1" s="2582" t="s">
        <v>1056</v>
      </c>
      <c r="B1" s="2583"/>
      <c r="C1" s="2583"/>
      <c r="D1" s="2583"/>
      <c r="E1" s="2583"/>
      <c r="F1" s="2583"/>
      <c r="G1" s="2583"/>
      <c r="H1" s="2583"/>
      <c r="I1" s="2584"/>
      <c r="J1" s="24"/>
    </row>
    <row r="2" spans="1:17" ht="14.65" customHeight="1">
      <c r="L2" s="2613" t="s">
        <v>845</v>
      </c>
      <c r="M2" s="2614"/>
      <c r="N2" s="2614"/>
      <c r="O2" s="2614"/>
      <c r="P2" s="2614"/>
      <c r="Q2" s="2615"/>
    </row>
    <row r="3" spans="1:17" ht="14.65" customHeight="1">
      <c r="A3" s="87" t="s">
        <v>858</v>
      </c>
      <c r="B3" s="2577" t="s">
        <v>1057</v>
      </c>
      <c r="C3" s="2577"/>
      <c r="D3" s="2577"/>
      <c r="E3" s="2577"/>
      <c r="F3" s="2577"/>
      <c r="G3" s="2577"/>
      <c r="H3" s="2577"/>
      <c r="I3" s="2577"/>
      <c r="L3" s="2853" t="s">
        <v>2737</v>
      </c>
    </row>
    <row r="4" spans="1:17" ht="10.5" customHeight="1">
      <c r="A4" s="865"/>
      <c r="B4" s="826"/>
      <c r="C4" s="826"/>
      <c r="D4" s="826"/>
      <c r="E4" s="826"/>
      <c r="F4" s="826"/>
      <c r="G4" s="826"/>
      <c r="L4" s="2853"/>
    </row>
    <row r="5" spans="1:17" ht="14.65" customHeight="1">
      <c r="A5" s="25" t="s">
        <v>927</v>
      </c>
      <c r="B5" s="2577" t="s">
        <v>1058</v>
      </c>
      <c r="C5" s="2577"/>
      <c r="D5" s="2577"/>
      <c r="E5" s="2577"/>
      <c r="F5" s="2577"/>
      <c r="G5" s="2577"/>
      <c r="H5" s="2577"/>
      <c r="I5" s="2577"/>
      <c r="L5" s="2853"/>
    </row>
    <row r="6" spans="1:17" ht="10.5" customHeight="1">
      <c r="B6" s="865"/>
      <c r="C6" s="865"/>
      <c r="D6" s="865"/>
      <c r="E6" s="865"/>
      <c r="F6" s="865"/>
      <c r="L6" s="2853"/>
      <c r="O6" s="106" t="s">
        <v>2869</v>
      </c>
    </row>
    <row r="7" spans="1:17" ht="14.65" customHeight="1">
      <c r="A7" s="87" t="s">
        <v>1059</v>
      </c>
      <c r="B7" s="2577" t="str">
        <f>IF($O7=0,"Accessibility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577"/>
      <c r="D7" s="2577"/>
      <c r="E7" s="2577"/>
      <c r="F7" s="2577"/>
      <c r="G7" s="2577"/>
      <c r="H7" s="2577"/>
      <c r="I7" s="2577"/>
      <c r="L7" s="2854"/>
      <c r="O7" s="2001">
        <v>0</v>
      </c>
    </row>
    <row r="8" spans="1:17" ht="35.25" hidden="1" customHeight="1">
      <c r="A8" s="87"/>
      <c r="B8" s="91">
        <v>3</v>
      </c>
      <c r="C8" s="2544" t="s">
        <v>2259</v>
      </c>
      <c r="D8" s="2544"/>
      <c r="E8" s="2544"/>
      <c r="F8" s="2544"/>
      <c r="G8" s="2544"/>
      <c r="H8" s="2573" t="s">
        <v>41</v>
      </c>
      <c r="I8" s="2573"/>
      <c r="L8" s="2002">
        <v>0</v>
      </c>
      <c r="O8" s="2031" t="s">
        <v>2781</v>
      </c>
    </row>
    <row r="9" spans="1:17" ht="10.5" customHeight="1">
      <c r="A9" s="865"/>
      <c r="B9" s="826"/>
      <c r="C9" s="826"/>
      <c r="D9" s="826"/>
      <c r="E9" s="826"/>
      <c r="F9" s="826"/>
      <c r="G9" s="826"/>
      <c r="L9" s="2060"/>
    </row>
    <row r="10" spans="1:17" ht="15" customHeight="1">
      <c r="A10" s="25" t="s">
        <v>1060</v>
      </c>
      <c r="B10" s="21" t="str">
        <f>"Emergency Operations "&amp;IF(O10&gt;0,"for all Elderly Developments ","")&amp;"are outlined in Section Four."</f>
        <v>Emergency Operations for all Elderly Developments are outlined in Section Four.</v>
      </c>
      <c r="C10" s="826"/>
      <c r="D10" s="826"/>
      <c r="E10" s="826"/>
      <c r="F10" s="826"/>
      <c r="G10" s="826"/>
      <c r="L10" s="2061">
        <f>IF(COUNTIF(DS_Demo_DDMenu,Data1!$A$21)+COUNTIF(DS_Demo_DDMenu,Data1!$A$22)+COUNTIF(DS_Demo_DDMenu,Data1!$A$23)+COUNTIF(DS_Demo_DDMenu,Data1!$A$26)+COUNTIF(DS_Demo_DDMenu,Data1!$A$27)+COUNTIF(DS_Demo_DDMenu,Data1!$A$28)&gt;0,1,0)</f>
        <v>1</v>
      </c>
      <c r="O10" s="2064">
        <f>IF(COUNTIF(DS_Demo_DDMenu,Data1!$A$21)+COUNTIF(DS_Demo_DDMenu,Data1!$A$22)+COUNTIF(DS_Demo_DDMenu,Data1!$A$23)&gt;0,1,0)</f>
        <v>1</v>
      </c>
    </row>
    <row r="11" spans="1:17" ht="14.25" customHeight="1">
      <c r="A11" s="865"/>
      <c r="B11" s="826"/>
      <c r="C11" s="826"/>
      <c r="D11" s="826"/>
      <c r="E11" s="826"/>
      <c r="F11" s="826"/>
      <c r="G11" s="826"/>
      <c r="L11" s="2663" t="s">
        <v>2737</v>
      </c>
      <c r="M11" s="2664"/>
      <c r="O11" s="3449" t="s">
        <v>2783</v>
      </c>
    </row>
    <row r="12" spans="1:17" ht="14.65" customHeight="1">
      <c r="A12" s="25" t="str">
        <f>IF(L10&gt;0,"e.","d.")</f>
        <v>e.</v>
      </c>
      <c r="B12" s="2577" t="s">
        <v>1061</v>
      </c>
      <c r="C12" s="2577"/>
      <c r="D12" s="2577"/>
      <c r="E12" s="2577"/>
      <c r="F12" s="2577"/>
      <c r="G12" s="2577"/>
      <c r="H12" s="2577"/>
      <c r="I12" s="2577"/>
      <c r="L12" s="3452"/>
      <c r="M12" s="3453"/>
      <c r="O12" s="3450"/>
    </row>
    <row r="13" spans="1:17" ht="14.65" customHeight="1">
      <c r="B13" s="91">
        <v>1</v>
      </c>
      <c r="C13" s="865" t="s">
        <v>1062</v>
      </c>
      <c r="D13" s="80"/>
      <c r="E13" s="80"/>
      <c r="F13" s="80"/>
      <c r="L13" s="2665"/>
      <c r="M13" s="2666"/>
    </row>
    <row r="14" spans="1:17" ht="14.65" hidden="1" customHeight="1">
      <c r="A14" s="865"/>
      <c r="B14" s="91" t="str">
        <f>IF($M15=0,"",MAX(B$13:B13)+1)</f>
        <v/>
      </c>
      <c r="C14" s="17" t="s">
        <v>1063</v>
      </c>
      <c r="D14" s="80"/>
      <c r="E14" s="80"/>
      <c r="F14" s="80"/>
      <c r="L14" s="2569">
        <v>0</v>
      </c>
      <c r="O14" s="2024" t="str">
        <f>"Controls Rows "&amp;TEXT(ROW(A14),"0")&amp;":"&amp;TEXT(ROW(A15),"0")&amp;"."</f>
        <v>Controls Rows 14:15.</v>
      </c>
    </row>
    <row r="15" spans="1:17" ht="17.649999999999999" hidden="1" customHeight="1">
      <c r="B15" s="3"/>
      <c r="C15" s="2573" t="s">
        <v>41</v>
      </c>
      <c r="D15" s="2573"/>
      <c r="E15" s="2573"/>
      <c r="F15" s="2573"/>
      <c r="G15" s="2573"/>
      <c r="H15" s="2573"/>
      <c r="L15" s="2571"/>
    </row>
    <row r="16" spans="1:17" ht="60" customHeight="1">
      <c r="B16" s="91" t="str">
        <f>IF(SUM(N17:N32)=0,"",MAX(B$13:B15)+1)</f>
        <v/>
      </c>
      <c r="C16" s="2544" t="s">
        <v>1064</v>
      </c>
      <c r="D16" s="2544"/>
      <c r="E16" s="2544"/>
      <c r="F16" s="2544"/>
      <c r="G16" s="2544"/>
      <c r="H16" s="2544"/>
      <c r="L16" s="2569">
        <v>1</v>
      </c>
      <c r="O16" s="954" t="s">
        <v>2866</v>
      </c>
    </row>
    <row r="17" spans="1:16" ht="17.649999999999999" customHeight="1">
      <c r="A17" s="723" t="str">
        <f>IF(Data1!$B778=TRUE,"Yes","No")</f>
        <v>No</v>
      </c>
      <c r="C17" s="246"/>
      <c r="E17" s="2608" t="s">
        <v>1904</v>
      </c>
      <c r="F17" s="2608"/>
      <c r="G17" s="2608"/>
      <c r="H17" s="259">
        <v>2</v>
      </c>
      <c r="L17" s="2570"/>
      <c r="P17" s="713">
        <f>H17</f>
        <v>2</v>
      </c>
    </row>
    <row r="18" spans="1:16" ht="17.649999999999999" customHeight="1">
      <c r="A18" s="723" t="str">
        <f>IF(Data1!$B779=TRUE,"Yes","No")</f>
        <v>No</v>
      </c>
      <c r="C18" s="246"/>
      <c r="E18" s="2608" t="s">
        <v>1065</v>
      </c>
      <c r="F18" s="2608"/>
      <c r="G18" s="2608"/>
      <c r="H18" s="259">
        <v>2</v>
      </c>
      <c r="L18" s="2570"/>
      <c r="P18" s="713">
        <f t="shared" ref="P18:P26" si="0">H18</f>
        <v>2</v>
      </c>
    </row>
    <row r="19" spans="1:16" ht="17.649999999999999" customHeight="1">
      <c r="A19" s="723" t="str">
        <f>IF(Data1!$B780=TRUE,"Yes","No")</f>
        <v>No</v>
      </c>
      <c r="C19" s="246"/>
      <c r="E19" s="2608" t="s">
        <v>1066</v>
      </c>
      <c r="F19" s="2608"/>
      <c r="G19" s="2608"/>
      <c r="H19" s="259">
        <v>2</v>
      </c>
      <c r="L19" s="2570"/>
      <c r="P19" s="713">
        <f t="shared" si="0"/>
        <v>2</v>
      </c>
    </row>
    <row r="20" spans="1:16" ht="35.25" customHeight="1">
      <c r="A20" s="723" t="str">
        <f>IF(Data1!$B781=TRUE,"Yes","No")</f>
        <v>No</v>
      </c>
      <c r="C20" s="246"/>
      <c r="E20" s="2544" t="s">
        <v>1067</v>
      </c>
      <c r="F20" s="2544"/>
      <c r="G20" s="2544"/>
      <c r="H20" s="259">
        <v>2</v>
      </c>
      <c r="L20" s="2570"/>
      <c r="P20" s="713">
        <f t="shared" si="0"/>
        <v>2</v>
      </c>
    </row>
    <row r="21" spans="1:16" ht="17.649999999999999" customHeight="1">
      <c r="A21" s="723" t="str">
        <f>IF(Data1!$B782=TRUE,"Yes","No")</f>
        <v>No</v>
      </c>
      <c r="C21" s="246"/>
      <c r="E21" s="2608" t="s">
        <v>2422</v>
      </c>
      <c r="F21" s="2608"/>
      <c r="G21" s="2608"/>
      <c r="H21" s="259">
        <v>2</v>
      </c>
      <c r="L21" s="2570"/>
      <c r="P21" s="713">
        <f t="shared" si="0"/>
        <v>2</v>
      </c>
    </row>
    <row r="22" spans="1:16" ht="17.649999999999999" customHeight="1">
      <c r="A22" s="723" t="str">
        <f>IF(Data1!$B783=TRUE,"Yes","No")</f>
        <v>No</v>
      </c>
      <c r="C22" s="246"/>
      <c r="E22" s="2544" t="s">
        <v>2426</v>
      </c>
      <c r="F22" s="2544"/>
      <c r="G22" s="2544"/>
      <c r="H22" s="259">
        <v>3</v>
      </c>
      <c r="L22" s="2570"/>
      <c r="P22" s="713">
        <f t="shared" si="0"/>
        <v>3</v>
      </c>
    </row>
    <row r="23" spans="1:16" ht="52.5" customHeight="1">
      <c r="A23" s="723" t="str">
        <f>IF(Data1!$B784=TRUE,"Yes","No")</f>
        <v>No</v>
      </c>
      <c r="C23" s="246"/>
      <c r="E23" s="2544" t="s">
        <v>1068</v>
      </c>
      <c r="F23" s="2544"/>
      <c r="G23" s="2544"/>
      <c r="H23" s="259">
        <v>3</v>
      </c>
      <c r="L23" s="2570"/>
      <c r="P23" s="713">
        <f t="shared" si="0"/>
        <v>3</v>
      </c>
    </row>
    <row r="24" spans="1:16" ht="48" customHeight="1">
      <c r="A24" s="723" t="str">
        <f>IF(Data1!$B785=TRUE,"Yes","No")</f>
        <v>No</v>
      </c>
      <c r="C24" s="246"/>
      <c r="E24" s="2544" t="s">
        <v>1069</v>
      </c>
      <c r="F24" s="2544"/>
      <c r="G24" s="2544"/>
      <c r="H24" s="259">
        <v>3</v>
      </c>
      <c r="L24" s="2570"/>
      <c r="P24" s="713">
        <f t="shared" si="0"/>
        <v>3</v>
      </c>
    </row>
    <row r="25" spans="1:16" ht="17.649999999999999" customHeight="1">
      <c r="A25" s="723" t="str">
        <f>IF(Data1!$B786=TRUE,"Yes","No")</f>
        <v>No</v>
      </c>
      <c r="C25" s="246"/>
      <c r="E25" s="2608" t="s">
        <v>1070</v>
      </c>
      <c r="F25" s="2608"/>
      <c r="G25" s="2608"/>
      <c r="H25" s="259">
        <v>2</v>
      </c>
      <c r="L25" s="2570"/>
      <c r="P25" s="713">
        <f t="shared" si="0"/>
        <v>2</v>
      </c>
    </row>
    <row r="26" spans="1:16" ht="17.649999999999999" customHeight="1">
      <c r="A26" s="723" t="str">
        <f>IF(Data1!$B787=TRUE,"Yes","No")</f>
        <v>No</v>
      </c>
      <c r="C26" s="246"/>
      <c r="E26" s="17" t="s">
        <v>1071</v>
      </c>
      <c r="F26" s="17"/>
      <c r="G26" s="17"/>
      <c r="H26" s="259">
        <v>3</v>
      </c>
      <c r="L26" s="2570"/>
      <c r="P26" s="713">
        <f t="shared" si="0"/>
        <v>3</v>
      </c>
    </row>
    <row r="27" spans="1:16" ht="35.25" customHeight="1">
      <c r="C27" s="865"/>
      <c r="E27" s="17" t="s">
        <v>1072</v>
      </c>
      <c r="F27" s="2544" t="s">
        <v>1073</v>
      </c>
      <c r="G27" s="2544"/>
      <c r="H27" s="865"/>
      <c r="J27" s="714"/>
      <c r="K27" s="714"/>
      <c r="L27" s="2570"/>
      <c r="P27" s="239"/>
    </row>
    <row r="28" spans="1:16" ht="17.649999999999999" customHeight="1">
      <c r="C28" s="865"/>
      <c r="E28" s="17" t="s">
        <v>1072</v>
      </c>
      <c r="F28" s="17" t="s">
        <v>1074</v>
      </c>
      <c r="G28" s="17"/>
      <c r="H28" s="865"/>
      <c r="J28" s="348"/>
      <c r="K28" s="348"/>
      <c r="L28" s="2570"/>
      <c r="P28" s="239"/>
    </row>
    <row r="29" spans="1:16" ht="17.649999999999999" customHeight="1">
      <c r="C29" s="865"/>
      <c r="E29" s="17"/>
      <c r="F29" s="245" t="s">
        <v>1075</v>
      </c>
      <c r="G29" s="17" t="s">
        <v>1076</v>
      </c>
      <c r="H29" s="865"/>
      <c r="J29" s="348"/>
      <c r="K29" s="348"/>
      <c r="L29" s="2570"/>
      <c r="P29" s="239"/>
    </row>
    <row r="30" spans="1:16" ht="35.25" customHeight="1">
      <c r="C30" s="865"/>
      <c r="E30" s="865"/>
      <c r="F30" s="245" t="s">
        <v>1075</v>
      </c>
      <c r="G30" s="859" t="s">
        <v>1077</v>
      </c>
      <c r="H30" s="865"/>
      <c r="J30" s="348"/>
      <c r="K30" s="348"/>
      <c r="L30" s="2570"/>
      <c r="P30" s="239"/>
    </row>
    <row r="31" spans="1:16" ht="17.649999999999999" customHeight="1">
      <c r="A31" s="723" t="str">
        <f>IF(Data1!$B792=TRUE,"Yes","No")</f>
        <v>No</v>
      </c>
      <c r="C31" s="246"/>
      <c r="E31" s="2608" t="s">
        <v>1078</v>
      </c>
      <c r="F31" s="2608"/>
      <c r="G31" s="2608"/>
      <c r="H31" s="259">
        <v>2</v>
      </c>
      <c r="L31" s="2570"/>
      <c r="P31" s="713">
        <f t="shared" ref="P31:P32" si="1">H31</f>
        <v>2</v>
      </c>
    </row>
    <row r="32" spans="1:16" ht="35.25" customHeight="1">
      <c r="A32" s="723" t="str">
        <f>IF(Data1!$B793=TRUE,"Yes","No")</f>
        <v>No</v>
      </c>
      <c r="C32" s="246"/>
      <c r="E32" s="2544" t="s">
        <v>1079</v>
      </c>
      <c r="F32" s="2544"/>
      <c r="G32" s="2544"/>
      <c r="H32" s="259">
        <v>2</v>
      </c>
      <c r="L32" s="2570"/>
      <c r="P32" s="713">
        <f t="shared" si="1"/>
        <v>2</v>
      </c>
    </row>
    <row r="33" spans="2:12" ht="30" customHeight="1" thickBot="1">
      <c r="D33" s="2579" t="str">
        <f>IF(AND(OR(Development_Category="New Construction",Development_Category="Redevelopment",Development_Category="Acquisition and Redevelopment"),H34&gt;0),"The above Green Building Features are only for a selected Development Category of Rehabilitation, with or without Acquisition.",IF(AND(Name_of_proposed_Development&lt;&gt;"",Development_Category&lt;&gt;"New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579"/>
      <c r="F33" s="2579"/>
      <c r="G33" s="2579"/>
      <c r="H33" s="2579"/>
      <c r="L33" s="2570"/>
    </row>
    <row r="34" spans="2:12" ht="17.649999999999999" customHeight="1" thickTop="1">
      <c r="G34" s="258" t="s">
        <v>1080</v>
      </c>
      <c r="H34" s="260">
        <f>SUMIF(Data1!B778:B793,TRUE,H17:H32)-IF(AND(Data1!$B$782=TRUE,Data1!$B$783=TRUE),H21+H22,0)</f>
        <v>0</v>
      </c>
      <c r="I34" s="1"/>
      <c r="L34" s="2570"/>
    </row>
    <row r="35" spans="2:12" ht="10.5" customHeight="1">
      <c r="L35" s="2570"/>
    </row>
    <row r="36" spans="2:12" ht="14.65" customHeight="1">
      <c r="B36" s="865" t="s">
        <v>1081</v>
      </c>
      <c r="C36" s="3454" t="s">
        <v>2423</v>
      </c>
      <c r="D36" s="3454"/>
      <c r="E36" s="3454"/>
      <c r="F36" s="3454"/>
      <c r="G36" s="3454"/>
      <c r="L36" s="2570"/>
    </row>
    <row r="37" spans="2:12" ht="30" customHeight="1">
      <c r="B37" s="865" t="s">
        <v>1082</v>
      </c>
      <c r="C37" s="3451" t="s">
        <v>1083</v>
      </c>
      <c r="D37" s="3451"/>
      <c r="E37" s="3451"/>
      <c r="F37" s="3451"/>
      <c r="G37" s="3451"/>
      <c r="L37" s="2571"/>
    </row>
    <row r="38" spans="2:12" ht="10.5" customHeight="1"/>
  </sheetData>
  <sheetProtection algorithmName="SHA-512" hashValue="6IBdXWQx1pmPmGj69sslXN89V1Kmvjcdz0Ms3ACdKo6COa/zSawIKhTviPFhK0iQZ4z8xyDGAc8PX2sdEQBHAw==" saltValue="avHfWpYg9kxtkSzQTu0Nyw==" spinCount="100000" sheet="1" selectLockedCells="1"/>
  <mergeCells count="30">
    <mergeCell ref="L14:L15"/>
    <mergeCell ref="B7:I7"/>
    <mergeCell ref="B12:I12"/>
    <mergeCell ref="H8:I8"/>
    <mergeCell ref="L2:Q2"/>
    <mergeCell ref="L16:L37"/>
    <mergeCell ref="L3:L7"/>
    <mergeCell ref="O11:O12"/>
    <mergeCell ref="C8:G8"/>
    <mergeCell ref="C37:G37"/>
    <mergeCell ref="D33:H33"/>
    <mergeCell ref="E22:G22"/>
    <mergeCell ref="E23:G23"/>
    <mergeCell ref="L11:M13"/>
    <mergeCell ref="E32:G32"/>
    <mergeCell ref="E31:G31"/>
    <mergeCell ref="F27:G27"/>
    <mergeCell ref="C36:G36"/>
    <mergeCell ref="E25:G25"/>
    <mergeCell ref="E20:G20"/>
    <mergeCell ref="E21:G21"/>
    <mergeCell ref="A1:I1"/>
    <mergeCell ref="C15:H15"/>
    <mergeCell ref="B3:I3"/>
    <mergeCell ref="B5:I5"/>
    <mergeCell ref="E24:G24"/>
    <mergeCell ref="C16:H16"/>
    <mergeCell ref="E17:G17"/>
    <mergeCell ref="E18:G18"/>
    <mergeCell ref="E19:G19"/>
  </mergeCells>
  <conditionalFormatting sqref="A10:I11">
    <cfRule type="expression" dxfId="524" priority="8">
      <formula>$L$10=0</formula>
    </cfRule>
  </conditionalFormatting>
  <conditionalFormatting sqref="B14:H15">
    <cfRule type="expression" dxfId="523" priority="13305">
      <formula>AND(Development_Category&lt;&gt;"&lt;select one&gt;",Development_Category&lt;&gt;"New Construction")</formula>
    </cfRule>
    <cfRule type="expression" dxfId="522" priority="13306">
      <formula>$L$14=0</formula>
    </cfRule>
  </conditionalFormatting>
  <conditionalFormatting sqref="B16:H32 B34:H37">
    <cfRule type="expression" dxfId="521" priority="25">
      <formula>AND(Development_Category&lt;&gt;"&lt;select one&gt;",Development_Category&lt;&gt;"Rehabilitation",Development_Category&lt;&gt;"Acquisition and Rehabilitation")</formula>
    </cfRule>
  </conditionalFormatting>
  <conditionalFormatting sqref="B16:H37">
    <cfRule type="expression" dxfId="520" priority="13271">
      <formula>$L$16=0</formula>
    </cfRule>
  </conditionalFormatting>
  <conditionalFormatting sqref="B8:I8">
    <cfRule type="expression" dxfId="519" priority="10">
      <formula>$L$8=0</formula>
    </cfRule>
  </conditionalFormatting>
  <conditionalFormatting sqref="C17:C26 C31:C32">
    <cfRule type="expression" dxfId="518" priority="28">
      <formula>AND(Development_Category&lt;&gt;"&lt;select one&gt;",Development_Category&lt;&gt;"Rehabilitation",Development_Category&lt;&gt;"Acquisition and Rehabilitation")</formula>
    </cfRule>
  </conditionalFormatting>
  <conditionalFormatting sqref="C15:H15">
    <cfRule type="expression" dxfId="516" priority="18">
      <formula>AND(Development_Category&lt;&gt;"&lt;select one&gt;",Development_Category&lt;&gt;"New Construction")</formula>
    </cfRule>
    <cfRule type="cellIs" dxfId="515" priority="19" operator="equal">
      <formula>""</formula>
    </cfRule>
    <cfRule type="expression" dxfId="514" priority="20">
      <formula>AND($C15="&lt;select one&gt;",Development_Category="New Construction",CELL("protect",Development_Category)=1,Name_of_proposed_Development&lt;&gt;"")</formula>
    </cfRule>
    <cfRule type="cellIs" dxfId="513" priority="23" operator="notEqual">
      <formula>"&lt;select one&gt;"</formula>
    </cfRule>
  </conditionalFormatting>
  <conditionalFormatting sqref="D33">
    <cfRule type="cellIs" dxfId="510" priority="1278" operator="notEqual">
      <formula>""</formula>
    </cfRule>
  </conditionalFormatting>
  <conditionalFormatting sqref="H8">
    <cfRule type="cellIs" dxfId="508" priority="9" operator="equal">
      <formula>""</formula>
    </cfRule>
    <cfRule type="cellIs" dxfId="507" priority="11" operator="notEqual">
      <formula>"&lt;select one&gt;"</formula>
    </cfRule>
  </conditionalFormatting>
  <conditionalFormatting sqref="H34">
    <cfRule type="cellIs" dxfId="506" priority="4" operator="between">
      <formula>1</formula>
      <formula>9</formula>
    </cfRule>
    <cfRule type="cellIs" dxfId="505" priority="5" operator="greaterThanOrEqual">
      <formula>10</formula>
    </cfRule>
  </conditionalFormatting>
  <conditionalFormatting sqref="O7 L16">
    <cfRule type="cellIs" dxfId="503" priority="13" operator="equal">
      <formula>0</formula>
    </cfRule>
  </conditionalFormatting>
  <dataValidations count="4">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L8 L10 L14" xr:uid="{DEC48FF7-0C76-4351-9CD2-5F0BA6ED59E1}">
      <formula1>AND(L8&gt;=0,L8&lt;3,L8=ROUND(L8,0))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76200</xdr:colOff>
                    <xdr:row>17</xdr:row>
                    <xdr:rowOff>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228600</xdr:rowOff>
                  </from>
                  <to>
                    <xdr:col>5</xdr:col>
                    <xdr:colOff>76200</xdr:colOff>
                    <xdr:row>18</xdr:row>
                    <xdr:rowOff>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228600</xdr:rowOff>
                  </from>
                  <to>
                    <xdr:col>5</xdr:col>
                    <xdr:colOff>76200</xdr:colOff>
                    <xdr:row>19</xdr:row>
                    <xdr:rowOff>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76200</xdr:colOff>
                    <xdr:row>19</xdr:row>
                    <xdr:rowOff>228600</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76200</xdr:colOff>
                    <xdr:row>20</xdr:row>
                    <xdr:rowOff>209550</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228600</xdr:rowOff>
                  </from>
                  <to>
                    <xdr:col>5</xdr:col>
                    <xdr:colOff>76200</xdr:colOff>
                    <xdr:row>22</xdr:row>
                    <xdr:rowOff>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438150</xdr:rowOff>
                  </from>
                  <to>
                    <xdr:col>5</xdr:col>
                    <xdr:colOff>76200</xdr:colOff>
                    <xdr:row>22</xdr:row>
                    <xdr:rowOff>228600</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666750</xdr:rowOff>
                  </from>
                  <to>
                    <xdr:col>5</xdr:col>
                    <xdr:colOff>76200</xdr:colOff>
                    <xdr:row>23</xdr:row>
                    <xdr:rowOff>228600</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609600</xdr:rowOff>
                  </from>
                  <to>
                    <xdr:col>5</xdr:col>
                    <xdr:colOff>76200</xdr:colOff>
                    <xdr:row>24</xdr:row>
                    <xdr:rowOff>209550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76200</xdr:colOff>
                    <xdr:row>26</xdr:row>
                    <xdr:rowOff>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76200</xdr:colOff>
                    <xdr:row>31</xdr:row>
                    <xdr:rowOff>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228600</xdr:rowOff>
                  </from>
                  <to>
                    <xdr:col>5</xdr:col>
                    <xdr:colOff>76200</xdr:colOff>
                    <xdr:row>31</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DFF91D-F4E3-4473-B728-7B1789CF7324}">
            <xm:f>AND(Data1!$B$782=TRUE,Data1!$B$783=TRUE)</xm:f>
            <x14:dxf>
              <font>
                <color rgb="FFC00000"/>
              </font>
              <fill>
                <patternFill>
                  <bgColor rgb="FFFFE6FF"/>
                </patternFill>
              </fill>
            </x14:dxf>
          </x14:cfRule>
          <xm:sqref>C21:D22 B36:G36</xm:sqref>
        </x14:conditionalFormatting>
        <x14:conditionalFormatting xmlns:xm="http://schemas.microsoft.com/office/excel/2006/main">
          <x14:cfRule type="expression" priority="34" id="{00000000-000E-0000-0E00-000006000000}">
            <xm:f>Data1!$B778=TRUE</xm:f>
            <x14:dxf>
              <fill>
                <patternFill>
                  <bgColor theme="9" tint="0.79998168889431442"/>
                </patternFill>
              </fill>
            </x14:dxf>
          </x14:cfRule>
          <xm:sqref>C17:H25 C31:H32</xm:sqref>
        </x14:conditionalFormatting>
        <x14:conditionalFormatting xmlns:xm="http://schemas.microsoft.com/office/excel/2006/main">
          <x14:cfRule type="expression" priority="1145" id="{00000000-000E-0000-0E00-000008000000}">
            <xm:f>Data1!$B$787=TRUE</xm:f>
            <x14:dxf>
              <fill>
                <patternFill>
                  <bgColor theme="9" tint="0.79998168889431442"/>
                </patternFill>
              </fill>
            </x14:dxf>
          </x14:cfRule>
          <xm:sqref>C26:H30</xm:sqref>
        </x14:conditionalFormatting>
        <x14:conditionalFormatting xmlns:xm="http://schemas.microsoft.com/office/excel/2006/main">
          <x14:cfRule type="expression" priority="3" id="{0B05B3CC-1068-4DC0-9458-94D003E6D5D9}">
            <xm:f>AND(Data1!$B$782=TRUE,Data1!$B$783=TRUE)</xm:f>
            <x14:dxf>
              <font>
                <strike/>
                <color rgb="FFC00000"/>
              </font>
              <fill>
                <patternFill>
                  <bgColor rgb="FFFFE6FF"/>
                </patternFill>
              </fill>
            </x14:dxf>
          </x14:cfRule>
          <xm:sqref>E21:H22</xm:sqref>
        </x14:conditionalFormatting>
        <x14:conditionalFormatting xmlns:xm="http://schemas.microsoft.com/office/excel/2006/main">
          <x14:cfRule type="expression" priority="12" stopIfTrue="1" id="{7B6290EC-7C27-4294-8FF8-160C3374D504}">
            <xm:f>Data1!$E$902="Yes"</xm:f>
            <x14:dxf>
              <font>
                <color theme="0"/>
              </font>
              <fill>
                <patternFill>
                  <bgColor theme="0"/>
                </patternFill>
              </fill>
              <border>
                <left/>
                <right/>
                <top/>
                <bottom/>
                <vertical/>
                <horizontal/>
              </border>
            </x14:dxf>
          </x14:cfRule>
          <xm:sqref>L3:Q39</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4358-42A5-4C45-A061-8701FC75957F}">
  <sheetPr codeName="Sheet8">
    <tabColor theme="0" tint="-4.9989318521683403E-2"/>
  </sheetPr>
  <dimension ref="A1:P23"/>
  <sheetViews>
    <sheetView showGridLines="0" zoomScale="110" zoomScaleNormal="110" zoomScaleSheetLayoutView="100" workbookViewId="0">
      <pane ySplit="2" topLeftCell="A11" activePane="bottomLeft" state="frozen"/>
      <selection activeCell="P5" sqref="P5"/>
      <selection pane="bottomLeft" activeCell="A2" sqref="A2"/>
    </sheetView>
  </sheetViews>
  <sheetFormatPr defaultColWidth="8.54296875" defaultRowHeight="14.5"/>
  <cols>
    <col min="1" max="1" width="3" customWidth="1"/>
    <col min="2" max="3" width="3.54296875" customWidth="1"/>
    <col min="4" max="4" width="4.453125" customWidth="1"/>
    <col min="5" max="5" width="49.54296875" customWidth="1"/>
    <col min="6" max="6" width="24.54296875" customWidth="1"/>
    <col min="7" max="7" width="14.26953125" customWidth="1"/>
    <col min="8" max="8" width="8.453125" customWidth="1"/>
    <col min="9" max="9" width="8.7265625" customWidth="1"/>
    <col min="10" max="10" width="3.54296875" customWidth="1"/>
    <col min="11" max="12" width="3.54296875" hidden="1" customWidth="1"/>
    <col min="13" max="13" width="35.7265625" hidden="1" customWidth="1"/>
    <col min="14" max="14" width="3.54296875" hidden="1" customWidth="1"/>
  </cols>
  <sheetData>
    <row r="1" spans="1:16" ht="36" customHeight="1" thickBot="1">
      <c r="A1" s="2582" t="s">
        <v>1086</v>
      </c>
      <c r="B1" s="2583"/>
      <c r="C1" s="2583"/>
      <c r="D1" s="2583"/>
      <c r="E1" s="2583"/>
      <c r="F1" s="2583"/>
      <c r="G1" s="2583"/>
      <c r="H1" s="2584"/>
      <c r="I1" s="24"/>
    </row>
    <row r="2" spans="1:16" ht="14.65" customHeight="1">
      <c r="K2" s="3455" t="s">
        <v>845</v>
      </c>
      <c r="L2" s="3455"/>
      <c r="M2" s="3455"/>
      <c r="N2" s="3455"/>
    </row>
    <row r="3" spans="1:16" ht="14.65" hidden="1" customHeight="1">
      <c r="A3" s="10" t="str">
        <f>IF(K3=0,"","a.")</f>
        <v/>
      </c>
      <c r="B3" s="2586" t="str">
        <f>"Commit to provide at least "&amp;CHOOSE(Data1!B800+1,"none","one","two","three","four","five","six")&amp;" of the following resident programs:"</f>
        <v>Commit to provide at least three of the following resident programs:</v>
      </c>
      <c r="C3" s="2586"/>
      <c r="D3" s="2586"/>
      <c r="E3" s="2586"/>
      <c r="F3" s="863"/>
      <c r="H3" s="6"/>
      <c r="I3" s="6"/>
      <c r="J3" s="6"/>
      <c r="K3" s="2569">
        <v>0</v>
      </c>
      <c r="M3" s="2024" t="str">
        <f>"Controls Rows "&amp;TEXT(ROW(A3),"0")&amp;":"&amp;TEXT(ROW(A10),"0")&amp;"."</f>
        <v>Controls Rows 3:10.</v>
      </c>
    </row>
    <row r="4" spans="1:16" s="6" customFormat="1" ht="10.5" hidden="1" customHeight="1">
      <c r="K4" s="2570"/>
    </row>
    <row r="5" spans="1:16" ht="17.649999999999999" hidden="1" customHeight="1">
      <c r="A5" s="723" t="str">
        <f>IF(Data1!$B802=TRUE,"Yes","No")</f>
        <v>No</v>
      </c>
      <c r="B5" s="97"/>
      <c r="C5" s="2597" t="s">
        <v>1087</v>
      </c>
      <c r="D5" s="2597"/>
      <c r="E5" s="2597"/>
      <c r="F5" s="829"/>
      <c r="G5" s="849"/>
      <c r="H5" s="1512" t="str">
        <f>IF(AND(Data1!B802=TRUE,Demographic&lt;&gt;"Workforce",Demographic&lt;&gt;"Family"),"Verify Demo. Commit.","")</f>
        <v/>
      </c>
      <c r="K5" s="2570"/>
      <c r="L5" s="6"/>
      <c r="M5" s="6"/>
      <c r="N5" s="6"/>
      <c r="O5" s="312"/>
    </row>
    <row r="6" spans="1:16" ht="17.649999999999999" hidden="1" customHeight="1">
      <c r="A6" s="723" t="str">
        <f>IF(Data1!$B803=TRUE,"Yes","No")</f>
        <v>No</v>
      </c>
      <c r="B6" s="97"/>
      <c r="C6" s="2597" t="s">
        <v>2130</v>
      </c>
      <c r="D6" s="2597"/>
      <c r="E6" s="2597"/>
      <c r="F6" s="829"/>
      <c r="H6" s="1512" t="str">
        <f>IF(AND(Data1!B803=TRUE,Demographic&lt;&gt;"Workforce",Demographic&lt;&gt;"Family"),"Verify Demo. Commit.","")</f>
        <v/>
      </c>
      <c r="K6" s="2570"/>
      <c r="L6" s="6"/>
      <c r="M6" s="6"/>
      <c r="N6" s="6"/>
      <c r="O6" s="312"/>
    </row>
    <row r="7" spans="1:16" ht="17.649999999999999" hidden="1" customHeight="1">
      <c r="A7" s="723" t="str">
        <f>IF(Data1!$B804=TRUE,"Yes","No")</f>
        <v>No</v>
      </c>
      <c r="B7" s="97"/>
      <c r="C7" s="2597" t="s">
        <v>1088</v>
      </c>
      <c r="D7" s="2597"/>
      <c r="E7" s="2597"/>
      <c r="F7" s="829"/>
      <c r="H7" s="1512" t="str">
        <f>IF(AND(Data1!B804=TRUE,Demographic&lt;&gt;"Workforce",Demographic&lt;&gt;"Family"),"Verify Demo. Commit.","")</f>
        <v/>
      </c>
      <c r="K7" s="2570"/>
      <c r="L7" s="6"/>
      <c r="M7" s="6"/>
      <c r="N7" s="6"/>
      <c r="O7" s="312"/>
    </row>
    <row r="8" spans="1:16" ht="17.649999999999999" hidden="1" customHeight="1">
      <c r="A8" s="723" t="str">
        <f>IF(Data1!$B805=TRUE,"Yes","No")</f>
        <v>No</v>
      </c>
      <c r="B8" s="97"/>
      <c r="C8" s="2597" t="s">
        <v>1089</v>
      </c>
      <c r="D8" s="2597"/>
      <c r="E8" s="2597"/>
      <c r="F8" s="829"/>
      <c r="H8" s="1512" t="str">
        <f>IF(AND(Data1!B805=TRUE,Demographic&lt;&gt;"Workforce",Demographic&lt;&gt;"Family"),"Verify Demo. Commit.","")</f>
        <v/>
      </c>
      <c r="K8" s="2570"/>
      <c r="L8" s="6"/>
      <c r="M8" s="6"/>
      <c r="N8" s="6"/>
      <c r="O8" s="312"/>
    </row>
    <row r="9" spans="1:16" ht="17.649999999999999" hidden="1" customHeight="1">
      <c r="A9" s="723" t="str">
        <f>IF(Data1!$B806=TRUE,"Yes","No")</f>
        <v>No</v>
      </c>
      <c r="B9" s="97"/>
      <c r="C9" s="2597" t="s">
        <v>1090</v>
      </c>
      <c r="D9" s="2597"/>
      <c r="E9" s="2597"/>
      <c r="F9" s="829"/>
      <c r="H9" s="1512" t="str">
        <f>IF(AND(Data1!B806=TRUE,Demographic&lt;&gt;"Workforce",Demographic&lt;&gt;"Family"),"Verify Demo. Commit.","")</f>
        <v/>
      </c>
      <c r="K9" s="2570"/>
      <c r="L9" s="6"/>
      <c r="M9" s="6"/>
      <c r="N9" s="6"/>
      <c r="O9" s="6"/>
    </row>
    <row r="10" spans="1:16" ht="14.65" hidden="1" customHeight="1">
      <c r="A10" s="98">
        <f>COUNTIF(Data1!B802:B806,"TRUE")</f>
        <v>0</v>
      </c>
      <c r="B10" s="858"/>
      <c r="C10" s="2579" t="str">
        <f>IF(AND(A10&lt;Data1!B800,OR(AND(Link_Classification="New Development",Demographic="Family",Demographic_of_Occupied="Family"),AND(Link_Classification&lt;&gt;"New Development",Demographic="Family"))),"Please select at least "&amp;CHOOSE(Data1!B800+1,"none","one","two","three","four","five","six")&amp;" of the above resident programs before proceeding",IF(OR(AND(Link_Classification="New Development",OR(Demographic&lt;&gt;"Family",Demographic_of_Occupied&lt;&gt;"Family")),AND(Link_Classification&lt;&gt;"New Development",Demographic&lt;&gt;"Family")),"The above programs are not applicable to the selected Demographic Commitment",""))</f>
        <v>The above programs are not applicable to the selected Demographic Commitment</v>
      </c>
      <c r="D10" s="2579"/>
      <c r="E10" s="2579"/>
      <c r="F10" s="2579"/>
      <c r="J10" s="98"/>
      <c r="K10" s="2571"/>
      <c r="O10" s="312"/>
    </row>
    <row r="11" spans="1:16" ht="14.65" customHeight="1">
      <c r="A11" s="25"/>
      <c r="B11" s="3456" t="str">
        <f>"Developments serving the Elderly "&amp;IF(L14=0,"","(ALF or Non-ALF) ")&amp;"Demographic:"</f>
        <v>Developments serving the Elderly (ALF or Non-ALF) Demographic:</v>
      </c>
      <c r="C11" s="3456"/>
      <c r="D11" s="3456"/>
      <c r="E11" s="3456"/>
      <c r="F11" s="862"/>
      <c r="K11" s="2569">
        <v>1</v>
      </c>
      <c r="M11" s="2024" t="str">
        <f>"Controls Rows "&amp;TEXT(ROW(A11),"0")&amp;":"&amp;TEXT(ROW(A21),"0")&amp;", except Row "&amp;TEXT(ROW(A14),"0")&amp;" has on override."</f>
        <v>Controls Rows 11:21, except Row 14 has on override.</v>
      </c>
      <c r="O11" s="312"/>
    </row>
    <row r="12" spans="1:16" ht="10.5" customHeight="1">
      <c r="A12" s="25"/>
      <c r="B12" s="862"/>
      <c r="C12" s="862"/>
      <c r="D12" s="862"/>
      <c r="E12" s="862"/>
      <c r="F12" s="862"/>
      <c r="K12" s="2570"/>
      <c r="O12" s="6"/>
    </row>
    <row r="13" spans="1:16" ht="30" customHeight="1">
      <c r="B13" s="580">
        <v>1</v>
      </c>
      <c r="C13" s="2544" t="str">
        <f>"Required Resident Programs for all Applicants that select the Elderly Demographic "&amp;IF(L14=0,"","(ALF or Non-ALF) ")&amp;"are outlined in Section Four."</f>
        <v>Required Resident Programs for all Applicants that select the Elderly Demographic (ALF or Non-ALF) are outlined in Section Four.</v>
      </c>
      <c r="D13" s="2544"/>
      <c r="E13" s="2544"/>
      <c r="F13" s="2544"/>
      <c r="G13" s="2544"/>
      <c r="H13" s="2544"/>
      <c r="K13" s="2570"/>
      <c r="O13" s="312"/>
      <c r="P13" s="1"/>
    </row>
    <row r="14" spans="1:16" ht="30" customHeight="1">
      <c r="B14" s="580">
        <f>IF(L$14=0,"",2)</f>
        <v>2</v>
      </c>
      <c r="C14" s="2544" t="s">
        <v>1092</v>
      </c>
      <c r="D14" s="2544"/>
      <c r="E14" s="2544"/>
      <c r="F14" s="2544"/>
      <c r="G14" s="2544"/>
      <c r="H14" s="2544"/>
      <c r="K14" s="2570"/>
      <c r="L14" s="2066">
        <f>IF(IFERROR(MATCH("Elderly ALF",DS_Demo_DDMenu,0),0)&gt;0,1,0)</f>
        <v>1</v>
      </c>
      <c r="M14" s="2603" t="s">
        <v>2784</v>
      </c>
      <c r="N14" s="2603"/>
      <c r="O14" s="6"/>
    </row>
    <row r="15" spans="1:16" ht="30" customHeight="1">
      <c r="B15" s="580">
        <f>IF(L$14=0,2,3)</f>
        <v>3</v>
      </c>
      <c r="C15" s="2544" t="str">
        <f>"Applicants that select the Elderly "&amp;IF(L14=0,"","(ALF or Non-ALF) ")&amp;"Demographic must commit to at least three of the following resident programs, in addition to the required resident programs stated in Section Four:"</f>
        <v>Applicants that select the Elderly (ALF or Non-ALF) Demographic must commit to at least three of the following resident programs, in addition to the required resident programs stated in Section Four:</v>
      </c>
      <c r="D15" s="2544"/>
      <c r="E15" s="2544"/>
      <c r="F15" s="2544"/>
      <c r="G15" s="2544"/>
      <c r="H15" s="2544"/>
      <c r="K15" s="2570"/>
      <c r="M15" s="2603"/>
      <c r="N15" s="2603"/>
      <c r="O15" s="6"/>
    </row>
    <row r="16" spans="1:16" ht="17.649999999999999" customHeight="1">
      <c r="A16" s="723" t="str">
        <f>IF(Data1!$B808=TRUE,"Yes","No")</f>
        <v>No</v>
      </c>
      <c r="B16" s="246"/>
      <c r="C16" s="2597" t="s">
        <v>2131</v>
      </c>
      <c r="D16" s="2597"/>
      <c r="E16" s="2597"/>
      <c r="F16" s="2597"/>
      <c r="G16" s="858"/>
      <c r="H16" s="849" t="str">
        <f>IF(AND(Data1!B808=TRUE,Demographic&lt;&gt;"Elderly ALF",Demographic&lt;&gt;"Elderly Non-ALF"),"Verify Demo. Commit.","")</f>
        <v/>
      </c>
      <c r="K16" s="2570"/>
      <c r="L16" s="2065"/>
      <c r="M16" s="2065"/>
      <c r="N16" s="2065"/>
      <c r="O16" s="6"/>
    </row>
    <row r="17" spans="1:15" ht="17.649999999999999" customHeight="1">
      <c r="A17" s="723" t="str">
        <f>IF(Data1!$B809=TRUE,"Yes","No")</f>
        <v>No</v>
      </c>
      <c r="B17" s="36"/>
      <c r="C17" s="2597" t="s">
        <v>1093</v>
      </c>
      <c r="D17" s="2597"/>
      <c r="E17" s="2597"/>
      <c r="F17" s="2597"/>
      <c r="G17" s="858"/>
      <c r="H17" s="849" t="str">
        <f>IF(AND(Data1!B809=TRUE,Demographic&lt;&gt;"Elderly ALF",Demographic&lt;&gt;"Elderly Non-ALF"),"Verify Demo. Commit.","")</f>
        <v/>
      </c>
      <c r="K17" s="2570"/>
      <c r="L17" s="2065"/>
      <c r="M17" s="2065"/>
      <c r="N17" s="2065"/>
      <c r="O17" s="6"/>
    </row>
    <row r="18" spans="1:15" ht="17.649999999999999" customHeight="1">
      <c r="A18" s="723" t="str">
        <f>IF(Data1!$B810=TRUE,"Yes","No")</f>
        <v>No</v>
      </c>
      <c r="B18" s="36"/>
      <c r="C18" s="2597" t="s">
        <v>1094</v>
      </c>
      <c r="D18" s="2597"/>
      <c r="E18" s="2597"/>
      <c r="F18" s="2597"/>
      <c r="G18" s="858"/>
      <c r="H18" s="849" t="str">
        <f>IF(AND(Data1!B810=TRUE,Demographic&lt;&gt;"Elderly ALF",Demographic&lt;&gt;"Elderly Non-ALF"),"Verify Demo. Commit.","")</f>
        <v/>
      </c>
      <c r="K18" s="2570"/>
      <c r="L18" s="2065"/>
      <c r="M18" s="2065"/>
      <c r="N18" s="2065"/>
    </row>
    <row r="19" spans="1:15" ht="17.649999999999999" customHeight="1">
      <c r="A19" s="723" t="str">
        <f>IF(Data1!$B811=TRUE,"Yes","No")</f>
        <v>No</v>
      </c>
      <c r="B19" s="36"/>
      <c r="C19" s="2597" t="s">
        <v>1095</v>
      </c>
      <c r="D19" s="2597"/>
      <c r="E19" s="2597"/>
      <c r="F19" s="2597"/>
      <c r="G19" s="858"/>
      <c r="H19" s="849" t="str">
        <f>IF(AND(Data1!B811=TRUE,Demographic&lt;&gt;"Elderly ALF",Demographic&lt;&gt;"Elderly Non-ALF"),"Verify Demo. Commit.","")</f>
        <v/>
      </c>
      <c r="K19" s="2570"/>
      <c r="L19" s="2065"/>
      <c r="M19" s="2065"/>
      <c r="N19" s="2065"/>
    </row>
    <row r="20" spans="1:15" ht="17.649999999999999" customHeight="1">
      <c r="A20" s="723" t="str">
        <f>IF(Data1!$B812=TRUE,"Yes","No")</f>
        <v>No</v>
      </c>
      <c r="B20" s="36"/>
      <c r="C20" s="2597" t="s">
        <v>1096</v>
      </c>
      <c r="D20" s="2597"/>
      <c r="E20" s="2597"/>
      <c r="F20" s="2597"/>
      <c r="G20" s="858"/>
      <c r="H20" s="849" t="str">
        <f>IF(AND(Data1!B812=TRUE,Demographic&lt;&gt;"Elderly ALF",Demographic&lt;&gt;"Elderly Non-ALF"),"Verify Demo. Commit.","")</f>
        <v/>
      </c>
      <c r="K20" s="2570"/>
      <c r="L20" s="2065"/>
      <c r="M20" s="2065"/>
      <c r="N20" s="2065"/>
    </row>
    <row r="21" spans="1:15" ht="14.65" customHeight="1">
      <c r="A21" s="98">
        <f>COUNTIF(Data1!B808:B812,"TRUE")</f>
        <v>0</v>
      </c>
      <c r="B21" s="861"/>
      <c r="C21" s="2579" t="str">
        <f>IF(AND(A21&lt;3,OR(AND(Link_Classification="New Development",Demographic="Elderly Non-ALF",Demographic_of_Occupied="Elderly Non-ALF"),AND(Link_Classification&lt;&gt;"New Development",OR(Demographic="Elderly Non-ALF",Demographic="Elderly ALF")))),"Please select at least "&amp;CHOOSE(Data1!B800+1,"none","one","two","three","four","five","six")&amp;" of the above resident programs before proceeding",IF(OR(AND(Link_Classification="New Development",OR(Demographic&lt;&gt;"Elderly Non-ALF",Demographic_of_Occupied&lt;&gt;"Elderly Non-ALF")),AND(Link_Classification&lt;&gt;"New Development",AND(Demographic&lt;&gt;"Elderly Non-ALF",Demographic&lt;&gt;"Elderly ALF"))),"The above programs are not applicable to the selected Demographic Commitment",""))</f>
        <v>The above programs are not applicable to the selected Demographic Commitment</v>
      </c>
      <c r="D21" s="2579"/>
      <c r="E21" s="2579"/>
      <c r="F21" s="2579"/>
      <c r="H21" s="849" t="str">
        <f>IF(AND(Data1!B813=TRUE,IF(RIGHT(Excel_RFA_Number,3)&lt;&gt;"214",AND(Demographic&lt;&gt;"Elderly ALF",Demographic&lt;&gt;"Elderly Non-ALF"),OR(AND(Link_Classification="&lt;select one&gt;",Demographic&lt;&gt;"Elderly Non-ALF"),AND(Link_Classification=Data1!$A$15,Demographic&lt;&gt;"Elderly Non-ALF"),AND(Link_Classification="New Development",OR(Demographic&lt;&gt;"Elderly Non-ALF",Demographic_of_Occupied&lt;&gt;"Elderly Non-ALF")),Demographic_of_Occupied&lt;&gt;"Elderly Non-ALF"))),"Verify Demo. Commit.","")</f>
        <v/>
      </c>
      <c r="J21" s="98"/>
      <c r="K21" s="2570"/>
    </row>
    <row r="22" spans="1:15" ht="10.5" customHeight="1">
      <c r="K22" s="2702" t="s">
        <v>2737</v>
      </c>
      <c r="L22" s="2703"/>
      <c r="M22" s="2704"/>
    </row>
    <row r="23" spans="1:15" ht="17.649999999999999" hidden="1" customHeight="1">
      <c r="C23" s="829" t="s">
        <v>2436</v>
      </c>
      <c r="K23" s="2068">
        <v>0</v>
      </c>
      <c r="M23" s="1267" t="s">
        <v>2781</v>
      </c>
    </row>
  </sheetData>
  <sheetProtection algorithmName="SHA-512" hashValue="9/aN2mABpLKJn0TrX1XXgdnfz2+LcAeqP3zDAblsCJzi6R/zEttP6ZnzhqsnPKuhPgzUbVgKmPRT7oIfMFG34A==" saltValue="q9R+PMUEkDXc1uwUA+TYZw==" spinCount="100000" sheet="1" selectLockedCells="1"/>
  <mergeCells count="23">
    <mergeCell ref="K22:M22"/>
    <mergeCell ref="M14:N15"/>
    <mergeCell ref="C19:F19"/>
    <mergeCell ref="C20:F20"/>
    <mergeCell ref="C21:F21"/>
    <mergeCell ref="K11:K21"/>
    <mergeCell ref="C14:H14"/>
    <mergeCell ref="C15:H15"/>
    <mergeCell ref="C16:F16"/>
    <mergeCell ref="C17:F17"/>
    <mergeCell ref="C18:F18"/>
    <mergeCell ref="B11:E11"/>
    <mergeCell ref="C13:H13"/>
    <mergeCell ref="A1:H1"/>
    <mergeCell ref="B3:E3"/>
    <mergeCell ref="K2:N2"/>
    <mergeCell ref="C5:E5"/>
    <mergeCell ref="C6:E6"/>
    <mergeCell ref="K3:K10"/>
    <mergeCell ref="C7:E7"/>
    <mergeCell ref="C8:E8"/>
    <mergeCell ref="C9:E9"/>
    <mergeCell ref="C10:F10"/>
  </mergeCells>
  <conditionalFormatting sqref="A3:H10">
    <cfRule type="expression" dxfId="502" priority="13">
      <formula>$K$3=0</formula>
    </cfRule>
  </conditionalFormatting>
  <conditionalFormatting sqref="A11:H21">
    <cfRule type="expression" dxfId="501" priority="9">
      <formula>$K$11=0</formula>
    </cfRule>
  </conditionalFormatting>
  <conditionalFormatting sqref="A14:H14">
    <cfRule type="expression" dxfId="500" priority="13583">
      <formula>$L$14=0</formula>
    </cfRule>
  </conditionalFormatting>
  <conditionalFormatting sqref="A23:H23">
    <cfRule type="expression" dxfId="499" priority="3">
      <formula>$K23=0</formula>
    </cfRule>
  </conditionalFormatting>
  <conditionalFormatting sqref="B5:B9">
    <cfRule type="expression" dxfId="498" priority="16">
      <formula>OR(AND(Link_Classification="New Development",OR(Demographic&lt;&gt;"Family",Demographic_of_Occupied&lt;&gt;"Family")),AND(Link_Classification&lt;&gt;"New Development",AND(Demographic&lt;&gt;"Family",Demographic&lt;&gt;"Workforce")))</formula>
    </cfRule>
  </conditionalFormatting>
  <conditionalFormatting sqref="B16:B20">
    <cfRule type="expression" dxfId="497" priority="11">
      <formula>OR(AND(Link_Classification="New Development",OR(Demographic&lt;&gt;"Elderly Non-ALF",Demographic_of_Occupied&lt;&gt;"Elderly Non-ALF")),AND(Link_Classification&lt;&gt;"New Development",Demographic&lt;&gt;"Elderly Non-ALF",Demographic&lt;&gt;"Elderly ALF"))</formula>
    </cfRule>
  </conditionalFormatting>
  <conditionalFormatting sqref="B5:H9 A3:H4">
    <cfRule type="expression" dxfId="494" priority="18">
      <formula>OR(AND(Link_Classification="New Development",OR(Demographic&lt;&gt;"Family",Demographic_of_Occupied&lt;&gt;"Family")),AND(Link_Classification&lt;&gt;"New Development",AND(Demographic&lt;&gt;"Family",Demographic&lt;&gt;"Workforce")))</formula>
    </cfRule>
  </conditionalFormatting>
  <conditionalFormatting sqref="C10">
    <cfRule type="expression" dxfId="491" priority="20" stopIfTrue="1">
      <formula>AND($A10&gt;0,$C10="The above programs are not applicable to the selected Demographic Commitment",AND(Demographic&lt;&gt;"Family",Demographic&lt;&gt;"Workforce"))</formula>
    </cfRule>
    <cfRule type="expression" dxfId="490" priority="23" stopIfTrue="1">
      <formula>AND(LEFT($C10,6)="Please",OR(Demographic="Family",Demographic_of_Occupied="Family"),Name_of_proposed_Development&lt;&gt;"")</formula>
    </cfRule>
  </conditionalFormatting>
  <conditionalFormatting sqref="C21 C10">
    <cfRule type="cellIs" dxfId="489" priority="27" operator="equal">
      <formula>"The above programs are not applicable to the selected Demographic Commitment"</formula>
    </cfRule>
  </conditionalFormatting>
  <conditionalFormatting sqref="C21">
    <cfRule type="expression" dxfId="488" priority="21" stopIfTrue="1">
      <formula>AND(LEFT($C21,6)="Please",OR(Demographic="Elderly Non-ALF",Demographic_of_Occupied="Elderly Non-ALF"),Name_of_proposed_Development&lt;&gt;"")</formula>
    </cfRule>
  </conditionalFormatting>
  <conditionalFormatting sqref="C21:F21">
    <cfRule type="expression" dxfId="487" priority="24">
      <formula>$C$21="Please select at least three of the above resident programs before proceeding"</formula>
    </cfRule>
    <cfRule type="expression" dxfId="486" priority="26" stopIfTrue="1">
      <formula>AND($A21&gt;0,$C21="The above programs are not applicable to the selected Demographic Commitment")</formula>
    </cfRule>
  </conditionalFormatting>
  <conditionalFormatting sqref="C16:H20 A11:H15">
    <cfRule type="expression" dxfId="485" priority="13519">
      <formula>AND(Demographic&lt;&gt;"Elderly Non-ALF",Demographic&lt;&gt;"Elderly ALF",Demographic_of_Occupied&lt;&gt;"Elderly Non-ALF")</formula>
    </cfRule>
  </conditionalFormatting>
  <conditionalFormatting sqref="H21">
    <cfRule type="expression" dxfId="484" priority="2">
      <formula>AND(Demographic&lt;&gt;"Elderly Non-ALF",Demographic&lt;&gt;"Elderly ALF",Demographic_of_Occupied&lt;&gt;"Elderly Non-ALF")</formula>
    </cfRule>
  </conditionalFormatting>
  <conditionalFormatting sqref="K3:K21">
    <cfRule type="cellIs" dxfId="483" priority="12" operator="equal">
      <formula>0</formula>
    </cfRule>
  </conditionalFormatting>
  <dataValidations disablePrompts="1" count="1">
    <dataValidation type="list" allowBlank="1" showDropDown="1" showErrorMessage="1" error="To select this Resident Program, type in &quot;x&quot;." sqref="B16:B20 B5:B9" xr:uid="{695B353D-516C-4CB2-96A9-8CDEBDF16144}">
      <formula1>"x,X"</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3238" r:id="rId4" name="Check Box 6">
              <controlPr locked="0" defaultSize="0" autoFill="0" autoLine="0" autoPict="0" altText="">
                <anchor moveWithCells="1">
                  <from>
                    <xdr:col>1</xdr:col>
                    <xdr:colOff>38100</xdr:colOff>
                    <xdr:row>14</xdr:row>
                    <xdr:rowOff>381000</xdr:rowOff>
                  </from>
                  <to>
                    <xdr:col>4</xdr:col>
                    <xdr:colOff>171450</xdr:colOff>
                    <xdr:row>16</xdr:row>
                    <xdr:rowOff>0</xdr:rowOff>
                  </to>
                </anchor>
              </controlPr>
            </control>
          </mc:Choice>
        </mc:AlternateContent>
        <mc:AlternateContent xmlns:mc="http://schemas.openxmlformats.org/markup-compatibility/2006">
          <mc:Choice Requires="x14">
            <control shapeId="223239" r:id="rId5" name="Check Box 7">
              <controlPr locked="0" defaultSize="0" autoFill="0" autoLine="0" autoPict="0" altText="">
                <anchor moveWithCells="1">
                  <from>
                    <xdr:col>1</xdr:col>
                    <xdr:colOff>38100</xdr:colOff>
                    <xdr:row>15</xdr:row>
                    <xdr:rowOff>209550</xdr:rowOff>
                  </from>
                  <to>
                    <xdr:col>4</xdr:col>
                    <xdr:colOff>171450</xdr:colOff>
                    <xdr:row>17</xdr:row>
                    <xdr:rowOff>0</xdr:rowOff>
                  </to>
                </anchor>
              </controlPr>
            </control>
          </mc:Choice>
        </mc:AlternateContent>
        <mc:AlternateContent xmlns:mc="http://schemas.openxmlformats.org/markup-compatibility/2006">
          <mc:Choice Requires="x14">
            <control shapeId="223240" r:id="rId6" name="Check Box 8">
              <controlPr locked="0" defaultSize="0" autoFill="0" autoLine="0" autoPict="0" altText="">
                <anchor moveWithCells="1">
                  <from>
                    <xdr:col>1</xdr:col>
                    <xdr:colOff>38100</xdr:colOff>
                    <xdr:row>16</xdr:row>
                    <xdr:rowOff>209550</xdr:rowOff>
                  </from>
                  <to>
                    <xdr:col>4</xdr:col>
                    <xdr:colOff>171450</xdr:colOff>
                    <xdr:row>18</xdr:row>
                    <xdr:rowOff>0</xdr:rowOff>
                  </to>
                </anchor>
              </controlPr>
            </control>
          </mc:Choice>
        </mc:AlternateContent>
        <mc:AlternateContent xmlns:mc="http://schemas.openxmlformats.org/markup-compatibility/2006">
          <mc:Choice Requires="x14">
            <control shapeId="223241" r:id="rId7" name="Check Box 9">
              <controlPr locked="0" defaultSize="0" autoFill="0" autoLine="0" autoPict="0" altText="">
                <anchor moveWithCells="1">
                  <from>
                    <xdr:col>1</xdr:col>
                    <xdr:colOff>38100</xdr:colOff>
                    <xdr:row>17</xdr:row>
                    <xdr:rowOff>209550</xdr:rowOff>
                  </from>
                  <to>
                    <xdr:col>4</xdr:col>
                    <xdr:colOff>171450</xdr:colOff>
                    <xdr:row>18</xdr:row>
                    <xdr:rowOff>209550</xdr:rowOff>
                  </to>
                </anchor>
              </controlPr>
            </control>
          </mc:Choice>
        </mc:AlternateContent>
        <mc:AlternateContent xmlns:mc="http://schemas.openxmlformats.org/markup-compatibility/2006">
          <mc:Choice Requires="x14">
            <control shapeId="223242" r:id="rId8" name="Check Box 10">
              <controlPr locked="0" defaultSize="0" autoFill="0" autoLine="0" autoPict="0" altText="">
                <anchor moveWithCells="1">
                  <from>
                    <xdr:col>1</xdr:col>
                    <xdr:colOff>38100</xdr:colOff>
                    <xdr:row>18</xdr:row>
                    <xdr:rowOff>209550</xdr:rowOff>
                  </from>
                  <to>
                    <xdr:col>4</xdr:col>
                    <xdr:colOff>171450</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5997842F-A8A2-4BC0-9BCE-E97B302405C5}">
            <xm:f>AND(Data1!$B802=TRUE,OR(AND(Link_Classification="New Development",OR(Demographic="Family",Demographic_of_Occupied="Family")),AND(Link_Classification&lt;&gt;"New Development",OR(Demographic="Family",Demographic="Workforce"))))</xm:f>
            <x14:dxf>
              <font>
                <color auto="1"/>
              </font>
              <fill>
                <patternFill>
                  <bgColor theme="9" tint="0.79998168889431442"/>
                </patternFill>
              </fill>
            </x14:dxf>
          </x14:cfRule>
          <xm:sqref>B5:G9</xm:sqref>
        </x14:conditionalFormatting>
        <x14:conditionalFormatting xmlns:xm="http://schemas.microsoft.com/office/excel/2006/main">
          <x14:cfRule type="expression" priority="14" id="{BD285AA8-0BB9-4CB8-8DFA-4ED80E49A4D1}">
            <xm:f>AND(Data1!$B808=TRUE,OR(Demographic="Elderly Non-ALF",Demographic="Elderly ALF",Demographic_of_Occupied="Elderly Non-ALF"))</xm:f>
            <x14:dxf>
              <fill>
                <patternFill>
                  <bgColor theme="9" tint="0.79998168889431442"/>
                </patternFill>
              </fill>
            </x14:dxf>
          </x14:cfRule>
          <xm:sqref>B16:G20</xm:sqref>
        </x14:conditionalFormatting>
        <x14:conditionalFormatting xmlns:xm="http://schemas.microsoft.com/office/excel/2006/main">
          <x14:cfRule type="expression" priority="7" id="{A977C246-14DF-4B8C-8364-BAF49E500FBC}">
            <xm:f>AND(Data1!$B802=TRUE,OR(AND(Link_Classification="New Development",OR(Demographic&lt;&gt;"Family",Demographic_of_Occupied&lt;&gt;"Family")),AND(Link_Classification&lt;&gt;"New Development",AND(Demographic&lt;&gt;"Family",Demographic&lt;&gt;"Workforce"))))</xm:f>
            <x14:dxf>
              <font>
                <color rgb="FFC00000"/>
              </font>
              <fill>
                <patternFill>
                  <bgColor rgb="FFFFE6FF"/>
                </patternFill>
              </fill>
            </x14:dxf>
          </x14:cfRule>
          <xm:sqref>B5:H9</xm:sqref>
        </x14:conditionalFormatting>
        <x14:conditionalFormatting xmlns:xm="http://schemas.microsoft.com/office/excel/2006/main">
          <x14:cfRule type="expression" priority="19" id="{15820F28-7D9B-4408-AF3F-13B8815FD87D}">
            <xm:f>AND(Data1!$B808=TRUE,Demographic&lt;&gt;"Elderly Non-ALF",Demographic&lt;&gt;"Elderly ALF",Demographic_of_Occupied&lt;&gt;"Elderly Non-ALF")</xm:f>
            <x14:dxf>
              <font>
                <color rgb="FFC00000"/>
              </font>
              <fill>
                <patternFill>
                  <bgColor rgb="FFFFE6FF"/>
                </patternFill>
              </fill>
            </x14:dxf>
          </x14:cfRule>
          <xm:sqref>B16:H20 H21</xm:sqref>
        </x14:conditionalFormatting>
        <x14:conditionalFormatting xmlns:xm="http://schemas.microsoft.com/office/excel/2006/main">
          <x14:cfRule type="expression" priority="5" stopIfTrue="1" id="{1499B79E-3FDB-4ED3-AC1C-F1FDC9DEBBE3}">
            <xm:f>Data1!$E$904="Yes"</xm:f>
            <x14:dxf>
              <font>
                <color theme="0"/>
              </font>
              <fill>
                <patternFill>
                  <bgColor theme="0"/>
                </patternFill>
              </fill>
              <border>
                <left/>
                <right/>
                <top/>
                <bottom/>
                <vertical/>
                <horizontal/>
              </border>
            </x14:dxf>
          </x14:cfRule>
          <xm:sqref>K3:N23</xm:sqref>
        </x14:conditionalFormatting>
      </x14:conditionalFormatting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4.9989318521683403E-2"/>
  </sheetPr>
  <dimension ref="A1:W620"/>
  <sheetViews>
    <sheetView showGridLines="0" zoomScale="110" zoomScaleNormal="110" zoomScaleSheetLayoutView="100" workbookViewId="0">
      <pane ySplit="2" topLeftCell="A3" activePane="bottomLeft" state="frozen"/>
      <selection activeCell="P5" sqref="P5"/>
      <selection pane="bottomLeft" activeCell="I55" sqref="I55"/>
    </sheetView>
  </sheetViews>
  <sheetFormatPr defaultColWidth="8.54296875" defaultRowHeight="14.5"/>
  <cols>
    <col min="1" max="1" width="3" customWidth="1"/>
    <col min="2" max="2" width="4.54296875" customWidth="1"/>
    <col min="3" max="3" width="3.54296875" customWidth="1"/>
    <col min="4" max="4" width="4.453125" customWidth="1"/>
    <col min="5" max="6" width="14.54296875" customWidth="1"/>
    <col min="7" max="7" width="19.54296875" customWidth="1"/>
    <col min="8" max="8" width="24.1796875" customWidth="1"/>
    <col min="9" max="9" width="23" customWidth="1"/>
    <col min="10" max="10" width="8.7265625" customWidth="1"/>
    <col min="11" max="11" width="3.54296875" customWidth="1"/>
    <col min="12" max="12" width="3.54296875" style="24" hidden="1" customWidth="1"/>
    <col min="13" max="15" width="3.54296875" hidden="1" customWidth="1"/>
    <col min="16" max="16" width="35.7265625" hidden="1" customWidth="1"/>
    <col min="17" max="17" width="7.54296875" hidden="1" customWidth="1"/>
    <col min="18" max="18" width="3.54296875" hidden="1" customWidth="1"/>
    <col min="19" max="20" width="8.54296875" customWidth="1"/>
    <col min="23" max="23" width="8.54296875" customWidth="1"/>
  </cols>
  <sheetData>
    <row r="1" spans="1:20" ht="36" customHeight="1" thickBot="1">
      <c r="A1" s="2582" t="s">
        <v>1097</v>
      </c>
      <c r="B1" s="2583"/>
      <c r="C1" s="2583"/>
      <c r="D1" s="2583"/>
      <c r="E1" s="2583"/>
      <c r="F1" s="2583"/>
      <c r="G1" s="2583"/>
      <c r="H1" s="2583"/>
      <c r="I1" s="2584"/>
      <c r="J1" s="829"/>
      <c r="L1"/>
    </row>
    <row r="2" spans="1:20" ht="14.65" customHeight="1">
      <c r="J2" s="829"/>
      <c r="L2" s="3457" t="s">
        <v>845</v>
      </c>
      <c r="M2" s="3458"/>
      <c r="N2" s="3458"/>
      <c r="O2" s="3458"/>
      <c r="P2" s="3458"/>
      <c r="Q2" s="3458"/>
      <c r="R2" s="3459"/>
    </row>
    <row r="3" spans="1:20" ht="14.65" customHeight="1">
      <c r="A3" s="87" t="s">
        <v>858</v>
      </c>
      <c r="B3" s="87" t="s">
        <v>1098</v>
      </c>
      <c r="C3" s="87"/>
      <c r="D3" s="87"/>
      <c r="E3" s="87"/>
      <c r="F3" s="87"/>
      <c r="G3" s="87"/>
      <c r="H3" s="449"/>
      <c r="I3" s="450"/>
      <c r="J3" s="829"/>
      <c r="K3" s="829"/>
      <c r="S3" s="6"/>
      <c r="T3" s="6"/>
    </row>
    <row r="4" spans="1:20" ht="14.65" hidden="1" customHeight="1">
      <c r="B4" s="91" t="str">
        <f>IF($L$4=0,"...",1)</f>
        <v>...</v>
      </c>
      <c r="C4" s="2608" t="s">
        <v>676</v>
      </c>
      <c r="D4" s="2608"/>
      <c r="E4" s="2608"/>
      <c r="F4" s="2608"/>
      <c r="G4" s="2608"/>
      <c r="H4" s="2608"/>
      <c r="I4" s="2608"/>
      <c r="J4" s="829"/>
      <c r="K4" s="829"/>
      <c r="L4" s="2658">
        <v>0</v>
      </c>
      <c r="P4" s="2031" t="str">
        <f>"Controls Rows "&amp;TEXT(ROW(A4),"0")&amp;":"&amp;TEXT(ROW(A18),"0")&amp;"."</f>
        <v>Controls Rows 4:18.</v>
      </c>
    </row>
    <row r="5" spans="1:20" ht="10.5" hidden="1" customHeight="1">
      <c r="J5" s="829"/>
      <c r="K5" s="829"/>
      <c r="L5" s="2659"/>
      <c r="N5" s="1281"/>
      <c r="O5" s="1281"/>
    </row>
    <row r="6" spans="1:20" ht="17.649999999999999" hidden="1" customHeight="1">
      <c r="B6" s="3"/>
      <c r="D6" s="3506" t="s">
        <v>1099</v>
      </c>
      <c r="E6" s="3506"/>
      <c r="F6" s="3506"/>
      <c r="G6" s="3506"/>
      <c r="H6" s="3506"/>
      <c r="J6" s="829"/>
      <c r="K6" s="829"/>
      <c r="L6" s="2659"/>
      <c r="N6" s="2204"/>
      <c r="O6" s="2204"/>
    </row>
    <row r="7" spans="1:20" ht="14.65" hidden="1" customHeight="1">
      <c r="E7" s="272" t="s">
        <v>1100</v>
      </c>
      <c r="F7" s="272"/>
      <c r="G7" s="272"/>
      <c r="H7" s="895" t="str">
        <f>IF(County="&lt;select one&gt;","Select a County",IF(County="Monroe",DS_W_SAIL_PD_FLKeys,"NA"))</f>
        <v>Select a County</v>
      </c>
      <c r="J7" s="829"/>
      <c r="K7" s="829"/>
      <c r="L7" s="2659"/>
      <c r="M7" s="2002">
        <v>0</v>
      </c>
      <c r="N7" s="2204"/>
      <c r="O7" s="2204"/>
      <c r="S7" s="6"/>
    </row>
    <row r="8" spans="1:20" ht="14.65" hidden="1" customHeight="1">
      <c r="E8" s="273" t="s">
        <v>2009</v>
      </c>
      <c r="F8" s="273"/>
      <c r="G8" s="273"/>
      <c r="H8" s="274" t="str">
        <f>IF(County="&lt;select one&gt;","Select a County",IF(OR(total_units_in_NonAIT_setaside_chart&gt;0,IF('Units, Set-Asides, Bldgs'!O82=0,0,N(Workforce_100_AIT_Units)+N(Workforce_120_AIT_Units))+N(Market_AIT_Units)=0),IF(County="Monroe",DS_W_SAIL_PU_FLKeys_80Plus,"NA"),"NA"))</f>
        <v>Select a County</v>
      </c>
      <c r="I8" s="264" t="str" cm="1">
        <f t="array" ref="I8">IF(County="Monroe","(Applicable to "&amp;IF(OR(IF('Units, Set-Asides, Bldgs'!O82=0,0,N(Workforce_AMI_2_AIT))+N(Market_AIT_Units)&gt;0,total_units_in_NonAIT_setaside_chart&gt;0),TEXT(Total_Units,"0"),"0")&amp;" Units)","")</f>
        <v/>
      </c>
      <c r="J8" s="829"/>
      <c r="K8" s="829"/>
      <c r="L8" s="2659"/>
      <c r="M8" s="2002">
        <v>0</v>
      </c>
      <c r="N8" s="2204"/>
      <c r="O8" s="2204"/>
      <c r="S8" s="6"/>
    </row>
    <row r="9" spans="1:20" ht="14.65" hidden="1" customHeight="1">
      <c r="E9" s="273" t="s">
        <v>2062</v>
      </c>
      <c r="F9" s="273"/>
      <c r="G9" s="273"/>
      <c r="H9" s="274"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829"/>
      <c r="K9" s="829"/>
      <c r="L9" s="2659"/>
      <c r="M9" s="2002">
        <v>0</v>
      </c>
      <c r="N9" s="2204"/>
      <c r="O9" s="2204"/>
      <c r="S9" s="6"/>
    </row>
    <row r="10" spans="1:20" ht="14.65" hidden="1" customHeight="1">
      <c r="E10" s="273" t="s">
        <v>1101</v>
      </c>
      <c r="F10" s="273"/>
      <c r="G10" s="273"/>
      <c r="H10" s="274" t="str">
        <f>IF(County="&lt;select one&gt;","Select a County",IF(County&lt;&gt;"Monroe",DS_W_SAIL_PD,"NA"))</f>
        <v>Select a County</v>
      </c>
      <c r="J10" s="829"/>
      <c r="K10" s="829"/>
      <c r="L10" s="2659"/>
      <c r="M10" s="2002">
        <v>0</v>
      </c>
      <c r="N10" s="2204"/>
      <c r="O10" s="2204"/>
      <c r="S10" s="6"/>
    </row>
    <row r="11" spans="1:20" ht="14.65" hidden="1" customHeight="1">
      <c r="E11" s="273" t="s">
        <v>1102</v>
      </c>
      <c r="F11" s="273"/>
      <c r="G11" s="273"/>
      <c r="H11" s="274" t="str">
        <f>IF(County="&lt;select one&gt;","Select a County",IF(County&lt;&gt;"Monroe",DS_W_SAIL_PU,"NA"))</f>
        <v>Select a County</v>
      </c>
      <c r="J11" s="829"/>
      <c r="K11" s="829"/>
      <c r="L11" s="2659"/>
      <c r="M11" s="2002">
        <v>0</v>
      </c>
      <c r="N11" s="2204"/>
      <c r="O11" s="2204"/>
      <c r="S11" s="6"/>
    </row>
    <row r="12" spans="1:20" ht="10.5" hidden="1" customHeight="1">
      <c r="E12" s="271"/>
      <c r="F12" s="271"/>
      <c r="G12" s="271"/>
      <c r="H12" s="268"/>
      <c r="J12" s="829"/>
      <c r="K12" s="829"/>
      <c r="L12" s="2659"/>
      <c r="N12" s="2204"/>
      <c r="O12" s="2204"/>
      <c r="Q12" s="24"/>
    </row>
    <row r="13" spans="1:20" ht="30" hidden="1" customHeight="1">
      <c r="E13" s="2600" t="str">
        <f>IF(AND(M7+M10&gt;0,M8+M9+M11&gt;0),"Lesser of Maximum Request Amount Per Development, or 
Maximum Request Amount via Per Unit",IF(M7+M10&gt;0,"Maximum Request Amount Per Development",IF(M8+M9+M11&gt;0,"Maximum Request Amount via Per Unit","Not Programmed for a")))&amp;" Limit:"</f>
        <v>Not Programmed for a Limit:</v>
      </c>
      <c r="F13" s="2600"/>
      <c r="G13" s="2600"/>
      <c r="H13" s="2600"/>
      <c r="I13" s="895">
        <f>IF(L4=0,0,IF(County="&lt;select one&gt;","Select a County",IF(County="Monroe",MIN(N(H7),Total_Units*IF(OR(IF(N(Workforce_80_AIT_Units)+'Units, Set-Asides, Bldgs'!O82=0,0,N(Workforce_100_AIT_Units)+N(Workforce_120_AIT_Units))+N(Market_AIT_Units)&gt;0,total_units_in_NonAIT_setaside_chart&gt;0),N(H8),N(H9))),MIN(N(H10),Total_Units*N(H11)))))</f>
        <v>0</v>
      </c>
      <c r="J13" s="829"/>
      <c r="K13" s="829"/>
      <c r="L13" s="2659"/>
      <c r="N13" s="2204"/>
      <c r="O13" s="2204"/>
      <c r="Q13" s="24"/>
    </row>
    <row r="14" spans="1:20" ht="10.5" hidden="1" customHeight="1">
      <c r="D14" s="6"/>
      <c r="H14" s="268"/>
      <c r="J14" s="829"/>
      <c r="K14" s="829"/>
      <c r="L14" s="2659"/>
      <c r="Q14" s="24"/>
    </row>
    <row r="15" spans="1:20" ht="17.649999999999999" hidden="1" customHeight="1">
      <c r="C15" s="275" t="s">
        <v>860</v>
      </c>
      <c r="D15" s="267" t="s">
        <v>1103</v>
      </c>
      <c r="E15" s="267"/>
      <c r="F15" s="267"/>
      <c r="G15" s="267"/>
      <c r="H15" s="269"/>
      <c r="I15" s="896"/>
      <c r="J15" s="829"/>
      <c r="K15" s="829"/>
      <c r="L15" s="2659"/>
      <c r="M15" s="24"/>
      <c r="N15" s="24"/>
      <c r="O15" s="24"/>
      <c r="P15" s="24"/>
      <c r="Q15" s="24"/>
    </row>
    <row r="16" spans="1:20" ht="5.25" hidden="1" customHeight="1">
      <c r="J16" s="829"/>
      <c r="K16" s="829"/>
      <c r="L16" s="2659"/>
      <c r="Q16" s="24"/>
    </row>
    <row r="17" spans="2:21" ht="17.649999999999999" hidden="1" customHeight="1">
      <c r="E17" s="267" t="s">
        <v>1104</v>
      </c>
      <c r="F17" s="267"/>
      <c r="G17" s="267"/>
      <c r="H17" s="267"/>
      <c r="I17" s="790">
        <f>MIN(N(Max_Workforce),N(Workforce_Request_Amount))</f>
        <v>0</v>
      </c>
      <c r="J17" s="829"/>
      <c r="K17" s="829"/>
      <c r="L17" s="2659"/>
      <c r="Q17" s="24"/>
    </row>
    <row r="18" spans="2:21" ht="14.65" hidden="1" customHeight="1">
      <c r="J18" s="829"/>
      <c r="K18" s="829"/>
      <c r="L18" s="2571"/>
      <c r="Q18" s="24"/>
    </row>
    <row r="19" spans="2:21" ht="14.65" customHeight="1">
      <c r="B19" s="311">
        <f>IF(AND($L$21=0,$L$59=0),"...",MAX(B$4:B18)+1)</f>
        <v>1</v>
      </c>
      <c r="C19" s="6" t="s">
        <v>1733</v>
      </c>
      <c r="J19" s="829"/>
      <c r="K19" s="829"/>
      <c r="L19" s="3416">
        <f>IF(AND(L21=0,L59=0),0,1)</f>
        <v>1</v>
      </c>
      <c r="M19" s="865"/>
      <c r="N19" s="2028"/>
      <c r="O19" s="2028"/>
      <c r="P19" s="2207" t="s">
        <v>2847</v>
      </c>
      <c r="Q19" s="24"/>
    </row>
    <row r="20" spans="2:21" ht="10.5" customHeight="1">
      <c r="I20" s="1494"/>
      <c r="J20" s="829"/>
      <c r="K20" s="829"/>
      <c r="L20" s="3417"/>
      <c r="M20" s="865"/>
      <c r="N20" s="2028"/>
      <c r="O20" s="2028"/>
      <c r="Q20" s="24"/>
    </row>
    <row r="21" spans="2:21" ht="27.75" customHeight="1">
      <c r="C21" s="21"/>
      <c r="D21" s="2597" t="s">
        <v>2132</v>
      </c>
      <c r="E21" s="2597"/>
      <c r="F21" s="2597"/>
      <c r="G21" s="2597"/>
      <c r="H21" s="3511" t="str">
        <f>IF(OR(AND(DS_SAIL_ELI_Inclusive_PD="Yes",SUM(M22:M34)&gt;0),AND(DS_SAIL_ELI_Inclusive_PU="Yes",SUM(M35:M48)&gt;0),AND(DS_SAIL_ELI_Inclusive_LTC="Yes",M50&gt;0)),"("&amp;IF(AND(DS_SAIL_ELI_Inclusive_PD="Yes",SUM(M22:M34)&gt;0),"Per Development","")&amp;IF(AND(DS_SAIL_ELI_Inclusive_PD="Yes",SUM(M22:M34)&gt;0,DS_SAIL_ELI_Inclusive_PU="Yes",SUM(M35:M48)&gt;0,DS_SAIL_ELI_Inclusive_LTC="Yes",M50&gt;0),", Per Unit &amp; % of TDC",IF(AND(DS_SAIL_ELI_Inclusive_PD="Yes",SUM(M22:M34)&gt;0),IF(AND(DS_SAIL_ELI_Inclusive_PU="Yes",SUM(M35:M48)&gt;0)," &amp; Per Unit",IF(AND(DS_SAIL_ELI_Inclusive_LTC="Yes",M50&gt;0)," &amp; % of TDC","")),IF(AND(DS_SAIL_ELI_Inclusive_PU="Yes",SUM(M35:M48)&gt;0),"Per Unit"&amp;IF(AND(DS_SAIL_ELI_Inclusive_LTC="Yes",M50&gt;0)," &amp; % of TDC",""),IF(AND(DS_SAIL_ELI_Inclusive_LTC="Yes",M50&gt;0),"% of TDC",""))))&amp;" Limits include ELI Funding*)","")</f>
        <v>(Per Development, Per Unit &amp; % of TDC Limits include ELI Funding*)</v>
      </c>
      <c r="I21" s="3511"/>
      <c r="J21" s="829"/>
      <c r="K21" s="829"/>
      <c r="L21" s="3481">
        <v>1</v>
      </c>
      <c r="M21" s="865"/>
      <c r="N21" s="2028"/>
      <c r="O21" s="2028"/>
      <c r="P21" s="2031" t="str">
        <f>"Controls Rows "&amp;TEXT(ROW(A21),"0")&amp;":"&amp;TEXT(ROW(A58),"0")&amp;"."</f>
        <v>Controls Rows 21:58.</v>
      </c>
      <c r="Q21" s="24"/>
    </row>
    <row r="22" spans="2:21" ht="14.65" hidden="1" customHeight="1">
      <c r="C22" s="88"/>
      <c r="D22" s="865"/>
      <c r="E22" s="867" t="str">
        <f>"Per Development - Large Counties"&amp;IF(DS_SAIL_ELI_Inclusive_PD&lt;&gt;"Yes","","*")</f>
        <v>Per Development - Large Counties*</v>
      </c>
      <c r="F22" s="867"/>
      <c r="G22" s="867"/>
      <c r="H22" s="789" t="str">
        <f>IF(OR(L$21=0,M22=0),"",IF(OR(County="&lt;select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45"/>
      <c r="J22" s="265"/>
      <c r="K22" s="829"/>
      <c r="L22" s="2879"/>
      <c r="M22" s="2002">
        <v>0</v>
      </c>
      <c r="N22" s="2028"/>
      <c r="O22" s="2028"/>
      <c r="S22" s="6"/>
    </row>
    <row r="23" spans="2:21" ht="35.25" hidden="1" customHeight="1">
      <c r="C23" s="88"/>
      <c r="D23" s="865"/>
      <c r="E23" s="3512"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*(The Applicant's Eligible ELI Request Amount will be deducted from the gross Per Development SAIL Request Limit to obtain a net Per Development SAIL Request Limit, once an ELI Request Amount has been entered.</v>
      </c>
      <c r="F23" s="3512"/>
      <c r="G23" s="3512"/>
      <c r="H23" s="3512"/>
      <c r="I23" s="3512"/>
      <c r="J23" s="265"/>
      <c r="K23" s="829"/>
      <c r="L23" s="2879"/>
      <c r="M23" s="2187">
        <f>IF(AND(M22=1,DS_SAIL_ELI_Inclusive_PD="Yes"),1,0)</f>
        <v>0</v>
      </c>
      <c r="N23" s="2028"/>
      <c r="O23" s="2028"/>
      <c r="S23" s="6"/>
    </row>
    <row r="24" spans="2:21" ht="14.65" hidden="1" customHeight="1">
      <c r="C24" s="88"/>
      <c r="D24" s="865"/>
      <c r="E24" s="867" t="str">
        <f>"Per Development - Medium Counties"&amp;IF(DS_SAIL_ELI_Inclusive_PD&lt;&gt;"Yes","","*")</f>
        <v>Per Development - Medium Counties*</v>
      </c>
      <c r="F24" s="867"/>
      <c r="G24" s="867"/>
      <c r="H24" s="789" t="str">
        <f>IF(OR(L$21=0,M24=0),"",IF(OR(County="&lt;select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45"/>
      <c r="J24" s="829"/>
      <c r="K24" s="829"/>
      <c r="L24" s="2879"/>
      <c r="M24" s="2002">
        <v>0</v>
      </c>
      <c r="N24" s="2028"/>
      <c r="O24" s="2028"/>
      <c r="S24" s="6"/>
    </row>
    <row r="25" spans="2:21" ht="35.25" hidden="1" customHeight="1">
      <c r="C25" s="88"/>
      <c r="D25" s="865"/>
      <c r="E25" s="3512"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*(The Applicant's Eligible ELI Request Amount will be deducted from the gross Per Development SAIL Request Limit to obtain a net Per Development SAIL Request Limit, once an ELI Request Amount has been entered.</v>
      </c>
      <c r="F25" s="3512"/>
      <c r="G25" s="3512"/>
      <c r="H25" s="3512"/>
      <c r="I25" s="3512"/>
      <c r="J25" s="829"/>
      <c r="K25" s="829"/>
      <c r="L25" s="2879"/>
      <c r="M25" s="2187">
        <f>IF(AND(M24=1,DS_SAIL_ELI_Inclusive_PD="Yes"),1,0)</f>
        <v>0</v>
      </c>
      <c r="N25" s="2028"/>
      <c r="O25" s="2028"/>
      <c r="S25" s="6"/>
    </row>
    <row r="26" spans="2:21" ht="14.65" hidden="1" customHeight="1">
      <c r="C26" s="88"/>
      <c r="D26" s="865"/>
      <c r="E26" s="867" t="str">
        <f>"Per Development - Small Counties"&amp;IF(DS_SAIL_ELI_Inclusive_PD&lt;&gt;"Yes","","*")</f>
        <v>Per Development - Small Counties*</v>
      </c>
      <c r="F26" s="1107"/>
      <c r="G26" s="1107"/>
      <c r="H26" s="789" t="str">
        <f>IF(OR(L$21=0,M26=0),"",IF(OR(County="&lt;select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45"/>
      <c r="J26" s="829"/>
      <c r="K26" s="829"/>
      <c r="L26" s="2879"/>
      <c r="M26" s="2002">
        <v>0</v>
      </c>
      <c r="N26" s="2028"/>
      <c r="O26" s="2028"/>
      <c r="S26" s="6"/>
    </row>
    <row r="27" spans="2:21" ht="35.25" hidden="1" customHeight="1">
      <c r="C27" s="88"/>
      <c r="D27" s="865"/>
      <c r="E27" s="3512"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*(The Applicant's Eligible ELI Request Amount will be deducted from the gross Per Development SAIL Request Limit to obtain a net Per Development SAIL Request Limit, once an ELI Request Amount has been entered.</v>
      </c>
      <c r="F27" s="3512"/>
      <c r="G27" s="3512"/>
      <c r="H27" s="3512"/>
      <c r="I27" s="3512"/>
      <c r="J27" s="829"/>
      <c r="K27" s="829"/>
      <c r="L27" s="2879"/>
      <c r="M27" s="2187">
        <f>IF(AND(M26=1,DS_SAIL_ELI_Inclusive_PD="Yes"),1,0)</f>
        <v>0</v>
      </c>
      <c r="N27" s="2028"/>
      <c r="O27" s="2028"/>
      <c r="S27" s="6"/>
    </row>
    <row r="28" spans="2:21" ht="14.65" customHeight="1">
      <c r="C28" s="88"/>
      <c r="D28" s="865"/>
      <c r="E28" s="752" t="str">
        <f>"Per Development - "&amp;IF(Data1!E236=1,"Preservation","")&amp;IF(Data1!E235+Data1!E236=3," or ","")&amp;IF(Data1!E235=2,"Rehabilitation","")&amp;IF(DS_SAIL_ELI_Inclusive_PD&lt;&gt;"Yes","","*")</f>
        <v>Per Development - Preservation or Rehabilitation*</v>
      </c>
      <c r="F28" s="867"/>
      <c r="G28" s="867"/>
      <c r="H28" s="789" t="str">
        <f>IF(OR(L$21=0,M28=0),"",IF(Development_Category="&lt;select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Select a Dev. Category</v>
      </c>
      <c r="I28" s="278" t="s">
        <v>1714</v>
      </c>
      <c r="J28" s="829"/>
      <c r="K28" s="829"/>
      <c r="L28" s="2879"/>
      <c r="M28" s="2002">
        <v>1</v>
      </c>
      <c r="N28" s="2028"/>
      <c r="O28" s="2028"/>
      <c r="S28" s="6"/>
      <c r="U28" s="264"/>
    </row>
    <row r="29" spans="2:21" ht="35.25" customHeight="1">
      <c r="C29" s="88"/>
      <c r="D29" s="865"/>
      <c r="E29" s="3513"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*(The Applicant's Eligible ELI Request Amount will be deducted from the gross Per Development SAIL Request Limit to obtain a net Per Development SAIL Request Limit, once an ELI Request Amount has been entered.</v>
      </c>
      <c r="F29" s="3513"/>
      <c r="G29" s="3513"/>
      <c r="H29" s="3513"/>
      <c r="I29" s="3513"/>
      <c r="J29" s="829"/>
      <c r="K29" s="829"/>
      <c r="L29" s="2879"/>
      <c r="M29" s="2187">
        <f>IF(AND(M28=1,DS_SAIL_ELI_Inclusive_PD="Yes"),1,0)</f>
        <v>1</v>
      </c>
      <c r="N29" s="2028"/>
      <c r="O29" s="2028"/>
      <c r="S29" s="6"/>
      <c r="U29" s="264"/>
    </row>
    <row r="30" spans="2:21" ht="14.65" hidden="1" customHeight="1">
      <c r="C30" s="88"/>
      <c r="D30" s="865"/>
      <c r="E30" s="867" t="str">
        <f>"Per Development - Demographic Basis"&amp;IF(DS_SAIL_ELI_Inclusive_PD&lt;&gt;"Yes","","*")</f>
        <v>Per Development - Demographic Basis*</v>
      </c>
      <c r="F30" s="867"/>
      <c r="G30" s="867"/>
      <c r="H30" s="789" t="str">
        <f>IF(OR(L$21=0,M30=0),"",DS_SAIL_PD_Demo-IF(DS_SAIL_ELI_Inclusive_PD="Yes",MIN(Max_ELI,Eligible_ELI_Request_Amount),0))</f>
        <v/>
      </c>
      <c r="I30" s="278"/>
      <c r="J30" s="829"/>
      <c r="K30" s="829"/>
      <c r="L30" s="2879"/>
      <c r="M30" s="2002">
        <v>0</v>
      </c>
      <c r="N30" s="2028"/>
      <c r="O30" s="2028"/>
      <c r="S30" s="6"/>
    </row>
    <row r="31" spans="2:21" ht="35.25" hidden="1" customHeight="1">
      <c r="C31" s="88"/>
      <c r="D31" s="865"/>
      <c r="E31" s="3512"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*(The Applicant's Eligible ELI Request Amount will be deducted from the gross Per Development SAIL Request Limit to obtain a net Per Development SAIL Request Limit, once an ELI Request Amount has been entered.</v>
      </c>
      <c r="F31" s="3512"/>
      <c r="G31" s="3512"/>
      <c r="H31" s="3512"/>
      <c r="I31" s="3512"/>
      <c r="J31" s="829"/>
      <c r="K31" s="829"/>
      <c r="L31" s="2879"/>
      <c r="M31" s="2187">
        <f>IF(AND(M30=1,DS_SAIL_ELI_Inclusive_PD="Yes"),1,0)</f>
        <v>0</v>
      </c>
      <c r="N31" s="2028"/>
      <c r="O31" s="2028"/>
      <c r="S31" s="6"/>
    </row>
    <row r="32" spans="2:21" ht="14.65" hidden="1" customHeight="1">
      <c r="C32" s="88"/>
      <c r="D32" s="865"/>
      <c r="E32" s="867" t="s">
        <v>3253</v>
      </c>
      <c r="F32" s="867"/>
      <c r="G32" s="867"/>
      <c r="H32" s="789" t="str">
        <f>IF(OR(L$21=0,M32=0),"",IF(County="&lt;select one&gt;","Select a County",IF(County&lt;&gt;"",DS_SAIL_PD_Min,"NA")))</f>
        <v/>
      </c>
      <c r="I32" s="523" t="s">
        <v>1105</v>
      </c>
      <c r="J32" s="728"/>
      <c r="K32" s="728"/>
      <c r="L32" s="2879"/>
      <c r="M32" s="2002">
        <v>0</v>
      </c>
      <c r="N32" s="2028"/>
      <c r="O32" s="2028"/>
      <c r="S32" s="6"/>
    </row>
    <row r="33" spans="2:23" ht="14.65" hidden="1" customHeight="1">
      <c r="C33" s="88"/>
      <c r="D33" s="865"/>
      <c r="E33" s="270" t="str">
        <f>"Per Development - New Construction"&amp;IF(DS_SAIL_ELI_Inclusive_PD&lt;&gt;"Yes","","*")</f>
        <v>Per Development - New Construction*</v>
      </c>
      <c r="F33" s="270"/>
      <c r="G33" s="270"/>
      <c r="H33" s="279" t="str">
        <f>IF(OR(L$21=0,M33=0),"",IF(Development_Category="&lt;select one&gt;","Select a Dev. Category",IF(Development_Category="New Construction",DS_SAIL_PD_NC-IF(DS_SAIL_ELI_Inclusive_PD="Yes",MIN(Max_ELI,Eligible_ELI_Request_Amount),0),"NA")))</f>
        <v/>
      </c>
      <c r="I33" s="278"/>
      <c r="J33" s="829"/>
      <c r="K33" s="829"/>
      <c r="L33" s="2879"/>
      <c r="M33" s="2002">
        <v>0</v>
      </c>
      <c r="N33" s="2028"/>
      <c r="O33" s="2028"/>
      <c r="S33" s="6"/>
    </row>
    <row r="34" spans="2:23" ht="35.25" hidden="1" customHeight="1">
      <c r="C34" s="88"/>
      <c r="D34" s="865"/>
      <c r="E34" s="3513"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*(The Applicant's Eligible ELI Request Amount will be deducted from the gross Per Development SAIL Request Limit to obtain a net Per Development SAIL Request Limit, once an ELI Request Amount has been entered.)</v>
      </c>
      <c r="F34" s="3513"/>
      <c r="G34" s="3513"/>
      <c r="H34" s="3513"/>
      <c r="I34" s="3513"/>
      <c r="J34" s="829"/>
      <c r="K34" s="829"/>
      <c r="L34" s="2879"/>
      <c r="M34" s="2187">
        <f>IF(AND(M33=1,DS_SAIL_ELI_Inclusive_PD="Yes"),1,0)</f>
        <v>0</v>
      </c>
      <c r="N34" s="2028"/>
      <c r="O34" s="2028"/>
      <c r="S34" s="6"/>
    </row>
    <row r="35" spans="2:23" ht="14.65" hidden="1" customHeight="1">
      <c r="B35" s="3507"/>
      <c r="C35" s="3507"/>
      <c r="D35" s="3507"/>
      <c r="E35" s="273" t="str">
        <f>"Per Unit - New Construction"&amp;IF(DS_SAIL_ELI_Inclusive_PU&lt;&gt;"Yes",""," (Gross)")</f>
        <v>Per Unit - New Construction (Gross)</v>
      </c>
      <c r="F35" s="273"/>
      <c r="G35" s="273"/>
      <c r="H35" s="274" t="str">
        <f>IF(OR(L$21=0,M35=0),"",IF(Development_Category="&lt;select one&gt;","Select a Dev. Category",IF(SUM('Proposed Development Info'!$H$138:$H$146)&gt;0,DS_SAIL_PU_NC,"NA")))</f>
        <v/>
      </c>
      <c r="I35" s="3520" t="str">
        <f>IF(OR(M35+M36=0,AND(M35=1,H35="NA",M36=0),AND(M35=0,H36="NA",M36=1),AND(H35="NA",H36="NA")),"","("&amp;TEXT(N(H35)*SUM('Proposed Development Info'!H138:H146)+N(H36)*SUM('Proposed Development Info'!H147:H160),"$#,##0")&amp;" Per Dev"&amp;IF(DS_SAIL_ELI_Inclusive_PU&lt;&gt;"Yes","elopment)",". - Gross)"&amp;CHAR(10)&amp;"("&amp;TEXT(N(H35)*SUM('Proposed Development Info'!H138:H146)+N(H36)*SUM('Proposed Development Info'!H147:H160)-Eligible_ELI_Request_Amount,"$#,##0")&amp;" Per Dev. - Net)"))</f>
        <v>($0 Per Dev. - Gross)
($0 Per Dev. - Net)</v>
      </c>
      <c r="J35" s="1372"/>
      <c r="K35" s="829"/>
      <c r="L35" s="2879"/>
      <c r="M35" s="2002">
        <v>0</v>
      </c>
      <c r="N35" s="2028"/>
      <c r="O35" s="2028"/>
      <c r="P35" s="268"/>
      <c r="S35" s="6"/>
    </row>
    <row r="36" spans="2:23" ht="29.65" customHeight="1">
      <c r="B36" s="3507"/>
      <c r="C36" s="3507"/>
      <c r="D36" s="3507"/>
      <c r="E36" s="273" t="str">
        <f>"Per Unit - Substantial Rehabilitation"&amp;IF(DS_SAIL_ELI_Inclusive_PU&lt;&gt;"Yes",""," (Gross)")</f>
        <v>Per Unit - Substantial Rehabilitation (Gross)</v>
      </c>
      <c r="F36" s="273"/>
      <c r="G36" s="273"/>
      <c r="H36" s="274" t="str">
        <f>IF(OR(L$21=0,M36=0),"",IF(Development_Category="&lt;select one&gt;","Select a Dev. Category",IF(SUM('Proposed Development Info'!$H$147:$H$160)&gt;0,DS_SAIL_PU_SR,"NA")))</f>
        <v>Select a Dev. Category</v>
      </c>
      <c r="I36" s="3520"/>
      <c r="J36" s="829"/>
      <c r="K36" s="829"/>
      <c r="L36" s="2879"/>
      <c r="M36" s="2002">
        <v>1</v>
      </c>
      <c r="N36" s="2028"/>
      <c r="O36" s="2028"/>
      <c r="S36" s="6"/>
    </row>
    <row r="37" spans="2:23" ht="70.150000000000006" customHeight="1">
      <c r="C37" s="88"/>
      <c r="D37" s="865"/>
      <c r="E37" s="3523" t="str">
        <f>IF(M35+M36=0,"",IF(total_units_in_unit_desc_chart=0,"","The "&amp;IF(DS_SAIL_ELI_Inclusive_PD="Yes","gross ","")&amp;"Per Development request limit based on the above Per Unit Request Limit"&amp;IF(AND(N(SUM('Proposed Development Info'!$H$138:$H$146))&gt;1,N(SUM('Proposed Development Info'!$H$147:$H$160))&gt;1),"s","")&amp;" is calculated by multiplying "&amp;IF(N(SUM('Proposed Development Info'!$H$138:$H$146))&gt;1,TEXT(N(SUM('Proposed Development Info'!$H$138:$H$146)),"0")&amp;" new construction units by "&amp;TEXT(Funding!H35,"$#,##0")&amp;" per unit","")&amp;IF(AND(N(SUM('Proposed Development Info'!$H$138:$H$146))&gt;1,N(SUM('Proposed Development Info'!$H$147:$H$160))&gt;1)," and adding ","")&amp;IF(N(SUM('Proposed Development Info'!$H$147:$H$160))&gt;1,TEXT(N(SUM('Proposed Development Info'!$H$147:$H$160)),"0")&amp;"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3523"/>
      <c r="G37" s="3523"/>
      <c r="H37" s="3523"/>
      <c r="I37" s="3523"/>
      <c r="J37" s="1372"/>
      <c r="K37" s="829"/>
      <c r="L37" s="2879"/>
      <c r="M37" s="2187">
        <f>MAX(M35,M36)</f>
        <v>1</v>
      </c>
      <c r="N37" s="2028"/>
      <c r="O37" s="2028"/>
      <c r="S37" s="6"/>
    </row>
    <row r="38" spans="2:23" ht="17.649999999999999" hidden="1" customHeight="1">
      <c r="B38" s="3508"/>
      <c r="C38" s="3509"/>
      <c r="D38" s="3509"/>
      <c r="E38" s="868" t="s">
        <v>2079</v>
      </c>
      <c r="F38" s="868"/>
      <c r="G38" s="868"/>
      <c r="H38" s="1368" t="str">
        <f>IF(OR(L$21=0,M38=0),"",IF(Development_Category="&lt;select one&gt;","Select a Dev. Category",IF(SUM('Proposed Development Info'!$H$138:$H$146)&gt;0,DS_SAIL_PU_LL_HC_60,"NA")))</f>
        <v/>
      </c>
      <c r="I38" s="3524" t="str">
        <f>IF(SUM(M38:M44)=0,"","("&amp;TEXT(Data3!K92,"$#,##0")&amp;"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369"/>
      <c r="K38" s="829"/>
      <c r="L38" s="2879"/>
      <c r="M38" s="2002">
        <v>0</v>
      </c>
      <c r="N38" s="2028"/>
      <c r="O38" s="2028"/>
      <c r="S38" s="6"/>
    </row>
    <row r="39" spans="2:23" ht="17.649999999999999" hidden="1" customHeight="1">
      <c r="B39" s="3508"/>
      <c r="C39" s="3509"/>
      <c r="D39" s="3509"/>
      <c r="E39" s="868" t="s">
        <v>2080</v>
      </c>
      <c r="F39" s="868"/>
      <c r="G39" s="868"/>
      <c r="H39" s="274" t="str">
        <f>IF(OR(L$21=0,M39=0),"",IF(Development_Category="&lt;select one&gt;","Select a Dev. Category",IF(SUM('Proposed Development Info'!$H$138:$H$146)&gt;0,DS_SAIL_PU_LL_HC_80,"NA")))</f>
        <v/>
      </c>
      <c r="I39" s="3525"/>
      <c r="J39" s="1369"/>
      <c r="K39" s="829"/>
      <c r="L39" s="2879"/>
      <c r="M39" s="2002">
        <v>0</v>
      </c>
      <c r="N39" s="2028"/>
      <c r="O39" s="2028"/>
      <c r="S39" s="6"/>
    </row>
    <row r="40" spans="2:23" ht="17.649999999999999" hidden="1" customHeight="1">
      <c r="B40" s="3508"/>
      <c r="C40" s="3509"/>
      <c r="D40" s="3509"/>
      <c r="E40" s="868" t="s">
        <v>2081</v>
      </c>
      <c r="F40" s="868"/>
      <c r="G40" s="868"/>
      <c r="H40" s="274" t="str">
        <f>IF(OR(L$21=0,M40=0),"",IF(Development_Category="&lt;select one&gt;","Select a Dev. Category",IF(SUM('Proposed Development Info'!$H$138:$H$146)&gt;0,DS_SAIL_PU_LL_NonHC_80,"NA")))</f>
        <v/>
      </c>
      <c r="I40" s="3525"/>
      <c r="J40" s="1369"/>
      <c r="K40" s="829"/>
      <c r="L40" s="2879"/>
      <c r="M40" s="2002">
        <v>0</v>
      </c>
      <c r="N40" s="2028"/>
      <c r="O40" s="2028"/>
      <c r="S40" s="6"/>
    </row>
    <row r="41" spans="2:23" ht="17.649999999999999" hidden="1" customHeight="1">
      <c r="B41" s="1465"/>
      <c r="C41" s="1466"/>
      <c r="D41" s="1466"/>
      <c r="E41" s="868" t="s">
        <v>2191</v>
      </c>
      <c r="F41" s="868"/>
      <c r="G41" s="868"/>
      <c r="H41" s="274" t="str" cm="1">
        <f t="array" ref="H41">IF(OR(L$21=0,M41=0),"",IF(Development_Category="&lt;select one&gt;","Select a Dev. Category",IF(SUM('Proposed Development Info'!$H$140:$H$162)&gt;0,DS_SAIL_PU_LL_NonHC_90,"NA")))</f>
        <v/>
      </c>
      <c r="I41" s="3525"/>
      <c r="J41" s="1369"/>
      <c r="K41" s="829"/>
      <c r="L41" s="2879"/>
      <c r="M41" s="2002">
        <v>0</v>
      </c>
      <c r="N41" s="2028"/>
      <c r="O41" s="2028"/>
      <c r="S41" s="6"/>
    </row>
    <row r="42" spans="2:23" ht="17.649999999999999" hidden="1" customHeight="1">
      <c r="B42" s="3508"/>
      <c r="C42" s="3509"/>
      <c r="D42" s="3509"/>
      <c r="E42" s="868" t="str">
        <f>"Per NC Unit - Non-HC Unit &gt; "&amp;TEXT(IF(M41=0,"80%","90%"),"0%")&amp;" AMI &amp; =&lt; 100% AMI"</f>
        <v>Per NC Unit - Non-HC Unit &gt; 80% AMI &amp; =&lt; 100% AMI</v>
      </c>
      <c r="F42" s="868"/>
      <c r="G42" s="868"/>
      <c r="H42" s="274" t="str">
        <f>IF(OR(L$21=0,M42=0),"",IF(Development_Category="&lt;select one&gt;","Select a Dev. Category",IF(SUM('Proposed Development Info'!$H$138:$H$146)&gt;0,DS_SAIL_PU_LL_NonHC_100,"NA")))</f>
        <v/>
      </c>
      <c r="I42" s="3525"/>
      <c r="J42" s="1369"/>
      <c r="K42" s="829"/>
      <c r="L42" s="2879"/>
      <c r="M42" s="2002">
        <v>0</v>
      </c>
      <c r="N42" s="2028"/>
      <c r="O42" s="2028"/>
      <c r="S42" s="6"/>
      <c r="W42" s="1371"/>
    </row>
    <row r="43" spans="2:23" ht="17.649999999999999" hidden="1" customHeight="1">
      <c r="B43" s="1465"/>
      <c r="C43" s="1466"/>
      <c r="D43" s="1466"/>
      <c r="E43" s="868" t="s">
        <v>2192</v>
      </c>
      <c r="F43" s="868"/>
      <c r="G43" s="868"/>
      <c r="H43" s="274" t="str" cm="1">
        <f t="array" ref="H43">IF(OR(L$21=0,M43=0),"",IF(Development_Category="&lt;select one&gt;","Select a Dev. Category",IF(SUM('Proposed Development Info'!$H$140:$H$162)&gt;0,DS_SAIL_PU_LL_NonHC_110,"NA")))</f>
        <v/>
      </c>
      <c r="I43" s="3525"/>
      <c r="J43" s="1369"/>
      <c r="K43" s="829"/>
      <c r="L43" s="2879"/>
      <c r="M43" s="2002">
        <v>0</v>
      </c>
      <c r="N43" s="2028"/>
      <c r="O43" s="2028"/>
      <c r="S43" s="6"/>
      <c r="W43" s="1371"/>
    </row>
    <row r="44" spans="2:23" ht="17.649999999999999" hidden="1" customHeight="1">
      <c r="B44" s="3508"/>
      <c r="C44" s="3509"/>
      <c r="D44" s="3509"/>
      <c r="E44" s="868" t="str">
        <f>"Per NC Unit - Non-HC Unit &gt; "&amp;TEXT(IF(M43=0,"100%","110%"),"0%")&amp;" AMI &amp; =&lt; 120% AMI"</f>
        <v>Per NC Unit - Non-HC Unit &gt; 100% AMI &amp; =&lt; 120% AMI</v>
      </c>
      <c r="F44" s="868"/>
      <c r="G44" s="868"/>
      <c r="H44" s="274" t="str">
        <f>IF(OR(L$21=0,M44=0),"",IF(Development_Category="&lt;select one&gt;","Select a Dev. Category",IF(SUM('Proposed Development Info'!$H$138:$H$146)&gt;0,DS_SAIL_PU_LL_NonHC_120,"NA")))</f>
        <v/>
      </c>
      <c r="I44" s="3525"/>
      <c r="J44" s="1369"/>
      <c r="K44" s="829"/>
      <c r="L44" s="2879"/>
      <c r="M44" s="1993">
        <v>0</v>
      </c>
      <c r="N44" s="2028"/>
      <c r="O44" s="2028"/>
      <c r="S44" s="6"/>
    </row>
    <row r="45" spans="2:23" ht="80.25" hidden="1" customHeight="1">
      <c r="C45" s="88"/>
      <c r="D45" s="865"/>
      <c r="E45" s="3517" t="str">
        <f>IF(N(H38)+N(H39)+N(H40)+N(H41)+N(H42)+N(H43)+N(H44)=0,"","The "&amp;IF(DS_SAIL_ELI_Inclusive_PU="Yes","gross ","")&amp;"Per Development request limit based on the above Per Unit Request Limit"&amp;IF(COUNTIF(H38:H44,"&gt;30000")&gt;1,"s","")&amp;" is calculated by adding together the "&amp;IF($M$38=0,"",TEXT(IF(Minimum_SetAside_per_Sec_42=DS_IRS_2050,SUM('Units, Set-Asides, Bldgs'!F$50:F$57),IF(Minimum_SetAside_per_Sec_42=DS_IRS_4060,SUM('Units, Set-Asides, Bldgs'!F$50:F$58),IF(Minimum_SetAside_per_Sec_42=DS_IRS_AIT,SUM('Units, Set-Asides, Bldgs'!F$71:F$75),0))),"0")&amp;" HC units at or below 60% AMI (each at "&amp;TEXT(DS_SAIL_PU_LL_HC_60,"$#,##0")&amp;")"&amp;IF(Minimum_SetAside_per_Sec_42=DS_IRS_AIT,IF(COUNTIF('Units, Set-Asides, Bldgs'!F$76:F$82,"&lt;&gt;0")=1," and ",", "),IF(COUNTIF('Units, Set-Asides, Bldgs'!F$59:F$63,"&lt;&gt;0")=1," and ",", ")))&amp;IF(OR($M$39=0,IF(Minimum_SetAside_per_Sec_42&lt;&gt;DS_IRS_AIT,0,SUM('Units, Set-Asides, Bldgs'!F$76:F$77))=0),"",TEXT(SUM('Units, Set-Asides, Bldgs'!F$76:F$77),"0")&amp;" HC units above 60% AMI (each at "&amp;TEXT(DS_SAIL_PU_LL_HC_80,"$#,##0")&amp;")"&amp;IF(Minimum_SetAside_per_Sec_42=DS_IRS_AIT,IF(COUNTIF('Units, Set-Asides, Bldgs'!F$78:F$82,"&lt;&gt;0")=1," and ",", "),IF(COUNTIF('Units, Set-Asides, Bldgs'!F$59:F$63,"&lt;&gt;0")=1," and ",", ")))&amp;IF(OR($M$40=0,IF(Minimum_SetAside_per_Sec_42&lt;&gt;DS_IRS_AIT,'Units, Set-Asides, Bldgs'!F$59,'Units, Set-Asides, Bldgs'!F$78)=0),"",TEXT(IF(Minimum_SetAside_per_Sec_42&lt;&gt;DS_IRS_AIT,'Units, Set-Asides, Bldgs'!F$59,'Units, Set-Asides, Bldgs'!F$78),"0")&amp;" non-HC Live Local units at 80% AMI (each at "&amp;TEXT(DS_SAIL_PU_LL_NonHC_80,"$#,##0")&amp;")"&amp;IF(Minimum_SetAside_per_Sec_42=DS_IRS_AIT,IF(COUNTIF('Units, Set-Asides, Bldgs'!F$79:F$82,"&lt;&gt;0")=1," and ",", "),IF(COUNTIF('Units, Set-Asides, Bldgs'!F$60:F$63,"&lt;&gt;0")=1," and ",", ")))&amp;IF(OR($M$41=0,IF(Minimum_SetAside_per_Sec_42&lt;&gt;DS_IRS_AIT,'Units, Set-Asides, Bldgs'!F$60,'Units, Set-Asides, Bldgs'!F$79)=0),"",TEXT(IF(Minimum_SetAside_per_Sec_42&lt;&gt;DS_IRS_AIT,'Units, Set-Asides, Bldgs'!F$60,'Units, Set-Asides, Bldgs'!F$79),"0")&amp;" non-HC Live Local units at 90% AMI (each at "&amp;TEXT(DS_SAIL_PU_LL_NonHC_90,"$#,##0")&amp;")"&amp;IF(Minimum_SetAside_per_Sec_42=DS_IRS_AIT,IF(COUNTIF('Units, Set-Asides, Bldgs'!F$80:F$82,"&lt;&gt;0")=1," and ",", "),IF(COUNTIF('Units, Set-Asides, Bldgs'!F$61:F$63,"&lt;&gt;0")=1," and ",", ")))&amp;IF(OR($M$42=0,IF(Minimum_SetAside_per_Sec_42&lt;&gt;DS_IRS_AIT,'Units, Set-Asides, Bldgs'!F$61,'Units, Set-Asides, Bldgs'!F$80)=0),"",TEXT(IF(Minimum_SetAside_per_Sec_42&lt;&gt;DS_IRS_AIT,'Units, Set-Asides, Bldgs'!F$61,'Units, Set-Asides, Bldgs'!F$80),"0")&amp;" non-HC Live Local units at 100% AMI (each at "&amp;TEXT(DS_SAIL_PU_LL_NonHC_100,"$#,##0")&amp;")"&amp;IF(Minimum_SetAside_per_Sec_42=DS_IRS_AIT,IF(COUNTIF('Units, Set-Asides, Bldgs'!F$81:F$82,"&lt;&gt;0")=1," and ",", "),IF(COUNTIF('Units, Set-Asides, Bldgs'!F$62:F$63,"&lt;&gt;0")=1," and ",", ")))&amp;IF(OR($M$43=0,IF(Minimum_SetAside_per_Sec_42&lt;&gt;DS_IRS_AIT,'Units, Set-Asides, Bldgs'!F$62,'Units, Set-Asides, Bldgs'!F$81)=0),"",TEXT(IF(Minimum_SetAside_per_Sec_42&lt;&gt;DS_IRS_AIT,'Units, Set-Asides, Bldgs'!F$62,'Units, Set-Asides, Bldgs'!F$81),"0")&amp;" non-HC Live Local units at 110% AMI (each at "&amp;TEXT(DS_SAIL_PU_LL_NonHC_110,"$#,##0")&amp;")"&amp;IF(Minimum_SetAside_per_Sec_42=DS_IRS_AIT,IF('Units, Set-Asides, Bldgs'!F$82=0," "," and "),IF('Units, Set-Asides, Bldgs'!F$63=0," "," and ")))&amp;IF(OR($M$44=0,IF(Minimum_SetAside_per_Sec_42&lt;&gt;DS_IRS_AIT,'Units, Set-Asides, Bldgs'!F$63,'Units, Set-Asides, Bldgs'!F$82)=0),"",TEXT(IF(Minimum_SetAside_per_Sec_42&lt;&gt;DS_IRS_AIT,'Units, Set-Asides, Bldgs'!F$63,'Units, Set-Asides, Bldgs'!F$82),"0")&amp;"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603"/>
      <c r="G45" s="2603"/>
      <c r="H45" s="2603"/>
      <c r="I45" s="2603"/>
      <c r="J45" s="1369"/>
      <c r="K45" s="829"/>
      <c r="L45" s="3482"/>
      <c r="M45" s="2004">
        <f>MAX(M38:M44)</f>
        <v>0</v>
      </c>
      <c r="N45" s="2028"/>
      <c r="O45" s="2028"/>
      <c r="P45" s="268"/>
      <c r="S45" s="6"/>
      <c r="W45" s="826"/>
    </row>
    <row r="46" spans="2:23" ht="30" hidden="1" customHeight="1">
      <c r="C46" s="88"/>
      <c r="D46" s="865"/>
      <c r="E46" s="267" t="str">
        <f>"Per Unit - Self-Sourced Applicants"&amp;IF(OR(M46=0,'General Information'!G73&lt;&gt;"Yes"),"",IF(SUMIF('Pro Forma'!$K$244:$K$268,"Local Government Subsidy",'Pro Forma'!$H$244:$H$268)+SUMIF('Pro Forma'!$K$244:$K$268,"Other",'Pro Forma'!$H$244:$H$268)+SUMIF('Pro Forma'!$K$244:$K$268,"",'Pro Forma'!$H$244:$H$268)=0,"","**"))&amp;IF(DS_SAIL_ELI_Inclusive_PU&lt;&gt;"Yes","",IF(OR(M46=0,'General Information'!G73&lt;&gt;"Yes"),"",IF(SUMIF('Pro Forma'!$K$244:$K$268,"Local Government Subsidy",'Pro Forma'!$H$244:$H$268)+SUMIF('Pro Forma'!$K$244:$K$268,"Other",'Pro Forma'!$H$244:$H$268)+SUMIF('Pro Forma'!$K$244:$K$268,"",'Pro Forma'!$H$244:$H$268)=0,""," &amp; ")&amp;"*"))</f>
        <v>Per Unit - Self-Sourced Applicants</v>
      </c>
      <c r="F46" s="267"/>
      <c r="G46" s="267"/>
      <c r="H46" s="795" t="str">
        <f>IF(M46=0,"",IF(Self_Sourced_Applicant="&lt;select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487" t="str">
        <f>IF(AND(M46=1,H46&lt;&gt;"NA",N(Total_Units)&gt;0),"("&amp;TEXT(ROUNDDOWN(N(H46)*Total_Units,0),"$#,##0")&amp;" Per Dev"&amp;IF(DS_SAIL_ELI_Inclusive_PU&lt;&gt;"Yes","elopment)",". - Gross)"&amp;IF(H46="Identify Status","",CHAR(10)&amp;"("&amp;TEXT(ROUNDDOWN(N(H46)*Total_Units,0)-MIN(Max_ELI,Eligible_ELI_Request_Amount),"$#,##0")&amp;" Per Dev. - Net)")),"")</f>
        <v/>
      </c>
      <c r="J46" s="829"/>
      <c r="K46" s="829"/>
      <c r="L46" s="3482"/>
      <c r="M46" s="2004">
        <f>IF('General Information'!K73=0,0,Funding!N46)</f>
        <v>0</v>
      </c>
      <c r="N46" s="2186">
        <v>0</v>
      </c>
      <c r="O46" s="2028"/>
      <c r="P46" s="2031" t="s">
        <v>2848</v>
      </c>
      <c r="S46" s="6"/>
    </row>
    <row r="47" spans="2:23" ht="95.25" hidden="1" customHeight="1">
      <c r="C47" s="88"/>
      <c r="D47" s="865"/>
      <c r="E47" s="3512" t="str">
        <f>IF(SUMIF('Pro Forma'!$K$244:$K$268,"Local Government Subsidy",'Pro Forma'!$H$244:$H$268)+SUMIF('Pro Forma'!$K$244:$K$268,"Other",'Pro Forma'!$H$244:$H$268)+SUMIF('Pro Forma'!$K$244:$K$268,"",'Pro Forma'!$H$244:$H$268)=0,"","**")&amp;IF(OR(M46=0,'General Information'!G73&lt;&gt;"Yes"),"NA",IF(SUMIF('Pro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3512"/>
      <c r="G47" s="3512"/>
      <c r="H47" s="3512"/>
      <c r="I47" s="3512"/>
      <c r="J47" s="829"/>
      <c r="K47" s="829"/>
      <c r="L47" s="3482"/>
      <c r="M47" s="2004">
        <f>M46</f>
        <v>0</v>
      </c>
      <c r="N47" s="2028"/>
      <c r="O47" s="2028"/>
      <c r="S47" s="6"/>
    </row>
    <row r="48" spans="2:23" ht="30" hidden="1" customHeight="1">
      <c r="C48" s="88"/>
      <c r="D48" s="865"/>
      <c r="E48" s="267" t="str">
        <f>"Per Unit - Non-Self-Sourced Applicants"&amp;IF(DS_SAIL_ELI_Inclusive_PU&lt;&gt;"Yes",""," (Gross)")</f>
        <v>Per Unit - Non-Self-Sourced Applicants (Gross)</v>
      </c>
      <c r="F48" s="267"/>
      <c r="G48" s="267"/>
      <c r="H48" s="1108" t="str">
        <f>IF(M48=0,"",IF(Self_Sourced_Applicant="&lt;select one&gt;","Identify Status",IF(Self_Sourced_Applicant="No",DS_SAIL_PU_Not_SS,"NA")))</f>
        <v/>
      </c>
      <c r="I48" s="1488" t="str">
        <f>IF(AND(M48=1,H48&lt;&gt;"NA",N(Total_Units)&gt;0),"("&amp;TEXT(ROUNDDOWN(N(H48)*Total_Units,0),"$#,##0")&amp;" Per Dev"&amp;IF(DS_SAIL_ELI_Inclusive_PU&lt;&gt;"Yes","elopment)",". - Gross)"&amp;IF(H46="Identify Status","",CHAR(10)&amp;"("&amp;TEXT(ROUNDDOWN(N(H48)*Total_Units,0)-MIN(Max_ELI,Eligible_ELI_Request_Amount),"$#,##0")&amp;" Per Dev. - Net)")),"")</f>
        <v/>
      </c>
      <c r="J48" s="829"/>
      <c r="K48" s="829"/>
      <c r="L48" s="3482"/>
      <c r="M48" s="2004">
        <f>M46</f>
        <v>0</v>
      </c>
      <c r="N48" s="2028"/>
      <c r="O48" s="2028"/>
      <c r="S48" s="6"/>
    </row>
    <row r="49" spans="3:19" ht="45" hidden="1" customHeight="1">
      <c r="C49" s="88"/>
      <c r="D49" s="865"/>
      <c r="E49" s="3512"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3512"/>
      <c r="G49" s="3512"/>
      <c r="H49" s="3512"/>
      <c r="I49" s="3512"/>
      <c r="J49" s="829"/>
      <c r="K49" s="829"/>
      <c r="L49" s="3482"/>
      <c r="M49" s="2004">
        <f>M48</f>
        <v>0</v>
      </c>
      <c r="N49" s="2028"/>
      <c r="O49" s="2028"/>
      <c r="S49" s="6"/>
    </row>
    <row r="50" spans="3:19" ht="17.899999999999999" customHeight="1">
      <c r="C50" s="88"/>
      <c r="D50" s="21" t="s">
        <v>868</v>
      </c>
      <c r="E50" s="752" t="str">
        <f>"Percentage of Total Development Costs ("&amp;TEXT(IF(AND(SUM('Units, Set-Asides, Bldgs'!G71:G72)&lt;5%,IF(Total_Units=0,0,SUMIF('Units, Set-Asides, Bldgs'!I50:I58,"&lt;="&amp;IFERROR(VLOOKUP(County,DS_CountyData,14),0),'Units, Set-Asides, Bldgs'!G50:G58))&lt;5%),DS_SAIL_Percent_TDC_1,DS_SAIL_Percent_TDC_2),"0%")&amp;")"&amp;IF(DS_SAIL_ELI_Inclusive_LTC&lt;&gt;"Yes","","*")</f>
        <v>Percentage of Total Development Costs (25%)*</v>
      </c>
      <c r="F50" s="867"/>
      <c r="G50" s="867"/>
      <c r="H50" s="789" t="str">
        <f>IF(M50=0,"",IF(N(TDC_total)=0,"Need Costs",MAX(0,ROUNDDOWN(LEFT(RIGHT(E50,4+IF(DS_SAIL_ELI_Inclusive_LTC&lt;&gt;"Yes",0,1)),3)*N(TDC_total),0)-IF(DS_SAIL_ELI_Inclusive_LTC="Yes",MIN(Max_ELI,Eligible_ELI_Request_Amount),0))))</f>
        <v>Need Costs</v>
      </c>
      <c r="I50" s="345" t="str">
        <f>"(% based on "&amp;TEXT(ROUNDDOWN(MAX(SUM('Units, Set-Asides, Bldgs'!G71:G72),IF(Total_Units=0,0,SUMIF('Units, Set-Asides, Bldgs'!I50:I58,"&lt;="&amp;IFERROR(VLOOKUP(County,DS_CountyData,14),0),'Units, Set-Asides, Bldgs'!G50:G58))),2),"0%")&amp;" ELI Set-Asides)"</f>
        <v>(% based on 0% ELI Set-Asides)</v>
      </c>
      <c r="J50" s="829"/>
      <c r="K50" s="829"/>
      <c r="L50" s="2879"/>
      <c r="M50" s="2069">
        <v>1</v>
      </c>
      <c r="N50" s="2028"/>
      <c r="O50" s="2028"/>
      <c r="S50" s="6"/>
    </row>
    <row r="51" spans="3:19" ht="45" customHeight="1">
      <c r="C51" s="88"/>
      <c r="D51" s="865"/>
      <c r="E51" s="3513"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3513"/>
      <c r="G51" s="3513"/>
      <c r="H51" s="3513"/>
      <c r="I51" s="345"/>
      <c r="J51" s="829"/>
      <c r="K51" s="829"/>
      <c r="L51" s="2879"/>
      <c r="M51" s="2187">
        <f>IF(AND(M50=1,DS_SAIL_ELI_Inclusive_LTC="Yes"),1,0)</f>
        <v>1</v>
      </c>
      <c r="N51" s="2028"/>
      <c r="O51" s="2028"/>
      <c r="S51" s="6"/>
    </row>
    <row r="52" spans="3:19" ht="10.5" customHeight="1">
      <c r="C52" s="88"/>
      <c r="D52" s="865"/>
      <c r="E52" s="277"/>
      <c r="F52" s="276"/>
      <c r="G52" s="276"/>
      <c r="H52" s="780"/>
      <c r="I52" s="346"/>
      <c r="J52" s="829"/>
      <c r="K52" s="829"/>
      <c r="L52" s="2879"/>
      <c r="R52" s="3"/>
    </row>
    <row r="53" spans="3:19" ht="30" customHeight="1">
      <c r="C53" s="88"/>
      <c r="D53" s="865"/>
      <c r="E53" s="2600" t="str">
        <f>IF(AND(SUM(M22:M34)&gt;0,SUM(M35:M49)&gt;0,M50&gt;0),"Lesser of Maximum Request Amount Per Development, Maximum Request 
Amount via Per Unit, or Percentage of Total Development Costs",IF(AND(SUM(M22:M34)&gt;0,M50&gt;0),"Lesser of Maximum Request Amount Per Development, or 
Percentage of Total Development Costs",IF(SUM(M22:M34)&gt;0,"Maximum Request Amount Per Development",IF(SUM(M35:M49)&gt;0,"Maximum Request Amount via Per Unit","Not Programmed for a"))))&amp;" Limit:"</f>
        <v>Lesser of Maximum Request Amount Per Development, Maximum Request 
Amount via Per Unit, or Percentage of Total Development Costs Limit:</v>
      </c>
      <c r="F53" s="2600"/>
      <c r="G53" s="2600"/>
      <c r="H53" s="2600"/>
      <c r="I53" s="2467">
        <f>IF(MAX(0,MIN(DS_SAIL_PD_Max_Net,DS_SAIL_PU_Max_Net))&gt;DS_Request_Maximum,DS_Request_Maximum,MAX(0,MIN(DS_SAIL_PD_Max_Net,N(DS_SAIL_PU_Max_Net),N(H50))))</f>
        <v>0</v>
      </c>
      <c r="J53" s="829"/>
      <c r="K53" s="829"/>
      <c r="L53" s="2879"/>
      <c r="R53" s="3"/>
    </row>
    <row r="54" spans="3:19" ht="10.5" customHeight="1">
      <c r="C54" s="88"/>
      <c r="D54" s="865"/>
      <c r="E54" s="865"/>
      <c r="F54" s="865"/>
      <c r="G54" s="865"/>
      <c r="H54" s="865"/>
      <c r="I54" s="346"/>
      <c r="J54" s="829"/>
      <c r="K54" s="829"/>
      <c r="L54" s="2879"/>
      <c r="R54" s="3"/>
    </row>
    <row r="55" spans="3:19" ht="17.899999999999999" customHeight="1">
      <c r="C55" s="21" t="str">
        <f>IF($L21=0,"(-)","(a)")</f>
        <v>(a)</v>
      </c>
      <c r="D55" s="3492" t="s">
        <v>2133</v>
      </c>
      <c r="E55" s="3492"/>
      <c r="F55" s="3492"/>
      <c r="G55" s="3492"/>
      <c r="H55" s="3492"/>
      <c r="I55" s="896"/>
      <c r="J55" s="829"/>
      <c r="K55" s="829"/>
      <c r="L55" s="2879"/>
      <c r="M55" s="3"/>
      <c r="N55" s="3"/>
      <c r="O55" s="3"/>
      <c r="P55" s="3"/>
      <c r="R55" s="3"/>
    </row>
    <row r="56" spans="3:19" ht="5.25" customHeight="1">
      <c r="C56" s="88"/>
      <c r="D56" s="865"/>
      <c r="E56" s="865"/>
      <c r="F56" s="865"/>
      <c r="G56" s="865"/>
      <c r="H56" s="865"/>
      <c r="J56" s="829"/>
      <c r="K56" s="829"/>
      <c r="L56" s="2879"/>
      <c r="R56" s="3"/>
    </row>
    <row r="57" spans="3:19" ht="17.649999999999999" customHeight="1">
      <c r="C57" s="88"/>
      <c r="D57" s="865"/>
      <c r="E57" s="267" t="s">
        <v>2134</v>
      </c>
      <c r="F57" s="267"/>
      <c r="G57" s="267"/>
      <c r="H57" s="267"/>
      <c r="I57" s="1254">
        <f>MIN(N(Max_SAIL),MAX(IF(AND(County&lt;&gt;"",County&lt;&gt;"&lt;select one&gt;",M32&gt;0),N(DS_SAIL_PD_Min),0),N(SAIL_Request_Amount)))</f>
        <v>0</v>
      </c>
      <c r="J57" s="829"/>
      <c r="K57" s="829"/>
      <c r="L57" s="2879"/>
      <c r="R57" s="3"/>
    </row>
    <row r="58" spans="3:19" ht="14.65" customHeight="1">
      <c r="C58" s="88"/>
      <c r="D58" s="865"/>
      <c r="E58" s="865"/>
      <c r="F58" s="865"/>
      <c r="G58" s="865"/>
      <c r="I58" s="1495"/>
      <c r="J58" s="829"/>
      <c r="K58" s="829"/>
      <c r="L58" s="2707"/>
      <c r="R58" s="3"/>
    </row>
    <row r="59" spans="3:19" ht="27.75" customHeight="1">
      <c r="C59" s="88"/>
      <c r="D59" s="2597" t="s">
        <v>1106</v>
      </c>
      <c r="E59" s="2597"/>
      <c r="F59" s="2597"/>
      <c r="G59" s="2597"/>
      <c r="H59" s="3511" t="str">
        <f>H21</f>
        <v>(Per Development, Per Unit &amp; % of TDC Limits include ELI Funding*)</v>
      </c>
      <c r="I59" s="3511"/>
      <c r="J59" s="829"/>
      <c r="K59" s="829"/>
      <c r="L59" s="2569">
        <v>1</v>
      </c>
      <c r="P59" s="2031" t="str">
        <f>"Controls Rows "&amp;TEXT(ROW(A59),"0")&amp;":"&amp;TEXT(ROW(A68),"0")&amp;"."</f>
        <v>Controls Rows 59:68.</v>
      </c>
      <c r="Q59" s="24"/>
      <c r="R59" s="3"/>
    </row>
    <row r="60" spans="3:19" ht="17.649999999999999" customHeight="1">
      <c r="C60" s="88"/>
      <c r="D60" s="865"/>
      <c r="E60" s="272" t="s">
        <v>693</v>
      </c>
      <c r="F60" s="272"/>
      <c r="G60" s="272"/>
      <c r="H60" s="895">
        <f>DS_ELI_PD</f>
        <v>1000000</v>
      </c>
      <c r="J60" s="829"/>
      <c r="K60" s="829"/>
      <c r="L60" s="2570"/>
      <c r="Q60" s="24"/>
      <c r="R60" s="3"/>
    </row>
    <row r="61" spans="3:19" ht="17.649999999999999" customHeight="1">
      <c r="C61" s="88"/>
      <c r="D61" s="865"/>
      <c r="E61" s="273" t="s">
        <v>1107</v>
      </c>
      <c r="F61" s="273"/>
      <c r="G61" s="273"/>
      <c r="H61" s="274">
        <f>DS_ELI_Funding_Total</f>
        <v>0</v>
      </c>
      <c r="J61" s="829"/>
      <c r="K61" s="829"/>
      <c r="L61" s="2570"/>
      <c r="Q61" s="24"/>
      <c r="R61" s="3"/>
    </row>
    <row r="62" spans="3:19" ht="10.5" customHeight="1">
      <c r="C62" s="88"/>
      <c r="D62" s="865"/>
      <c r="E62" s="865"/>
      <c r="F62" s="865"/>
      <c r="G62" s="865"/>
      <c r="H62" s="865"/>
      <c r="J62" s="829"/>
      <c r="K62" s="829"/>
      <c r="L62" s="2570"/>
      <c r="R62" s="3"/>
    </row>
    <row r="63" spans="3:19" ht="30" customHeight="1">
      <c r="C63" s="88"/>
      <c r="D63" s="865"/>
      <c r="E63" s="2600" t="s">
        <v>1762</v>
      </c>
      <c r="F63" s="2600"/>
      <c r="G63" s="2600"/>
      <c r="H63" s="2600"/>
      <c r="I63" s="897">
        <f>MIN(H60,H61)</f>
        <v>0</v>
      </c>
      <c r="J63" s="829"/>
      <c r="K63" s="829"/>
      <c r="L63" s="2570"/>
      <c r="R63" s="3"/>
    </row>
    <row r="64" spans="3:19" ht="10.5" customHeight="1">
      <c r="C64" s="88"/>
      <c r="D64" s="865"/>
      <c r="E64" s="865"/>
      <c r="F64" s="865"/>
      <c r="G64" s="865"/>
      <c r="H64" s="865"/>
      <c r="J64" s="829"/>
      <c r="K64" s="829"/>
      <c r="L64" s="2570"/>
      <c r="R64" s="3"/>
    </row>
    <row r="65" spans="2:18" ht="17.649999999999999" customHeight="1">
      <c r="C65" s="21" t="str">
        <f>IF(AND($L21=0,$L59=1),"(a)",IF(AND($L21=1,$L59=1),"(b)","(-)"))</f>
        <v>(b)</v>
      </c>
      <c r="D65" s="3510" t="s">
        <v>1108</v>
      </c>
      <c r="E65" s="3510"/>
      <c r="F65" s="3510"/>
      <c r="G65" s="3510"/>
      <c r="H65" s="3510"/>
      <c r="I65" s="896"/>
      <c r="J65" s="829"/>
      <c r="K65" s="829"/>
      <c r="L65" s="2570"/>
      <c r="P65" s="3488" t="s">
        <v>2846</v>
      </c>
      <c r="R65" s="3"/>
    </row>
    <row r="66" spans="2:18" ht="5.25" customHeight="1">
      <c r="J66" s="829"/>
      <c r="K66" s="829"/>
      <c r="L66" s="2570"/>
      <c r="P66" s="3489"/>
      <c r="R66" s="3"/>
    </row>
    <row r="67" spans="2:18" ht="17.649999999999999" customHeight="1">
      <c r="E67" s="267" t="s">
        <v>1109</v>
      </c>
      <c r="F67" s="267"/>
      <c r="G67" s="267"/>
      <c r="H67" s="267"/>
      <c r="I67" s="790">
        <f>MIN(N(Max_ELI),N(ELI_Request_Amount))</f>
        <v>0</v>
      </c>
      <c r="J67" s="829"/>
      <c r="K67" s="829"/>
      <c r="L67" s="2570"/>
      <c r="P67" s="3490"/>
      <c r="R67" s="3"/>
    </row>
    <row r="68" spans="2:18" ht="14.65" customHeight="1">
      <c r="J68" s="829"/>
      <c r="K68" s="829"/>
      <c r="L68" s="2571"/>
      <c r="R68" s="3"/>
    </row>
    <row r="69" spans="2:18" ht="14.65" hidden="1" customHeight="1">
      <c r="B69" s="311" t="str">
        <f>IF($L$69=0,"...",MAX(B$4:B68)+1)</f>
        <v>...</v>
      </c>
      <c r="C69" s="6" t="s">
        <v>1725</v>
      </c>
      <c r="J69" s="829"/>
      <c r="K69" s="829"/>
      <c r="L69" s="2569">
        <v>0</v>
      </c>
      <c r="P69" s="2031" t="str">
        <f>"Controls Rows "&amp;TEXT(ROW(A69),"0")&amp;":"&amp;TEXT(ROW(A115),"0")&amp;"."</f>
        <v>Controls Rows 69:115.</v>
      </c>
      <c r="R69" s="3"/>
    </row>
    <row r="70" spans="2:18" ht="5.25" hidden="1" customHeight="1">
      <c r="J70" s="829"/>
      <c r="K70" s="829"/>
      <c r="L70" s="2570"/>
      <c r="R70" s="3"/>
    </row>
    <row r="71" spans="2:18" ht="95.25" hidden="1" customHeight="1">
      <c r="D71" s="2544"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("&amp;TEXT(IF(B385=".",B279+1,B385),"0")&amp;")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(2)(a) Non-Competitive Housing Credits and/or (3)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544"/>
      <c r="F71" s="2544"/>
      <c r="G71" s="2544"/>
      <c r="H71" s="2544"/>
      <c r="I71" s="2544"/>
      <c r="J71" s="829"/>
      <c r="K71" s="829"/>
      <c r="L71" s="2570"/>
      <c r="R71" s="3"/>
    </row>
    <row r="72" spans="2:18" ht="50.25" hidden="1" customHeight="1">
      <c r="D72" s="2544" t="str">
        <f>IF(N(Non_Competitive_HC_Request_Amount)+N(MMRB_Max_TE_Request_Limit)=0,"If the applicant intends to use tax-exempt bonds/4% housing credit financing, please enter a request amount in either ("&amp;TEXT(B279,"0")&amp;")("&amp;C310&amp;") (Non-Competitive Housing Credits) and/or ("&amp;TEXT(B385,"0")&amp;")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("&amp;TEXT(B385,"0")&amp;") below")&amp;", item ("&amp;B69&amp;")(b) immediately below has been disabled (grey font). If it is not the Applicant's intent is to use tax-exempt bonds/4% housing credit financing, remove the request amount in ("&amp;IF(N(Non_Competitive_HC_Request_Amount)&gt;0,TEXT(B279,"0")&amp;")("&amp;C310&amp;") below.",TEXT(B385,"0")&amp;") below."))</f>
        <v>If the applicant intends to use tax-exempt bonds/4% housing credit financing, please enter a request amount in either (2)(a) (Non-Competitive Housing Credits) and/or (3) (Corporation-Issued MMRBs) below. By entering at least one of these funding requests, (...)(a) immediately below will be enabled (black font).</v>
      </c>
      <c r="E72" s="2544"/>
      <c r="F72" s="2544"/>
      <c r="G72" s="2544"/>
      <c r="H72" s="2544"/>
      <c r="I72" s="2544"/>
      <c r="J72" s="829"/>
      <c r="K72" s="829"/>
      <c r="L72" s="2570"/>
      <c r="R72" s="3"/>
    </row>
    <row r="73" spans="2:18" ht="10.5" hidden="1" customHeight="1">
      <c r="J73" s="829"/>
      <c r="K73" s="829"/>
      <c r="L73" s="2570"/>
      <c r="R73" s="3"/>
    </row>
    <row r="74" spans="2:18" ht="14.65" hidden="1" customHeight="1">
      <c r="C74" s="21" t="s">
        <v>860</v>
      </c>
      <c r="D74" s="6" t="str">
        <f>"RRLP Base Loan Request Limits"&amp;IF($M$74+$M$81&gt;1," when utilizing Tax-Exempt Bond Financing and Non-Competitive Housing Credits","")&amp;": "</f>
        <v xml:space="preserve">RRLP Base Loan Request Limits when utilizing Tax-Exempt Bond Financing and Non-Competitive Housing Credits: </v>
      </c>
      <c r="J74" s="829"/>
      <c r="K74" s="829"/>
      <c r="L74" s="2570"/>
      <c r="M74" s="2562">
        <v>1</v>
      </c>
      <c r="R74" s="3"/>
    </row>
    <row r="75" spans="2:18" ht="30" hidden="1" customHeight="1">
      <c r="D75" s="10" t="s">
        <v>884</v>
      </c>
      <c r="E75" s="6" t="str">
        <f>"Per Development"&amp;IF(DS_RRLP_ELI_Inclusive_PD&lt;&gt;"Yes",""," - Gross")</f>
        <v>Per Development - Gross</v>
      </c>
      <c r="F75" s="6"/>
      <c r="G75" s="6"/>
      <c r="H75" s="1154" t="str">
        <f>IF(OR(M74=0,N75=0),"NA",DS_RRLP_PD_wHCs)</f>
        <v>NA</v>
      </c>
      <c r="I75" s="16" t="str">
        <f>IF(N75&gt;0,"("&amp;TEXT(N(H75),"$#,##0")&amp;" Per Dev"&amp;IF(DS_RRLP_ELI_Inclusive_PD&lt;&gt;"Yes","elopment)",". - Gross)"&amp;CHAR(10)&amp;"("&amp;TEXT(N(H75)-MIN(Max_RRLP_ELI,Eligible_RRLP_ELI_Request_Amount),"$#,##0")&amp;" Per Dev. - Net)"),"")</f>
        <v/>
      </c>
      <c r="J75" s="829"/>
      <c r="K75" s="829"/>
      <c r="L75" s="2570"/>
      <c r="M75" s="2563"/>
      <c r="N75" s="2002">
        <v>0</v>
      </c>
      <c r="O75" s="2028"/>
    </row>
    <row r="76" spans="2:18" ht="30" hidden="1" customHeight="1">
      <c r="D76" s="10" t="s">
        <v>889</v>
      </c>
      <c r="E76" s="6" t="str">
        <f>"Per Unit"&amp;IF(DS_RRLP_ELI_Inclusive_PD&lt;&gt;"Yes",""," - Gross")</f>
        <v>Per Unit - Gross</v>
      </c>
      <c r="F76" s="6"/>
      <c r="G76" s="6"/>
      <c r="H76" s="1154">
        <f>IF(OR(M74=0,N76=0),"NA",DS_RRLP_PU_wHCs)</f>
        <v>105000</v>
      </c>
      <c r="I76" s="16" t="str">
        <f>IF(AND(N76=1,H76&lt;&gt;"NA",N(Total_Units)&gt;0),"("&amp;TEXT(ROUNDDOWN(N(H76)*Total_Units,0),"$#,##0")&amp;" Per Dev"&amp;IF(DS_RRLP_ELI_Inclusive_PD&lt;&gt;"Yes","elopment)",". - Gross)"&amp;CHAR(10)&amp;"("&amp;TEXT(ROUNDDOWN(N(H76)*Total_Units,0)-Eligible_RRLP_ELI_Request_Amount,"$#,##0")&amp;" Per Dev. - Net)"),"")</f>
        <v/>
      </c>
      <c r="J76" s="829"/>
      <c r="K76" s="829"/>
      <c r="L76" s="2570"/>
      <c r="M76" s="2563"/>
      <c r="N76" s="2002">
        <v>1</v>
      </c>
      <c r="O76" s="2028"/>
    </row>
    <row r="77" spans="2:18" ht="60" hidden="1" customHeight="1">
      <c r="E77" s="3512" t="str">
        <f>IF(N(H76)=0,"",IF(H76&lt;&gt;"NA","The "&amp;IF(DS_RRLP_ELI_Inclusive_PD="Yes","gross ","")&amp;"Per Development base loan request limit is based on the "&amp;IF(N75+N76&lt;2,"","lesser of the ")&amp;IF(N75&gt;0,TEXT(H75,"$#,##0")&amp;" per Development Limit ","")&amp;IF(N76&gt;0,IF(N75+N76&lt;2,"","or the ")&amp;TEXT(N(H76),"$#,##0")&amp;" PU Limit, or "&amp;TEXT(N(H76)*N(Total_Units),"$#,##0")&amp;" ("&amp;TEXT(Total_Units,"0")&amp;" total units multiplied by "&amp;TEXT(N(H76),"$#,##0")&amp;" PU)","")&amp;" for a "&amp;IF(DS_RRLP_ELI_Inclusive_PD="Yes","gross ","")&amp;"total limit of "&amp;TEXT(IF(AND(N75&gt;0,N76&gt;0),MIN(H75,N(H76)*N(Total_Units)),IF(N75&gt;0,H75,N(H76)*N(Total_Units))),"$#,##0"))&amp;"."&amp;IF(DS_RRLP_ELI_Inclusive_PD="Yes"," This gross total limit less the Applicant's Eligible ELI Request Amount of "&amp;TEXT(Eligible_RRLP_ELI_Request_Amount,"$#,##0")&amp;" yields a net RRLP Base Loan Request limit of "&amp;TEXT(IF(AND(N75&gt;0,N76&gt;0),MIN(H75,N(H76)*N(Total_Units)),IF(N75&gt;0,H75,N(H76)*N(Total_Units)))-MIN(Max_RRLP_ELI,Eligible_RRLP_ELI_Request_Amount),"$#,##0")&amp;".",""))</f>
        <v>The gross Per Development base loan request limit is based on the $105,000 PU Limit, or $0 (0 total units multiplied by $105,000 PU) for a gross total limit of $0. This gross total limit less the Applicant's Eligible ELI Request Amount of $0 yields a net RRLP Base Loan Request limit of $0.</v>
      </c>
      <c r="F77" s="3512"/>
      <c r="G77" s="3512"/>
      <c r="H77" s="3512"/>
      <c r="I77" s="3512"/>
      <c r="J77" s="829"/>
      <c r="K77" s="829"/>
      <c r="L77" s="2570"/>
      <c r="M77" s="2563"/>
    </row>
    <row r="78" spans="2:18" ht="5.25" hidden="1" customHeight="1">
      <c r="J78" s="829"/>
      <c r="K78" s="829"/>
      <c r="L78" s="2570"/>
      <c r="M78" s="2563"/>
      <c r="R78" s="3"/>
    </row>
    <row r="79" spans="2:18" ht="30" hidden="1" customHeight="1">
      <c r="E79" s="2600" t="str">
        <f>IF(AND(N75&gt;0,N76&gt;0),"Lesser of Maximum Base Loan Request Amount Per Development, or
Total Maximum Subsidy Allowed Per Unit",IF(N75&gt;0,"Maximum Base Loan Request Amount Per Development",IF(N76&gt;0,"Maximum Subsidy Allowed Per Unit","Not Programmed for a")))&amp;" Limit for ("&amp;B69&amp;")(a):"</f>
        <v>Maximum Subsidy Allowed Per Unit Limit for (...)(a):</v>
      </c>
      <c r="F79" s="2600"/>
      <c r="G79" s="2600"/>
      <c r="H79" s="2600"/>
      <c r="I79" s="1110">
        <f>IF(OR(L69=0,M74=0),0,IF(AND(H75="NA",H76="NA"),"NA",MIN(N(H75),N(Total_Units)*N(H76))-IF(DS_RRLP_ELI_Inclusive_PD="Yes",Eligible_RRLP_ELI_Request_Amount,0)))</f>
        <v>0</v>
      </c>
      <c r="J79" s="829"/>
      <c r="K79" s="829"/>
      <c r="L79" s="2570"/>
      <c r="M79" s="2563"/>
      <c r="R79" s="3"/>
    </row>
    <row r="80" spans="2:18" ht="10.5" hidden="1" customHeight="1">
      <c r="J80" s="829"/>
      <c r="K80" s="829"/>
      <c r="L80" s="2570"/>
      <c r="M80" s="2565"/>
      <c r="R80" s="3"/>
    </row>
    <row r="81" spans="3:18" ht="14.65" hidden="1" customHeight="1">
      <c r="C81" s="21" t="s">
        <v>862</v>
      </c>
      <c r="D81" s="6" t="s">
        <v>1755</v>
      </c>
      <c r="J81" s="829"/>
      <c r="K81" s="829"/>
      <c r="L81" s="2570"/>
      <c r="M81" s="2705">
        <v>1</v>
      </c>
      <c r="P81" s="3460" t="s">
        <v>2849</v>
      </c>
      <c r="R81" s="3"/>
    </row>
    <row r="82" spans="3:18" ht="14.65" hidden="1" customHeight="1">
      <c r="D82" s="10" t="s">
        <v>884</v>
      </c>
      <c r="E82" s="6" t="str">
        <f>"Per Development"&amp;IF(DS_RRLP_ELI_Inclusive_PD&lt;&gt;"Yes",""," - Gross")</f>
        <v>Per Development - Gross</v>
      </c>
      <c r="H82" s="1111">
        <f>IF(M81=0,"",DS_RRLP_PD_woHCs)</f>
        <v>6500000</v>
      </c>
      <c r="J82" s="829"/>
      <c r="K82" s="829"/>
      <c r="L82" s="2570"/>
      <c r="M82" s="2706"/>
      <c r="P82" s="3461"/>
      <c r="R82" s="3"/>
    </row>
    <row r="83" spans="3:18" ht="14.65" hidden="1" customHeight="1">
      <c r="D83" s="10" t="s">
        <v>889</v>
      </c>
      <c r="E83" s="6" t="s">
        <v>1726</v>
      </c>
      <c r="J83" s="829"/>
      <c r="K83" s="829"/>
      <c r="L83" s="2570"/>
      <c r="M83" s="2706"/>
      <c r="P83" s="3462"/>
      <c r="R83" s="3"/>
    </row>
    <row r="84" spans="3:18" ht="45" hidden="1" customHeight="1">
      <c r="E84" s="53" t="s">
        <v>1110</v>
      </c>
      <c r="F84" s="53" t="s">
        <v>1727</v>
      </c>
      <c r="G84" s="53" t="s">
        <v>1760</v>
      </c>
      <c r="H84" s="53" t="s">
        <v>1761</v>
      </c>
      <c r="J84" s="829"/>
      <c r="K84" s="829"/>
      <c r="L84" s="2570"/>
      <c r="M84" s="2706"/>
      <c r="P84" s="800"/>
      <c r="R84" s="3"/>
    </row>
    <row r="85" spans="3:18" ht="17.649999999999999" hidden="1" customHeight="1">
      <c r="E85" s="99">
        <v>0</v>
      </c>
      <c r="F85" s="1112"/>
      <c r="G85" s="100">
        <f>DS_HOME_PU_0Bd</f>
        <v>155709</v>
      </c>
      <c r="H85" s="103">
        <f>N(F85)*N(G85)</f>
        <v>0</v>
      </c>
      <c r="J85" s="829"/>
      <c r="K85" s="829"/>
      <c r="L85" s="2570"/>
      <c r="M85" s="2706"/>
      <c r="N85" s="2188">
        <v>1</v>
      </c>
      <c r="O85" s="800"/>
      <c r="R85" s="3"/>
    </row>
    <row r="86" spans="3:18" ht="17.649999999999999" hidden="1" customHeight="1">
      <c r="E86" s="101">
        <v>1</v>
      </c>
      <c r="F86" s="1113"/>
      <c r="G86" s="102">
        <f>DS_HOME_PU_1Bd</f>
        <v>178497</v>
      </c>
      <c r="H86" s="104">
        <f>N(F86)*N(G86)</f>
        <v>0</v>
      </c>
      <c r="J86" s="829"/>
      <c r="K86" s="829"/>
      <c r="L86" s="2570"/>
      <c r="M86" s="2706"/>
      <c r="N86" s="2188">
        <v>1</v>
      </c>
      <c r="O86" s="800"/>
      <c r="R86" s="3"/>
    </row>
    <row r="87" spans="3:18" ht="17.649999999999999" hidden="1" customHeight="1">
      <c r="E87" s="101">
        <v>2</v>
      </c>
      <c r="F87" s="1113"/>
      <c r="G87" s="102">
        <f>DS_HOME_PU_2Bd</f>
        <v>217058</v>
      </c>
      <c r="H87" s="104">
        <f>N(F87)*N(G87)</f>
        <v>0</v>
      </c>
      <c r="J87" s="829"/>
      <c r="K87" s="829"/>
      <c r="L87" s="2570"/>
      <c r="M87" s="2706"/>
      <c r="N87" s="2188">
        <v>1</v>
      </c>
      <c r="O87" s="800"/>
      <c r="R87" s="3"/>
    </row>
    <row r="88" spans="3:18" ht="17.649999999999999" hidden="1" customHeight="1">
      <c r="E88" s="101">
        <v>3</v>
      </c>
      <c r="F88" s="1113"/>
      <c r="G88" s="102">
        <f>DS_HOME_PU_3Bd</f>
        <v>280804</v>
      </c>
      <c r="H88" s="104">
        <f>N(F88)*N(G88)</f>
        <v>0</v>
      </c>
      <c r="J88" s="829"/>
      <c r="K88" s="829"/>
      <c r="L88" s="2570"/>
      <c r="M88" s="2706"/>
      <c r="N88" s="2188">
        <v>1</v>
      </c>
      <c r="O88" s="800"/>
      <c r="R88" s="3"/>
    </row>
    <row r="89" spans="3:18" ht="17.649999999999999" hidden="1" customHeight="1" thickBot="1">
      <c r="E89" s="472">
        <v>4</v>
      </c>
      <c r="F89" s="1114"/>
      <c r="G89" s="473">
        <f>DS_HOME_PU_4Bd</f>
        <v>308233</v>
      </c>
      <c r="H89" s="474">
        <f>N(F89)*N(G89)</f>
        <v>0</v>
      </c>
      <c r="J89" s="829"/>
      <c r="K89" s="829"/>
      <c r="L89" s="2570"/>
      <c r="M89" s="2706"/>
      <c r="N89" s="2188">
        <v>1</v>
      </c>
      <c r="O89" s="800"/>
      <c r="R89" s="3"/>
    </row>
    <row r="90" spans="3:18" ht="17.649999999999999" hidden="1" customHeight="1">
      <c r="G90" s="849" t="str">
        <f>"Total "&amp;C78&amp;"-Assisted Units"</f>
        <v>Total -Assisted Units</v>
      </c>
      <c r="H90" s="572">
        <f>SUM(F85:F89)</f>
        <v>0</v>
      </c>
      <c r="J90" s="829"/>
      <c r="K90" s="829"/>
      <c r="L90" s="2570"/>
      <c r="M90" s="2706"/>
      <c r="R90" s="3"/>
    </row>
    <row r="91" spans="3:18" ht="17.649999999999999" hidden="1" customHeight="1">
      <c r="G91" s="849" t="str">
        <f>"Total Maximum "&amp;C78&amp;" Subsidy Allowed"</f>
        <v>Total Maximum  Subsidy Allowed</v>
      </c>
      <c r="H91" s="105">
        <f>SUM(H85:H89)</f>
        <v>0</v>
      </c>
      <c r="J91" s="829"/>
      <c r="K91" s="829"/>
      <c r="L91" s="2570"/>
      <c r="M91" s="2706"/>
      <c r="R91" s="3"/>
    </row>
    <row r="92" spans="3:18" ht="5.25" hidden="1" customHeight="1">
      <c r="J92" s="829"/>
      <c r="K92" s="829"/>
      <c r="L92" s="2570"/>
      <c r="M92" s="2706"/>
      <c r="R92" s="3"/>
    </row>
    <row r="93" spans="3:18" ht="30" hidden="1" customHeight="1">
      <c r="E93" s="2600" t="str">
        <f>"Lesser of Maximum Base Loan Request Amount Per Development,
or Total Maximum Subsidy Allowed Per Unit for ("&amp;B69&amp;")(b):"</f>
        <v>Lesser of Maximum Base Loan Request Amount Per Development,
or Total Maximum Subsidy Allowed Per Unit for (...)(b):</v>
      </c>
      <c r="F93" s="2600"/>
      <c r="G93" s="2600"/>
      <c r="H93" s="2600"/>
      <c r="I93" s="1110">
        <f>MIN(H82,H91)-IF(MIN(H82,H91)&gt;IF(DS_RRLP_ELI_Inclusive_PD&lt;&gt;"Yes",0,Eligible_RRLP_ELI_Request_Amount),IF(DS_RRLP_ELI_Inclusive_PD&lt;&gt;"Yes",0,Eligible_RRLP_ELI_Request_Amount),MIN(H82,H91))</f>
        <v>0</v>
      </c>
      <c r="J93" s="829"/>
      <c r="K93" s="829"/>
      <c r="L93" s="2570"/>
      <c r="M93" s="2706"/>
      <c r="R93" s="3"/>
    </row>
    <row r="94" spans="3:18" ht="14.65" hidden="1" customHeight="1">
      <c r="J94" s="829"/>
      <c r="K94" s="829"/>
      <c r="L94" s="2570"/>
      <c r="M94" s="2706"/>
      <c r="R94" s="3"/>
    </row>
    <row r="95" spans="3:18" ht="17.649999999999999" hidden="1" customHeight="1">
      <c r="D95" s="267" t="s">
        <v>1756</v>
      </c>
      <c r="E95" s="267"/>
      <c r="F95" s="267"/>
      <c r="G95" s="267"/>
      <c r="H95" s="1145"/>
      <c r="I95" s="1115">
        <f>IF(OR(L69=0,M81=0),0,IF(OR(N(Non_Competitive_HC_Request_Amount)&gt;0,N(MMRB_Max_TE_Request_Limit)&gt;0),N(Max_RRLP_Base_1),N(Max_RRLP_Base_2)))</f>
        <v>0</v>
      </c>
      <c r="J95" s="829"/>
      <c r="K95" s="829"/>
      <c r="L95" s="2570"/>
      <c r="M95" s="2706"/>
      <c r="R95" s="3"/>
    </row>
    <row r="96" spans="3:18" ht="10.5" hidden="1" customHeight="1">
      <c r="J96" s="829"/>
      <c r="K96" s="829"/>
      <c r="L96" s="2570"/>
      <c r="M96" s="2707"/>
      <c r="R96" s="3"/>
    </row>
    <row r="97" spans="3:18" ht="17.649999999999999" hidden="1" customHeight="1">
      <c r="C97" s="21"/>
      <c r="D97" s="3492" t="s">
        <v>1757</v>
      </c>
      <c r="E97" s="3492"/>
      <c r="F97" s="3492"/>
      <c r="G97" s="3492"/>
      <c r="H97" s="3492"/>
      <c r="I97" s="1116"/>
      <c r="J97" s="829"/>
      <c r="K97" s="829"/>
      <c r="L97" s="2570"/>
      <c r="R97" s="3"/>
    </row>
    <row r="98" spans="3:18" ht="5.25" hidden="1" customHeight="1">
      <c r="C98" s="88"/>
      <c r="D98" s="865"/>
      <c r="E98" s="865"/>
      <c r="F98" s="865"/>
      <c r="G98" s="865"/>
      <c r="H98" s="865"/>
      <c r="J98" s="829"/>
      <c r="K98" s="829"/>
      <c r="L98" s="2570"/>
      <c r="R98" s="3"/>
    </row>
    <row r="99" spans="3:18" ht="14.65" hidden="1" customHeight="1">
      <c r="C99" s="88"/>
      <c r="D99" s="865"/>
      <c r="E99" s="267" t="s">
        <v>1758</v>
      </c>
      <c r="F99" s="267"/>
      <c r="G99" s="267"/>
      <c r="H99" s="267"/>
      <c r="I99" s="1150">
        <f>MIN(IF(AND($M$74&gt;0,$M$81=0),N(Max_RRLP_Base_1),IF(AND($M$74=0,$M$81&gt;0),N(Max_RRLP_Base_2),N(Max_RRLP_Base))),N(RRLP_Base_Request_Amount))</f>
        <v>0</v>
      </c>
      <c r="J99" s="829"/>
      <c r="K99" s="829"/>
      <c r="L99" s="2570"/>
      <c r="R99" s="3"/>
    </row>
    <row r="100" spans="3:18" ht="25.15" hidden="1" customHeight="1">
      <c r="J100" s="829"/>
      <c r="K100" s="829"/>
      <c r="L100" s="2570"/>
      <c r="R100" s="3"/>
    </row>
    <row r="101" spans="3:18" ht="14.65" hidden="1" customHeight="1">
      <c r="C101" s="88"/>
      <c r="D101" s="2597" t="s">
        <v>1728</v>
      </c>
      <c r="E101" s="2597"/>
      <c r="F101" s="2597"/>
      <c r="G101" s="2597"/>
      <c r="H101" s="6"/>
      <c r="J101" s="829"/>
      <c r="K101" s="829"/>
      <c r="L101" s="2570"/>
      <c r="M101" s="2569">
        <v>1</v>
      </c>
      <c r="P101" s="2031" t="str">
        <f>"Controls Rows "&amp;TEXT(ROW(A101),"0")&amp;":"&amp;TEXT(ROW(A115),"0")&amp;"."</f>
        <v>Controls Rows 101:115.</v>
      </c>
      <c r="R101" s="3"/>
    </row>
    <row r="102" spans="3:18" ht="14.65" hidden="1" customHeight="1">
      <c r="C102" s="88"/>
      <c r="D102" s="865"/>
      <c r="E102" s="272" t="s">
        <v>693</v>
      </c>
      <c r="F102" s="272"/>
      <c r="G102" s="272"/>
      <c r="H102" s="895">
        <f>IF(M101=0,"",DS_RRLP_ELI_PD)</f>
        <v>750000</v>
      </c>
      <c r="J102" s="829"/>
      <c r="K102" s="829"/>
      <c r="L102" s="2570"/>
      <c r="M102" s="2570"/>
      <c r="N102" s="2044">
        <v>1</v>
      </c>
    </row>
    <row r="103" spans="3:18" ht="14.65" hidden="1" customHeight="1">
      <c r="C103" s="88"/>
      <c r="D103" s="865"/>
      <c r="E103" s="273" t="s">
        <v>1107</v>
      </c>
      <c r="F103" s="273"/>
      <c r="G103" s="273"/>
      <c r="H103" s="274">
        <f>IF(M101=0,"",DS_ELI_Funding_Total)</f>
        <v>0</v>
      </c>
      <c r="J103" s="829"/>
      <c r="K103" s="829"/>
      <c r="L103" s="2570"/>
      <c r="M103" s="2570"/>
      <c r="N103" s="2044">
        <v>1</v>
      </c>
    </row>
    <row r="104" spans="3:18" ht="10.5" hidden="1" customHeight="1">
      <c r="C104" s="88"/>
      <c r="D104" s="865"/>
      <c r="E104" s="865"/>
      <c r="F104" s="865"/>
      <c r="G104" s="865"/>
      <c r="H104" s="865"/>
      <c r="J104" s="829"/>
      <c r="K104" s="829"/>
      <c r="L104" s="2570"/>
      <c r="M104" s="2570"/>
      <c r="R104" s="3"/>
    </row>
    <row r="105" spans="3:18" ht="30" hidden="1" customHeight="1">
      <c r="C105" s="88"/>
      <c r="D105" s="865"/>
      <c r="E105" s="2600" t="s">
        <v>1762</v>
      </c>
      <c r="F105" s="2600"/>
      <c r="G105" s="2600"/>
      <c r="H105" s="2600"/>
      <c r="I105" s="897">
        <f>IF(OR(L69=0,M101=0),0,IF(N102=0,H103,IF(N103=0,H102,MIN(H102,H103))))</f>
        <v>0</v>
      </c>
      <c r="J105" s="829"/>
      <c r="K105" s="829"/>
      <c r="L105" s="2570"/>
      <c r="M105" s="2570"/>
      <c r="R105" s="3"/>
    </row>
    <row r="106" spans="3:18" ht="10.5" hidden="1" customHeight="1">
      <c r="C106" s="88"/>
      <c r="D106" s="865"/>
      <c r="E106" s="865"/>
      <c r="F106" s="865"/>
      <c r="G106" s="865"/>
      <c r="H106" s="865"/>
      <c r="J106" s="829"/>
      <c r="K106" s="829"/>
      <c r="L106" s="2570"/>
      <c r="M106" s="2570"/>
      <c r="R106" s="3"/>
    </row>
    <row r="107" spans="3:18" ht="17.649999999999999" hidden="1" customHeight="1">
      <c r="C107" s="21" t="str">
        <f>IF(AND($L$69=0,$N107=1),"(a)",IF(AND($L$69=1,$N107=1),"(c)","(-)"))</f>
        <v>(-)</v>
      </c>
      <c r="D107" s="3510" t="s">
        <v>1729</v>
      </c>
      <c r="E107" s="3510"/>
      <c r="F107" s="3510"/>
      <c r="G107" s="3510"/>
      <c r="H107" s="3510"/>
      <c r="I107" s="1116"/>
      <c r="J107" s="829"/>
      <c r="K107" s="829"/>
      <c r="L107" s="2570"/>
      <c r="M107" s="2570"/>
      <c r="R107" s="3"/>
    </row>
    <row r="108" spans="3:18" ht="5.25" hidden="1" customHeight="1">
      <c r="J108" s="829"/>
      <c r="K108" s="829"/>
      <c r="L108" s="2570"/>
      <c r="M108" s="2570"/>
      <c r="R108" s="3"/>
    </row>
    <row r="109" spans="3:18" ht="14.65" hidden="1" customHeight="1">
      <c r="E109" s="267" t="s">
        <v>1730</v>
      </c>
      <c r="F109" s="267"/>
      <c r="G109" s="267"/>
      <c r="H109" s="267"/>
      <c r="I109" s="1117">
        <f>MIN(N(Max_RRLP_ELI),N(RRLP_ELI_Request_Amount))</f>
        <v>0</v>
      </c>
      <c r="J109" s="829"/>
      <c r="K109" s="829"/>
      <c r="L109" s="2570"/>
      <c r="M109" s="2570"/>
      <c r="R109" s="3"/>
    </row>
    <row r="110" spans="3:18" ht="14.65" hidden="1" customHeight="1">
      <c r="I110" s="268"/>
      <c r="J110" s="829"/>
      <c r="K110" s="829"/>
      <c r="L110" s="2570"/>
      <c r="M110" s="2570"/>
      <c r="R110" s="3"/>
    </row>
    <row r="111" spans="3:18" ht="45" hidden="1" customHeight="1">
      <c r="D111" s="2544"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544"/>
      <c r="F111" s="2544"/>
      <c r="G111" s="2544"/>
      <c r="H111" s="2544"/>
      <c r="I111" s="268"/>
      <c r="J111" s="829"/>
      <c r="K111" s="829"/>
      <c r="L111" s="2570"/>
      <c r="M111" s="2570"/>
      <c r="R111" s="3"/>
    </row>
    <row r="112" spans="3:18" ht="14.65" hidden="1" customHeight="1">
      <c r="H112" s="849" t="s">
        <v>1759</v>
      </c>
      <c r="I112" s="1150">
        <f>Eligible_RRLP_Base_Request_Amount+Eligible_RRLP_ELI_Request_Amount</f>
        <v>0</v>
      </c>
      <c r="J112" s="829"/>
      <c r="K112" s="829"/>
      <c r="L112" s="2570"/>
      <c r="M112" s="2570"/>
      <c r="R112" s="3"/>
    </row>
    <row r="113" spans="2:18" ht="14.65" hidden="1" customHeight="1">
      <c r="I113" s="268"/>
      <c r="J113" s="829"/>
      <c r="K113" s="829"/>
      <c r="L113" s="2570"/>
      <c r="M113" s="2570"/>
      <c r="R113" s="3"/>
    </row>
    <row r="114" spans="2:18" ht="14.65" hidden="1" customHeight="1">
      <c r="I114" s="268"/>
      <c r="J114" s="829"/>
      <c r="K114" s="829"/>
      <c r="L114" s="2570"/>
      <c r="M114" s="2570"/>
      <c r="R114" s="3"/>
    </row>
    <row r="115" spans="2:18" ht="14.65" hidden="1" customHeight="1">
      <c r="J115" s="829"/>
      <c r="K115" s="829"/>
      <c r="L115" s="2571"/>
      <c r="M115" s="2571"/>
      <c r="R115" s="3"/>
    </row>
    <row r="116" spans="2:18" ht="14.65" hidden="1" customHeight="1">
      <c r="B116" s="311" t="str">
        <f>IF($L$116=0,"...",MAX(B$4:B115)+1)</f>
        <v>...</v>
      </c>
      <c r="C116" s="6" t="str">
        <f>Data3!A122</f>
        <v>HOME</v>
      </c>
      <c r="J116" s="829"/>
      <c r="K116" s="829"/>
      <c r="L116" s="2705">
        <v>0</v>
      </c>
      <c r="P116" s="2031" t="str">
        <f>"Controls Rows "&amp;TEXT(ROW(A116),"0")&amp;":"&amp;TEXT(ROW(A165),"0")&amp;"."</f>
        <v>Controls Rows 116:165.</v>
      </c>
      <c r="R116" s="3"/>
    </row>
    <row r="117" spans="2:18" ht="10.5" hidden="1" customHeight="1">
      <c r="J117" s="829"/>
      <c r="K117" s="829"/>
      <c r="L117" s="2706"/>
      <c r="R117" s="3"/>
    </row>
    <row r="118" spans="2:18" ht="14.65" hidden="1" customHeight="1">
      <c r="E118" s="3501" t="str">
        <f>"Maximum "&amp;C116&amp;" Request Amount Per Development:"</f>
        <v>Maximum HOME Request Amount Per Development:</v>
      </c>
      <c r="F118" s="3501"/>
      <c r="G118" s="3501"/>
      <c r="H118" s="898">
        <f>DS_HOME_PD</f>
        <v>7200000</v>
      </c>
      <c r="J118" s="829"/>
      <c r="K118" s="829"/>
      <c r="L118" s="2706"/>
      <c r="R118" s="3"/>
    </row>
    <row r="119" spans="2:18" ht="10.5" hidden="1" customHeight="1">
      <c r="J119" s="829"/>
      <c r="K119" s="829"/>
      <c r="L119" s="2706"/>
      <c r="R119" s="3"/>
    </row>
    <row r="120" spans="2:18" ht="45" hidden="1" customHeight="1">
      <c r="E120" s="53" t="s">
        <v>1110</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794"/>
      <c r="J120" s="74"/>
      <c r="K120" s="859"/>
      <c r="L120" s="2706"/>
      <c r="P120" s="800"/>
      <c r="R120" s="3"/>
    </row>
    <row r="121" spans="2:18" ht="17.649999999999999" hidden="1" customHeight="1">
      <c r="E121" s="99">
        <v>0</v>
      </c>
      <c r="F121" s="569"/>
      <c r="G121" s="100">
        <f>DS_HOME_PU_0Bd</f>
        <v>155709</v>
      </c>
      <c r="H121" s="103">
        <f>N(F121)*N(G121)</f>
        <v>0</v>
      </c>
      <c r="I121" s="794"/>
      <c r="J121" s="754"/>
      <c r="K121" s="864"/>
      <c r="L121" s="2706"/>
      <c r="M121" s="2189">
        <v>1</v>
      </c>
      <c r="R121" s="3"/>
    </row>
    <row r="122" spans="2:18" ht="17.649999999999999" hidden="1" customHeight="1">
      <c r="E122" s="101">
        <v>1</v>
      </c>
      <c r="F122" s="570"/>
      <c r="G122" s="102">
        <f>DS_HOME_PU_1Bd</f>
        <v>178497</v>
      </c>
      <c r="H122" s="104">
        <f>N(F122)*N(G122)</f>
        <v>0</v>
      </c>
      <c r="I122" s="794"/>
      <c r="J122" s="754"/>
      <c r="K122" s="864"/>
      <c r="L122" s="2706"/>
      <c r="M122" s="2189">
        <v>1</v>
      </c>
      <c r="R122" s="3"/>
    </row>
    <row r="123" spans="2:18" ht="17.649999999999999" hidden="1" customHeight="1">
      <c r="E123" s="101">
        <v>2</v>
      </c>
      <c r="F123" s="570"/>
      <c r="G123" s="102">
        <f>DS_HOME_PU_2Bd</f>
        <v>217058</v>
      </c>
      <c r="H123" s="104">
        <f>N(F123)*N(G123)</f>
        <v>0</v>
      </c>
      <c r="I123" s="794"/>
      <c r="J123" s="754"/>
      <c r="K123" s="864"/>
      <c r="L123" s="2706"/>
      <c r="M123" s="2189">
        <v>1</v>
      </c>
      <c r="R123" s="3"/>
    </row>
    <row r="124" spans="2:18" ht="17.649999999999999" hidden="1" customHeight="1">
      <c r="E124" s="101">
        <v>3</v>
      </c>
      <c r="F124" s="570"/>
      <c r="G124" s="102">
        <f>DS_HOME_PU_3Bd</f>
        <v>280804</v>
      </c>
      <c r="H124" s="104">
        <f>N(F124)*N(G124)</f>
        <v>0</v>
      </c>
      <c r="I124" s="794"/>
      <c r="J124" s="754"/>
      <c r="K124" s="864"/>
      <c r="L124" s="2706"/>
      <c r="M124" s="2189">
        <v>1</v>
      </c>
      <c r="R124" s="3"/>
    </row>
    <row r="125" spans="2:18" ht="17.649999999999999" hidden="1" customHeight="1" thickBot="1">
      <c r="E125" s="472">
        <v>4</v>
      </c>
      <c r="F125" s="571"/>
      <c r="G125" s="473">
        <f>DS_HOME_PU_4Bd</f>
        <v>308233</v>
      </c>
      <c r="H125" s="474">
        <f>N(F125)*N(G125)</f>
        <v>0</v>
      </c>
      <c r="I125" s="794"/>
      <c r="J125" s="754"/>
      <c r="K125" s="864"/>
      <c r="L125" s="2706"/>
      <c r="M125" s="2189">
        <v>1</v>
      </c>
      <c r="R125" s="3"/>
    </row>
    <row r="126" spans="2:18" ht="17.649999999999999" hidden="1" customHeight="1">
      <c r="G126" s="849" t="str">
        <f>"Total "&amp;C116&amp;"-Assisted Units"</f>
        <v>Total HOME-Assisted Units</v>
      </c>
      <c r="H126" s="572">
        <f>SUM(F121:F125)</f>
        <v>0</v>
      </c>
      <c r="I126" s="794" t="str">
        <f>IF(AND(Total_Units&gt;0,H126&gt;Total_Units),"Exceeds Total Units","")</f>
        <v/>
      </c>
      <c r="J126" s="754"/>
      <c r="K126" s="864"/>
      <c r="L126" s="2706"/>
      <c r="M126" s="855"/>
      <c r="N126" s="855"/>
      <c r="O126" s="855"/>
      <c r="P126" s="829"/>
      <c r="R126" s="3"/>
    </row>
    <row r="127" spans="2:18" ht="17.649999999999999" hidden="1" customHeight="1">
      <c r="G127" s="849" t="str">
        <f>"Total Maximum "&amp;C116&amp;" Subsidy Allowed"</f>
        <v>Total Maximum HOME Subsidy Allowed</v>
      </c>
      <c r="H127" s="105">
        <f>SUM(H121:H125)</f>
        <v>0</v>
      </c>
      <c r="I127" s="794"/>
      <c r="J127" s="754"/>
      <c r="K127" s="864"/>
      <c r="L127" s="2706"/>
      <c r="R127" s="3"/>
    </row>
    <row r="128" spans="2:18" ht="10.5" hidden="1" customHeight="1">
      <c r="J128" s="829"/>
      <c r="K128" s="829"/>
      <c r="L128" s="2706"/>
      <c r="R128" s="3"/>
    </row>
    <row r="129" spans="3:18" ht="30" hidden="1" customHeight="1">
      <c r="E129" s="2600" t="s">
        <v>1731</v>
      </c>
      <c r="F129" s="2600"/>
      <c r="G129" s="2600"/>
      <c r="H129" s="2600"/>
      <c r="I129" s="895">
        <f>MIN(H118,H127)</f>
        <v>0</v>
      </c>
      <c r="J129" s="829"/>
      <c r="K129" s="829"/>
      <c r="L129" s="2706"/>
      <c r="R129" s="3"/>
    </row>
    <row r="130" spans="3:18" ht="10.5" hidden="1" customHeight="1">
      <c r="J130" s="829"/>
      <c r="K130" s="829"/>
      <c r="L130" s="2706"/>
      <c r="R130" s="3"/>
    </row>
    <row r="131" spans="3:18" ht="30" hidden="1" customHeight="1">
      <c r="E131" s="2544"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544"/>
      <c r="G131" s="2544"/>
      <c r="H131" s="2544"/>
      <c r="J131" s="829"/>
      <c r="K131" s="829"/>
      <c r="L131" s="2706"/>
      <c r="R131" s="3"/>
    </row>
    <row r="132" spans="3:18" ht="10.5" hidden="1" customHeight="1">
      <c r="J132" s="829"/>
      <c r="K132" s="829"/>
      <c r="L132" s="2706"/>
      <c r="R132" s="3"/>
    </row>
    <row r="133" spans="3:18" ht="17.649999999999999" hidden="1" customHeight="1">
      <c r="C133" s="88" t="s">
        <v>860</v>
      </c>
      <c r="D133" s="3492" t="str">
        <f>"Applicant's "&amp;C116&amp;" Request Amount:  "</f>
        <v xml:space="preserve">Applicant's HOME Request Amount:  </v>
      </c>
      <c r="E133" s="3492"/>
      <c r="F133" s="3492"/>
      <c r="G133" s="3492"/>
      <c r="H133" s="3492"/>
      <c r="I133" s="896"/>
      <c r="J133" s="829"/>
      <c r="K133" s="829"/>
      <c r="L133" s="2706"/>
      <c r="R133" s="3"/>
    </row>
    <row r="134" spans="3:18" ht="5.25" hidden="1" customHeight="1">
      <c r="J134" s="829"/>
      <c r="K134" s="829"/>
      <c r="L134" s="2706"/>
      <c r="R134" s="3"/>
    </row>
    <row r="135" spans="3:18" ht="17.649999999999999" hidden="1" customHeight="1">
      <c r="E135" s="267" t="s">
        <v>1111</v>
      </c>
      <c r="F135" s="267"/>
      <c r="G135" s="267"/>
      <c r="H135" s="267"/>
      <c r="I135" s="790">
        <f>MIN(N(Max_HOME),N(HOME_Request_Amount))</f>
        <v>0</v>
      </c>
      <c r="J135" s="829"/>
      <c r="K135" s="829"/>
      <c r="L135" s="2706"/>
      <c r="R135" s="3"/>
    </row>
    <row r="136" spans="3:18" ht="14.65" hidden="1" customHeight="1">
      <c r="J136" s="829"/>
      <c r="K136" s="829"/>
      <c r="L136" s="2706"/>
      <c r="R136" s="3"/>
    </row>
    <row r="137" spans="3:18" ht="14.65" hidden="1" customHeight="1">
      <c r="C137" s="88" t="s">
        <v>862</v>
      </c>
      <c r="D137" s="865" t="s">
        <v>1112</v>
      </c>
      <c r="J137" s="829"/>
      <c r="K137" s="829"/>
      <c r="L137" s="2706"/>
      <c r="R137" s="3"/>
    </row>
    <row r="138" spans="3:18" ht="14.65" hidden="1" customHeight="1">
      <c r="D138" s="3" t="s">
        <v>847</v>
      </c>
      <c r="E138" t="s">
        <v>1113</v>
      </c>
      <c r="J138" s="829"/>
      <c r="K138" s="829"/>
      <c r="L138" s="2706"/>
      <c r="R138" s="3"/>
    </row>
    <row r="139" spans="3:18" ht="14.65" hidden="1" customHeight="1">
      <c r="E139" t="s">
        <v>1114</v>
      </c>
      <c r="I139" s="790">
        <f>Eligible_HOME_Request_Amount</f>
        <v>0</v>
      </c>
      <c r="J139" s="829"/>
      <c r="K139" s="829"/>
      <c r="L139" s="2706"/>
      <c r="R139" s="3"/>
    </row>
    <row r="140" spans="3:18" ht="14.65" hidden="1" customHeight="1">
      <c r="E140" s="308" t="s">
        <v>1115</v>
      </c>
      <c r="J140" s="829"/>
      <c r="K140" s="829"/>
      <c r="L140" s="2706"/>
      <c r="R140" s="3"/>
    </row>
    <row r="141" spans="3:18" ht="10.5" hidden="1" customHeight="1">
      <c r="J141" s="829"/>
      <c r="K141" s="829"/>
      <c r="L141" s="2706"/>
      <c r="R141" s="3"/>
    </row>
    <row r="142" spans="3:18" ht="14.65" hidden="1" customHeight="1">
      <c r="E142" t="s">
        <v>1116</v>
      </c>
      <c r="I142" s="790">
        <f>IF($L$116=0,0,IF(AND(H126=0,N(TDC_total)=0),0,IF(N(TDC_total)=0,"Need Costs",N(TDC_total))))</f>
        <v>0</v>
      </c>
      <c r="J142" s="829"/>
      <c r="K142" s="829"/>
      <c r="L142" s="2706"/>
      <c r="R142" s="3"/>
    </row>
    <row r="143" spans="3:18" ht="14.65" hidden="1" customHeight="1">
      <c r="E143" s="308" t="s">
        <v>1117</v>
      </c>
      <c r="J143" s="829"/>
      <c r="K143" s="829"/>
      <c r="L143" s="2706"/>
      <c r="R143" s="3"/>
    </row>
    <row r="144" spans="3:18" ht="10.5" hidden="1" customHeight="1">
      <c r="J144" s="829"/>
      <c r="K144" s="829"/>
      <c r="L144" s="2706"/>
      <c r="R144" s="3"/>
    </row>
    <row r="145" spans="4:18" ht="14.65" hidden="1" customHeight="1">
      <c r="E145" t="s">
        <v>1118</v>
      </c>
      <c r="I145" s="793">
        <f>IF($L$116=0,0,IF(AND(H126=0,N(TDC_total)=0),0,IF(N(I142)=0,"Need Costs",ROUNDUP(Eligible_HOME_Request_Amount/I142,2))))</f>
        <v>0</v>
      </c>
      <c r="J145" s="829"/>
      <c r="K145" s="829"/>
      <c r="L145" s="2706"/>
      <c r="R145" s="3"/>
    </row>
    <row r="146" spans="4:18" ht="14.65" hidden="1" customHeight="1">
      <c r="E146" s="308" t="s">
        <v>1119</v>
      </c>
      <c r="J146" s="829"/>
      <c r="K146" s="829"/>
      <c r="L146" s="2706"/>
      <c r="R146" s="3"/>
    </row>
    <row r="147" spans="4:18" ht="10.5" hidden="1" customHeight="1">
      <c r="J147" s="829"/>
      <c r="K147" s="829"/>
      <c r="L147" s="2706"/>
      <c r="R147" s="3"/>
    </row>
    <row r="148" spans="4:18" ht="14.65" hidden="1" customHeight="1">
      <c r="E148" t="s">
        <v>1120</v>
      </c>
      <c r="I148" s="792">
        <f>IF($L$116=0,0,Total_Units)</f>
        <v>0</v>
      </c>
      <c r="J148" s="829"/>
      <c r="K148" s="829"/>
      <c r="L148" s="2706"/>
      <c r="R148" s="3"/>
    </row>
    <row r="149" spans="4:18" ht="14.65" hidden="1" customHeight="1">
      <c r="E149" s="308" t="s">
        <v>1121</v>
      </c>
      <c r="J149" s="829"/>
      <c r="K149" s="829"/>
      <c r="L149" s="2706"/>
      <c r="R149" s="3"/>
    </row>
    <row r="150" spans="4:18" ht="10.5" hidden="1" customHeight="1">
      <c r="J150" s="829"/>
      <c r="K150" s="829"/>
      <c r="L150" s="2706"/>
      <c r="R150" s="3"/>
    </row>
    <row r="151" spans="4:18" ht="14.65" hidden="1" customHeight="1">
      <c r="E151" t="s">
        <v>1122</v>
      </c>
      <c r="I151" s="792">
        <f>ROUNDUP(N(I145)*I148,0)</f>
        <v>0</v>
      </c>
      <c r="J151" s="829"/>
      <c r="K151" s="829"/>
      <c r="L151" s="2706"/>
      <c r="R151" s="3"/>
    </row>
    <row r="152" spans="4:18" ht="14.65" hidden="1" customHeight="1">
      <c r="E152" s="308" t="s">
        <v>1123</v>
      </c>
      <c r="J152" s="829"/>
      <c r="K152" s="829"/>
      <c r="L152" s="2706"/>
      <c r="R152" s="3"/>
    </row>
    <row r="153" spans="4:18" ht="10.5" hidden="1" customHeight="1">
      <c r="J153" s="829"/>
      <c r="K153" s="829"/>
      <c r="L153" s="2706"/>
      <c r="R153" s="3"/>
    </row>
    <row r="154" spans="4:18" ht="14.65" hidden="1" customHeight="1">
      <c r="D154" s="3" t="s">
        <v>849</v>
      </c>
      <c r="E154" t="s">
        <v>1124</v>
      </c>
      <c r="J154" s="829"/>
      <c r="K154" s="829"/>
      <c r="L154" s="2706"/>
      <c r="R154" s="3"/>
    </row>
    <row r="155" spans="4:18" ht="14.65" hidden="1" customHeight="1">
      <c r="E155" t="s">
        <v>1125</v>
      </c>
      <c r="I155" s="797">
        <f>H126</f>
        <v>0</v>
      </c>
      <c r="J155" s="829"/>
      <c r="K155" s="829"/>
      <c r="L155" s="2706"/>
      <c r="R155" s="3"/>
    </row>
    <row r="156" spans="4:18" ht="14.65" hidden="1" customHeight="1">
      <c r="E156" s="308" t="s">
        <v>1126</v>
      </c>
      <c r="J156" s="829"/>
      <c r="K156" s="829"/>
      <c r="L156" s="2706"/>
      <c r="R156" s="3"/>
    </row>
    <row r="157" spans="4:18" ht="10.5" hidden="1" customHeight="1">
      <c r="I157" s="336"/>
      <c r="J157" s="829"/>
      <c r="K157" s="829"/>
      <c r="L157" s="2706"/>
      <c r="R157" s="3"/>
    </row>
    <row r="158" spans="4:18" ht="14.65" hidden="1" customHeight="1">
      <c r="E158" t="s">
        <v>1127</v>
      </c>
      <c r="I158" s="792">
        <f>ROUNDUP(N(I155)*20%,0)</f>
        <v>0</v>
      </c>
      <c r="J158" s="829"/>
      <c r="K158" s="829"/>
      <c r="L158" s="2706"/>
      <c r="R158" s="3"/>
    </row>
    <row r="159" spans="4:18" ht="14.65" hidden="1" customHeight="1">
      <c r="E159" s="308" t="s">
        <v>1128</v>
      </c>
      <c r="J159" s="829"/>
      <c r="K159" s="829"/>
      <c r="L159" s="2706"/>
      <c r="R159" s="3"/>
    </row>
    <row r="160" spans="4:18" ht="10.5" hidden="1" customHeight="1">
      <c r="J160" s="829"/>
      <c r="K160" s="829"/>
      <c r="L160" s="2706"/>
      <c r="R160" s="3"/>
    </row>
    <row r="161" spans="2:19" ht="14.65" hidden="1" customHeight="1">
      <c r="E161" t="s">
        <v>1129</v>
      </c>
      <c r="I161" s="792">
        <f>N(I155)-I158</f>
        <v>0</v>
      </c>
      <c r="J161" s="829"/>
      <c r="K161" s="829"/>
      <c r="L161" s="2706"/>
      <c r="R161" s="3"/>
    </row>
    <row r="162" spans="2:19" ht="14.65" hidden="1" customHeight="1">
      <c r="E162" s="308" t="s">
        <v>1130</v>
      </c>
      <c r="J162" s="829"/>
      <c r="K162" s="829"/>
      <c r="L162" s="2706"/>
      <c r="R162" s="3"/>
    </row>
    <row r="163" spans="2:19" ht="10.5" hidden="1" customHeight="1">
      <c r="J163" s="829"/>
      <c r="K163" s="829"/>
      <c r="L163" s="2706"/>
      <c r="R163" s="3"/>
    </row>
    <row r="164" spans="2:19" ht="17.649999999999999" hidden="1" customHeight="1">
      <c r="C164" s="856" t="s">
        <v>868</v>
      </c>
      <c r="D164" t="s">
        <v>1131</v>
      </c>
      <c r="I164" s="791">
        <f>IF(Max_HOME=0,0,ROUND(Eligible_HOME_Request_Amount/Max_HOME,4))</f>
        <v>0</v>
      </c>
      <c r="J164" s="829"/>
      <c r="K164" s="829"/>
      <c r="L164" s="2706"/>
      <c r="R164" s="3"/>
    </row>
    <row r="165" spans="2:19" ht="14.65" hidden="1" customHeight="1">
      <c r="J165" s="829"/>
      <c r="K165" s="829"/>
      <c r="L165" s="2707"/>
      <c r="R165" s="3"/>
    </row>
    <row r="166" spans="2:19" ht="14.65" hidden="1" customHeight="1">
      <c r="B166" s="311" t="str">
        <f>IF($L$167+SUM($L$179:$L$183)+$L$191=0,"...",MAX(B$4:B165)+1)</f>
        <v>...</v>
      </c>
      <c r="C166" s="521" t="s">
        <v>2058</v>
      </c>
      <c r="D166" s="443"/>
      <c r="E166" s="443"/>
      <c r="J166" s="829"/>
      <c r="K166" s="829"/>
      <c r="L166" s="2048">
        <f>IF($L$167+SUM($L$179:$L$183)+$L$191=0,0,1)</f>
        <v>0</v>
      </c>
      <c r="P166" s="2206" t="str">
        <f>"Auto controlled by 3 sections: L"&amp;TEXT(ROW(A167),"0")&amp;", L"&amp;TEXT(ROW(A179),"0")&amp;":"&amp;TEXT(ROW(A183),"0")&amp;" and L"&amp;TEXT(ROW(A191),"0")&amp;"."</f>
        <v>Auto controlled by 3 sections: L167, L179:183 and L191.</v>
      </c>
      <c r="R166" s="3"/>
    </row>
    <row r="167" spans="2:19" ht="17.649999999999999" hidden="1" customHeight="1">
      <c r="I167" s="3288" t="s">
        <v>2016</v>
      </c>
      <c r="J167" s="829"/>
      <c r="K167" s="829"/>
      <c r="L167" s="3440">
        <v>0</v>
      </c>
      <c r="P167" s="2849" t="s">
        <v>2853</v>
      </c>
      <c r="Q167" s="2849"/>
      <c r="R167" s="2849"/>
    </row>
    <row r="168" spans="2:19" ht="17.649999999999999" hidden="1" customHeight="1">
      <c r="D168" s="868" t="s">
        <v>1132</v>
      </c>
      <c r="E168" s="272"/>
      <c r="F168" s="272"/>
      <c r="G168" s="272"/>
      <c r="H168" s="1323">
        <f>IF(L$167&gt;0,DS_ARP_PD,0)</f>
        <v>0</v>
      </c>
      <c r="I168" s="3288"/>
      <c r="J168" s="829"/>
      <c r="K168" s="829"/>
      <c r="L168" s="3441"/>
      <c r="P168" s="2849"/>
      <c r="Q168" s="2849"/>
      <c r="R168" s="2849"/>
    </row>
    <row r="169" spans="2:19" ht="17.649999999999999" hidden="1" customHeight="1">
      <c r="D169" s="868" t="s">
        <v>1134</v>
      </c>
      <c r="E169" s="272"/>
      <c r="F169" s="272"/>
      <c r="G169" s="272"/>
      <c r="H169" s="1323">
        <f>IF(L$167&gt;0,DS_ARP_Req_PU,0)</f>
        <v>0</v>
      </c>
      <c r="I169" s="3288"/>
      <c r="J169" s="829"/>
      <c r="K169" s="829"/>
      <c r="L169" s="3441"/>
    </row>
    <row r="170" spans="2:19" ht="17.649999999999999" hidden="1" customHeight="1">
      <c r="D170" s="868" t="s">
        <v>2048</v>
      </c>
      <c r="E170" s="272"/>
      <c r="F170" s="272"/>
      <c r="G170" s="272"/>
      <c r="H170" s="499">
        <f>ARP_Total_Units_Funded</f>
        <v>0</v>
      </c>
      <c r="I170" s="3288"/>
      <c r="J170" s="829"/>
      <c r="K170" s="829"/>
      <c r="L170" s="3441"/>
    </row>
    <row r="171" spans="2:19" ht="17.649999999999999" hidden="1" customHeight="1">
      <c r="D171" s="868" t="s">
        <v>1136</v>
      </c>
      <c r="E171" s="272"/>
      <c r="F171" s="272"/>
      <c r="G171" s="272"/>
      <c r="H171" s="1323">
        <f>H169*H170</f>
        <v>0</v>
      </c>
      <c r="I171" s="3288"/>
      <c r="J171" s="829"/>
      <c r="K171" s="829"/>
      <c r="L171" s="3441"/>
    </row>
    <row r="172" spans="2:19" ht="14.65" hidden="1" customHeight="1">
      <c r="D172" s="829"/>
      <c r="E172" s="6"/>
      <c r="F172" s="6"/>
      <c r="G172" s="6"/>
      <c r="H172" s="307"/>
      <c r="I172" s="3288"/>
      <c r="J172" s="829"/>
      <c r="K172" s="829"/>
      <c r="L172" s="3441"/>
      <c r="R172" s="3"/>
    </row>
    <row r="173" spans="2:19" ht="30" hidden="1" customHeight="1">
      <c r="D173" s="2600" t="s">
        <v>1732</v>
      </c>
      <c r="E173" s="2600"/>
      <c r="F173" s="2600"/>
      <c r="G173" s="2600"/>
      <c r="H173" s="2600"/>
      <c r="I173" s="1323">
        <f>MIN(H168,H169*H170)</f>
        <v>0</v>
      </c>
      <c r="J173" s="829"/>
      <c r="K173" s="829"/>
      <c r="L173" s="3441"/>
      <c r="P173" s="3463" t="str">
        <f>"Only one '1' should be entered in L"&amp;ROW(L167)&amp;" or L"&amp;ROW(L191)&amp;", but a '1' probably shouldn't appear in either of those if using L"&amp;ROW(M179)&amp;", L"&amp;ROW(L181)&amp;" and/or L"&amp;ROW(L183)&amp;"."</f>
        <v>Only one '1' should be entered in L167 or L191, but a '1' probably shouldn't appear in either of those if using L179, L181 and/or L183.</v>
      </c>
      <c r="R173" s="3"/>
      <c r="S173" s="6"/>
    </row>
    <row r="174" spans="2:19" ht="10.5" hidden="1" customHeight="1">
      <c r="J174" s="829"/>
      <c r="K174" s="829"/>
      <c r="L174" s="3441"/>
      <c r="P174" s="3464"/>
      <c r="R174" s="3"/>
    </row>
    <row r="175" spans="2:19" ht="17.649999999999999" hidden="1" customHeight="1">
      <c r="C175" s="88" t="s">
        <v>860</v>
      </c>
      <c r="D175" s="3492" t="s">
        <v>2049</v>
      </c>
      <c r="E175" s="3492"/>
      <c r="F175" s="3492"/>
      <c r="G175" s="3492"/>
      <c r="H175" s="3492"/>
      <c r="I175" s="1328" t="str">
        <f>IF(OR(L167=0,Max_HOME_ARP=0),"",Max_HOME_ARP)</f>
        <v/>
      </c>
      <c r="J175" s="829"/>
      <c r="K175" s="829"/>
      <c r="L175" s="3441"/>
      <c r="P175" s="3464"/>
      <c r="R175" s="3"/>
    </row>
    <row r="176" spans="2:19" ht="10.5" hidden="1" customHeight="1">
      <c r="C176" s="88"/>
      <c r="J176" s="829"/>
      <c r="K176" s="829"/>
      <c r="L176" s="3441"/>
      <c r="M176" s="24"/>
      <c r="P176" s="3465"/>
      <c r="R176" s="3"/>
    </row>
    <row r="177" spans="3:18" ht="17.649999999999999" hidden="1" customHeight="1">
      <c r="C177" s="88"/>
      <c r="E177" s="267" t="s">
        <v>1139</v>
      </c>
      <c r="F177" s="267"/>
      <c r="G177" s="267"/>
      <c r="H177" s="267"/>
      <c r="I177" s="1329">
        <f>N(HOME_ARP_Request_Amount)</f>
        <v>0</v>
      </c>
      <c r="J177" s="829"/>
      <c r="K177" s="829"/>
      <c r="L177" s="3441"/>
      <c r="M177" s="24"/>
      <c r="R177" s="3"/>
    </row>
    <row r="178" spans="3:18" ht="10.5" hidden="1" customHeight="1">
      <c r="C178" s="88"/>
      <c r="J178" s="829"/>
      <c r="K178" s="829"/>
      <c r="L178" s="3219"/>
      <c r="M178" s="24"/>
      <c r="R178" s="3"/>
    </row>
    <row r="179" spans="3:18" ht="17.649999999999999" hidden="1" customHeight="1">
      <c r="D179" s="272" t="s">
        <v>2017</v>
      </c>
      <c r="E179" s="1343"/>
      <c r="F179" s="1343"/>
      <c r="G179" s="272"/>
      <c r="H179" s="272"/>
      <c r="I179" s="1322" t="s">
        <v>638</v>
      </c>
      <c r="J179" s="829"/>
      <c r="K179" s="829"/>
      <c r="L179" s="3473">
        <f>IF(AND(L167=1,'General Information'!K73&gt;0),1,M179)</f>
        <v>0</v>
      </c>
      <c r="M179" s="2569">
        <v>0</v>
      </c>
      <c r="P179" s="2849" t="str">
        <f>"Auto controlled by L"&amp;TEXT(ROW(A167),"0")&amp;" and Self-Sourced Off/On if both on, otherwise L"&amp;TEXT(ROW(A179),"0")&amp;"."</f>
        <v>Auto controlled by L167 and Self-Sourced Off/On if both on, otherwise L179.</v>
      </c>
      <c r="Q179" s="2849"/>
      <c r="R179" s="3"/>
    </row>
    <row r="180" spans="3:18" ht="10.5" hidden="1" customHeight="1">
      <c r="D180" s="6"/>
      <c r="E180" s="262"/>
      <c r="F180" s="262"/>
      <c r="G180" s="6"/>
      <c r="H180" s="6"/>
      <c r="I180" s="6"/>
      <c r="J180" s="829"/>
      <c r="K180" s="829"/>
      <c r="L180" s="3503"/>
      <c r="M180" s="2571"/>
      <c r="P180" s="2849"/>
      <c r="Q180" s="2849"/>
      <c r="R180" s="3"/>
    </row>
    <row r="181" spans="3:18" ht="17.649999999999999" hidden="1" customHeight="1">
      <c r="D181" s="1901"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E181" s="1343"/>
      <c r="F181" s="1343"/>
      <c r="G181" s="272"/>
      <c r="H181" s="272"/>
      <c r="I181" s="1719">
        <f>IF(L181&gt;0,IF(DS_Max_ARP_Req_Units_Active="Yes",N(DS_Max_ARP_Req_Units),N(DS_Min_ARP_Req_Units))*DS_ARP_Req_PU,0)</f>
        <v>0</v>
      </c>
      <c r="J181" s="829"/>
      <c r="K181" s="829"/>
      <c r="L181" s="2569">
        <v>0</v>
      </c>
      <c r="P181" s="2641" t="s">
        <v>2852</v>
      </c>
      <c r="Q181" s="2641"/>
      <c r="R181" s="3"/>
    </row>
    <row r="182" spans="3:18" ht="10.5" hidden="1" customHeight="1">
      <c r="D182" s="6"/>
      <c r="E182" s="262"/>
      <c r="F182" s="262"/>
      <c r="G182" s="6"/>
      <c r="H182" s="6"/>
      <c r="I182" s="1349"/>
      <c r="J182" s="829"/>
      <c r="K182" s="829"/>
      <c r="L182" s="2571"/>
      <c r="M182" s="829"/>
      <c r="P182" s="3491"/>
      <c r="Q182" s="3491"/>
      <c r="R182" s="3"/>
    </row>
    <row r="183" spans="3:18" ht="17.649999999999999" hidden="1" customHeight="1">
      <c r="D183" s="272" t="str">
        <f>"How many optional "&amp;TEXT(DS_ARP_AMI_Units_Opt,"0%")&amp;" HOME-ARP Units is the Applicant requesting?"</f>
        <v>How many optional 30% HOME-ARP Units is the Applicant requesting?</v>
      </c>
      <c r="E183" s="1343"/>
      <c r="F183" s="1343"/>
      <c r="G183" s="272"/>
      <c r="H183" s="272"/>
      <c r="I183" s="1717"/>
      <c r="J183" s="829"/>
      <c r="K183" s="829"/>
      <c r="L183" s="2569">
        <v>0</v>
      </c>
      <c r="P183" s="2641" t="str">
        <f>"Controls HOME-ARP Optional Units section. Section is used in joint with L"&amp;TEXT(ROW(A181),"0")&amp;"."</f>
        <v>Controls HOME-ARP Optional Units section. Section is used in joint with L181.</v>
      </c>
      <c r="Q183" s="2641"/>
      <c r="R183" s="3"/>
    </row>
    <row r="184" spans="3:18" ht="29.25" hidden="1" customHeight="1">
      <c r="C184" s="88"/>
      <c r="D184" s="2603"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603"/>
      <c r="F184" s="2603"/>
      <c r="G184" s="2603"/>
      <c r="H184" s="2603"/>
      <c r="I184" s="2603"/>
      <c r="J184" s="829"/>
      <c r="K184" s="829"/>
      <c r="L184" s="2570"/>
      <c r="M184" s="855"/>
      <c r="N184" s="855"/>
      <c r="O184" s="855"/>
      <c r="P184" s="2849"/>
      <c r="Q184" s="2849"/>
      <c r="R184" s="3"/>
    </row>
    <row r="185" spans="3:18" ht="10.5" hidden="1" customHeight="1">
      <c r="C185" s="88"/>
      <c r="J185" s="829"/>
      <c r="K185" s="829"/>
      <c r="L185" s="2570"/>
      <c r="M185" s="855"/>
      <c r="N185" s="855"/>
      <c r="O185" s="855"/>
      <c r="R185" s="3"/>
    </row>
    <row r="186" spans="3:18" ht="30" hidden="1" customHeight="1">
      <c r="D186" s="3522"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3522"/>
      <c r="F186" s="3522"/>
      <c r="G186" s="3522"/>
      <c r="H186" s="3522"/>
      <c r="I186" s="1718">
        <f>IF(L183&gt;0,DS_ARP_Max_Units_Opt_Allowed*DS_ARP_Opt_PU,0)</f>
        <v>0</v>
      </c>
      <c r="J186" s="829"/>
      <c r="K186" s="829"/>
      <c r="L186" s="2570"/>
      <c r="M186" s="855"/>
      <c r="N186" s="855"/>
      <c r="O186" s="855"/>
      <c r="R186" s="3"/>
    </row>
    <row r="187" spans="3:18" ht="10.5" hidden="1" customHeight="1">
      <c r="C187" s="24"/>
      <c r="D187" s="24"/>
      <c r="E187" s="444"/>
      <c r="F187" s="444"/>
      <c r="G187" s="444"/>
      <c r="H187" s="24"/>
      <c r="I187" s="24"/>
      <c r="J187" s="829"/>
      <c r="K187" s="829"/>
      <c r="L187" s="2570"/>
      <c r="M187" s="855"/>
      <c r="N187" s="855"/>
      <c r="O187" s="855"/>
      <c r="P187" s="829"/>
      <c r="R187" s="3"/>
    </row>
    <row r="188" spans="3:18" ht="17.649999999999999" hidden="1" customHeight="1">
      <c r="D188" s="437" t="str">
        <f>"The total of all HOME-ARP Funding for the combined total of "&amp;TEXT(ARP_Total_Units_Funded,"0")&amp;" HOME-ARP Units is:"</f>
        <v>The total of all HOME-ARP Funding for the combined total of 0 HOME-ARP Units is:</v>
      </c>
      <c r="E188" s="719"/>
      <c r="F188" s="719"/>
      <c r="G188" s="719"/>
      <c r="H188" s="437"/>
      <c r="I188" s="1718">
        <f>N(I181)+N(I186)</f>
        <v>0</v>
      </c>
      <c r="J188" s="829"/>
      <c r="K188" s="829"/>
      <c r="L188" s="2570"/>
      <c r="M188" s="855"/>
      <c r="N188" s="855"/>
      <c r="O188" s="855"/>
      <c r="P188" s="829"/>
      <c r="R188" s="3"/>
    </row>
    <row r="189" spans="3:18" ht="14.65" hidden="1" customHeight="1">
      <c r="C189" s="88"/>
      <c r="J189" s="829"/>
      <c r="K189" s="829"/>
      <c r="L189" s="2570"/>
      <c r="M189" s="855"/>
      <c r="N189" s="855"/>
      <c r="O189" s="855"/>
      <c r="P189" s="829"/>
      <c r="R189" s="3"/>
    </row>
    <row r="190" spans="3:18" ht="35.25" hidden="1" customHeight="1">
      <c r="C190" s="3519" t="s">
        <v>2057</v>
      </c>
      <c r="D190" s="3519"/>
      <c r="E190" s="3519"/>
      <c r="F190" s="3519"/>
      <c r="G190" s="3519"/>
      <c r="H190" s="3519"/>
      <c r="I190" s="3519"/>
      <c r="J190" s="829"/>
      <c r="K190" s="829"/>
      <c r="L190" s="2571"/>
      <c r="M190" s="855"/>
      <c r="N190" s="855"/>
      <c r="O190" s="855"/>
      <c r="P190" s="829"/>
      <c r="R190" s="3"/>
    </row>
    <row r="191" spans="3:18" ht="10.5" hidden="1" customHeight="1">
      <c r="J191" s="829"/>
      <c r="K191" s="829"/>
      <c r="L191" s="2569">
        <v>0</v>
      </c>
      <c r="P191" s="3483" t="s">
        <v>2854</v>
      </c>
      <c r="R191" s="3"/>
    </row>
    <row r="192" spans="3:18" ht="17.649999999999999" hidden="1" customHeight="1">
      <c r="D192" s="868" t="s">
        <v>1132</v>
      </c>
      <c r="E192" s="272"/>
      <c r="F192" s="272"/>
      <c r="G192" s="272"/>
      <c r="H192" s="897">
        <f>DS_ARP_PD</f>
        <v>2950000</v>
      </c>
      <c r="I192" s="3288" t="str" cm="1">
        <f t="array" aca="1" ref="I192" ca="1">IF(Data3!L135=Data3!M135,"(The Per Unit Request Limit is based on the primary Development Type identified in Section 4.A.4."&amp;'Proposed Development Info'!A133&amp;".'s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829"/>
      <c r="K192" s="829"/>
      <c r="L192" s="2570"/>
      <c r="P192" s="3484"/>
      <c r="R192" s="3"/>
    </row>
    <row r="193" spans="2:21" ht="17.649999999999999" hidden="1" customHeight="1">
      <c r="D193" s="868" t="s">
        <v>1133</v>
      </c>
      <c r="E193" s="272"/>
      <c r="F193" s="272"/>
      <c r="G193" s="272"/>
      <c r="H193" s="897">
        <f>MAX(0,ROUND((N(TDC_total)-N(NHTF_Request_Amount))/2,0))</f>
        <v>0</v>
      </c>
      <c r="I193" s="3288"/>
      <c r="J193" s="829"/>
      <c r="K193" s="829"/>
      <c r="L193" s="2570"/>
      <c r="R193" s="3"/>
    </row>
    <row r="194" spans="2:21" ht="21" hidden="1" customHeight="1">
      <c r="D194" s="729" t="str">
        <f>"**( "&amp;TEXT(N(TDC_total),"$#,##0")&amp;" TDC, less "&amp;TEXT(N(NHTF_Request_Amount),"$#,##0")&amp;" Eligible NHTF Request Amount ) / 2 = "&amp;TEXT(H193,"$#,##0")</f>
        <v>**( $0 TDC, less $0 Eligible NHTF Request Amount ) / 2 = $0</v>
      </c>
      <c r="E194" s="251"/>
      <c r="F194" s="272"/>
      <c r="G194" s="272"/>
      <c r="H194" s="272"/>
      <c r="I194" s="3288"/>
      <c r="J194" s="829"/>
      <c r="K194" s="829"/>
      <c r="L194" s="2570"/>
      <c r="P194" s="1344"/>
      <c r="R194" s="3"/>
    </row>
    <row r="195" spans="2:21" ht="17.649999999999999" hidden="1" customHeight="1">
      <c r="D195" s="868" t="s">
        <v>1134</v>
      </c>
      <c r="E195" s="272"/>
      <c r="F195" s="272"/>
      <c r="G195" s="272"/>
      <c r="H195" s="899">
        <f>DS_ARP_Req_PU</f>
        <v>0</v>
      </c>
      <c r="I195" s="3288"/>
      <c r="J195" s="829"/>
      <c r="K195" s="829"/>
      <c r="L195" s="2570"/>
      <c r="P195" s="575"/>
      <c r="Q195" s="443"/>
      <c r="R195" s="576"/>
      <c r="S195" s="443"/>
      <c r="T195" s="443"/>
      <c r="U195" s="443"/>
    </row>
    <row r="196" spans="2:21" ht="17.649999999999999" hidden="1" customHeight="1">
      <c r="D196" s="868" t="s">
        <v>1135</v>
      </c>
      <c r="E196" s="272"/>
      <c r="F196" s="272"/>
      <c r="G196" s="272"/>
      <c r="H196" s="499">
        <f>Total_Units</f>
        <v>0</v>
      </c>
      <c r="I196" s="3288"/>
      <c r="J196" s="829"/>
      <c r="K196" s="829"/>
      <c r="L196" s="2570"/>
      <c r="R196" s="3"/>
    </row>
    <row r="197" spans="2:21" ht="17.649999999999999" hidden="1" customHeight="1">
      <c r="D197" s="868" t="s">
        <v>1136</v>
      </c>
      <c r="E197" s="272"/>
      <c r="F197" s="272"/>
      <c r="G197" s="272"/>
      <c r="H197" s="897">
        <f>H195*H196</f>
        <v>0</v>
      </c>
      <c r="I197" s="3288"/>
      <c r="J197" s="829"/>
      <c r="K197" s="829"/>
      <c r="L197" s="2570"/>
      <c r="R197" s="3"/>
    </row>
    <row r="198" spans="2:21" ht="10.5" hidden="1" customHeight="1">
      <c r="D198" s="829"/>
      <c r="E198" s="6"/>
      <c r="F198" s="6"/>
      <c r="G198" s="6"/>
      <c r="J198" s="829"/>
      <c r="K198" s="829"/>
      <c r="L198" s="2570"/>
      <c r="R198" s="3"/>
    </row>
    <row r="199" spans="2:21" ht="30" hidden="1" customHeight="1">
      <c r="D199" s="829"/>
      <c r="E199" s="2600" t="s">
        <v>1732</v>
      </c>
      <c r="F199" s="2600"/>
      <c r="G199" s="2600"/>
      <c r="H199" s="2600"/>
      <c r="I199" s="897">
        <f>IF(L191=0,0,MIN(H192,H193,H197))</f>
        <v>0</v>
      </c>
      <c r="J199" s="829"/>
      <c r="K199" s="829"/>
      <c r="L199" s="2570"/>
      <c r="R199" s="3"/>
    </row>
    <row r="200" spans="2:21" ht="10.5" hidden="1" customHeight="1">
      <c r="J200" s="829"/>
      <c r="K200" s="829"/>
      <c r="L200" s="2570"/>
      <c r="R200" s="3"/>
    </row>
    <row r="201" spans="2:21" ht="17.649999999999999" hidden="1" customHeight="1">
      <c r="C201" s="88" t="s">
        <v>860</v>
      </c>
      <c r="D201" s="3492" t="s">
        <v>1138</v>
      </c>
      <c r="E201" s="3492"/>
      <c r="F201" s="3492"/>
      <c r="G201" s="3492"/>
      <c r="H201" s="3492"/>
      <c r="I201" s="896"/>
      <c r="J201" s="829"/>
      <c r="K201" s="829"/>
      <c r="L201" s="2570"/>
      <c r="R201" s="3"/>
    </row>
    <row r="202" spans="2:21" ht="5.25" hidden="1" customHeight="1">
      <c r="J202" s="829"/>
      <c r="K202" s="829"/>
      <c r="L202" s="2570"/>
      <c r="R202" s="3"/>
    </row>
    <row r="203" spans="2:21" ht="17.649999999999999" hidden="1" customHeight="1">
      <c r="E203" s="267" t="s">
        <v>1139</v>
      </c>
      <c r="F203" s="267"/>
      <c r="G203" s="267"/>
      <c r="H203" s="267"/>
      <c r="I203" s="790">
        <f>MIN(N(Max_ARP),N(ARP_Request_Amount))</f>
        <v>0</v>
      </c>
      <c r="J203" s="829"/>
      <c r="K203" s="829"/>
      <c r="L203" s="2570"/>
      <c r="R203" s="3"/>
    </row>
    <row r="204" spans="2:21" ht="14.65" hidden="1" customHeight="1">
      <c r="J204" s="829"/>
      <c r="K204" s="829"/>
      <c r="L204" s="2571"/>
      <c r="R204" s="3"/>
    </row>
    <row r="205" spans="2:21" ht="14.65" hidden="1" customHeight="1">
      <c r="B205" s="311" t="str">
        <f>IF($L$205=0,"...",MAX(B$4:B204)+1)</f>
        <v>...</v>
      </c>
      <c r="C205" s="6" t="s">
        <v>1140</v>
      </c>
      <c r="J205" s="829"/>
      <c r="K205" s="829"/>
      <c r="L205" s="2569">
        <v>0</v>
      </c>
      <c r="P205" s="2031" t="str">
        <f>"Controls Rows "&amp;TEXT(ROW(A205),"0")&amp;":"&amp;TEXT(ROW(A212),"0")&amp;"."</f>
        <v>Controls Rows 205:212.</v>
      </c>
      <c r="R205" s="3"/>
    </row>
    <row r="206" spans="2:21" ht="10.5" hidden="1" customHeight="1">
      <c r="J206" s="829"/>
      <c r="K206" s="829"/>
      <c r="L206" s="2570"/>
      <c r="R206" s="3"/>
    </row>
    <row r="207" spans="2:21" ht="17.649999999999999" hidden="1" customHeight="1">
      <c r="D207" s="3510" t="s">
        <v>1141</v>
      </c>
      <c r="E207" s="3510"/>
      <c r="F207" s="3510"/>
      <c r="G207" s="3510"/>
      <c r="H207" s="895">
        <f>IF(L205=0,0,DS_Grant_PD)</f>
        <v>0</v>
      </c>
      <c r="I207" s="522" t="s">
        <v>1137</v>
      </c>
      <c r="J207" s="829"/>
      <c r="K207" s="829"/>
      <c r="L207" s="2570"/>
      <c r="R207" s="3"/>
    </row>
    <row r="208" spans="2:21" ht="10.5" hidden="1" customHeight="1">
      <c r="C208" s="88"/>
      <c r="D208" s="865"/>
      <c r="E208" s="865"/>
      <c r="F208" s="865"/>
      <c r="G208" s="865"/>
      <c r="H208" s="865"/>
      <c r="J208" s="829"/>
      <c r="K208" s="829"/>
      <c r="L208" s="2570"/>
      <c r="R208" s="3"/>
    </row>
    <row r="209" spans="2:18" ht="17.649999999999999" hidden="1" customHeight="1">
      <c r="C209" s="88" t="s">
        <v>860</v>
      </c>
      <c r="D209" s="3492" t="s">
        <v>1142</v>
      </c>
      <c r="E209" s="3492"/>
      <c r="F209" s="3492"/>
      <c r="G209" s="3492"/>
      <c r="H209" s="3492"/>
      <c r="I209" s="896"/>
      <c r="J209" s="829"/>
      <c r="K209" s="829"/>
      <c r="L209" s="2570"/>
      <c r="R209" s="3"/>
    </row>
    <row r="210" spans="2:18" ht="5.25" hidden="1" customHeight="1">
      <c r="D210" s="6"/>
      <c r="J210" s="829"/>
      <c r="K210" s="829"/>
      <c r="L210" s="2570"/>
      <c r="R210" s="3"/>
    </row>
    <row r="211" spans="2:18" ht="17.649999999999999" hidden="1" customHeight="1">
      <c r="D211" s="6"/>
      <c r="E211" s="267" t="s">
        <v>1143</v>
      </c>
      <c r="F211" s="267"/>
      <c r="G211" s="267"/>
      <c r="H211" s="267"/>
      <c r="I211" s="790">
        <f>MIN(N(Max_Grant),N(Grant_Request_Amount))</f>
        <v>0</v>
      </c>
      <c r="J211" s="829"/>
      <c r="K211" s="829"/>
      <c r="L211" s="2570"/>
      <c r="R211" s="3"/>
    </row>
    <row r="212" spans="2:18" ht="14.65" hidden="1" customHeight="1">
      <c r="D212" s="6"/>
      <c r="J212" s="829"/>
      <c r="K212" s="829"/>
      <c r="L212" s="2571"/>
      <c r="R212" s="3"/>
    </row>
    <row r="213" spans="2:18" ht="17.649999999999999" hidden="1" customHeight="1">
      <c r="B213" s="311" t="str">
        <f>IF($L$213+$L$226+$L$228+$L$230=0,"...",MAX(B$4:B212)+1)</f>
        <v>...</v>
      </c>
      <c r="C213" s="6" t="s">
        <v>2050</v>
      </c>
      <c r="D213" s="6"/>
      <c r="J213" s="829"/>
      <c r="K213" s="829"/>
      <c r="L213" s="2569">
        <v>0</v>
      </c>
      <c r="P213" s="2849" t="s">
        <v>2853</v>
      </c>
      <c r="Q213" s="2849"/>
      <c r="R213" s="2849"/>
    </row>
    <row r="214" spans="2:18" ht="17.649999999999999" hidden="1" customHeight="1">
      <c r="I214" s="3288" t="str" cm="1">
        <f t="array" aca="1" ref="I214" ca="1">IF(Data3!L135=Data3!M135,"(The Per Unit Request Limit is based on the primary Development Type identified in Section 4.A.4."&amp;'Proposed Development Info'!A133&amp;".'s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829"/>
      <c r="K214" s="829"/>
      <c r="L214" s="2570"/>
      <c r="P214" s="2849"/>
      <c r="Q214" s="2849"/>
      <c r="R214" s="2849"/>
    </row>
    <row r="215" spans="2:18" ht="17.649999999999999" hidden="1" customHeight="1">
      <c r="D215" s="868" t="s">
        <v>1145</v>
      </c>
      <c r="E215" s="272"/>
      <c r="F215" s="272"/>
      <c r="G215" s="272"/>
      <c r="H215" s="897">
        <f>DS_NHTF_PD</f>
        <v>2500000</v>
      </c>
      <c r="I215" s="3288"/>
      <c r="J215" s="829"/>
      <c r="K215" s="829"/>
      <c r="L215" s="2570"/>
      <c r="P215" s="3485" t="str">
        <f>"Only one '1' should be entered in L"&amp;ROW(L213)&amp;" or within L"&amp;ROW(L226)&amp;":L"&amp;ROW(L230)&amp;"."</f>
        <v>Only one '1' should be entered in L213 or within L226:L230.</v>
      </c>
    </row>
    <row r="216" spans="2:18" ht="17.649999999999999" hidden="1" customHeight="1">
      <c r="D216" s="868" t="s">
        <v>1146</v>
      </c>
      <c r="E216" s="272"/>
      <c r="F216" s="272"/>
      <c r="G216" s="272"/>
      <c r="H216" s="897">
        <f>DS_NHTF_Req_PU</f>
        <v>0</v>
      </c>
      <c r="I216" s="3288"/>
      <c r="J216" s="829"/>
      <c r="K216" s="829"/>
      <c r="L216" s="2570"/>
      <c r="P216" s="3486"/>
    </row>
    <row r="217" spans="2:18" ht="17.649999999999999" hidden="1" customHeight="1">
      <c r="D217" s="868" t="s">
        <v>1609</v>
      </c>
      <c r="E217" s="272"/>
      <c r="F217" s="272"/>
      <c r="G217" s="272"/>
      <c r="H217" s="499">
        <f>NHTF_Total_Units_Funded</f>
        <v>0</v>
      </c>
      <c r="I217" s="3288"/>
      <c r="J217" s="829"/>
      <c r="L217" s="2570"/>
      <c r="P217" s="3487"/>
    </row>
    <row r="218" spans="2:18" ht="17.649999999999999" hidden="1" customHeight="1">
      <c r="D218" s="868" t="s">
        <v>1147</v>
      </c>
      <c r="E218" s="272"/>
      <c r="F218" s="272"/>
      <c r="G218" s="272"/>
      <c r="H218" s="897">
        <f>H216*H217</f>
        <v>0</v>
      </c>
      <c r="I218" s="3288"/>
      <c r="J218" s="829"/>
      <c r="K218" s="829"/>
      <c r="L218" s="2570"/>
    </row>
    <row r="219" spans="2:18" ht="17.649999999999999" hidden="1" customHeight="1">
      <c r="D219" s="829"/>
      <c r="E219" s="6"/>
      <c r="F219" s="6"/>
      <c r="G219" s="6"/>
      <c r="H219" s="307"/>
      <c r="I219" s="3288"/>
      <c r="J219" s="829"/>
      <c r="K219" s="829"/>
      <c r="L219" s="2570"/>
      <c r="R219" s="3"/>
    </row>
    <row r="220" spans="2:18" ht="30" hidden="1" customHeight="1">
      <c r="D220" s="2600" t="s">
        <v>1732</v>
      </c>
      <c r="E220" s="2600"/>
      <c r="F220" s="2600"/>
      <c r="G220" s="2600"/>
      <c r="H220" s="2600"/>
      <c r="I220" s="897">
        <f>MIN(H215,H216*H217)</f>
        <v>0</v>
      </c>
      <c r="J220" s="829"/>
      <c r="K220" s="829"/>
      <c r="L220" s="2570"/>
      <c r="R220" s="3"/>
    </row>
    <row r="221" spans="2:18" ht="10.5" hidden="1" customHeight="1">
      <c r="J221" s="829"/>
      <c r="K221" s="829"/>
      <c r="L221" s="2570"/>
      <c r="R221" s="3"/>
    </row>
    <row r="222" spans="2:18" ht="17.649999999999999" hidden="1" customHeight="1">
      <c r="C222" s="88" t="s">
        <v>860</v>
      </c>
      <c r="D222" s="3492" t="s">
        <v>1148</v>
      </c>
      <c r="E222" s="3492"/>
      <c r="F222" s="3492"/>
      <c r="G222" s="3492"/>
      <c r="H222" s="3492"/>
      <c r="I222" s="901" t="str">
        <f>IF(OR(L213=0,Max_NHTF=0),"",Max_NHTF)</f>
        <v/>
      </c>
      <c r="J222" s="829"/>
      <c r="K222" s="262"/>
      <c r="L222" s="2570"/>
      <c r="R222" s="3"/>
    </row>
    <row r="223" spans="2:18" ht="5.25" hidden="1" customHeight="1">
      <c r="C223" s="88"/>
      <c r="J223" s="829"/>
      <c r="K223" s="262"/>
      <c r="L223" s="2570"/>
      <c r="R223" s="3"/>
    </row>
    <row r="224" spans="2:18" ht="17.649999999999999" hidden="1" customHeight="1">
      <c r="C224" s="88"/>
      <c r="E224" s="267" t="s">
        <v>1149</v>
      </c>
      <c r="F224" s="267"/>
      <c r="G224" s="267"/>
      <c r="H224" s="267"/>
      <c r="I224" s="790">
        <f>MIN(N(Max_NHTF),N(NHTF_Request_Amount))</f>
        <v>0</v>
      </c>
      <c r="J224" s="829"/>
      <c r="K224" s="262"/>
      <c r="L224" s="2570"/>
      <c r="R224" s="3"/>
    </row>
    <row r="225" spans="1:18" ht="10.5" hidden="1" customHeight="1">
      <c r="C225" s="88"/>
      <c r="J225" s="829"/>
      <c r="K225" s="262"/>
      <c r="L225" s="2571"/>
      <c r="R225" s="3"/>
    </row>
    <row r="226" spans="1:18" ht="17.649999999999999" hidden="1" customHeight="1">
      <c r="B226" s="91"/>
      <c r="D226" s="867" t="s">
        <v>1934</v>
      </c>
      <c r="E226" s="994"/>
      <c r="F226" s="994"/>
      <c r="G226" s="267"/>
      <c r="H226" s="267"/>
      <c r="I226" s="904" t="s">
        <v>638</v>
      </c>
      <c r="J226" s="829"/>
      <c r="K226" s="829"/>
      <c r="L226" s="3473">
        <f>IF(OR(L213&gt;1,L228&gt;1,L230&gt;1),IF(M226=0,0,'General Information'!K$73),0)</f>
        <v>0</v>
      </c>
      <c r="M226" s="2569">
        <v>0</v>
      </c>
      <c r="P226" s="2849" t="str">
        <f>"If L"&amp;TEXT(ROW(A213),"0")&amp;", L"&amp;TEXT(ROW(A228),"0")&amp;" or L"&amp;TEXT(ROW(A228),"0")&amp;" are on, ""Off"" by M"&amp;TEXT(ROW(A266),"0")&amp;", otherwise by Self-Sourced Off/On."</f>
        <v>If L213, L228 or L228 are on, "Off" by M266, otherwise by Self-Sourced Off/On.</v>
      </c>
      <c r="Q226" s="2849"/>
    </row>
    <row r="227" spans="1:18" ht="10.5" hidden="1" customHeight="1">
      <c r="B227" s="91"/>
      <c r="D227" s="865"/>
      <c r="E227" s="31"/>
      <c r="F227" s="31"/>
      <c r="J227" s="829"/>
      <c r="K227" s="829"/>
      <c r="L227" s="3474"/>
      <c r="M227" s="2571"/>
      <c r="P227" s="3491"/>
      <c r="Q227" s="3491"/>
    </row>
    <row r="228" spans="1:18" ht="17.649999999999999" hidden="1" customHeight="1">
      <c r="B228" s="1330"/>
      <c r="D228" s="867"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994"/>
      <c r="F228" s="994"/>
      <c r="G228" s="267"/>
      <c r="H228" s="267"/>
      <c r="I228" s="902">
        <f>IF(L228&lt;&gt;0,IF(AND(County_Size="Large",DS_NHTF_Min_Units_Req_Large_Active="Yes"),DS_NHTF_Min_Units_Req_Large,IF(AND(County_Size="Medium",DS_NHTF_Min_Units_Req_Medium_Active="Yes"),DS_NHTF_Min_Units_Req_Medium,0))*DS_NHTF_Req_PU,0)</f>
        <v>0</v>
      </c>
      <c r="J228" s="829"/>
      <c r="K228" s="829"/>
      <c r="L228" s="3217">
        <v>0</v>
      </c>
      <c r="P228" s="2641" t="s">
        <v>2852</v>
      </c>
      <c r="Q228" s="2641"/>
    </row>
    <row r="229" spans="1:18" ht="10.5" hidden="1" customHeight="1">
      <c r="B229" s="1330"/>
      <c r="D229" s="865"/>
      <c r="E229" s="31"/>
      <c r="F229" s="31"/>
      <c r="I229" s="1349"/>
      <c r="J229" s="829"/>
      <c r="K229" s="829"/>
      <c r="L229" s="3219"/>
      <c r="P229" s="3491"/>
      <c r="Q229" s="3491"/>
    </row>
    <row r="230" spans="1:18" ht="17.649999999999999" hidden="1" customHeight="1">
      <c r="B230" s="91"/>
      <c r="D230" s="867" t="str">
        <f>"How many optional "&amp;TEXT(DS_NHTF_AMI_Units_Opt,"0%")&amp;" NHTF Units is the Applicant requesting?"</f>
        <v>How many optional 30% NHTF Units is the Applicant requesting?</v>
      </c>
      <c r="E230" s="994"/>
      <c r="F230" s="994"/>
      <c r="G230" s="267"/>
      <c r="H230" s="267"/>
      <c r="I230" s="1345"/>
      <c r="J230" s="829"/>
      <c r="K230" s="829"/>
      <c r="L230" s="3440">
        <v>0</v>
      </c>
      <c r="P230" s="2641" t="str">
        <f>"Controls NHTF Optional Units section. Section is used in joint with L"&amp;TEXT(ROW(A228),"0")&amp;"."</f>
        <v>Controls NHTF Optional Units section. Section is used in joint with L228.</v>
      </c>
      <c r="Q230" s="2641"/>
    </row>
    <row r="231" spans="1:18" ht="30" hidden="1" customHeight="1">
      <c r="B231" s="91"/>
      <c r="C231" s="875"/>
      <c r="D231" s="2603"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603"/>
      <c r="F231" s="2603"/>
      <c r="G231" s="2603"/>
      <c r="H231" s="2603"/>
      <c r="I231" s="2603"/>
      <c r="J231" s="829"/>
      <c r="K231" s="262"/>
      <c r="L231" s="3441"/>
      <c r="M231" s="855"/>
      <c r="N231" s="855"/>
      <c r="O231" s="855"/>
      <c r="P231" s="2849"/>
      <c r="Q231" s="2849"/>
      <c r="R231" s="3"/>
    </row>
    <row r="232" spans="1:18" ht="10.5" hidden="1" customHeight="1">
      <c r="A232" s="24"/>
      <c r="B232" s="24"/>
      <c r="C232" s="24"/>
      <c r="D232" s="24"/>
      <c r="E232" s="444"/>
      <c r="F232" s="444"/>
      <c r="G232" s="444"/>
      <c r="H232" s="24"/>
      <c r="I232" s="24"/>
      <c r="J232" s="829"/>
      <c r="K232" s="262"/>
      <c r="L232" s="3441"/>
      <c r="M232" s="855"/>
      <c r="N232" s="855"/>
      <c r="O232" s="855"/>
      <c r="R232" s="3"/>
    </row>
    <row r="233" spans="1:18" ht="30" hidden="1" customHeight="1">
      <c r="B233" s="24"/>
      <c r="D233" s="3521"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3521"/>
      <c r="F233" s="3521"/>
      <c r="G233" s="3521"/>
      <c r="H233" s="3521"/>
      <c r="I233" s="1350">
        <f>IF(L230&lt;&gt;0,MIN(N(I230),DS_NHTF_Max_Units_Opt_Allowed)*DS_NHTF_Opt_PU,0)</f>
        <v>0</v>
      </c>
      <c r="J233" s="829"/>
      <c r="K233" s="262"/>
      <c r="L233" s="3441"/>
      <c r="M233" s="855"/>
      <c r="N233" s="855"/>
      <c r="O233" s="855"/>
      <c r="R233" s="3"/>
    </row>
    <row r="234" spans="1:18" ht="10.5" hidden="1" customHeight="1">
      <c r="C234" s="88"/>
      <c r="J234" s="829"/>
      <c r="K234" s="262"/>
      <c r="L234" s="3441"/>
      <c r="M234" s="855"/>
      <c r="N234" s="855"/>
      <c r="O234" s="855"/>
      <c r="P234" s="829"/>
      <c r="R234" s="3"/>
    </row>
    <row r="235" spans="1:18" ht="17.649999999999999" hidden="1" customHeight="1">
      <c r="D235" s="437"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19"/>
      <c r="F235" s="719"/>
      <c r="G235" s="719"/>
      <c r="H235" s="437"/>
      <c r="I235" s="1350">
        <f>N(I228)+N(I233)</f>
        <v>0</v>
      </c>
      <c r="J235" s="829"/>
      <c r="K235" s="262"/>
      <c r="L235" s="3441"/>
      <c r="M235" s="855"/>
      <c r="N235" s="855"/>
      <c r="O235" s="855"/>
      <c r="P235" s="829"/>
      <c r="R235" s="3"/>
    </row>
    <row r="236" spans="1:18" ht="10.5" hidden="1" customHeight="1">
      <c r="C236" s="88"/>
      <c r="J236" s="829"/>
      <c r="K236" s="262"/>
      <c r="L236" s="3441"/>
      <c r="M236" s="855"/>
      <c r="N236" s="855"/>
      <c r="O236" s="855"/>
      <c r="P236" s="829"/>
      <c r="R236" s="3"/>
    </row>
    <row r="237" spans="1:18" ht="35.25" hidden="1" customHeight="1">
      <c r="C237" s="3519" t="s">
        <v>1144</v>
      </c>
      <c r="D237" s="3519"/>
      <c r="E237" s="3519"/>
      <c r="F237" s="3519"/>
      <c r="G237" s="3519"/>
      <c r="H237" s="3519"/>
      <c r="I237" s="3519"/>
      <c r="J237" s="829"/>
      <c r="K237" s="262"/>
      <c r="L237" s="3441"/>
      <c r="M237" s="855"/>
      <c r="N237" s="855"/>
      <c r="O237" s="855"/>
      <c r="P237" s="829"/>
      <c r="R237" s="3"/>
    </row>
    <row r="238" spans="1:18" ht="10.5" hidden="1" customHeight="1">
      <c r="C238" s="88"/>
      <c r="J238" s="829"/>
      <c r="K238" s="262"/>
      <c r="L238" s="3219"/>
      <c r="M238" s="855"/>
      <c r="N238" s="855"/>
      <c r="O238" s="855"/>
      <c r="P238" s="829"/>
      <c r="R238" s="3"/>
    </row>
    <row r="239" spans="1:18" ht="14.65" hidden="1" customHeight="1">
      <c r="B239" s="311" t="str">
        <f>IF($L239=0,"...",MAX(B$4:B238)+1)</f>
        <v>...</v>
      </c>
      <c r="C239" s="6" t="s">
        <v>1739</v>
      </c>
      <c r="J239" s="262"/>
      <c r="K239" s="262"/>
      <c r="L239" s="2569">
        <v>0</v>
      </c>
      <c r="M239" s="855"/>
      <c r="N239" s="855"/>
      <c r="O239" s="855"/>
      <c r="P239" s="2031" t="str">
        <f>"Controls Rows "&amp;TEXT(ROW(A239),"0")&amp;":"&amp;TEXT(ROW(A265),"0")&amp;"."</f>
        <v>Controls Rows 239:265.</v>
      </c>
      <c r="R239" s="3"/>
    </row>
    <row r="240" spans="1:18" ht="10.5" hidden="1" customHeight="1">
      <c r="C240" s="88"/>
      <c r="J240" s="262"/>
      <c r="K240" s="262"/>
      <c r="L240" s="2570"/>
      <c r="M240" s="855"/>
      <c r="N240" s="855"/>
      <c r="O240" s="855"/>
      <c r="P240" s="829"/>
      <c r="R240" s="3"/>
    </row>
    <row r="241" spans="3:18" ht="14.65" hidden="1" customHeight="1">
      <c r="C241" s="21" t="s">
        <v>860</v>
      </c>
      <c r="D241" t="s">
        <v>1740</v>
      </c>
      <c r="J241" s="262"/>
      <c r="K241" s="262"/>
      <c r="L241" s="2570"/>
      <c r="M241" s="3476">
        <v>0</v>
      </c>
      <c r="O241" s="855"/>
      <c r="P241" s="1267" t="s">
        <v>2850</v>
      </c>
      <c r="R241" s="3"/>
    </row>
    <row r="242" spans="3:18" ht="14.65" hidden="1" customHeight="1">
      <c r="C242" s="88"/>
      <c r="E242" s="267" t="s">
        <v>1741</v>
      </c>
      <c r="F242" s="267"/>
      <c r="G242" s="267"/>
      <c r="H242" s="1117">
        <f>IF(L239=0,0,Data3!C165)</f>
        <v>0</v>
      </c>
      <c r="J242" s="262"/>
      <c r="K242" s="262"/>
      <c r="L242" s="2570"/>
      <c r="M242" s="3477"/>
      <c r="O242" s="855"/>
      <c r="P242" s="829"/>
      <c r="R242" s="3"/>
    </row>
    <row r="243" spans="3:18" ht="10.5" hidden="1" customHeight="1">
      <c r="C243" s="88"/>
      <c r="J243" s="262"/>
      <c r="K243" s="262"/>
      <c r="L243" s="2570"/>
      <c r="M243" s="3477"/>
      <c r="O243" s="855"/>
      <c r="P243" s="829"/>
      <c r="R243" s="3"/>
    </row>
    <row r="244" spans="3:18" ht="14.65" hidden="1" customHeight="1">
      <c r="C244" s="88"/>
      <c r="D244" s="3492" t="s">
        <v>1742</v>
      </c>
      <c r="E244" s="3492"/>
      <c r="F244" s="3492"/>
      <c r="G244" s="3492"/>
      <c r="H244" s="3492"/>
      <c r="I244" s="1141"/>
      <c r="J244" s="262"/>
      <c r="K244" s="262"/>
      <c r="L244" s="2570"/>
      <c r="M244" s="3477"/>
      <c r="O244" s="855"/>
      <c r="P244" s="829"/>
      <c r="R244" s="3"/>
    </row>
    <row r="245" spans="3:18" ht="5.25" hidden="1" customHeight="1">
      <c r="C245" s="88"/>
      <c r="D245" s="865"/>
      <c r="E245" s="865"/>
      <c r="F245" s="865"/>
      <c r="G245" s="865"/>
      <c r="H245" s="865"/>
      <c r="J245" s="262"/>
      <c r="K245" s="262"/>
      <c r="L245" s="2570"/>
      <c r="M245" s="3477"/>
      <c r="O245" s="855"/>
      <c r="P245" s="829"/>
      <c r="R245" s="3"/>
    </row>
    <row r="246" spans="3:18" ht="14.65" hidden="1" customHeight="1">
      <c r="C246" s="88"/>
      <c r="D246" s="865"/>
      <c r="E246" s="267" t="s">
        <v>1743</v>
      </c>
      <c r="F246" s="267"/>
      <c r="G246" s="267"/>
      <c r="H246" s="267"/>
      <c r="I246" s="1117">
        <f>MIN(N(H242),N(I244))</f>
        <v>0</v>
      </c>
      <c r="J246" s="262"/>
      <c r="K246" s="262"/>
      <c r="L246" s="2570"/>
      <c r="M246" s="3477"/>
      <c r="O246" s="855"/>
      <c r="P246" s="829"/>
      <c r="R246" s="3"/>
    </row>
    <row r="247" spans="3:18" ht="14.65" hidden="1" customHeight="1">
      <c r="C247" s="88"/>
      <c r="J247" s="262"/>
      <c r="K247" s="262"/>
      <c r="L247" s="2570"/>
      <c r="M247" s="3478"/>
      <c r="O247" s="855"/>
      <c r="P247" s="829"/>
      <c r="R247" s="3"/>
    </row>
    <row r="248" spans="3:18" ht="14.65" hidden="1" customHeight="1">
      <c r="C248" s="21" t="str">
        <f>IF(AND($L239=1,$M241=0,$M248=1),"(a)",IF(AND($L239=1,$M241=1,$M248=1),"(b)","(-)"))</f>
        <v>(-)</v>
      </c>
      <c r="D248" t="s">
        <v>1744</v>
      </c>
      <c r="J248" s="262"/>
      <c r="K248" s="262"/>
      <c r="L248" s="2570"/>
      <c r="M248" s="2569">
        <v>0</v>
      </c>
      <c r="N248" s="855"/>
      <c r="O248" s="855"/>
      <c r="P248" s="1267" t="s">
        <v>2851</v>
      </c>
      <c r="R248" s="3"/>
    </row>
    <row r="249" spans="3:18" ht="14.65" hidden="1" customHeight="1">
      <c r="C249" s="88"/>
      <c r="E249" s="267" t="s">
        <v>1745</v>
      </c>
      <c r="F249" s="267"/>
      <c r="G249" s="267"/>
      <c r="H249" s="1117">
        <f>Data3!C166</f>
        <v>8000000</v>
      </c>
      <c r="J249" s="262"/>
      <c r="K249" s="262"/>
      <c r="L249" s="2570"/>
      <c r="M249" s="2570"/>
      <c r="N249" s="855"/>
      <c r="O249" s="855"/>
      <c r="P249" s="829"/>
      <c r="R249" s="3"/>
    </row>
    <row r="250" spans="3:18" ht="10.5" hidden="1" customHeight="1">
      <c r="C250" s="88"/>
      <c r="J250" s="262"/>
      <c r="K250" s="262"/>
      <c r="L250" s="2570"/>
      <c r="M250" s="2570"/>
      <c r="N250" s="855"/>
      <c r="O250" s="855"/>
      <c r="P250" s="829"/>
      <c r="R250" s="3"/>
    </row>
    <row r="251" spans="3:18" ht="45" hidden="1" customHeight="1">
      <c r="C251" s="88"/>
      <c r="E251" s="53" t="s">
        <v>1110</v>
      </c>
      <c r="F251" s="53" t="s">
        <v>1746</v>
      </c>
      <c r="G251" s="53" t="s">
        <v>1747</v>
      </c>
      <c r="H251" s="53" t="s">
        <v>1748</v>
      </c>
      <c r="J251" s="262"/>
      <c r="K251" s="262"/>
      <c r="L251" s="2570"/>
      <c r="M251" s="2570"/>
      <c r="P251" s="800"/>
      <c r="R251" s="3"/>
    </row>
    <row r="252" spans="3:18" ht="17.649999999999999" hidden="1" customHeight="1">
      <c r="C252" s="88"/>
      <c r="E252" s="99">
        <v>0</v>
      </c>
      <c r="F252" s="1112"/>
      <c r="G252" s="100">
        <f>IF(County="Monroe",DS_CDBG_DR_PU_0Bd_Keys,DS_CDBG_DR_PU_0Bd_NonKeys)</f>
        <v>155709</v>
      </c>
      <c r="H252" s="103">
        <f>N(F252)*N(G252)</f>
        <v>0</v>
      </c>
      <c r="J252" s="262"/>
      <c r="K252" s="262"/>
      <c r="L252" s="2570"/>
      <c r="M252" s="2570"/>
      <c r="N252" s="2190">
        <v>1</v>
      </c>
      <c r="O252" s="829"/>
      <c r="P252" s="264"/>
      <c r="Q252" s="264"/>
      <c r="R252" s="264"/>
    </row>
    <row r="253" spans="3:18" ht="17.649999999999999" hidden="1" customHeight="1">
      <c r="C253" s="88"/>
      <c r="E253" s="101">
        <v>1</v>
      </c>
      <c r="F253" s="1113"/>
      <c r="G253" s="102">
        <f>IF(County="Monroe",DS_CDBG_DR_PU_1Bd_Keys,DS_CDBG_DR_PU_1Bd_NonKeys)</f>
        <v>178497</v>
      </c>
      <c r="H253" s="104">
        <f>N(F253)*N(G253)</f>
        <v>0</v>
      </c>
      <c r="J253" s="262"/>
      <c r="K253" s="262"/>
      <c r="L253" s="2570"/>
      <c r="M253" s="2570"/>
      <c r="N253" s="2190">
        <v>1</v>
      </c>
      <c r="O253" s="829"/>
      <c r="P253" s="264"/>
      <c r="Q253" s="264"/>
      <c r="R253" s="264"/>
    </row>
    <row r="254" spans="3:18" ht="17.649999999999999" hidden="1" customHeight="1">
      <c r="C254" s="88"/>
      <c r="E254" s="101">
        <v>2</v>
      </c>
      <c r="F254" s="1113"/>
      <c r="G254" s="102">
        <f>IF(County="Monroe",DS_CDBG_DR_PU_2Bd_Keys,DS_CDBG_DR_PU_2Bd_NonKeys)</f>
        <v>217058</v>
      </c>
      <c r="H254" s="104">
        <f>N(F254)*N(G254)</f>
        <v>0</v>
      </c>
      <c r="J254" s="262"/>
      <c r="K254" s="262"/>
      <c r="L254" s="2570"/>
      <c r="M254" s="2570"/>
      <c r="N254" s="2190">
        <v>1</v>
      </c>
      <c r="O254" s="829"/>
      <c r="P254" s="264"/>
      <c r="Q254" s="264"/>
      <c r="R254" s="264"/>
    </row>
    <row r="255" spans="3:18" ht="17.649999999999999" hidden="1" customHeight="1">
      <c r="C255" s="88"/>
      <c r="E255" s="101">
        <v>3</v>
      </c>
      <c r="F255" s="1113"/>
      <c r="G255" s="102">
        <f>IF(County="Monroe",DS_CDBG_DR_PU_3Bd_Keys,DS_CDBG_DR_PU_3Bd_NonKeys)</f>
        <v>280804</v>
      </c>
      <c r="H255" s="104">
        <f>N(F255)*N(G255)</f>
        <v>0</v>
      </c>
      <c r="J255" s="262"/>
      <c r="K255" s="262"/>
      <c r="L255" s="2570"/>
      <c r="M255" s="2570"/>
      <c r="N255" s="2190">
        <v>1</v>
      </c>
      <c r="O255" s="829"/>
      <c r="P255" s="264"/>
      <c r="Q255" s="264"/>
      <c r="R255" s="264"/>
    </row>
    <row r="256" spans="3:18" ht="17.649999999999999" hidden="1" customHeight="1" thickBot="1">
      <c r="C256" s="88"/>
      <c r="E256" s="472">
        <v>4</v>
      </c>
      <c r="F256" s="1114"/>
      <c r="G256" s="473">
        <f>IF(County="Monroe",DS_CDBG_DR_PU_4Bd_Keys,DS_CDBG_DR_PU_4Bd_NonKeys)</f>
        <v>308233</v>
      </c>
      <c r="H256" s="474">
        <f>N(F256)*N(G256)</f>
        <v>0</v>
      </c>
      <c r="J256" s="262"/>
      <c r="K256" s="262"/>
      <c r="L256" s="2570"/>
      <c r="M256" s="2570"/>
      <c r="N256" s="2190">
        <v>1</v>
      </c>
      <c r="O256" s="829"/>
      <c r="P256" s="264"/>
      <c r="Q256" s="264"/>
      <c r="R256" s="264"/>
    </row>
    <row r="257" spans="2:18" ht="17.649999999999999" hidden="1" customHeight="1">
      <c r="C257" s="88"/>
      <c r="G257" s="849" t="str">
        <f>"Total "&amp;C245&amp;"-Assisted Units"</f>
        <v>Total -Assisted Units</v>
      </c>
      <c r="H257" s="572">
        <f>SUM(F252:F256)</f>
        <v>0</v>
      </c>
      <c r="J257" s="262"/>
      <c r="K257" s="262"/>
      <c r="L257" s="2570"/>
      <c r="M257" s="2570"/>
      <c r="O257" s="855"/>
      <c r="P257" s="264"/>
      <c r="Q257" s="264"/>
      <c r="R257" s="264"/>
    </row>
    <row r="258" spans="2:18" ht="17.649999999999999" hidden="1" customHeight="1">
      <c r="C258" s="88"/>
      <c r="G258" s="849" t="str">
        <f>"Total Maximum "&amp;C245&amp;" Subsidy Allowed"</f>
        <v>Total Maximum  Subsidy Allowed</v>
      </c>
      <c r="H258" s="105">
        <f>SUM(H252:H256)</f>
        <v>0</v>
      </c>
      <c r="J258" s="262"/>
      <c r="K258" s="262"/>
      <c r="L258" s="2570"/>
      <c r="M258" s="2570"/>
      <c r="O258" s="855"/>
      <c r="P258" s="264"/>
      <c r="Q258" s="264"/>
      <c r="R258" s="264"/>
    </row>
    <row r="259" spans="2:18" ht="5.25" hidden="1" customHeight="1">
      <c r="C259" s="88"/>
      <c r="J259" s="262"/>
      <c r="K259" s="262"/>
      <c r="L259" s="2570"/>
      <c r="M259" s="2570"/>
      <c r="O259" s="855"/>
      <c r="P259" s="264"/>
      <c r="Q259" s="264"/>
      <c r="R259" s="264"/>
    </row>
    <row r="260" spans="2:18" ht="30" hidden="1" customHeight="1">
      <c r="C260" s="88"/>
      <c r="E260" s="2600" t="s">
        <v>1731</v>
      </c>
      <c r="F260" s="2600"/>
      <c r="G260" s="2600"/>
      <c r="H260" s="2600"/>
      <c r="I260" s="1110">
        <f>IF(M248=0,0,MIN(H249,H258))</f>
        <v>0</v>
      </c>
      <c r="J260" s="262"/>
      <c r="K260" s="262"/>
      <c r="L260" s="2570"/>
      <c r="M260" s="2570"/>
      <c r="O260" s="855"/>
      <c r="P260" s="264"/>
      <c r="Q260" s="264"/>
      <c r="R260" s="264"/>
    </row>
    <row r="261" spans="2:18" ht="10.5" hidden="1" customHeight="1">
      <c r="C261" s="88"/>
      <c r="J261" s="262"/>
      <c r="K261" s="262"/>
      <c r="L261" s="2570"/>
      <c r="M261" s="2570"/>
      <c r="O261" s="855"/>
      <c r="P261" s="264"/>
      <c r="Q261" s="264"/>
      <c r="R261" s="264"/>
    </row>
    <row r="262" spans="2:18" ht="17.649999999999999" hidden="1" customHeight="1">
      <c r="C262" s="88"/>
      <c r="D262" s="3492" t="s">
        <v>1751</v>
      </c>
      <c r="E262" s="3492"/>
      <c r="F262" s="3492"/>
      <c r="G262" s="3492"/>
      <c r="H262" s="3492"/>
      <c r="I262" s="1116"/>
      <c r="J262" s="262"/>
      <c r="K262" s="262"/>
      <c r="L262" s="2570"/>
      <c r="M262" s="2570"/>
      <c r="P262" s="264"/>
      <c r="Q262" s="264"/>
      <c r="R262" s="264"/>
    </row>
    <row r="263" spans="2:18" ht="5.25" hidden="1" customHeight="1">
      <c r="C263" s="88"/>
      <c r="D263" s="865"/>
      <c r="E263" s="865"/>
      <c r="F263" s="865"/>
      <c r="G263" s="865"/>
      <c r="H263" s="865"/>
      <c r="J263" s="262"/>
      <c r="K263" s="262"/>
      <c r="L263" s="2570"/>
      <c r="M263" s="2570"/>
      <c r="N263" s="855"/>
      <c r="O263" s="855"/>
      <c r="P263" s="264"/>
      <c r="Q263" s="264"/>
      <c r="R263" s="264"/>
    </row>
    <row r="264" spans="2:18" ht="17.649999999999999" hidden="1" customHeight="1">
      <c r="C264" s="88"/>
      <c r="D264" s="865"/>
      <c r="E264" s="267" t="s">
        <v>1752</v>
      </c>
      <c r="F264" s="267"/>
      <c r="G264" s="267"/>
      <c r="H264" s="267"/>
      <c r="I264" s="1117" cm="1">
        <f t="array" ref="I264">MIN(N(Max_CDBG_DR_Dev),N(CDBG_DR_Dev_Request_Amount))</f>
        <v>0</v>
      </c>
      <c r="J264" s="262"/>
      <c r="K264" s="262"/>
      <c r="L264" s="2570"/>
      <c r="M264" s="2570"/>
      <c r="N264" s="855"/>
      <c r="O264" s="855"/>
      <c r="P264" s="264"/>
      <c r="Q264" s="264"/>
      <c r="R264" s="264"/>
    </row>
    <row r="265" spans="2:18" ht="14.65" hidden="1" customHeight="1">
      <c r="C265" s="88"/>
      <c r="J265" s="262"/>
      <c r="K265" s="262"/>
      <c r="L265" s="2571"/>
      <c r="M265" s="2571"/>
      <c r="N265" s="855"/>
      <c r="O265" s="855"/>
      <c r="P265" s="264"/>
      <c r="Q265" s="264"/>
      <c r="R265" s="264"/>
    </row>
    <row r="266" spans="2:18" ht="14.65" hidden="1" customHeight="1">
      <c r="B266" s="311" t="str">
        <f>IF($L266=0,"...",MAX(B$4:B265)+1)</f>
        <v>...</v>
      </c>
      <c r="C266" s="6" t="s">
        <v>1150</v>
      </c>
      <c r="F266" s="331" t="s">
        <v>1151</v>
      </c>
      <c r="J266" s="2224"/>
      <c r="K266" s="829"/>
      <c r="L266" s="2569">
        <v>0</v>
      </c>
      <c r="R266" s="3"/>
    </row>
    <row r="267" spans="2:18" ht="10.5" hidden="1" customHeight="1">
      <c r="J267" s="2224"/>
      <c r="K267" s="829"/>
      <c r="L267" s="2570"/>
      <c r="R267" s="3"/>
    </row>
    <row r="268" spans="2:18" ht="17.649999999999999" hidden="1" customHeight="1">
      <c r="D268" s="868" t="s">
        <v>1152</v>
      </c>
      <c r="E268" s="272"/>
      <c r="F268" s="272"/>
      <c r="G268" s="272"/>
      <c r="H268" s="897"/>
      <c r="J268" s="2224"/>
      <c r="K268" s="829"/>
      <c r="L268" s="2570"/>
      <c r="R268" s="3"/>
    </row>
    <row r="269" spans="2:18" ht="17.649999999999999" hidden="1" customHeight="1">
      <c r="D269" s="829" t="s">
        <v>1153</v>
      </c>
      <c r="E269" s="6"/>
      <c r="F269" s="6"/>
      <c r="G269" s="6"/>
      <c r="H269" s="307"/>
      <c r="J269" s="2224"/>
      <c r="K269" s="829"/>
      <c r="L269" s="2570"/>
      <c r="R269" s="3"/>
    </row>
    <row r="270" spans="2:18" ht="17.649999999999999" hidden="1" customHeight="1">
      <c r="D270" s="500" t="s">
        <v>1154</v>
      </c>
      <c r="E270" s="328"/>
      <c r="F270" s="328"/>
      <c r="G270" s="328"/>
      <c r="H270" s="501"/>
      <c r="J270" s="2224"/>
      <c r="K270" s="829"/>
      <c r="L270" s="2570"/>
      <c r="R270" s="3"/>
    </row>
    <row r="271" spans="2:18" ht="17.649999999999999" hidden="1" customHeight="1">
      <c r="D271" s="68" t="s">
        <v>1155</v>
      </c>
      <c r="E271" s="273"/>
      <c r="F271" s="273"/>
      <c r="G271" s="273"/>
      <c r="H271" s="320"/>
      <c r="J271" s="2224"/>
      <c r="K271" s="829"/>
      <c r="L271" s="2570"/>
      <c r="R271" s="3"/>
    </row>
    <row r="272" spans="2:18" ht="10.5" hidden="1" customHeight="1">
      <c r="D272" s="829"/>
      <c r="E272" s="6"/>
      <c r="F272" s="6"/>
      <c r="G272" s="6"/>
      <c r="H272" s="307"/>
      <c r="J272" s="2224"/>
      <c r="K272" s="829"/>
      <c r="L272" s="2570"/>
      <c r="R272" s="3"/>
    </row>
    <row r="273" spans="2:18" ht="30" hidden="1" customHeight="1">
      <c r="D273" s="829"/>
      <c r="E273" s="2600" t="s">
        <v>1732</v>
      </c>
      <c r="F273" s="2600"/>
      <c r="G273" s="2600"/>
      <c r="H273" s="2600"/>
      <c r="I273" s="897">
        <f>MIN(H268,H271)</f>
        <v>0</v>
      </c>
      <c r="J273" s="2224"/>
      <c r="K273" s="829"/>
      <c r="L273" s="2570"/>
      <c r="R273" s="3"/>
    </row>
    <row r="274" spans="2:18" ht="10.5" hidden="1" customHeight="1">
      <c r="J274" s="2224"/>
      <c r="K274" s="829"/>
      <c r="L274" s="2570"/>
      <c r="R274" s="3"/>
    </row>
    <row r="275" spans="2:18" ht="17.649999999999999" hidden="1" customHeight="1">
      <c r="C275" s="88" t="s">
        <v>860</v>
      </c>
      <c r="D275" t="s">
        <v>1156</v>
      </c>
      <c r="I275" s="896"/>
      <c r="J275" s="2224"/>
      <c r="K275" s="262"/>
      <c r="L275" s="2570"/>
      <c r="R275" s="3"/>
    </row>
    <row r="276" spans="2:18" ht="5.25" hidden="1" customHeight="1">
      <c r="J276" s="2224"/>
      <c r="K276" s="829"/>
      <c r="L276" s="2570"/>
      <c r="R276" s="3"/>
    </row>
    <row r="277" spans="2:18" ht="17.649999999999999" hidden="1" customHeight="1">
      <c r="E277" s="267" t="s">
        <v>1157</v>
      </c>
      <c r="F277" s="267"/>
      <c r="G277" s="267"/>
      <c r="H277" s="267"/>
      <c r="I277" s="790">
        <v>0</v>
      </c>
      <c r="J277" s="2224"/>
      <c r="K277" s="829"/>
      <c r="L277" s="2570"/>
      <c r="R277" s="3"/>
    </row>
    <row r="278" spans="2:18" ht="14.65" hidden="1" customHeight="1">
      <c r="J278" s="2224"/>
      <c r="K278" s="829"/>
      <c r="L278" s="2571"/>
      <c r="R278" s="3"/>
    </row>
    <row r="279" spans="2:18" ht="14.65" customHeight="1">
      <c r="B279" s="311">
        <f>IF(AND($M$281=0,$M$310=0),"...",MAX(B$4:B278)+1)</f>
        <v>2</v>
      </c>
      <c r="C279" s="2597" t="s">
        <v>1158</v>
      </c>
      <c r="D279" s="2597"/>
      <c r="E279" s="2597"/>
      <c r="F279" s="2597"/>
      <c r="G279" s="2597"/>
      <c r="H279" s="2597"/>
      <c r="I279" s="2597"/>
      <c r="J279" s="829"/>
      <c r="K279" s="829"/>
      <c r="L279" s="3471">
        <f>IF(AND($M$281=0,$M$310=0),0,1)</f>
        <v>1</v>
      </c>
      <c r="P279" s="2549" t="str">
        <f>"Turns off if both M"&amp;TEXT(ROW(A281),"0")&amp;" (Competitive) and M"&amp;TEXT(ROW(A310),"0")&amp;" (Non-Competitive) are ""Off""."</f>
        <v>Turns off if both M281 (Competitive) and M310 (Non-Competitive) are "Off".</v>
      </c>
      <c r="Q279" s="2549"/>
    </row>
    <row r="280" spans="2:18" ht="10.5" customHeight="1">
      <c r="J280" s="829"/>
      <c r="K280" s="829"/>
      <c r="L280" s="3204"/>
      <c r="P280" s="3534"/>
      <c r="Q280" s="3534"/>
    </row>
    <row r="281" spans="2:18" ht="14.65" hidden="1" customHeight="1">
      <c r="B281" s="3"/>
      <c r="C281" t="s">
        <v>1159</v>
      </c>
      <c r="J281" s="829"/>
      <c r="K281" s="829"/>
      <c r="L281" s="3204"/>
      <c r="M281" s="2569">
        <v>0</v>
      </c>
      <c r="P281" s="308" t="s">
        <v>2855</v>
      </c>
    </row>
    <row r="282" spans="2:18" ht="10.5" hidden="1" customHeight="1">
      <c r="B282" s="3"/>
      <c r="C282" s="92"/>
      <c r="D282" s="865"/>
      <c r="E282" s="865"/>
      <c r="F282" s="865"/>
      <c r="G282" s="865"/>
      <c r="H282" s="865"/>
      <c r="J282" s="829"/>
      <c r="K282" s="829"/>
      <c r="L282" s="3204"/>
      <c r="M282" s="2570"/>
      <c r="N282" s="855"/>
      <c r="O282" s="855"/>
    </row>
    <row r="283" spans="2:18" hidden="1">
      <c r="B283" s="3"/>
      <c r="C283" s="92"/>
      <c r="D283" s="3506" t="s">
        <v>1160</v>
      </c>
      <c r="E283" s="3506"/>
      <c r="F283" s="3506"/>
      <c r="G283" s="3506"/>
      <c r="H283" s="3506"/>
      <c r="J283" s="829"/>
      <c r="K283" s="829"/>
      <c r="L283" s="3204"/>
      <c r="M283" s="2570"/>
      <c r="N283" s="855"/>
      <c r="O283" s="855"/>
      <c r="P283" s="3479" t="str">
        <f>IF(AND(M281=1,M310=1),"Both Competitive and Non-Competitive Credits have been turned on.",IF(M281=1,"Competitive Credits have been turned on.",IF(M310=1,"Non-Competitive Credits have been turned on.","")))</f>
        <v>Non-Competitive Credits have been turned on.</v>
      </c>
    </row>
    <row r="284" spans="2:18" hidden="1">
      <c r="B284" s="3"/>
      <c r="C284" s="92"/>
      <c r="D284" s="6"/>
      <c r="E284" s="272" t="str">
        <f>Data3!D174</f>
        <v>Per Development - Broward, Miami-Dade</v>
      </c>
      <c r="F284" s="272"/>
      <c r="G284" s="272"/>
      <c r="H284" s="902" t="str">
        <f>IF(N284=0,"",IF(County="&lt;select one&gt;","Select a County",IF(OR(County="Broward",County="Miami-Dade"),Data3!C174,"NA")))</f>
        <v/>
      </c>
      <c r="J284" s="829"/>
      <c r="K284" s="829"/>
      <c r="L284" s="3204"/>
      <c r="M284" s="2570"/>
      <c r="N284" s="2000">
        <v>0</v>
      </c>
      <c r="O284" s="855"/>
      <c r="P284" s="3480"/>
    </row>
    <row r="285" spans="2:18" hidden="1">
      <c r="B285" s="3"/>
      <c r="C285" s="92"/>
      <c r="D285" s="6"/>
      <c r="E285" s="272" t="str">
        <f>Data3!D175</f>
        <v>Per Development - Hillsborough, Orange, Palm Beach</v>
      </c>
      <c r="F285" s="272"/>
      <c r="G285" s="272"/>
      <c r="H285" s="902" t="str">
        <f>IF(N285=0,"",IF(County="&lt;select one&gt;","Select a County",IF(OR(County="Hillsborough",County="Orange",County="Palm Beach"),Data3!C175,"NA")))</f>
        <v/>
      </c>
      <c r="J285" s="829"/>
      <c r="K285" s="829"/>
      <c r="L285" s="3204"/>
      <c r="M285" s="2570"/>
      <c r="N285" s="2000">
        <v>0</v>
      </c>
      <c r="O285" s="855"/>
      <c r="P285" s="829"/>
    </row>
    <row r="286" spans="2:18" hidden="1">
      <c r="B286" s="3"/>
      <c r="C286" s="92"/>
      <c r="D286" s="6"/>
      <c r="E286" s="272" t="str">
        <f>Data3!D176</f>
        <v>Per Development - Duval, Pinellas</v>
      </c>
      <c r="F286" s="272"/>
      <c r="G286" s="272"/>
      <c r="H286" s="902" t="str">
        <f>IF(N286=0,"",IF(County="&lt;select one&gt;","Select a County",IF(OR(County="Duval",County="Pinellas"),Data3!C176,"NA")))</f>
        <v/>
      </c>
      <c r="J286" s="829"/>
      <c r="K286" s="829"/>
      <c r="L286" s="3204"/>
      <c r="M286" s="2570"/>
      <c r="N286" s="2000">
        <v>0</v>
      </c>
      <c r="O286" s="855"/>
      <c r="P286" s="829"/>
    </row>
    <row r="287" spans="2:18" hidden="1">
      <c r="B287" s="3"/>
      <c r="C287" s="92"/>
      <c r="D287" s="6"/>
      <c r="E287" s="272" t="str">
        <f>Data3!D177</f>
        <v>Per Development - Lee, Polk</v>
      </c>
      <c r="F287" s="272"/>
      <c r="G287" s="272"/>
      <c r="H287" s="902" t="str">
        <f>IF(N287=0,"",IF(County="&lt;select one&gt;","Select a County",IF(OR(County="Lee",County="Polk"),Data3!C177,"NA")))</f>
        <v/>
      </c>
      <c r="J287" s="829"/>
      <c r="K287" s="829"/>
      <c r="L287" s="3204"/>
      <c r="M287" s="2570"/>
      <c r="N287" s="2000">
        <v>0</v>
      </c>
      <c r="O287" s="855"/>
      <c r="P287" s="829"/>
    </row>
    <row r="288" spans="2:18" hidden="1">
      <c r="B288" s="3"/>
      <c r="C288" s="92"/>
      <c r="D288" s="6"/>
      <c r="E288" s="272" t="str">
        <f>Data3!D178</f>
        <v>Per Development - Small Counties</v>
      </c>
      <c r="F288" s="272"/>
      <c r="G288" s="272"/>
      <c r="H288" s="902" t="str">
        <f>IF(N288=0,"",IF(County="&lt;select one&gt;","Select a County",IF(AND(VLOOKUP(County,DS_County_Sizes,8,FALSE)="Small",County&lt;&gt;IF(O288=0,"Monroe","")),Data3!C178,"NA")))</f>
        <v/>
      </c>
      <c r="J288" s="829"/>
      <c r="K288" s="829"/>
      <c r="L288" s="3204"/>
      <c r="M288" s="2570"/>
      <c r="N288" s="2000">
        <v>0</v>
      </c>
      <c r="O288" s="2000">
        <v>1</v>
      </c>
      <c r="P288" s="2502" t="str">
        <f>"(Monroe: 0=Exclude, 1=Include;  Set to ****"&amp;IF(O288=1,"INCLUDE","EXLUDE")&amp;"****)"</f>
        <v>(Monroe: 0=Exclude, 1=Include;  Set to ****INCLUDE****)</v>
      </c>
      <c r="Q288" s="2503"/>
      <c r="R288" s="755"/>
    </row>
    <row r="289" spans="2:18" hidden="1">
      <c r="B289" s="3"/>
      <c r="C289" s="92"/>
      <c r="D289" s="6"/>
      <c r="E289" s="272" t="str">
        <f>Data3!D179</f>
        <v>Per Development - Medium Counties</v>
      </c>
      <c r="F289" s="272"/>
      <c r="G289" s="272"/>
      <c r="H289" s="902" t="str">
        <f>IF(N289=0,"",IF(County="&lt;select one&gt;","Select a County",IF(VLOOKUP(County,DS_County_Sizes,8,FALSE)="Medium",Data3!C179,"NA")))</f>
        <v/>
      </c>
      <c r="J289" s="829"/>
      <c r="K289" s="829"/>
      <c r="L289" s="3204"/>
      <c r="M289" s="2570"/>
      <c r="N289" s="2000">
        <v>0</v>
      </c>
      <c r="O289" s="855"/>
      <c r="P289" s="829"/>
    </row>
    <row r="290" spans="2:18" hidden="1">
      <c r="B290" s="3"/>
      <c r="C290" s="92"/>
      <c r="D290" s="6"/>
      <c r="E290" s="272" t="str">
        <f>Data3!D180</f>
        <v>Per Development - Large Counties</v>
      </c>
      <c r="F290" s="272"/>
      <c r="G290" s="272"/>
      <c r="H290" s="903" t="str">
        <f>IF(N290=0,"",IF(County="&lt;select one&gt;","Select a County",IF(VLOOKUP(County,DS_County_Sizes,8,FALSE)="Large",Data3!C180,"NA")))</f>
        <v/>
      </c>
      <c r="J290" s="829"/>
      <c r="K290" s="829"/>
      <c r="L290" s="3204"/>
      <c r="M290" s="2570"/>
      <c r="N290" s="2000">
        <v>0</v>
      </c>
      <c r="O290" s="855"/>
      <c r="P290" s="829"/>
    </row>
    <row r="291" spans="2:18" hidden="1">
      <c r="B291" s="3"/>
      <c r="C291" s="92"/>
      <c r="D291" s="6"/>
      <c r="E291" s="272" t="str">
        <f>Data3!D181</f>
        <v>Per Development - Edit for Specific Demographic</v>
      </c>
      <c r="F291" s="272"/>
      <c r="G291" s="272"/>
      <c r="H291" s="902" t="str">
        <f>IF(N291=0,"",IF(County="&lt;select one&gt;","Select a County",IF(AND(VLOOKUP(County,DS_County_Sizes,8,FALSE)="Small",OR(Demographic="Persons with a Disabiling Condition",Demographic="Persons with Developmental Disabilities")),Data3!C181,"NA")))</f>
        <v/>
      </c>
      <c r="J291" s="829"/>
      <c r="K291" s="829"/>
      <c r="L291" s="3204"/>
      <c r="M291" s="2570"/>
      <c r="N291" s="2000">
        <v>0</v>
      </c>
      <c r="O291" s="855"/>
    </row>
    <row r="292" spans="2:18" hidden="1">
      <c r="B292" s="3"/>
      <c r="C292" s="92"/>
      <c r="D292" s="6"/>
      <c r="E292" s="272" t="str">
        <f>Data3!D182</f>
        <v>Per Development - Keys Workforce (&lt;61 units)</v>
      </c>
      <c r="F292" s="272"/>
      <c r="G292" s="272"/>
      <c r="H292" s="902" t="str">
        <f>IF(N292=0,"",IF(County="&lt;select one&gt;","Select a County",IF(County="Monroe",Data3!C182,"NA")))</f>
        <v/>
      </c>
      <c r="J292" s="829"/>
      <c r="K292" s="829"/>
      <c r="L292" s="3204"/>
      <c r="M292" s="2570"/>
      <c r="N292" s="2000">
        <v>0</v>
      </c>
      <c r="O292" s="855"/>
    </row>
    <row r="293" spans="2:18" hidden="1">
      <c r="B293" s="3"/>
      <c r="C293" s="92"/>
      <c r="D293" s="6"/>
      <c r="E293" s="272" t="s">
        <v>737</v>
      </c>
      <c r="F293" s="272"/>
      <c r="G293" s="272"/>
      <c r="H293" s="902" t="str">
        <f>IF(N293=0,"",IF(County="&lt;select one&gt;","Select a County",IF(AND(County="Monroe",Total_Units&gt;60),Data3!C183,"NA")))</f>
        <v/>
      </c>
      <c r="J293" s="829"/>
      <c r="K293" s="829"/>
      <c r="L293" s="3204"/>
      <c r="M293" s="2570"/>
      <c r="N293" s="2000">
        <v>0</v>
      </c>
      <c r="O293" s="855"/>
      <c r="P293" s="829"/>
    </row>
    <row r="294" spans="2:18" hidden="1">
      <c r="B294" s="3"/>
      <c r="C294" s="92"/>
      <c r="D294" s="6"/>
      <c r="E294" s="272" t="s">
        <v>739</v>
      </c>
      <c r="F294" s="272"/>
      <c r="G294" s="272"/>
      <c r="H294" s="902" t="str">
        <f>IF(N294=0,"",IF(County="&lt;select one&gt;","Select a County",IF(County="Monroe",Data3!C184,"NA")))</f>
        <v/>
      </c>
      <c r="J294" s="829"/>
      <c r="K294" s="829"/>
      <c r="L294" s="3204"/>
      <c r="M294" s="2570"/>
      <c r="N294" s="2191">
        <f>N292</f>
        <v>0</v>
      </c>
      <c r="O294" s="855"/>
      <c r="P294" s="829"/>
    </row>
    <row r="295" spans="2:18" hidden="1">
      <c r="B295" s="3"/>
      <c r="C295" s="92"/>
      <c r="D295" s="6"/>
      <c r="E295" s="272" t="s">
        <v>740</v>
      </c>
      <c r="F295" s="272"/>
      <c r="G295" s="272"/>
      <c r="H295" s="902" t="str">
        <f>IF(N295=0,"",IF(County="&lt;select one&gt;","Select a County",IF(AND(County="Monroe",Total_Units&gt;60),Data3!C185,"NA")))</f>
        <v/>
      </c>
      <c r="J295" s="829"/>
      <c r="K295" s="829"/>
      <c r="L295" s="3204"/>
      <c r="M295" s="2570"/>
      <c r="N295" s="2191">
        <f>N293</f>
        <v>0</v>
      </c>
      <c r="O295" s="855"/>
      <c r="P295" s="829"/>
    </row>
    <row r="296" spans="2:18" ht="10.5" hidden="1" customHeight="1">
      <c r="B296" s="3"/>
      <c r="C296" s="92"/>
      <c r="D296" s="6"/>
      <c r="E296" s="6"/>
      <c r="F296" s="6"/>
      <c r="G296" s="6"/>
      <c r="H296" s="6"/>
      <c r="J296" s="829"/>
      <c r="K296" s="829"/>
      <c r="L296" s="3204"/>
      <c r="M296" s="2570"/>
      <c r="N296" s="855"/>
      <c r="O296" s="855"/>
      <c r="P296" s="829"/>
    </row>
    <row r="297" spans="2:18" ht="30" hidden="1" customHeight="1">
      <c r="B297" s="3"/>
      <c r="C297" s="92"/>
      <c r="D297" s="6"/>
      <c r="E297" s="2600" t="str">
        <f>IF(AND(SUM(N284:N293)&gt;0,SUM(N294:N295)&gt;0),"Lesser of Maximum Request Amount Per Development, or
Maximum Request Amount via Per Unit","Maximum Request Amount Per Development")&amp;" Limit:"</f>
        <v>Maximum Request Amount Per Development Limit:</v>
      </c>
      <c r="F297" s="2600"/>
      <c r="G297" s="2600"/>
      <c r="H297" s="2600"/>
      <c r="I297" s="895">
        <f>IF(AND(N284=1,H284&lt;&gt;"NA"),H284,IF(AND(N285=1,H285&lt;&gt;"NA"),H285,IF(AND(N286=1,H286&lt;&gt;"NA"),H286,IF(AND(N287=1,H287&lt;&gt;"NA"),H287,IF(AND(N288=1,H288&lt;&gt;"NA"),H288,IF(AND(N289=1,H289&lt;&gt;"NA"),H289,IF(AND(N290=1,H290&lt;&gt;"NA"),H290,IF(AND(N291=1,H291&lt;&gt;"NA"),H291,IF(AND(N292=1,H292&lt;&gt;"NA",Total_Units&lt;61),MIN(H292,Total_Units*H294),IF(AND(N293=1,H293&lt;&gt;"NA",Total_Units&gt;60),MIN(H293,H292+(Total_Units-60)*H295),0))))))))))</f>
        <v>0</v>
      </c>
      <c r="J297" s="829"/>
      <c r="K297" s="829"/>
      <c r="L297" s="3204"/>
      <c r="M297" s="2570"/>
      <c r="N297" s="855"/>
      <c r="O297" s="855"/>
      <c r="P297" s="264"/>
      <c r="Q297" s="264"/>
      <c r="R297" s="264"/>
    </row>
    <row r="298" spans="2:18" ht="10.5" hidden="1" customHeight="1">
      <c r="B298" s="3"/>
      <c r="C298" s="92"/>
      <c r="D298" s="865"/>
      <c r="E298" s="865"/>
      <c r="F298" s="865"/>
      <c r="G298" s="865"/>
      <c r="H298" s="865"/>
      <c r="J298" s="829"/>
      <c r="K298" s="829"/>
      <c r="L298" s="3204"/>
      <c r="M298" s="2570"/>
      <c r="N298" s="855"/>
      <c r="O298" s="855"/>
      <c r="P298" s="264"/>
      <c r="Q298" s="264"/>
      <c r="R298" s="264"/>
    </row>
    <row r="299" spans="2:18" ht="17.649999999999999" hidden="1" customHeight="1">
      <c r="B299" s="3"/>
      <c r="C299" s="92" t="str">
        <f>IF($M281=0,"-","a")</f>
        <v>-</v>
      </c>
      <c r="D299" s="3514" t="s">
        <v>1161</v>
      </c>
      <c r="E299" s="3514"/>
      <c r="F299" s="3514"/>
      <c r="G299" s="3514"/>
      <c r="H299" s="3514"/>
      <c r="I299" s="896"/>
      <c r="J299" s="829"/>
      <c r="K299" s="829"/>
      <c r="L299" s="3204"/>
      <c r="M299" s="2570"/>
      <c r="N299" s="855"/>
      <c r="O299" s="855"/>
      <c r="P299" s="264"/>
      <c r="Q299" s="264"/>
      <c r="R299" s="264"/>
    </row>
    <row r="300" spans="2:18" ht="5.25" hidden="1" customHeight="1">
      <c r="D300" s="6"/>
      <c r="J300" s="829"/>
      <c r="K300" s="829"/>
      <c r="L300" s="3204"/>
      <c r="M300" s="2570"/>
      <c r="P300" s="264"/>
      <c r="Q300" s="264"/>
      <c r="R300" s="264"/>
    </row>
    <row r="301" spans="2:18" ht="17.649999999999999" hidden="1" customHeight="1">
      <c r="D301" s="6"/>
      <c r="E301" s="267" t="s">
        <v>1162</v>
      </c>
      <c r="F301" s="267"/>
      <c r="G301" s="267"/>
      <c r="H301" s="267"/>
      <c r="I301" s="790">
        <f>MIN(N(Max_Competitive_HC),N(Competitive_HC_Request_Amount))</f>
        <v>0</v>
      </c>
      <c r="J301" s="829"/>
      <c r="K301" s="829"/>
      <c r="L301" s="3204"/>
      <c r="M301" s="2570"/>
      <c r="P301" s="264"/>
      <c r="Q301" s="264"/>
      <c r="R301" s="264"/>
    </row>
    <row r="302" spans="2:18" ht="10.5" hidden="1" customHeight="1">
      <c r="D302" s="6"/>
      <c r="J302" s="829"/>
      <c r="K302" s="829"/>
      <c r="L302" s="3204"/>
      <c r="M302" s="2571"/>
      <c r="P302" s="264"/>
      <c r="Q302" s="264"/>
      <c r="R302" s="264"/>
    </row>
    <row r="303" spans="2:18" ht="35.25" hidden="1" customHeight="1">
      <c r="C303" s="92" t="str">
        <f>IF($M310=0,"-",IF($M281=1,"b","a"))</f>
        <v>a</v>
      </c>
      <c r="D303" s="2544" t="s">
        <v>2390</v>
      </c>
      <c r="E303" s="2544"/>
      <c r="F303" s="2544"/>
      <c r="G303" s="2544"/>
      <c r="H303" s="2544"/>
      <c r="I303" s="2544"/>
      <c r="J303" s="829"/>
      <c r="K303" s="829"/>
      <c r="L303" s="3204"/>
      <c r="M303" s="2569">
        <v>0</v>
      </c>
      <c r="P303" s="3242" t="s">
        <v>2856</v>
      </c>
      <c r="Q303" s="3242"/>
      <c r="R303" s="264"/>
    </row>
    <row r="304" spans="2:18" ht="17.649999999999999" hidden="1" customHeight="1">
      <c r="D304" s="6"/>
      <c r="E304" s="2573" t="s">
        <v>638</v>
      </c>
      <c r="F304" s="2573"/>
      <c r="G304" s="3493" t="str">
        <f>IF(Non_Comp_App_4HC="Yes","(a Non-Competitive Housing Credit Request Amount is not required in this RFA)","")</f>
        <v/>
      </c>
      <c r="H304" s="3493"/>
      <c r="I304" s="3493"/>
      <c r="J304" s="829"/>
      <c r="K304" s="829"/>
      <c r="L304" s="3204"/>
      <c r="M304" s="2570"/>
      <c r="P304" s="264"/>
      <c r="Q304" s="264"/>
      <c r="R304" s="264"/>
    </row>
    <row r="305" spans="3:19" ht="6" hidden="1" customHeight="1">
      <c r="D305" s="6"/>
      <c r="J305" s="829"/>
      <c r="K305" s="829"/>
      <c r="L305" s="3204"/>
      <c r="M305" s="2570"/>
      <c r="O305" s="24"/>
      <c r="P305" s="264"/>
      <c r="Q305" s="264"/>
      <c r="R305" s="264"/>
    </row>
    <row r="306" spans="3:19" ht="14.65" hidden="1" customHeight="1">
      <c r="D306" s="6" t="s">
        <v>2391</v>
      </c>
      <c r="I306" s="1619"/>
      <c r="J306" s="829"/>
      <c r="K306" s="829"/>
      <c r="L306" s="3204"/>
      <c r="M306" s="2570"/>
      <c r="P306" s="264"/>
      <c r="Q306" s="264"/>
      <c r="R306" s="264"/>
    </row>
    <row r="307" spans="3:19" ht="6" hidden="1" customHeight="1">
      <c r="D307" s="6"/>
      <c r="J307" s="829"/>
      <c r="K307" s="829"/>
      <c r="L307" s="3204"/>
      <c r="M307" s="2570"/>
      <c r="O307" s="24"/>
      <c r="P307" s="264"/>
      <c r="Q307" s="264"/>
      <c r="R307" s="264"/>
    </row>
    <row r="308" spans="3:19" ht="14.65" hidden="1" customHeight="1">
      <c r="D308" s="6" t="s">
        <v>2392</v>
      </c>
      <c r="I308" s="1620"/>
      <c r="J308" s="829"/>
      <c r="K308" s="829"/>
      <c r="L308" s="3204"/>
      <c r="M308" s="2570"/>
      <c r="P308" s="264"/>
      <c r="Q308" s="264"/>
      <c r="R308" s="264"/>
    </row>
    <row r="309" spans="3:19" ht="6" hidden="1" customHeight="1">
      <c r="D309" s="6"/>
      <c r="J309" s="829"/>
      <c r="K309" s="829"/>
      <c r="L309" s="3204"/>
      <c r="M309" s="2571"/>
      <c r="P309" s="264"/>
      <c r="Q309" s="264"/>
      <c r="R309" s="264"/>
    </row>
    <row r="310" spans="3:19" ht="17.25" customHeight="1">
      <c r="C310" s="92" t="str">
        <f>IF(OR($M310=0,$M$303=1),"","a")</f>
        <v>a</v>
      </c>
      <c r="D310" s="3514" t="s">
        <v>1163</v>
      </c>
      <c r="E310" s="3514"/>
      <c r="F310" s="3514"/>
      <c r="G310" s="3514"/>
      <c r="H310" s="3514"/>
      <c r="I310" s="896"/>
      <c r="J310" s="829"/>
      <c r="K310" s="829"/>
      <c r="L310" s="3204"/>
      <c r="M310" s="2569">
        <v>1</v>
      </c>
      <c r="N310" s="855"/>
      <c r="O310" s="855"/>
      <c r="P310" s="2207" t="s">
        <v>2857</v>
      </c>
      <c r="Q310" s="264"/>
      <c r="R310" s="264"/>
    </row>
    <row r="311" spans="3:19" ht="10.5" customHeight="1">
      <c r="J311" s="829"/>
      <c r="K311" s="829"/>
      <c r="L311" s="3204"/>
      <c r="M311" s="2570"/>
      <c r="R311" s="3"/>
    </row>
    <row r="312" spans="3:19">
      <c r="C312" s="92" t="str" cm="1">
        <f t="array" ref="C312">IF($N$312=0,"-",IFERROR(CHAR(CODE(LOOKUP(2,1/(COUNTIF(C$282:C311,"&gt;"&amp;C$282:C311&amp;"*")=0),C$282:C311))+1),"b"))</f>
        <v>b</v>
      </c>
      <c r="D312" s="865" t="s">
        <v>1164</v>
      </c>
      <c r="J312" s="829"/>
      <c r="K312" s="829"/>
      <c r="L312" s="3204"/>
      <c r="M312" s="2570"/>
      <c r="N312" s="2562">
        <v>1</v>
      </c>
      <c r="P312" s="3479" t="str">
        <f>IF(AND(M281=1,M310=1),"Both Competitive and Non-Competitive Credits have been turned on.",IF(M281=1,"Competitive Credits have been turned on.",IF(M310=1,"Non-Competitive Credits have been turned on.","")))</f>
        <v>Non-Competitive Credits have been turned on.</v>
      </c>
      <c r="R312" s="3"/>
    </row>
    <row r="313" spans="3:19" ht="17.649999999999999" customHeight="1">
      <c r="E313" s="3181" t="s">
        <v>638</v>
      </c>
      <c r="F313" s="3181"/>
      <c r="J313" s="829"/>
      <c r="K313" s="829"/>
      <c r="L313" s="3204"/>
      <c r="M313" s="2570"/>
      <c r="N313" s="2563"/>
      <c r="O313" s="855"/>
      <c r="P313" s="3480"/>
      <c r="R313" s="3"/>
    </row>
    <row r="314" spans="3:19" ht="10.5" customHeight="1">
      <c r="J314" s="829"/>
      <c r="K314" s="829"/>
      <c r="L314" s="3204"/>
      <c r="M314" s="2570"/>
      <c r="N314" s="2565"/>
      <c r="R314" s="3"/>
    </row>
    <row r="315" spans="3:19" ht="15" customHeight="1">
      <c r="C315" s="92" t="str" cm="1">
        <f t="array" ref="C315">IFERROR(CHAR(CODE(LOOKUP(2,1/(COUNTIF(C$282:C314,"&gt;"&amp;C$282:C314&amp;"*")=0),C$282:C314))+1),"b")</f>
        <v>c</v>
      </c>
      <c r="D315" s="865" t="s">
        <v>1165</v>
      </c>
      <c r="J315" s="829"/>
      <c r="K315" s="829"/>
      <c r="L315" s="3204"/>
      <c r="M315" s="2570"/>
      <c r="R315" s="3"/>
      <c r="S315" s="6"/>
    </row>
    <row r="316" spans="3:19" ht="35.25" customHeight="1">
      <c r="C316" s="92"/>
      <c r="D316" s="90"/>
      <c r="E316" s="2544" t="s">
        <v>1606</v>
      </c>
      <c r="F316" s="2544"/>
      <c r="G316" s="2544"/>
      <c r="H316" s="2544"/>
      <c r="I316" s="2544"/>
      <c r="J316" s="829"/>
      <c r="K316" s="829"/>
      <c r="L316" s="3204"/>
      <c r="M316" s="2570"/>
      <c r="R316" s="3"/>
      <c r="S316" s="6"/>
    </row>
    <row r="317" spans="3:19" ht="35.25" customHeight="1">
      <c r="C317" s="92"/>
      <c r="D317" s="865"/>
      <c r="E317" s="3247" t="s">
        <v>638</v>
      </c>
      <c r="F317" s="3247"/>
      <c r="G317" s="3288" t="s">
        <v>1608</v>
      </c>
      <c r="H317" s="3288"/>
      <c r="I317" s="3288"/>
      <c r="J317" s="829"/>
      <c r="K317" s="829"/>
      <c r="L317" s="3204"/>
      <c r="M317" s="2570"/>
      <c r="R317" s="3"/>
      <c r="S317" s="6"/>
    </row>
    <row r="318" spans="3:19" ht="15" customHeight="1">
      <c r="C318" s="92"/>
      <c r="D318" s="865"/>
      <c r="J318" s="829"/>
      <c r="K318" s="829"/>
      <c r="L318" s="3204"/>
      <c r="M318" s="2571"/>
      <c r="R318" s="3"/>
      <c r="S318" s="6"/>
    </row>
    <row r="319" spans="3:19" ht="30" customHeight="1">
      <c r="D319" s="1668" t="str" cm="1">
        <f t="array" ref="D319">IF(OR($L$279=0,$M319=0)," ",LOWER(ROMAN(MAX(_xlfn.ARABIC(D$316:D318))+1)))</f>
        <v>i</v>
      </c>
      <c r="E319" s="2544" t="s">
        <v>1166</v>
      </c>
      <c r="F319" s="2544"/>
      <c r="G319" s="2544"/>
      <c r="H319" s="2544"/>
      <c r="I319" s="2544"/>
      <c r="J319" s="829"/>
      <c r="K319" s="829"/>
      <c r="L319" s="3204"/>
      <c r="M319" s="2569">
        <v>1</v>
      </c>
      <c r="R319" s="3"/>
      <c r="S319" s="6"/>
    </row>
    <row r="320" spans="3:19" ht="17.649999999999999" customHeight="1">
      <c r="E320" s="3181" t="s">
        <v>638</v>
      </c>
      <c r="F320" s="3181"/>
      <c r="G320" s="3502" t="str">
        <f>IF(Multiphase_subsequent_qualified="Yes","Data entries may confirm eligibility",IF(OR(Multiphase_subsequent="&lt;select from menu&gt;",Multiphase_subsequent="No"),"","Data entries do not confirm eligibility"))</f>
        <v/>
      </c>
      <c r="H320" s="3502"/>
      <c r="I320" s="3502"/>
      <c r="J320" s="829"/>
      <c r="K320" s="829"/>
      <c r="L320" s="3204"/>
      <c r="M320" s="2570"/>
      <c r="R320" s="3"/>
      <c r="S320" s="6"/>
    </row>
    <row r="321" spans="4:19" ht="30" customHeight="1">
      <c r="E321" s="2848" t="s">
        <v>1167</v>
      </c>
      <c r="F321" s="2848"/>
      <c r="G321" s="2848"/>
      <c r="H321" s="2848"/>
      <c r="I321" s="2848"/>
      <c r="J321" s="829"/>
      <c r="K321" s="829"/>
      <c r="L321" s="3204"/>
      <c r="M321" s="2570"/>
      <c r="R321" s="3"/>
      <c r="S321" s="6"/>
    </row>
    <row r="322" spans="4:19" ht="17.649999999999999" customHeight="1">
      <c r="E322" s="3181"/>
      <c r="F322" s="3181"/>
      <c r="G322" s="3516" t="str">
        <f>IF(AND(Multiphase_subsequent&lt;&gt;"Yes",App_number_first_phase&lt;&gt;""),"No response is needed.","")</f>
        <v/>
      </c>
      <c r="H322" s="3516"/>
      <c r="I322" s="3516"/>
      <c r="J322" s="829"/>
      <c r="K322" s="829"/>
      <c r="L322" s="3204"/>
      <c r="M322" s="2570"/>
      <c r="R322" s="3"/>
      <c r="S322" s="6"/>
    </row>
    <row r="323" spans="4:19">
      <c r="J323" s="829"/>
      <c r="K323" s="829"/>
      <c r="L323" s="3204"/>
      <c r="M323" s="2571"/>
      <c r="O323" s="6"/>
      <c r="P323" s="6"/>
      <c r="R323" s="3"/>
      <c r="S323" s="6"/>
    </row>
    <row r="324" spans="4:19">
      <c r="D324" s="1668" t="str" cm="1">
        <f t="array" ref="D324">IF(OR($L$279=0,$M324=0)," ",LOWER(ROMAN(MAX(_xlfn.ARABIC(D$316:D323))+1)))</f>
        <v>ii</v>
      </c>
      <c r="E324" s="865" t="str">
        <f>"Are any buildings in the proposed Development located in a HUD-designated SADDA"&amp;IF(County="&lt;select one&gt;",""," for "&amp;County&amp;" County")&amp;"?"</f>
        <v>Are any buildings in the proposed Development located in a HUD-designated SADDA?</v>
      </c>
      <c r="F324" s="865"/>
      <c r="J324" s="829"/>
      <c r="K324" s="829"/>
      <c r="L324" s="3204"/>
      <c r="M324" s="2569">
        <v>1</v>
      </c>
      <c r="R324" s="3"/>
      <c r="S324" s="6"/>
    </row>
    <row r="325" spans="4:19" ht="17.649999999999999" customHeight="1">
      <c r="E325" s="3181" t="s">
        <v>638</v>
      </c>
      <c r="F325" s="3181"/>
      <c r="G325" s="3500" t="str">
        <f>IF(Small_Area_DDA_qualified="Yes","Data entries confirm eligibility",IF(OR(E325="&lt;select from menu&gt;",E325="No"),"","Data entries do not confirm eligibility"))</f>
        <v/>
      </c>
      <c r="H325" s="3500"/>
      <c r="I325" s="3500"/>
      <c r="J325" s="829"/>
      <c r="K325" s="829"/>
      <c r="L325" s="3204"/>
      <c r="M325" s="2570"/>
      <c r="R325" s="3"/>
      <c r="S325" s="6"/>
    </row>
    <row r="326" spans="4:19">
      <c r="E326" s="17" t="str">
        <f>"If “Yes”, provide the SADDA ZCTA Number(s)*"&amp;IF(County="&lt;select one&gt;",""," for "&amp;County&amp;" County")&amp;":"</f>
        <v>If “Yes”, provide the SADDA ZCTA Number(s)*:</v>
      </c>
      <c r="F326" s="17"/>
      <c r="J326" s="829"/>
      <c r="K326" s="829"/>
      <c r="L326" s="3204"/>
      <c r="M326" s="2570"/>
      <c r="R326" s="3"/>
      <c r="S326" s="6"/>
    </row>
    <row r="327" spans="4:19" ht="30" customHeight="1">
      <c r="E327" s="3515"/>
      <c r="F327" s="3515"/>
      <c r="G327" s="3500" t="str">
        <f>IF(OR(E327="",County="&lt;select one&gt;"),"",IF(AND(E327&lt;&gt;"",Small_Area_DDA="&lt;select from menu&gt;"),"Please respond to above question.",IF(AND(E327&lt;&gt;"",Small_Area_DDA="No"),"No response is needed.",IF(ISNA(VLOOKUP(E327,IF(LocalHFA_App_Year=2023,DS_2023_ZCTAs_Sorted,IF(LocalHFA_App_Year=2024,DS_2024_ZCTAs_Sorted,IF(LocalHFA_App_Year=2025,DS_2025_ZCTAs_Sorted,DS_2026_ZCTAs_Sorted))),1,FALSE)),"Invalid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database",IF(County=IFERROR(VLOOKUP(E327,IF(LocalHFA_App_Year=2023,DS_2023_ZCTAs_Sorted,IF(LocalHFA_App_Year=2024,DS_2024_ZCTAs_Sorted,IF(LocalHFA_App_Year=2025,DS_2025_ZCTAs_Sorted,DS_2026_ZCTAs_Sorted))),2,FALSE),""),"The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"&amp;IFERROR(VLOOKUP(E327,IF(LocalHFA_App_Year=2023,DS_2023_ZCTAs_Sorted, IF(LocalHFA_App_Year=2024,DS_2024_ZCTAs_Sorted,IF(LocalHFA_App_Year=2025,DS_2025_ZCTAs_Sorted,DS_2026_ZCTAs_Sorted))),2,FALSE),"")&amp;" County.","The ZCTA is located in "&amp;IFERROR(VLOOKUP(E327,IF(LocalHFA_App_Year=2023,DS_2023_ZCTAs_Sorted, IF(LocalHFA_App_Year=2024,DS_2024_ZCTAs_Sorted,IF(LocalHFA_App_Year=2025,DS_2025_ZCTAs_Sorted,DS_2026_ZCTAs_Sorted))),2,FALSE),"")&amp;" County, not the proposed Development's county of "&amp;County&amp;".")))))</f>
        <v/>
      </c>
      <c r="H327" s="3500"/>
      <c r="I327" s="3500"/>
      <c r="J327" s="829"/>
      <c r="K327" s="829"/>
      <c r="L327" s="3204"/>
      <c r="M327" s="2570"/>
      <c r="R327" s="3"/>
      <c r="S327" s="829"/>
    </row>
    <row r="328" spans="4:19" ht="30" customHeight="1">
      <c r="E328" s="3505"/>
      <c r="F328" s="3505"/>
      <c r="G328" s="3500" t="str">
        <f>IF(OR(E328="",County="&lt;select one&gt;"),"",IF(AND(E328&lt;&gt;"",Small_Area_DDA="&lt;select from menu&gt;"),"Please respond to above question.",IF(AND(E328&lt;&gt;"",Small_Area_DDA="No"),"No response is needed.",IF(ISNA(VLOOKUP(E328,IF(LocalHFA_App_Year=2023,DS_2023_ZCTAs_Sorted,IF(LocalHFA_App_Year=2024,DS_2024_ZCTAs_Sorted,IF(LocalHFA_App_Year=2025,DS_2025_ZCTAs_Sorted,DS_2026_ZCTAs_Sorted))),1,FALSE)),"Invalid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database",IF(County=IFERROR(VLOOKUP(E328,IF(LocalHFA_App_Year=2023,DS_2023_ZCTAs_Sorted,IF(LocalHFA_App_Year=2024,DS_2024_ZCTAs_Sorted,IF(LocalHFA_App_Year=2025,DS_2025_ZCTAs_Sorted,DS_2026_ZCTAs_Sorted))),2,FALSE),""),"The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"&amp;IFERROR(VLOOKUP(E328,IF(LocalHFA_App_Year=2023,DS_2023_ZCTAs_Sorted, IF(LocalHFA_App_Year=2024,DS_2024_ZCTAs_Sorted,IF(LocalHFA_App_Year=2025,DS_2025_ZCTAs_Sorted,DS_2026_ZCTAs_Sorted))),2,FALSE),"")&amp;" County.","The ZCTA is located in "&amp;IFERROR(VLOOKUP(E328,IF(LocalHFA_App_Year=2023,DS_2023_ZCTAs_Sorted, IF(LocalHFA_App_Year=2024,DS_2024_ZCTAs_Sorted,IF(LocalHFA_App_Year=2025,DS_2025_ZCTAs_Sorted,DS_2026_ZCTAs_Sorted))),2,FALSE),"")&amp;" County, not the proposed Development's county of "&amp;County&amp;".")))))</f>
        <v/>
      </c>
      <c r="H328" s="3500"/>
      <c r="I328" s="3500"/>
      <c r="J328" s="829"/>
      <c r="K328" s="829"/>
      <c r="L328" s="3204"/>
      <c r="M328" s="2570"/>
      <c r="R328" s="3"/>
      <c r="S328" s="6"/>
    </row>
    <row r="329" spans="4:19" ht="30" customHeight="1">
      <c r="E329" s="3505"/>
      <c r="F329" s="3505"/>
      <c r="G329" s="3500" t="str">
        <f>IF(OR(E329="",County="&lt;select one&gt;"),"",IF(AND(E329&lt;&gt;"",Small_Area_DDA="&lt;select from menu&gt;"),"Please respond to above question.",IF(AND(E329&lt;&gt;"",Small_Area_DDA="No"),"No response is needed.",IF(ISNA(VLOOKUP(E329,IF(LocalHFA_App_Year=2023,DS_2023_ZCTAs_Sorted,IF(LocalHFA_App_Year=2024,DS_2024_ZCTAs_Sorted,IF(LocalHFA_App_Year=2025,DS_2025_ZCTAs_Sorted,DS_2026_ZCTAs_Sorted))),1,FALSE)),"Invalid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database",IF(County=IFERROR(VLOOKUP(E329,IF(LocalHFA_App_Year=2023,DS_2023_ZCTAs_Sorted,IF(LocalHFA_App_Year=2024,DS_2024_ZCTAs_Sorted,IF(LocalHFA_App_Year=2025,DS_2025_ZCTAs_Sorted,DS_2026_ZCTAs_Sorted))),2,FALSE),""),"The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"&amp;IFERROR(VLOOKUP(E329,IF(LocalHFA_App_Year=2023,DS_2023_ZCTAs_Sorted, IF(LocalHFA_App_Year=2024,DS_2024_ZCTAs_Sorted,IF(LocalHFA_App_Year=2025,DS_2025_ZCTAs_Sorted,DS_2026_ZCTAs_Sorted))),2,FALSE),"")&amp;" County.","The ZCTA is located in "&amp;IFERROR(VLOOKUP(E329,IF(LocalHFA_App_Year=2023,DS_2023_ZCTAs_Sorted, IF(LocalHFA_App_Year=2024,DS_2024_ZCTAs_Sorted,IF(LocalHFA_App_Year=2025,DS_2025_ZCTAs_Sorted,DS_2026_ZCTAs_Sorted))),2,FALSE),"")&amp;" County, not the proposed Development's county of "&amp;County&amp;".")))))</f>
        <v/>
      </c>
      <c r="H329" s="3500"/>
      <c r="I329" s="3500"/>
      <c r="J329" s="829"/>
      <c r="K329" s="829"/>
      <c r="L329" s="3204"/>
      <c r="M329" s="2570"/>
      <c r="R329" s="3"/>
      <c r="S329" s="6"/>
    </row>
    <row r="330" spans="4:19">
      <c r="E330" s="89" t="s">
        <v>1168</v>
      </c>
      <c r="F330" s="89"/>
      <c r="J330" s="829"/>
      <c r="K330" s="829"/>
      <c r="L330" s="3204"/>
      <c r="M330" s="2570"/>
      <c r="R330" s="3"/>
    </row>
    <row r="331" spans="4:19" ht="10.5" customHeight="1">
      <c r="E331" s="89"/>
      <c r="F331" s="89"/>
      <c r="G331" s="24"/>
      <c r="H331" s="331"/>
      <c r="I331" s="331"/>
      <c r="J331" s="829"/>
      <c r="K331" s="829"/>
      <c r="L331" s="3204"/>
      <c r="M331" s="2571"/>
      <c r="R331" s="3"/>
    </row>
    <row r="332" spans="4:19">
      <c r="D332" s="1668" t="str" cm="1">
        <f t="array" ref="D332">IF($M332=0," ",LOWER(ROMAN(MAX(_xlfn.ARABIC(D$316:D331))+1)))</f>
        <v>iii</v>
      </c>
      <c r="E332" s="865" t="s">
        <v>1169</v>
      </c>
      <c r="F332" s="865"/>
      <c r="J332" s="829"/>
      <c r="K332" s="829"/>
      <c r="L332" s="3204"/>
      <c r="M332" s="2569">
        <v>1</v>
      </c>
      <c r="R332" s="3"/>
    </row>
    <row r="333" spans="4:19" ht="17.649999999999999" customHeight="1">
      <c r="E333" s="3518" t="str">
        <f>IF(County="&lt;select one&gt;","Please identify County.",IF(NOT(ISNA(VLOOKUP(County,IF(LocalHFA_App_Year=2023,DS_2023_NonMetro_DDAs,IF(LocalHFA_App_Year=2024,DS_2024_NonMetro_DDAs,IF(LocalHFA_App_Year=2025,DS_2025_NonMetro_DDAs,DS_2026_NonMetro_DDAs))),1,FALSE))),"Yes","No"))</f>
        <v>Please identify County.</v>
      </c>
      <c r="F333" s="3504"/>
      <c r="G333" s="3500" t="str">
        <f>IF(DDA_nonmetro_qualified="Yes","Data entries confirm eligibility","")</f>
        <v/>
      </c>
      <c r="H333" s="3500"/>
      <c r="I333" s="3500"/>
      <c r="J333" s="829"/>
      <c r="K333" s="829"/>
      <c r="L333" s="3204"/>
      <c r="M333" s="2570"/>
      <c r="O333" s="855"/>
      <c r="R333" s="3"/>
    </row>
    <row r="334" spans="4:19">
      <c r="E334" s="17" t="s">
        <v>1170</v>
      </c>
      <c r="F334" s="17"/>
      <c r="J334" s="829"/>
      <c r="K334" s="829"/>
      <c r="L334" s="3204"/>
      <c r="M334" s="2570"/>
      <c r="R334" s="3"/>
    </row>
    <row r="335" spans="4:19" ht="17.25" customHeight="1">
      <c r="E335" s="3504" t="str">
        <f>IF(DDA_nonmetro="Yes",County,"")</f>
        <v/>
      </c>
      <c r="F335" s="3504"/>
      <c r="G335" s="3500"/>
      <c r="H335" s="3500"/>
      <c r="I335" s="3500"/>
      <c r="J335" s="829"/>
      <c r="K335" s="829"/>
      <c r="L335" s="3204"/>
      <c r="M335" s="2570"/>
      <c r="R335" s="3"/>
    </row>
    <row r="336" spans="4:19" ht="10.5" customHeight="1">
      <c r="E336" s="829"/>
      <c r="F336" s="829"/>
      <c r="G336" s="829"/>
      <c r="H336" s="829"/>
      <c r="I336" s="829"/>
      <c r="J336" s="829"/>
      <c r="K336" s="829"/>
      <c r="L336" s="3204"/>
      <c r="M336" s="2571"/>
      <c r="R336" s="3"/>
    </row>
    <row r="337" spans="4:22">
      <c r="D337" s="1668" t="str" cm="1">
        <f t="array" ref="D337">IF($M337=0," ",LOWER(ROMAN(MAX(_xlfn.ARABIC(D$316:D336))+1)))</f>
        <v>iv</v>
      </c>
      <c r="E337" s="865" t="str">
        <f>"Is the proposed Development located in a HUD-Designated QCT"&amp;IF(County="&lt;select one&gt;",""," for "&amp;County&amp;" County")&amp;"?"</f>
        <v>Is the proposed Development located in a HUD-Designated QCT?</v>
      </c>
      <c r="F337" s="865"/>
      <c r="J337" s="829"/>
      <c r="K337" s="829"/>
      <c r="L337" s="3204"/>
      <c r="M337" s="2569">
        <v>1</v>
      </c>
      <c r="R337" s="3"/>
    </row>
    <row r="338" spans="4:22" ht="17.649999999999999" customHeight="1">
      <c r="E338" s="3181" t="s">
        <v>638</v>
      </c>
      <c r="F338" s="3181"/>
      <c r="G338" s="3500" t="str">
        <f>IF(QCT_qualified="Yes","Data entries confirm eligibility",IF(OR(E338="&lt;select from menu&gt;",E338="No"),"","Data entries do not confirm eligibility"))</f>
        <v/>
      </c>
      <c r="H338" s="3500"/>
      <c r="I338" s="3500"/>
      <c r="J338" s="829"/>
      <c r="K338" s="829"/>
      <c r="L338" s="3204"/>
      <c r="M338" s="2570"/>
      <c r="R338" s="3"/>
    </row>
    <row r="339" spans="4:22">
      <c r="E339" s="17" t="s">
        <v>1171</v>
      </c>
      <c r="F339" s="17"/>
      <c r="J339" s="829"/>
      <c r="K339" s="829"/>
      <c r="L339" s="3204"/>
      <c r="M339" s="2570"/>
      <c r="R339" s="3"/>
    </row>
    <row r="340" spans="4:22" ht="17.649999999999999" customHeight="1">
      <c r="E340" s="3504" t="str">
        <f>IF(AND(QCT="Yes",NOT(ISNA(VLOOKUP(County,IF(LocalHFA_App_Year=2023,DS_2023_Metro_QCT_Counties,IF(LocalHFA_App_Year=2024,DS_2024_Metro_QCT_Counties,IF(LocalHFA_App_Year=2025,DS_2025_Metro_QCT_Counties,DS_2026_Metro_QCT_Counties))),1,FALSE)))),"Metro",IF(AND(QCT="Yes",NOT(ISNA(VLOOKUP(County,IF(LocalHFA_App_Year=2023,DS_2023_NonMetro_QCT_Counties,IF(LocalHFA_App_Year=2024,DS_2024_NonMetro_QCT_Counties,IF(LocalHFA_App_Year=2025,DS_2025_NonMetro_QCT_Counties,DS_2026_NonMetro_QCT_Counties))),1,FALSE)))),"Non-Metro",IF(AND(QCT="Yes",County&lt;&gt;"&lt;select one&gt;",ISNA(VLOOKUP(County,IF(LocalHFA_App_Year=2023,DS_2023_NonMetro_QCT_Counties,IF(LocalHFA_App_Year=2024,DS_2024_NonMetro_QCT_Counties,IF(LocalHFA_App_Year=2025,DS_2025_NonMetro_QCT_Counties,DS_2026_NonMetro_QCT_Counties))),1,FALSE)),ISNA(VLOOKUP(County,IF(LocalHFA_App_Year=2023,DS_2023_NonMetro_QCT_Counties,IF(LocalHFA_App_Year=2024,DS_2024_NonMetro_QCT_Counties,IF(LocalHFA_App_Year=2025,DS_2025_NonMetro_QCT_Counties,DS_2026_NonMetro_QCT_Counties))),1,FALSE))),County&amp;" County does not have a QCT in the Metro or Non-Metro areas.","")))</f>
        <v/>
      </c>
      <c r="F340" s="3504"/>
      <c r="G340" s="3504"/>
      <c r="H340" s="3504"/>
      <c r="I340" s="306"/>
      <c r="J340" s="829"/>
      <c r="K340" s="829"/>
      <c r="L340" s="3204"/>
      <c r="M340" s="2570"/>
      <c r="R340" s="3"/>
    </row>
    <row r="341" spans="4:22">
      <c r="E341" s="17" t="str">
        <f>"If “Yes”, indicate the HUD-designated QCT census tract number*"&amp;IF(County="&lt;select one&gt;",""," for "&amp;County&amp;" County")&amp;":"</f>
        <v>If “Yes”, indicate the HUD-designated QCT census tract number*:</v>
      </c>
      <c r="F341" s="17"/>
      <c r="J341" s="829"/>
      <c r="K341" s="829"/>
      <c r="L341" s="3204"/>
      <c r="M341" s="2570"/>
      <c r="R341" s="3"/>
    </row>
    <row r="342" spans="4:22" ht="30" customHeight="1">
      <c r="E342" s="3526"/>
      <c r="F342" s="3526"/>
      <c r="G342" s="3498" t="str">
        <f>IF(OR(QCT_metro_or_nonmetro="",QCT_metro_or_nonmetro="Non-Metro",$E342=""),"",IF(AND($E338&lt;&gt;"&lt;select one&gt;",County="&lt;select one&gt;"),"Please select a County",IF(AND(QCT="Yes",QCT_metro_or_nonmetro="Metro",NOT(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Metro QCT database.","The QCT and "&amp;County&amp;" County are in the HUD "&amp;IF(LocalHFA_App_Year=2023,2023,IF(LocalHFA_App_Year=2024,2024,IF(LocalHFA_App_Year=2025,2025,2026)))&amp;" Metro QCT database, but the QCT is NOT in "&amp;County&amp;" County."),IF(AND(QCT="Yes",QCT_metro_or_nonmetro="Metro",NOT(ISNA(VLOOKUP(QCT_number,IF(LocalHFA_App_Year=2023,DS_2023_Metro_QCTs_Sorted,IF(LocalHFA_App_Year=2024,DS_2024_Metro_QCTs_Sorted,IF(LocalHFA_App_Year=2025,DS_2025_Metro_QCTs_Sorted,DS_2026_Metro_QCTs_Sorted))),1,FALSE))),ISNA(VLOOKUP(County,IF(LocalHFA_App_Year=2023,DS_2023_Metro_QCT_Counties,IF(LocalHFA_App_Year=2024,DS_2024_Metro_QCT_Counties,IF(LocalHFA_App_Year=2025,DS_2025_Metro_QCT_Counties,DS_2026_Metro_QCT_Counties))),1,FALSE))),"The QCT is in the HUD "&amp;IF(LocalHFA_App_Year=2023,2023,IF(LocalHFA_App_Year=2024,2024,IF(LocalHFA_App_Year=2025,2025,2026)))&amp;" Metro QCT database, but "&amp;County&amp;" County is NOT.",IF(AND(QCT="Yes",QCT_metro_or_nonmetro="Metro",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County&amp;" County is in the HUD "&amp;IF(LocalHFA_App_Year=2023,2023,IF(LocalHFA_App_Year=2024,2024,IF(LocalHFA_App_Year=2025,2025,2026)))&amp;" Metro QCT database, but the QCT is NOT.",IF(AND(QCT="Yes",QCT_number&lt;&gt;""),"Neither the QCT nor "&amp;County&amp;" County are in the HUD "&amp;IF(LocalHFA_App_Year=2023,2023,IF(LocalHFA_App_Year=2024,2024,IF(LocalHFA_App_Year=2025,2025,2026)))&amp;" Metro QCT database.",IF(AND(QCT="&lt;select one&gt;",Data2!R$11="Metro"),"Please respond to above question.","")))))))</f>
        <v/>
      </c>
      <c r="H342" s="3498"/>
      <c r="I342" s="3498"/>
      <c r="J342" s="265"/>
      <c r="K342" s="265"/>
      <c r="L342" s="3204"/>
      <c r="M342" s="2570"/>
      <c r="R342" s="3"/>
    </row>
    <row r="343" spans="4:22" ht="30" customHeight="1">
      <c r="E343" s="3181"/>
      <c r="F343" s="3181"/>
      <c r="G343" s="3498" t="str">
        <f>IF(OR(QCT_metro_or_nonmetro="",QCT_metro_or_nonmetro="Metro",$E342=""),"",IF(AND($E338&lt;&gt;"&lt;select one&gt;",County="&lt;select one&gt;"),"",IF(AND(QCT="Yes",QCT_metro_or_nonmetro="Non-Metro",NOT(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Non-Metro QCT database.","The QCT and "&amp;County&amp;" County are in the HUD "&amp;IF(LocalHFA_App_Year=2023,2023,IF(LocalHFA_App_Year=2024,2024,IF(LocalHFA_App_Year=2025,2025,2026)))&amp;" Non-Metro QCT database, but the QCT is NOT in "&amp;County&amp;" County."),IF(AND(QCT="Yes",QCT_metro_or_nonmetro="Non-Metro",NOT(ISNA(VLOOKUP(QCT_number,IF(LocalHFA_App_Year=2023,DS_2023_NonMetro_QCTs_Sorted,IF(LocalHFA_App_Year=2024,DS_2024_NonMetro_QCTs_Sorted,IF(LocalHFA_App_Year=2025,DS_2025_NonMetro_QCTs_Sorted,DS_2026_NonMetro_QCTs_Sorted))),1,FALSE))),ISNA(VLOOKUP(County,IF(LocalHFA_App_Year=2023,DS_2023_NonMetro_QCT_Counties,IF(LocalHFA_App_Year=2024,DS_2024_NonMetro_QCT_Counties,IF(LocalHFA_App_Year=2025,DS_2025_NonMetro_QCT_Counties,DS_2026_NonMetro_QCT_Counties))),1,FALSE))),"The QCT is in the HUD "&amp;IF(LocalHFA_App_Year=2023,2023,IF(LocalHFA_App_Year=2024,2024,IF(LocalHFA_App_Year=2025,2025,2026)))&amp;" Non-Metro QCT database, but "&amp;County&amp;" County is NOT.",IF(AND(QCT="Yes",QCT_metro_or_nonmetro="Non-Metro",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County&amp;" County is in the HUD "&amp;IF(LocalHFA_App_Year=2023,2023,IF(LocalHFA_App_Year=2024,2024,IF(LocalHFA_App_Year=2025,2025,2026)))&amp;" NonMetro QCT database, but the QCT is NOT.",IF(AND(QCT="Yes",QCT_number&lt;&gt;""),"Neither the QCT nor "&amp;County&amp;" County are in the HUD "&amp;IF(LocalHFA_App_Year=2023,2023,IF(LocalHFA_App_Year=2024,2024,IF(LocalHFA_App_Year=2025,2025,2026)))&amp;" Non-Metro QCT database.",IF(AND(QCT="&lt;select one&gt;",Data2!R$11="Non-Metro"),"Please respond to above question.","")))))))</f>
        <v/>
      </c>
      <c r="H343" s="3499"/>
      <c r="I343" s="3499"/>
      <c r="J343" s="265"/>
      <c r="K343" s="265"/>
      <c r="L343" s="3204"/>
      <c r="M343" s="2570"/>
      <c r="R343" s="3"/>
      <c r="V343" s="1176"/>
    </row>
    <row r="344" spans="4:22" ht="14.65" customHeight="1">
      <c r="E344" s="89" t="s">
        <v>1172</v>
      </c>
      <c r="F344" s="829"/>
      <c r="G344" s="829"/>
      <c r="H344" s="829"/>
      <c r="I344" s="829"/>
      <c r="J344" s="829"/>
      <c r="K344" s="829"/>
      <c r="L344" s="3204"/>
      <c r="M344" s="2570"/>
      <c r="P344" s="264"/>
      <c r="R344" s="3"/>
    </row>
    <row r="345" spans="4:22" ht="10.5" customHeight="1">
      <c r="E345" s="829"/>
      <c r="F345" s="829"/>
      <c r="G345" s="829"/>
      <c r="H345" s="829"/>
      <c r="I345" s="829"/>
      <c r="J345" s="829"/>
      <c r="K345" s="829"/>
      <c r="L345" s="3204"/>
      <c r="M345" s="2571"/>
      <c r="R345" s="3"/>
    </row>
    <row r="346" spans="4:22" ht="30" hidden="1" customHeight="1">
      <c r="D346" s="1668" t="str" cm="1">
        <f t="array" ref="D346">IF($N346=0," ",LOWER(ROMAN(MAX(_xlfn.ARABIC(D$316:D345))+1)))</f>
        <v xml:space="preserve"> </v>
      </c>
      <c r="E346" s="2847"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 which may have the option of qualifying for a QAP-Designation basis boost?</v>
      </c>
      <c r="F346" s="2544"/>
      <c r="G346" s="2544"/>
      <c r="H346" s="2544"/>
      <c r="I346" s="2544"/>
      <c r="J346" s="265"/>
      <c r="K346" s="265"/>
      <c r="L346" s="3204"/>
      <c r="M346" s="3471">
        <f>M$281</f>
        <v>0</v>
      </c>
      <c r="N346" s="2569">
        <v>0</v>
      </c>
      <c r="P346" s="264"/>
      <c r="R346" s="3"/>
      <c r="S346" s="865"/>
    </row>
    <row r="347" spans="4:22" ht="35.25" hidden="1" customHeight="1">
      <c r="E347" s="3181" t="s">
        <v>638</v>
      </c>
      <c r="F347" s="3181"/>
      <c r="G347" s="3495"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7" s="3496"/>
      <c r="I347" s="3496"/>
      <c r="J347" s="829"/>
      <c r="K347" s="829"/>
      <c r="L347" s="3204"/>
      <c r="M347" s="3204"/>
      <c r="N347" s="2570"/>
      <c r="P347" s="264"/>
      <c r="R347" s="3"/>
      <c r="S347" s="865"/>
    </row>
    <row r="348" spans="4:22" hidden="1">
      <c r="E348" s="17" t="s">
        <v>1173</v>
      </c>
      <c r="F348" s="17"/>
      <c r="J348" s="829"/>
      <c r="K348" s="829"/>
      <c r="L348" s="3204"/>
      <c r="M348" s="3204"/>
      <c r="N348" s="2570"/>
      <c r="P348" s="2293" t="s">
        <v>2888</v>
      </c>
      <c r="R348" s="3"/>
    </row>
    <row r="349" spans="4:22" ht="30" hidden="1" customHeight="1">
      <c r="E349" s="2573"/>
      <c r="F349" s="2573"/>
      <c r="G349" s="3498" t="str">
        <f>IF(AND($E$347&lt;&gt;"&lt;select one&gt;",$E349&lt;&gt;"",County="&lt;select one&gt;"),"Please select a County",IF(AND(Geo_Area_of_Opp_boost="Yes",NOT(ISNA(VLOOKUP(E349,IF($P349="3 Factor",DS_2026_3F_GAO_CTs_Sorted,DS_2026_2F_GAO_CTs_Sorted),1,FALSE))),NOT(ISNA(VLOOKUP(County,IF($P349="3 Factor",DS_2026_3F_GAO_Counties,DS_2026_2F_GAO_Counties),1,FALSE)))),IF(IFERROR(VLOOKUP(E349,DS_2026_County_2F_GAOs,1),0)=E349,"The given Census Tract Number is a 2026 "&amp;P349&amp;" GAO Census Tract in "&amp;County&amp;" County.","The given Census Tract Number and "&amp;County&amp;" County are in the 2026 "&amp;IF(3&lt;2,P349&amp;" ","")&amp;"GAO listing, but the given Census Tract Number is not a 2026 "&amp;IF(3&lt;2,P349&amp;" ","")&amp;"GAO tract in "&amp;County&amp;" County."),IF(AND(Geo_Area_of_Opp_boost="Yes",NOT(ISNA(VLOOKUP(E349,IF($P349="3 Factor",DS_2026_3F_GAO_CTs_Sorted,DS_2026_2F_GAO_CTs_Sorted),1,FALSE))),ISNA(VLOOKUP(County,IF($P349="3 Factor",DS_2026_3F_GAO_Counties,DS_2026_2F_GAO_Counties),1,FALSE))),"The given Census Tract is in the 2026 "&amp;IF(3&lt;2,P349&amp;" ","")&amp;"GAO listing, but "&amp;County&amp;" County is NOT.",IF(AND(Geo_Area_of_Opp_boost="Yes",ISNA(VLOOKUP(E349,IF($P349="3 Factor",DS_2026_3F_GAO_CTs_Sorted,DS_2026_2F_GAO_CTs_Sorted),1,FALSE)),NOT(ISNA(VLOOKUP(County,IF($P349="3 Factor",DS_2026_3F_GAO_Counties,DS_2026_2F_GAO_Counties),1,FALSE)))),County&amp;" County is in the 2026 "&amp;IF(3&lt;2,P349&amp;" ","")&amp;"GAO Listing, but the given Census Tract is NOT.",IF(Geo_Area_of_Opp_boost="Yes","Neither the given Census Tract nor "&amp;County&amp;" County are in the 2026 "&amp;IF(3&lt;2,P349&amp;" ","")&amp;"GAO listing.","Please respond to above question.")))))</f>
        <v>Please respond to above question.</v>
      </c>
      <c r="H349" s="3498"/>
      <c r="I349" s="3498"/>
      <c r="J349" s="829"/>
      <c r="K349" s="829"/>
      <c r="L349" s="3204"/>
      <c r="M349" s="3204"/>
      <c r="N349" s="2570"/>
      <c r="P349" s="2482" t="s">
        <v>2730</v>
      </c>
      <c r="Q349" s="865"/>
      <c r="R349" s="865"/>
      <c r="S349" s="865"/>
    </row>
    <row r="350" spans="4:22" ht="30" hidden="1" customHeight="1">
      <c r="E350" s="3287"/>
      <c r="F350" s="3287"/>
      <c r="G350" s="3498" t="str">
        <f>IF(AND($E$347&lt;&gt;"&lt;select one&gt;",$E350&lt;&gt;"",County="&lt;select one&gt;"),"Please select a County",IF(AND(Geo_Area_of_Opp_boost="Yes",NOT(ISNA(VLOOKUP(E350,IF($P350="3 Factor",DS_2026_3F_GAO_CTs_Sorted,DS_2026_2F_GAO_CTs_Sorted),1,FALSE))),NOT(ISNA(VLOOKUP(County,IF($P350="3 Factor",DS_2026_3F_GAO_Counties,DS_2026_2F_GAO_Counties),1,FALSE)))),IF(IFERROR(VLOOKUP(E350,DS_2026_County_2F_GAOs,1),0)=E350,"The given Census Tract Number is a 2026 "&amp;P350&amp;" GAO Census Tract in "&amp;County&amp;" County.","The given Census Tract Number and "&amp;County&amp;" County are in the 2026 "&amp;IF(3&lt;2,P350&amp;" ","")&amp;"GAO listing, but the given Census Tract Number is not a 2026 "&amp;IF(3&lt;2,P350&amp;" ","")&amp;"GAO tract in "&amp;County&amp;" County."),IF(AND(Geo_Area_of_Opp_boost="Yes",NOT(ISNA(VLOOKUP(E350,IF($P350="3 Factor",DS_2026_3F_GAO_CTs_Sorted,DS_2026_2F_GAO_CTs_Sorted),1,FALSE))),ISNA(VLOOKUP(County,IF($P350="3 Factor",DS_2026_3F_GAO_Counties,DS_2026_2F_GAO_Counties),1,FALSE))),"The given Census Tract is in the 2026 "&amp;IF(3&lt;2,P350&amp;" ","")&amp;"GAO listing, but "&amp;County&amp;" County is NOT.",IF(AND(Geo_Area_of_Opp_boost="Yes",ISNA(VLOOKUP(E350,IF($P350="3 Factor",DS_2026_3F_GAO_CTs_Sorted,DS_2026_2F_GAO_CTs_Sorted),1,FALSE)),NOT(ISNA(VLOOKUP(County,IF($P350="3 Factor",DS_2026_3F_GAO_Counties,DS_2026_2F_GAO_Counties),1,FALSE)))),County&amp;" County is in the 2026 "&amp;IF(3&lt;2,P350&amp;" ","")&amp;"GAO Listing, but the given Census Tract is NOT.",IF(Geo_Area_of_Opp_boost="Yes","Neither the given Census Tract nor "&amp;County&amp;" County are in the 2026 "&amp;IF(3&lt;2,P350&amp;" ","")&amp;"GAO listing.","Please respond to above question.")))))</f>
        <v>Please respond to above question.</v>
      </c>
      <c r="H350" s="3498"/>
      <c r="I350" s="3498"/>
      <c r="J350" s="829"/>
      <c r="K350" s="829"/>
      <c r="L350" s="3204"/>
      <c r="M350" s="3204"/>
      <c r="N350" s="2570"/>
      <c r="P350" s="2483" t="s">
        <v>2730</v>
      </c>
      <c r="Q350" s="865"/>
      <c r="R350" s="865"/>
      <c r="S350" s="865"/>
    </row>
    <row r="351" spans="4:22" ht="30" hidden="1" customHeight="1">
      <c r="D351" s="30"/>
      <c r="E351" s="3287"/>
      <c r="F351" s="3287"/>
      <c r="G351" s="3498" t="str">
        <f>IF(AND($E$347&lt;&gt;"&lt;select one&gt;",$E351&lt;&gt;"",County="&lt;select one&gt;"),"Please select a County",IF(AND(Geo_Area_of_Opp_boost="Yes",NOT(ISNA(VLOOKUP(E351,IF($P351="3 Factor",DS_2026_3F_GAO_CTs_Sorted,DS_2026_2F_GAO_CTs_Sorted),1,FALSE))),NOT(ISNA(VLOOKUP(County,IF($P351="3 Factor",DS_2026_3F_GAO_Counties,DS_2026_2F_GAO_Counties),1,FALSE)))),IF(IFERROR(VLOOKUP(E351,DS_2026_County_2F_GAOs,1),0)=E351,"The given Census Tract Number is a 2026 "&amp;P351&amp;" GAO Census Tract in "&amp;County&amp;" County.","The given Census Tract Number and "&amp;County&amp;" County are in the 2026 "&amp;IF(3&lt;2,P351&amp;" ","")&amp;"GAO listing, but the given Census Tract Number is not a 2026 "&amp;IF(3&lt;2,P351&amp;" ","")&amp;"GAO tract in "&amp;County&amp;" County."),IF(AND(Geo_Area_of_Opp_boost="Yes",NOT(ISNA(VLOOKUP(E351,IF($P351="3 Factor",DS_2026_3F_GAO_CTs_Sorted,DS_2026_2F_GAO_CTs_Sorted),1,FALSE))),ISNA(VLOOKUP(County,IF($P351="3 Factor",DS_2026_3F_GAO_Counties,DS_2026_2F_GAO_Counties),1,FALSE))),"The given Census Tract is in the 2026 "&amp;IF(3&lt;2,P351&amp;" ","")&amp;"GAO listing, but "&amp;County&amp;" County is NOT.",IF(AND(Geo_Area_of_Opp_boost="Yes",ISNA(VLOOKUP(E351,IF($P351="3 Factor",DS_2026_3F_GAO_CTs_Sorted,DS_2026_2F_GAO_CTs_Sorted),1,FALSE)),NOT(ISNA(VLOOKUP(County,IF($P351="3 Factor",DS_2026_3F_GAO_Counties,DS_2026_2F_GAO_Counties),1,FALSE)))),County&amp;" County is in the 2026 "&amp;IF(3&lt;2,P351&amp;" ","")&amp;"GAO Listing, but the given Census Tract is NOT.",IF(Geo_Area_of_Opp_boost="Yes","Neither the given Census Tract nor "&amp;County&amp;" County are in the 2026 "&amp;IF(3&lt;2,P351&amp;" ","")&amp;"GAO listing.","Please respond to above question.")))))</f>
        <v>Please respond to above question.</v>
      </c>
      <c r="H351" s="3498"/>
      <c r="I351" s="3498"/>
      <c r="J351" s="829"/>
      <c r="K351" s="829"/>
      <c r="L351" s="3204"/>
      <c r="M351" s="3204"/>
      <c r="N351" s="2570"/>
      <c r="P351" s="2483" t="s">
        <v>2730</v>
      </c>
      <c r="Q351" s="865"/>
      <c r="R351" s="865"/>
      <c r="S351" s="865"/>
    </row>
    <row r="352" spans="4:22" ht="14.65" hidden="1" customHeight="1">
      <c r="E352" s="47" t="s">
        <v>1174</v>
      </c>
      <c r="F352" s="47"/>
      <c r="J352" s="829"/>
      <c r="K352" s="829"/>
      <c r="L352" s="3204"/>
      <c r="M352" s="3204"/>
      <c r="N352" s="2570"/>
      <c r="R352" s="3"/>
      <c r="S352" s="865"/>
    </row>
    <row r="353" spans="4:23" ht="14.65" hidden="1" customHeight="1">
      <c r="E353" s="47" t="s">
        <v>1172</v>
      </c>
      <c r="F353" s="47"/>
      <c r="J353" s="829"/>
      <c r="K353" s="829"/>
      <c r="L353" s="3204"/>
      <c r="M353" s="3204"/>
      <c r="N353" s="2570"/>
      <c r="R353" s="3"/>
      <c r="S353" s="865"/>
    </row>
    <row r="354" spans="4:23" ht="10.5" hidden="1" customHeight="1">
      <c r="D354" s="30"/>
      <c r="J354" s="829"/>
      <c r="K354" s="829"/>
      <c r="L354" s="3204"/>
      <c r="M354" s="3204"/>
      <c r="N354" s="2571"/>
      <c r="R354" s="3"/>
    </row>
    <row r="355" spans="4:23" ht="35.25" hidden="1" customHeight="1">
      <c r="D355" s="1668" t="str" cm="1">
        <f t="array" ref="D355">IF($N355=0," ",LOWER(ROMAN(MAX(_xlfn.ARABIC(D$316:D354))+1)))</f>
        <v xml:space="preserve"> </v>
      </c>
      <c r="E355" s="2544" t="str">
        <f>"Did the Applicant indicate it qualifies for the Urban Center Designation"&amp;IF('Proximity, Mand.Dist., RECAP'!L84&gt;0," or the MetroRail Station Designation","")&amp;" at Section 4.A.5."&amp;'Proximity, Mand.Dist., RECAP'!A78&amp;".?"</f>
        <v>Did the Applicant indicate it qualifies for the Urban Center Designation at Section 4.A.5..?</v>
      </c>
      <c r="F355" s="2544"/>
      <c r="G355" s="2544"/>
      <c r="H355" s="2544"/>
      <c r="I355" s="2544"/>
      <c r="J355" s="829"/>
      <c r="K355" s="829"/>
      <c r="L355" s="3204"/>
      <c r="M355" s="3204"/>
      <c r="N355" s="2569">
        <v>0</v>
      </c>
      <c r="R355" s="3"/>
      <c r="S355" s="265"/>
      <c r="W355" s="829"/>
    </row>
    <row r="356" spans="4:23" ht="17.649999999999999" hidden="1" customHeight="1">
      <c r="D356" s="30"/>
      <c r="F356" s="3538"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3538"/>
      <c r="H356" s="3538"/>
      <c r="I356" s="3538"/>
      <c r="J356" s="829"/>
      <c r="K356" s="829"/>
      <c r="L356" s="3204"/>
      <c r="M356" s="3204"/>
      <c r="N356" s="2570"/>
      <c r="R356" s="3"/>
      <c r="S356" s="265"/>
      <c r="W356" s="829"/>
    </row>
    <row r="357" spans="4:23" ht="14.65" hidden="1" customHeight="1">
      <c r="D357" s="30"/>
      <c r="E357" s="829"/>
      <c r="F357" s="829"/>
      <c r="G357" s="829"/>
      <c r="H357" s="829"/>
      <c r="I357" s="829"/>
      <c r="J357" s="829"/>
      <c r="K357" s="829"/>
      <c r="L357" s="3204"/>
      <c r="M357" s="3204"/>
      <c r="N357" s="2570"/>
      <c r="O357" s="855"/>
      <c r="R357" s="3"/>
      <c r="S357" s="265"/>
      <c r="W357" s="829"/>
    </row>
    <row r="358" spans="4:23" ht="35.25" hidden="1" customHeight="1">
      <c r="D358" s="30"/>
      <c r="E358" s="2544" t="str">
        <f>"If ""Yes"", did the Applicant select the name of the applicable Urban Center at Section 4.A.5."&amp;'Proximity, Mand.Dist., RECAP'!A78&amp;".(2)"&amp;IF('Proximity, Mand.Dist., RECAP'!L84&gt;0," or the name of the applicable MetroRail Station at Section 4.A."&amp;'Proximity, Mand.Dist., RECAP'!A78&amp;".(4)","")&amp;"?"</f>
        <v>If "Yes", did the Applicant select the name of the applicable Urban Center at Section 4.A.5..(2)?</v>
      </c>
      <c r="F358" s="2544"/>
      <c r="G358" s="2544"/>
      <c r="H358" s="2544"/>
      <c r="I358" s="2544"/>
      <c r="J358" s="829"/>
      <c r="K358" s="829"/>
      <c r="L358" s="3204"/>
      <c r="M358" s="3204"/>
      <c r="N358" s="2570"/>
      <c r="R358" s="3"/>
      <c r="S358" s="265"/>
      <c r="W358" s="829"/>
    </row>
    <row r="359" spans="4:23" ht="35.25" hidden="1" customHeight="1">
      <c r="D359" s="30"/>
      <c r="F359" s="3539"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3539"/>
      <c r="H359" s="3539"/>
      <c r="I359" s="3539"/>
      <c r="J359" s="829"/>
      <c r="K359" s="829"/>
      <c r="L359" s="3204"/>
      <c r="M359" s="3204"/>
      <c r="N359" s="2570"/>
      <c r="R359" s="3"/>
      <c r="S359" s="265"/>
      <c r="W359" s="829"/>
    </row>
    <row r="360" spans="4:23" ht="14.65" hidden="1" customHeight="1">
      <c r="D360" s="30"/>
      <c r="E360" s="829"/>
      <c r="F360" s="827"/>
      <c r="G360" s="827"/>
      <c r="H360" s="827"/>
      <c r="I360" s="827"/>
      <c r="J360" s="829"/>
      <c r="K360" s="829"/>
      <c r="L360" s="3204"/>
      <c r="M360" s="3204"/>
      <c r="N360" s="2570"/>
      <c r="R360" s="3"/>
      <c r="S360" s="265"/>
      <c r="W360" s="829"/>
    </row>
    <row r="361" spans="4:23" ht="35.25" hidden="1" customHeight="1">
      <c r="D361" s="30"/>
      <c r="E361" s="2544" t="str">
        <f>"Does the proposed Development qualify for the QAP-Designation Urban Center Area of Opportunity basis boost"&amp;IF('Proximity, Mand.Dist., RECAP'!L84&gt;0," or the MetroRail Station Area of Opportunity basis boost","")&amp;"?"</f>
        <v>Does the proposed Development qualify for the QAP-Designation Urban Center Area of Opportunity basis boost?</v>
      </c>
      <c r="F361" s="2544"/>
      <c r="G361" s="2544"/>
      <c r="H361" s="2544"/>
      <c r="I361" s="2544"/>
      <c r="J361" s="829"/>
      <c r="K361" s="829"/>
      <c r="L361" s="3204"/>
      <c r="M361" s="3204"/>
      <c r="N361" s="2570"/>
      <c r="R361" s="3"/>
      <c r="S361" s="265"/>
      <c r="W361" s="829"/>
    </row>
    <row r="362" spans="4:23" ht="17.649999999999999" hidden="1" customHeight="1">
      <c r="D362" s="30"/>
      <c r="E362" s="6"/>
      <c r="F362" s="849" t="s">
        <v>2416</v>
      </c>
      <c r="G362" s="811" t="str">
        <f>IF(AND(Earned_HUD_Boost&lt;&gt;"Yes",IFERROR(FIND("Yes",UrbanCenter_indication),0)&gt;0,IFERROR(FIND("Urban Center",UrbanCenter_indication),0)&gt;0),"Yes",IF(Earned_HUD_Boost="Yes","No",IF(AND(IFERROR(FIND("No",UrbanCenter_indication),0)&gt;0,UrbanCenter_identified="NA"),"No","")))</f>
        <v/>
      </c>
      <c r="H362" s="849" t="str">
        <f>IF('Proximity, Mand.Dist., RECAP'!L84&gt;0,"MetroRail Station AofO:","")</f>
        <v/>
      </c>
      <c r="I362" s="2226" t="str">
        <f>IF(AND(Earned_HUD_Boost&lt;&gt;"Yes",IFERROR(FIND("Yes",UrbanCenter_indication),0)&gt;0,IFERROR(FIND("MetroRail",UrbanCenter_indication),0)&gt;0),"Yes",IF(Earned_HUD_Boost="Yes","No",IF(AND(IFERROR(FIND("No",UrbanCenter_indication),0)&gt;0,UrbanCenter_identified="NA"),"No","")))</f>
        <v/>
      </c>
      <c r="J362" s="829"/>
      <c r="K362" s="829"/>
      <c r="L362" s="3204"/>
      <c r="M362" s="3204"/>
      <c r="N362" s="2570"/>
      <c r="R362" s="3"/>
      <c r="S362" s="265"/>
      <c r="W362" s="829"/>
    </row>
    <row r="363" spans="4:23" ht="17.649999999999999" hidden="1" customHeight="1">
      <c r="D363" s="30"/>
      <c r="E363" s="3198" t="str">
        <f>IF(Earned_HUD_Boost="Yes","The Development appears to qualify for a HUD basis boost, disqualifying it from any QAP basis boost.","")</f>
        <v/>
      </c>
      <c r="F363" s="3198"/>
      <c r="G363" s="3198"/>
      <c r="H363" s="3198"/>
      <c r="I363" s="3198"/>
      <c r="J363" s="829"/>
      <c r="K363" s="829"/>
      <c r="L363" s="3204"/>
      <c r="M363" s="3204"/>
      <c r="N363" s="2570"/>
      <c r="R363" s="3"/>
      <c r="S363" s="265"/>
      <c r="W363" s="829"/>
    </row>
    <row r="364" spans="4:23" ht="10.5" hidden="1" customHeight="1">
      <c r="D364" s="30"/>
      <c r="J364" s="829"/>
      <c r="K364" s="829"/>
      <c r="L364" s="3204"/>
      <c r="M364" s="3204"/>
      <c r="N364" s="2571"/>
      <c r="R364" s="3"/>
      <c r="S364" s="265"/>
      <c r="W364" s="829"/>
    </row>
    <row r="365" spans="4:23" ht="30" hidden="1" customHeight="1">
      <c r="D365" s="1667" t="str" cm="1">
        <f t="array" ref="D365">IF($N365=0," ",LOWER(ROMAN(MAX(_xlfn.ARABIC(D$316:D364))+1)))</f>
        <v xml:space="preserve"> </v>
      </c>
      <c r="E365" s="2544" t="s">
        <v>1585</v>
      </c>
      <c r="F365" s="2544"/>
      <c r="G365" s="2544"/>
      <c r="H365" s="2544"/>
      <c r="I365" s="2544"/>
      <c r="J365" s="829"/>
      <c r="K365" s="829"/>
      <c r="L365" s="3204"/>
      <c r="M365" s="3204"/>
      <c r="N365" s="2569">
        <v>0</v>
      </c>
      <c r="Q365" s="115"/>
      <c r="R365" s="113"/>
      <c r="S365" s="265"/>
    </row>
    <row r="366" spans="4:23" ht="35.25" hidden="1" customHeight="1">
      <c r="D366" s="30"/>
      <c r="E366" s="3518" t="str">
        <f>IF(AND(Earned_HUD_Boost&lt;&gt;"Yes",AND(LGAO_Designation="Yes",AND(LGC_Loan_Forgive_Face+LGC_Grant_Face&gt;0,LGC_Loan_Forgive_Face+LGC_Grant_Face&gt;=IFERROR(VLOOKUP(County,DS_CountyData,4),1000000000)),OR(LG_Name1&lt;&gt;"",LG_Name2&lt;&gt;"",LG_Name3&lt;&gt;"",LG_Name4&lt;&gt;"",LG_Name5&lt;&gt;""))),"Yes",IF(OR(AND(Multiphase_subsequent="&lt;select from menu&gt;",Small_Area_DDA="&lt;select from menu&gt;",DDA_nonmetro="Please identify County.",QCT="&lt;select from menu&gt;"),LGAO_Designation="&lt;select one&gt;",LGC_Loan_Forgive_Face+LGC_Grant_Face=0,AND(LG_Name1="",LG_Name2="",LG_Name3="",LG_Name4="",LG_Name5="")),"TBD","No"))</f>
        <v>TBD</v>
      </c>
      <c r="F366" s="3504"/>
      <c r="G366" s="3536" t="str">
        <f>IF(LGAO_Number="No",IF(Earned_HUD_Boost="Yes","The Development appears to qualify for a HUD basis boost, disqualifying it from a QAP basis boost.",IF(LGAO_Designation="No","The Applicant did not indicate the attachments qualified for the LGAO Designation.",IF(AND(LGC_Loan_Forgive_Face+LGC_Grant_Face&gt;0,LGC_Loan_Forgive_Face+LGC_Grant_Face&lt;IFERROR(VLOOKUP(County,DS_CountyData,4),1000000000)),"The local government funding entered into the LGAO table does not meet the minimum requirement.",IF(AND(LGC_Loan_Forgive_Face+LGC_Grant_Face&gt;0,LG_Name1="",LG_Name2="",LG_Name3="",LG_Name4="",LG_Name5=""),"The Applicant did not enter the name of a local government in the Local Government Contributors table.",IF(AND(LGC_Loan_Forgive_Face+LGC_Grant_Face&gt;0,LGAO_Designation="&lt;select one&gt;"),"The Applicant did not indicate if it provided qualified documentation as an Attachment.",IF(AND(LGC_Loan_Forgive_Face+LGC_Grant_Face=0,LGAO_Designation="Yes"),"The Applicant failed to enter information in the LGAO funding table in order to determine qualifications.","")))))),IF(LGAO_Number="TBD","","The Development appears to qualify for this QAP basis boost, subject to verifications."))</f>
        <v/>
      </c>
      <c r="H366" s="2600"/>
      <c r="I366" s="2600"/>
      <c r="J366" s="829"/>
      <c r="K366" s="829"/>
      <c r="L366" s="3204"/>
      <c r="M366" s="3204"/>
      <c r="N366" s="2570"/>
      <c r="R366" s="113"/>
      <c r="S366" s="265"/>
    </row>
    <row r="367" spans="4:23" ht="10.5" hidden="1" customHeight="1">
      <c r="D367" s="30"/>
      <c r="J367" s="829"/>
      <c r="K367" s="829"/>
      <c r="L367" s="3204"/>
      <c r="M367" s="3204"/>
      <c r="N367" s="2571"/>
      <c r="Q367" s="24"/>
      <c r="R367" s="113"/>
      <c r="S367" s="265"/>
    </row>
    <row r="368" spans="4:23" ht="30" hidden="1" customHeight="1">
      <c r="D368" s="1667" t="str" cm="1">
        <f t="array" ref="D368">IF($N368=0," ",LOWER(ROMAN(MAX(_xlfn.ARABIC(D$316:D366))+1)))</f>
        <v xml:space="preserve"> </v>
      </c>
      <c r="E368" s="2544" t="s">
        <v>1586</v>
      </c>
      <c r="F368" s="2544"/>
      <c r="G368" s="2544"/>
      <c r="H368" s="2544"/>
      <c r="I368" s="2544"/>
      <c r="J368" s="829"/>
      <c r="K368" s="829"/>
      <c r="L368" s="3204"/>
      <c r="M368" s="3204"/>
      <c r="N368" s="2569">
        <v>0</v>
      </c>
      <c r="Q368" s="115"/>
      <c r="R368" s="113"/>
      <c r="S368" s="265"/>
    </row>
    <row r="369" spans="3:19" ht="35.25" hidden="1" customHeight="1">
      <c r="D369" s="30"/>
      <c r="E369" s="3181" t="s">
        <v>638</v>
      </c>
      <c r="F369" s="3181"/>
      <c r="G369" s="3537" t="str">
        <f>IF(PHA_Area_of_Opp_boost="Yes",IF(Earned_HUD_Boost="Yes","The Development appears to qualify for a HUD basis boost, disqualifying it from any QAP basis boost.",""),"")&amp;IF(AND(PHA_Area_of_Opp_boost="Yes",Earned_HUD_Boost&lt;&gt;"Yes"),IF(AND(IF(L522&gt;0,PHA_land_lease="&lt;select from menu&gt;",TRUE),IF(L525&gt;0,PHA_as_Principal="&lt;select from menu&gt;",TRUE),IF(L528&gt;0,PHA_Name="",TRUE)),"The PHA information at "&amp;A520&amp;". below is not yet complete.",IF(AND(OR(AND(L522&gt;0,PHA_land_lease&lt;&gt;""),AND(L525&gt;0,PHA_as_Principal&lt;&gt;"")),AND(L528&gt;0,PHA_Name="")),"The name of the PHA is missing below.",IF(AND(L528&gt;0,PHA_Name&lt;&gt;"",OR(AND(L522&gt;0,PHA_land_lease="&lt;select from menu&gt;"),AND(L525&gt;0,PHA_as_Principal="&lt;select from menu&gt;"))),"The Applicant has not yet identified the role of the PHA below.",""))),"")</f>
        <v/>
      </c>
      <c r="H369" s="3281"/>
      <c r="I369" s="3281"/>
      <c r="J369" s="829"/>
      <c r="K369" s="829"/>
      <c r="L369" s="3204"/>
      <c r="M369" s="3204"/>
      <c r="N369" s="2570"/>
      <c r="Q369" s="115"/>
      <c r="R369" s="113"/>
      <c r="S369" s="265"/>
    </row>
    <row r="370" spans="3:19" ht="10.5" hidden="1" customHeight="1">
      <c r="D370" s="30"/>
      <c r="J370" s="829"/>
      <c r="K370" s="829"/>
      <c r="L370" s="3204"/>
      <c r="M370" s="3204"/>
      <c r="N370" s="2571"/>
      <c r="R370" s="3"/>
    </row>
    <row r="371" spans="3:19" ht="14.65" hidden="1" customHeight="1">
      <c r="D371" s="1667" t="str" cm="1">
        <f t="array" ref="D371">IF($N371=0," ",LOWER(ROMAN(MAX(_xlfn.ARABIC(D$316:D369))+1)))</f>
        <v xml:space="preserve"> </v>
      </c>
      <c r="E371" s="375" t="s">
        <v>1587</v>
      </c>
      <c r="F371" s="865"/>
      <c r="J371" s="829"/>
      <c r="K371" s="829"/>
      <c r="L371" s="3204"/>
      <c r="M371" s="3204"/>
      <c r="N371" s="2569">
        <v>0</v>
      </c>
      <c r="R371" s="3"/>
    </row>
    <row r="372" spans="3:19" ht="17.649999999999999" hidden="1" customHeight="1">
      <c r="D372" s="30"/>
      <c r="E372" s="3518" t="str">
        <f>IF(N371=0,"",IF(AND(OR(Demographic=Data1!A25,Demographic=Data1!A26,Demographic=Data1!A27,Demographic=Data1!A28),Earned_HUD_Boost="No"),"Yes","No"))</f>
        <v/>
      </c>
      <c r="F372" s="3518"/>
      <c r="G372" s="3535" t="str">
        <f>"(Self populates based on required responses to (ii) - ("&amp;IF(N368&gt;0,D368,IF(N365&gt;0,D365,IF(N355&gt;0,D355,IF(N346&gt;0,D346,D337))))&amp;") above)"</f>
        <v>(Self populates based on required responses to (ii) - (iv) above)</v>
      </c>
      <c r="H372" s="3535"/>
      <c r="I372" s="3535"/>
      <c r="J372" s="829"/>
      <c r="K372" s="829"/>
      <c r="L372" s="3204"/>
      <c r="M372" s="3204"/>
      <c r="N372" s="2570"/>
      <c r="Q372" s="115"/>
      <c r="R372" s="3"/>
      <c r="S372" s="24"/>
    </row>
    <row r="373" spans="3:19" ht="10.5" hidden="1" customHeight="1">
      <c r="D373" s="30"/>
      <c r="J373" s="829"/>
      <c r="K373" s="829"/>
      <c r="L373" s="3204"/>
      <c r="M373" s="3204"/>
      <c r="N373" s="2571"/>
      <c r="R373" s="3"/>
    </row>
    <row r="374" spans="3:19" ht="35.25" hidden="1" customHeight="1">
      <c r="D374" s="1667" t="str" cm="1">
        <f t="array" ref="D374">IF($N374=0," ",LOWER(ROMAN(MAX(_xlfn.ARABIC(D$316:D372))+1)))</f>
        <v xml:space="preserve"> </v>
      </c>
      <c r="E374" s="2900" t="s">
        <v>2887</v>
      </c>
      <c r="F374" s="2900"/>
      <c r="G374" s="2900"/>
      <c r="H374" s="2900"/>
      <c r="I374" s="2900"/>
      <c r="J374" s="829"/>
      <c r="K374" s="829"/>
      <c r="L374" s="3204"/>
      <c r="M374" s="3204"/>
      <c r="N374" s="2569">
        <v>0</v>
      </c>
      <c r="R374" s="3"/>
    </row>
    <row r="375" spans="3:19" ht="35.65" hidden="1" customHeight="1">
      <c r="D375" s="30"/>
      <c r="E375" s="3181" t="s">
        <v>638</v>
      </c>
      <c r="F375" s="3181"/>
      <c r="G375" s="2600" t="str">
        <f>IF(Permit_Ready_Area_of_Opp_boost="Yes",IF(Earned_HUD_Boost="Yes","The Development appears to qualify for a HUD basis boost, disqualifying it from any QAP basis boost.",""),"")</f>
        <v/>
      </c>
      <c r="H375" s="2600"/>
      <c r="I375" s="2600"/>
      <c r="J375" s="829"/>
      <c r="K375" s="829"/>
      <c r="L375" s="3204"/>
      <c r="M375" s="3204"/>
      <c r="N375" s="2570"/>
      <c r="R375" s="3"/>
    </row>
    <row r="376" spans="3:19" ht="10.5" hidden="1" customHeight="1">
      <c r="D376" s="30"/>
      <c r="J376" s="829"/>
      <c r="K376" s="829"/>
      <c r="L376" s="3204"/>
      <c r="M376" s="3204"/>
      <c r="N376" s="2701"/>
      <c r="R376" s="3"/>
    </row>
    <row r="377" spans="3:19" hidden="1">
      <c r="C377" s="92" t="str" cm="1">
        <f t="array" ref="C377">IF($M$281=0,"-",IFERROR(CHAR(CODE(LOOKUP(2,1/(COUNTIF(C$282:C373,"&gt;"&amp;C$282:C373&amp;"*")=0),C$282:C373))+1),"b"))</f>
        <v>-</v>
      </c>
      <c r="D377" s="865" t="s">
        <v>1175</v>
      </c>
      <c r="J377" s="829"/>
      <c r="K377" s="829"/>
      <c r="L377" s="3204"/>
      <c r="M377" s="3204"/>
      <c r="N377" s="2569">
        <v>0</v>
      </c>
      <c r="R377" s="3"/>
    </row>
    <row r="378" spans="3:19" ht="30" hidden="1" customHeight="1">
      <c r="E378" s="2544" t="s">
        <v>1176</v>
      </c>
      <c r="F378" s="2544"/>
      <c r="G378" s="2544"/>
      <c r="H378" s="2544"/>
      <c r="I378" s="2544"/>
      <c r="J378" s="829"/>
      <c r="K378" s="829"/>
      <c r="L378" s="3204"/>
      <c r="M378" s="3204"/>
      <c r="N378" s="2570"/>
      <c r="R378" s="3"/>
    </row>
    <row r="379" spans="3:19" ht="25.15" hidden="1" customHeight="1">
      <c r="E379" s="3181" t="s">
        <v>638</v>
      </c>
      <c r="F379" s="3181"/>
      <c r="G379" s="3288" t="str">
        <f>IF(OR(E379="&lt;select from menu&gt;",E379="No",AND(E379="Yes",'General Information'!F32="Family")),"","Invalid Entry - only applicants who select the Family demographic are eligible for this funding goal")</f>
        <v/>
      </c>
      <c r="H379" s="3288"/>
      <c r="I379" s="3288"/>
      <c r="J379" s="829"/>
      <c r="K379" s="829"/>
      <c r="L379" s="3204"/>
      <c r="M379" s="3204"/>
      <c r="N379" s="2570"/>
      <c r="R379" s="3"/>
    </row>
    <row r="380" spans="3:19" ht="30" hidden="1" customHeight="1">
      <c r="E380" s="2544" t="s">
        <v>1177</v>
      </c>
      <c r="F380" s="2544"/>
      <c r="G380" s="2544"/>
      <c r="H380" s="2544"/>
      <c r="I380" s="2544"/>
      <c r="J380" s="846"/>
      <c r="K380" s="846"/>
      <c r="L380" s="3204"/>
      <c r="M380" s="3204"/>
      <c r="N380" s="2570"/>
      <c r="R380" s="3"/>
    </row>
    <row r="381" spans="3:19" ht="30" hidden="1" customHeight="1">
      <c r="E381" s="3181" t="s">
        <v>638</v>
      </c>
      <c r="F381" s="3181"/>
      <c r="G381" s="3288"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81" s="3288"/>
      <c r="I381" s="3288"/>
      <c r="J381" s="829"/>
      <c r="K381" s="829"/>
      <c r="L381" s="3204"/>
      <c r="M381" s="3204"/>
      <c r="N381" s="2570"/>
    </row>
    <row r="382" spans="3:19" ht="10.5" hidden="1" customHeight="1">
      <c r="E382" s="31"/>
      <c r="F382" s="31"/>
      <c r="J382" s="829"/>
      <c r="K382" s="829"/>
      <c r="L382" s="3204"/>
      <c r="M382" s="3204"/>
      <c r="N382" s="2571"/>
    </row>
    <row r="383" spans="3:19">
      <c r="C383" s="92" t="str" cm="1">
        <f t="array" ref="C383">IF($N$312=0,"-",IFERROR(CHAR(CODE(LOOKUP(2,1/(COUNTIF(C$282:C382,"&gt;"&amp;C$282:C382&amp;"*")=0),C$282:C382))+1),"b"))</f>
        <v>d</v>
      </c>
      <c r="D383" s="865" t="s">
        <v>2588</v>
      </c>
      <c r="E383" s="31"/>
      <c r="F383" s="31"/>
      <c r="J383" s="829"/>
      <c r="K383" s="829"/>
      <c r="L383" s="3204"/>
      <c r="M383" s="3204"/>
    </row>
    <row r="384" spans="3:19" ht="10.5" customHeight="1">
      <c r="E384" s="31"/>
      <c r="F384" s="31"/>
      <c r="J384" s="829"/>
      <c r="K384" s="829"/>
      <c r="L384" s="3204"/>
      <c r="M384" s="3204"/>
    </row>
    <row r="385" spans="1:16" ht="17.649999999999999" customHeight="1">
      <c r="B385" s="311">
        <f>IF(OR($M$310=0,$L385=0),"...",MAX(B$4:B383)+1)</f>
        <v>3</v>
      </c>
      <c r="C385" t="s">
        <v>2135</v>
      </c>
      <c r="E385" s="31"/>
      <c r="F385" s="31"/>
      <c r="J385" s="829"/>
      <c r="K385" s="829"/>
      <c r="L385" s="2569">
        <v>1</v>
      </c>
      <c r="M385" s="3204"/>
    </row>
    <row r="386" spans="1:16" ht="10.5" customHeight="1">
      <c r="B386" s="311"/>
      <c r="E386" s="31"/>
      <c r="F386" s="31"/>
      <c r="J386" s="829"/>
      <c r="K386" s="829"/>
      <c r="L386" s="2570"/>
      <c r="M386" s="3204"/>
    </row>
    <row r="387" spans="1:16" ht="50.15" customHeight="1">
      <c r="B387" s="311"/>
      <c r="C387" s="2544" t="s">
        <v>3283</v>
      </c>
      <c r="D387" s="2544"/>
      <c r="E387" s="2544"/>
      <c r="F387" s="2544"/>
      <c r="G387" s="2544"/>
      <c r="H387" s="2544"/>
      <c r="I387" s="1950"/>
      <c r="J387" s="829"/>
      <c r="K387" s="829"/>
      <c r="L387" s="2570"/>
      <c r="M387" s="3204"/>
      <c r="P387" s="6" t="s">
        <v>3287</v>
      </c>
    </row>
    <row r="388" spans="1:16" s="6" customFormat="1" ht="21" customHeight="1">
      <c r="B388" s="311"/>
      <c r="C388" s="3498" t="s">
        <v>3278</v>
      </c>
      <c r="D388" s="3498"/>
      <c r="E388" s="3498"/>
      <c r="F388" s="3498"/>
      <c r="G388" s="3498"/>
      <c r="H388" s="3498"/>
      <c r="I388" s="3498"/>
      <c r="J388" s="829"/>
      <c r="K388" s="829"/>
      <c r="L388" s="2570"/>
      <c r="M388" s="3204"/>
    </row>
    <row r="389" spans="1:16" ht="10.5" customHeight="1">
      <c r="B389" s="311"/>
      <c r="E389" s="31"/>
      <c r="F389" s="31"/>
      <c r="J389" s="829"/>
      <c r="K389" s="829"/>
      <c r="L389" s="2570"/>
      <c r="M389" s="3204"/>
    </row>
    <row r="390" spans="1:16" ht="35.15" customHeight="1">
      <c r="B390" s="311"/>
      <c r="C390" s="3531" t="s">
        <v>3284</v>
      </c>
      <c r="D390" s="3531"/>
      <c r="E390" s="3531"/>
      <c r="F390" s="3531"/>
      <c r="G390" s="3531"/>
      <c r="H390" s="3531"/>
      <c r="I390" s="3531"/>
      <c r="J390" s="829"/>
      <c r="K390" s="829"/>
      <c r="L390" s="2570"/>
      <c r="M390" s="3204"/>
    </row>
    <row r="391" spans="1:16" ht="17.649999999999999" customHeight="1">
      <c r="B391" s="311"/>
      <c r="C391" s="10" t="s">
        <v>860</v>
      </c>
      <c r="D391" s="25" t="s">
        <v>2708</v>
      </c>
      <c r="E391" s="31"/>
      <c r="F391" s="31"/>
      <c r="J391" s="829"/>
      <c r="K391" s="9"/>
      <c r="L391" s="2570"/>
      <c r="M391" s="3204"/>
    </row>
    <row r="392" spans="1:16" ht="10.5" customHeight="1">
      <c r="B392" s="311"/>
      <c r="C392" s="238"/>
      <c r="D392" s="15"/>
      <c r="E392" s="857"/>
      <c r="F392" s="857"/>
      <c r="G392" s="15"/>
      <c r="H392" s="15"/>
      <c r="I392" s="6"/>
      <c r="J392" s="829"/>
      <c r="K392" s="9"/>
      <c r="L392" s="2570"/>
      <c r="M392" s="3204"/>
    </row>
    <row r="393" spans="1:16" ht="17.5" customHeight="1">
      <c r="B393" s="311"/>
      <c r="C393" s="238" t="s">
        <v>884</v>
      </c>
      <c r="D393" s="238" t="s">
        <v>3285</v>
      </c>
      <c r="E393" s="2488"/>
      <c r="F393" s="2488"/>
      <c r="G393" s="238"/>
      <c r="H393" s="15"/>
      <c r="I393" s="6"/>
      <c r="J393" s="829"/>
      <c r="K393" s="9"/>
      <c r="L393" s="2570"/>
      <c r="M393" s="3204"/>
    </row>
    <row r="394" spans="1:16" ht="10.5" customHeight="1">
      <c r="B394" s="311"/>
      <c r="C394" s="238"/>
      <c r="D394" s="15"/>
      <c r="E394" s="857"/>
      <c r="F394" s="857"/>
      <c r="G394" s="15"/>
      <c r="H394" s="15"/>
      <c r="I394" s="6"/>
      <c r="J394" s="829"/>
      <c r="K394" s="9"/>
      <c r="L394" s="2570"/>
      <c r="M394" s="3204"/>
    </row>
    <row r="395" spans="1:16" ht="35.15" customHeight="1">
      <c r="A395" s="2489"/>
      <c r="B395" s="2490"/>
      <c r="D395" s="2490" t="s">
        <v>3286</v>
      </c>
      <c r="E395" s="2900" t="str">
        <f>"The MMRB request amount is limited to the greater of "&amp;TEXT(Data3!$C$197,"0%")&amp;" of aggregate basis"&amp;IF(N397=0,""," or the amount required for maximum permanent supportable debt on the development")&amp;", up to "&amp;TEXT(Data3!$C$189,"$#,##0")&amp;"."</f>
        <v>The MMRB request amount is limited to the greater of 30% of aggregate basis, up to $75,000,000.</v>
      </c>
      <c r="F395" s="2900"/>
      <c r="G395" s="2900"/>
      <c r="H395" s="2900"/>
      <c r="I395" s="2900"/>
      <c r="J395" s="829"/>
      <c r="K395" s="9"/>
      <c r="L395" s="2570"/>
      <c r="M395" s="3204"/>
      <c r="O395" s="17"/>
      <c r="P395" s="17" t="str">
        <f>IF($N$397=0,"Adjust row height to 17.5","")</f>
        <v>Adjust row height to 17.5</v>
      </c>
    </row>
    <row r="396" spans="1:16" ht="17.5" customHeight="1">
      <c r="B396" s="311"/>
      <c r="D396" s="2485"/>
      <c r="E396" s="3544" t="str">
        <f>TEXT(Data3!$C$197,"0%")&amp;" of aggregate basis (in the amount of "&amp;TEXT(Aggregate_Basis,"$#,##0")&amp;"):"</f>
        <v>30% of aggregate basis (in the amount of $0):</v>
      </c>
      <c r="F396" s="3544"/>
      <c r="G396" s="3544"/>
      <c r="H396" s="3544"/>
      <c r="I396" s="2486">
        <f>IF(OR(HFA_Total_Rqst&lt;&gt;"",N(HFA_Total_Rqst)&gt;0),"NA",ROUNDDOWN(Data3!$C$197*Aggregate_Basis,0))</f>
        <v>0</v>
      </c>
      <c r="J396" s="829"/>
      <c r="K396" s="9"/>
      <c r="L396" s="2570"/>
      <c r="M396" s="3204"/>
    </row>
    <row r="397" spans="1:16" ht="17.649999999999999" hidden="1" customHeight="1">
      <c r="B397" s="311"/>
      <c r="D397" s="238"/>
      <c r="E397" s="3544" t="s">
        <v>3277</v>
      </c>
      <c r="F397" s="3544"/>
      <c r="G397" s="3544"/>
      <c r="H397" s="3544"/>
      <c r="I397" s="2487">
        <f>IF(OR(HFA_Total_Rqst&lt;&gt;"",N(HFA_Total_Rqst)&gt;0),"NA",N(MMRB_Total_Perm_Amt))</f>
        <v>0</v>
      </c>
      <c r="J397" s="829"/>
      <c r="K397" s="9"/>
      <c r="L397" s="2570"/>
      <c r="M397" s="3204"/>
      <c r="N397" s="2506">
        <f>IF(IFERROR(VLOOKUP("New Construction",DS_DevCat_DDMenu,1,0),0)=0,0,1)</f>
        <v>0</v>
      </c>
      <c r="O397" s="829" t="s">
        <v>3303</v>
      </c>
    </row>
    <row r="398" spans="1:16" ht="17.649999999999999" customHeight="1">
      <c r="B398" s="311"/>
      <c r="D398" s="238"/>
      <c r="E398" s="3544" t="str">
        <f>"The greater of the two values above, up to "&amp;TEXT(Data3!$C$189,"$#,##0")&amp;":"</f>
        <v>The greater of the two values above, up to $75,000,000:</v>
      </c>
      <c r="F398" s="3544"/>
      <c r="G398" s="3544"/>
      <c r="H398" s="3544"/>
      <c r="I398" s="2494">
        <f>IF(OR(HFA_Total_Rqst&lt;&gt;"",N(HFA_Total_Rqst)&gt;0),"NA",MIN(Data3!$C$189,MAX(I396,MMRB_Total_Perm_Amt)))</f>
        <v>0</v>
      </c>
      <c r="J398" s="829"/>
      <c r="K398" s="9"/>
      <c r="L398" s="2570"/>
      <c r="M398" s="3204"/>
    </row>
    <row r="399" spans="1:16" ht="17.5" customHeight="1">
      <c r="B399" s="311"/>
      <c r="D399" s="238"/>
      <c r="J399" s="829"/>
      <c r="K399" s="9"/>
      <c r="L399" s="2570"/>
      <c r="M399" s="3204"/>
    </row>
    <row r="400" spans="1:16" ht="17.649999999999999" customHeight="1">
      <c r="B400" s="311"/>
      <c r="D400" s="2490" t="s">
        <v>3289</v>
      </c>
      <c r="E400" s="857" t="str">
        <f>IF(IFERROR(VLOOKUP("New Construction",DS_DevCat_DDMenu,1,0),0)=0,"The MMRB Request amount may not exceed "&amp;TEXT(Data3!$C$192,"0%")&amp;" of aggregate basis.",IF(Development_Category="&lt;select one&gt;","There is a request limit of either "&amp;TEXT(Data3!$C$190,"0%")&amp;" or "&amp;TEXT(Data3!$C$192,"0%")&amp;" of aggregate basis, depending on the Development Category.","For "&amp;IF(Development_Category="New Construction","new construction","rehabilitation")&amp;" developments, the MMRB request amount may not exceed "&amp;TEXT(IF(Development_Category="New Construction",Data3!$C$190,Data3!$C$192),"0%")&amp;" of aggregate basis."))</f>
        <v>The MMRB Request amount may not exceed 30% of aggregate basis.</v>
      </c>
      <c r="F400" s="857"/>
      <c r="G400" s="15"/>
      <c r="H400" s="15"/>
      <c r="I400" s="6"/>
      <c r="J400" s="829"/>
      <c r="K400" s="9"/>
      <c r="L400" s="2570"/>
      <c r="M400" s="3204"/>
    </row>
    <row r="401" spans="2:16" ht="17.649999999999999" customHeight="1">
      <c r="B401" s="311"/>
      <c r="C401" s="238"/>
      <c r="D401" s="15"/>
      <c r="E401" s="3544" t="str">
        <f>TEXT(IF(Development_Category="New Construction",Data3!$C$190,Data3!$C$192),"0%")&amp;" of aggregate basis (in the amount of "&amp;TEXT(Aggregate_Basis,"$#,##0")&amp;"):"</f>
        <v>30% of aggregate basis (in the amount of $0):</v>
      </c>
      <c r="F401" s="3544"/>
      <c r="G401" s="3544"/>
      <c r="H401" s="3544"/>
      <c r="I401" s="2486">
        <f>IF(OR(HFA_Total_Rqst&lt;&gt;"",N(HFA_Total_Rqst)&gt;0),"NA",ROUNDDOWN(IF(Development_Category="New Construction",Data3!$C$190,Data3!$C$192)*Aggregate_Basis,0))</f>
        <v>0</v>
      </c>
      <c r="J401" s="829"/>
      <c r="K401" s="9"/>
      <c r="L401" s="2570"/>
      <c r="M401" s="3204"/>
    </row>
    <row r="402" spans="2:16" ht="10.5" customHeight="1">
      <c r="B402" s="311"/>
      <c r="C402" s="238"/>
      <c r="D402" s="15"/>
      <c r="E402" s="857"/>
      <c r="F402" s="857"/>
      <c r="G402" s="15"/>
      <c r="H402" s="15"/>
      <c r="I402" s="6"/>
      <c r="J402" s="829"/>
      <c r="K402" s="9"/>
      <c r="L402" s="2570"/>
      <c r="M402" s="3204"/>
    </row>
    <row r="403" spans="2:16" ht="35.15" customHeight="1">
      <c r="B403" s="311"/>
      <c r="C403" s="779"/>
      <c r="D403" s="3532" t="str">
        <f>"The maximum Corporation-Issued Tax-Exempt MMRB request amount is the lesser of (i)(A) or (i)"&amp;$D$400&amp;":"</f>
        <v>The maximum Corporation-Issued Tax-Exempt MMRB request amount is the lesser of (i)(A) or (i)(B):</v>
      </c>
      <c r="E403" s="3532"/>
      <c r="F403" s="3532"/>
      <c r="G403" s="3532"/>
      <c r="H403" s="3532"/>
      <c r="I403" s="2486">
        <f>IF(OR(HFA_Total_Rqst&lt;&gt;"",N(HFA_Total_Rqst)&gt;0),"NA",MIN(I398,MMRB_Max_Basis_Limit))</f>
        <v>0</v>
      </c>
      <c r="J403" s="829"/>
      <c r="K403" s="9"/>
      <c r="L403" s="2570"/>
      <c r="M403" s="3204"/>
      <c r="P403" s="6"/>
    </row>
    <row r="404" spans="2:16" ht="10.5" customHeight="1">
      <c r="B404" s="311"/>
      <c r="C404" s="238"/>
      <c r="D404" s="15"/>
      <c r="E404" s="857"/>
      <c r="F404" s="857"/>
      <c r="G404" s="15"/>
      <c r="H404" s="15"/>
      <c r="I404" s="6"/>
      <c r="J404" s="829"/>
      <c r="K404" s="9"/>
      <c r="L404" s="2570"/>
      <c r="M404" s="3204"/>
    </row>
    <row r="405" spans="2:16" ht="17.5" customHeight="1">
      <c r="B405" s="311"/>
      <c r="C405" s="238"/>
      <c r="D405" s="2490" t="s">
        <v>3290</v>
      </c>
      <c r="E405" s="1177" t="s">
        <v>3291</v>
      </c>
      <c r="F405" s="437"/>
      <c r="G405" s="437"/>
      <c r="H405" s="437"/>
      <c r="I405" s="2491"/>
      <c r="J405" s="829"/>
      <c r="K405" s="9"/>
      <c r="L405" s="2570"/>
      <c r="M405" s="3204"/>
    </row>
    <row r="406" spans="2:16" ht="5.5" customHeight="1">
      <c r="B406" s="311"/>
      <c r="C406" s="238"/>
      <c r="D406" s="24"/>
      <c r="E406" s="24"/>
      <c r="F406" s="24"/>
      <c r="G406" s="24"/>
      <c r="H406" s="24"/>
      <c r="I406" s="24"/>
      <c r="J406" s="829"/>
      <c r="K406" s="9"/>
      <c r="L406" s="2570"/>
      <c r="M406" s="3204"/>
    </row>
    <row r="407" spans="2:16" ht="17.5" customHeight="1">
      <c r="B407" s="311"/>
      <c r="C407" s="238"/>
      <c r="D407" s="24"/>
      <c r="E407" s="2492" t="s">
        <v>3292</v>
      </c>
      <c r="F407" s="437"/>
      <c r="G407" s="437"/>
      <c r="H407" s="437"/>
      <c r="I407" s="2486">
        <f>IF(OR(HFA_Total_Rqst&lt;&gt;"",N(HFA_Total_Rqst)&gt;0),"NA",MAX(0,MIN(MMRB_Max_TE_Request_Limit,MMRB_TE_Request_Amount)))</f>
        <v>0</v>
      </c>
      <c r="J407" s="829"/>
      <c r="K407" s="9"/>
      <c r="L407" s="2570"/>
      <c r="M407" s="3204"/>
      <c r="P407" s="6" t="s">
        <v>3288</v>
      </c>
    </row>
    <row r="408" spans="2:16" ht="10.5" customHeight="1">
      <c r="B408" s="311"/>
      <c r="C408" s="238"/>
      <c r="D408" s="15"/>
      <c r="E408" s="857"/>
      <c r="F408" s="857"/>
      <c r="G408" s="15"/>
      <c r="H408" s="15"/>
      <c r="I408" s="6"/>
      <c r="J408" s="829"/>
      <c r="K408" s="9"/>
      <c r="L408" s="2570"/>
      <c r="M408" s="3204"/>
    </row>
    <row r="409" spans="2:16" ht="110.15" customHeight="1">
      <c r="B409" s="311"/>
      <c r="C409" s="238"/>
      <c r="D409" s="2900" t="str">
        <f>IF(MMRB_Max_TE_Request_Limit="NA","",IF(Eligible_MMRB_TE_Request_Amount&lt;MMRB_Total_Perm_Amt,"Because the Applicant’s Eligible Corporation‑Issued Tax-Exempt MMRB Request Amount is lower than the maximum permanent debt the development can support, a "&amp;TEXT(MMRB_Total_Perm_Amt-Eligible_MMRB_TE_Request_Amount,"$#,##0")&amp;" taxable tail must be included in both the permanent first mortgage and the construction first mortgage to reach the full funding need of "&amp;TEXT(MMRB_Total_Perm_Amt,"$#,##0")&amp;". If the Applicant does not want to include a taxable tail, they must either (1) reduce the permanent loan to no more than "&amp;TEXT(MMRB_Max_Basis_Limit,"$#,##0")&amp;", and/or (2) increase the Applicant's Eligible Corporation-Issued Tax-Exempt MMRB Request Amount as much as possible. "&amp;IF(N(MMRB_Max_TE_Request_Limit)&lt;N(MMRB_Total_Perm_Amt),"Even if the Applicant raises the Eligible Corporation‑Issued Tax-Exempt MMRB Request Amount to the full "&amp;TEXT(MMRB_Max_TE_Request_Limit,"$#,##0")&amp;", a taxable-tail would still be required.",""),IF(Eligible_MMRB_TE_Request_Amount=MMRB_Total_Perm_Amt,"The construction first mortgage MMRB loan and permanent first mortgage MMRB loan are the same amount of "&amp;TEXT(Eligible_MMRB_TE_Request_Amount,"$#,##0")&amp;" and are automatically transferred to the pro forma. They do not include a taxable-tail.","A construction first mortgage MMRB loan of "&amp;TEXT(Eligible_MMRB_TE_Request_Amount,"$#,##0")&amp;" and a permanent first mortgage MMRB loan of "&amp;TEXT(MMRB_Total_Perm_Amt,"$#,##0")&amp;" are automatically transferred to the pro forma. They do not include a taxable-tail.")))</f>
        <v>The construction first mortgage MMRB loan and permanent first mortgage MMRB loan are the same amount of $0 and are automatically transferred to the pro forma. They do not include a taxable-tail.</v>
      </c>
      <c r="E409" s="2900"/>
      <c r="F409" s="2900"/>
      <c r="G409" s="2900"/>
      <c r="H409" s="2900"/>
      <c r="I409" s="2900"/>
      <c r="J409" s="829"/>
      <c r="K409" s="9"/>
      <c r="L409" s="2570"/>
      <c r="M409" s="3204"/>
    </row>
    <row r="410" spans="2:16" ht="17.649999999999999" customHeight="1">
      <c r="B410" s="2489"/>
      <c r="C410" s="2490" t="s">
        <v>889</v>
      </c>
      <c r="D410" s="3533" t="s">
        <v>3293</v>
      </c>
      <c r="E410" s="3533"/>
      <c r="F410" s="3533"/>
      <c r="G410" s="3533"/>
      <c r="H410" s="1508"/>
      <c r="I410" s="1508"/>
      <c r="L410" s="2570"/>
      <c r="M410" s="3204"/>
    </row>
    <row r="411" spans="2:16" ht="10.5" customHeight="1">
      <c r="B411" s="311"/>
      <c r="C411" s="238"/>
      <c r="J411" s="829"/>
      <c r="K411" s="9"/>
      <c r="L411" s="2570"/>
      <c r="M411" s="3204"/>
    </row>
    <row r="412" spans="2:16" ht="65.150000000000006" customHeight="1">
      <c r="B412" s="311"/>
      <c r="C412" s="238"/>
      <c r="D412" s="2900" t="str">
        <f>_xlfn._LONGTEXT("The need for a taxable-tail arises when the amount of the scheduled first mortgage debt for either the construction or permanent phase exceeds the Applicant's Eligible Corporation-Issued Tax-Exempt MMRB Request Amount. With the maximum permanent supportab","le debt on the development being ")&amp;IF(N(MMRB_Total_Perm_Amt)-N(Eligible_MMRB_TE_Request_Amount)&gt;0,TEXT(N(MMRB_Total_Perm_Amt)-N(Eligible_MMRB_TE_Request_Amount),"$#,##0")&amp;" in excess of the Applicant's Eligible Corporation-Issued Tax-Exempt MMRB Request Amount, there is a need for a taxable-tail MMRB request amount.",IF(N(MMRB_Total_Perm_Amt)-N(Eligible_MMRB_TE_Request_Amount)=0,"equal to","less than")&amp;" the Applicant's Eligible Corporation-Issued Tax-Exempt MMRB Request Amount, there is no need for a taxable-tail MMRB request amount.")</f>
        <v>The need for a taxable-tail arises when the amount of the scheduled first mortgage debt for either the construction or permanent phase exceeds the Applicant's Eligible Corporation-Issued Tax-Exempt MMRB Request Amount. With the maximum permanent supportable debt on the development being equal to the Applicant's Eligible Corporation-Issued Tax-Exempt MMRB Request Amount, there is no need for a taxable-tail MMRB request amount.</v>
      </c>
      <c r="E412" s="2900"/>
      <c r="F412" s="2900"/>
      <c r="G412" s="2900"/>
      <c r="H412" s="2900"/>
      <c r="I412" s="2900"/>
      <c r="J412" s="829"/>
      <c r="K412" s="9"/>
      <c r="L412" s="2570"/>
      <c r="M412" s="3204"/>
    </row>
    <row r="413" spans="2:16" ht="10.5" customHeight="1">
      <c r="B413" s="311"/>
      <c r="C413" s="238"/>
      <c r="D413" s="15"/>
      <c r="E413" s="857"/>
      <c r="F413" s="857"/>
      <c r="G413" s="15"/>
      <c r="H413" s="15"/>
      <c r="I413" s="6"/>
      <c r="J413" s="829"/>
      <c r="K413" s="9"/>
      <c r="L413" s="2570"/>
      <c r="M413" s="3204"/>
    </row>
    <row r="414" spans="2:16" ht="35.15" customHeight="1">
      <c r="B414" s="311"/>
      <c r="C414" s="238"/>
      <c r="D414" s="2888" t="str">
        <f>IF(Eligible_MMRB_TE_Request_Amount&lt;MMRB_Total_Perm_Amt,"Minimum amount of a taxable-tail MMRB to be included in both the total Permanent and total Construction bond financing amounts","There is no minimum taxable-tail MMRB required to align first mortgage funding sources and the Eligible Corporation-issued MMRB request amount")&amp;":"</f>
        <v>There is no minimum taxable-tail MMRB required to align first mortgage funding sources and the Eligible Corporation-issued MMRB request amount:</v>
      </c>
      <c r="E414" s="2888"/>
      <c r="F414" s="2888"/>
      <c r="G414" s="2888"/>
      <c r="H414" s="2888"/>
      <c r="I414" s="2486">
        <f>IF(OR(HFA_Total_Rqst&lt;&gt;"",N(HFA_Total_Rqst)&gt;0),"NA",IF(Eligible_MMRB_TE_Request_Amount&lt;MMRB_Total_Perm_Amt,MMRB_Total_Perm_Amt-Eligible_MMRB_TE_Request_Amount,0))</f>
        <v>0</v>
      </c>
      <c r="J414" s="829"/>
      <c r="K414" s="9"/>
      <c r="L414" s="2570"/>
      <c r="M414" s="3204"/>
    </row>
    <row r="415" spans="2:16" ht="10.5" customHeight="1">
      <c r="B415" s="311"/>
      <c r="C415" s="238"/>
      <c r="D415" s="15"/>
      <c r="E415" s="857"/>
      <c r="F415" s="857"/>
      <c r="G415" s="15"/>
      <c r="H415" s="15"/>
      <c r="I415" s="6"/>
      <c r="J415" s="829"/>
      <c r="K415" s="9"/>
      <c r="L415" s="2570"/>
      <c r="M415" s="3204"/>
    </row>
    <row r="416" spans="2:16" ht="17.649999999999999" customHeight="1">
      <c r="B416" s="311"/>
      <c r="C416" s="238"/>
      <c r="D416" s="1177" t="s">
        <v>3294</v>
      </c>
      <c r="E416" s="437"/>
      <c r="F416" s="437"/>
      <c r="G416" s="437"/>
      <c r="H416" s="437"/>
      <c r="I416" s="2491"/>
      <c r="J416" s="829"/>
      <c r="K416" s="9"/>
      <c r="L416" s="2570"/>
      <c r="M416" s="3204"/>
    </row>
    <row r="417" spans="2:16" ht="5.5" customHeight="1">
      <c r="B417" s="311"/>
      <c r="C417" s="238"/>
      <c r="D417" s="1508"/>
      <c r="E417" s="1508"/>
      <c r="F417" s="1508"/>
      <c r="G417" s="1508"/>
      <c r="H417" s="1508"/>
      <c r="I417" s="1508"/>
      <c r="J417" s="829"/>
      <c r="K417" s="9"/>
      <c r="L417" s="2570"/>
      <c r="M417" s="3204"/>
    </row>
    <row r="418" spans="2:16" ht="17.649999999999999" customHeight="1">
      <c r="B418" s="311"/>
      <c r="C418" s="238"/>
      <c r="D418" s="1508"/>
      <c r="E418" s="1177" t="s">
        <v>3295</v>
      </c>
      <c r="F418" s="437"/>
      <c r="G418" s="437"/>
      <c r="H418" s="437"/>
      <c r="I418" s="2486">
        <f>IF(OR(HFA_Total_Rqst&lt;&gt;"",N(HFA_Total_Rqst)&gt;0),"NA",MAX(MMRB_Min_TT_Request_Limit,MMRB_TT_Request_Amount))</f>
        <v>0</v>
      </c>
      <c r="J418" s="829"/>
      <c r="K418" s="9"/>
      <c r="L418" s="2570"/>
      <c r="M418" s="3204"/>
    </row>
    <row r="419" spans="2:16" ht="10.5" customHeight="1">
      <c r="B419" s="311"/>
      <c r="C419" s="238"/>
      <c r="D419" s="15"/>
      <c r="E419" s="857"/>
      <c r="F419" s="857"/>
      <c r="G419" s="15"/>
      <c r="H419" s="15"/>
      <c r="I419" s="6"/>
      <c r="J419" s="829"/>
      <c r="K419" s="9"/>
      <c r="L419" s="2570"/>
      <c r="M419" s="3204"/>
    </row>
    <row r="420" spans="2:16" ht="35.15" customHeight="1">
      <c r="B420" s="311"/>
      <c r="C420" s="238"/>
      <c r="D420" s="2888" t="s">
        <v>3296</v>
      </c>
      <c r="E420" s="2888"/>
      <c r="F420" s="2888"/>
      <c r="G420" s="2888"/>
      <c r="H420" s="2888"/>
      <c r="I420" s="2486">
        <f>IF(OR(HFA_Total_Rqst&lt;&gt;"",N(HFA_Total_Rqst)&gt;0),"NA",Eligible_MMRB_TE_Request_Amount+Eligible_MMRB_TT_Request_Amount)</f>
        <v>0</v>
      </c>
      <c r="J420" s="829"/>
      <c r="K420" s="9"/>
      <c r="L420" s="2570"/>
      <c r="M420" s="3204"/>
      <c r="P420" s="6" t="s">
        <v>3280</v>
      </c>
    </row>
    <row r="421" spans="2:16" ht="10.5" customHeight="1">
      <c r="B421" s="311"/>
      <c r="C421" s="238"/>
      <c r="D421" s="15"/>
      <c r="E421" s="857"/>
      <c r="F421" s="857"/>
      <c r="G421" s="15"/>
      <c r="H421" s="15"/>
      <c r="I421" s="6"/>
      <c r="J421" s="829"/>
      <c r="K421" s="9"/>
      <c r="L421" s="2570"/>
      <c r="M421" s="3204"/>
    </row>
    <row r="422" spans="2:16" ht="17.649999999999999" hidden="1" customHeight="1">
      <c r="B422" s="311"/>
      <c r="C422" s="2490" t="s">
        <v>891</v>
      </c>
      <c r="D422" s="3533" t="s">
        <v>3297</v>
      </c>
      <c r="E422" s="3533"/>
      <c r="F422" s="3533"/>
      <c r="G422" s="3533"/>
      <c r="H422" s="3533"/>
      <c r="I422" s="3533"/>
      <c r="J422" s="829"/>
      <c r="K422" s="9"/>
      <c r="L422" s="2570"/>
      <c r="M422" s="3204"/>
      <c r="N422" s="3541">
        <v>0</v>
      </c>
    </row>
    <row r="423" spans="2:16" ht="10.5" hidden="1" customHeight="1">
      <c r="B423" s="311"/>
      <c r="C423" s="238"/>
      <c r="D423" s="15"/>
      <c r="E423" s="857"/>
      <c r="F423" s="857"/>
      <c r="G423" s="15"/>
      <c r="H423" s="15"/>
      <c r="I423" s="6"/>
      <c r="J423" s="829"/>
      <c r="K423" s="9"/>
      <c r="L423" s="2570"/>
      <c r="M423" s="3204"/>
      <c r="N423" s="3542"/>
    </row>
    <row r="424" spans="2:16" ht="65.150000000000006" hidden="1" customHeight="1">
      <c r="B424" s="311"/>
      <c r="C424" s="238"/>
      <c r="D424" s="15"/>
      <c r="E424" s="2579" t="str">
        <f>IF(OR(Development_Category="Rehabilitation",Development_Category="Acquisition and Rehabilitation"),"The Applicant automatically qualifies for the Funding Preference with its selected Development Category. ","")&amp;IF(N(HFA_Total_Rqst)&gt;0,"The Applicant automatically qualifies for the Funding Preference because it is not requesting Corporation-issued MMRB. ","")&amp;IF(AND(Development_Category="New Construction",N(MMRB_Max_TE_Request_Limit)&gt;0,N('Pro Forma'!$L$455)&lt;=40%),"The Applicant qualifies for the Funding Preference with the New Construction Development Category selected and an MMRB request amount that does not Exceed 40% of aggregate basis. The MMRB request amount is "&amp;TEXT(N('Pro Forma'!$L$455),"0.00%")&amp;" of aggregate basis.",IF(AND(Development_Category="New Construction",N(MMRB_Max_TE_Request_Limit)&gt;0,N('Pro Forma'!$L$455)&gt;40%),"The Applicant does NOT qualify for the Funding Preference with the New Construction Development Category selected and an MMRB request amount that exceeds 40% of aggregate basis. The MMRB request amount is "&amp;TEXT(N('Pro Forma'!$L$455),"0.00%")&amp;" of aggregate basis.",IF(OR(Development_Category="&lt;select one&gt;",AND(N(HFA_Total_Rqst)=0,N(MMRB_Max_TE_Request_Limit)=0)),"To be determined.","")))</f>
        <v>To be determined.</v>
      </c>
      <c r="F424" s="2579"/>
      <c r="G424" s="2579"/>
      <c r="H424" s="2579"/>
      <c r="I424" s="2493" t="str">
        <f>IF(OR(Development_Category="Rehabilitation",Development_Category="Acquisition and Rehabilitation",N(HFA_Total_Rqst)&gt;0,AND(Development_Category="New Construction",N(MMRB_Max_TE_Request_Limit)&gt;0,N('Pro Forma'!$L$455)&lt;=40%)),"Yes",IF(AND(Development_Category="New Construction",N(MMRB_Max_TE_Request_Limit)&gt;0,N('Pro Forma'!$L$455)&gt;40%),"No","TBD"))</f>
        <v>TBD</v>
      </c>
      <c r="J424" s="829"/>
      <c r="K424" s="9"/>
      <c r="L424" s="2570"/>
      <c r="M424" s="3204"/>
      <c r="N424" s="3542"/>
      <c r="P424" s="799"/>
    </row>
    <row r="425" spans="2:16" ht="10.5" hidden="1" customHeight="1">
      <c r="E425" s="31"/>
      <c r="F425" s="31"/>
      <c r="J425" s="829"/>
      <c r="K425" s="829"/>
      <c r="L425" s="2570"/>
      <c r="M425" s="3204"/>
      <c r="N425" s="3543"/>
    </row>
    <row r="426" spans="2:16" ht="14.65" customHeight="1">
      <c r="C426" s="25" t="s">
        <v>862</v>
      </c>
      <c r="D426" s="25" t="s">
        <v>3279</v>
      </c>
      <c r="J426" s="829"/>
      <c r="K426" s="829"/>
      <c r="L426" s="2570"/>
      <c r="M426" s="3204"/>
      <c r="N426" s="3541">
        <v>1</v>
      </c>
    </row>
    <row r="427" spans="2:16" ht="35.15" customHeight="1">
      <c r="C427" s="50"/>
      <c r="D427" s="2579" t="s">
        <v>3298</v>
      </c>
      <c r="E427" s="2579"/>
      <c r="F427" s="2579"/>
      <c r="G427" s="2579"/>
      <c r="H427" s="2579"/>
      <c r="I427" s="1950"/>
      <c r="J427" s="829"/>
      <c r="K427" s="829"/>
      <c r="L427" s="2570"/>
      <c r="M427" s="3204"/>
      <c r="N427" s="3542"/>
      <c r="P427" s="265"/>
    </row>
    <row r="428" spans="2:16" ht="14.65" customHeight="1">
      <c r="C428" s="50"/>
      <c r="D428" s="3540" t="str">
        <f>IF(AND(N(HFA_Total_Rqst)&gt;0,N(MMRB_Total_Perm_Amt)&gt;0,N(HFA_Total_Rqst)&lt;N(MMRB_Total_Perm_Amt)),"The Non-Corporation-Issued Tax-Exempt Bond request amount for the construction phase is less than the permanent phase.","")</f>
        <v/>
      </c>
      <c r="E428" s="3540"/>
      <c r="F428" s="3540"/>
      <c r="G428" s="3540"/>
      <c r="H428" s="3540"/>
      <c r="I428" s="3540"/>
      <c r="K428" s="829"/>
      <c r="L428" s="2570"/>
      <c r="M428" s="3204"/>
      <c r="N428" s="3542"/>
    </row>
    <row r="429" spans="2:16" ht="35.15" customHeight="1">
      <c r="D429" s="2544" t="s">
        <v>2589</v>
      </c>
      <c r="E429" s="2544"/>
      <c r="F429" s="2544"/>
      <c r="G429" s="2544"/>
      <c r="H429" s="2544"/>
      <c r="I429" s="2544"/>
      <c r="J429" s="829"/>
      <c r="K429" s="829"/>
      <c r="L429" s="2570"/>
      <c r="M429" s="3204"/>
      <c r="N429" s="3542"/>
    </row>
    <row r="430" spans="2:16" ht="10.5" customHeight="1">
      <c r="D430" s="846"/>
      <c r="E430" s="846"/>
      <c r="F430" s="846"/>
      <c r="G430" s="846"/>
      <c r="H430" s="846"/>
      <c r="I430" s="846"/>
      <c r="J430" s="829"/>
      <c r="K430" s="829"/>
      <c r="L430" s="2670"/>
      <c r="M430" s="2048"/>
      <c r="N430" s="3543"/>
    </row>
    <row r="431" spans="2:16">
      <c r="B431" s="311">
        <f>IF($L$431=0,"...",MAX(B$4:B429)+1)</f>
        <v>4</v>
      </c>
      <c r="C431" s="2597" t="s">
        <v>1178</v>
      </c>
      <c r="D431" s="2597"/>
      <c r="E431" s="2597"/>
      <c r="F431" s="2597"/>
      <c r="G431" s="2597"/>
      <c r="H431" s="2597"/>
      <c r="I431" s="2597"/>
      <c r="J431" s="829"/>
      <c r="K431" s="829"/>
      <c r="L431" s="2658">
        <v>1</v>
      </c>
    </row>
    <row r="432" spans="2:16" ht="10.5" customHeight="1">
      <c r="B432" s="80"/>
      <c r="C432" s="17"/>
      <c r="D432" s="17"/>
      <c r="E432" s="17"/>
      <c r="F432" s="17"/>
      <c r="G432" s="17"/>
      <c r="H432" s="17"/>
      <c r="I432" s="17"/>
      <c r="J432" s="829"/>
      <c r="K432" s="829"/>
      <c r="L432" s="2659"/>
    </row>
    <row r="433" spans="1:17" ht="14.65" customHeight="1">
      <c r="C433" s="88" t="str">
        <f>IF($L$438=0,"",IF($L$431=0,"","(a)"))</f>
        <v/>
      </c>
      <c r="D433" s="2544" t="s">
        <v>1179</v>
      </c>
      <c r="E433" s="2544"/>
      <c r="F433" s="2544"/>
      <c r="G433" s="2544"/>
      <c r="H433" s="2544"/>
      <c r="I433" s="2544"/>
      <c r="J433" s="829"/>
      <c r="K433" s="829"/>
      <c r="L433" s="2659"/>
    </row>
    <row r="434" spans="1:17" ht="10.5" customHeight="1">
      <c r="E434" s="31"/>
      <c r="F434" s="31"/>
      <c r="J434" s="829"/>
      <c r="K434" s="829"/>
      <c r="L434" s="2659"/>
    </row>
    <row r="435" spans="1:17" ht="17.649999999999999" customHeight="1">
      <c r="E435" s="857" t="s">
        <v>1180</v>
      </c>
      <c r="F435" s="857"/>
      <c r="G435" s="904"/>
      <c r="H435" s="33"/>
      <c r="J435" s="263"/>
      <c r="K435" s="263"/>
      <c r="L435" s="2659"/>
    </row>
    <row r="436" spans="1:17" ht="17.649999999999999" customHeight="1">
      <c r="E436" s="857" t="s">
        <v>1181</v>
      </c>
      <c r="F436" s="857"/>
      <c r="G436" s="55"/>
      <c r="H436" s="34"/>
      <c r="J436" s="829"/>
      <c r="K436" s="829"/>
      <c r="L436" s="2659"/>
    </row>
    <row r="437" spans="1:17" ht="10.5" customHeight="1">
      <c r="E437" s="31"/>
      <c r="F437" s="31"/>
      <c r="J437" s="829"/>
      <c r="K437" s="829"/>
      <c r="L437" s="2571"/>
    </row>
    <row r="438" spans="1:17" ht="30" hidden="1" customHeight="1">
      <c r="C438" s="88" t="str">
        <f>IF(L438=0,"","(b)")</f>
        <v/>
      </c>
      <c r="D438" s="2544" t="s">
        <v>1182</v>
      </c>
      <c r="E438" s="2544"/>
      <c r="F438" s="2544"/>
      <c r="G438" s="2544"/>
      <c r="H438" s="2544"/>
      <c r="I438" s="2544"/>
      <c r="J438" s="846"/>
      <c r="K438" s="846"/>
      <c r="L438" s="3440">
        <v>0</v>
      </c>
    </row>
    <row r="439" spans="1:17" ht="10.5" hidden="1" customHeight="1">
      <c r="E439" s="31"/>
      <c r="F439" s="31"/>
      <c r="J439" s="829"/>
      <c r="K439" s="829"/>
      <c r="L439" s="3441"/>
    </row>
    <row r="440" spans="1:17" ht="15.75" hidden="1" customHeight="1">
      <c r="E440" s="3547" t="s">
        <v>1183</v>
      </c>
      <c r="F440" s="3548"/>
      <c r="G440" s="35" t="s">
        <v>1184</v>
      </c>
      <c r="H440" s="35" t="s">
        <v>1185</v>
      </c>
      <c r="J440" s="263"/>
      <c r="K440" s="263"/>
      <c r="L440" s="3441"/>
    </row>
    <row r="441" spans="1:17" ht="17.649999999999999" hidden="1" customHeight="1">
      <c r="E441" s="3527" t="s">
        <v>119</v>
      </c>
      <c r="F441" s="3528"/>
      <c r="G441" s="46"/>
      <c r="H441" s="56"/>
      <c r="J441" s="829"/>
      <c r="K441" s="829"/>
      <c r="L441" s="3441"/>
      <c r="M441" s="2192">
        <v>1</v>
      </c>
    </row>
    <row r="442" spans="1:17" ht="17.649999999999999" hidden="1" customHeight="1">
      <c r="E442" s="3527" t="s">
        <v>1186</v>
      </c>
      <c r="F442" s="3528"/>
      <c r="G442" s="46"/>
      <c r="H442" s="56"/>
      <c r="J442" s="829"/>
      <c r="K442" s="829"/>
      <c r="L442" s="3441"/>
      <c r="M442" s="2192">
        <v>1</v>
      </c>
    </row>
    <row r="443" spans="1:17" ht="17.649999999999999" hidden="1" customHeight="1">
      <c r="E443" s="3527" t="s">
        <v>1187</v>
      </c>
      <c r="F443" s="3528"/>
      <c r="G443" s="46"/>
      <c r="H443" s="56"/>
      <c r="J443" s="829"/>
      <c r="K443" s="829"/>
      <c r="L443" s="3441"/>
      <c r="M443" s="2192">
        <v>1</v>
      </c>
    </row>
    <row r="444" spans="1:17" ht="17.649999999999999" hidden="1" customHeight="1">
      <c r="E444" s="3527" t="s">
        <v>111</v>
      </c>
      <c r="F444" s="3528"/>
      <c r="G444" s="46"/>
      <c r="H444" s="56"/>
      <c r="J444" s="829"/>
      <c r="K444" s="829"/>
      <c r="L444" s="3441"/>
      <c r="M444" s="2192">
        <v>1</v>
      </c>
    </row>
    <row r="445" spans="1:17" ht="10.5" hidden="1" customHeight="1">
      <c r="E445" s="32"/>
      <c r="F445" s="32"/>
      <c r="G445" s="31"/>
      <c r="H445" s="31"/>
      <c r="J445" s="829"/>
      <c r="K445" s="829"/>
      <c r="L445" s="3441"/>
    </row>
    <row r="446" spans="1:17" ht="14.65" customHeight="1">
      <c r="A446" s="93" t="str" cm="1">
        <f t="array" ref="A446">CHAR(CODE(LOOKUP(2,1/(COUNTIF(A$3:A445,"&gt;"&amp;A$3:A445&amp;"*")=0),A$3:A445))+1)</f>
        <v>b</v>
      </c>
      <c r="B446" s="2548" t="s">
        <v>1188</v>
      </c>
      <c r="C446" s="2548"/>
      <c r="D446" s="2548"/>
      <c r="E446" s="2548"/>
      <c r="F446" s="2548"/>
      <c r="G446" s="2548"/>
      <c r="H446" s="2548"/>
      <c r="I446" s="2548"/>
      <c r="J446" s="829"/>
      <c r="K446" s="829"/>
      <c r="L446" s="2702" t="s">
        <v>2737</v>
      </c>
      <c r="M446" s="2703"/>
      <c r="N446" s="2704"/>
    </row>
    <row r="447" spans="1:17" ht="10.5" customHeight="1">
      <c r="A447" s="93"/>
      <c r="B447" s="21"/>
      <c r="C447" s="21"/>
      <c r="D447" s="21"/>
      <c r="E447" s="21"/>
      <c r="F447" s="21"/>
      <c r="G447" s="21"/>
      <c r="H447" s="21"/>
      <c r="I447" s="21"/>
      <c r="J447" s="829"/>
      <c r="K447" s="829"/>
      <c r="L447" s="3218">
        <v>1</v>
      </c>
    </row>
    <row r="448" spans="1:17" ht="44.25" customHeight="1">
      <c r="B448" s="91">
        <f>IF($L$447=0,"...",1)</f>
        <v>1</v>
      </c>
      <c r="C448" s="2544" t="s">
        <v>3187</v>
      </c>
      <c r="D448" s="2544"/>
      <c r="E448" s="2544"/>
      <c r="F448" s="2544"/>
      <c r="G448" s="2544"/>
      <c r="H448" s="2544"/>
      <c r="I448" s="2544"/>
      <c r="J448" s="846"/>
      <c r="K448" s="846"/>
      <c r="L448" s="3218"/>
      <c r="Q448" s="829"/>
    </row>
    <row r="449" spans="2:16" ht="17.649999999999999" hidden="1" customHeight="1">
      <c r="B449" s="91"/>
      <c r="C449" s="1789" t="str">
        <f>IF(Data1!$B833=TRUE,"Yes","No")</f>
        <v>No</v>
      </c>
      <c r="D449" s="36"/>
      <c r="E449" s="2597" t="s">
        <v>2265</v>
      </c>
      <c r="F449" s="2597"/>
      <c r="G449" s="2597"/>
      <c r="H449" s="31"/>
      <c r="J449" s="846"/>
      <c r="K449" s="846"/>
      <c r="L449" s="3218"/>
      <c r="M449" s="2192">
        <v>0</v>
      </c>
    </row>
    <row r="450" spans="2:16" ht="17.649999999999999" customHeight="1">
      <c r="C450" s="1789" t="str">
        <f>IF(Data1!$B834=TRUE,"Yes","No")</f>
        <v>No</v>
      </c>
      <c r="D450" s="36"/>
      <c r="E450" s="2597" t="s">
        <v>245</v>
      </c>
      <c r="F450" s="2597"/>
      <c r="G450" s="2597"/>
      <c r="H450" s="31"/>
      <c r="J450" s="846"/>
      <c r="K450" s="654"/>
      <c r="L450" s="3218"/>
      <c r="M450" s="2192">
        <v>1</v>
      </c>
    </row>
    <row r="451" spans="2:16" ht="17.649999999999999" customHeight="1">
      <c r="C451" s="1789" t="str">
        <f>IF(Data1!$B835=TRUE,"Yes","No")</f>
        <v>No</v>
      </c>
      <c r="D451" s="36"/>
      <c r="E451" s="2597" t="s">
        <v>565</v>
      </c>
      <c r="F451" s="2597"/>
      <c r="G451" s="2597"/>
      <c r="H451" s="31"/>
      <c r="J451" s="846"/>
      <c r="K451" s="654"/>
      <c r="L451" s="3218"/>
      <c r="M451" s="2192">
        <v>1</v>
      </c>
    </row>
    <row r="452" spans="2:16" ht="10.5" customHeight="1">
      <c r="E452" s="32"/>
      <c r="F452" s="32"/>
      <c r="G452" s="31"/>
      <c r="H452" s="31"/>
      <c r="J452" s="829"/>
      <c r="K452" s="829"/>
      <c r="L452" s="3441"/>
    </row>
    <row r="453" spans="2:16" ht="14.65" customHeight="1">
      <c r="B453" s="91">
        <f>IF(B448="","...",MAX(B$448:B452)+1)</f>
        <v>2</v>
      </c>
      <c r="C453" s="2608" t="s">
        <v>1189</v>
      </c>
      <c r="D453" s="2608"/>
      <c r="E453" s="2608"/>
      <c r="F453" s="2608"/>
      <c r="G453" s="2608"/>
      <c r="H453" s="2608"/>
      <c r="I453" s="2608"/>
      <c r="J453" s="829"/>
      <c r="K453" s="829"/>
      <c r="L453" s="2663" t="s">
        <v>2737</v>
      </c>
      <c r="M453" s="2664"/>
    </row>
    <row r="454" spans="2:16" ht="10.5" customHeight="1">
      <c r="B454" s="91"/>
      <c r="C454" s="17"/>
      <c r="D454" s="17"/>
      <c r="E454" s="17"/>
      <c r="F454" s="17"/>
      <c r="G454" s="17"/>
      <c r="H454" s="17"/>
      <c r="I454" s="17"/>
      <c r="J454" s="829"/>
      <c r="K454" s="829"/>
      <c r="L454" s="3452"/>
      <c r="M454" s="3453"/>
    </row>
    <row r="455" spans="2:16" ht="14.65" customHeight="1">
      <c r="C455" s="2579" t="s">
        <v>3188</v>
      </c>
      <c r="D455" s="2579"/>
      <c r="E455" s="2579"/>
      <c r="F455" s="2579"/>
      <c r="G455" s="2579"/>
      <c r="H455" s="2579"/>
      <c r="I455" s="2579"/>
      <c r="J455" s="846"/>
      <c r="K455" s="846"/>
      <c r="L455" s="3452"/>
      <c r="M455" s="3453"/>
    </row>
    <row r="456" spans="2:16" ht="10.5" customHeight="1">
      <c r="E456" s="32"/>
      <c r="F456" s="32"/>
      <c r="G456" s="31"/>
      <c r="H456" s="31"/>
      <c r="I456" s="1"/>
      <c r="J456" s="829"/>
      <c r="K456" s="829"/>
      <c r="L456" s="3475"/>
      <c r="M456" s="2666"/>
    </row>
    <row r="457" spans="2:16" ht="14.65" customHeight="1">
      <c r="C457" s="2579" t="s">
        <v>3189</v>
      </c>
      <c r="D457" s="2579"/>
      <c r="E457" s="2579"/>
      <c r="F457" s="2579"/>
      <c r="G457" s="2579"/>
      <c r="H457" s="2579"/>
      <c r="I457" s="2579"/>
      <c r="J457" s="829"/>
      <c r="K457" s="829"/>
      <c r="L457" s="2570">
        <v>1</v>
      </c>
      <c r="P457" t="s">
        <v>3190</v>
      </c>
    </row>
    <row r="458" spans="2:16" ht="14.65" customHeight="1">
      <c r="C458" s="2579"/>
      <c r="D458" s="2579"/>
      <c r="E458" s="2579"/>
      <c r="F458" s="2579"/>
      <c r="G458" s="2579"/>
      <c r="H458" s="2579"/>
      <c r="I458" s="2579"/>
      <c r="J458" s="829"/>
      <c r="K458" s="829"/>
      <c r="L458" s="2570"/>
    </row>
    <row r="459" spans="2:16" ht="10.5" customHeight="1">
      <c r="C459" s="846"/>
      <c r="D459" s="846"/>
      <c r="E459" s="846"/>
      <c r="F459" s="846"/>
      <c r="G459" s="846"/>
      <c r="H459" s="846"/>
      <c r="I459" s="846"/>
      <c r="J459" s="829"/>
      <c r="K459" s="829"/>
      <c r="L459" s="2571"/>
    </row>
    <row r="460" spans="2:16" ht="14.65" hidden="1" customHeight="1">
      <c r="C460" t="s">
        <v>1190</v>
      </c>
      <c r="E460" s="32"/>
      <c r="F460" s="32"/>
      <c r="G460" s="31"/>
      <c r="H460" s="31"/>
      <c r="I460" s="1"/>
      <c r="J460" s="829"/>
      <c r="K460" s="829"/>
      <c r="L460" s="3473">
        <f>'General Information'!K73</f>
        <v>0</v>
      </c>
      <c r="P460" s="2207" t="s">
        <v>2858</v>
      </c>
    </row>
    <row r="461" spans="2:16" ht="10.5" hidden="1" customHeight="1">
      <c r="E461" s="32"/>
      <c r="F461" s="32"/>
      <c r="G461" s="31"/>
      <c r="H461" s="31"/>
      <c r="I461" s="1"/>
      <c r="J461" s="829"/>
      <c r="K461" s="829"/>
      <c r="L461" s="3474"/>
    </row>
    <row r="462" spans="2:16" ht="14.65" hidden="1" customHeight="1">
      <c r="D462" t="s">
        <v>1191</v>
      </c>
      <c r="I462" s="811" t="str">
        <f>IF(Self_Sourced_Applicant="Yes","Yes",IF(Self_Sourced_Applicant="No","No","NA"))</f>
        <v>NA</v>
      </c>
      <c r="J462" s="829"/>
      <c r="K462" s="829"/>
      <c r="L462" s="3474"/>
    </row>
    <row r="463" spans="2:16" ht="10.5" hidden="1" customHeight="1">
      <c r="E463" s="32"/>
      <c r="F463" s="32"/>
      <c r="G463" s="31"/>
      <c r="H463" s="31"/>
      <c r="I463" s="1"/>
      <c r="J463" s="829"/>
      <c r="K463" s="829"/>
      <c r="L463" s="3474"/>
    </row>
    <row r="464" spans="2:16" ht="30" hidden="1" customHeight="1">
      <c r="D464" s="2544" t="s">
        <v>1192</v>
      </c>
      <c r="E464" s="2544"/>
      <c r="F464" s="2544"/>
      <c r="G464" s="2544"/>
      <c r="H464" s="2544"/>
      <c r="I464" s="2544"/>
      <c r="J464" s="829"/>
      <c r="K464" s="829"/>
      <c r="L464" s="3474"/>
    </row>
    <row r="465" spans="1:15" ht="15.75" hidden="1" customHeight="1">
      <c r="E465" s="2544"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65" s="2544"/>
      <c r="G465" s="2544"/>
      <c r="H465" s="2544"/>
      <c r="I465" s="905" t="str">
        <f>IF(I$462&lt;&gt;"Yes","",ROUNDUP(MAX(1000000,50%*N(Eligible_SAIL_Request_Amount)),2))</f>
        <v/>
      </c>
      <c r="J465" s="829"/>
      <c r="K465" s="829"/>
      <c r="L465" s="3474"/>
      <c r="M465" s="2192">
        <v>1</v>
      </c>
    </row>
    <row r="466" spans="1:15" ht="15.75" hidden="1" customHeight="1">
      <c r="E466" s="2544" t="str">
        <f>IF(Self_Sourced_Applicant&lt;&gt;"Yes","are no additional points available to be awarded.",CHAR(149)&amp;" What is the minimum contribution required to meet the 75% hurdle? (1 point)")</f>
        <v>are no additional points available to be awarded.</v>
      </c>
      <c r="F466" s="2544"/>
      <c r="G466" s="2544"/>
      <c r="H466" s="2544"/>
      <c r="I466" s="905" t="str">
        <f>IF(I$462&lt;&gt;"Yes","",ROUNDUP(MAX(1000000,75%*N(Eligible_SAIL_Request_Amount)),2))</f>
        <v/>
      </c>
      <c r="J466" s="829"/>
      <c r="K466" s="829"/>
      <c r="L466" s="3474"/>
      <c r="M466" s="2192">
        <v>1</v>
      </c>
    </row>
    <row r="467" spans="1:15" ht="15.75" hidden="1" customHeight="1">
      <c r="E467" s="2544" t="str">
        <f>IF(Self_Sourced_Applicant&lt;&gt;"Yes","",CHAR(149)&amp;" What is the minimum contribution required to meet the 100% hurdle? (2 points)")</f>
        <v/>
      </c>
      <c r="F467" s="2544"/>
      <c r="G467" s="2544"/>
      <c r="H467" s="2544"/>
      <c r="I467" s="905" t="str">
        <f>IF(I$462&lt;&gt;"Yes","",ROUNDUP(MAX(1000000,100%*N(Eligible_SAIL_Request_Amount)),2))</f>
        <v/>
      </c>
      <c r="J467" s="829"/>
      <c r="K467" s="829"/>
      <c r="L467" s="3474"/>
      <c r="M467" s="2192">
        <v>0</v>
      </c>
    </row>
    <row r="468" spans="1:15" ht="14.65" hidden="1" customHeight="1">
      <c r="D468" s="875"/>
      <c r="E468" s="2544" t="str">
        <f>IF(Self_Sourced_Applicant&lt;&gt;"Yes","",CHAR(149)&amp;" What is the amount of Self-Sourced funding entered under the Permanent Funding Sources area in the Permanent Analysis section of the Pro Forma?")</f>
        <v/>
      </c>
      <c r="F468" s="2544"/>
      <c r="G468" s="2544"/>
      <c r="H468" s="2544"/>
      <c r="I468" s="3529" t="str">
        <f>IF(I$462&lt;&gt;"Yes","",SUMIF('Pro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68" s="829"/>
      <c r="K468" s="829"/>
      <c r="L468" s="3474"/>
      <c r="M468" s="2192">
        <v>0</v>
      </c>
    </row>
    <row r="469" spans="1:15" ht="14.65" hidden="1" customHeight="1">
      <c r="D469" s="875"/>
      <c r="E469" s="2544"/>
      <c r="F469" s="2544"/>
      <c r="G469" s="2544"/>
      <c r="H469" s="2544"/>
      <c r="I469" s="3530"/>
      <c r="J469" s="829"/>
      <c r="K469" s="829"/>
      <c r="L469" s="3474"/>
      <c r="M469" s="2192">
        <v>0</v>
      </c>
    </row>
    <row r="470" spans="1:15" ht="30" hidden="1" customHeight="1">
      <c r="E470" s="6" t="s">
        <v>1193</v>
      </c>
      <c r="F470" s="32"/>
      <c r="G470" s="31"/>
      <c r="H470" s="31"/>
      <c r="I470" s="727" t="str">
        <f>IF(I$462&lt;&gt;"Yes","NA",IF(I468&gt;=I467,2,IF(I468&gt;=I466,1,IF(I468&gt;=I465,0,"Does not qualify as a Self-Sourced Application"))))</f>
        <v>NA</v>
      </c>
      <c r="J470" s="829"/>
      <c r="K470" s="829"/>
      <c r="L470" s="3474"/>
    </row>
    <row r="471" spans="1:15" ht="10.5" hidden="1" customHeight="1">
      <c r="E471" s="32"/>
      <c r="F471" s="32"/>
      <c r="G471" s="31"/>
      <c r="H471" s="31"/>
      <c r="I471" s="1"/>
      <c r="J471" s="829"/>
      <c r="K471" s="829"/>
      <c r="L471" s="3474"/>
    </row>
    <row r="472" spans="1:15" ht="14.65" customHeight="1">
      <c r="A472" s="93" t="str" cm="1">
        <f t="array" ref="A472">IF(L472=0,"",CHAR(CODE(LOOKUP(2,1/(COUNTIF(A$3:A456,"&gt;"&amp;A$3:A456&amp;"*")=0),A$3:A456))+1))</f>
        <v>c</v>
      </c>
      <c r="B472" s="2548" t="s">
        <v>1194</v>
      </c>
      <c r="C472" s="2548"/>
      <c r="D472" s="2548"/>
      <c r="E472" s="2548"/>
      <c r="F472" s="2548"/>
      <c r="G472" s="2548"/>
      <c r="H472" s="2548"/>
      <c r="I472" s="2548"/>
      <c r="J472" s="829"/>
      <c r="K472" s="829"/>
      <c r="L472" s="3217">
        <v>1</v>
      </c>
    </row>
    <row r="473" spans="1:15">
      <c r="B473" t="s">
        <v>1195</v>
      </c>
      <c r="J473" s="829"/>
      <c r="K473" s="829"/>
      <c r="L473" s="3218"/>
    </row>
    <row r="474" spans="1:15" ht="10.5" customHeight="1">
      <c r="J474" s="829"/>
      <c r="K474" s="829"/>
      <c r="L474" s="3219"/>
    </row>
    <row r="475" spans="1:15" ht="14.65" hidden="1" customHeight="1">
      <c r="A475" s="93" t="str" cm="1">
        <f t="array" ref="A475">IF(L475=0,"",CHAR(CODE(LOOKUP(2,1/(COUNTIF(A$3:A474,"&gt;"&amp;A$3:A474&amp;"*")=0),A$3:A474))+1))</f>
        <v/>
      </c>
      <c r="B475" s="2548" t="s">
        <v>831</v>
      </c>
      <c r="C475" s="2548"/>
      <c r="D475" s="2548"/>
      <c r="E475" s="2548"/>
      <c r="F475" s="2548"/>
      <c r="G475" s="2548"/>
      <c r="H475" s="2548"/>
      <c r="I475" s="2548"/>
      <c r="J475" s="829"/>
      <c r="K475" s="829"/>
      <c r="L475" s="3440">
        <v>0</v>
      </c>
    </row>
    <row r="476" spans="1:15" ht="10.5" hidden="1" customHeight="1">
      <c r="A476" s="354"/>
      <c r="B476" s="17"/>
      <c r="C476" s="17"/>
      <c r="D476" s="17"/>
      <c r="E476" s="17"/>
      <c r="F476" s="17"/>
      <c r="G476" s="17"/>
      <c r="H476" s="17"/>
      <c r="I476" s="17"/>
      <c r="J476" s="829"/>
      <c r="K476" s="829"/>
      <c r="L476" s="3441"/>
      <c r="M476" s="855"/>
      <c r="N476" s="855"/>
      <c r="O476" s="855"/>
    </row>
    <row r="477" spans="1:15" ht="14.65" hidden="1" customHeight="1">
      <c r="B477" s="91">
        <f>IF($M$477=0,"...",1)</f>
        <v>1</v>
      </c>
      <c r="C477" s="443"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9% Housing Credit Request Amount.</v>
      </c>
      <c r="D477" s="443"/>
      <c r="E477" s="443"/>
      <c r="F477" s="443"/>
      <c r="G477" s="443"/>
      <c r="H477" s="443"/>
      <c r="I477" s="443"/>
      <c r="J477" s="829"/>
      <c r="K477" s="829"/>
      <c r="L477" s="3441"/>
      <c r="M477" s="2569">
        <v>1</v>
      </c>
    </row>
    <row r="478" spans="1:15" ht="10.5" hidden="1" customHeight="1">
      <c r="J478" s="829"/>
      <c r="K478" s="829"/>
      <c r="L478" s="3441"/>
      <c r="M478" s="2570"/>
    </row>
    <row r="479" spans="1:15" ht="106.5" hidden="1" customHeight="1">
      <c r="C479" s="2579"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9% Housing Credit Request Amount; and (ii) the qualified funding proposals demonstrate Cash Funding for an amount that is equal to at least 3 percent of the Applicant’s Eligible 9% Housing Credit Request Amount, the Applicant will receive preference in the funding selection process.</v>
      </c>
      <c r="D479" s="2579"/>
      <c r="E479" s="2579"/>
      <c r="F479" s="2579"/>
      <c r="G479" s="2579"/>
      <c r="H479" s="2579"/>
      <c r="I479" s="2579"/>
      <c r="J479" s="829"/>
      <c r="K479" s="829"/>
      <c r="L479" s="3441"/>
      <c r="M479" s="2570"/>
    </row>
    <row r="480" spans="1:15" ht="10.5" hidden="1" customHeight="1">
      <c r="J480" s="829"/>
      <c r="K480" s="829"/>
      <c r="L480" s="3441"/>
      <c r="M480" s="2570"/>
    </row>
    <row r="481" spans="1:18" ht="17.649999999999999" hidden="1" customHeight="1">
      <c r="C481" s="6" t="s">
        <v>1196</v>
      </c>
      <c r="I481" s="906">
        <f>IF(SUMIF('Pro Forma'!P244:P268,"Yes",'Pro Forma'!H244:H268)&gt;0,SUMIF('Pro Forma'!P244:P268,"Yes",'Pro Forma'!H244:H268),0)</f>
        <v>0</v>
      </c>
      <c r="J481" s="829"/>
      <c r="K481" s="829"/>
      <c r="L481" s="3441"/>
      <c r="M481" s="2570"/>
    </row>
    <row r="482" spans="1:18" ht="17.649999999999999" hidden="1" customHeight="1">
      <c r="C482" s="2579"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9% Housing Credit Request Amount:</v>
      </c>
      <c r="D482" s="2579"/>
      <c r="E482" s="2579"/>
      <c r="F482" s="2579"/>
      <c r="G482" s="2579"/>
      <c r="H482" s="2579"/>
      <c r="I482" s="907">
        <f>DS_Qualifying_FAFP_Percent*CHOOSE(DS_Qualifying_FAFP_Basis_Code+1,0,SAIL_Request_Amount,SAIL_Request_Amount+Grant_Request_Amount,Grant_Request_Amount,ARP_Request_Amount,SAIL_Request_Amount+ARP_Request_Amount,Eligible_Competitive_HC_Request_Amount,Grant_Request_Amount)</f>
        <v>0</v>
      </c>
      <c r="J482" s="829"/>
      <c r="K482" s="829"/>
      <c r="L482" s="3441"/>
      <c r="M482" s="2570"/>
      <c r="P482" s="264"/>
      <c r="Q482" s="264"/>
      <c r="R482" s="264"/>
    </row>
    <row r="483" spans="1:18" ht="17.649999999999999" hidden="1" customHeight="1">
      <c r="C483" s="6" t="s">
        <v>1197</v>
      </c>
      <c r="I483" s="355" t="str">
        <f>IF(VALUE(I482)=0,"TBD",IF(VALUE(I481)&gt;=VALUE(I482),"Yes","No"))</f>
        <v>TBD</v>
      </c>
      <c r="J483" s="577"/>
      <c r="K483" s="577"/>
      <c r="L483" s="3441"/>
      <c r="M483" s="2570"/>
      <c r="P483" s="2208" t="s">
        <v>2859</v>
      </c>
      <c r="Q483" s="264"/>
      <c r="R483" s="264"/>
    </row>
    <row r="484" spans="1:18" ht="10.5" hidden="1" customHeight="1">
      <c r="J484" s="829"/>
      <c r="K484" s="829"/>
      <c r="L484" s="3441"/>
      <c r="M484" s="2570"/>
      <c r="P484" s="264"/>
      <c r="Q484" s="264"/>
      <c r="R484" s="264"/>
    </row>
    <row r="485" spans="1:18" ht="14.65" hidden="1" customHeight="1">
      <c r="B485" s="91" t="str">
        <f>IF($N$485=0,"...",MAX(B$477:B484)+1)</f>
        <v>...</v>
      </c>
      <c r="C485" t="s">
        <v>1198</v>
      </c>
      <c r="J485" s="829"/>
      <c r="K485" s="829"/>
      <c r="L485" s="3441"/>
      <c r="M485" s="2570"/>
      <c r="N485" s="2569">
        <v>0</v>
      </c>
      <c r="P485" s="264"/>
      <c r="Q485" s="264"/>
      <c r="R485" s="264"/>
    </row>
    <row r="486" spans="1:18" ht="10.5" hidden="1" customHeight="1">
      <c r="J486" s="829"/>
      <c r="K486" s="829"/>
      <c r="L486" s="3441"/>
      <c r="M486" s="2570"/>
      <c r="N486" s="2570"/>
      <c r="P486" s="264"/>
      <c r="Q486" s="264"/>
      <c r="R486" s="264"/>
    </row>
    <row r="487" spans="1:18" ht="30" hidden="1" customHeight="1">
      <c r="C487" s="2579" t="s">
        <v>1199</v>
      </c>
      <c r="D487" s="2579"/>
      <c r="E487" s="2579"/>
      <c r="F487" s="2579"/>
      <c r="G487" s="2579"/>
      <c r="H487" s="2579"/>
      <c r="I487" s="900" t="s">
        <v>638</v>
      </c>
      <c r="J487" s="829"/>
      <c r="K487" s="829"/>
      <c r="L487" s="3441"/>
      <c r="M487" s="2570"/>
      <c r="N487" s="2570"/>
      <c r="P487" s="264"/>
      <c r="Q487" s="264"/>
      <c r="R487" s="264"/>
    </row>
    <row r="488" spans="1:18" ht="10.5" hidden="1" customHeight="1">
      <c r="J488" s="829"/>
      <c r="K488" s="829"/>
      <c r="L488" s="3441"/>
      <c r="M488" s="2571"/>
      <c r="N488" s="2571"/>
      <c r="P488" s="264"/>
      <c r="Q488" s="264"/>
      <c r="R488" s="264"/>
    </row>
    <row r="489" spans="1:18" ht="17.649999999999999" hidden="1" customHeight="1">
      <c r="C489" t="s">
        <v>1200</v>
      </c>
      <c r="I489" s="811" t="str">
        <f>IF(OR(DonationOfLand="&lt;select from menu&gt;",DonationOfLand="No"),IF(Total_Cash_Funding_Met="Yes","Yes",IF(Total_Cash_Funding_Met="TBD","TBD","No")),DonationOfLand)</f>
        <v>TBD</v>
      </c>
      <c r="J489" s="829"/>
      <c r="K489" s="829"/>
      <c r="L489" s="3441"/>
      <c r="P489" s="2208" t="str">
        <f>"Auto response relies on Rows L"&amp;TEXT(ROW(A483),"0")&amp;" &amp; L"&amp;TEXT(ROW(A487),"0")&amp;"."</f>
        <v>Auto response relies on Rows L483 &amp; L487.</v>
      </c>
      <c r="Q489" s="264"/>
      <c r="R489" s="264"/>
    </row>
    <row r="490" spans="1:18" ht="10.5" hidden="1" customHeight="1">
      <c r="J490" s="829"/>
      <c r="K490" s="829"/>
      <c r="L490" s="3219"/>
      <c r="P490" s="264"/>
      <c r="Q490" s="264"/>
      <c r="R490" s="264"/>
    </row>
    <row r="491" spans="1:18" hidden="1">
      <c r="A491" s="93" t="str" cm="1">
        <f t="array" ref="A491">IF(L491=0,"",CHAR(CODE(LOOKUP(2,1/(COUNTIF(A$3:A488,"&gt;"&amp;A$3:A488&amp;"*")=0),A$3:A488))+1))</f>
        <v/>
      </c>
      <c r="B491" s="2548" t="s">
        <v>832</v>
      </c>
      <c r="C491" s="2548"/>
      <c r="D491" s="2548"/>
      <c r="E491" s="2548"/>
      <c r="F491" s="2548"/>
      <c r="G491" s="2548"/>
      <c r="H491" s="2548"/>
      <c r="I491" s="2548"/>
      <c r="J491" s="829"/>
      <c r="K491" s="829"/>
      <c r="L491" s="2569">
        <v>0</v>
      </c>
      <c r="P491" s="264"/>
      <c r="Q491" s="264"/>
      <c r="R491" s="264"/>
    </row>
    <row r="492" spans="1:18" ht="10.5" hidden="1" customHeight="1">
      <c r="A492" s="356"/>
      <c r="I492" s="21"/>
      <c r="J492" s="829"/>
      <c r="K492" s="829"/>
      <c r="L492" s="2570"/>
      <c r="M492" s="855"/>
      <c r="N492" s="855"/>
      <c r="O492" s="855"/>
      <c r="P492" s="264"/>
      <c r="Q492" s="264"/>
      <c r="R492" s="264"/>
    </row>
    <row r="493" spans="1:18" ht="17.649999999999999" hidden="1" customHeight="1">
      <c r="B493" s="865" t="s">
        <v>1201</v>
      </c>
      <c r="C493" s="865"/>
      <c r="I493" s="892" t="str">
        <f>IF(L491=0,"",IF(AND(Total_Corp_Funding_PSAU=0,Development_Category="&lt;select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93" s="829"/>
      <c r="K493" s="829"/>
      <c r="L493" s="2570"/>
      <c r="P493" s="264"/>
      <c r="Q493" s="264"/>
      <c r="R493" s="264"/>
    </row>
    <row r="494" spans="1:18" ht="10.5" hidden="1" customHeight="1">
      <c r="J494" s="829"/>
      <c r="K494" s="829"/>
      <c r="L494" s="2571"/>
      <c r="P494" s="264"/>
      <c r="Q494" s="264"/>
      <c r="R494" s="264"/>
    </row>
    <row r="495" spans="1:18" ht="14.65" hidden="1" customHeight="1">
      <c r="A495" s="93" t="str" cm="1">
        <f t="array" ref="A495">IF(L495=0,"",CHAR(CODE(LOOKUP(2,1/(COUNTIF(A$3:A494,"&gt;"&amp;A$3:A494&amp;"*")=0),A$3:A494))+1))</f>
        <v/>
      </c>
      <c r="B495" s="25" t="s">
        <v>1202</v>
      </c>
      <c r="J495" s="829"/>
      <c r="K495" s="829"/>
      <c r="L495" s="2569">
        <v>0</v>
      </c>
      <c r="P495" s="264"/>
      <c r="Q495" s="264"/>
      <c r="R495" s="264"/>
    </row>
    <row r="496" spans="1:18" ht="10.5" hidden="1" customHeight="1">
      <c r="J496" s="829"/>
      <c r="K496" s="829"/>
      <c r="L496" s="2570"/>
      <c r="P496" s="264"/>
      <c r="Q496" s="264"/>
      <c r="R496" s="264"/>
    </row>
    <row r="497" spans="2:16" ht="35.25" hidden="1" customHeight="1">
      <c r="B497" s="2544" t="s">
        <v>2242</v>
      </c>
      <c r="C497" s="2544"/>
      <c r="D497" s="2544"/>
      <c r="E497" s="2544"/>
      <c r="F497" s="2544"/>
      <c r="G497" s="2544"/>
      <c r="H497" s="2544"/>
      <c r="I497" s="2544"/>
      <c r="J497" s="829"/>
      <c r="K497" s="829"/>
      <c r="L497" s="2570"/>
      <c r="P497" s="757" t="s">
        <v>2870</v>
      </c>
    </row>
    <row r="498" spans="2:16" ht="10.5" hidden="1" customHeight="1">
      <c r="B498" s="47"/>
      <c r="J498" s="829"/>
      <c r="K498" s="829"/>
      <c r="L498" s="2570"/>
    </row>
    <row r="499" spans="2:16" ht="14.65" hidden="1" customHeight="1">
      <c r="B499" s="311" t="str">
        <f>IF(L$495=0,"…",1)</f>
        <v>…</v>
      </c>
      <c r="C499" s="6" t="s">
        <v>1203</v>
      </c>
      <c r="J499" s="829"/>
      <c r="K499" s="829"/>
      <c r="L499" s="2570"/>
    </row>
    <row r="500" spans="2:16" ht="10.5" hidden="1" customHeight="1">
      <c r="J500" s="829"/>
      <c r="K500" s="829"/>
      <c r="L500" s="2570"/>
    </row>
    <row r="501" spans="2:16" ht="14.65" hidden="1" customHeight="1">
      <c r="C501" t="s">
        <v>1204</v>
      </c>
      <c r="G501" s="43" t="s">
        <v>1451</v>
      </c>
      <c r="H501" s="43" t="s">
        <v>1452</v>
      </c>
      <c r="I501" s="43" t="s">
        <v>1651</v>
      </c>
      <c r="J501" s="829"/>
      <c r="K501" s="829"/>
      <c r="L501" s="2570"/>
    </row>
    <row r="502" spans="2:16" ht="14.65" hidden="1" customHeight="1">
      <c r="C502" s="2547"/>
      <c r="D502" s="2547"/>
      <c r="E502" s="2547"/>
      <c r="F502" s="2547"/>
      <c r="G502" s="1010"/>
      <c r="H502" s="1010"/>
      <c r="I502" s="1011">
        <f>G502-H502</f>
        <v>0</v>
      </c>
      <c r="J502" s="829"/>
      <c r="K502" s="829"/>
      <c r="L502" s="2570"/>
    </row>
    <row r="503" spans="2:16" ht="14.65" hidden="1" customHeight="1">
      <c r="C503" s="2543"/>
      <c r="D503" s="2543"/>
      <c r="E503" s="2543"/>
      <c r="F503" s="2543"/>
      <c r="G503" s="1010"/>
      <c r="H503" s="1010"/>
      <c r="I503" s="1011">
        <f>G503-H503</f>
        <v>0</v>
      </c>
      <c r="J503" s="829"/>
      <c r="K503" s="829"/>
      <c r="L503" s="2570"/>
    </row>
    <row r="504" spans="2:16" ht="14.65" hidden="1" customHeight="1">
      <c r="C504" s="2543"/>
      <c r="D504" s="2543"/>
      <c r="E504" s="2543"/>
      <c r="F504" s="2543"/>
      <c r="G504" s="1010"/>
      <c r="H504" s="1010"/>
      <c r="I504" s="1011">
        <f>G504-H504</f>
        <v>0</v>
      </c>
      <c r="J504" s="829"/>
      <c r="K504" s="829"/>
      <c r="L504" s="2570"/>
    </row>
    <row r="505" spans="2:16" ht="14.65" hidden="1" customHeight="1">
      <c r="C505" s="2543"/>
      <c r="D505" s="2543"/>
      <c r="E505" s="2543"/>
      <c r="F505" s="2543"/>
      <c r="G505" s="1010"/>
      <c r="H505" s="1010"/>
      <c r="I505" s="1011">
        <f>G505-H505</f>
        <v>0</v>
      </c>
      <c r="J505" s="829"/>
      <c r="K505" s="829"/>
      <c r="L505" s="2570"/>
    </row>
    <row r="506" spans="2:16" ht="14.65" hidden="1" customHeight="1">
      <c r="C506" s="2543"/>
      <c r="D506" s="2543"/>
      <c r="E506" s="2543"/>
      <c r="F506" s="2543"/>
      <c r="G506" s="1010"/>
      <c r="H506" s="1010"/>
      <c r="I506" s="1011">
        <f>G506-H506</f>
        <v>0</v>
      </c>
      <c r="J506" s="829"/>
      <c r="K506" s="829"/>
      <c r="L506" s="2570"/>
    </row>
    <row r="507" spans="2:16" ht="10.5" hidden="1" customHeight="1">
      <c r="J507" s="829"/>
      <c r="K507" s="829"/>
      <c r="L507" s="2570"/>
    </row>
    <row r="508" spans="2:16" ht="14.65" hidden="1" customHeight="1">
      <c r="B508" s="311" t="str">
        <f>IF(L$495=0,"…",MAX(B$499:B507)+1)</f>
        <v>…</v>
      </c>
      <c r="C508" s="6" t="s">
        <v>1205</v>
      </c>
      <c r="I508" s="798">
        <f>SUM(I502:I506)</f>
        <v>0</v>
      </c>
      <c r="J508" s="829"/>
      <c r="K508" s="829"/>
      <c r="L508" s="2570"/>
    </row>
    <row r="509" spans="2:16" ht="10.5" hidden="1" customHeight="1">
      <c r="J509" s="829"/>
      <c r="K509" s="829"/>
      <c r="L509" s="2570"/>
    </row>
    <row r="510" spans="2:16" ht="50.25" hidden="1" customHeight="1">
      <c r="B510" s="2544" t="s">
        <v>1206</v>
      </c>
      <c r="C510" s="2544"/>
      <c r="D510" s="2544"/>
      <c r="E510" s="2544"/>
      <c r="F510" s="2544"/>
      <c r="G510" s="2544"/>
      <c r="H510" s="2544"/>
      <c r="I510" s="2544"/>
      <c r="J510" s="829"/>
      <c r="K510" s="829"/>
      <c r="L510" s="2570"/>
    </row>
    <row r="511" spans="2:16" ht="10.5" hidden="1" customHeight="1">
      <c r="I511" s="799"/>
      <c r="J511" s="829"/>
      <c r="K511" s="829"/>
      <c r="L511" s="2570"/>
    </row>
    <row r="512" spans="2:16" ht="14.65" hidden="1" customHeight="1">
      <c r="C512" t="s">
        <v>1207</v>
      </c>
      <c r="I512" s="796">
        <f>IF(Total_Units=0,0,I155/Total_Units)</f>
        <v>0</v>
      </c>
      <c r="J512" s="829"/>
      <c r="K512" s="829"/>
      <c r="L512" s="2570"/>
    </row>
    <row r="513" spans="1:17" ht="10.5" hidden="1" customHeight="1">
      <c r="J513" s="829"/>
      <c r="K513" s="829"/>
      <c r="L513" s="2570"/>
    </row>
    <row r="514" spans="1:17" ht="14.65" hidden="1" customHeight="1">
      <c r="C514" t="s">
        <v>1208</v>
      </c>
      <c r="I514" s="795">
        <f>IF(I512&gt;50%,I508,ROUNDDOWN(I508*I512,2))</f>
        <v>0</v>
      </c>
      <c r="J514" s="829"/>
      <c r="K514" s="829"/>
      <c r="L514" s="2570"/>
    </row>
    <row r="515" spans="1:17" ht="10.5" hidden="1" customHeight="1">
      <c r="J515" s="829"/>
      <c r="K515" s="829"/>
      <c r="L515" s="2570"/>
    </row>
    <row r="516" spans="1:17" ht="14.65" hidden="1" customHeight="1">
      <c r="B516" s="88"/>
      <c r="C516" t="s">
        <v>1209</v>
      </c>
      <c r="I516" s="795">
        <f>Eligible_HOME_Request_Amount</f>
        <v>0</v>
      </c>
      <c r="J516" s="829"/>
      <c r="K516" s="829"/>
      <c r="L516" s="2570"/>
    </row>
    <row r="517" spans="1:17" ht="10.5" hidden="1" customHeight="1">
      <c r="J517" s="829"/>
      <c r="K517" s="829"/>
      <c r="L517" s="2570"/>
    </row>
    <row r="518" spans="1:17" ht="14.65" hidden="1" customHeight="1">
      <c r="B518" s="88"/>
      <c r="C518" t="s">
        <v>1210</v>
      </c>
      <c r="I518" s="791">
        <f>IF(I516=0,0,I514/I516)</f>
        <v>0</v>
      </c>
      <c r="J518" s="829"/>
      <c r="K518" s="829"/>
      <c r="L518" s="2570"/>
    </row>
    <row r="519" spans="1:17" ht="10.5" hidden="1" customHeight="1">
      <c r="J519" s="829"/>
      <c r="K519" s="829"/>
      <c r="L519" s="2571"/>
    </row>
    <row r="520" spans="1:17">
      <c r="A520" s="93" t="str" cm="1">
        <f t="array" ref="A520">IF(SUM(L522:L525)=0,"",CHAR(CODE(LOOKUP(2,1/(COUNTIF(A$3:A519,"&gt;"&amp;A$3:A519&amp;"*")=0),A$3:A519))+1))</f>
        <v>d</v>
      </c>
      <c r="B520" s="2548" t="s">
        <v>1211</v>
      </c>
      <c r="C520" s="2548"/>
      <c r="D520" s="2548"/>
      <c r="E520" s="2548"/>
      <c r="F520" s="2548"/>
      <c r="G520" s="2548"/>
      <c r="H520" s="2548"/>
      <c r="I520" s="2548"/>
      <c r="J520" s="829"/>
      <c r="K520" s="829"/>
      <c r="L520" s="3471">
        <f>IF(L522+L525+L528+L531=9,0,1)</f>
        <v>1</v>
      </c>
    </row>
    <row r="521" spans="1:17" ht="10.5" customHeight="1">
      <c r="B521" s="865"/>
      <c r="C521" s="865"/>
      <c r="J521" s="829"/>
      <c r="K521" s="829"/>
      <c r="L521" s="3472"/>
    </row>
    <row r="522" spans="1:17" ht="65.25" customHeight="1">
      <c r="B522" s="91">
        <f>IF(L522&gt;0,1,"")</f>
        <v>1</v>
      </c>
      <c r="C522" s="2544" t="s">
        <v>1212</v>
      </c>
      <c r="D522" s="2544"/>
      <c r="E522" s="2544"/>
      <c r="F522" s="2544"/>
      <c r="G522" s="2544"/>
      <c r="H522" s="2544"/>
      <c r="I522" s="2544"/>
      <c r="J522" s="829"/>
      <c r="K522" s="829"/>
      <c r="L522" s="2658">
        <v>1</v>
      </c>
    </row>
    <row r="523" spans="1:17" ht="17.649999999999999" customHeight="1">
      <c r="B523" s="1"/>
      <c r="C523" s="1"/>
      <c r="D523" s="3181" t="s">
        <v>638</v>
      </c>
      <c r="E523" s="3181"/>
      <c r="F523" s="3181"/>
      <c r="G523" s="2597"/>
      <c r="H523" s="2597"/>
      <c r="I523" s="2597"/>
      <c r="J523" s="829"/>
      <c r="K523" s="829"/>
      <c r="L523" s="2659"/>
    </row>
    <row r="524" spans="1:17" ht="10.5" customHeight="1">
      <c r="B524" s="1"/>
      <c r="C524" s="1"/>
      <c r="E524" s="51"/>
      <c r="F524" s="51"/>
      <c r="J524" s="829"/>
      <c r="K524" s="829"/>
      <c r="L524" s="2571"/>
    </row>
    <row r="525" spans="1:17" ht="35.25" customHeight="1">
      <c r="B525" s="91">
        <f>MAX(B$522:B524)+1</f>
        <v>2</v>
      </c>
      <c r="C525" s="2544" t="s">
        <v>1213</v>
      </c>
      <c r="D525" s="2544"/>
      <c r="E525" s="2544"/>
      <c r="F525" s="2544"/>
      <c r="G525" s="2544"/>
      <c r="H525" s="2544"/>
      <c r="I525" s="2544"/>
      <c r="J525" s="829"/>
      <c r="K525" s="829"/>
      <c r="L525" s="2569">
        <v>1</v>
      </c>
    </row>
    <row r="526" spans="1:17" ht="17.649999999999999" customHeight="1">
      <c r="B526" s="1"/>
      <c r="C526" s="1"/>
      <c r="D526" s="3181" t="s">
        <v>638</v>
      </c>
      <c r="E526" s="3181"/>
      <c r="F526" s="3181"/>
      <c r="G526" s="2597"/>
      <c r="H526" s="2597"/>
      <c r="I526" s="2597"/>
      <c r="J526" s="829"/>
      <c r="K526" s="829"/>
      <c r="L526" s="2570"/>
    </row>
    <row r="527" spans="1:17" ht="10.5" customHeight="1">
      <c r="J527" s="829"/>
      <c r="K527" s="829"/>
      <c r="L527" s="2571"/>
    </row>
    <row r="528" spans="1:17" ht="35.25" customHeight="1">
      <c r="B528" s="875"/>
      <c r="C528" s="2544" t="str">
        <f>"If a Public Housing Authority has "&amp;IF(AND(M523&gt;0,M526&gt;0),"one of the above-described relationships","the above relationship")&amp;" with the Applicant, state the name of the Public Housing Authority."</f>
        <v>If a Public Housing Authority has the above relationship with the Applicant, state the name of the Public Housing Authority.</v>
      </c>
      <c r="D528" s="2544"/>
      <c r="E528" s="2544"/>
      <c r="F528" s="2544"/>
      <c r="G528" s="2544"/>
      <c r="H528" s="2544"/>
      <c r="I528" s="2544"/>
      <c r="J528" s="829"/>
      <c r="K528" s="829"/>
      <c r="L528" s="2569">
        <v>1</v>
      </c>
      <c r="P528" s="3549" t="str">
        <f>"Should not leave this row ""On"" if row "&amp;TEXT(ROW(A525),"0")&amp;" is turned off. "&amp;IF(AND(L525=0,L528=1),"Please, either turn this row ""Off"" or row "&amp;TEXT(ROW(A525),"0")&amp;" ""On"".","The two rows are currently aligned.")</f>
        <v>Should not leave this row "On" if row 525 is turned off. The two rows are currently aligned.</v>
      </c>
      <c r="Q528" s="24"/>
    </row>
    <row r="529" spans="1:17" ht="17.649999999999999" customHeight="1">
      <c r="D529" s="3497"/>
      <c r="E529" s="3497"/>
      <c r="F529" s="3497"/>
      <c r="G529" s="3497"/>
      <c r="H529" s="3497"/>
      <c r="I529" s="3497"/>
      <c r="J529" s="829"/>
      <c r="K529" s="829"/>
      <c r="L529" s="2570"/>
      <c r="P529" s="3550"/>
      <c r="Q529" s="24"/>
    </row>
    <row r="530" spans="1:17" ht="10.5" customHeight="1">
      <c r="J530" s="829"/>
      <c r="K530" s="829"/>
      <c r="L530" s="2571"/>
      <c r="P530" s="3551"/>
      <c r="Q530" s="24"/>
    </row>
    <row r="531" spans="1:17" ht="20.25" hidden="1" customHeight="1">
      <c r="B531" s="91">
        <f>MAX(B$522:B530)+1</f>
        <v>3</v>
      </c>
      <c r="C531" s="2544" t="s">
        <v>1901</v>
      </c>
      <c r="D531" s="2544"/>
      <c r="E531" s="2544"/>
      <c r="F531" s="2544"/>
      <c r="G531" s="2544"/>
      <c r="H531" s="2544"/>
      <c r="I531" s="2544"/>
      <c r="J531" s="829"/>
      <c r="K531" s="829"/>
      <c r="L531" s="2569">
        <v>0</v>
      </c>
    </row>
    <row r="532" spans="1:17" ht="17.649999999999999" hidden="1" customHeight="1">
      <c r="D532" s="3181" t="s">
        <v>638</v>
      </c>
      <c r="E532" s="3181"/>
      <c r="F532" s="3181"/>
      <c r="J532" s="829"/>
      <c r="K532" s="829"/>
      <c r="L532" s="2570"/>
    </row>
    <row r="533" spans="1:17" ht="50.25" hidden="1" customHeight="1">
      <c r="D533" s="3494"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533" s="3494"/>
      <c r="F533" s="3494"/>
      <c r="G533" s="3494"/>
      <c r="H533" s="3494"/>
      <c r="I533" s="3494"/>
      <c r="J533" s="829"/>
      <c r="K533" s="829"/>
      <c r="L533" s="2571"/>
    </row>
    <row r="534" spans="1:17" ht="14.65" hidden="1" customHeight="1">
      <c r="A534" s="93" t="str" cm="1">
        <f t="array" ref="A534">IF(L534=0,"",CHAR(CODE(LOOKUP(2,1/(COUNTIF(A$3:A526,"&gt;"&amp;A$3:A526&amp;"*")=0),A$3:A526))+1))</f>
        <v/>
      </c>
      <c r="B534" s="21" t="s">
        <v>1214</v>
      </c>
      <c r="J534" s="829"/>
      <c r="K534" s="829"/>
      <c r="L534" s="2569">
        <v>0</v>
      </c>
    </row>
    <row r="535" spans="1:17" ht="10.5" hidden="1" customHeight="1">
      <c r="J535" s="829"/>
      <c r="K535" s="829"/>
      <c r="L535" s="2570"/>
    </row>
    <row r="536" spans="1:17" ht="17.649999999999999" hidden="1" customHeight="1">
      <c r="B536" s="6" t="s">
        <v>2578</v>
      </c>
      <c r="I536" s="900" t="s">
        <v>638</v>
      </c>
      <c r="J536" s="829"/>
      <c r="K536" s="829"/>
      <c r="L536" s="2570"/>
    </row>
    <row r="537" spans="1:17" ht="10.5" hidden="1" customHeight="1">
      <c r="J537" s="829"/>
      <c r="K537" s="829"/>
      <c r="L537" s="2571"/>
    </row>
    <row r="538" spans="1:17" ht="20.25" hidden="1" customHeight="1">
      <c r="A538" s="93" t="str" cm="1">
        <f t="array" ref="A538">IF(L538=0,"",CHAR(CODE(LOOKUP(2,1/(COUNTIF(A$3:A534,"&gt;"&amp;A$3:A534&amp;"*")=0),A$3:A534))+1))</f>
        <v/>
      </c>
      <c r="B538" s="87" t="s">
        <v>2713</v>
      </c>
      <c r="C538" s="87"/>
      <c r="D538" s="87"/>
      <c r="E538" s="87"/>
      <c r="J538" s="829"/>
      <c r="K538" s="829"/>
      <c r="L538" s="2569">
        <v>0</v>
      </c>
    </row>
    <row r="539" spans="1:17" ht="10.5" hidden="1" customHeight="1">
      <c r="A539" s="93"/>
      <c r="B539" s="87"/>
      <c r="C539" s="87"/>
      <c r="D539" s="87"/>
      <c r="E539" s="87"/>
      <c r="J539" s="829"/>
      <c r="K539" s="829"/>
      <c r="L539" s="2570"/>
      <c r="M539" s="855"/>
      <c r="N539" s="855"/>
      <c r="O539" s="855"/>
      <c r="P539" s="829"/>
    </row>
    <row r="540" spans="1:17" ht="20.25" hidden="1" customHeight="1">
      <c r="A540" s="93"/>
      <c r="B540" s="6" t="s">
        <v>2714</v>
      </c>
      <c r="I540" s="1971" t="s">
        <v>638</v>
      </c>
      <c r="J540" s="829"/>
      <c r="K540" s="829"/>
      <c r="L540" s="2570"/>
      <c r="M540" s="855"/>
      <c r="N540" s="855"/>
      <c r="O540" s="855"/>
      <c r="P540" s="829"/>
    </row>
    <row r="541" spans="1:17" ht="20.25" hidden="1" customHeight="1">
      <c r="C541" t="s">
        <v>2715</v>
      </c>
      <c r="J541" s="829"/>
      <c r="K541" s="829"/>
      <c r="L541" s="2570"/>
    </row>
    <row r="542" spans="1:17" ht="10.5" hidden="1" customHeight="1">
      <c r="J542" s="829"/>
      <c r="K542" s="829"/>
      <c r="L542" s="2570"/>
    </row>
    <row r="543" spans="1:17" ht="35.25" hidden="1" customHeight="1">
      <c r="C543" s="2579" t="s">
        <v>2716</v>
      </c>
      <c r="D543" s="2579"/>
      <c r="E543" s="2579"/>
      <c r="F543" s="2579"/>
      <c r="G543" s="2579"/>
      <c r="H543" s="2579"/>
      <c r="I543" s="1971"/>
      <c r="J543" s="829"/>
      <c r="K543" s="829"/>
      <c r="L543" s="2570"/>
    </row>
    <row r="544" spans="1:17" ht="10.5" hidden="1" customHeight="1">
      <c r="J544" s="829"/>
      <c r="K544" s="829"/>
      <c r="L544" s="2570"/>
    </row>
    <row r="545" spans="1:18" ht="35.25" hidden="1" customHeight="1">
      <c r="C545" s="2579" t="str">
        <f>IF(Rental_Assistance_Units="","",IF(Rental_Assistance_Units&gt;=(0.5*Total_Units),"Based on the number of units and/or tenants that received Rental Assistance, the Application qualifies for the Rental Assistance History Preference.","Based on the number of units and/or tenants that received Rental Assistance, the Application does not qualify for the Rental Assistance History Preference."))</f>
        <v/>
      </c>
      <c r="D545" s="2579"/>
      <c r="E545" s="2579"/>
      <c r="F545" s="2579"/>
      <c r="G545" s="2579"/>
      <c r="H545" s="2579"/>
      <c r="I545" s="1972" t="str">
        <f>IF(AND(RA_Hist_Pref="Yes",Rental_Assistance_Units&gt;=0.5*Total_Units),"Yes","No")</f>
        <v>No</v>
      </c>
      <c r="J545" s="829"/>
      <c r="K545" s="829"/>
      <c r="L545" s="2570"/>
    </row>
    <row r="546" spans="1:18" ht="20.25" hidden="1" customHeight="1">
      <c r="J546" s="829"/>
      <c r="K546" s="829"/>
      <c r="L546" s="2570"/>
    </row>
    <row r="547" spans="1:18" ht="10.5" hidden="1" customHeight="1">
      <c r="J547" s="829"/>
      <c r="K547" s="829"/>
      <c r="L547" s="2571"/>
    </row>
    <row r="548" spans="1:18" hidden="1">
      <c r="A548" s="93" t="str" cm="1">
        <f t="array" ref="A548">IF(L538=0,"",CHAR(CODE(LOOKUP(2,1/(COUNTIF(A$3:A538,"&gt;"&amp;A$3:A538&amp;"*")=0),A$3:A538))+1))</f>
        <v/>
      </c>
      <c r="B548" s="87" t="s">
        <v>2717</v>
      </c>
      <c r="J548" s="829"/>
      <c r="K548" s="829"/>
      <c r="L548" s="2569">
        <v>0</v>
      </c>
    </row>
    <row r="549" spans="1:18" ht="10.5" hidden="1" customHeight="1">
      <c r="A549" s="93"/>
      <c r="B549" s="87"/>
      <c r="J549" s="829"/>
      <c r="K549" s="829"/>
      <c r="L549" s="2570"/>
      <c r="M549" s="855"/>
      <c r="N549" s="855"/>
      <c r="O549" s="855"/>
      <c r="P549" s="829"/>
    </row>
    <row r="550" spans="1:18" ht="20.25" hidden="1" customHeight="1">
      <c r="A550" s="93"/>
      <c r="B550" s="6" t="s">
        <v>2718</v>
      </c>
      <c r="I550" s="1971" t="s">
        <v>638</v>
      </c>
      <c r="J550" s="829"/>
      <c r="K550" s="829"/>
      <c r="L550" s="2570"/>
      <c r="M550" s="855"/>
      <c r="N550" s="855"/>
      <c r="O550" s="855"/>
      <c r="P550" s="829"/>
    </row>
    <row r="551" spans="1:18" ht="20.25" hidden="1" customHeight="1">
      <c r="A551" s="93"/>
      <c r="B551" s="87"/>
      <c r="C551" t="s">
        <v>2719</v>
      </c>
      <c r="J551" s="829"/>
      <c r="K551" s="829"/>
      <c r="L551" s="2570"/>
      <c r="M551" s="855"/>
      <c r="N551" s="855"/>
      <c r="O551" s="855"/>
      <c r="P551" s="829"/>
    </row>
    <row r="552" spans="1:18" ht="10.5" hidden="1" customHeight="1">
      <c r="A552" s="93"/>
      <c r="B552" s="87"/>
      <c r="J552" s="829"/>
      <c r="K552" s="829"/>
      <c r="L552" s="2570"/>
      <c r="M552" s="855"/>
      <c r="N552" s="855"/>
      <c r="O552" s="855"/>
      <c r="P552" s="829"/>
    </row>
    <row r="553" spans="1:18" ht="35.25" hidden="1" customHeight="1">
      <c r="A553" s="93"/>
      <c r="B553" s="87"/>
      <c r="C553" s="2579" t="s">
        <v>2720</v>
      </c>
      <c r="D553" s="2579"/>
      <c r="E553" s="2579"/>
      <c r="F553" s="2579"/>
      <c r="G553" s="2579"/>
      <c r="H553" s="2579"/>
      <c r="I553" s="1973"/>
      <c r="J553" s="829"/>
      <c r="K553" s="829"/>
      <c r="L553" s="2570"/>
      <c r="M553" s="855"/>
      <c r="N553" s="855"/>
      <c r="O553" s="855"/>
      <c r="P553" s="829"/>
    </row>
    <row r="554" spans="1:18" ht="10.5" hidden="1" customHeight="1">
      <c r="A554" s="93"/>
      <c r="B554" s="87"/>
      <c r="J554" s="829"/>
      <c r="K554" s="829"/>
      <c r="L554" s="2570"/>
      <c r="M554" s="855"/>
      <c r="N554" s="855"/>
      <c r="O554" s="855"/>
      <c r="P554" s="829"/>
    </row>
    <row r="555" spans="1:18" ht="35.25" hidden="1" customHeight="1">
      <c r="A555" s="93"/>
      <c r="B555" s="87"/>
      <c r="C555" s="2579" t="str">
        <f>IF(Supp_Srvc_Fund="","",IF(Supp_Srvc_Fund&gt;=(0.1*Eligible_SAIL_Request_Amount),"Based on the amount of Supportive Services Funding previously obtained, the Application qualifies for the Supportive Services Funding History Preference.","Based on the amount of Supportive Services Funding previously obtained, the Application does not qualify for the Supportive Services Funding History Preference."))</f>
        <v/>
      </c>
      <c r="D555" s="2579"/>
      <c r="E555" s="2579"/>
      <c r="F555" s="2579"/>
      <c r="G555" s="2579"/>
      <c r="H555" s="2579"/>
      <c r="I555" s="1972" t="str">
        <f>IF(AND(Supp_Srv_Fund_Pref="Yes",Supp_Srvc_Fund&gt;=0.1*Eligible_SAIL_Request_Amount),"Yes","No")</f>
        <v>No</v>
      </c>
      <c r="J555" s="829"/>
      <c r="K555" s="829"/>
      <c r="L555" s="2570"/>
      <c r="M555" s="855"/>
      <c r="N555" s="855"/>
      <c r="O555" s="855"/>
      <c r="P555" s="829"/>
      <c r="Q555" s="3545" t="s">
        <v>2860</v>
      </c>
    </row>
    <row r="556" spans="1:18" ht="10.5" customHeight="1">
      <c r="J556" s="829"/>
      <c r="K556" s="829"/>
      <c r="L556" s="2571"/>
      <c r="Q556" s="3545"/>
    </row>
    <row r="557" spans="1:18" ht="14.65" customHeight="1">
      <c r="A557" s="93" t="str" cm="1">
        <f t="array" ref="A557">IF(L557=0,"",CHAR(CODE(LOOKUP(2,1/(COUNTIF(A$3:A548,"&gt;"&amp;A$3:A548&amp;"*")=0),A$3:A548))+1))</f>
        <v>e</v>
      </c>
      <c r="B557" s="87" t="s">
        <v>1215</v>
      </c>
      <c r="C557" s="87"/>
      <c r="D557" s="87"/>
      <c r="E557" s="87"/>
      <c r="F557" s="6"/>
      <c r="G557" s="6"/>
      <c r="H557" s="6"/>
      <c r="I557" s="6"/>
      <c r="L557" s="2569">
        <v>1</v>
      </c>
      <c r="M557" s="855"/>
      <c r="N557" s="855"/>
      <c r="O557" s="855"/>
      <c r="Q557" s="3545"/>
    </row>
    <row r="558" spans="1:18" ht="17.649999999999999" customHeight="1">
      <c r="B558" s="2600" t="str">
        <f>IF(Q591&gt;0,"The Request Amount"&amp;IF(Q$591&gt;1,"s","")&amp;" for the "&amp;IF(Q561&gt;0,"Competitive Housing Credit","")&amp;IF(AND(Q561=1,Q$591&gt;1,SUM(Q562:Q$585)&gt;1,SUM(Q$561:Q561)&gt;0),", ",IF(AND(Q561=1,Q$591&gt;1,SUM(Q562:Q$590)=1,SUM(Q$561:Q561)&gt;0)," and ",""))&amp;IF(Q564&gt;0,"Workforce","")&amp;IF(AND(Q564=1,Q$591&gt;1,SUM(Q565:Q$590)&gt;1,SUM(Q$561:Q564)&gt;0),", ",IF(AND(Q564=1,Q$591&gt;1,SUM(Q565:Q$590)=1,SUM(Q$561:Q564)&gt;0)," and ",""))&amp;IF(Q568&gt;0,"SAIL","")&amp;IF(AND(Q568=1,Q$591&gt;1,SUM(Q569:Q$590)&gt;1,SUM(Q$561:Q568)&gt;0),", ",IF(AND(Q568=1,Q$591&gt;1,SUM(Q569:Q$590)=1,SUM(Q$561:Q568)&gt;0)," and ",""))&amp;IF(Q573&gt;0,"RRLP","")&amp;IF(AND(Q573=1,Q$591&gt;1,SUM(Q574:Q$590)&gt;1,SUM(Q$561:Q573)&gt;0),", ",IF(AND(Q573=1,Q$591&gt;1,SUM(Q574:Q$590)=1,SUM(Q$561:Q573)&gt;0)," and ",""))&amp;IF(Q577&gt;0,"HOME","")&amp;IF(AND(Q577=1,Q$591&gt;1,SUM(Q578:Q$590)&gt;1,SUM(Q$561:Q577)&gt;0),", ",IF(AND(Q577=1,Q$591&gt;1,SUM(Q578:Q$590)=1,SUM(Q$561:Q577)&gt;0)," and ",""))&amp;IF(Q581&gt;0,"HOME-ARP","")&amp;IF(AND(Q581=1,Q$591&gt;1,SUM(Q582:Q$590)&gt;1,SUM(Q$561:Q581)&gt;0),", ",IF(AND(Q581=1,Q$591&gt;1,SUM(Q582:Q$590)=1,SUM(Q$561:Q581)&gt;0)," and ",""))&amp;IF(Q583&gt;0,"Grant","")&amp;IF(AND(Q583=1,Q$591&gt;1,SUM(Q584:Q$590)&gt;1,SUM(Q$561:Q583)&gt;0),", ",IF(AND(Q583=1,Q$591&gt;1,SUM(Q584:Q$590)=1,SUM(Q$561:Q583)&gt;0),", ",""))&amp;IF(Q585&gt;0,"NHTF","")&amp;IF(AND(Q585=1,Q$591&gt;1,SUM(Q586:Q$590)&gt;1,SUM(Q$561:Q585)&gt;0),", ",IF(AND(Q585=1,Q$591&gt;1,SUM(Q586:Q$590)=1,SUM(Q$561:Q585)&gt;0)," and ",""))&amp;IF(Q587&gt;0,"CDBG-DR","")&amp;" source"&amp;IF(Q$591&gt;1,"s","")&amp;" ha"&amp;IF(Q591&gt;1,"ve","s")&amp;" been reduced to the maximum eligible amount"&amp;IF(SUM(Q561:Q590)&gt;1,"s","")&amp;".","")</f>
        <v/>
      </c>
      <c r="C558" s="2600"/>
      <c r="D558" s="2600"/>
      <c r="E558" s="2600"/>
      <c r="F558" s="2600"/>
      <c r="G558" s="2600"/>
      <c r="H558" s="2600"/>
      <c r="I558" s="2600"/>
      <c r="L558" s="2570"/>
      <c r="Q558" s="3545"/>
      <c r="R558" s="50"/>
    </row>
    <row r="559" spans="1:18" ht="30" customHeight="1">
      <c r="B559" s="2579" t="s">
        <v>1216</v>
      </c>
      <c r="C559" s="2579"/>
      <c r="D559" s="2579"/>
      <c r="E559" s="2579"/>
      <c r="F559" s="2579"/>
      <c r="G559" s="2579"/>
      <c r="H559" s="2579"/>
      <c r="I559" s="2579"/>
      <c r="L559" s="2570"/>
      <c r="Q559" s="3545"/>
      <c r="R559" s="50"/>
    </row>
    <row r="560" spans="1:18" ht="10.5" customHeight="1">
      <c r="L560" s="2570"/>
      <c r="Q560" s="3546"/>
      <c r="R560" s="50"/>
    </row>
    <row r="561" spans="2:19" ht="17.649999999999999" hidden="1" customHeight="1">
      <c r="B561" s="311" t="str">
        <f>IF($M$561=0,"...",1)</f>
        <v>...</v>
      </c>
      <c r="C561" s="6" t="s">
        <v>1217</v>
      </c>
      <c r="I561" s="897">
        <f>IF(M561=0,0,1)*N(Eligible_Competitive_HC_Request_Amount)</f>
        <v>0</v>
      </c>
      <c r="L561" s="2570"/>
      <c r="M561" s="2569">
        <v>0</v>
      </c>
      <c r="Q561" s="3468">
        <f>IF(M561=0,0,IF(AND(M281&gt;0,N(Eligible_Competitive_HC_Request_Amount)&lt;N(Competitive_HC_Request_Amount)),1,0))</f>
        <v>0</v>
      </c>
      <c r="R561" s="855"/>
      <c r="S561" s="829"/>
    </row>
    <row r="562" spans="2:19" ht="17.649999999999999" hidden="1" customHeight="1">
      <c r="B562" s="6"/>
      <c r="C562" s="329" t="str">
        <f>"The Eligible Housing Credit Request Amount is multiplied by "&amp;TEXT(IF($N562=0,1,DS_Lev_MP_HC),"0.0")</f>
        <v>The Eligible Housing Credit Request Amount is multiplied by 0.0</v>
      </c>
      <c r="D562" s="330"/>
      <c r="E562" s="330"/>
      <c r="F562" s="330"/>
      <c r="G562" s="330"/>
      <c r="H562" s="330"/>
      <c r="I562" s="327">
        <f>I561*IF($N562=0,1,DS_Lev_MP_HC)</f>
        <v>0</v>
      </c>
      <c r="L562" s="2570"/>
      <c r="M562" s="2570"/>
      <c r="N562" s="2000">
        <v>1</v>
      </c>
      <c r="Q562" s="3467"/>
      <c r="R562" s="855"/>
      <c r="S562" s="829"/>
    </row>
    <row r="563" spans="2:19" ht="10.5" hidden="1" customHeight="1">
      <c r="B563" s="6"/>
      <c r="C563" s="6"/>
      <c r="I563" s="327"/>
      <c r="L563" s="2570"/>
      <c r="M563" s="2571"/>
      <c r="Q563" s="2202"/>
      <c r="R563" s="855"/>
      <c r="S563" s="829"/>
    </row>
    <row r="564" spans="2:19" ht="17.649999999999999" hidden="1" customHeight="1">
      <c r="B564" s="311" t="str">
        <f>IF($M564=0,"...",MAX(B$561:B563)+1)</f>
        <v>...</v>
      </c>
      <c r="C564" s="272" t="s">
        <v>1218</v>
      </c>
      <c r="I564" s="307">
        <f>IF(M564=0,0,1)*N(Eligible_Workforce_Request_Amount)</f>
        <v>0</v>
      </c>
      <c r="L564" s="2570"/>
      <c r="M564" s="2569">
        <v>0</v>
      </c>
      <c r="Q564" s="3466">
        <f>IF(M564=0,0,IF(AND(L4&gt;0,N(Eligible_Workforce_Request_Amount)&lt;N(Workforce_Request_Amount)),1,0))</f>
        <v>0</v>
      </c>
      <c r="R564" s="855"/>
      <c r="S564" s="829"/>
    </row>
    <row r="565" spans="2:19" ht="17.649999999999999" hidden="1" customHeight="1">
      <c r="B565" s="6"/>
      <c r="C565" s="328" t="s">
        <v>1219</v>
      </c>
      <c r="D565" s="271"/>
      <c r="E565" s="271"/>
      <c r="F565" s="271"/>
      <c r="G565" s="271"/>
      <c r="H565" s="271"/>
      <c r="I565" s="524"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565=0),"NA","No")))</f>
        <v>NA</v>
      </c>
      <c r="L565" s="2570"/>
      <c r="M565" s="2570"/>
      <c r="N565" s="2569">
        <v>0</v>
      </c>
      <c r="P565" s="2294" t="s">
        <v>1221</v>
      </c>
      <c r="Q565" s="3466"/>
      <c r="R565" s="855"/>
      <c r="S565" s="829"/>
    </row>
    <row r="566" spans="2:19" ht="17.649999999999999" hidden="1" customHeight="1">
      <c r="B566" s="6"/>
      <c r="C566" s="329" t="str">
        <f>IF(OR($I565="No",$I565="NA"),"There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66" s="330"/>
      <c r="E566" s="330"/>
      <c r="F566" s="330"/>
      <c r="G566" s="330"/>
      <c r="H566" s="330"/>
      <c r="I566" s="320">
        <f>I564*IF(I565="Yes",IF(OR($N565=0,$M564=0),1,DS_Lev_MP_Loan),1)</f>
        <v>0</v>
      </c>
      <c r="L566" s="2570"/>
      <c r="M566" s="2570"/>
      <c r="N566" s="2570"/>
      <c r="Q566" s="3467"/>
      <c r="R566" s="855"/>
      <c r="S566" s="829"/>
    </row>
    <row r="567" spans="2:19" ht="10.5" hidden="1" customHeight="1">
      <c r="B567" s="6"/>
      <c r="C567" s="6"/>
      <c r="I567" s="307"/>
      <c r="L567" s="2570"/>
      <c r="M567" s="2571"/>
      <c r="N567" s="2571"/>
      <c r="Q567" s="2200"/>
      <c r="R567" s="855"/>
      <c r="S567" s="829"/>
    </row>
    <row r="568" spans="2:19" ht="17.649999999999999" customHeight="1">
      <c r="B568" s="311">
        <f>IF($M568=0,"...",MAX(B$561:B567)+1)</f>
        <v>1</v>
      </c>
      <c r="C568" s="272" t="s">
        <v>1220</v>
      </c>
      <c r="D568" s="267"/>
      <c r="E568" s="267"/>
      <c r="F568" s="267"/>
      <c r="G568" s="267"/>
      <c r="H568" s="267"/>
      <c r="I568" s="897">
        <f>IF(M568=0,0,1)*N(Eligible_SAIL_Request_Amount)</f>
        <v>0</v>
      </c>
      <c r="L568" s="2570"/>
      <c r="M568" s="2569">
        <v>1</v>
      </c>
      <c r="Q568" s="3466">
        <f>IF(M568=0,0,IF(AND(L21&gt;0,N(Eligible_SAIL_Request_Amount)&lt;N(SAIL_Request_Amount)),1,0))</f>
        <v>0</v>
      </c>
      <c r="R568" s="855"/>
      <c r="S568" s="829"/>
    </row>
    <row r="569" spans="2:19" ht="17.649999999999999" customHeight="1">
      <c r="B569" s="311"/>
      <c r="C569" s="6" t="s">
        <v>1219</v>
      </c>
      <c r="I569"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569=0),"NA","No")))</f>
        <v>NA</v>
      </c>
      <c r="L569" s="2570"/>
      <c r="M569" s="2570"/>
      <c r="N569" s="2562">
        <v>1</v>
      </c>
      <c r="P569" s="2294" t="s">
        <v>1221</v>
      </c>
      <c r="Q569" s="3466"/>
      <c r="R569" s="855"/>
    </row>
    <row r="570" spans="2:19" ht="17.649999999999999" customHeight="1">
      <c r="B570" s="311"/>
      <c r="C570" s="329" t="str">
        <f>IF(OR($I569="No",$I569="NA"),"There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0" s="330"/>
      <c r="E570" s="330"/>
      <c r="F570" s="330"/>
      <c r="G570" s="330"/>
      <c r="H570" s="330"/>
      <c r="I570" s="327">
        <f>I568*IF(I569="Yes",IF(OR($M568=0,$N569=0),1,DS_Lev_MP_Loan),1)</f>
        <v>0</v>
      </c>
      <c r="L570" s="2570"/>
      <c r="M570" s="2570"/>
      <c r="N570" s="2565"/>
      <c r="Q570" s="3466"/>
      <c r="R570" s="829"/>
      <c r="S570" s="829"/>
    </row>
    <row r="571" spans="2:19" ht="17.649999999999999" hidden="1" customHeight="1">
      <c r="B571" s="311"/>
      <c r="C571" s="329" t="str">
        <f>"Multiply the resulting amount by the Live Local Levaraging Multiplier of "&amp;TEXT(IF(N571=0,1,IF(OR(DS_SAIL_ELI_Inclusive_PD="Yes",DS_SAIL_ELI_Inclusive_PU="Yes"),Data3!L95,Data3!K95)),"0.0000000")</f>
        <v>Multiply the resulting amount by the Live Local Levaraging Multiplier of 1.0000000</v>
      </c>
      <c r="D571" s="330"/>
      <c r="E571" s="330"/>
      <c r="F571" s="330"/>
      <c r="G571" s="330"/>
      <c r="H571" s="330"/>
      <c r="I571" s="327">
        <f>I570*IF(N571=0,1,IF(OR(DS_SAIL_ELI_Inclusive_PD="Yes",DS_SAIL_ELI_Inclusive_PU="Yes"),Data3!L95,Data3!K95))</f>
        <v>0</v>
      </c>
      <c r="L571" s="2570"/>
      <c r="M571" s="2570"/>
      <c r="N571" s="2000">
        <v>0</v>
      </c>
      <c r="Q571" s="3467"/>
      <c r="R571" s="829"/>
      <c r="S571" s="829"/>
    </row>
    <row r="572" spans="2:19" ht="10.5" customHeight="1" thickBot="1">
      <c r="B572" s="311"/>
      <c r="C572" s="6"/>
      <c r="I572" s="327"/>
      <c r="L572" s="2570"/>
      <c r="M572" s="2571"/>
      <c r="Q572" s="2200"/>
      <c r="R572" s="855"/>
      <c r="S572" s="829"/>
    </row>
    <row r="573" spans="2:19" ht="17.649999999999999" hidden="1" customHeight="1">
      <c r="B573" s="311" t="str">
        <f>IF($M573=0,"...",MAX(B$561:B572)+1)</f>
        <v>...</v>
      </c>
      <c r="C573" s="272" t="s">
        <v>1776</v>
      </c>
      <c r="D573" s="267"/>
      <c r="E573" s="267"/>
      <c r="F573" s="267"/>
      <c r="G573" s="267"/>
      <c r="H573" s="267"/>
      <c r="I573" s="897" cm="1">
        <f t="array" ref="I573">IF(M573=0,0,1)*N(Eligible_RRLP_Base_Request_Amount)</f>
        <v>0</v>
      </c>
      <c r="L573" s="2570"/>
      <c r="M573" s="2569">
        <v>0</v>
      </c>
      <c r="Q573" s="3466" cm="1">
        <f t="array" ref="Q573">IF(M573=0,0,IF(AND(L69&gt;0,N(Eligible_RRLP_Base_Request_Amount)&lt;N(RRLP_Base_Request_Amount)),1,0))</f>
        <v>0</v>
      </c>
      <c r="R573" s="855"/>
      <c r="S573" s="829"/>
    </row>
    <row r="574" spans="2:19" ht="17.649999999999999" hidden="1" customHeight="1">
      <c r="B574" s="311"/>
      <c r="C574" s="328" t="s">
        <v>1219</v>
      </c>
      <c r="D574" s="271"/>
      <c r="E574" s="271"/>
      <c r="F574" s="271"/>
      <c r="G574" s="271"/>
      <c r="H574" s="271"/>
      <c r="I574"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574=0),"NA","No")))</f>
        <v>NA</v>
      </c>
      <c r="L574" s="2570"/>
      <c r="M574" s="2570"/>
      <c r="N574" s="2562">
        <v>1</v>
      </c>
      <c r="P574" s="2294" t="s">
        <v>1221</v>
      </c>
      <c r="Q574" s="3466"/>
      <c r="R574" s="855"/>
      <c r="S574" s="829"/>
    </row>
    <row r="575" spans="2:19" ht="17.649999999999999" hidden="1" customHeight="1">
      <c r="B575" s="311"/>
      <c r="C575" s="329" t="str">
        <f>IF(OR($I574="No",$I574="NA"),"There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5" s="330"/>
      <c r="E575" s="330"/>
      <c r="F575" s="330"/>
      <c r="G575" s="330"/>
      <c r="H575" s="330"/>
      <c r="I575" s="320">
        <f>I573*IF(I574="Yes",IF(OR($M573=0,$N574=0),1,DS_Lev_MP_Loan),1)</f>
        <v>0</v>
      </c>
      <c r="L575" s="2570"/>
      <c r="M575" s="2570"/>
      <c r="N575" s="2565"/>
      <c r="Q575" s="3467"/>
      <c r="R575" s="855"/>
      <c r="S575" s="829"/>
    </row>
    <row r="576" spans="2:19" ht="10.5" hidden="1" customHeight="1">
      <c r="B576" s="311"/>
      <c r="C576" s="6"/>
      <c r="I576" s="307"/>
      <c r="L576" s="2570"/>
      <c r="M576" s="2571"/>
      <c r="Q576" s="2200"/>
      <c r="R576" s="855"/>
      <c r="S576" s="829"/>
    </row>
    <row r="577" spans="2:19" ht="17.649999999999999" hidden="1" customHeight="1">
      <c r="B577" s="311" t="str">
        <f>IF($M577=0,"...",MAX(B$561:B576)+1)</f>
        <v>...</v>
      </c>
      <c r="C577" s="272" t="s">
        <v>1222</v>
      </c>
      <c r="D577" s="267"/>
      <c r="E577" s="267"/>
      <c r="F577" s="267"/>
      <c r="G577" s="267"/>
      <c r="H577" s="267"/>
      <c r="I577" s="897">
        <f>IF(M577=0,0,1)*N(Eligible_HOME_Request_Amount)</f>
        <v>0</v>
      </c>
      <c r="L577" s="2570"/>
      <c r="M577" s="2569">
        <v>0</v>
      </c>
      <c r="Q577" s="3466">
        <f>IF(M577=0,0,IF(AND(L116&gt;0,N(Eligible_HOME_Request_Amount)&lt;N(HOME_Request_Amount)),1,0))</f>
        <v>0</v>
      </c>
      <c r="R577" s="855"/>
      <c r="S577" s="829"/>
    </row>
    <row r="578" spans="2:19" ht="17.649999999999999" hidden="1" customHeight="1">
      <c r="B578" s="311"/>
      <c r="C578" s="6" t="s">
        <v>1219</v>
      </c>
      <c r="I578"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578=0),"NA","No")))</f>
        <v>NA</v>
      </c>
      <c r="L578" s="2570"/>
      <c r="M578" s="2570"/>
      <c r="N578" s="2562">
        <v>1</v>
      </c>
      <c r="P578" s="2294" t="s">
        <v>1221</v>
      </c>
      <c r="Q578" s="3466"/>
      <c r="R578" s="855"/>
      <c r="S578" s="829"/>
    </row>
    <row r="579" spans="2:19" ht="17.649999999999999" hidden="1" customHeight="1">
      <c r="B579" s="311"/>
      <c r="C579" s="329" t="str">
        <f>IF(OR($I578="No",$I578="NA"),"There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9" s="330"/>
      <c r="E579" s="330"/>
      <c r="F579" s="330"/>
      <c r="G579" s="330"/>
      <c r="H579" s="330"/>
      <c r="I579" s="320">
        <f>I577*IF(I578="Yes",IF(OR($M577=0,$N578=0),1,DS_Lev_MP_Loan),1)</f>
        <v>0</v>
      </c>
      <c r="L579" s="2570"/>
      <c r="M579" s="2570"/>
      <c r="N579" s="2565"/>
      <c r="Q579" s="3467"/>
      <c r="R579" s="855"/>
      <c r="S579" s="829"/>
    </row>
    <row r="580" spans="2:19" ht="10.5" hidden="1" customHeight="1">
      <c r="B580" s="311"/>
      <c r="C580" s="6"/>
      <c r="I580" s="307"/>
      <c r="L580" s="2570"/>
      <c r="M580" s="2571"/>
      <c r="Q580" s="2200"/>
      <c r="R580" s="855"/>
      <c r="S580" s="829"/>
    </row>
    <row r="581" spans="2:19" ht="17.649999999999999" hidden="1" customHeight="1">
      <c r="B581" s="311" t="str">
        <f>IF($M581=0,"...",MAX(B$561:B580)+1)</f>
        <v>...</v>
      </c>
      <c r="C581" s="272" t="s">
        <v>1223</v>
      </c>
      <c r="D581" s="267"/>
      <c r="E581" s="267"/>
      <c r="F581" s="267"/>
      <c r="G581" s="267"/>
      <c r="H581" s="267"/>
      <c r="I581" s="897">
        <f>IF(M581=0,0,1)*N(Eligible_ARP_Request_Amount)</f>
        <v>0</v>
      </c>
      <c r="L581" s="2570"/>
      <c r="M581" s="2569">
        <v>0</v>
      </c>
      <c r="Q581" s="2203">
        <f>IF(M581=0,0,IF(AND(L191&gt;0,N(Eligible_ARP_Request_Amount)&lt;N(ARP_Request_Amount)),1,0))</f>
        <v>0</v>
      </c>
      <c r="R581" s="855"/>
      <c r="S581" s="829"/>
    </row>
    <row r="582" spans="2:19" ht="10.5" hidden="1" customHeight="1">
      <c r="B582" s="311"/>
      <c r="C582" s="6"/>
      <c r="I582" s="307"/>
      <c r="L582" s="2570"/>
      <c r="M582" s="2571"/>
      <c r="Q582" s="2200"/>
      <c r="R582" s="855"/>
      <c r="S582" s="829"/>
    </row>
    <row r="583" spans="2:19" ht="17.649999999999999" hidden="1" customHeight="1">
      <c r="B583" s="311" t="str">
        <f>IF($M583=0,"...",MAX(B$561:B582)+1)</f>
        <v>...</v>
      </c>
      <c r="C583" s="272" t="s">
        <v>1224</v>
      </c>
      <c r="D583" s="267"/>
      <c r="E583" s="267"/>
      <c r="F583" s="267"/>
      <c r="G583" s="267"/>
      <c r="H583" s="267"/>
      <c r="I583" s="897">
        <f>IF(M583=0,0,1)*N(Eligible_Grant_Request_Amount)</f>
        <v>0</v>
      </c>
      <c r="L583" s="2570"/>
      <c r="M583" s="2569">
        <v>0</v>
      </c>
      <c r="Q583" s="2203">
        <f>IF(M583=0,0,IF(AND(L205&gt;0,N(Eligible_Grant_Request_Amount)&lt;N(Grant_Request_Amount)),1,0))</f>
        <v>0</v>
      </c>
      <c r="R583" s="855"/>
      <c r="S583" s="829"/>
    </row>
    <row r="584" spans="2:19" ht="10.5" hidden="1" customHeight="1">
      <c r="B584" s="311"/>
      <c r="C584" s="6"/>
      <c r="I584" s="307"/>
      <c r="L584" s="2570"/>
      <c r="M584" s="2571"/>
      <c r="Q584" s="2200"/>
      <c r="R584" s="855"/>
      <c r="S584" s="829"/>
    </row>
    <row r="585" spans="2:19" ht="17.649999999999999" hidden="1" customHeight="1">
      <c r="B585" s="311" t="str">
        <f>IF($M585=0,"...",MAX(B$561:B584)+1)</f>
        <v>...</v>
      </c>
      <c r="C585" s="272" t="s">
        <v>1225</v>
      </c>
      <c r="D585" s="267"/>
      <c r="E585" s="267"/>
      <c r="F585" s="267"/>
      <c r="G585" s="267"/>
      <c r="H585" s="267"/>
      <c r="I585" s="897">
        <f>IF($M585=0,0,1)*IF($L213&gt;0,N(Eligible_NHTF_Request_Amount),NHTF_Funding_Combined_Units)</f>
        <v>0</v>
      </c>
      <c r="L585" s="2570"/>
      <c r="M585" s="2569">
        <v>0</v>
      </c>
      <c r="Q585" s="2203">
        <f>IF(M585=0,0,IF(AND(L213&gt;0,N(Eligible_NHTF_Request_Amount)&lt;N(NHTF_Request_Amount)),1,0))</f>
        <v>0</v>
      </c>
      <c r="R585" s="855"/>
      <c r="S585" s="829"/>
    </row>
    <row r="586" spans="2:19" ht="10.5" hidden="1" customHeight="1">
      <c r="B586" s="311"/>
      <c r="C586" s="6"/>
      <c r="I586" s="307"/>
      <c r="L586" s="2570"/>
      <c r="M586" s="2571"/>
      <c r="Q586" s="2200"/>
      <c r="R586" s="855"/>
      <c r="S586" s="829"/>
    </row>
    <row r="587" spans="2:19" ht="17.649999999999999" hidden="1" customHeight="1">
      <c r="B587" s="311" t="str">
        <f>IF($M587=0,"...",MAX(B$561:B586)+1)</f>
        <v>...</v>
      </c>
      <c r="C587" s="272" t="s">
        <v>1750</v>
      </c>
      <c r="D587" s="267"/>
      <c r="E587" s="267"/>
      <c r="F587" s="267"/>
      <c r="G587" s="267"/>
      <c r="H587" s="267"/>
      <c r="I587" s="897">
        <f>IF(M587=0,0,1)*(N(Eligible_CDBG_DR_Land_Request_Amount)+N(Eligible_CDBG_DR_Dev_Request_Amount))</f>
        <v>0</v>
      </c>
      <c r="L587" s="2570"/>
      <c r="M587" s="2569">
        <v>0</v>
      </c>
      <c r="Q587" s="3466">
        <f>IF(M587=0,0,IF(AND(L239&gt;0,N(Eligible_CDBG_DR_Dev_Request_Amount)&lt;N(CDBG_DR_Dev_Request_Amount)),1,0))</f>
        <v>0</v>
      </c>
      <c r="R587" s="855"/>
      <c r="S587" s="829"/>
    </row>
    <row r="588" spans="2:19" ht="17.649999999999999" hidden="1" customHeight="1">
      <c r="B588" s="311"/>
      <c r="C588" s="273" t="s">
        <v>1219</v>
      </c>
      <c r="D588" s="251"/>
      <c r="E588" s="251"/>
      <c r="F588" s="251"/>
      <c r="G588" s="251"/>
      <c r="H588" s="251"/>
      <c r="I588"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588=0),"NA","No")))</f>
        <v>NA</v>
      </c>
      <c r="L588" s="2570"/>
      <c r="M588" s="2570"/>
      <c r="N588" s="2562">
        <v>1</v>
      </c>
      <c r="P588" s="2294" t="s">
        <v>1221</v>
      </c>
      <c r="Q588" s="3466"/>
      <c r="R588" s="855"/>
      <c r="S588" s="829"/>
    </row>
    <row r="589" spans="2:19" ht="17.649999999999999" hidden="1" customHeight="1">
      <c r="B589" s="311"/>
      <c r="C589" s="329" t="str">
        <f>IF(OR($I588="No",$I588="NA"),"There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89" s="330"/>
      <c r="E589" s="330"/>
      <c r="F589" s="330"/>
      <c r="G589" s="330"/>
      <c r="H589" s="330"/>
      <c r="I589" s="320">
        <f>I587*IF(I588="Yes",IF(OR($M587=0,$N588=0),1,DS_Lev_MP_Loan),1)</f>
        <v>0</v>
      </c>
      <c r="L589" s="2570"/>
      <c r="M589" s="2570"/>
      <c r="N589" s="2565"/>
      <c r="Q589" s="3467"/>
      <c r="R589" s="855"/>
      <c r="S589" s="829"/>
    </row>
    <row r="590" spans="2:19" ht="10.5" hidden="1" customHeight="1" thickBot="1">
      <c r="B590" s="311"/>
      <c r="C590" s="6"/>
      <c r="I590" s="307"/>
      <c r="L590" s="2570"/>
      <c r="M590" s="2571"/>
      <c r="Q590" s="2200"/>
      <c r="R590" s="855"/>
      <c r="S590" s="829"/>
    </row>
    <row r="591" spans="2:19" ht="17.649999999999999" customHeight="1" thickTop="1">
      <c r="B591" s="311">
        <f>IF($M591=0,"...",MAX(B$561:B590)+1)</f>
        <v>2</v>
      </c>
      <c r="C591" s="272" t="str">
        <f>"Corp. Funding Sources leveraging subtotal"&amp;IF(M561*N562+M564*N565+M568*N569+M573*N574+M577*N578&gt;0,", incl. of applicable HC basis boost multipliers","")</f>
        <v>Corp. Funding Sources leveraging subtotal, incl. of applicable HC basis boost multipliers</v>
      </c>
      <c r="D591" s="267"/>
      <c r="E591" s="267"/>
      <c r="F591" s="267"/>
      <c r="G591" s="267"/>
      <c r="H591" s="267"/>
      <c r="I591" s="897">
        <f>(I562+I566+I571+I575+I579+I581+I583+I585+I589)</f>
        <v>0</v>
      </c>
      <c r="L591" s="2570"/>
      <c r="M591" s="2569">
        <v>1</v>
      </c>
      <c r="P591" s="2294" t="s">
        <v>1226</v>
      </c>
      <c r="Q591" s="2201">
        <f>SUM(Q561:Q590)</f>
        <v>0</v>
      </c>
      <c r="R591" s="855"/>
    </row>
    <row r="592" spans="2:19" ht="10.5" customHeight="1">
      <c r="B592" s="311"/>
      <c r="C592" s="6"/>
      <c r="I592" s="307"/>
      <c r="L592" s="2570"/>
      <c r="M592" s="2571"/>
      <c r="R592" s="855"/>
      <c r="S592" s="829"/>
    </row>
    <row r="593" spans="1:19" ht="17.649999999999999" customHeight="1">
      <c r="B593" s="311">
        <f>IF($M593=0,"...",MAX(B$561:B592)+1)</f>
        <v>3</v>
      </c>
      <c r="C593" s="6" t="s">
        <v>1227</v>
      </c>
      <c r="I593" s="908" t="str">
        <f>IF(County="Broward","Yes","No")</f>
        <v>No</v>
      </c>
      <c r="L593" s="2570"/>
      <c r="M593" s="2569">
        <v>1</v>
      </c>
      <c r="R593" s="855"/>
      <c r="S593" s="829"/>
    </row>
    <row r="594" spans="1:19" ht="17.649999999999999" customHeight="1">
      <c r="B594" s="6"/>
      <c r="C594" s="329" t="str">
        <f>"If the proposed Development is located in Broward County, multiply by "&amp;TEXT(IF($M593=0,1,DS_Lev_MP_Broward),"0.00")</f>
        <v>If the proposed Development is located in Broward County, multiply by 0.88</v>
      </c>
      <c r="D594" s="330"/>
      <c r="E594" s="330"/>
      <c r="F594" s="330"/>
      <c r="G594" s="330"/>
      <c r="H594" s="330"/>
      <c r="I594" s="327">
        <f>I591*IF(I593="Yes",IF($M593=0,1,DS_Lev_MP_Broward),1)</f>
        <v>0</v>
      </c>
      <c r="L594" s="2570"/>
      <c r="M594" s="2570"/>
      <c r="R594" s="829"/>
      <c r="S594" s="829"/>
    </row>
    <row r="595" spans="1:19" ht="10.5" customHeight="1">
      <c r="B595" s="6"/>
      <c r="C595" s="6"/>
      <c r="I595" s="327"/>
      <c r="L595" s="2570"/>
      <c r="M595" s="2571"/>
      <c r="R595" s="855"/>
      <c r="S595" s="829"/>
    </row>
    <row r="596" spans="1:19" ht="17.649999999999999" hidden="1" customHeight="1">
      <c r="B596" s="311" t="str">
        <f>IF($M596=0,"...",MAX(B$561:B595)+1)</f>
        <v>...</v>
      </c>
      <c r="C596" s="6" t="str">
        <f>"Does the proposed "&amp;IF(Demographic="Elderly Non-ALF","Elderly ","")&amp;"Development qualify for the larger number of bedrooms multiplier?"</f>
        <v>Does the proposed Development qualify for the larger number of bedrooms multiplier?</v>
      </c>
      <c r="I596" s="1153" t="str">
        <f>IF(Development_Category="New Construction",IF(OR(Demographic="Elderly Non-ALF",Demographic="Elderly ALF",SUM('Units, Set-Asides, Bldgs'!H107:H109)+SUM('Units, Set-Asides, Bldgs'!H117:H121)+SUMPRODUCT('Units, Set-Asides, Bldgs'!H110:H116,'Units, Set-Asides, Bldgs'!O110:O116)+Five_Bed_Total_Units*'Units, Set-Asides, Bldgs'!O122&gt;0),"Yes","No"),"No")</f>
        <v>No</v>
      </c>
      <c r="L596" s="2570"/>
      <c r="M596" s="2569">
        <v>0</v>
      </c>
      <c r="R596" s="855"/>
      <c r="S596" s="829"/>
    </row>
    <row r="597" spans="1:19" ht="17.649999999999999" hidden="1" customHeight="1">
      <c r="B597" s="6"/>
      <c r="C597" s="329" t="str">
        <f>"If "&amp;IF(I596="Yes","yes","no")&amp;", multiply by "&amp;TEXT(IF(OR($M$596=0,I596&lt;&gt;"Yes"),1,DS_Lev_MP_Bedrooms),"0.000")</f>
        <v>If no, multiply by 1.000</v>
      </c>
      <c r="D597" s="330"/>
      <c r="E597" s="330"/>
      <c r="F597" s="330"/>
      <c r="G597" s="330"/>
      <c r="H597" s="330"/>
      <c r="I597" s="320">
        <f>I594*IF(I596="Yes",IF($M596=0,1,DS_Lev_MP_Bedrooms),1)</f>
        <v>0</v>
      </c>
      <c r="L597" s="2570"/>
      <c r="M597" s="2570"/>
      <c r="R597" s="855"/>
      <c r="S597" s="829"/>
    </row>
    <row r="598" spans="1:19" ht="10.5" hidden="1" customHeight="1">
      <c r="B598" s="6"/>
      <c r="C598" s="6"/>
      <c r="I598" s="307"/>
      <c r="L598" s="2570"/>
      <c r="M598" s="2670"/>
      <c r="R598" s="855"/>
      <c r="S598" s="829"/>
    </row>
    <row r="599" spans="1:19" ht="17.649999999999999" customHeight="1">
      <c r="B599" s="91">
        <f>IF($M599=0,"...",MAX(B$561:B598)+1)</f>
        <v>4</v>
      </c>
      <c r="C599" s="3469" t="s">
        <v>1228</v>
      </c>
      <c r="D599" s="3469"/>
      <c r="E599" s="3469"/>
      <c r="F599" s="3469"/>
      <c r="G599" s="3469"/>
      <c r="H599" s="3469"/>
      <c r="I599" s="908" t="str">
        <f>IF(OR(PHA_land_lease="Yes",PHA_as_Principal="Yes"),"Yes","No")</f>
        <v>No</v>
      </c>
      <c r="L599" s="2570"/>
      <c r="M599" s="2569">
        <v>1</v>
      </c>
      <c r="R599" s="855"/>
      <c r="S599" s="829"/>
    </row>
    <row r="600" spans="1:19" ht="17.649999999999999" customHeight="1">
      <c r="B600" s="6"/>
      <c r="C600" s="3470" t="str">
        <f>"If "&amp;IF(I599="Yes","yes","no")&amp;", multiply by "&amp;TEXT(IF(OR($M$599=0,I599="No"),1,DS_Lev_MP_PHA),"0.00")</f>
        <v>If no, multiply by 1.00</v>
      </c>
      <c r="D600" s="3470"/>
      <c r="E600" s="3470"/>
      <c r="F600" s="3470"/>
      <c r="G600" s="3470"/>
      <c r="H600" s="3470"/>
      <c r="I600" s="327">
        <f>I597*IF(I599="Yes",IF($M599=0,1,DS_Lev_MP_PHA),1)</f>
        <v>0</v>
      </c>
      <c r="L600" s="2570"/>
      <c r="M600" s="2570"/>
      <c r="R600" s="829"/>
      <c r="S600" s="829"/>
    </row>
    <row r="601" spans="1:19" ht="10.5" customHeight="1">
      <c r="B601" s="6"/>
      <c r="C601" s="6"/>
      <c r="I601" s="327"/>
      <c r="L601" s="2570"/>
      <c r="M601" s="2571"/>
      <c r="R601" s="855"/>
      <c r="S601" s="829"/>
    </row>
    <row r="602" spans="1:19" ht="45" customHeight="1">
      <c r="B602" s="91">
        <f>IF($M602=0,"...",MAX(B$561:B601)+1)</f>
        <v>5</v>
      </c>
      <c r="C602" s="2574" t="str">
        <f>"What is the overall Development Type Leveraging Multiplier derived from the bottom row of the 'Unit Characteristics' table from Section 4.A.4."&amp;'Proposed Development Info'!A133&amp;". (Breakdown of Number of Units) in the Proposed Development Info tab?"</f>
        <v>What is the overall Development Type Leveraging Multiplier derived from the bottom row of the 'Unit Characteristics' table from Section 4.A.4.e. (Breakdown of Number of Units) in the Proposed Development Info tab?</v>
      </c>
      <c r="D602" s="2574"/>
      <c r="E602" s="2574"/>
      <c r="F602" s="2574"/>
      <c r="G602" s="2574"/>
      <c r="H602" s="2574"/>
      <c r="I602" s="909">
        <f>'Proposed Development Info'!I161</f>
        <v>0</v>
      </c>
      <c r="L602" s="2570"/>
      <c r="M602" s="2569">
        <v>1</v>
      </c>
      <c r="P602" s="2295" t="s">
        <v>1226</v>
      </c>
      <c r="R602" s="855"/>
    </row>
    <row r="603" spans="1:19" ht="17.649999999999999" customHeight="1">
      <c r="B603" s="6"/>
      <c r="C603" s="829" t="s">
        <v>1229</v>
      </c>
      <c r="D603" s="829"/>
      <c r="E603" s="829"/>
      <c r="F603" s="829"/>
      <c r="G603" s="829"/>
      <c r="H603" s="829"/>
      <c r="I603" s="320">
        <f>I600*IF($M602=0,1,I602)</f>
        <v>0</v>
      </c>
      <c r="J603" s="443"/>
      <c r="K603" s="443"/>
      <c r="L603" s="2570"/>
      <c r="M603" s="2570"/>
    </row>
    <row r="604" spans="1:19" ht="17.649999999999999" customHeight="1">
      <c r="C604" s="330" t="str">
        <f>"What is the Applicant's total Corporation's funding per Set-Aside Unit ("&amp;TEXT(IF(Minimum_SetAside_per_Sec_42=DS_IRS_AIT,SUM('Units, Set-Asides, Bldgs'!F71:F82),SUM('Units, Set-Asides, Bldgs'!F50:F63)),"0")&amp;" SAUs)?"</f>
        <v>What is the Applicant's total Corporation's funding per Set-Aside Unit (0 SAUs)?</v>
      </c>
      <c r="D604" s="330"/>
      <c r="E604" s="330"/>
      <c r="F604" s="330"/>
      <c r="G604" s="330"/>
      <c r="H604" s="330"/>
      <c r="I604" s="1528">
        <f>IFERROR(ROUND(IF(MAX(total_HC_units_NonAIT+SUM('Units, Set-Asides, Bldgs'!$F59:$F63),total_HC_units_AIT+SUM('Units, Set-Asides, Bldgs'!$F78:$F82))=0,0,Funding!$I603/IF(OR(Minimum_SetAside_per_Sec_42=DS_IRS_AIT,AND(Minimum_SetAside_per_Sec_42=DS_FHFC_NonHC,DS_FHFC_NonHC_Table="AIT")),total_HC_units_AIT+SUM('Units, Set-Asides, Bldgs'!$F78:$F82),total_HC_units_NonAIT+SUM('Units, Set-Asides, Bldgs'!$F59:$F63))),2),"See Set-Aside Chart")</f>
        <v>0</v>
      </c>
      <c r="J604" s="443"/>
      <c r="K604" s="443"/>
      <c r="L604" s="2570"/>
      <c r="M604" s="2570"/>
      <c r="P604" s="2294" t="s">
        <v>1230</v>
      </c>
    </row>
    <row r="605" spans="1:19" ht="10.5" customHeight="1">
      <c r="L605" s="2571"/>
      <c r="M605" s="2571"/>
    </row>
    <row r="606" spans="1:19" ht="17.649999999999999" customHeight="1">
      <c r="A606" s="93"/>
      <c r="B606" s="2548" t="s">
        <v>1231</v>
      </c>
      <c r="C606" s="2548"/>
      <c r="D606" s="2548"/>
      <c r="E606" s="2548"/>
      <c r="F606" s="2548"/>
      <c r="G606" s="2548"/>
      <c r="H606" s="2548"/>
      <c r="I606" s="2548"/>
      <c r="L606" s="3440">
        <v>1</v>
      </c>
    </row>
    <row r="607" spans="1:19" ht="10.5" customHeight="1">
      <c r="L607" s="3441"/>
    </row>
    <row r="608" spans="1:19" ht="65.25" customHeight="1">
      <c r="B608" s="2544"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Info'!A133&amp;". in the 'Proposed Development Info' tab."</f>
        <v>In order to earn the Florida Job Creation Funding Preference, the Applicant will need to earn a Florida Job Creation score equal to or greater than 12.60, which represents the number of Florida jobs per $1,000,000 of SAIL funding. The number of A/R and R units are taken from the Unit Characteristic Chart at Section 4.A.4.e. in the 'Proposed Development Info' tab.</v>
      </c>
      <c r="C608" s="2544"/>
      <c r="D608" s="2544"/>
      <c r="E608" s="2544"/>
      <c r="F608" s="2544"/>
      <c r="G608" s="2544"/>
      <c r="H608" s="2544"/>
      <c r="I608" s="2544"/>
      <c r="L608" s="3441"/>
    </row>
    <row r="609" spans="2:12" ht="10.5" customHeight="1">
      <c r="L609" s="3441"/>
    </row>
    <row r="610" spans="2:12" ht="14.65" customHeight="1">
      <c r="B610" s="829" t="s">
        <v>1232</v>
      </c>
      <c r="L610" s="3441"/>
    </row>
    <row r="611" spans="2:12" ht="10.5" customHeight="1">
      <c r="L611" s="3441"/>
    </row>
    <row r="612" spans="2:12" ht="30" customHeight="1">
      <c r="B612" s="2579" t="str">
        <f>IF('Proposed Development Info'!H161=0,IF(COUNTIF(DS_DevCat_Sequence,"&gt;0")&gt;1," [ ","")&amp;IF(Data1!$B$230=1,"( 0 NC MF Units x "&amp;TEXT(DS_FLJobs_MFNC,"0.000")&amp;" )"&amp;IF(SUM('Proposed Development Info'!L143:L144)&gt;0,"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Info'!H138:H142)+SUM('Proposed Development Info'!H145:H146)&gt;0,1,0)+IF(SUM('Proposed Development Info'!H143:H144)&gt;0,1,0)+IF(SUM('Proposed Development Info'!H147:H153)&gt;0,1,0)+IF(SUM('Proposed Development Info'!H154:H160)&gt;0,1,0)&gt;1," [ ","")&amp;IF(SUM('Proposed Development Info'!H138:H142)+SUM('Proposed Development Info'!H145:H146)&gt;0,"( "&amp;TEXT(SUM('Proposed Development Info'!H138:H142)+SUM('Proposed Development Info'!H145:H146),"0")&amp;" NC MF Units x "&amp;TEXT(DS_FLJobs_MFNC,"0.000")&amp;" )","")&amp;IF(AND(SUM('Proposed Development Info'!H138:H142)+SUM('Proposed Development Info'!H145:H146)&gt;0,SUM('Proposed Development Info'!H143:H144)+SUM('Proposed Development Info'!H147:H160)&gt;0)," + ","")&amp;IF(SUM('Proposed Development Info'!H143:H144)&gt;0,"( "&amp;TEXT(SUM('Proposed Development Info'!H143:H144),"0")&amp;" NC SF Units x "&amp;TEXT(DS_FLJobs_SFNC,"0.000")&amp;" )","")&amp;IF(AND(SUM('Proposed Development Info'!H143:H144)&gt;0,SUM('Proposed Development Info'!H147:H160)&gt;0)," + ","")&amp;IF(SUM('Proposed Development Info'!H147:H153)&gt;0,"( "&amp;TEXT(SUM('Proposed Development Info'!H147:H153),"0")&amp;" A/R MF Units x "&amp;TEXT(DS_FLJobs_MFAR,"0.000")&amp;" )","")&amp;IF(AND(SUM('Proposed Development Info'!H138:H153)&gt;0,SUM('Proposed Development Info'!H154:H160)&gt;0)," + ","")&amp;IF(SUM('Proposed Development Info'!H154:H160)&gt;0,"( "&amp;TEXT(SUM('Proposed Development Info'!H154:H160),"0")&amp;" R MF Units x "&amp;TEXT(DS_FLJobs_MFRO,"0.000")&amp;" ) ","")&amp;IF(IF(SUM('Proposed Development Info'!H138:H142)+SUM('Proposed Development Info'!H145:H146)&gt;0,1,0)+IF(SUM('Proposed Development Info'!H143:H144)&gt;0,1,0)+IF(SUM('Proposed Development Info'!H147:H153)&gt;0,1,0)+IF(SUM('Proposed Development Info'!H154:H160)&gt;0,1,0)&gt;1," ]",""))&amp;" x 1,000,000 / ( "&amp;IF(Data3!H224=1,TEXT(Eligible_Competitive_HC_Request_Amount,"$#,##0")&amp;" HC x "&amp;TEXT(DS_FLJobs_MP_HC,"0.0")&amp;IF(SUM(Data3!H225:H232)&gt;0," + "," ) "),"")&amp;IF(Data3!H225=1,TEXT(Eligible_Workforce_Request_Amount,"$#,##0")&amp;" Workforce"&amp;IF(SUM(Data3!H226:H232)&gt;0," + "," ) "),"")&amp;IF(Data3!H226=1,TEXT(Eligible_SAIL_Request_Amount,"$#,##0")&amp;" SAIL"&amp;IF(SUM(Data3!H227:H232)&gt;0," + "," ) "),"")&amp;IF(Data3!H227=1,TEXT(Eligible_RRLP_Base_Request_Amount,"$#,##0")&amp;" RRLP"&amp;IF(SUM(Data3!H228:H232)&gt;0," + "," ) "),"")&amp;IF(Data3!H228=1,TEXT(Eligible_HOME_Request_Amount,"$#,##0")&amp;" HOME"&amp;IF(SUM(Data3!H229:H232)&gt;0," + "," ) "),"")&amp;IF(Data3!H229=1,TEXT(Eligible_ARP_Request_Amount,"$#,##0")&amp;" HOME-ARP"&amp;IF(SUM(Data3!H230:H232)&gt;0," + "," ) "),"")&amp;IF(Data3!H230=1,TEXT(Eligible_Grant_Request_Amount,"$#,##0")&amp;" Grant"&amp;IF(SUM(Data3!H231:H232)&gt;0," + "," ) "),"")&amp;IF(Data3!H231=1,TEXT(Eligible_NHTF_Request_Amount,"$#,##0")&amp;" NHTF"&amp;IF(Data3!H232&gt;0," + "," ) "),"")&amp;IF(Data3!H232=1,TEXT(Eligible_CDBG_DR_Dev_Request_Amount+Eligible_CDBG_DR_Land_Request_Amount,"$#,##0")&amp;" CDBG-DR )","")&amp;IF(SUM(Data3!H224:H232)=0,"?? )","")&amp;" = Florida Job Creation Score of "&amp;TEXT(FLJobs_Score,"0.00")&amp;"."</f>
        <v xml:space="preserve"> [ ( 0 A/R MF Units x 1.457 ) + ( 0 R MF Units x 3.766 )  ]  x 1,000,000 / ( $0 SAIL )  = Florida Job Creation Score of 0.00.</v>
      </c>
      <c r="C612" s="2581"/>
      <c r="D612" s="2581"/>
      <c r="E612" s="2581"/>
      <c r="F612" s="2581"/>
      <c r="G612" s="2581"/>
      <c r="H612" s="2581"/>
      <c r="I612" s="2581"/>
      <c r="L612" s="3441"/>
    </row>
    <row r="613" spans="2:12" ht="10.5" customHeight="1">
      <c r="L613" s="3441"/>
    </row>
    <row r="614" spans="2:12" ht="17.649999999999999" customHeight="1">
      <c r="B614" s="829" t="str">
        <f>"A Florida Job Creation score of "&amp;TEXT(FLJobs_Score,"0.00")&amp;IF(FLJobs_Score&gt;=DS_FLJobs_Min_Score1," earns"," does NOT earn")&amp;" the Florida Job Creation Funding Preference."</f>
        <v>A Florida Job Creation score of 0.00 does NOT earn the Florida Job Creation Funding Preference.</v>
      </c>
      <c r="L614" s="3441"/>
    </row>
    <row r="615" spans="2:12" ht="10.5" customHeight="1">
      <c r="L615" s="3219"/>
    </row>
    <row r="619" spans="2:12">
      <c r="B619" s="443"/>
      <c r="C619" s="443"/>
      <c r="D619" s="443"/>
      <c r="E619" s="443"/>
      <c r="F619" s="443"/>
      <c r="G619" s="443"/>
      <c r="H619" s="443"/>
      <c r="I619" s="443"/>
    </row>
    <row r="620" spans="2:12">
      <c r="B620" s="443"/>
      <c r="C620" s="443"/>
      <c r="D620" s="443"/>
      <c r="E620" s="443"/>
      <c r="F620" s="443"/>
      <c r="G620" s="443"/>
      <c r="H620" s="443"/>
      <c r="I620" s="443"/>
    </row>
  </sheetData>
  <sheetProtection algorithmName="SHA-512" hashValue="KEg87BOaMNH7ZyisE/PwETataye8KwFX5lcbu2jIPBbV6WNKllNvfjdjYC75tkcWSl9sKIBdSoZb92ZJYBUbHA==" saltValue="KCFV66snaBWLipf/z7zMzg==" spinCount="100000" sheet="1" selectLockedCells="1"/>
  <sortState xmlns:xlrd2="http://schemas.microsoft.com/office/spreadsheetml/2017/richdata2" ref="S211:W214">
    <sortCondition ref="W211:W214"/>
  </sortState>
  <mergeCells count="326">
    <mergeCell ref="Q555:Q560"/>
    <mergeCell ref="N485:N488"/>
    <mergeCell ref="E468:H469"/>
    <mergeCell ref="C457:I458"/>
    <mergeCell ref="D438:I438"/>
    <mergeCell ref="E440:F440"/>
    <mergeCell ref="C448:I448"/>
    <mergeCell ref="E442:F442"/>
    <mergeCell ref="E443:F443"/>
    <mergeCell ref="C503:F503"/>
    <mergeCell ref="E467:H467"/>
    <mergeCell ref="E465:H465"/>
    <mergeCell ref="E466:H466"/>
    <mergeCell ref="B446:I446"/>
    <mergeCell ref="E449:G449"/>
    <mergeCell ref="P528:P530"/>
    <mergeCell ref="D412:I412"/>
    <mergeCell ref="D422:I422"/>
    <mergeCell ref="E424:H424"/>
    <mergeCell ref="D429:I429"/>
    <mergeCell ref="D428:I428"/>
    <mergeCell ref="L385:L430"/>
    <mergeCell ref="N422:N425"/>
    <mergeCell ref="N426:N430"/>
    <mergeCell ref="D433:I433"/>
    <mergeCell ref="C431:I431"/>
    <mergeCell ref="C388:I388"/>
    <mergeCell ref="D420:H420"/>
    <mergeCell ref="E398:H398"/>
    <mergeCell ref="D414:H414"/>
    <mergeCell ref="D427:H427"/>
    <mergeCell ref="E395:I395"/>
    <mergeCell ref="E397:H397"/>
    <mergeCell ref="E396:H396"/>
    <mergeCell ref="E401:H401"/>
    <mergeCell ref="P226:Q227"/>
    <mergeCell ref="P228:Q229"/>
    <mergeCell ref="P230:Q231"/>
    <mergeCell ref="P279:Q280"/>
    <mergeCell ref="P303:Q303"/>
    <mergeCell ref="N368:N370"/>
    <mergeCell ref="N374:N376"/>
    <mergeCell ref="E372:F372"/>
    <mergeCell ref="G372:I372"/>
    <mergeCell ref="E375:F375"/>
    <mergeCell ref="G375:I375"/>
    <mergeCell ref="G366:I366"/>
    <mergeCell ref="G369:I369"/>
    <mergeCell ref="E369:F369"/>
    <mergeCell ref="E374:I374"/>
    <mergeCell ref="E361:I361"/>
    <mergeCell ref="E346:I346"/>
    <mergeCell ref="E365:I365"/>
    <mergeCell ref="E316:I316"/>
    <mergeCell ref="E317:F317"/>
    <mergeCell ref="F356:I356"/>
    <mergeCell ref="F359:I359"/>
    <mergeCell ref="E368:I368"/>
    <mergeCell ref="E358:I358"/>
    <mergeCell ref="E381:F381"/>
    <mergeCell ref="C387:H387"/>
    <mergeCell ref="C390:I390"/>
    <mergeCell ref="D403:H403"/>
    <mergeCell ref="D410:G410"/>
    <mergeCell ref="G381:I381"/>
    <mergeCell ref="G379:I379"/>
    <mergeCell ref="E379:F379"/>
    <mergeCell ref="E378:I378"/>
    <mergeCell ref="E380:I380"/>
    <mergeCell ref="D409:I409"/>
    <mergeCell ref="B612:I612"/>
    <mergeCell ref="E441:F441"/>
    <mergeCell ref="B559:I559"/>
    <mergeCell ref="D523:F523"/>
    <mergeCell ref="D526:F526"/>
    <mergeCell ref="C522:I522"/>
    <mergeCell ref="C525:I525"/>
    <mergeCell ref="B520:I520"/>
    <mergeCell ref="E444:F444"/>
    <mergeCell ref="B475:I475"/>
    <mergeCell ref="C479:I479"/>
    <mergeCell ref="C602:H602"/>
    <mergeCell ref="B606:I606"/>
    <mergeCell ref="B608:I608"/>
    <mergeCell ref="B558:I558"/>
    <mergeCell ref="E450:G450"/>
    <mergeCell ref="C531:I531"/>
    <mergeCell ref="I468:I469"/>
    <mergeCell ref="E363:I363"/>
    <mergeCell ref="E355:I355"/>
    <mergeCell ref="E366:F366"/>
    <mergeCell ref="I167:I172"/>
    <mergeCell ref="D173:H173"/>
    <mergeCell ref="D175:H175"/>
    <mergeCell ref="C190:I190"/>
    <mergeCell ref="E347:F347"/>
    <mergeCell ref="G351:I351"/>
    <mergeCell ref="E338:F338"/>
    <mergeCell ref="E342:F343"/>
    <mergeCell ref="E340:H340"/>
    <mergeCell ref="E349:F349"/>
    <mergeCell ref="E350:F350"/>
    <mergeCell ref="E351:F351"/>
    <mergeCell ref="D299:H299"/>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29:I29"/>
    <mergeCell ref="E31:I31"/>
    <mergeCell ref="E37:I37"/>
    <mergeCell ref="E13:H13"/>
    <mergeCell ref="D222:H222"/>
    <mergeCell ref="E25:I25"/>
    <mergeCell ref="H21:I21"/>
    <mergeCell ref="E27:I27"/>
    <mergeCell ref="I38:I44"/>
    <mergeCell ref="E34:I34"/>
    <mergeCell ref="E79:H79"/>
    <mergeCell ref="E93:H93"/>
    <mergeCell ref="C453:I453"/>
    <mergeCell ref="E199:H199"/>
    <mergeCell ref="D310:H310"/>
    <mergeCell ref="E322:F322"/>
    <mergeCell ref="E325:F325"/>
    <mergeCell ref="E327:F327"/>
    <mergeCell ref="G329:I329"/>
    <mergeCell ref="E328:F328"/>
    <mergeCell ref="D220:H220"/>
    <mergeCell ref="E273:H273"/>
    <mergeCell ref="E297:H297"/>
    <mergeCell ref="D207:G207"/>
    <mergeCell ref="D209:H209"/>
    <mergeCell ref="D201:H201"/>
    <mergeCell ref="D231:I231"/>
    <mergeCell ref="I214:I219"/>
    <mergeCell ref="E313:F313"/>
    <mergeCell ref="G322:I322"/>
    <mergeCell ref="E45:I45"/>
    <mergeCell ref="I192:I197"/>
    <mergeCell ref="E333:F333"/>
    <mergeCell ref="B35:D35"/>
    <mergeCell ref="B36:D36"/>
    <mergeCell ref="B38:D38"/>
    <mergeCell ref="B39:D39"/>
    <mergeCell ref="B40:D40"/>
    <mergeCell ref="B42:D42"/>
    <mergeCell ref="B44:D44"/>
    <mergeCell ref="D97:H97"/>
    <mergeCell ref="D111:H111"/>
    <mergeCell ref="D72:I72"/>
    <mergeCell ref="E63:H63"/>
    <mergeCell ref="E105:H105"/>
    <mergeCell ref="D65:H65"/>
    <mergeCell ref="H59:I59"/>
    <mergeCell ref="D71:I71"/>
    <mergeCell ref="E77:I77"/>
    <mergeCell ref="E47:I47"/>
    <mergeCell ref="E49:I49"/>
    <mergeCell ref="E53:H53"/>
    <mergeCell ref="D55:H55"/>
    <mergeCell ref="E131:H131"/>
    <mergeCell ref="E129:H129"/>
    <mergeCell ref="E118:G118"/>
    <mergeCell ref="E320:F320"/>
    <mergeCell ref="E319:I319"/>
    <mergeCell ref="G320:I320"/>
    <mergeCell ref="G335:I335"/>
    <mergeCell ref="L116:L165"/>
    <mergeCell ref="L191:L204"/>
    <mergeCell ref="L167:L178"/>
    <mergeCell ref="L179:L180"/>
    <mergeCell ref="L181:L182"/>
    <mergeCell ref="E335:F335"/>
    <mergeCell ref="G317:I317"/>
    <mergeCell ref="G328:I328"/>
    <mergeCell ref="E329:F329"/>
    <mergeCell ref="G327:I327"/>
    <mergeCell ref="E321:I321"/>
    <mergeCell ref="G325:I325"/>
    <mergeCell ref="E260:H260"/>
    <mergeCell ref="D262:H262"/>
    <mergeCell ref="D283:H283"/>
    <mergeCell ref="C279:I279"/>
    <mergeCell ref="G333:I333"/>
    <mergeCell ref="D133:H133"/>
    <mergeCell ref="D303:I303"/>
    <mergeCell ref="E304:F304"/>
    <mergeCell ref="G304:I304"/>
    <mergeCell ref="D533:I533"/>
    <mergeCell ref="C528:I528"/>
    <mergeCell ref="C455:I455"/>
    <mergeCell ref="G347:I347"/>
    <mergeCell ref="E451:G451"/>
    <mergeCell ref="D529:I529"/>
    <mergeCell ref="B510:I510"/>
    <mergeCell ref="B472:I472"/>
    <mergeCell ref="B497:I497"/>
    <mergeCell ref="D464:I464"/>
    <mergeCell ref="D532:F532"/>
    <mergeCell ref="G342:I342"/>
    <mergeCell ref="G343:I343"/>
    <mergeCell ref="G338:I338"/>
    <mergeCell ref="G349:I349"/>
    <mergeCell ref="G350:I350"/>
    <mergeCell ref="C505:F505"/>
    <mergeCell ref="C506:F506"/>
    <mergeCell ref="B491:I491"/>
    <mergeCell ref="C487:H487"/>
    <mergeCell ref="L183:L190"/>
    <mergeCell ref="M179:M180"/>
    <mergeCell ref="L4:L18"/>
    <mergeCell ref="L21:L58"/>
    <mergeCell ref="L19:L20"/>
    <mergeCell ref="L59:L68"/>
    <mergeCell ref="P191:P192"/>
    <mergeCell ref="L205:L212"/>
    <mergeCell ref="L213:L225"/>
    <mergeCell ref="M101:M115"/>
    <mergeCell ref="M81:M96"/>
    <mergeCell ref="P215:P217"/>
    <mergeCell ref="P65:P67"/>
    <mergeCell ref="M74:M80"/>
    <mergeCell ref="L69:L115"/>
    <mergeCell ref="P167:R168"/>
    <mergeCell ref="P213:R214"/>
    <mergeCell ref="P179:Q180"/>
    <mergeCell ref="P181:Q182"/>
    <mergeCell ref="P183:Q184"/>
    <mergeCell ref="L226:L227"/>
    <mergeCell ref="M226:M227"/>
    <mergeCell ref="L228:L229"/>
    <mergeCell ref="L230:L238"/>
    <mergeCell ref="L239:L265"/>
    <mergeCell ref="M241:M247"/>
    <mergeCell ref="M248:M265"/>
    <mergeCell ref="P312:P313"/>
    <mergeCell ref="N312:N314"/>
    <mergeCell ref="M310:M318"/>
    <mergeCell ref="L279:L384"/>
    <mergeCell ref="M346:M429"/>
    <mergeCell ref="M332:M336"/>
    <mergeCell ref="M337:M345"/>
    <mergeCell ref="N346:N354"/>
    <mergeCell ref="N355:N364"/>
    <mergeCell ref="N365:N367"/>
    <mergeCell ref="M319:M323"/>
    <mergeCell ref="M324:M331"/>
    <mergeCell ref="P283:P284"/>
    <mergeCell ref="M281:M302"/>
    <mergeCell ref="M303:M309"/>
    <mergeCell ref="N371:N373"/>
    <mergeCell ref="N377:N382"/>
    <mergeCell ref="M602:M605"/>
    <mergeCell ref="L266:L278"/>
    <mergeCell ref="L525:L527"/>
    <mergeCell ref="L528:L530"/>
    <mergeCell ref="L531:L533"/>
    <mergeCell ref="L520:L521"/>
    <mergeCell ref="L491:L494"/>
    <mergeCell ref="L495:L519"/>
    <mergeCell ref="L522:L524"/>
    <mergeCell ref="L431:L437"/>
    <mergeCell ref="L438:L445"/>
    <mergeCell ref="L447:L452"/>
    <mergeCell ref="L446:N446"/>
    <mergeCell ref="L460:L471"/>
    <mergeCell ref="L472:L474"/>
    <mergeCell ref="L475:L490"/>
    <mergeCell ref="M477:M488"/>
    <mergeCell ref="N574:N575"/>
    <mergeCell ref="M573:M576"/>
    <mergeCell ref="M561:M563"/>
    <mergeCell ref="N578:N579"/>
    <mergeCell ref="L453:M456"/>
    <mergeCell ref="L457:L459"/>
    <mergeCell ref="M591:M592"/>
    <mergeCell ref="M593:M595"/>
    <mergeCell ref="M599:M601"/>
    <mergeCell ref="C543:H543"/>
    <mergeCell ref="C545:H545"/>
    <mergeCell ref="C553:H553"/>
    <mergeCell ref="C555:H555"/>
    <mergeCell ref="C599:H599"/>
    <mergeCell ref="C600:H600"/>
    <mergeCell ref="C482:H482"/>
    <mergeCell ref="C504:F504"/>
    <mergeCell ref="G526:I526"/>
    <mergeCell ref="G523:I523"/>
    <mergeCell ref="C502:F502"/>
    <mergeCell ref="M596:M598"/>
    <mergeCell ref="L606:L615"/>
    <mergeCell ref="L2:R2"/>
    <mergeCell ref="P81:P83"/>
    <mergeCell ref="P173:P176"/>
    <mergeCell ref="Q564:Q566"/>
    <mergeCell ref="Q568:Q571"/>
    <mergeCell ref="Q573:Q575"/>
    <mergeCell ref="Q577:Q579"/>
    <mergeCell ref="Q587:Q589"/>
    <mergeCell ref="Q561:Q562"/>
    <mergeCell ref="L534:L537"/>
    <mergeCell ref="L538:L547"/>
    <mergeCell ref="L548:L556"/>
    <mergeCell ref="L557:L605"/>
    <mergeCell ref="M564:M567"/>
    <mergeCell ref="N565:N567"/>
    <mergeCell ref="N569:N570"/>
    <mergeCell ref="M568:M572"/>
    <mergeCell ref="M577:M580"/>
    <mergeCell ref="N588:N589"/>
    <mergeCell ref="M587:M590"/>
    <mergeCell ref="M585:M586"/>
    <mergeCell ref="M583:M584"/>
    <mergeCell ref="M581:M582"/>
  </mergeCells>
  <conditionalFormatting sqref="A59:H59 A60:I68">
    <cfRule type="expression" dxfId="481" priority="229">
      <formula>$L$59=0</formula>
    </cfRule>
  </conditionalFormatting>
  <conditionalFormatting sqref="A4:I18">
    <cfRule type="expression" dxfId="480" priority="207">
      <formula>$L$4=0</formula>
    </cfRule>
  </conditionalFormatting>
  <conditionalFormatting sqref="A19:I20">
    <cfRule type="expression" dxfId="479" priority="211">
      <formula>AND($L$21=0,$L$59=0)</formula>
    </cfRule>
  </conditionalFormatting>
  <conditionalFormatting sqref="A21:I58">
    <cfRule type="expression" dxfId="478" priority="212">
      <formula>$L$21=0</formula>
    </cfRule>
  </conditionalFormatting>
  <conditionalFormatting sqref="A69:I115">
    <cfRule type="expression" dxfId="477" priority="14189">
      <formula>$L$69=0</formula>
    </cfRule>
  </conditionalFormatting>
  <conditionalFormatting sqref="A116:I165">
    <cfRule type="expression" dxfId="476" priority="14360">
      <formula>$L$116=0</formula>
    </cfRule>
  </conditionalFormatting>
  <conditionalFormatting sqref="A166:I166">
    <cfRule type="expression" dxfId="475" priority="14425">
      <formula>$L$167+SUM($L$179:$L$183)+$L$191=0</formula>
    </cfRule>
  </conditionalFormatting>
  <conditionalFormatting sqref="A167:I178">
    <cfRule type="expression" dxfId="474" priority="14373">
      <formula>$L$167=0</formula>
    </cfRule>
  </conditionalFormatting>
  <conditionalFormatting sqref="A179:I180">
    <cfRule type="expression" dxfId="473" priority="14451">
      <formula>$L$179=0</formula>
    </cfRule>
  </conditionalFormatting>
  <conditionalFormatting sqref="A181:I182">
    <cfRule type="expression" dxfId="472" priority="14463">
      <formula>$L$181=0</formula>
    </cfRule>
  </conditionalFormatting>
  <conditionalFormatting sqref="A183:I190">
    <cfRule type="expression" dxfId="471" priority="14490">
      <formula>$L$183=0</formula>
    </cfRule>
  </conditionalFormatting>
  <conditionalFormatting sqref="A188:I189">
    <cfRule type="expression" dxfId="470" priority="148">
      <formula>DS_Max_ARP_Units=0</formula>
    </cfRule>
  </conditionalFormatting>
  <conditionalFormatting sqref="A191:I204">
    <cfRule type="expression" dxfId="469" priority="384">
      <formula>$L$191=0</formula>
    </cfRule>
  </conditionalFormatting>
  <conditionalFormatting sqref="A205:I212">
    <cfRule type="expression" dxfId="468" priority="316">
      <formula>$L$205=0</formula>
    </cfRule>
  </conditionalFormatting>
  <conditionalFormatting sqref="A213:I213">
    <cfRule type="expression" dxfId="467" priority="14515">
      <formula>$L$213+SUM($L$226:$L$230)=0</formula>
    </cfRule>
  </conditionalFormatting>
  <conditionalFormatting sqref="A214:I225">
    <cfRule type="expression" dxfId="466" priority="328">
      <formula>$L$213=0</formula>
    </cfRule>
  </conditionalFormatting>
  <conditionalFormatting sqref="A226:I227">
    <cfRule type="expression" dxfId="465" priority="333">
      <formula>$L$226=0</formula>
    </cfRule>
  </conditionalFormatting>
  <conditionalFormatting sqref="A228:I229">
    <cfRule type="expression" dxfId="464" priority="336">
      <formula>$L$228=0</formula>
    </cfRule>
  </conditionalFormatting>
  <conditionalFormatting sqref="A230:I238">
    <cfRule type="expression" dxfId="463" priority="337">
      <formula>$L$230=0</formula>
    </cfRule>
  </conditionalFormatting>
  <conditionalFormatting sqref="A235:I236">
    <cfRule type="expression" dxfId="462" priority="340">
      <formula>AND(DS_NHTF_Min_Units_Req_Large_Active&lt;&gt;"Yes",DS_NHTF_Min_Units_Req_Medium_Active&lt;&gt;"Yes")</formula>
    </cfRule>
  </conditionalFormatting>
  <conditionalFormatting sqref="A239:I265">
    <cfRule type="expression" dxfId="461" priority="14528">
      <formula>OR($L$239=0,$M$241+$M$248=0)</formula>
    </cfRule>
  </conditionalFormatting>
  <conditionalFormatting sqref="A241:I247">
    <cfRule type="expression" dxfId="460" priority="14565">
      <formula>$M$241=0</formula>
    </cfRule>
  </conditionalFormatting>
  <conditionalFormatting sqref="A248:I265">
    <cfRule type="expression" dxfId="459" priority="14574">
      <formula>$M$248=0</formula>
    </cfRule>
  </conditionalFormatting>
  <conditionalFormatting sqref="A266:I278">
    <cfRule type="expression" dxfId="458" priority="378">
      <formula>$L$266=0</formula>
    </cfRule>
  </conditionalFormatting>
  <conditionalFormatting sqref="A279:I430">
    <cfRule type="expression" dxfId="457" priority="14595">
      <formula>$L$279=0</formula>
    </cfRule>
  </conditionalFormatting>
  <conditionalFormatting sqref="A281:I283 A296:I302">
    <cfRule type="expression" dxfId="456" priority="570">
      <formula>$M$281=0</formula>
    </cfRule>
  </conditionalFormatting>
  <conditionalFormatting sqref="A284:I295">
    <cfRule type="expression" dxfId="455" priority="105">
      <formula>$N284=0</formula>
    </cfRule>
  </conditionalFormatting>
  <conditionalFormatting sqref="A303:I309">
    <cfRule type="expression" dxfId="454" priority="14667">
      <formula>$M$303=0</formula>
    </cfRule>
  </conditionalFormatting>
  <conditionalFormatting sqref="A346:I382 A316:I318 A310:I311 A385:I404">
    <cfRule type="expression" dxfId="453" priority="14691">
      <formula>$M$310=0</formula>
    </cfRule>
  </conditionalFormatting>
  <conditionalFormatting sqref="A385:I430">
    <cfRule type="expression" dxfId="452" priority="16929">
      <formula>$L$385=0</formula>
    </cfRule>
  </conditionalFormatting>
  <conditionalFormatting sqref="A422:I425">
    <cfRule type="expression" dxfId="451" priority="16964">
      <formula>$N$422=0</formula>
    </cfRule>
  </conditionalFormatting>
  <conditionalFormatting sqref="A426:I430">
    <cfRule type="expression" dxfId="450" priority="16965">
      <formula>$N$426=0</formula>
    </cfRule>
  </conditionalFormatting>
  <conditionalFormatting sqref="A431:I445">
    <cfRule type="expression" dxfId="449" priority="15372">
      <formula>$L$431=0</formula>
    </cfRule>
  </conditionalFormatting>
  <conditionalFormatting sqref="A438:I445">
    <cfRule type="expression" dxfId="448" priority="15395">
      <formula>$L$438=0</formula>
    </cfRule>
    <cfRule type="expression" dxfId="447" priority="15396">
      <formula>SUM($M$441:$M$444)=0</formula>
    </cfRule>
  </conditionalFormatting>
  <conditionalFormatting sqref="A447:I452">
    <cfRule type="expression" dxfId="446" priority="15405">
      <formula>$L$447=0</formula>
    </cfRule>
  </conditionalFormatting>
  <conditionalFormatting sqref="A457:I459">
    <cfRule type="expression" dxfId="445" priority="79">
      <formula>$L$457=0</formula>
    </cfRule>
  </conditionalFormatting>
  <conditionalFormatting sqref="A460:I471">
    <cfRule type="expression" dxfId="444" priority="15440">
      <formula>$L$460=0</formula>
    </cfRule>
  </conditionalFormatting>
  <conditionalFormatting sqref="A472:I474">
    <cfRule type="expression" dxfId="443" priority="15449">
      <formula>$L$472=0</formula>
    </cfRule>
  </conditionalFormatting>
  <conditionalFormatting sqref="A475:I481 A482:C482 I482 A483:I490">
    <cfRule type="expression" dxfId="442" priority="15454">
      <formula>$L$475=0</formula>
    </cfRule>
  </conditionalFormatting>
  <conditionalFormatting sqref="A491:I494">
    <cfRule type="expression" dxfId="441" priority="15539">
      <formula>$L$491=0</formula>
    </cfRule>
  </conditionalFormatting>
  <conditionalFormatting sqref="A495:I519">
    <cfRule type="expression" dxfId="440" priority="15573">
      <formula>$L$495=0</formula>
    </cfRule>
  </conditionalFormatting>
  <conditionalFormatting sqref="A520:I533">
    <cfRule type="expression" dxfId="439" priority="15626">
      <formula>AND($L$522=0,$L$525=0,$L$528=0,$L$531=0)</formula>
    </cfRule>
  </conditionalFormatting>
  <conditionalFormatting sqref="A534:I537">
    <cfRule type="expression" dxfId="438" priority="1441">
      <formula>$L$534=0</formula>
    </cfRule>
  </conditionalFormatting>
  <conditionalFormatting sqref="A538:I547">
    <cfRule type="expression" dxfId="437" priority="126">
      <formula>$L$538=0</formula>
    </cfRule>
  </conditionalFormatting>
  <conditionalFormatting sqref="A548:I555">
    <cfRule type="expression" dxfId="436" priority="125">
      <formula>$L$548=0</formula>
    </cfRule>
  </conditionalFormatting>
  <conditionalFormatting sqref="A557:I605">
    <cfRule type="expression" dxfId="435" priority="15813">
      <formula>$L$557=0</formula>
    </cfRule>
  </conditionalFormatting>
  <conditionalFormatting sqref="A606:I615">
    <cfRule type="expression" dxfId="434" priority="15973">
      <formula>$L$606=0</formula>
    </cfRule>
  </conditionalFormatting>
  <conditionalFormatting sqref="B599:C600 I599:I600 B601:I601">
    <cfRule type="expression" dxfId="433" priority="15836">
      <formula>$M$599=0</formula>
    </cfRule>
  </conditionalFormatting>
  <conditionalFormatting sqref="B121:H125">
    <cfRule type="expression" dxfId="432" priority="14339">
      <formula>$M121=0</formula>
    </cfRule>
  </conditionalFormatting>
  <conditionalFormatting sqref="B312:I314">
    <cfRule type="expression" dxfId="431" priority="14788">
      <formula>$N$312=0</formula>
    </cfRule>
  </conditionalFormatting>
  <conditionalFormatting sqref="B315:I315 C377">
    <cfRule type="expression" dxfId="430" priority="15315">
      <formula>AND($M$319=0,$M$324=0,$M$332=0,$M$337=0,$N$346=0,$N$365=0,$N$368=0,$N$377=0)</formula>
    </cfRule>
  </conditionalFormatting>
  <conditionalFormatting sqref="B319:I323 G325">
    <cfRule type="expression" dxfId="429" priority="14849">
      <formula>$M$319=0</formula>
    </cfRule>
  </conditionalFormatting>
  <conditionalFormatting sqref="B324:I331">
    <cfRule type="expression" dxfId="428" priority="457">
      <formula>$M$324=0</formula>
    </cfRule>
  </conditionalFormatting>
  <conditionalFormatting sqref="B332:I336">
    <cfRule type="expression" dxfId="427" priority="14892">
      <formula>$M$332=0</formula>
    </cfRule>
  </conditionalFormatting>
  <conditionalFormatting sqref="B337:I344">
    <cfRule type="expression" dxfId="426" priority="536">
      <formula>$M$337=0</formula>
    </cfRule>
  </conditionalFormatting>
  <conditionalFormatting sqref="B346:I348 D349:E351 G349:I351 P349:P351 B352:I354">
    <cfRule type="expression" dxfId="425" priority="15084">
      <formula>$N$346=0</formula>
    </cfRule>
  </conditionalFormatting>
  <conditionalFormatting sqref="B355:I362 B363:E363 B364:I364">
    <cfRule type="expression" dxfId="424" priority="15087">
      <formula>$N$355=0</formula>
    </cfRule>
  </conditionalFormatting>
  <conditionalFormatting sqref="B365:I367">
    <cfRule type="expression" dxfId="423" priority="15120">
      <formula>$N$365=0</formula>
    </cfRule>
  </conditionalFormatting>
  <conditionalFormatting sqref="B368:I370">
    <cfRule type="expression" dxfId="422" priority="15178">
      <formula>$N$368=0</formula>
    </cfRule>
  </conditionalFormatting>
  <conditionalFormatting sqref="B371:I373">
    <cfRule type="expression" dxfId="421" priority="15236">
      <formula>$N$371=0</formula>
    </cfRule>
  </conditionalFormatting>
  <conditionalFormatting sqref="B374:I376">
    <cfRule type="expression" dxfId="420" priority="73">
      <formula>$N$374=0</formula>
    </cfRule>
  </conditionalFormatting>
  <conditionalFormatting sqref="B377:I382">
    <cfRule type="expression" dxfId="419" priority="15295">
      <formula>$N$377=0</formula>
    </cfRule>
  </conditionalFormatting>
  <conditionalFormatting sqref="B397:I397">
    <cfRule type="expression" dxfId="418" priority="2">
      <formula>$N$397=0</formula>
    </cfRule>
  </conditionalFormatting>
  <conditionalFormatting sqref="B477:I481 B482:C482 I482 B483:I484">
    <cfRule type="expression" dxfId="417" priority="15497">
      <formula>$M$477=0</formula>
    </cfRule>
  </conditionalFormatting>
  <conditionalFormatting sqref="B485:I488">
    <cfRule type="expression" dxfId="416" priority="15530">
      <formula>$N$485=0</formula>
    </cfRule>
  </conditionalFormatting>
  <conditionalFormatting sqref="B522:I522 B523:G523 B524:I524">
    <cfRule type="expression" dxfId="415" priority="15586">
      <formula>$L$522=0</formula>
    </cfRule>
  </conditionalFormatting>
  <conditionalFormatting sqref="B525:I525 B526:G526 B527:I527">
    <cfRule type="expression" dxfId="414" priority="15595">
      <formula>$L$525=0</formula>
    </cfRule>
  </conditionalFormatting>
  <conditionalFormatting sqref="B528:I530">
    <cfRule type="expression" dxfId="413" priority="15610">
      <formula>$L$528=0</formula>
    </cfRule>
  </conditionalFormatting>
  <conditionalFormatting sqref="B531:I533">
    <cfRule type="expression" dxfId="412" priority="15621">
      <formula>$L$531=0</formula>
    </cfRule>
  </conditionalFormatting>
  <conditionalFormatting sqref="B558:I558">
    <cfRule type="cellIs" dxfId="411" priority="1444" operator="notEqual">
      <formula>""</formula>
    </cfRule>
  </conditionalFormatting>
  <conditionalFormatting sqref="B561:I563">
    <cfRule type="expression" dxfId="410" priority="15833">
      <formula>$M$561=0</formula>
    </cfRule>
  </conditionalFormatting>
  <conditionalFormatting sqref="B562:I562">
    <cfRule type="expression" dxfId="409" priority="15932">
      <formula>$N$562=0</formula>
    </cfRule>
  </conditionalFormatting>
  <conditionalFormatting sqref="B564:I567">
    <cfRule type="expression" dxfId="408" priority="15845">
      <formula>$M$564=0</formula>
    </cfRule>
  </conditionalFormatting>
  <conditionalFormatting sqref="B565:I566">
    <cfRule type="expression" dxfId="407" priority="15870">
      <formula>$N$565=0</formula>
    </cfRule>
  </conditionalFormatting>
  <conditionalFormatting sqref="B568:I572">
    <cfRule type="expression" dxfId="406" priority="15834">
      <formula>$M$568=0</formula>
    </cfRule>
  </conditionalFormatting>
  <conditionalFormatting sqref="B569:I570">
    <cfRule type="expression" dxfId="405" priority="15886">
      <formula>$N$569=0</formula>
    </cfRule>
  </conditionalFormatting>
  <conditionalFormatting sqref="B571:I571">
    <cfRule type="expression" dxfId="404" priority="15900">
      <formula>$N$571=0</formula>
    </cfRule>
  </conditionalFormatting>
  <conditionalFormatting sqref="B573:I576">
    <cfRule type="expression" dxfId="403" priority="15850">
      <formula>$M$573=0</formula>
    </cfRule>
  </conditionalFormatting>
  <conditionalFormatting sqref="B574:I575">
    <cfRule type="expression" dxfId="402" priority="15916">
      <formula>$N$574=0</formula>
    </cfRule>
  </conditionalFormatting>
  <conditionalFormatting sqref="B577:I580">
    <cfRule type="expression" dxfId="401" priority="15846">
      <formula>$M$577=0</formula>
    </cfRule>
  </conditionalFormatting>
  <conditionalFormatting sqref="B578:I579">
    <cfRule type="expression" dxfId="400" priority="15948">
      <formula>$N$578=0</formula>
    </cfRule>
  </conditionalFormatting>
  <conditionalFormatting sqref="B581:I582">
    <cfRule type="expression" dxfId="399" priority="15843">
      <formula>$M$581=0</formula>
    </cfRule>
  </conditionalFormatting>
  <conditionalFormatting sqref="B583:I584">
    <cfRule type="expression" dxfId="398" priority="15842">
      <formula>$M$583=0</formula>
    </cfRule>
  </conditionalFormatting>
  <conditionalFormatting sqref="B585:I586">
    <cfRule type="expression" dxfId="397" priority="15848">
      <formula>$M$585=0</formula>
    </cfRule>
  </conditionalFormatting>
  <conditionalFormatting sqref="B587:I590">
    <cfRule type="expression" dxfId="396" priority="15852">
      <formula>$M$587=0</formula>
    </cfRule>
  </conditionalFormatting>
  <conditionalFormatting sqref="B588:I589">
    <cfRule type="expression" dxfId="395" priority="15964">
      <formula>$N$588=0</formula>
    </cfRule>
  </conditionalFormatting>
  <conditionalFormatting sqref="B591:I592">
    <cfRule type="expression" dxfId="394" priority="15849">
      <formula>$M$591=0</formula>
    </cfRule>
  </conditionalFormatting>
  <conditionalFormatting sqref="B593:I595">
    <cfRule type="expression" dxfId="393" priority="15835">
      <formula>$M$593=0</formula>
    </cfRule>
  </conditionalFormatting>
  <conditionalFormatting sqref="B596:I598">
    <cfRule type="expression" dxfId="392" priority="74">
      <formula>$M$596=0</formula>
    </cfRule>
  </conditionalFormatting>
  <conditionalFormatting sqref="B602:I605">
    <cfRule type="expression" dxfId="391" priority="15839">
      <formula>$M$602=0</formula>
    </cfRule>
  </conditionalFormatting>
  <conditionalFormatting sqref="C310">
    <cfRule type="cellIs" dxfId="390" priority="188" operator="equal">
      <formula>""</formula>
    </cfRule>
  </conditionalFormatting>
  <conditionalFormatting sqref="C541:C546">
    <cfRule type="expression" dxfId="388" priority="114">
      <formula>RA_Hist_Pref&lt;&gt;"Yes"</formula>
    </cfRule>
  </conditionalFormatting>
  <conditionalFormatting sqref="C551:C555">
    <cfRule type="expression" dxfId="387" priority="112">
      <formula>Supp_Srv_Fund_Pref&lt;&gt;"Yes"</formula>
    </cfRule>
  </conditionalFormatting>
  <conditionalFormatting sqref="C449:H451">
    <cfRule type="expression" dxfId="386" priority="92">
      <formula>$M449=0</formula>
    </cfRule>
  </conditionalFormatting>
  <conditionalFormatting sqref="C545:H545">
    <cfRule type="expression" dxfId="385" priority="113">
      <formula>$I$530&lt;(0.5*Total_Units)</formula>
    </cfRule>
  </conditionalFormatting>
  <conditionalFormatting sqref="C555:H555">
    <cfRule type="expression" dxfId="384" priority="109">
      <formula>$I$553&lt;0.1*$I$57</formula>
    </cfRule>
  </conditionalFormatting>
  <conditionalFormatting sqref="C65:I67">
    <cfRule type="expression" dxfId="383" priority="197">
      <formula>Max_ELI=0</formula>
    </cfRule>
  </conditionalFormatting>
  <conditionalFormatting sqref="C71:I73 C95:I96">
    <cfRule type="expression" dxfId="382" priority="14223">
      <formula>$M$74+$M$81&lt;2</formula>
    </cfRule>
  </conditionalFormatting>
  <conditionalFormatting sqref="C74:I79">
    <cfRule type="expression" dxfId="381" priority="14220">
      <formula>AND(OR(N(Non_Competitive_HC_Request_Amount)&gt;0,N(MMRB_TE_Rqst)&gt;0)=FALSE,$M$74&gt;0,$M$81&gt;0)</formula>
    </cfRule>
  </conditionalFormatting>
  <conditionalFormatting sqref="C74:I80">
    <cfRule type="expression" dxfId="380" priority="14203">
      <formula>$M$74=0</formula>
    </cfRule>
  </conditionalFormatting>
  <conditionalFormatting sqref="C81:I93">
    <cfRule type="expression" dxfId="379" priority="14221">
      <formula>AND(OR(N(Non_Competitive_HC_Request_Amount)&gt;0,N(MMRB_TE_Rqst)&gt;0),$M$81&gt;0,$M$74&gt;0)</formula>
    </cfRule>
  </conditionalFormatting>
  <conditionalFormatting sqref="C81:I94">
    <cfRule type="expression" dxfId="378" priority="14214">
      <formula>$M$81=0</formula>
    </cfRule>
  </conditionalFormatting>
  <conditionalFormatting sqref="C101:I115">
    <cfRule type="expression" dxfId="377" priority="14320">
      <formula>$M$101=0</formula>
    </cfRule>
  </conditionalFormatting>
  <conditionalFormatting sqref="C102:I103">
    <cfRule type="expression" dxfId="376" priority="14329">
      <formula>$N102=0</formula>
    </cfRule>
  </conditionalFormatting>
  <conditionalFormatting sqref="C104:I105">
    <cfRule type="expression" dxfId="375" priority="14330">
      <formula>$N$102+$N$103&lt;2</formula>
    </cfRule>
  </conditionalFormatting>
  <conditionalFormatting sqref="C312:I348 C349:E351 G349:I351 P349:P351 C352:I362 C363:E363 C364:I372">
    <cfRule type="expression" dxfId="374" priority="108">
      <formula>AND(OR(N($I$299)=0,$I$299="",$M$281=0),OR(N($I$310)=0,$I$310="",$M$310=0))</formula>
    </cfRule>
  </conditionalFormatting>
  <conditionalFormatting sqref="C377:I381">
    <cfRule type="expression" dxfId="373" priority="151">
      <formula>Demographic&lt;&gt;"Family"</formula>
    </cfRule>
  </conditionalFormatting>
  <conditionalFormatting sqref="C528:I528">
    <cfRule type="expression" dxfId="372" priority="773">
      <formula>AND(PHA_land_lease&lt;&gt;"Yes",PHA_as_Principal&lt;&gt;"Yes")</formula>
    </cfRule>
  </conditionalFormatting>
  <conditionalFormatting sqref="D184">
    <cfRule type="expression" dxfId="371" priority="150">
      <formula>N(HOME_ARP_Additional_Units)&gt;DS_Max_ARP_Opt_Units</formula>
    </cfRule>
  </conditionalFormatting>
  <conditionalFormatting sqref="D231">
    <cfRule type="expression" dxfId="370" priority="4174">
      <formula>N(I230)&gt;DS_NHTF_Max_Units_Opt_Allowed</formula>
    </cfRule>
  </conditionalFormatting>
  <conditionalFormatting sqref="D532">
    <cfRule type="cellIs" dxfId="369" priority="1437" operator="notEqual">
      <formula>"&lt;select from menu&gt;"</formula>
    </cfRule>
  </conditionalFormatting>
  <conditionalFormatting sqref="D374:E374">
    <cfRule type="expression" dxfId="368" priority="87">
      <formula>AND(OR(N($I$299)=0,$I$299="",$M$281=0),OR(N($I$310)=0,$I$310="",$M$310=0))</formula>
    </cfRule>
    <cfRule type="expression" dxfId="367" priority="88">
      <formula>Earned_HUD_Boost="Yes"</formula>
    </cfRule>
  </conditionalFormatting>
  <conditionalFormatting sqref="D532:F532">
    <cfRule type="cellIs" dxfId="366" priority="1440" operator="equal">
      <formula>""</formula>
    </cfRule>
  </conditionalFormatting>
  <conditionalFormatting sqref="D306:H306 D308:H308">
    <cfRule type="expression" dxfId="365" priority="178">
      <formula>Non_Comp_App_4HC&lt;&gt;"Yes"</formula>
    </cfRule>
  </conditionalFormatting>
  <conditionalFormatting sqref="D95:I95">
    <cfRule type="expression" dxfId="364" priority="269">
      <formula>N($I$95)&lt;N($I$97)</formula>
    </cfRule>
  </conditionalFormatting>
  <conditionalFormatting sqref="D173:I173">
    <cfRule type="expression" dxfId="363" priority="291">
      <formula>AND(NHTF_Request_Amount&gt;Max_NHTF,NHTF_Request_Amount&lt;&gt;"")</formula>
    </cfRule>
  </conditionalFormatting>
  <conditionalFormatting sqref="D179:I179 D226:I226">
    <cfRule type="expression" dxfId="362" priority="296">
      <formula>Self_Sourced_Applicant&lt;&gt;"Yes"</formula>
    </cfRule>
  </conditionalFormatting>
  <conditionalFormatting sqref="D207:I207">
    <cfRule type="expression" dxfId="361" priority="317">
      <formula>Grant_Request_Amount&gt;Max_Grant</formula>
    </cfRule>
  </conditionalFormatting>
  <conditionalFormatting sqref="D220:I220">
    <cfRule type="expression" dxfId="360" priority="329">
      <formula>AND(NHTF_Request_Amount&gt;Max_NHTF,NHTF_Request_Amount&lt;&gt;"")</formula>
    </cfRule>
  </conditionalFormatting>
  <conditionalFormatting sqref="D465:I469">
    <cfRule type="expression" dxfId="358" priority="3">
      <formula>$M465=0</formula>
    </cfRule>
  </conditionalFormatting>
  <conditionalFormatting sqref="D529:I529">
    <cfRule type="expression" dxfId="357" priority="731">
      <formula>AND($D$523&lt;&gt;"Yes",$D$526&lt;&gt;"Yes",$D$529="")</formula>
    </cfRule>
    <cfRule type="expression" dxfId="356" priority="718">
      <formula>AND($D$523&lt;&gt;"Yes",$D$526&lt;&gt;"Yes",$D$529&lt;&gt;"")</formula>
    </cfRule>
  </conditionalFormatting>
  <conditionalFormatting sqref="E131">
    <cfRule type="expression" dxfId="355" priority="284">
      <formula>IFERROR(FIND(" NOT ",E131),0)&gt;0</formula>
    </cfRule>
  </conditionalFormatting>
  <conditionalFormatting sqref="E304">
    <cfRule type="cellIs" dxfId="354" priority="166" operator="equal">
      <formula>""</formula>
    </cfRule>
    <cfRule type="cellIs" dxfId="353" priority="167" operator="notEqual">
      <formula>"&lt;select from menu&gt;"</formula>
    </cfRule>
  </conditionalFormatting>
  <conditionalFormatting sqref="E313 E317 E320 E322 E325 E327:E329 E333 E335 E338 E340 E342 E347 E349:E351 F356 F359 G362 I362 E363 E366 E369 E372">
    <cfRule type="expression" dxfId="352" priority="142" stopIfTrue="1">
      <formula>AND(OR(N($I$299)=0,$I$299=""),OR(N($I$310)=0,$I$310=""))</formula>
    </cfRule>
  </conditionalFormatting>
  <conditionalFormatting sqref="E313 E317 E320 E325 E338 E347 E369 I226 E379 E381 I487 D523 D526">
    <cfRule type="cellIs" dxfId="351" priority="162" operator="notEqual">
      <formula>"&lt;select from menu&gt;"</formula>
    </cfRule>
  </conditionalFormatting>
  <conditionalFormatting sqref="E322 E327:F329 E342 E349:E351 I427 G435:G436 G441:H444 D529">
    <cfRule type="cellIs" dxfId="350" priority="6" operator="notEqual">
      <formula>""</formula>
    </cfRule>
  </conditionalFormatting>
  <conditionalFormatting sqref="E349:E351">
    <cfRule type="expression" dxfId="349" priority="566">
      <formula>AND(Geo_Area_of_Opp_boost&lt;&gt;"Yes",$E349="")</formula>
    </cfRule>
  </conditionalFormatting>
  <conditionalFormatting sqref="E369 D355:I359 E366 E372 D365:I365 D368:I368 D371:I371 G372">
    <cfRule type="expression" dxfId="348" priority="569">
      <formula>Earned_HUD_Boost="Yes"</formula>
    </cfRule>
  </conditionalFormatting>
  <conditionalFormatting sqref="E375">
    <cfRule type="expression" dxfId="347" priority="85">
      <formula>Earned_HUD_Boost="Yes"</formula>
    </cfRule>
    <cfRule type="cellIs" dxfId="346" priority="83" operator="notEqual">
      <formula>"&lt;select from menu&gt;"</formula>
    </cfRule>
    <cfRule type="expression" dxfId="345" priority="82" stopIfTrue="1">
      <formula>AND(OR(N($I$299)=0,$I$299=""),OR(N($I$310)=0,$I$310=""))</formula>
    </cfRule>
  </conditionalFormatting>
  <conditionalFormatting sqref="E381">
    <cfRule type="expression" dxfId="344" priority="598">
      <formula>GeoAofO_SADDA_Goal&lt;&gt;"Yes"</formula>
    </cfRule>
  </conditionalFormatting>
  <conditionalFormatting sqref="E322:F322">
    <cfRule type="expression" dxfId="343" priority="445">
      <formula>AND(Multiphase_subsequent&lt;&gt;"Yes",$E$322&lt;&gt;"")</formula>
    </cfRule>
    <cfRule type="expression" dxfId="342" priority="455">
      <formula>AND(Multiphase_subsequent&lt;&gt;"Yes",$E$322="")</formula>
    </cfRule>
  </conditionalFormatting>
  <conditionalFormatting sqref="E327:F329">
    <cfRule type="expression" dxfId="341" priority="334">
      <formula>AND(Small_Area_DDA&lt;&gt;"Yes",$E327="")</formula>
    </cfRule>
    <cfRule type="expression" dxfId="340" priority="460">
      <formula>AND(Small_Area_DDA&lt;&gt;"Yes",$E327&lt;&gt;"")</formula>
    </cfRule>
  </conditionalFormatting>
  <conditionalFormatting sqref="E333:F333">
    <cfRule type="cellIs" dxfId="339" priority="158" operator="notEqual">
      <formula>"Please identify County."</formula>
    </cfRule>
  </conditionalFormatting>
  <conditionalFormatting sqref="E335:F335">
    <cfRule type="cellIs" dxfId="338" priority="159" operator="notEqual">
      <formula>""</formula>
    </cfRule>
    <cfRule type="expression" dxfId="337" priority="156">
      <formula>$E$333="No"</formula>
    </cfRule>
  </conditionalFormatting>
  <conditionalFormatting sqref="E342:F343">
    <cfRule type="expression" dxfId="336" priority="544">
      <formula>AND(QCT&lt;&gt;"Yes",QCT_number="")</formula>
    </cfRule>
    <cfRule type="expression" dxfId="335" priority="535">
      <formula>AND(QCT&lt;&gt;"Yes",QCT_number&lt;&gt;"")</formula>
    </cfRule>
  </conditionalFormatting>
  <conditionalFormatting sqref="E366:F366">
    <cfRule type="expression" dxfId="334" priority="155">
      <formula>OR(LGAO_Number="Yes",AND(LGAO_Number="No",$G$366&lt;&gt;""))</formula>
    </cfRule>
  </conditionalFormatting>
  <conditionalFormatting sqref="E372:F372">
    <cfRule type="expression" dxfId="333" priority="154">
      <formula>OR(Demographic_Area_of_Opp_boost="Yes",AND(Demographic_Area_of_Opp_boost="No",Demographic&lt;&gt;"&lt;select one&gt;"))</formula>
    </cfRule>
  </conditionalFormatting>
  <conditionalFormatting sqref="E375:F375">
    <cfRule type="expression" dxfId="332" priority="86">
      <formula>$N$374=0</formula>
    </cfRule>
    <cfRule type="cellIs" dxfId="331" priority="84" operator="equal">
      <formula>""</formula>
    </cfRule>
    <cfRule type="expression" dxfId="330" priority="81">
      <formula>AND(OR(N($I$299)=0,$I$299="",$M$281=0),OR(N($I$310)=0,$I$310="",$M$310=0))</formula>
    </cfRule>
  </conditionalFormatting>
  <conditionalFormatting sqref="E381:F381">
    <cfRule type="expression" dxfId="329" priority="621">
      <formula>AND(GeoAofO_SADDA_Goal&lt;&gt;"Yes",GeoAofO_SADDA_Goal_EntireSite&lt;&gt;"&lt;select from menu&gt;")</formula>
    </cfRule>
  </conditionalFormatting>
  <conditionalFormatting sqref="E85:H89">
    <cfRule type="expression" dxfId="328" priority="14297">
      <formula>AND($L$69&gt;0,$M$81&gt;0,$N85=0)</formula>
    </cfRule>
  </conditionalFormatting>
  <conditionalFormatting sqref="E156:H156">
    <cfRule type="expression" dxfId="327" priority="289">
      <formula>AND($I$155&lt;&gt;"",N($I$155)&lt;$I$151)</formula>
    </cfRule>
  </conditionalFormatting>
  <conditionalFormatting sqref="E242:H242">
    <cfRule type="expression" dxfId="326" priority="343">
      <formula>N(CDBG_DR_Land_Request_Amount)&gt;N(Max_CDBG_DR_Land)</formula>
    </cfRule>
  </conditionalFormatting>
  <conditionalFormatting sqref="E252:H256">
    <cfRule type="expression" dxfId="325" priority="14586">
      <formula>$N252=0</formula>
    </cfRule>
  </conditionalFormatting>
  <conditionalFormatting sqref="E340:H340">
    <cfRule type="expression" dxfId="324" priority="540">
      <formula>IFERROR(RIGHT($E340,6),"")="areas."</formula>
    </cfRule>
    <cfRule type="cellIs" dxfId="323" priority="157" operator="notEqual">
      <formula>""</formula>
    </cfRule>
  </conditionalFormatting>
  <conditionalFormatting sqref="E7:I11 B22:I34 B35:H36 B37:I37 B38:H44 B45:I49 C441:I444">
    <cfRule type="expression" dxfId="322" priority="14016">
      <formula>$M7=0</formula>
    </cfRule>
  </conditionalFormatting>
  <conditionalFormatting sqref="E13:I13">
    <cfRule type="expression" dxfId="321" priority="210">
      <formula>Workforce_Request_Amount&gt;Max_Workforce</formula>
    </cfRule>
  </conditionalFormatting>
  <conditionalFormatting sqref="E32:I32">
    <cfRule type="expression" dxfId="320" priority="14095">
      <formula>AND($M$32=1,County="Miami-Dade",N($I$55)&gt;0,N($I$55)&lt;$H$32)</formula>
    </cfRule>
    <cfRule type="expression" dxfId="319" priority="14094">
      <formula>AND($M$32=1,County="Miami-Dade",SAIL_Request_Amount&lt;$H$32)</formula>
    </cfRule>
  </conditionalFormatting>
  <conditionalFormatting sqref="E53:I53">
    <cfRule type="expression" dxfId="318" priority="227">
      <formula>SAIL_Request_Amount&gt;Max_SAIL</formula>
    </cfRule>
  </conditionalFormatting>
  <conditionalFormatting sqref="E63:I63">
    <cfRule type="expression" dxfId="317" priority="231">
      <formula>ELI_Request_Amount&gt;Max_ELI</formula>
    </cfRule>
  </conditionalFormatting>
  <conditionalFormatting sqref="E79:I79">
    <cfRule type="expression" dxfId="316" priority="14202">
      <formula>AND(OR(N(Non_Competitive_HC_Request_Amount)&gt;0,N(MMRB_TE_Rqst)&gt;0),$I$97&gt;$I$95,$M$74&gt;0)</formula>
    </cfRule>
  </conditionalFormatting>
  <conditionalFormatting sqref="E93:I93">
    <cfRule type="expression" dxfId="315" priority="14213">
      <formula>AND(OR(N(Non_Competitive_HC_Request_Amount)&gt;0,N(MMRB_TE_Rqst)&gt;0)=FALSE,$I$97&gt;$I$95,$M$81&gt;0)</formula>
    </cfRule>
  </conditionalFormatting>
  <conditionalFormatting sqref="E105:I105">
    <cfRule type="expression" dxfId="314" priority="276">
      <formula>RRLP_ELI_Request_Amount&gt;Max_RRLP_ELI</formula>
    </cfRule>
  </conditionalFormatting>
  <conditionalFormatting sqref="E129:I129">
    <cfRule type="expression" dxfId="313" priority="283">
      <formula>HOME_Request_Amount&gt;Max_HOME</formula>
    </cfRule>
  </conditionalFormatting>
  <conditionalFormatting sqref="E199:I199">
    <cfRule type="expression" dxfId="312" priority="315">
      <formula>ARP_Request_Amount&gt;Max_ARP</formula>
    </cfRule>
  </conditionalFormatting>
  <conditionalFormatting sqref="E260:I260">
    <cfRule type="expression" dxfId="311" priority="362">
      <formula>N(CDBG_DR_Dev_Request_Amount)&gt;N(Max_CDBG_DR_Dev)</formula>
    </cfRule>
  </conditionalFormatting>
  <conditionalFormatting sqref="E273:I273">
    <cfRule type="expression" dxfId="310" priority="379">
      <formula>TBD_Request_Amount&gt;Max_TBD</formula>
    </cfRule>
  </conditionalFormatting>
  <conditionalFormatting sqref="E297:I297">
    <cfRule type="expression" dxfId="309" priority="411">
      <formula>Competitive_HC_Request_Amount&gt;Max_Competitive_HC</formula>
    </cfRule>
  </conditionalFormatting>
  <conditionalFormatting sqref="E317:I317 D316:I316">
    <cfRule type="expression" dxfId="308" priority="14694">
      <formula>$M$310=0</formula>
    </cfRule>
  </conditionalFormatting>
  <conditionalFormatting sqref="E321:I321">
    <cfRule type="expression" dxfId="307" priority="450">
      <formula>Multiphase_subsequent&lt;&gt;"Yes"</formula>
    </cfRule>
  </conditionalFormatting>
  <conditionalFormatting sqref="E326:I326 E330:I330">
    <cfRule type="expression" dxfId="306" priority="458">
      <formula>Small_Area_DDA&lt;&gt;"Yes"</formula>
    </cfRule>
  </conditionalFormatting>
  <conditionalFormatting sqref="E334:I335">
    <cfRule type="expression" dxfId="305" priority="533">
      <formula>DDA_nonmetro&lt;&gt;"Yes"</formula>
    </cfRule>
  </conditionalFormatting>
  <conditionalFormatting sqref="E339:I341 E344:I344">
    <cfRule type="expression" dxfId="304" priority="538">
      <formula>QCT&lt;&gt;"Yes"</formula>
    </cfRule>
  </conditionalFormatting>
  <conditionalFormatting sqref="E348:I348 E352:I353">
    <cfRule type="expression" dxfId="303" priority="576">
      <formula>Geo_Area_of_Opp_boost&lt;&gt;"Yes"</formula>
    </cfRule>
  </conditionalFormatting>
  <conditionalFormatting sqref="E358:I362">
    <cfRule type="expression" dxfId="302" priority="583">
      <formula>IFERROR(FIND("Yes",UrbanCenter_indication),0)=0</formula>
    </cfRule>
  </conditionalFormatting>
  <conditionalFormatting sqref="E380:I381">
    <cfRule type="expression" dxfId="301" priority="619">
      <formula>GeoAofO_SADDA_Goal&lt;&gt;"Yes"</formula>
    </cfRule>
  </conditionalFormatting>
  <conditionalFormatting sqref="F85:F89">
    <cfRule type="cellIs" dxfId="300" priority="263" operator="greaterThan">
      <formula>0</formula>
    </cfRule>
  </conditionalFormatting>
  <conditionalFormatting sqref="F121:F125">
    <cfRule type="cellIs" dxfId="299" priority="280" operator="greaterThan">
      <formula>0</formula>
    </cfRule>
  </conditionalFormatting>
  <conditionalFormatting sqref="F252:F256">
    <cfRule type="cellIs" dxfId="298" priority="357" operator="greaterThan">
      <formula>0</formula>
    </cfRule>
  </conditionalFormatting>
  <conditionalFormatting sqref="F356 F359 G362 I362">
    <cfRule type="cellIs" dxfId="297" priority="160" operator="notEqual">
      <formula>""</formula>
    </cfRule>
  </conditionalFormatting>
  <conditionalFormatting sqref="G342">
    <cfRule type="expression" dxfId="296" priority="545" stopIfTrue="1">
      <formula>$E$340="Non-Metro"</formula>
    </cfRule>
  </conditionalFormatting>
  <conditionalFormatting sqref="G343">
    <cfRule type="expression" dxfId="295" priority="14920" stopIfTrue="1">
      <formula>$E$340="Metro"</formula>
    </cfRule>
  </conditionalFormatting>
  <conditionalFormatting sqref="G379">
    <cfRule type="expression" dxfId="294" priority="616" stopIfTrue="1">
      <formula>GeoAofO_SADDA_Goal="No"</formula>
    </cfRule>
    <cfRule type="expression" dxfId="293" priority="612" stopIfTrue="1">
      <formula>GeoAofO_SADDA_Goal="&lt;select from menu&gt;"</formula>
    </cfRule>
    <cfRule type="cellIs" dxfId="292" priority="617" operator="equal">
      <formula>"Invalid Entry - only applicants who select the Family demographic are eligible for this funding goal"</formula>
    </cfRule>
  </conditionalFormatting>
  <conditionalFormatting sqref="G381">
    <cfRule type="cellIs" dxfId="291" priority="622" operator="equal">
      <formula>"Please indicate which of the criteria has been met"</formula>
    </cfRule>
  </conditionalFormatting>
  <conditionalFormatting sqref="G501:H501">
    <cfRule type="expression" dxfId="290" priority="687">
      <formula>HOME_Match_Source_1_Name=""</formula>
    </cfRule>
  </conditionalFormatting>
  <conditionalFormatting sqref="G502:H502 C503">
    <cfRule type="expression" dxfId="289" priority="688">
      <formula>HOME_Match_Source_1_Name=""</formula>
    </cfRule>
  </conditionalFormatting>
  <conditionalFormatting sqref="G503:H503 C504">
    <cfRule type="expression" dxfId="288" priority="690">
      <formula>HOME_Match_Source_2_Name=""</formula>
    </cfRule>
  </conditionalFormatting>
  <conditionalFormatting sqref="G504:H504 C505">
    <cfRule type="expression" dxfId="287" priority="692">
      <formula>HOME_Match_Source_3_Name=""</formula>
    </cfRule>
  </conditionalFormatting>
  <conditionalFormatting sqref="G505:H505 C506">
    <cfRule type="expression" dxfId="286" priority="706">
      <formula>HOME_Match_Source_4_Name=""</formula>
    </cfRule>
  </conditionalFormatting>
  <conditionalFormatting sqref="G506:H506">
    <cfRule type="expression" dxfId="285" priority="716">
      <formula>HOME_Match_Source_5_Name=""</formula>
    </cfRule>
  </conditionalFormatting>
  <conditionalFormatting sqref="G320:I320">
    <cfRule type="expression" dxfId="284" priority="447">
      <formula>IFERROR(FIND(" not ",G320),0)&gt;0</formula>
    </cfRule>
  </conditionalFormatting>
  <conditionalFormatting sqref="G325:I325">
    <cfRule type="expression" dxfId="283" priority="14862">
      <formula>IFERROR(FIND(" not ",G325),0)&gt;0</formula>
    </cfRule>
  </conditionalFormatting>
  <conditionalFormatting sqref="G327:I329">
    <cfRule type="expression" dxfId="282" priority="775" stopIfTrue="1">
      <formula>$E327=""</formula>
    </cfRule>
    <cfRule type="cellIs" dxfId="281" priority="464" operator="equal">
      <formula>"Please respond to above question."</formula>
    </cfRule>
    <cfRule type="expression" dxfId="280" priority="495" stopIfTrue="1">
      <formula>LEFT($G327,MAX(19,MIN(0,LEN($G327))))="The ZCTA is located"</formula>
    </cfRule>
    <cfRule type="expression" dxfId="279" priority="497" stopIfTrue="1">
      <formula>OR($G327="Invalid Entry - The ZCTA is not in the HUD 2024 database",$G327="Invalid Entry - The ZCTA is not in the HUD 2025 database")</formula>
    </cfRule>
    <cfRule type="expression" dxfId="278" priority="499">
      <formula>IFERROR(FIND(" database for ",$G327),0)&gt;0</formula>
    </cfRule>
  </conditionalFormatting>
  <conditionalFormatting sqref="G333:I333">
    <cfRule type="expression" dxfId="277" priority="512">
      <formula>IFERROR(FIND(" not ",G333),0)&gt;0</formula>
    </cfRule>
  </conditionalFormatting>
  <conditionalFormatting sqref="G338:I338">
    <cfRule type="expression" dxfId="276" priority="562">
      <formula>IFERROR(FIND(" not ",G338),0)&gt;0</formula>
    </cfRule>
  </conditionalFormatting>
  <conditionalFormatting sqref="G342:I343">
    <cfRule type="expression" dxfId="274" priority="546">
      <formula>$E$342=""</formula>
    </cfRule>
    <cfRule type="expression" dxfId="273" priority="547">
      <formula>AND($E$338="&lt;select from menu&gt;",$E$342&lt;&gt;"",$G342="")</formula>
    </cfRule>
    <cfRule type="expression" dxfId="272" priority="548">
      <formula>FIND("NOT",$G342)&gt;0</formula>
    </cfRule>
    <cfRule type="expression" dxfId="271" priority="551">
      <formula>IFERROR(LEFT($G342,7)="Neither",FALSE)=TRUE</formula>
    </cfRule>
    <cfRule type="cellIs" dxfId="270" priority="554" operator="equal">
      <formula>"Please respond to above question."</formula>
    </cfRule>
  </conditionalFormatting>
  <conditionalFormatting sqref="G347:I347">
    <cfRule type="cellIs" dxfId="268" priority="14951" operator="notEqual">
      <formula>""</formula>
    </cfRule>
  </conditionalFormatting>
  <conditionalFormatting sqref="G349:I351">
    <cfRule type="expression" dxfId="267" priority="580">
      <formula>$G349="The given Census Tract Number is a GAO Census Tract in "&amp;County&amp;" County."</formula>
    </cfRule>
    <cfRule type="expression" dxfId="266" priority="579">
      <formula>AND($E349&lt;&gt;"",OR(IFERROR(FIND("Neither",$G349),0)&gt;0,IFERROR(FIND(", but",$G349),0)&gt;0))</formula>
    </cfRule>
    <cfRule type="expression" dxfId="265" priority="578">
      <formula>$E349=""</formula>
    </cfRule>
  </conditionalFormatting>
  <conditionalFormatting sqref="G366:I366">
    <cfRule type="expression" dxfId="264" priority="585">
      <formula>E366="No"</formula>
    </cfRule>
  </conditionalFormatting>
  <conditionalFormatting sqref="G381:I381">
    <cfRule type="expression" dxfId="263" priority="153">
      <formula>IFERROR(FIND("The responses above",$G381),0)&gt;0</formula>
    </cfRule>
  </conditionalFormatting>
  <conditionalFormatting sqref="H7:H11 I13">
    <cfRule type="cellIs" dxfId="262" priority="209" operator="equal">
      <formula>"Select a County"</formula>
    </cfRule>
  </conditionalFormatting>
  <conditionalFormatting sqref="H22 H24 H26 H28 H30 H32">
    <cfRule type="cellIs" dxfId="261" priority="214" operator="equal">
      <formula>"Select a County"</formula>
    </cfRule>
  </conditionalFormatting>
  <conditionalFormatting sqref="H28 H30 H33 H35:H36">
    <cfRule type="cellIs" dxfId="260" priority="218" operator="equal">
      <formula>"Select a Dev. Category"</formula>
    </cfRule>
  </conditionalFormatting>
  <conditionalFormatting sqref="H46 H48 H50">
    <cfRule type="cellIs" dxfId="259" priority="224" operator="equal">
      <formula>"Identify Status"</formula>
    </cfRule>
  </conditionalFormatting>
  <conditionalFormatting sqref="H50">
    <cfRule type="cellIs" dxfId="258" priority="226" operator="equal">
      <formula>"Need Costs"</formula>
    </cfRule>
  </conditionalFormatting>
  <conditionalFormatting sqref="H90">
    <cfRule type="cellIs" dxfId="257" priority="264" operator="greaterThan">
      <formula>Total_Units</formula>
    </cfRule>
  </conditionalFormatting>
  <conditionalFormatting sqref="H126">
    <cfRule type="cellIs" dxfId="256" priority="281" operator="greaterThan">
      <formula>Total_Units</formula>
    </cfRule>
  </conditionalFormatting>
  <conditionalFormatting sqref="H257">
    <cfRule type="cellIs" dxfId="255" priority="358" operator="greaterThan">
      <formula>Total_Units</formula>
    </cfRule>
  </conditionalFormatting>
  <conditionalFormatting sqref="I15">
    <cfRule type="cellIs" dxfId="254" priority="3649" stopIfTrue="1" operator="greaterThan">
      <formula>$I13</formula>
    </cfRule>
    <cfRule type="expression" dxfId="253" priority="3648">
      <formula>AND(N(I15)&gt;0,N(I15)&lt;=$I13)</formula>
    </cfRule>
  </conditionalFormatting>
  <conditionalFormatting sqref="I32">
    <cfRule type="expression" dxfId="252" priority="217">
      <formula>$L$55=0</formula>
    </cfRule>
  </conditionalFormatting>
  <conditionalFormatting sqref="I35:I36">
    <cfRule type="expression" dxfId="251" priority="14100">
      <formula>$M$35+$M$36=0</formula>
    </cfRule>
  </conditionalFormatting>
  <conditionalFormatting sqref="I38:I44">
    <cfRule type="expression" dxfId="250" priority="14099">
      <formula>SUM($M$38:$M$44)=0</formula>
    </cfRule>
  </conditionalFormatting>
  <conditionalFormatting sqref="I55">
    <cfRule type="expression" dxfId="249" priority="14097" stopIfTrue="1">
      <formula>N(I55)&gt;N(I53)</formula>
    </cfRule>
    <cfRule type="expression" dxfId="248" priority="14098" stopIfTrue="1">
      <formula>AND($M$32=1,County="Miami-Dade",N($I$55)&gt;0,N($I$55)&lt;$H$32)</formula>
    </cfRule>
    <cfRule type="expression" dxfId="247" priority="14096">
      <formula>AND(N(I55)&gt;0,OR(N(I55)&lt;=$I53,IF(AND(M32=1,County="Miami-Dade",I55&gt;=H32),TRUE,FALSE)))</formula>
    </cfRule>
  </conditionalFormatting>
  <conditionalFormatting sqref="I65">
    <cfRule type="expression" dxfId="246" priority="3693">
      <formula>AND(N(I65)&gt;0,N(I65)&lt;=$I63)</formula>
    </cfRule>
    <cfRule type="expression" dxfId="245" priority="3694" stopIfTrue="1">
      <formula>N(I65)&gt;N(I63)</formula>
    </cfRule>
    <cfRule type="expression" dxfId="244" priority="196">
      <formula>Max_ELI=0</formula>
    </cfRule>
  </conditionalFormatting>
  <conditionalFormatting sqref="I97">
    <cfRule type="expression" dxfId="243" priority="14219">
      <formula>AND(N(I97)&gt;0,N(I97)&lt;=MIN(IF(AND($M$74&gt;0,$M$81=0),N(Max_RRLP_Base_1),IF(AND($M$74=0,$M$81&gt;0),N(Max_RRLP_Base_2),N(Max_RRLP_Base))),N(RRLP_Base_Request_Amount)))</formula>
    </cfRule>
    <cfRule type="expression" dxfId="242" priority="14218" stopIfTrue="1">
      <formula>N(I97)&gt;MIN(IF(AND($M$74&gt;0,$M$81=0),N(Max_RRLP_Base_1),IF(AND($M$74=0,$M$81&gt;0),N(Max_RRLP_Base_2),N(Max_RRLP_Base))),N(RRLP_Base_Request_Amount))</formula>
    </cfRule>
  </conditionalFormatting>
  <conditionalFormatting sqref="I107">
    <cfRule type="expression" dxfId="241" priority="3712" stopIfTrue="1">
      <formula>N(I107)&gt;N(I105)</formula>
    </cfRule>
    <cfRule type="expression" dxfId="240" priority="3711">
      <formula>AND(N(I107)&gt;0,N(I107)&lt;=N(I105))</formula>
    </cfRule>
  </conditionalFormatting>
  <conditionalFormatting sqref="I126">
    <cfRule type="cellIs" dxfId="239" priority="282" operator="notEqual">
      <formula>""</formula>
    </cfRule>
  </conditionalFormatting>
  <conditionalFormatting sqref="I133">
    <cfRule type="expression" dxfId="238" priority="3729">
      <formula>AND(N(I133)&gt;0,N(I133)&lt;=$I129)</formula>
    </cfRule>
    <cfRule type="cellIs" dxfId="237" priority="3730" stopIfTrue="1" operator="greaterThan">
      <formula>$I129</formula>
    </cfRule>
  </conditionalFormatting>
  <conditionalFormatting sqref="I142 I145">
    <cfRule type="cellIs" dxfId="236" priority="285" operator="equal">
      <formula>"Need Costs"</formula>
    </cfRule>
  </conditionalFormatting>
  <conditionalFormatting sqref="I155 I158 I161">
    <cfRule type="expression" dxfId="235" priority="286">
      <formula>AND($I$155&lt;&gt;"",$I$155&lt;$I$151)</formula>
    </cfRule>
  </conditionalFormatting>
  <conditionalFormatting sqref="I155">
    <cfRule type="expression" dxfId="234" priority="287">
      <formula>andI($I155&lt;&gt;"",$I155&gt;=$I$151)</formula>
    </cfRule>
  </conditionalFormatting>
  <conditionalFormatting sqref="I175">
    <cfRule type="expression" dxfId="233" priority="292" stopIfTrue="1">
      <formula>AND(NHTF_Request_Amount&gt;Max_NHTF,NHTF_Request_Amount&lt;&gt;"")</formula>
    </cfRule>
    <cfRule type="expression" dxfId="232" priority="293">
      <formula>AND(N(I175)&gt;0,N(I175)&lt;=$I173)</formula>
    </cfRule>
  </conditionalFormatting>
  <conditionalFormatting sqref="I179">
    <cfRule type="cellIs" dxfId="231" priority="299" operator="notEqual">
      <formula>"&lt;select from menu&gt;"</formula>
    </cfRule>
    <cfRule type="cellIs" dxfId="230" priority="297" operator="equal">
      <formula>""</formula>
    </cfRule>
  </conditionalFormatting>
  <conditionalFormatting sqref="I183">
    <cfRule type="cellIs" dxfId="229" priority="146" operator="greaterThan">
      <formula>DS_ARP_Max_Units_Opt_Allowed</formula>
    </cfRule>
    <cfRule type="expression" dxfId="228" priority="147">
      <formula>AND($I$183&lt;&gt;"",$I$183&lt;=DS_ARP_Max_Units_Opt_Allowed)</formula>
    </cfRule>
  </conditionalFormatting>
  <conditionalFormatting sqref="I188">
    <cfRule type="expression" dxfId="227" priority="14493">
      <formula>$L$181+$L$183=0</formula>
    </cfRule>
  </conditionalFormatting>
  <conditionalFormatting sqref="I201 I275">
    <cfRule type="cellIs" dxfId="226" priority="14421" stopIfTrue="1" operator="greaterThan">
      <formula>$I199</formula>
    </cfRule>
    <cfRule type="expression" dxfId="225" priority="380">
      <formula>AND(N(I201)&gt;0,N(I201)&lt;=$I199)</formula>
    </cfRule>
  </conditionalFormatting>
  <conditionalFormatting sqref="I207">
    <cfRule type="expression" dxfId="224" priority="319">
      <formula>$L$205=0</formula>
    </cfRule>
  </conditionalFormatting>
  <conditionalFormatting sqref="I209">
    <cfRule type="expression" dxfId="223" priority="326">
      <formula>AND(N(I209)&gt;0,N(I209)&lt;=$H207)</formula>
    </cfRule>
    <cfRule type="cellIs" dxfId="222" priority="325" stopIfTrue="1" operator="greaterThan">
      <formula>$H$207</formula>
    </cfRule>
  </conditionalFormatting>
  <conditionalFormatting sqref="I222">
    <cfRule type="expression" dxfId="221" priority="3766" stopIfTrue="1">
      <formula>AND(NHTF_Request_Amount&gt;Max_NHTF,NHTF_Request_Amount&lt;&gt;"")</formula>
    </cfRule>
    <cfRule type="expression" dxfId="220" priority="3765">
      <formula>AND(N(I222)&gt;0,N(I222)&lt;=$I220)</formula>
    </cfRule>
  </conditionalFormatting>
  <conditionalFormatting sqref="I226 E313:F313 E317:F317 E320:F320 E325:F325 E338:F338 E347:F347 E369:F369 E379:F379 E381:F381 I487 D523:F523 D526:F526 I536">
    <cfRule type="cellIs" dxfId="219" priority="492" operator="equal">
      <formula>""</formula>
    </cfRule>
  </conditionalFormatting>
  <conditionalFormatting sqref="I230">
    <cfRule type="cellIs" dxfId="218" priority="4172" operator="greaterThan">
      <formula>DS_NHTF_Max_Units_Opt_Allowed</formula>
    </cfRule>
    <cfRule type="expression" dxfId="217" priority="339">
      <formula>AND(N($I$230)&gt;0,N($I$230)&lt;=DS_NHTF_Max_Units_Opt_Allowed)</formula>
    </cfRule>
  </conditionalFormatting>
  <conditionalFormatting sqref="I244">
    <cfRule type="expression" dxfId="216" priority="350">
      <formula>N(CDBG_DR_Land_Request_Amount)&gt;N(Max_CDBG_DR_Land)</formula>
    </cfRule>
    <cfRule type="expression" dxfId="215" priority="351">
      <formula>AND(I244&lt;&gt;"",N(CDBG_DR_Land_Request_Amount)&lt;=N(Max_CDBG_DR_Land))</formula>
    </cfRule>
  </conditionalFormatting>
  <conditionalFormatting sqref="I262">
    <cfRule type="expression" dxfId="214" priority="376" stopIfTrue="1">
      <formula>N(CDBG_DR_Dev_Request_Amount)&gt;N(Max_CDBG_DR_Dev)</formula>
    </cfRule>
    <cfRule type="expression" dxfId="213" priority="377">
      <formula>AND(N(CDBG_DR_Dev_Request_Amount)&gt;0,N(CDBG_DR_Dev_Request_Amount)&lt;=Max_CDBG_DR_Dev)</formula>
    </cfRule>
  </conditionalFormatting>
  <conditionalFormatting sqref="I299">
    <cfRule type="expression" dxfId="212" priority="4269">
      <formula>AND(N(I299)&gt;0,N(I299)&lt;=$I297)</formula>
    </cfRule>
    <cfRule type="cellIs" dxfId="211" priority="4333" stopIfTrue="1" operator="greaterThan">
      <formula>$I$297</formula>
    </cfRule>
  </conditionalFormatting>
  <conditionalFormatting sqref="I306">
    <cfRule type="expression" dxfId="210" priority="175">
      <formula>AND(Non_Comp_App_4HC&lt;&gt;"Yes",I306&lt;&gt;"")</formula>
    </cfRule>
    <cfRule type="expression" dxfId="209" priority="174">
      <formula>AND(Non_Comp_App_4HC="Yes",I306="")</formula>
    </cfRule>
    <cfRule type="cellIs" dxfId="208" priority="179" operator="notEqual">
      <formula>""</formula>
    </cfRule>
  </conditionalFormatting>
  <conditionalFormatting sqref="I308 I306">
    <cfRule type="expression" dxfId="207" priority="177">
      <formula>Non_Comp_App_4HC&lt;&gt;"Yes"</formula>
    </cfRule>
  </conditionalFormatting>
  <conditionalFormatting sqref="I308">
    <cfRule type="cellIs" dxfId="206" priority="180" operator="equal">
      <formula>""</formula>
    </cfRule>
    <cfRule type="cellIs" dxfId="205" priority="181" operator="notEqual">
      <formula>"&lt;select from menu&gt;"</formula>
    </cfRule>
    <cfRule type="expression" dxfId="204" priority="176">
      <formula>AND(Non_Comp_App_4HC&lt;&gt;"Yes",I308&lt;&gt;"&lt;select from menu&gt;")</formula>
    </cfRule>
    <cfRule type="expression" dxfId="203" priority="173">
      <formula>AND(Non_Comp_App_4HC="Yes",I308="&lt;select from menu&gt;")</formula>
    </cfRule>
  </conditionalFormatting>
  <conditionalFormatting sqref="I310">
    <cfRule type="expression" dxfId="202" priority="14676">
      <formula>AND(N(I310)&gt;0,$M310&gt;0)</formula>
    </cfRule>
  </conditionalFormatting>
  <conditionalFormatting sqref="I387">
    <cfRule type="cellIs" dxfId="201" priority="71" operator="notEqual">
      <formula>""</formula>
    </cfRule>
  </conditionalFormatting>
  <conditionalFormatting sqref="I405 I416">
    <cfRule type="expression" dxfId="200" priority="9">
      <formula>AND(N(HFA_Total_Rqst)&gt;0,N(MMRB_TE_Request_Amount)&lt;&gt;0)</formula>
    </cfRule>
  </conditionalFormatting>
  <conditionalFormatting sqref="I405">
    <cfRule type="cellIs" dxfId="199" priority="58" operator="notEqual">
      <formula>""</formula>
    </cfRule>
  </conditionalFormatting>
  <conditionalFormatting sqref="I416">
    <cfRule type="cellIs" dxfId="198" priority="28" operator="notEqual">
      <formula>""</formula>
    </cfRule>
  </conditionalFormatting>
  <conditionalFormatting sqref="I465:I469">
    <cfRule type="expression" dxfId="197" priority="640">
      <formula>$I$462&lt;&gt;"Yes"</formula>
    </cfRule>
  </conditionalFormatting>
  <conditionalFormatting sqref="I470">
    <cfRule type="expression" dxfId="196" priority="642">
      <formula>IFERROR(FIND("not",I470),0)&gt;0</formula>
    </cfRule>
  </conditionalFormatting>
  <conditionalFormatting sqref="I483">
    <cfRule type="cellIs" dxfId="195" priority="652" operator="equal">
      <formula>"No"</formula>
    </cfRule>
    <cfRule type="cellIs" dxfId="194" priority="653" operator="equal">
      <formula>"Yes"</formula>
    </cfRule>
  </conditionalFormatting>
  <conditionalFormatting sqref="I487">
    <cfRule type="cellIs" dxfId="193" priority="655" operator="notEqual">
      <formula>"&lt;select from menu&gt;"</formula>
    </cfRule>
  </conditionalFormatting>
  <conditionalFormatting sqref="I493">
    <cfRule type="cellIs" dxfId="192" priority="657" operator="equal">
      <formula>"No"</formula>
    </cfRule>
    <cfRule type="cellIs" dxfId="191" priority="661" operator="equal">
      <formula>"Dev. Category? (§4.A.4.a.)"</formula>
    </cfRule>
    <cfRule type="cellIs" dxfId="190" priority="680" operator="equal">
      <formula>"Total Units? (§4.A.6.a.)"</formula>
    </cfRule>
  </conditionalFormatting>
  <conditionalFormatting sqref="I536">
    <cfRule type="cellIs" dxfId="189" priority="1442" operator="notEqual">
      <formula>"&lt;select from menu&gt;"</formula>
    </cfRule>
  </conditionalFormatting>
  <conditionalFormatting sqref="I540">
    <cfRule type="cellIs" dxfId="188" priority="120" operator="notEqual">
      <formula>"&lt;select from menu&gt;"</formula>
    </cfRule>
    <cfRule type="cellIs" dxfId="187" priority="119" operator="equal">
      <formula>""</formula>
    </cfRule>
  </conditionalFormatting>
  <conditionalFormatting sqref="I543">
    <cfRule type="cellIs" dxfId="186" priority="116" operator="notEqual">
      <formula>""</formula>
    </cfRule>
    <cfRule type="expression" dxfId="185" priority="115">
      <formula>RA_Hist_Pref&lt;&gt;"Yes"</formula>
    </cfRule>
  </conditionalFormatting>
  <conditionalFormatting sqref="I550">
    <cfRule type="cellIs" dxfId="184" priority="118" operator="notEqual">
      <formula>"&lt;select from menu&gt;"</formula>
    </cfRule>
    <cfRule type="cellIs" dxfId="183" priority="117" operator="equal">
      <formula>""</formula>
    </cfRule>
  </conditionalFormatting>
  <conditionalFormatting sqref="I553">
    <cfRule type="expression" dxfId="182" priority="110">
      <formula>Supp_Srv_Fund_Pref&lt;&gt;"Yes"</formula>
    </cfRule>
    <cfRule type="cellIs" dxfId="181" priority="111" operator="notEqual">
      <formula>""</formula>
    </cfRule>
  </conditionalFormatting>
  <conditionalFormatting sqref="I604">
    <cfRule type="cellIs" dxfId="180" priority="192" operator="equal">
      <formula>"See Set-Aside Chart"</formula>
    </cfRule>
  </conditionalFormatting>
  <conditionalFormatting sqref="K391:K409 K411:K424">
    <cfRule type="cellIs" dxfId="179" priority="382" operator="equal">
      <formula>"**"</formula>
    </cfRule>
  </conditionalFormatting>
  <conditionalFormatting sqref="L4 M7:M11 L21 M22 M24 M26 M28 M30 M32:M33 M35:M36 M38:M44 N46 M50 L59 L69 M74 N75:N76 M81 N85:N89 M101 N102:N103 L116 M121:M125 L167 M179 L181:L205 L213 M226 L228:L278 M241 M248 N252:N256 M281:M345 N284:N293 N312 N346:N377 L385 N422 L431:L445 M441:M444 L447 L472:L519 M477 N485 L522:L615 M561 N562 M564 N565 M568 N569 N571 M573 N574 M577 N578 M581 M583 M585 M587 N588 M591 M593 M599 M602">
    <cfRule type="cellIs" dxfId="178" priority="401" operator="equal">
      <formula>0</formula>
    </cfRule>
  </conditionalFormatting>
  <conditionalFormatting sqref="L385">
    <cfRule type="expression" dxfId="177" priority="15338">
      <formula>AND($M$310=0,$L$385=1)</formula>
    </cfRule>
  </conditionalFormatting>
  <conditionalFormatting sqref="L457:L459">
    <cfRule type="cellIs" dxfId="176" priority="80" operator="equal">
      <formula>0</formula>
    </cfRule>
  </conditionalFormatting>
  <conditionalFormatting sqref="M449:M451">
    <cfRule type="cellIs" dxfId="174" priority="93" operator="equal">
      <formula>0</formula>
    </cfRule>
  </conditionalFormatting>
  <conditionalFormatting sqref="M465:M469">
    <cfRule type="cellIs" dxfId="173" priority="4" operator="equal">
      <formula>0</formula>
    </cfRule>
  </conditionalFormatting>
  <conditionalFormatting sqref="M596">
    <cfRule type="cellIs" dxfId="172" priority="75" operator="equal">
      <formula>0</formula>
    </cfRule>
  </conditionalFormatting>
  <conditionalFormatting sqref="N338">
    <cfRule type="expression" dxfId="171" priority="100">
      <formula>LEFT(N338,5)="ENTER"</formula>
    </cfRule>
  </conditionalFormatting>
  <conditionalFormatting sqref="N426">
    <cfRule type="cellIs" dxfId="170" priority="8" operator="equal">
      <formula>0</formula>
    </cfRule>
  </conditionalFormatting>
  <conditionalFormatting sqref="N485">
    <cfRule type="expression" dxfId="169" priority="15458">
      <formula>AND($L$475=0,#REF!&lt;&gt;0)</formula>
    </cfRule>
  </conditionalFormatting>
  <conditionalFormatting sqref="O288">
    <cfRule type="cellIs" dxfId="168" priority="5" operator="equal">
      <formula>0</formula>
    </cfRule>
  </conditionalFormatting>
  <conditionalFormatting sqref="O320:P320 P325 P333:P334 P338 P347 P355:P358 P366 P369 P372 P379">
    <cfRule type="expression" dxfId="167" priority="278">
      <formula>LEFT(O320,5)="ENTER"</formula>
    </cfRule>
  </conditionalFormatting>
  <conditionalFormatting sqref="P181">
    <cfRule type="expression" dxfId="166" priority="94">
      <formula>AND(L181=0,OR(DS_NHTF_Min_Units_Req_Large_Active="Yes",DS_NHTF_Min_Units_Req_Medium_Active="Yes"))</formula>
    </cfRule>
  </conditionalFormatting>
  <conditionalFormatting sqref="P228">
    <cfRule type="expression" dxfId="165" priority="220">
      <formula>AND(L228=0,OR(DS_NHTF_Min_Units_Req_Large_Active="Yes",DS_NHTF_Min_Units_Req_Medium_Active="Yes"))</formula>
    </cfRule>
  </conditionalFormatting>
  <conditionalFormatting sqref="P283 P312">
    <cfRule type="expression" dxfId="164" priority="14700">
      <formula>AND($M$281=1,$M$310=1)</formula>
    </cfRule>
  </conditionalFormatting>
  <conditionalFormatting sqref="P347">
    <cfRule type="expression" dxfId="163" priority="76">
      <formula>$L$279=0</formula>
    </cfRule>
    <cfRule type="expression" dxfId="162" priority="78">
      <formula>$N$346=0</formula>
    </cfRule>
  </conditionalFormatting>
  <conditionalFormatting sqref="P349:P351 E349:E351">
    <cfRule type="expression" dxfId="161" priority="409">
      <formula>AND(Geo_Area_of_Opp_boost&lt;&gt;"Yes",$E349&lt;&gt;"")</formula>
    </cfRule>
  </conditionalFormatting>
  <conditionalFormatting sqref="P349:P351">
    <cfRule type="expression" dxfId="160" priority="577">
      <formula>AND(Geo_Area_of_Opp_boost&lt;&gt;"Yes",$E349="")</formula>
    </cfRule>
    <cfRule type="expression" dxfId="159" priority="107">
      <formula>P349&lt;&gt;"&lt;select # of GAO Factors&gt;"</formula>
    </cfRule>
  </conditionalFormatting>
  <conditionalFormatting sqref="P395">
    <cfRule type="expression" dxfId="158" priority="1">
      <formula>$N397&lt;&gt;0</formula>
    </cfRule>
  </conditionalFormatting>
  <conditionalFormatting sqref="S35:S36">
    <cfRule type="expression" dxfId="157" priority="14102">
      <formula>AND(M35&gt;0,SUM(M$38:M$44)&gt;0)</formula>
    </cfRule>
  </conditionalFormatting>
  <conditionalFormatting sqref="S38:S44">
    <cfRule type="expression" dxfId="156" priority="14101">
      <formula>AND(M$35+M$36&gt;0,M38&gt;0)</formula>
    </cfRule>
  </conditionalFormatting>
  <dataValidations count="15">
    <dataValidation type="list" allowBlank="1" showDropDown="1" showErrorMessage="1" error="To select this Resident Program, type in &quot;x&quot;." sqref="D449:D451"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538 N365 N485 N252:N256 L226 N371 M310 N346 L557 L447 N355 N368 L534 N85:N89 L522 L525 M121:M125 M281 L531 N377 M441:M444 L385 L528 M241 L230 L548 M449:M451 L457 M465:M469" xr:uid="{7D3A3F00-6AB4-4F7D-8734-CC839EC088E6}">
      <formula1>AND(L85&gt;=0,L85&lt;3,L85=ROUND(L85,0))</formula1>
    </dataValidation>
    <dataValidation type="whole" allowBlank="1" showErrorMessage="1" error="Input is restricted to a whole number." sqref="I310 H441:H444"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MIN(DS_2024_ZCTAs)</formula1>
      <formula2>MAX(DS_2024_ZCTAs)</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E351" xr:uid="{94128017-02FE-4CC1-B426-1929D22DC164}">
      <formula1>MIN(DS_2024_GAO_QCTs_Sorted)</formula1>
      <formula2>MAX(DS_2024_GAO_QCTs_Sorted)</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7 I405 I416 I427"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502:H506" xr:uid="{23690CB3-A1C8-4C36-9459-E745C9B6B861}">
      <formula1>$C502&lt;&gt;""</formula1>
    </dataValidation>
    <dataValidation type="custom" allowBlank="1" showInputMessage="1" showErrorMessage="1" sqref="L179" xr:uid="{3AA5FA78-1372-40BD-A540-71A3195685DA}">
      <formula1>AND(L179&gt;=0,L179&lt;4,L179=ROUND(L179,0))</formula1>
    </dataValidation>
    <dataValidation type="list" allowBlank="1" showInputMessage="1" showErrorMessage="1" error="Please enter a valid GAofO QCT" sqref="P349:P351" xr:uid="{5E16C097-A88F-4EBD-83E4-BA02B2B0AEE6}">
      <formula1>"&lt;select # of GAO Factors&gt;,2 Factor GAO,3 Factor GAO"</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57150</xdr:colOff>
                    <xdr:row>450</xdr:row>
                    <xdr:rowOff>0</xdr:rowOff>
                  </from>
                  <to>
                    <xdr:col>4</xdr:col>
                    <xdr:colOff>666750</xdr:colOff>
                    <xdr:row>451</xdr:row>
                    <xdr:rowOff>19050</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57150</xdr:colOff>
                    <xdr:row>449</xdr:row>
                    <xdr:rowOff>0</xdr:rowOff>
                  </from>
                  <to>
                    <xdr:col>4</xdr:col>
                    <xdr:colOff>666750</xdr:colOff>
                    <xdr:row>450</xdr:row>
                    <xdr:rowOff>19050</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57150</xdr:colOff>
                    <xdr:row>448</xdr:row>
                    <xdr:rowOff>0</xdr:rowOff>
                  </from>
                  <to>
                    <xdr:col>4</xdr:col>
                    <xdr:colOff>666750</xdr:colOff>
                    <xdr:row>450</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7" id="{F0C08865-CF32-44D0-9E2C-B23FAAE86308}">
            <xm:f>OR($E$317=Data1!$F$821,$E$317=Data1!$F$820)</xm:f>
            <x14:dxf>
              <font>
                <color theme="0" tint="-0.34998626667073579"/>
              </font>
            </x14:dxf>
          </x14:cfRule>
          <xm:sqref>C391:C394 D396:D399 C401:C409 C411:C421 C423:C424</xm:sqref>
        </x14:conditionalFormatting>
        <x14:conditionalFormatting xmlns:xm="http://schemas.microsoft.com/office/excel/2006/main">
          <x14:cfRule type="expression" priority="637" id="{00000000-000E-0000-1000-00000E010000}">
            <xm:f>Data1!$B833=TRUE</xm:f>
            <x14:dxf>
              <fill>
                <patternFill>
                  <bgColor theme="9" tint="0.79998168889431442"/>
                </patternFill>
              </fill>
            </x14:dxf>
          </x14:cfRule>
          <xm:sqref>D449:I451</xm:sqref>
        </x14:conditionalFormatting>
        <x14:conditionalFormatting xmlns:xm="http://schemas.microsoft.com/office/excel/2006/main">
          <x14:cfRule type="expression" priority="556"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561"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03" id="{E6712920-3663-4956-A10E-B22972243530}">
            <xm:f>Data1!$E$905="Yes"</xm:f>
            <x14:dxf>
              <font>
                <color theme="0"/>
              </font>
              <fill>
                <patternFill>
                  <bgColor theme="0"/>
                </patternFill>
              </fill>
              <border>
                <left/>
                <right/>
                <top/>
                <bottom/>
                <vertical/>
                <horizontal/>
              </border>
            </x14:dxf>
          </x14:cfRule>
          <xm:sqref>L3:R394 L398:R615 L395:N395 Q395:R395 L396:R396 L397:N397 P397:R397</xm:sqref>
        </x14:conditionalFormatting>
        <x14:conditionalFormatting xmlns:xm="http://schemas.microsoft.com/office/excel/2006/main">
          <x14:cfRule type="expression" priority="96" id="{BF2484B0-78A3-43CD-8F44-A0ACE01CD39A}">
            <xm:f>Data1!$E$905="Yes"</xm:f>
            <x14:dxf>
              <font>
                <color theme="0"/>
              </font>
              <fill>
                <patternFill>
                  <bgColor theme="0"/>
                </patternFill>
              </fill>
              <border>
                <left/>
                <right/>
                <top/>
                <bottom/>
                <vertical/>
                <horizontal/>
              </border>
            </x14:dxf>
          </x14:cfRule>
          <xm:sqref>S3:T3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Data2!$EJ$110:$EJ$113</xm:f>
          </x14:formula1>
          <xm:sqref>E381:F381</xm:sqref>
        </x14:dataValidation>
        <x14:dataValidation type="list" allowBlank="1" showInputMessage="1" showErrorMessage="1" xr:uid="{D575AB2E-7EE2-4316-8AF5-66943E25F8C1}">
          <x14:formula1>
            <xm:f>Data2!$EK$105:$EK$107</xm:f>
          </x14:formula1>
          <xm:sqref>E325:F325 I308 E304:F304 I179 D532:F532 I226 E379:F379 D526:F526 E320:F320 E369:F369 E313:F313 E347:F347 E338:F338 D523:F523 I487 I536 I540 I550 E375:F375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tabColor theme="0" tint="-4.9989318521683403E-2"/>
  </sheetPr>
  <dimension ref="A1:AI494"/>
  <sheetViews>
    <sheetView zoomScale="110" zoomScaleNormal="110" zoomScaleSheetLayoutView="136" zoomScalePageLayoutView="120" workbookViewId="0">
      <selection activeCell="K44" sqref="K44"/>
    </sheetView>
  </sheetViews>
  <sheetFormatPr defaultColWidth="9.453125" defaultRowHeight="12.5"/>
  <cols>
    <col min="1" max="1" width="1.54296875" style="116" customWidth="1"/>
    <col min="2" max="2" width="3.54296875" style="116" customWidth="1"/>
    <col min="3" max="3" width="3.453125" style="116" customWidth="1"/>
    <col min="4" max="4" width="2.54296875" style="116" customWidth="1"/>
    <col min="5" max="5" width="10.81640625" style="116" customWidth="1"/>
    <col min="6" max="6" width="19.54296875" style="116" customWidth="1"/>
    <col min="7" max="7" width="3.54296875" style="116" customWidth="1"/>
    <col min="8" max="8" width="14.453125" style="116" customWidth="1"/>
    <col min="9" max="9" width="2.54296875" style="116" customWidth="1"/>
    <col min="10" max="10" width="3.54296875" style="116" customWidth="1"/>
    <col min="11" max="11" width="14.453125" style="116" customWidth="1"/>
    <col min="12" max="12" width="2.54296875" style="116" customWidth="1"/>
    <col min="13" max="13" width="3.54296875" style="116" customWidth="1"/>
    <col min="14" max="14" width="14.453125" style="116" customWidth="1"/>
    <col min="15" max="15" width="1.54296875" style="116" customWidth="1"/>
    <col min="16" max="16" width="9.26953125" style="116" customWidth="1"/>
    <col min="17" max="17" width="19" style="116" customWidth="1"/>
    <col min="18" max="18" width="13.81640625" style="116" bestFit="1" customWidth="1"/>
    <col min="19" max="20" width="11.54296875" style="116" customWidth="1"/>
    <col min="21" max="21" width="19.1796875" style="116" customWidth="1"/>
    <col min="22" max="22" width="20.54296875" style="116" customWidth="1"/>
    <col min="23" max="23" width="13.26953125" style="116" customWidth="1"/>
    <col min="24" max="24" width="15.81640625" style="116" customWidth="1"/>
    <col min="25" max="16384" width="9.453125" style="116"/>
  </cols>
  <sheetData>
    <row r="1" spans="1:22" customFormat="1" ht="36" customHeight="1" thickBot="1">
      <c r="A1" s="3697" t="s">
        <v>1233</v>
      </c>
      <c r="B1" s="3698"/>
      <c r="C1" s="3698"/>
      <c r="D1" s="3698"/>
      <c r="E1" s="3698"/>
      <c r="F1" s="3698"/>
      <c r="G1" s="3698"/>
      <c r="H1" s="3698"/>
      <c r="I1" s="3698"/>
      <c r="J1" s="3698"/>
      <c r="K1" s="3698"/>
      <c r="L1" s="3698"/>
      <c r="M1" s="3698"/>
      <c r="N1" s="3698"/>
      <c r="O1" s="3698"/>
      <c r="P1" s="3699"/>
      <c r="Q1" s="353"/>
      <c r="R1" s="24"/>
      <c r="S1" s="24"/>
      <c r="T1" s="24"/>
      <c r="U1" s="24"/>
      <c r="V1" s="24"/>
    </row>
    <row r="2" spans="1:22" ht="13">
      <c r="A2" s="123"/>
      <c r="B2" s="129" t="str">
        <f>DS_TabLeftFooter&amp;" DEVELOPMENT COST PRO FORMA"</f>
        <v>RFA 2026-204 DEVELOPMENT COST PRO FORMA</v>
      </c>
      <c r="D2" s="123"/>
      <c r="E2" s="123"/>
      <c r="F2" s="123"/>
      <c r="G2" s="123"/>
      <c r="H2" s="123"/>
      <c r="I2" s="123"/>
      <c r="J2" s="123"/>
      <c r="K2" s="123"/>
      <c r="L2" s="123"/>
      <c r="M2" s="123"/>
      <c r="N2" s="123"/>
      <c r="O2" s="132"/>
      <c r="P2" s="131" t="str">
        <f>IF(OR(AND(Funding!M$310&gt;0,Data3!H$296="No",Minimum_SetAside_per_Sec_42&lt;&gt;"Live Local SAIL only (no HC)"),AND(Minimum_SetAside_per_Sec_42&lt;&gt;"Live Local SAIL only (no HC)",Data3!H$297="Yes")),"(Page 1 of 8)","(Page 1 of 7)")</f>
        <v>(Page 1 of 8)</v>
      </c>
    </row>
    <row r="3" spans="1:22" ht="16.5">
      <c r="A3" s="123"/>
      <c r="B3" s="129"/>
      <c r="C3" s="129"/>
      <c r="D3" s="123"/>
      <c r="E3" s="123"/>
      <c r="F3" s="123"/>
      <c r="G3" s="227"/>
      <c r="H3" s="123"/>
      <c r="I3" s="123"/>
      <c r="J3" s="123"/>
      <c r="K3" s="123"/>
      <c r="L3" s="123"/>
      <c r="M3" s="123"/>
      <c r="N3" s="123"/>
      <c r="O3" s="132"/>
      <c r="P3" s="132"/>
    </row>
    <row r="4" spans="1:22">
      <c r="A4" s="123"/>
      <c r="B4" s="123"/>
      <c r="C4" s="123"/>
      <c r="D4" s="226" t="s">
        <v>1234</v>
      </c>
      <c r="E4" s="220">
        <v>1</v>
      </c>
      <c r="F4" s="130" t="s">
        <v>2152</v>
      </c>
      <c r="O4" s="132"/>
      <c r="P4" s="132"/>
    </row>
    <row r="5" spans="1:22">
      <c r="A5" s="123"/>
      <c r="B5" s="123"/>
      <c r="C5" s="147"/>
      <c r="D5" s="147"/>
      <c r="E5" s="225"/>
      <c r="F5" s="130" t="s">
        <v>1235</v>
      </c>
      <c r="O5" s="132"/>
      <c r="P5" s="132"/>
    </row>
    <row r="6" spans="1:22" hidden="1">
      <c r="A6" s="123"/>
      <c r="B6" s="123"/>
      <c r="C6" s="147"/>
      <c r="D6" s="147"/>
      <c r="E6" s="228"/>
      <c r="F6" s="130" t="s">
        <v>1236</v>
      </c>
      <c r="O6" s="132"/>
      <c r="P6" s="132"/>
    </row>
    <row r="7" spans="1:22" hidden="1">
      <c r="A7" s="123"/>
      <c r="B7" s="123"/>
      <c r="C7" s="147"/>
      <c r="D7" s="147"/>
      <c r="E7" s="229"/>
      <c r="F7" s="130" t="s">
        <v>1237</v>
      </c>
      <c r="O7" s="132"/>
      <c r="P7" s="132"/>
    </row>
    <row r="8" spans="1:22">
      <c r="A8" s="123"/>
      <c r="B8" s="123"/>
      <c r="C8" s="147"/>
      <c r="D8" s="147"/>
      <c r="E8" s="220">
        <f>MAX(E$4:E5)+1</f>
        <v>2</v>
      </c>
      <c r="F8" s="130" t="s">
        <v>1238</v>
      </c>
      <c r="O8" s="132"/>
      <c r="P8" s="132"/>
    </row>
    <row r="9" spans="1:22">
      <c r="A9" s="123"/>
      <c r="B9" s="123"/>
      <c r="C9" s="147"/>
      <c r="D9" s="147"/>
      <c r="E9" s="220"/>
      <c r="F9" s="130" t="s">
        <v>1239</v>
      </c>
      <c r="O9" s="132"/>
      <c r="P9" s="132"/>
    </row>
    <row r="10" spans="1:22" hidden="1">
      <c r="A10" s="123"/>
      <c r="B10" s="123"/>
      <c r="C10" s="147"/>
      <c r="D10" s="147"/>
      <c r="E10" s="228"/>
      <c r="F10" s="130" t="s">
        <v>1240</v>
      </c>
      <c r="O10" s="132"/>
      <c r="P10" s="132"/>
    </row>
    <row r="11" spans="1:22">
      <c r="A11" s="123"/>
      <c r="B11" s="123"/>
      <c r="C11" s="123"/>
      <c r="D11" s="123"/>
      <c r="E11" s="220">
        <f>MAX(E$4:E8)+1</f>
        <v>3</v>
      </c>
      <c r="F11" s="130" t="s">
        <v>1241</v>
      </c>
      <c r="O11" s="132"/>
      <c r="P11" s="132"/>
    </row>
    <row r="12" spans="1:22">
      <c r="A12" s="123"/>
      <c r="B12" s="123"/>
      <c r="C12" s="123"/>
      <c r="D12" s="123"/>
      <c r="E12" s="224"/>
      <c r="F12" s="130" t="s">
        <v>1242</v>
      </c>
      <c r="O12" s="132"/>
      <c r="P12" s="132"/>
    </row>
    <row r="13" spans="1:22">
      <c r="A13" s="123"/>
      <c r="B13" s="123"/>
      <c r="C13" s="123"/>
      <c r="D13" s="123"/>
      <c r="E13" s="224"/>
      <c r="F13" s="130" t="s">
        <v>1243</v>
      </c>
      <c r="O13" s="132"/>
      <c r="P13" s="132"/>
    </row>
    <row r="14" spans="1:22">
      <c r="A14" s="123"/>
      <c r="B14" s="123"/>
      <c r="C14" s="123"/>
      <c r="D14" s="123"/>
      <c r="E14" s="220">
        <f>MAX(E$4:E13)+1</f>
        <v>4</v>
      </c>
      <c r="F14" s="130" t="s">
        <v>1879</v>
      </c>
      <c r="O14" s="132"/>
      <c r="P14" s="132"/>
    </row>
    <row r="15" spans="1:22">
      <c r="A15" s="123"/>
      <c r="B15" s="123"/>
      <c r="C15" s="123"/>
      <c r="D15" s="123"/>
      <c r="E15" s="224"/>
      <c r="F15" s="130" t="s">
        <v>1905</v>
      </c>
      <c r="G15" s="223"/>
      <c r="H15" s="223"/>
      <c r="I15" s="223"/>
      <c r="J15" s="223"/>
      <c r="K15" s="223"/>
      <c r="L15" s="223"/>
      <c r="M15" s="223"/>
      <c r="N15" s="223"/>
      <c r="O15" s="132"/>
      <c r="P15" s="132"/>
    </row>
    <row r="16" spans="1:22">
      <c r="A16" s="123"/>
      <c r="B16" s="123"/>
      <c r="C16" s="123"/>
      <c r="D16" s="123"/>
      <c r="E16" s="224"/>
      <c r="F16" s="130" t="s">
        <v>1880</v>
      </c>
      <c r="G16" s="223"/>
      <c r="H16" s="223"/>
      <c r="I16" s="223"/>
      <c r="J16" s="223"/>
      <c r="K16" s="223"/>
      <c r="L16" s="223"/>
      <c r="M16" s="223"/>
      <c r="N16" s="223"/>
      <c r="O16" s="132"/>
      <c r="P16" s="132"/>
    </row>
    <row r="17" spans="1:16" hidden="1">
      <c r="A17" s="123"/>
      <c r="B17" s="123"/>
      <c r="C17" s="123"/>
      <c r="D17" s="123"/>
      <c r="E17" s="228"/>
      <c r="F17" s="130" t="s">
        <v>1244</v>
      </c>
      <c r="G17" s="223"/>
      <c r="H17" s="223"/>
      <c r="I17" s="223"/>
      <c r="J17" s="223"/>
      <c r="K17" s="223"/>
      <c r="L17" s="223"/>
      <c r="M17" s="223"/>
      <c r="N17" s="223"/>
      <c r="O17" s="132"/>
      <c r="P17" s="132"/>
    </row>
    <row r="18" spans="1:16" hidden="1">
      <c r="A18" s="123"/>
      <c r="B18" s="123"/>
      <c r="C18" s="123"/>
      <c r="D18" s="123"/>
      <c r="E18" s="229"/>
      <c r="F18" s="130" t="s">
        <v>1245</v>
      </c>
      <c r="O18" s="132"/>
      <c r="P18" s="132"/>
    </row>
    <row r="19" spans="1:16" hidden="1">
      <c r="A19" s="123"/>
      <c r="B19" s="123"/>
      <c r="C19" s="123"/>
      <c r="D19" s="123"/>
      <c r="E19" s="230"/>
      <c r="F19" s="147" t="s">
        <v>1246</v>
      </c>
      <c r="G19" s="123"/>
      <c r="H19" s="123"/>
      <c r="I19" s="123"/>
      <c r="J19" s="123"/>
      <c r="K19" s="123"/>
      <c r="L19" s="123"/>
      <c r="M19" s="123"/>
      <c r="N19" s="123"/>
      <c r="O19" s="132"/>
      <c r="P19" s="132"/>
    </row>
    <row r="20" spans="1:16">
      <c r="A20" s="123"/>
      <c r="B20" s="123"/>
      <c r="C20" s="123"/>
      <c r="D20" s="123"/>
      <c r="E20" s="220">
        <f>MAX(E$4:E18)+1</f>
        <v>5</v>
      </c>
      <c r="F20" s="147" t="s">
        <v>1887</v>
      </c>
      <c r="G20" s="123"/>
      <c r="H20" s="123"/>
      <c r="I20" s="123"/>
      <c r="J20" s="123"/>
      <c r="K20" s="123"/>
      <c r="L20" s="123"/>
      <c r="M20" s="123"/>
      <c r="N20" s="123"/>
      <c r="O20" s="132"/>
      <c r="P20" s="132"/>
    </row>
    <row r="21" spans="1:16">
      <c r="A21" s="123"/>
      <c r="B21" s="123"/>
      <c r="C21" s="123"/>
      <c r="D21" s="123"/>
      <c r="E21" s="222"/>
      <c r="F21" s="147" t="s">
        <v>1888</v>
      </c>
      <c r="G21" s="123"/>
      <c r="H21" s="123"/>
      <c r="I21" s="123"/>
      <c r="J21" s="123"/>
      <c r="K21" s="123"/>
      <c r="L21" s="123"/>
      <c r="M21" s="123"/>
      <c r="N21" s="123"/>
      <c r="O21" s="132"/>
      <c r="P21" s="132"/>
    </row>
    <row r="22" spans="1:16">
      <c r="A22" s="123"/>
      <c r="B22" s="123"/>
      <c r="C22" s="123"/>
      <c r="D22" s="123"/>
      <c r="E22" s="222"/>
      <c r="F22" s="147" t="s">
        <v>1889</v>
      </c>
      <c r="G22" s="123"/>
      <c r="H22" s="123"/>
      <c r="I22" s="123"/>
      <c r="J22" s="123"/>
      <c r="K22" s="123"/>
      <c r="L22" s="123"/>
      <c r="M22" s="123"/>
      <c r="N22" s="123"/>
      <c r="O22" s="132"/>
      <c r="P22" s="132"/>
    </row>
    <row r="23" spans="1:16">
      <c r="A23" s="123"/>
      <c r="B23" s="123"/>
      <c r="C23" s="123"/>
      <c r="D23" s="123"/>
      <c r="E23" s="221"/>
      <c r="F23" s="147" t="s">
        <v>1890</v>
      </c>
      <c r="G23" s="123"/>
      <c r="H23" s="123"/>
      <c r="I23" s="123"/>
      <c r="J23" s="123"/>
      <c r="K23" s="123"/>
      <c r="L23" s="123"/>
      <c r="M23" s="123"/>
      <c r="N23" s="123"/>
      <c r="O23" s="132"/>
      <c r="P23" s="132"/>
    </row>
    <row r="24" spans="1:16">
      <c r="A24" s="123"/>
      <c r="B24" s="123"/>
      <c r="C24" s="123"/>
      <c r="D24" s="123"/>
      <c r="E24" s="218"/>
      <c r="F24" s="147" t="s">
        <v>1891</v>
      </c>
      <c r="G24" s="123"/>
      <c r="H24" s="123"/>
      <c r="I24" s="123"/>
      <c r="J24" s="123"/>
      <c r="K24" s="123"/>
      <c r="L24" s="123"/>
      <c r="M24" s="123"/>
      <c r="N24" s="123"/>
      <c r="O24" s="132"/>
      <c r="P24" s="132"/>
    </row>
    <row r="25" spans="1:16">
      <c r="A25" s="123"/>
      <c r="B25" s="123"/>
      <c r="C25" s="123"/>
      <c r="D25" s="123"/>
      <c r="E25" s="220">
        <f>MAX(E$4:E23)+1</f>
        <v>6</v>
      </c>
      <c r="F25" s="147" t="s">
        <v>1247</v>
      </c>
      <c r="G25" s="123"/>
      <c r="H25" s="123"/>
      <c r="I25" s="123"/>
      <c r="J25" s="123"/>
      <c r="K25" s="123"/>
      <c r="L25" s="123"/>
      <c r="M25" s="123"/>
      <c r="N25" s="123"/>
      <c r="O25" s="132"/>
      <c r="P25" s="132"/>
    </row>
    <row r="26" spans="1:16">
      <c r="A26" s="123"/>
      <c r="B26" s="123"/>
      <c r="C26" s="123"/>
      <c r="D26" s="123"/>
      <c r="E26" s="218"/>
      <c r="F26" s="147" t="s">
        <v>1248</v>
      </c>
      <c r="G26" s="123"/>
      <c r="H26" s="123"/>
      <c r="I26" s="123"/>
      <c r="J26" s="123"/>
      <c r="K26" s="123"/>
      <c r="L26" s="123"/>
      <c r="M26" s="123"/>
      <c r="N26" s="123"/>
      <c r="O26" s="132"/>
      <c r="P26" s="132"/>
    </row>
    <row r="27" spans="1:16">
      <c r="A27" s="123"/>
      <c r="B27" s="123"/>
      <c r="C27" s="123"/>
      <c r="D27" s="123"/>
      <c r="E27" s="218"/>
      <c r="F27" s="147" t="s">
        <v>1881</v>
      </c>
      <c r="G27" s="123"/>
      <c r="H27" s="123"/>
      <c r="I27" s="123"/>
      <c r="J27" s="123"/>
      <c r="K27" s="123"/>
      <c r="L27" s="123"/>
      <c r="M27" s="123"/>
      <c r="N27" s="123"/>
      <c r="O27" s="132"/>
      <c r="P27" s="132"/>
    </row>
    <row r="28" spans="1:16">
      <c r="A28" s="123"/>
      <c r="B28" s="123"/>
      <c r="C28" s="123"/>
      <c r="D28" s="123"/>
      <c r="E28" s="220">
        <f>MAX(E$4:E27)+1</f>
        <v>7</v>
      </c>
      <c r="F28" s="147" t="s">
        <v>1249</v>
      </c>
      <c r="G28" s="123"/>
      <c r="H28" s="123"/>
      <c r="I28" s="123"/>
      <c r="J28" s="123"/>
      <c r="K28" s="123"/>
      <c r="L28" s="123"/>
      <c r="M28" s="123"/>
      <c r="N28" s="123"/>
      <c r="O28" s="132"/>
      <c r="P28" s="132"/>
    </row>
    <row r="29" spans="1:16">
      <c r="A29" s="123"/>
      <c r="B29" s="123"/>
      <c r="C29" s="123"/>
      <c r="D29" s="123"/>
      <c r="E29" s="218"/>
      <c r="F29" s="147" t="s">
        <v>1250</v>
      </c>
      <c r="G29" s="123"/>
      <c r="H29" s="123"/>
      <c r="I29" s="123"/>
      <c r="J29" s="123"/>
      <c r="K29" s="123"/>
      <c r="L29" s="123"/>
      <c r="M29" s="123"/>
      <c r="N29" s="123"/>
      <c r="O29" s="132"/>
      <c r="P29" s="132"/>
    </row>
    <row r="30" spans="1:16">
      <c r="A30" s="123"/>
      <c r="B30" s="123"/>
      <c r="C30" s="123"/>
      <c r="D30" s="123"/>
      <c r="F30" s="147" t="s">
        <v>1882</v>
      </c>
      <c r="G30" s="123"/>
      <c r="H30" s="123"/>
      <c r="I30" s="123"/>
      <c r="J30" s="123"/>
      <c r="K30" s="123"/>
      <c r="L30" s="123"/>
      <c r="M30" s="123"/>
      <c r="N30" s="123"/>
      <c r="O30" s="132"/>
      <c r="P30" s="132"/>
    </row>
    <row r="31" spans="1:16" hidden="1">
      <c r="A31" s="123"/>
      <c r="B31" s="123"/>
      <c r="C31" s="123"/>
      <c r="D31" s="123"/>
      <c r="E31" s="1223">
        <f>MAX(E$4:E30)+1</f>
        <v>8</v>
      </c>
      <c r="F31" s="147" t="s">
        <v>1251</v>
      </c>
      <c r="G31" s="123"/>
      <c r="H31" s="123"/>
      <c r="I31" s="123"/>
      <c r="J31" s="123"/>
      <c r="K31" s="123"/>
      <c r="L31" s="123"/>
      <c r="M31" s="123"/>
      <c r="N31" s="123"/>
      <c r="O31" s="132"/>
      <c r="P31" s="132"/>
    </row>
    <row r="32" spans="1:16" hidden="1">
      <c r="A32" s="123"/>
      <c r="B32" s="123"/>
      <c r="C32" s="123"/>
      <c r="D32" s="123"/>
      <c r="E32" s="1223"/>
      <c r="F32" s="147" t="s">
        <v>1252</v>
      </c>
      <c r="G32" s="123"/>
      <c r="H32" s="123"/>
      <c r="I32" s="123"/>
      <c r="J32" s="123"/>
      <c r="K32" s="123"/>
      <c r="L32" s="123"/>
      <c r="M32" s="123"/>
      <c r="N32" s="123"/>
      <c r="O32" s="132"/>
      <c r="P32" s="132"/>
    </row>
    <row r="33" spans="1:26">
      <c r="A33" s="123"/>
      <c r="B33" s="123"/>
      <c r="C33" s="123"/>
      <c r="D33" s="123"/>
      <c r="E33" s="218"/>
      <c r="G33" s="123"/>
      <c r="H33" s="123"/>
      <c r="I33" s="123"/>
      <c r="J33" s="123"/>
      <c r="K33" s="123"/>
      <c r="L33" s="123"/>
      <c r="M33" s="123"/>
      <c r="N33" s="123"/>
      <c r="O33" s="132"/>
      <c r="P33" s="132"/>
    </row>
    <row r="34" spans="1:26">
      <c r="A34" s="123"/>
      <c r="B34" s="123"/>
      <c r="C34" s="219" t="s">
        <v>1253</v>
      </c>
      <c r="D34" s="123"/>
      <c r="E34" s="218"/>
      <c r="F34" s="123"/>
      <c r="G34" s="123"/>
      <c r="H34" s="123"/>
      <c r="I34" s="123"/>
      <c r="J34" s="123"/>
      <c r="K34" s="123"/>
      <c r="L34" s="123"/>
      <c r="M34" s="123"/>
      <c r="N34" s="123"/>
      <c r="O34" s="132"/>
      <c r="P34" s="132"/>
    </row>
    <row r="35" spans="1:26">
      <c r="A35" s="123"/>
      <c r="B35" s="123"/>
      <c r="C35" s="219" t="s">
        <v>1254</v>
      </c>
      <c r="D35" s="123"/>
      <c r="E35" s="218"/>
      <c r="F35" s="147"/>
      <c r="G35" s="123"/>
      <c r="H35" s="123"/>
      <c r="I35" s="123"/>
      <c r="J35" s="123"/>
      <c r="K35" s="123"/>
      <c r="L35" s="123"/>
      <c r="M35" s="123"/>
      <c r="N35" s="123"/>
      <c r="O35" s="132"/>
      <c r="P35" s="132"/>
    </row>
    <row r="36" spans="1:26" ht="13">
      <c r="A36" s="123"/>
      <c r="B36" s="146"/>
      <c r="D36" s="123"/>
      <c r="E36" s="123"/>
      <c r="F36" s="123"/>
      <c r="G36" s="123"/>
      <c r="H36" s="123"/>
      <c r="I36" s="123"/>
      <c r="J36" s="123"/>
      <c r="K36" s="123"/>
      <c r="L36" s="123"/>
      <c r="M36" s="123"/>
      <c r="N36" s="123"/>
      <c r="O36" s="132"/>
      <c r="P36" s="132"/>
    </row>
    <row r="37" spans="1:26" ht="13">
      <c r="A37" s="123"/>
      <c r="B37" s="146"/>
      <c r="D37" s="123"/>
      <c r="E37" s="123"/>
      <c r="G37" s="123"/>
      <c r="I37" s="121" t="s">
        <v>1255</v>
      </c>
      <c r="J37" s="123"/>
      <c r="K37" s="3700" t="str">
        <f>IF(Development_Category=DS_Select_One,"Category Input Required",Development_Category)</f>
        <v>Category Input Required</v>
      </c>
      <c r="L37" s="3700"/>
      <c r="M37" s="3700"/>
      <c r="N37" s="3700"/>
      <c r="O37" s="132"/>
      <c r="P37" s="134" t="str">
        <f>IF(K37="Category Input Required","**","")</f>
        <v>**</v>
      </c>
      <c r="R37" s="134" t="s">
        <v>1082</v>
      </c>
      <c r="S37" s="116" t="s">
        <v>1256</v>
      </c>
    </row>
    <row r="38" spans="1:26" ht="13">
      <c r="A38" s="123"/>
      <c r="B38" s="146"/>
      <c r="D38" s="123"/>
      <c r="E38" s="123"/>
      <c r="G38" s="123"/>
      <c r="I38" s="369" t="s">
        <v>1257</v>
      </c>
      <c r="J38" s="123"/>
      <c r="K38" s="910" t="str">
        <f>IF(Total_Units&gt;0,Total_Units,"Total Units Required")</f>
        <v>Total Units Required</v>
      </c>
      <c r="L38" s="127"/>
      <c r="M38" s="127"/>
      <c r="N38" s="370"/>
      <c r="O38" s="132"/>
      <c r="P38" s="134" t="str">
        <f>IF(N(K38)=0,"**","")</f>
        <v>**</v>
      </c>
    </row>
    <row r="39" spans="1:26" ht="15" customHeight="1">
      <c r="A39" s="123"/>
      <c r="B39" s="146"/>
      <c r="D39" s="123"/>
      <c r="E39" s="123"/>
      <c r="F39" s="123"/>
      <c r="G39" s="3669" t="str">
        <f>IF(SUM(I44:I125)+SUM(L44:L125)&gt;0,"The "&amp;TEXT(SUM(I44:I125)+SUM(L44:L125),"0")&amp;" highlighted cell"&amp;IF(SUM(I44:I125)+SUM(L44:L125)&gt;1,"s","")&amp;" should be corrected to have a whole number","")</f>
        <v/>
      </c>
      <c r="H39" s="3669"/>
      <c r="I39" s="3669"/>
      <c r="J39" s="3669"/>
      <c r="K39" s="3669"/>
      <c r="L39" s="3669"/>
      <c r="M39" s="3669"/>
      <c r="N39" s="3669"/>
      <c r="Q39" s="3660" t="s">
        <v>1258</v>
      </c>
      <c r="R39" s="3661"/>
      <c r="S39" s="3661"/>
      <c r="T39" s="3661"/>
      <c r="U39" s="3661"/>
      <c r="V39" s="3661"/>
      <c r="W39" s="3661"/>
      <c r="X39" s="3661"/>
      <c r="Y39" s="3661"/>
      <c r="Z39" s="3662"/>
    </row>
    <row r="40" spans="1:26" ht="12.75" customHeight="1">
      <c r="A40" s="123"/>
      <c r="B40" s="123"/>
      <c r="C40" s="123"/>
      <c r="D40" s="123"/>
      <c r="E40" s="123"/>
      <c r="F40" s="123"/>
      <c r="G40" s="123"/>
      <c r="H40" s="872">
        <v>1</v>
      </c>
      <c r="I40" s="123"/>
      <c r="J40" s="123"/>
      <c r="K40" s="1151">
        <f>IF(AND(E41=2,Data3!H295="Yes"),"",IF(AND(E41=2,Data3!H295="No"),"‡",2))</f>
        <v>2</v>
      </c>
      <c r="L40" s="123"/>
      <c r="M40" s="171"/>
      <c r="N40" s="1152">
        <v>3</v>
      </c>
      <c r="O40" s="132"/>
      <c r="P40" s="132"/>
      <c r="Q40" s="3663"/>
      <c r="R40" s="3664"/>
      <c r="S40" s="3664"/>
      <c r="T40" s="3664"/>
      <c r="U40" s="3664"/>
      <c r="V40" s="3664"/>
      <c r="W40" s="3664"/>
      <c r="X40" s="3664"/>
      <c r="Y40" s="3664"/>
      <c r="Z40" s="3665"/>
    </row>
    <row r="41" spans="1:26" ht="24" customHeight="1" thickBot="1">
      <c r="A41" s="123"/>
      <c r="B41" s="123"/>
      <c r="C41" s="123"/>
      <c r="D41" s="123"/>
      <c r="E41" s="460">
        <f>IF(OR(AND(Data3!H295="Yes",Data3!H296="Yes"),AND(Data3!H295="No",Data3!H296="Yes",Competitive_HC_Request_Amount=0,Non_Competitive_HC_Request_Amount=0)),2,3)</f>
        <v>3</v>
      </c>
      <c r="F41" s="123"/>
      <c r="G41" s="123"/>
      <c r="H41" s="216" t="str">
        <f>IF(E41=2,"PROPOSED                                                                         COSTS","HC ELIGIBLE                                                                               COSTS")</f>
        <v>HC ELIGIBLE                                                                               COSTS</v>
      </c>
      <c r="I41" s="217"/>
      <c r="J41" s="217"/>
      <c r="K41" s="216" t="str">
        <f>IF(AND(E41=2,Data3!H295="Yes"),"",IF(AND(E41=2,Data3!H295="No"),"See Note at Right","HC INELIGIBLE
COSTS"))</f>
        <v>HC INELIGIBLE
COSTS</v>
      </c>
      <c r="L41" s="216"/>
      <c r="M41" s="216"/>
      <c r="N41" s="216" t="s">
        <v>1259</v>
      </c>
      <c r="O41" s="132"/>
      <c r="P41" s="132"/>
      <c r="Q41" s="3666"/>
      <c r="R41" s="3667"/>
      <c r="S41" s="3667"/>
      <c r="T41" s="3667"/>
      <c r="U41" s="3667"/>
      <c r="V41" s="3667"/>
      <c r="W41" s="3667"/>
      <c r="X41" s="3667"/>
      <c r="Y41" s="3667"/>
      <c r="Z41" s="3668"/>
    </row>
    <row r="42" spans="1:26" ht="13">
      <c r="A42" s="123"/>
      <c r="B42" s="129" t="s">
        <v>1260</v>
      </c>
      <c r="C42" s="123"/>
      <c r="D42" s="123"/>
      <c r="E42" s="123"/>
      <c r="F42" s="123"/>
      <c r="G42" s="123"/>
      <c r="H42" s="123"/>
      <c r="I42" s="123"/>
      <c r="J42" s="123"/>
      <c r="K42" s="123"/>
      <c r="L42" s="123"/>
      <c r="M42" s="123"/>
      <c r="N42" s="123"/>
      <c r="O42" s="132"/>
      <c r="P42" s="132"/>
      <c r="Q42" s="232"/>
      <c r="R42" s="232"/>
      <c r="S42" s="232"/>
      <c r="T42" s="232"/>
      <c r="U42" s="123"/>
      <c r="V42" s="123"/>
      <c r="W42" s="123"/>
      <c r="X42" s="123"/>
      <c r="Y42" s="123"/>
      <c r="Z42" s="123"/>
    </row>
    <row r="43" spans="1:26" ht="12.75" customHeight="1">
      <c r="A43" s="123"/>
      <c r="B43" s="144"/>
      <c r="C43" s="206" t="s">
        <v>1261</v>
      </c>
      <c r="D43" s="123"/>
      <c r="E43" s="123"/>
      <c r="F43" s="123"/>
      <c r="G43" s="123"/>
      <c r="H43" s="123"/>
      <c r="I43" s="123"/>
      <c r="J43" s="123"/>
      <c r="K43" s="123"/>
      <c r="L43" s="123"/>
      <c r="M43" s="123"/>
      <c r="N43" s="123"/>
      <c r="O43" s="132"/>
      <c r="P43" s="132"/>
      <c r="Q43" s="3680" t="str">
        <f>IF(AND(E41=2,Data3!H295="Yes"),"",IF(AND(E41=2,Data3!H295="No"),"‡ A Housing Credit Request Amount must be entered on the Funding Tab in order to view and input data into Column 2.",""))</f>
        <v/>
      </c>
      <c r="R43" s="3680"/>
      <c r="S43" s="3680"/>
      <c r="T43" s="3680"/>
      <c r="U43" s="3680"/>
      <c r="V43" s="3680"/>
      <c r="W43" s="3680"/>
      <c r="X43" s="3680"/>
      <c r="Y43" s="3680"/>
      <c r="Z43" s="3680"/>
    </row>
    <row r="44" spans="1:26">
      <c r="A44" s="123"/>
      <c r="B44" s="144"/>
      <c r="D44" s="158" t="s">
        <v>1262</v>
      </c>
      <c r="E44" s="123"/>
      <c r="F44" s="123"/>
      <c r="G44" s="123"/>
      <c r="H44" s="1227"/>
      <c r="I44" s="190"/>
      <c r="J44" s="176"/>
      <c r="K44" s="196"/>
      <c r="L44" s="190" t="str">
        <f>IF(N(K44)&lt;&gt;ROUNDDOWN(N(K44),0),1,"")</f>
        <v/>
      </c>
      <c r="M44" s="148"/>
      <c r="N44" s="911" t="str">
        <f>IF(AND($E$41=3,K44=0),"",IF(AND($E$41=3,K44&gt;0),K44,IF(AND($E$41=2,H44=0),"",IF(AND($E$41=2,H44&gt;0),H44))))</f>
        <v/>
      </c>
      <c r="O44" s="132"/>
      <c r="P44" s="132"/>
      <c r="Q44" s="3638" t="s">
        <v>1263</v>
      </c>
      <c r="R44" s="3638"/>
      <c r="S44" s="3638"/>
      <c r="T44" s="3638"/>
      <c r="U44" s="3638"/>
      <c r="V44" s="3638"/>
      <c r="W44" s="3638"/>
      <c r="X44" s="3638"/>
      <c r="Y44" s="3638"/>
      <c r="Z44" s="3638"/>
    </row>
    <row r="45" spans="1:26" ht="12.4" customHeight="1">
      <c r="B45" s="144"/>
      <c r="H45" s="210"/>
      <c r="I45" s="190"/>
      <c r="J45" s="148"/>
      <c r="K45" s="194"/>
      <c r="L45" s="190"/>
      <c r="M45" s="149"/>
      <c r="N45" s="148"/>
      <c r="O45" s="132"/>
      <c r="P45" s="132"/>
      <c r="Q45" s="3638"/>
      <c r="R45" s="3638"/>
      <c r="S45" s="3638"/>
      <c r="T45" s="3638"/>
      <c r="U45" s="3638"/>
      <c r="V45" s="3638"/>
      <c r="W45" s="3638"/>
      <c r="X45" s="3638"/>
      <c r="Y45" s="3638"/>
      <c r="Z45" s="3638"/>
    </row>
    <row r="46" spans="1:26" ht="13.5">
      <c r="B46" s="144"/>
      <c r="D46" s="158" t="s">
        <v>1264</v>
      </c>
      <c r="H46" s="1673"/>
      <c r="I46" s="190"/>
      <c r="J46" s="176"/>
      <c r="K46" s="196"/>
      <c r="L46" s="190" t="str">
        <f>IF(N(K46)&lt;&gt;ROUNDDOWN(N(K46),0),1,"")</f>
        <v/>
      </c>
      <c r="M46" s="148"/>
      <c r="N46" s="911" t="str">
        <f>IF(AND($E$41=3,K46=0),"",IF(AND($E$41=3,K46&gt;0),K46,IF(AND($E$41=2,H46=0),"",IF(AND($E$41=2,H46&gt;0),H46))))</f>
        <v/>
      </c>
      <c r="O46" s="132"/>
      <c r="P46" s="132"/>
      <c r="Q46" s="3638" t="s">
        <v>1265</v>
      </c>
      <c r="R46" s="3638"/>
      <c r="S46" s="3638"/>
      <c r="T46" s="3638"/>
      <c r="U46" s="3638"/>
      <c r="V46" s="3638"/>
      <c r="W46" s="3638"/>
      <c r="X46" s="3638"/>
      <c r="Y46" s="3638"/>
      <c r="Z46" s="3638"/>
    </row>
    <row r="47" spans="1:26" ht="12.4" customHeight="1">
      <c r="B47" s="144"/>
      <c r="H47" s="210"/>
      <c r="I47" s="190"/>
      <c r="J47" s="148"/>
      <c r="K47" s="194"/>
      <c r="L47" s="190"/>
      <c r="M47" s="149"/>
      <c r="N47" s="231"/>
      <c r="O47" s="132"/>
      <c r="P47" s="132"/>
      <c r="Q47" s="3638"/>
      <c r="R47" s="3638"/>
      <c r="S47" s="3638"/>
      <c r="T47" s="3638"/>
      <c r="U47" s="3638"/>
      <c r="V47" s="3638"/>
      <c r="W47" s="3638"/>
      <c r="X47" s="3638"/>
      <c r="Y47" s="3638"/>
      <c r="Z47" s="3638"/>
    </row>
    <row r="48" spans="1:26">
      <c r="A48" s="123"/>
      <c r="B48" s="144"/>
      <c r="D48" s="158" t="s">
        <v>1892</v>
      </c>
      <c r="E48" s="123"/>
      <c r="F48" s="123"/>
      <c r="G48" s="123"/>
      <c r="H48" s="196"/>
      <c r="I48" s="190"/>
      <c r="J48" s="176"/>
      <c r="K48" s="196"/>
      <c r="L48" s="190" t="str">
        <f>IF(N(K48)&lt;&gt;ROUNDDOWN(N(K48),0),1,"")</f>
        <v/>
      </c>
      <c r="M48" s="148"/>
      <c r="N48" s="161" t="str">
        <f>IF(H48+IF($E$41=3,K48,0)=0,"",H48+IF($E$41=3,K48,0))</f>
        <v/>
      </c>
      <c r="O48" s="132"/>
      <c r="P48" s="132"/>
    </row>
    <row r="49" spans="1:26" ht="12.4" customHeight="1">
      <c r="B49" s="144"/>
      <c r="H49" s="194"/>
      <c r="I49" s="190"/>
      <c r="J49" s="148"/>
      <c r="K49" s="194"/>
      <c r="L49" s="190"/>
      <c r="M49" s="149"/>
      <c r="N49" s="231"/>
      <c r="O49" s="132"/>
      <c r="P49" s="132"/>
    </row>
    <row r="50" spans="1:26" ht="12.75" customHeight="1">
      <c r="A50" s="123"/>
      <c r="B50" s="144"/>
      <c r="D50" s="209" t="s">
        <v>1893</v>
      </c>
      <c r="E50" s="123"/>
      <c r="F50" s="123"/>
      <c r="G50" s="123"/>
      <c r="H50" s="196"/>
      <c r="I50" s="190"/>
      <c r="J50" s="176"/>
      <c r="K50" s="196"/>
      <c r="L50" s="190" t="str">
        <f>IF(N(K50)&lt;&gt;ROUNDDOWN(N(K50),0),1,"")</f>
        <v/>
      </c>
      <c r="M50" s="148"/>
      <c r="N50" s="911" t="str">
        <f>IF(H50+IF($E$41=3,K50,0)=0,"",H50+IF($E$41=3,K50,0))</f>
        <v/>
      </c>
      <c r="O50" s="132"/>
      <c r="P50" s="132"/>
    </row>
    <row r="51" spans="1:26" ht="12.4" customHeight="1">
      <c r="B51" s="144"/>
      <c r="H51" s="194"/>
      <c r="I51" s="190"/>
      <c r="J51" s="148"/>
      <c r="K51" s="194"/>
      <c r="L51" s="190"/>
      <c r="M51" s="149"/>
      <c r="N51" s="148"/>
      <c r="O51" s="132"/>
      <c r="P51" s="132"/>
    </row>
    <row r="52" spans="1:26">
      <c r="A52" s="123"/>
      <c r="B52" s="144"/>
      <c r="D52" s="158" t="s">
        <v>1894</v>
      </c>
      <c r="E52" s="123"/>
      <c r="F52" s="123"/>
      <c r="G52" s="123"/>
      <c r="H52" s="196"/>
      <c r="I52" s="190"/>
      <c r="J52" s="176"/>
      <c r="K52" s="196"/>
      <c r="L52" s="190" t="str">
        <f>IF(N(K52)&lt;&gt;ROUNDDOWN(N(K52),0),1,"")</f>
        <v/>
      </c>
      <c r="M52" s="148"/>
      <c r="N52" s="911" t="str">
        <f>IF(H52+IF($E$41=3,K52,0)=0,"",H52+IF($E$41=3,K52,0))</f>
        <v/>
      </c>
      <c r="O52" s="132"/>
      <c r="P52" s="132"/>
    </row>
    <row r="53" spans="1:26" ht="12.4" customHeight="1">
      <c r="B53" s="144"/>
      <c r="H53" s="194"/>
      <c r="I53" s="190"/>
      <c r="J53" s="148"/>
      <c r="K53" s="194"/>
      <c r="L53" s="190"/>
      <c r="M53" s="149"/>
      <c r="N53" s="148"/>
      <c r="O53" s="132"/>
      <c r="P53" s="132"/>
    </row>
    <row r="54" spans="1:26" ht="12.75" customHeight="1">
      <c r="A54" s="123"/>
      <c r="B54" s="144"/>
      <c r="D54" s="209" t="s">
        <v>1266</v>
      </c>
      <c r="E54" s="123"/>
      <c r="F54" s="123"/>
      <c r="G54" s="123"/>
      <c r="H54" s="196"/>
      <c r="I54" s="190"/>
      <c r="J54" s="176"/>
      <c r="K54" s="196"/>
      <c r="L54" s="190" t="str">
        <f>IF(N(K54)&lt;&gt;ROUNDDOWN(N(K54),0),1,"")</f>
        <v/>
      </c>
      <c r="M54" s="148"/>
      <c r="N54" s="911" t="str">
        <f>IF(H54+IF($E$41=3,K54,0)=0,"",H54+IF($E$41=3,K54,0))</f>
        <v/>
      </c>
      <c r="O54" s="132"/>
      <c r="P54" s="132"/>
      <c r="Q54" s="3638" t="s">
        <v>1267</v>
      </c>
      <c r="R54" s="3638"/>
      <c r="S54" s="3638"/>
      <c r="T54" s="3638"/>
      <c r="U54" s="3638"/>
      <c r="V54" s="3638"/>
      <c r="W54" s="3638"/>
      <c r="X54" s="3638"/>
      <c r="Y54" s="3638"/>
      <c r="Z54" s="3638"/>
    </row>
    <row r="55" spans="1:26" ht="12.4" customHeight="1">
      <c r="B55" s="144"/>
      <c r="H55" s="194"/>
      <c r="I55" s="190"/>
      <c r="J55" s="148"/>
      <c r="K55" s="194"/>
      <c r="L55" s="190"/>
      <c r="M55" s="149"/>
      <c r="N55" s="148"/>
      <c r="O55" s="132"/>
      <c r="P55" s="132"/>
      <c r="Q55" s="3638"/>
      <c r="R55" s="3638"/>
      <c r="S55" s="3638"/>
      <c r="T55" s="3638"/>
      <c r="U55" s="3638"/>
      <c r="V55" s="3638"/>
      <c r="W55" s="3638"/>
      <c r="X55" s="3638"/>
      <c r="Y55" s="3638"/>
      <c r="Z55" s="3638"/>
    </row>
    <row r="56" spans="1:26">
      <c r="A56" s="123"/>
      <c r="B56" s="193" t="s">
        <v>1268</v>
      </c>
      <c r="C56" s="209" t="s">
        <v>1269</v>
      </c>
      <c r="D56" s="123"/>
      <c r="E56" s="123"/>
      <c r="F56" s="123"/>
      <c r="G56" s="191" t="s">
        <v>1270</v>
      </c>
      <c r="H56" s="911" t="str">
        <f>IF(SUM(H44:H54)=0,"",IF(E41=2,SUM(H44:H54),SUM(N(Actual_NewConAct_eligible),N(Actual_site_eligible),N(Actual_RehabAct_eligible),N(Actual_Other_eligible))))</f>
        <v/>
      </c>
      <c r="I56" s="190"/>
      <c r="J56" s="191" t="s">
        <v>1270</v>
      </c>
      <c r="K56" s="911" t="str">
        <f>IF(SUM(K44:K54)=0,"",SUM(K44:K54))</f>
        <v/>
      </c>
      <c r="L56" s="190"/>
      <c r="M56" s="191" t="s">
        <v>1270</v>
      </c>
      <c r="N56" s="912" t="str">
        <f>IF(N(H56)+IF($E$41=3,N(K56),0)=0,"",N(H56)+IF($E$41=3,N(K56),0))</f>
        <v/>
      </c>
      <c r="O56" s="132"/>
      <c r="P56" s="132"/>
    </row>
    <row r="57" spans="1:26" ht="12.4" customHeight="1">
      <c r="H57" s="149"/>
      <c r="I57" s="190"/>
      <c r="J57" s="148"/>
      <c r="K57" s="149"/>
      <c r="L57" s="190"/>
      <c r="M57" s="149"/>
      <c r="N57" s="148"/>
      <c r="O57" s="132"/>
      <c r="P57" s="132"/>
    </row>
    <row r="58" spans="1:26" ht="13.5">
      <c r="B58" s="193" t="s">
        <v>1271</v>
      </c>
      <c r="C58" s="209" t="s">
        <v>1272</v>
      </c>
      <c r="D58" s="123"/>
      <c r="E58" s="123"/>
      <c r="F58" s="123"/>
      <c r="G58" s="123"/>
      <c r="H58" s="148"/>
      <c r="I58" s="190"/>
      <c r="J58" s="148"/>
      <c r="K58" s="148"/>
      <c r="L58" s="190"/>
      <c r="M58" s="149"/>
      <c r="N58" s="148"/>
      <c r="O58" s="132"/>
      <c r="P58" s="132"/>
      <c r="Q58" s="464"/>
      <c r="R58" s="464"/>
      <c r="S58" s="464"/>
      <c r="T58" s="464"/>
      <c r="U58" s="464"/>
      <c r="V58" s="464"/>
      <c r="W58" s="464"/>
      <c r="X58" s="464"/>
      <c r="Y58" s="464"/>
      <c r="Z58" s="464"/>
    </row>
    <row r="59" spans="1:26" ht="15" customHeight="1">
      <c r="B59" s="193"/>
      <c r="C59" s="209" t="str">
        <f>"(Max. "&amp;TEXT(DS_MaxGCFee,"0%")&amp;" of A1.1., column 3)"</f>
        <v>(Max. 14% of A1.1., column 3)</v>
      </c>
      <c r="D59" s="123"/>
      <c r="E59" s="123"/>
      <c r="F59" s="123"/>
      <c r="G59" s="191" t="s">
        <v>1270</v>
      </c>
      <c r="H59" s="235"/>
      <c r="I59" s="190"/>
      <c r="J59" s="191" t="s">
        <v>1270</v>
      </c>
      <c r="K59" s="234"/>
      <c r="L59" s="190" t="str">
        <f>IF(N(K59)&lt;&gt;ROUNDDOWN(N(K59),0),1,"")</f>
        <v/>
      </c>
      <c r="M59" s="191" t="s">
        <v>1270</v>
      </c>
      <c r="N59" s="2499">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2"/>
      <c r="P59" s="134" t="str">
        <f>IF(P60="No","**","")</f>
        <v/>
      </c>
      <c r="Q59" s="3650"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3650"/>
      <c r="S59" s="3650"/>
      <c r="T59" s="3650"/>
      <c r="U59" s="3650"/>
      <c r="V59" s="3650"/>
      <c r="W59" s="3650"/>
      <c r="X59" s="3650"/>
      <c r="Y59" s="3650"/>
      <c r="Z59" s="3650"/>
    </row>
    <row r="60" spans="1:26">
      <c r="D60" s="3599" t="str">
        <f>"Max GCF @ "&amp;TEXT(DS_MaxGCFee,"#0%")&amp;":"</f>
        <v>Max GCF @ 14%:</v>
      </c>
      <c r="E60" s="3599"/>
      <c r="F60" s="462">
        <f>ROUNDDOWN(DS_MaxGCFee*N(Actual_Constructioncost_total),0)</f>
        <v>0</v>
      </c>
      <c r="H60" s="194"/>
      <c r="I60" s="190"/>
      <c r="J60" s="148"/>
      <c r="K60" s="194"/>
      <c r="L60" s="190"/>
      <c r="M60" s="149"/>
      <c r="N60" s="231"/>
      <c r="O60" s="132"/>
      <c r="P60" s="460"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3651"/>
      <c r="R60" s="3651"/>
      <c r="S60" s="3651"/>
      <c r="T60" s="3651"/>
      <c r="U60" s="3651"/>
      <c r="V60" s="3651"/>
      <c r="W60" s="3651"/>
      <c r="X60" s="3651"/>
      <c r="Y60" s="3651"/>
      <c r="Z60" s="3651"/>
    </row>
    <row r="61" spans="1:26">
      <c r="B61" s="193" t="s">
        <v>1273</v>
      </c>
      <c r="C61" s="192" t="s">
        <v>1274</v>
      </c>
      <c r="D61" s="123"/>
      <c r="E61" s="123"/>
      <c r="F61" s="123"/>
      <c r="H61" s="149"/>
      <c r="I61" s="190"/>
      <c r="J61" s="149"/>
      <c r="K61" s="149"/>
      <c r="L61" s="190"/>
      <c r="M61" s="149"/>
      <c r="N61" s="148"/>
      <c r="O61" s="132"/>
      <c r="P61" s="132"/>
      <c r="Q61" s="123"/>
      <c r="R61" s="123"/>
      <c r="S61" s="123"/>
      <c r="T61" s="123"/>
      <c r="U61" s="123"/>
      <c r="V61" s="123"/>
      <c r="W61" s="123"/>
      <c r="X61" s="123"/>
      <c r="Y61" s="123"/>
      <c r="Z61" s="123"/>
    </row>
    <row r="62" spans="1:26">
      <c r="B62" s="193"/>
      <c r="C62" s="192"/>
      <c r="D62" s="192" t="s">
        <v>1275</v>
      </c>
      <c r="E62" s="123"/>
      <c r="F62" s="123"/>
      <c r="G62" s="191" t="s">
        <v>1270</v>
      </c>
      <c r="H62" s="911" t="str">
        <f>IF(SUM(H56:H61)=0,"",SUM(H56,MIN(N(GCF_DollarMax),N(Actual_GCfee_eligible))))</f>
        <v/>
      </c>
      <c r="I62" s="190"/>
      <c r="J62" s="191" t="s">
        <v>1270</v>
      </c>
      <c r="K62" s="1302" t="str">
        <f>IF($E$41=2,"",IF(SUM(K56:K61)=0,"",SUM(N(Actual_Constructioncost_ineligible),IF(SUM(N(Actual_GCfee_eligible),N(Actual_GCfee_ineligible))-N(Actual_GCfee_total)&gt;N(Actual_GCfee_ineligible),0,N(Actual_GCfee_ineligible)-(SUM(N(Actual_GCfee_eligible),N(Actual_GCfee_ineligible))-N(Actual_GCfee_total))))))</f>
        <v/>
      </c>
      <c r="L62" s="190"/>
      <c r="M62" s="191" t="s">
        <v>1270</v>
      </c>
      <c r="N62" s="911" t="str">
        <f>IF(N(N56)+N(N59)=0,"",N(N56)+N(N59))</f>
        <v/>
      </c>
      <c r="O62" s="132"/>
      <c r="P62" s="132"/>
      <c r="Q62" s="215"/>
      <c r="R62" s="126"/>
    </row>
    <row r="63" spans="1:26" ht="12.4" customHeight="1">
      <c r="H63" s="149"/>
      <c r="I63" s="190"/>
      <c r="J63" s="148"/>
      <c r="K63" s="149"/>
      <c r="L63" s="190"/>
      <c r="M63" s="149"/>
      <c r="N63" s="148"/>
      <c r="O63" s="132"/>
      <c r="P63" s="132"/>
      <c r="Q63" s="465"/>
      <c r="R63" s="466"/>
      <c r="S63" s="464"/>
      <c r="T63" s="464"/>
      <c r="U63" s="464"/>
      <c r="V63" s="464"/>
      <c r="W63" s="464"/>
      <c r="X63" s="464"/>
      <c r="Y63" s="464"/>
      <c r="Z63" s="464"/>
    </row>
    <row r="64" spans="1:26" ht="15" customHeight="1">
      <c r="B64" s="193" t="s">
        <v>1276</v>
      </c>
      <c r="C64" s="197" t="s">
        <v>1277</v>
      </c>
      <c r="G64" s="191" t="s">
        <v>1270</v>
      </c>
      <c r="H64" s="234"/>
      <c r="I64" s="190"/>
      <c r="J64" s="191" t="s">
        <v>1270</v>
      </c>
      <c r="K64" s="234"/>
      <c r="L64" s="190" t="str">
        <f>IF(N(K64)&lt;&gt;ROUNDDOWN(N(K64),0),1,"")</f>
        <v/>
      </c>
      <c r="M64" s="191" t="s">
        <v>1270</v>
      </c>
      <c r="N64" s="1302"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2"/>
      <c r="P64" s="134" t="str">
        <f>IF($P$65="No","**","")</f>
        <v/>
      </c>
      <c r="Q64" s="3652"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3652"/>
      <c r="S64" s="3652"/>
      <c r="T64" s="3652"/>
      <c r="U64" s="3652"/>
      <c r="V64" s="3652"/>
      <c r="W64" s="3652"/>
      <c r="X64" s="3652"/>
      <c r="Y64" s="3652"/>
      <c r="Z64" s="3652"/>
    </row>
    <row r="65" spans="1:29">
      <c r="C65" s="870"/>
      <c r="D65" s="3598" t="str">
        <f>"Max HCC @ "&amp;TEXT(IF(AND(ISERROR(SEARCH("New Construction",DS_Pro_Forma_Dev_Cat)),ISERROR(SEARCH("Redevelopment",DS_Pro_Forma_Dev_Cat))),DS_MaxHCCR,DS_MaxHCCNC),"#0%")&amp;":"</f>
        <v>Max HCC @ 15%:</v>
      </c>
      <c r="E65" s="3598"/>
      <c r="F65" s="461">
        <f>IF(AND(DS_Pro_Forma_Dev_Cat="Category Input Required",N(Actual_TotalConstructioncost_total)&gt;0),0,(IF(AND(ISERROR(SEARCH("New Construction",DS_Pro_Forma_Dev_Cat)),ISERROR(SEARCH("Redevelopment",DS_Pro_Forma_Dev_Cat))),DS_MaxHCCR,DS_MaxHCCNC)*N(Actual_TotalConstructioncost_total)))</f>
        <v>0</v>
      </c>
      <c r="H65" s="194"/>
      <c r="I65" s="190"/>
      <c r="J65" s="148"/>
      <c r="K65" s="194"/>
      <c r="L65" s="149"/>
      <c r="M65" s="149"/>
      <c r="N65" s="148"/>
      <c r="O65" s="132"/>
      <c r="P65" s="460" t="str">
        <f>IF(AND(E41=3,SUM(N(Contingency_Hard_eligible),N(Contingency_Hard_ineligible))&lt;=HCC_DollarMax),"Yes",IF(AND(E41=2,N(Contingency_Hard_eligible)&lt;=HCC_DollarMax),"Yes","No"))</f>
        <v>Yes</v>
      </c>
      <c r="Q65" s="3653"/>
      <c r="R65" s="3653"/>
      <c r="S65" s="3653"/>
      <c r="T65" s="3653"/>
      <c r="U65" s="3653"/>
      <c r="V65" s="3653"/>
      <c r="W65" s="3653"/>
      <c r="X65" s="3653"/>
      <c r="Y65" s="3653"/>
      <c r="Z65" s="3653"/>
    </row>
    <row r="66" spans="1:29" ht="3.75" customHeight="1" thickBot="1">
      <c r="D66" s="158"/>
      <c r="E66" s="123"/>
      <c r="F66" s="123"/>
      <c r="G66" s="123"/>
      <c r="H66" s="162"/>
      <c r="I66" s="148"/>
      <c r="J66" s="176"/>
      <c r="K66" s="162"/>
      <c r="L66" s="192"/>
      <c r="M66" s="123"/>
      <c r="N66" s="161"/>
      <c r="O66" s="132"/>
      <c r="P66" s="132"/>
    </row>
    <row r="67" spans="1:29" ht="3.75" customHeight="1">
      <c r="A67" s="133"/>
      <c r="B67" s="133"/>
      <c r="C67" s="133"/>
      <c r="D67" s="133"/>
      <c r="E67" s="133"/>
      <c r="F67" s="133"/>
      <c r="G67" s="133"/>
      <c r="H67" s="133"/>
      <c r="I67" s="133"/>
      <c r="J67" s="133"/>
      <c r="K67" s="133"/>
      <c r="L67" s="133"/>
      <c r="M67" s="133"/>
      <c r="N67" s="232"/>
      <c r="O67" s="172"/>
      <c r="P67" s="172"/>
    </row>
    <row r="68" spans="1:29" ht="13">
      <c r="B68" s="129" t="str">
        <f>B$2</f>
        <v>RFA 2026-204 DEVELOPMENT COST PRO FORMA</v>
      </c>
      <c r="H68" s="123"/>
      <c r="I68" s="123"/>
      <c r="J68" s="123"/>
      <c r="K68" s="123"/>
      <c r="N68" s="123"/>
      <c r="O68" s="132"/>
      <c r="P68" s="131" t="str">
        <f>IF(OR(AND(Funding!M$310&gt;0,Data3!H$296="No",Minimum_SetAside_per_Sec_42&lt;&gt;"Live Local SAIL only (no HC)"),AND(Minimum_SetAside_per_Sec_42&lt;&gt;"Live Local SAIL only (no HC)",Data3!H$297="Yes")),"(Page 2 of 8)","(Page 2 of 7)")</f>
        <v>(Page 2 of 8)</v>
      </c>
    </row>
    <row r="69" spans="1:29">
      <c r="H69" s="213">
        <f>H40</f>
        <v>1</v>
      </c>
      <c r="I69" s="123"/>
      <c r="J69" s="123"/>
      <c r="K69" s="213">
        <f>K40</f>
        <v>2</v>
      </c>
      <c r="L69" s="123"/>
      <c r="M69" s="183"/>
      <c r="N69" s="213">
        <f>N40</f>
        <v>3</v>
      </c>
      <c r="O69" s="132"/>
      <c r="P69" s="132"/>
    </row>
    <row r="70" spans="1:29" ht="22.5" customHeight="1">
      <c r="H70" s="216" t="str">
        <f>H41</f>
        <v>HC ELIGIBLE                                                                               COSTS</v>
      </c>
      <c r="I70" s="217"/>
      <c r="J70" s="217"/>
      <c r="K70" s="216" t="str">
        <f>K41</f>
        <v>HC INELIGIBLE
COSTS</v>
      </c>
      <c r="L70" s="211"/>
      <c r="M70" s="212"/>
      <c r="N70" s="216" t="str">
        <f>N41</f>
        <v>TOTAL
COSTS</v>
      </c>
      <c r="O70" s="132"/>
      <c r="P70" s="132"/>
      <c r="Q70" s="3657" t="str">
        <f>Q43</f>
        <v/>
      </c>
      <c r="R70" s="3657"/>
      <c r="S70" s="3657"/>
      <c r="T70" s="3657"/>
      <c r="U70" s="3657"/>
      <c r="V70" s="3657"/>
      <c r="W70" s="3657"/>
      <c r="X70" s="3657"/>
      <c r="Y70" s="3657"/>
      <c r="Z70" s="3657"/>
    </row>
    <row r="71" spans="1:29" ht="13">
      <c r="C71" s="206" t="s">
        <v>1278</v>
      </c>
      <c r="H71" s="123"/>
      <c r="I71" s="123"/>
      <c r="J71" s="123"/>
      <c r="K71" s="123"/>
      <c r="N71" s="123"/>
      <c r="O71" s="132"/>
      <c r="P71" s="132"/>
    </row>
    <row r="72" spans="1:29" ht="12.75" customHeight="1">
      <c r="C72" s="206"/>
      <c r="D72" s="158" t="s">
        <v>1895</v>
      </c>
      <c r="H72" s="196"/>
      <c r="I72" s="190"/>
      <c r="J72" s="176"/>
      <c r="K72" s="196"/>
      <c r="L72" s="190" t="str">
        <f>IF(N(K72)&lt;&gt;ROUNDDOWN(N(K72),0),1,"")</f>
        <v/>
      </c>
      <c r="M72" s="148"/>
      <c r="N72" s="161" t="str">
        <f>IF(H72+IF($E$41=3,K72,0)=0,"",H72+IF($E$41=3,K72,0))</f>
        <v/>
      </c>
      <c r="O72" s="132"/>
      <c r="P72" s="132"/>
      <c r="Q72" s="3638" t="s">
        <v>1279</v>
      </c>
      <c r="R72" s="3638"/>
      <c r="S72" s="3638"/>
      <c r="T72" s="3638"/>
      <c r="U72" s="3638"/>
      <c r="V72" s="3638"/>
      <c r="W72" s="3638"/>
      <c r="X72" s="3638"/>
      <c r="Y72" s="3638"/>
      <c r="Z72" s="3638"/>
    </row>
    <row r="73" spans="1:29" ht="12.4" customHeight="1">
      <c r="C73" s="206"/>
      <c r="H73" s="194"/>
      <c r="I73" s="190"/>
      <c r="J73" s="148"/>
      <c r="K73" s="194"/>
      <c r="N73" s="445"/>
      <c r="O73" s="132"/>
      <c r="P73" s="132"/>
      <c r="Q73" s="1228"/>
      <c r="R73" s="1228"/>
      <c r="S73" s="1228"/>
      <c r="T73" s="1228"/>
      <c r="U73" s="1228"/>
      <c r="V73" s="1228"/>
      <c r="W73" s="1228"/>
      <c r="X73" s="1228"/>
      <c r="Y73" s="1228"/>
      <c r="Z73" s="1228"/>
    </row>
    <row r="74" spans="1:29">
      <c r="D74" s="158" t="s">
        <v>1280</v>
      </c>
      <c r="E74" s="123"/>
      <c r="F74" s="123"/>
      <c r="G74" s="123"/>
      <c r="H74" s="196"/>
      <c r="I74" s="190"/>
      <c r="J74" s="176"/>
      <c r="K74" s="196"/>
      <c r="L74" s="190" t="str">
        <f>IF(N(K74)&lt;&gt;ROUNDDOWN(N(K74),0),1,"")</f>
        <v/>
      </c>
      <c r="M74" s="148"/>
      <c r="N74" s="161" t="str">
        <f>IF(H74+IF($E$41=3,K74,0)=0,"",H74+IF($E$41=3,K74,0))</f>
        <v/>
      </c>
      <c r="O74" s="132"/>
      <c r="P74" s="132"/>
    </row>
    <row r="75" spans="1:29" ht="12.4" customHeight="1">
      <c r="D75" s="199"/>
      <c r="H75" s="194"/>
      <c r="I75" s="190"/>
      <c r="J75" s="148"/>
      <c r="K75" s="194"/>
      <c r="L75" s="149"/>
      <c r="M75" s="149"/>
      <c r="N75" s="231"/>
      <c r="O75" s="132"/>
      <c r="P75" s="132"/>
    </row>
    <row r="76" spans="1:29">
      <c r="D76" s="158" t="s">
        <v>1899</v>
      </c>
      <c r="E76" s="123"/>
      <c r="F76" s="123"/>
      <c r="G76" s="123"/>
      <c r="H76" s="196"/>
      <c r="I76" s="190"/>
      <c r="J76" s="176"/>
      <c r="K76" s="196"/>
      <c r="L76" s="190" t="str">
        <f>IF(N(K76)&lt;&gt;ROUNDDOWN(N(K76),0),1,"")</f>
        <v/>
      </c>
      <c r="M76" s="148"/>
      <c r="N76" s="161" t="str">
        <f>IF(H76+IF($E$41=3,K76,0)=0,"",H76+IF($E$41=3,K76,0))</f>
        <v/>
      </c>
      <c r="O76" s="132"/>
      <c r="P76" s="132"/>
    </row>
    <row r="77" spans="1:29" ht="12.4" customHeight="1">
      <c r="D77" s="199"/>
      <c r="H77" s="194"/>
      <c r="I77" s="190"/>
      <c r="J77" s="148"/>
      <c r="K77" s="194"/>
      <c r="L77" s="149"/>
      <c r="M77" s="149"/>
      <c r="N77" s="231"/>
      <c r="O77" s="132"/>
      <c r="P77" s="132"/>
    </row>
    <row r="78" spans="1:29" ht="13.5">
      <c r="D78" s="144" t="s">
        <v>1900</v>
      </c>
      <c r="E78" s="123"/>
      <c r="F78" s="123"/>
      <c r="G78" s="123"/>
      <c r="H78" s="196"/>
      <c r="I78" s="190"/>
      <c r="J78" s="176"/>
      <c r="K78" s="196"/>
      <c r="L78" s="190" t="str">
        <f>IF(N(K78)&lt;&gt;ROUNDDOWN(N(K78),0),1,"")</f>
        <v/>
      </c>
      <c r="M78" s="161"/>
      <c r="N78" s="911" t="str">
        <f>IF(H78+IF($E$41=3,K78,0)=0,"",H78+IF($E$41=3,K78,0))</f>
        <v/>
      </c>
      <c r="O78" s="132"/>
      <c r="P78" s="132"/>
    </row>
    <row r="79" spans="1:29" ht="12.4" customHeight="1">
      <c r="D79" s="199"/>
      <c r="H79" s="194"/>
      <c r="I79" s="190"/>
      <c r="J79" s="148"/>
      <c r="K79" s="194"/>
      <c r="L79" s="149"/>
      <c r="M79" s="149"/>
      <c r="N79" s="148"/>
      <c r="O79" s="132"/>
      <c r="P79" s="132"/>
    </row>
    <row r="80" spans="1:29">
      <c r="D80" s="199" t="s">
        <v>1281</v>
      </c>
      <c r="H80" s="196"/>
      <c r="I80" s="190"/>
      <c r="J80" s="176"/>
      <c r="K80" s="196"/>
      <c r="L80" s="190" t="str">
        <f>IF(N(K80)&lt;&gt;ROUNDDOWN(N(K80),0),1,"")</f>
        <v/>
      </c>
      <c r="M80" s="161"/>
      <c r="N80" s="161" t="str">
        <f>IF(H80+IF($E$41=3,K80,0)=0,"",H80+IF($E$41=3,K80,0))</f>
        <v/>
      </c>
      <c r="O80" s="132"/>
      <c r="P80" s="132"/>
      <c r="Q80" s="3639" t="s">
        <v>1282</v>
      </c>
      <c r="R80" s="3639"/>
      <c r="S80" s="3639"/>
      <c r="T80" s="3639"/>
      <c r="U80" s="3639"/>
      <c r="V80" s="3639"/>
      <c r="W80" s="3639"/>
      <c r="X80" s="3639"/>
      <c r="Y80" s="3639"/>
      <c r="Z80" s="3639"/>
      <c r="AA80" s="214"/>
      <c r="AB80" s="214"/>
      <c r="AC80" s="214"/>
    </row>
    <row r="81" spans="2:29" ht="12.4" customHeight="1">
      <c r="D81" s="199"/>
      <c r="H81" s="194"/>
      <c r="I81" s="190"/>
      <c r="J81" s="148"/>
      <c r="K81" s="194"/>
      <c r="L81" s="149"/>
      <c r="M81" s="149"/>
      <c r="N81" s="231"/>
      <c r="O81" s="132"/>
      <c r="P81" s="132"/>
      <c r="Q81" s="3640"/>
      <c r="R81" s="3640"/>
      <c r="S81" s="3640"/>
      <c r="T81" s="3640"/>
      <c r="U81" s="3640"/>
      <c r="V81" s="3640"/>
      <c r="W81" s="3640"/>
      <c r="X81" s="3640"/>
      <c r="Y81" s="3640"/>
      <c r="Z81" s="3640"/>
      <c r="AA81" s="214"/>
      <c r="AB81" s="214"/>
      <c r="AC81" s="214"/>
    </row>
    <row r="82" spans="2:29" ht="12.75" customHeight="1">
      <c r="D82" s="192" t="s">
        <v>1266</v>
      </c>
      <c r="E82" s="123"/>
      <c r="F82" s="123"/>
      <c r="G82" s="123"/>
      <c r="H82" s="196"/>
      <c r="I82" s="190"/>
      <c r="J82" s="176"/>
      <c r="K82" s="196"/>
      <c r="L82" s="190" t="str">
        <f>IF(N(K82)&lt;&gt;ROUNDDOWN(N(K82),0),1,"")</f>
        <v/>
      </c>
      <c r="M82" s="161"/>
      <c r="N82" s="161" t="str">
        <f>IF(H82+IF($E$41=3,K82,0)=0,"",H82+IF($E$41=3,K82,0))</f>
        <v/>
      </c>
      <c r="O82" s="132"/>
      <c r="P82" s="132"/>
      <c r="Q82" s="3638" t="s">
        <v>1283</v>
      </c>
      <c r="R82" s="3638"/>
      <c r="S82" s="3638"/>
      <c r="T82" s="3638"/>
      <c r="U82" s="3638"/>
      <c r="V82" s="3638"/>
      <c r="W82" s="3638"/>
      <c r="X82" s="3638"/>
      <c r="Y82" s="3638"/>
      <c r="Z82" s="3638"/>
    </row>
    <row r="83" spans="2:29" ht="12.4" customHeight="1">
      <c r="H83" s="194"/>
      <c r="I83" s="190"/>
      <c r="J83" s="148"/>
      <c r="K83" s="194"/>
      <c r="L83" s="149"/>
      <c r="M83" s="149"/>
      <c r="N83" s="231"/>
      <c r="O83" s="132"/>
      <c r="P83" s="132"/>
      <c r="Q83" s="3638"/>
      <c r="R83" s="3638"/>
      <c r="S83" s="3638"/>
      <c r="T83" s="3638"/>
      <c r="U83" s="3638"/>
      <c r="V83" s="3638"/>
      <c r="W83" s="3638"/>
      <c r="X83" s="3638"/>
      <c r="Y83" s="3638"/>
      <c r="Z83" s="3638"/>
    </row>
    <row r="84" spans="2:29">
      <c r="B84" s="193" t="s">
        <v>1284</v>
      </c>
      <c r="C84" s="209" t="s">
        <v>1285</v>
      </c>
      <c r="D84" s="123"/>
      <c r="E84" s="123"/>
      <c r="F84" s="123"/>
      <c r="H84" s="149"/>
      <c r="I84" s="149"/>
      <c r="J84" s="149"/>
      <c r="K84" s="149"/>
      <c r="L84" s="149"/>
      <c r="M84" s="149"/>
      <c r="N84" s="148"/>
      <c r="O84" s="132"/>
      <c r="P84" s="132"/>
    </row>
    <row r="85" spans="2:29">
      <c r="D85" s="209" t="s">
        <v>1286</v>
      </c>
      <c r="G85" s="191" t="s">
        <v>1270</v>
      </c>
      <c r="H85" s="911" t="str">
        <f>IF(SUM(H72:H82)=0,"",SUM(H72:H82))</f>
        <v/>
      </c>
      <c r="I85" s="190"/>
      <c r="J85" s="191" t="s">
        <v>1270</v>
      </c>
      <c r="K85" s="911" t="str">
        <f>IF(SUM(K72:K82)=0,"",SUM(K72:K82))</f>
        <v/>
      </c>
      <c r="L85" s="190"/>
      <c r="M85" s="191" t="s">
        <v>1270</v>
      </c>
      <c r="N85" s="912" t="str">
        <f>IF(N(H85)+IF($E$41=3,N(K85),0)=0,"",N(H85)+IF($E$41=3,N(K85),0))</f>
        <v/>
      </c>
      <c r="O85" s="132"/>
      <c r="P85" s="132"/>
    </row>
    <row r="86" spans="2:29" ht="12.4" customHeight="1">
      <c r="H86" s="149"/>
      <c r="I86" s="190"/>
      <c r="J86" s="148"/>
      <c r="K86" s="149"/>
      <c r="N86" s="123"/>
      <c r="O86" s="132"/>
      <c r="P86" s="132"/>
    </row>
    <row r="87" spans="2:29" ht="12.75" customHeight="1">
      <c r="B87" s="198" t="s">
        <v>1287</v>
      </c>
      <c r="C87" s="197" t="s">
        <v>1288</v>
      </c>
      <c r="G87" s="191" t="s">
        <v>1270</v>
      </c>
      <c r="H87" s="196"/>
      <c r="I87" s="190"/>
      <c r="J87" s="191" t="s">
        <v>1270</v>
      </c>
      <c r="K87" s="196"/>
      <c r="L87" s="190" t="str">
        <f>IF(N(K87)&lt;&gt;ROUNDDOWN(N(K87),0),1,"")</f>
        <v/>
      </c>
      <c r="M87" s="193" t="s">
        <v>1270</v>
      </c>
      <c r="N87" s="911"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2"/>
      <c r="P87" s="134" t="str">
        <f>IF($P$88="No","**","")</f>
        <v/>
      </c>
      <c r="Q87" s="3650"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3650"/>
      <c r="S87" s="3650"/>
      <c r="T87" s="3650"/>
      <c r="U87" s="3650"/>
      <c r="V87" s="3650"/>
      <c r="W87" s="3650"/>
      <c r="X87" s="3650"/>
      <c r="Y87" s="3650"/>
      <c r="Z87" s="3650"/>
    </row>
    <row r="88" spans="2:29" ht="12.75" customHeight="1">
      <c r="D88" s="3599" t="str">
        <f>"Max SCC @ "&amp;TEXT(DS_MaxSCC,"#0%")&amp;":"</f>
        <v>Max SCC @ 5%:</v>
      </c>
      <c r="E88" s="3599"/>
      <c r="F88" s="461">
        <f>DS_MaxSCC*N(General_totaldevelopmentcost_total)</f>
        <v>0</v>
      </c>
      <c r="H88" s="194"/>
      <c r="I88" s="190"/>
      <c r="J88" s="148"/>
      <c r="K88" s="194"/>
      <c r="N88" s="123"/>
      <c r="O88" s="132"/>
      <c r="P88" s="460" t="str">
        <f>IF(AND(E41=3,SUM(N(Contingency_Soft_eligible),N(Contingency_Soft_ineligible))&lt;=SCC_DollarMax),"Yes",IF(AND(E41=2,N(Contingency_Soft_eligible)&lt;=SCC_DollarMax),"Yes","No"))</f>
        <v>Yes</v>
      </c>
      <c r="Q88" s="3654"/>
      <c r="R88" s="3654"/>
      <c r="S88" s="3654"/>
      <c r="T88" s="3654"/>
      <c r="U88" s="3654"/>
      <c r="V88" s="3654"/>
      <c r="W88" s="3654"/>
      <c r="X88" s="3654"/>
      <c r="Y88" s="3654"/>
      <c r="Z88" s="3654"/>
    </row>
    <row r="89" spans="2:29" ht="12.75" customHeight="1">
      <c r="D89" s="1225"/>
      <c r="E89" s="1225"/>
      <c r="F89" s="461"/>
      <c r="H89" s="149"/>
      <c r="I89" s="190"/>
      <c r="J89" s="148"/>
      <c r="K89" s="149"/>
      <c r="N89" s="123"/>
      <c r="O89" s="132"/>
      <c r="P89" s="460"/>
      <c r="Q89" s="1224"/>
      <c r="R89" s="1224"/>
      <c r="S89" s="1224"/>
      <c r="T89" s="1224"/>
      <c r="U89" s="1224"/>
      <c r="V89" s="1224"/>
      <c r="W89" s="1224"/>
      <c r="X89" s="1224"/>
      <c r="Y89" s="1224"/>
      <c r="Z89" s="1224"/>
    </row>
    <row r="90" spans="2:29" ht="13">
      <c r="C90" s="206" t="s">
        <v>1289</v>
      </c>
      <c r="N90" s="123"/>
      <c r="O90" s="132"/>
      <c r="P90" s="132"/>
    </row>
    <row r="91" spans="2:29" ht="13">
      <c r="C91" s="206"/>
      <c r="D91" s="199" t="s">
        <v>1896</v>
      </c>
      <c r="E91" s="199"/>
      <c r="H91" s="196"/>
      <c r="I91" s="190"/>
      <c r="J91" s="176"/>
      <c r="K91" s="196"/>
      <c r="L91" s="190" t="str">
        <f>IF(N(K91)&lt;&gt;ROUNDDOWN(N(K91),0),1,"")</f>
        <v/>
      </c>
      <c r="M91" s="148"/>
      <c r="N91" s="161" t="str">
        <f>IF(H91+IF($E$41=3,K91,0)=0,"",H91+IF($E$41=3,K91,0))</f>
        <v/>
      </c>
      <c r="O91" s="132"/>
      <c r="P91" s="132"/>
    </row>
    <row r="92" spans="2:29" ht="12.4" customHeight="1">
      <c r="C92" s="206"/>
      <c r="D92" s="199"/>
      <c r="E92" s="199"/>
      <c r="H92" s="194"/>
      <c r="I92" s="190"/>
      <c r="J92" s="148"/>
      <c r="K92" s="194"/>
      <c r="L92" s="149"/>
      <c r="M92" s="149"/>
      <c r="N92" s="231"/>
      <c r="O92" s="132"/>
      <c r="P92" s="132"/>
    </row>
    <row r="93" spans="2:29">
      <c r="D93" s="199" t="s">
        <v>1897</v>
      </c>
      <c r="E93" s="199"/>
      <c r="H93" s="1227"/>
      <c r="I93" s="190"/>
      <c r="J93" s="176"/>
      <c r="K93" s="196"/>
      <c r="L93" s="190" t="str">
        <f>IF(N(K93)&lt;&gt;ROUNDDOWN(N(K93),0),1,"")</f>
        <v/>
      </c>
      <c r="M93" s="148"/>
      <c r="N93" s="911" t="str">
        <f>IF(AND($E$41=3,K93=0),"",IF(AND($E$41=3,K93&gt;0),K93,IF(AND($E$41=2,H93=0),"",IF(AND($E$41=2,H93&gt;0),H93))))</f>
        <v/>
      </c>
      <c r="O93" s="132"/>
      <c r="P93" s="132"/>
      <c r="Q93" s="3695"/>
      <c r="R93" s="3695"/>
      <c r="S93" s="3695"/>
      <c r="T93" s="3695"/>
      <c r="U93" s="3695"/>
      <c r="V93" s="3695"/>
      <c r="W93" s="3695"/>
      <c r="X93" s="3695"/>
      <c r="Y93" s="3695"/>
      <c r="Z93" s="3695"/>
    </row>
    <row r="94" spans="2:29" ht="12.4" customHeight="1">
      <c r="D94" s="199"/>
      <c r="E94" s="199"/>
      <c r="H94" s="194"/>
      <c r="I94" s="190"/>
      <c r="J94" s="148"/>
      <c r="K94" s="194"/>
      <c r="L94" s="149"/>
      <c r="M94" s="149"/>
      <c r="N94" s="231"/>
      <c r="O94" s="132"/>
      <c r="P94" s="132"/>
    </row>
    <row r="95" spans="2:29">
      <c r="D95" s="209" t="s">
        <v>1266</v>
      </c>
      <c r="E95" s="144"/>
      <c r="F95" s="123"/>
      <c r="G95" s="123"/>
      <c r="H95" s="154"/>
      <c r="I95" s="190"/>
      <c r="J95" s="176"/>
      <c r="K95" s="154"/>
      <c r="L95" s="190" t="str">
        <f>IF(N(K95)&lt;&gt;ROUNDDOWN(N(K95),0),1,"")</f>
        <v/>
      </c>
      <c r="M95" s="148"/>
      <c r="N95" s="911" t="str">
        <f>IF(H95+IF($E$41=3,K95,0)=0,"",H95+IF($E$41=3,K95,0))</f>
        <v/>
      </c>
      <c r="O95" s="132"/>
      <c r="P95" s="132"/>
      <c r="Q95" s="1590"/>
      <c r="R95" s="1590"/>
      <c r="S95" s="1590"/>
      <c r="T95" s="1590"/>
      <c r="U95" s="1590"/>
      <c r="V95" s="1590"/>
      <c r="W95" s="1590"/>
      <c r="X95" s="1590"/>
      <c r="Y95" s="1590"/>
      <c r="Z95" s="1590"/>
    </row>
    <row r="96" spans="2:29" ht="12.4" customHeight="1">
      <c r="H96" s="149"/>
      <c r="I96" s="190"/>
      <c r="J96" s="148"/>
      <c r="K96" s="149"/>
      <c r="L96" s="149"/>
      <c r="M96" s="149"/>
      <c r="N96" s="148"/>
      <c r="O96" s="132"/>
      <c r="P96" s="132"/>
      <c r="Q96" s="1590"/>
      <c r="R96" s="1590"/>
      <c r="S96" s="1590"/>
      <c r="T96" s="1590"/>
      <c r="U96" s="1590"/>
      <c r="V96" s="1590"/>
      <c r="W96" s="1590"/>
      <c r="X96" s="1590"/>
      <c r="Y96" s="1590"/>
      <c r="Z96" s="1590"/>
    </row>
    <row r="97" spans="2:26">
      <c r="B97" s="193" t="s">
        <v>1290</v>
      </c>
      <c r="C97" s="209" t="s">
        <v>1291</v>
      </c>
      <c r="G97" s="191" t="s">
        <v>1270</v>
      </c>
      <c r="H97" s="911" t="str">
        <f>IF(SUM(H91:H95)=0,"",IF(E41=2,SUM(H91:H95),SUM(N(Financial_constr_commitment_eligible),N(Financial_other_eligible))))</f>
        <v/>
      </c>
      <c r="I97" s="190"/>
      <c r="J97" s="191" t="s">
        <v>1270</v>
      </c>
      <c r="K97" s="913" t="str">
        <f>IF(SUM(K91:K95)=0,"",SUM(K91:K95))</f>
        <v/>
      </c>
      <c r="L97" s="190"/>
      <c r="M97" s="191" t="s">
        <v>1270</v>
      </c>
      <c r="N97" s="912" t="str">
        <f>IF(N(H97)+IF($E$41=3,N(K97),0)=0,"",N(H97)+IF($E$41=3,N(K97),0))</f>
        <v/>
      </c>
      <c r="O97" s="132"/>
      <c r="P97" s="132"/>
    </row>
    <row r="98" spans="2:26" ht="12.4" customHeight="1">
      <c r="H98" s="149"/>
      <c r="I98" s="190"/>
      <c r="J98" s="148"/>
      <c r="K98" s="149"/>
      <c r="L98" s="149"/>
      <c r="M98" s="149"/>
      <c r="N98" s="148"/>
      <c r="O98" s="132"/>
      <c r="P98" s="132"/>
    </row>
    <row r="99" spans="2:26" ht="13">
      <c r="B99" s="193"/>
      <c r="C99" s="189" t="s">
        <v>1292</v>
      </c>
      <c r="D99" s="144"/>
      <c r="E99" s="144"/>
      <c r="F99" s="144"/>
      <c r="G99" s="144"/>
      <c r="H99" s="176"/>
      <c r="I99" s="176"/>
      <c r="J99" s="176"/>
      <c r="K99" s="176"/>
      <c r="L99" s="176"/>
      <c r="M99" s="176"/>
      <c r="N99" s="176"/>
      <c r="O99" s="132"/>
      <c r="P99" s="132"/>
    </row>
    <row r="100" spans="2:26" ht="13">
      <c r="B100" s="144"/>
      <c r="C100" s="189" t="s">
        <v>1293</v>
      </c>
      <c r="D100" s="192"/>
      <c r="E100" s="129"/>
      <c r="F100" s="129"/>
      <c r="G100" s="123"/>
      <c r="H100" s="176"/>
      <c r="I100" s="148"/>
      <c r="J100" s="176"/>
      <c r="K100" s="176"/>
      <c r="L100" s="161"/>
      <c r="M100" s="161"/>
      <c r="N100" s="161"/>
      <c r="O100" s="132"/>
      <c r="P100" s="132"/>
      <c r="Q100" s="3638"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3638"/>
      <c r="S100" s="3638"/>
      <c r="T100" s="3638"/>
      <c r="U100" s="3638"/>
      <c r="V100" s="3638"/>
      <c r="W100" s="3638"/>
      <c r="X100" s="3638"/>
      <c r="Y100" s="3638"/>
      <c r="Z100" s="3638"/>
    </row>
    <row r="101" spans="2:26" ht="12.75" customHeight="1">
      <c r="B101" s="123"/>
      <c r="C101" s="200"/>
      <c r="D101" s="144" t="s">
        <v>1294</v>
      </c>
      <c r="E101" s="123"/>
      <c r="F101" s="123"/>
      <c r="G101" s="193"/>
      <c r="H101" s="196"/>
      <c r="I101" s="190"/>
      <c r="J101" s="176"/>
      <c r="K101" s="196"/>
      <c r="L101" s="190" t="str">
        <f>IF(N(K101)&lt;&gt;ROUNDDOWN(N(K101),0),1,"")</f>
        <v/>
      </c>
      <c r="M101" s="191"/>
      <c r="N101" s="1216" t="str">
        <f>IF(H101+IF($E$41=3,K101,0)=0,"",H101+IF($E$41=3,K101,0))</f>
        <v/>
      </c>
      <c r="O101" s="132"/>
      <c r="P101" s="132"/>
      <c r="Q101" s="3638"/>
      <c r="R101" s="3638"/>
      <c r="S101" s="3638"/>
      <c r="T101" s="3638"/>
      <c r="U101" s="3638"/>
      <c r="V101" s="3638"/>
      <c r="W101" s="3638"/>
      <c r="X101" s="3638"/>
      <c r="Y101" s="3638"/>
      <c r="Z101" s="3638"/>
    </row>
    <row r="102" spans="2:26" ht="12.4" customHeight="1">
      <c r="C102" s="200"/>
      <c r="D102" s="144"/>
      <c r="E102" s="123"/>
      <c r="F102" s="123"/>
      <c r="G102" s="123"/>
      <c r="H102" s="194"/>
      <c r="I102" s="190"/>
      <c r="J102" s="148"/>
      <c r="K102" s="194"/>
      <c r="L102" s="161"/>
      <c r="M102" s="161"/>
      <c r="N102" s="161"/>
      <c r="O102" s="132"/>
      <c r="P102" s="132"/>
      <c r="Q102" s="3690" t="s">
        <v>1295</v>
      </c>
      <c r="R102" s="3690"/>
      <c r="S102" s="3690"/>
      <c r="T102" s="3690"/>
      <c r="U102" s="3690"/>
      <c r="V102" s="3690"/>
      <c r="W102" s="3690"/>
      <c r="X102" s="3690"/>
      <c r="Y102" s="3690"/>
      <c r="Z102" s="3690"/>
    </row>
    <row r="103" spans="2:26">
      <c r="B103" s="193"/>
      <c r="C103" s="192"/>
      <c r="D103" s="192" t="s">
        <v>1266</v>
      </c>
      <c r="E103" s="186"/>
      <c r="F103" s="186"/>
      <c r="G103" s="193"/>
      <c r="H103" s="196"/>
      <c r="I103" s="190"/>
      <c r="J103" s="176"/>
      <c r="K103" s="196"/>
      <c r="L103" s="190" t="str">
        <f>IF(N(K103)&lt;&gt;ROUNDDOWN(N(K103),0),1,"")</f>
        <v/>
      </c>
      <c r="M103" s="191"/>
      <c r="N103" s="176" t="str">
        <f>IF(H103+IF($E$41=3,K103,0)=0,"",H103+IF($E$41=3,K103,0))</f>
        <v/>
      </c>
      <c r="O103" s="132"/>
      <c r="P103" s="132"/>
      <c r="Q103" s="3691"/>
      <c r="R103" s="3691"/>
      <c r="S103" s="3691"/>
      <c r="T103" s="3691"/>
      <c r="U103" s="3691"/>
      <c r="V103" s="3691"/>
      <c r="W103" s="3691"/>
      <c r="X103" s="3691"/>
      <c r="Y103" s="3691"/>
      <c r="Z103" s="3691"/>
    </row>
    <row r="104" spans="2:26" ht="12.4" customHeight="1">
      <c r="B104" s="200"/>
      <c r="C104" s="123"/>
      <c r="D104" s="144"/>
      <c r="E104" s="123"/>
      <c r="F104" s="123"/>
      <c r="G104" s="186"/>
      <c r="H104" s="194"/>
      <c r="I104" s="190"/>
      <c r="J104" s="148"/>
      <c r="K104" s="194"/>
      <c r="L104" s="202"/>
      <c r="M104" s="202"/>
      <c r="N104" s="446"/>
      <c r="O104" s="132"/>
      <c r="P104" s="132"/>
      <c r="Q104" s="3692"/>
      <c r="R104" s="3692"/>
      <c r="S104" s="3692"/>
      <c r="T104" s="3692"/>
      <c r="U104" s="3692"/>
      <c r="V104" s="3692"/>
      <c r="W104" s="3692"/>
      <c r="X104" s="3692"/>
      <c r="Y104" s="3692"/>
      <c r="Z104" s="3692"/>
    </row>
    <row r="105" spans="2:26">
      <c r="B105" s="193" t="s">
        <v>1296</v>
      </c>
      <c r="C105" s="192" t="s">
        <v>1297</v>
      </c>
      <c r="D105" s="144"/>
      <c r="E105" s="123"/>
      <c r="F105" s="123"/>
      <c r="G105" s="186"/>
      <c r="H105" s="203"/>
      <c r="I105" s="205"/>
      <c r="J105" s="204"/>
      <c r="K105" s="203"/>
      <c r="L105" s="202"/>
      <c r="M105" s="202"/>
      <c r="N105" s="202"/>
      <c r="O105" s="132"/>
      <c r="P105" s="132"/>
      <c r="Q105" s="3638"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3638"/>
      <c r="S105" s="3638"/>
      <c r="T105" s="3638"/>
      <c r="U105" s="3638"/>
      <c r="V105" s="3638"/>
      <c r="W105" s="3638"/>
      <c r="X105" s="3638"/>
      <c r="Y105" s="3638"/>
      <c r="Z105" s="3638"/>
    </row>
    <row r="106" spans="2:26">
      <c r="B106" s="193"/>
      <c r="C106" s="192" t="s">
        <v>1293</v>
      </c>
      <c r="D106" s="144"/>
      <c r="E106" s="123"/>
      <c r="F106" s="123"/>
      <c r="G106" s="191" t="s">
        <v>1270</v>
      </c>
      <c r="H106" s="911" t="str">
        <f>IF(SUM(H101:H104)=0,"",SUM(H101:H104))</f>
        <v/>
      </c>
      <c r="I106" s="190"/>
      <c r="J106" s="191" t="s">
        <v>1270</v>
      </c>
      <c r="K106" s="911" t="str">
        <f>IF(SUM(K101:K104)=0,"",SUM(K101:K104))</f>
        <v/>
      </c>
      <c r="L106" s="190"/>
      <c r="M106" s="191" t="s">
        <v>1270</v>
      </c>
      <c r="N106" s="912" t="str">
        <f>IF(N(H106)+IF($E$41=3,N(K106),0)=0,"",N(H106)+IF($E$41=3,N(K106),0))</f>
        <v/>
      </c>
      <c r="O106" s="132"/>
      <c r="P106" s="132"/>
      <c r="Q106" s="3638"/>
      <c r="R106" s="3638"/>
      <c r="S106" s="3638"/>
      <c r="T106" s="3638"/>
      <c r="U106" s="3638"/>
      <c r="V106" s="3638"/>
      <c r="W106" s="3638"/>
      <c r="X106" s="3638"/>
      <c r="Y106" s="3638"/>
      <c r="Z106" s="3638"/>
    </row>
    <row r="107" spans="2:26" ht="12.4" customHeight="1">
      <c r="B107" s="200"/>
      <c r="C107" s="123"/>
      <c r="D107" s="144"/>
      <c r="E107" s="123"/>
      <c r="F107" s="123"/>
      <c r="G107" s="202"/>
      <c r="H107" s="149"/>
      <c r="I107" s="190"/>
      <c r="J107" s="202"/>
      <c r="K107" s="149"/>
      <c r="L107" s="202"/>
      <c r="M107" s="202"/>
      <c r="N107" s="202"/>
      <c r="O107" s="132"/>
      <c r="P107" s="184"/>
    </row>
    <row r="108" spans="2:26" ht="13">
      <c r="B108" s="193" t="s">
        <v>1298</v>
      </c>
      <c r="C108" s="192" t="s">
        <v>1299</v>
      </c>
      <c r="D108" s="192"/>
      <c r="E108" s="129"/>
      <c r="F108" s="129"/>
      <c r="G108" s="191" t="s">
        <v>1270</v>
      </c>
      <c r="H108" s="911" t="str">
        <f>IF(SUM(H62,H64,H85,H87,H97,H106)=0,"",SUM(H62,MIN(N(HCC_DollarMax),N(Contingency_Hard_eligible)),H85,MIN(N(SCC_DollarMax),N(Contingency_Soft_eligible)),H97,H106))</f>
        <v/>
      </c>
      <c r="I108" s="190"/>
      <c r="J108" s="191" t="s">
        <v>1270</v>
      </c>
      <c r="K108" s="911"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0"/>
      <c r="M108" s="191" t="s">
        <v>1270</v>
      </c>
      <c r="N108" s="911" t="str">
        <f>IF(SUM(N62,N64,N85,N87,N97,N106)=0,"",SUM(N62,N64,N85,N87,N97,N106))</f>
        <v/>
      </c>
      <c r="O108" s="132"/>
      <c r="P108" s="184"/>
      <c r="Q108" s="2305">
        <f>36%*(N(Actual_TotalConstructioncost_total)+N(Contingency_Hard_total))+18%*(N(General_totaldevelopmentcost_total)+N(Contingency_Soft_total)+N(Financial_totalcosts_total))+9%*(N(Acquisition_total))</f>
        <v>0</v>
      </c>
    </row>
    <row r="109" spans="2:26">
      <c r="B109" s="121"/>
      <c r="C109" s="123"/>
      <c r="D109" s="144" t="s">
        <v>1300</v>
      </c>
      <c r="E109" s="123"/>
      <c r="F109" s="123"/>
      <c r="G109" s="123"/>
      <c r="H109" s="149"/>
      <c r="I109" s="190"/>
      <c r="J109" s="148"/>
      <c r="K109" s="149"/>
      <c r="L109" s="161"/>
      <c r="M109" s="161"/>
      <c r="N109" s="161"/>
      <c r="O109" s="132"/>
      <c r="P109" s="184"/>
    </row>
    <row r="110" spans="2:26" ht="12.4" customHeight="1">
      <c r="B110" s="208"/>
      <c r="C110" s="207"/>
      <c r="D110" s="186"/>
      <c r="E110" s="186"/>
      <c r="F110" s="186"/>
      <c r="G110" s="186"/>
      <c r="H110" s="203"/>
      <c r="I110" s="205"/>
      <c r="J110" s="204"/>
      <c r="K110" s="203"/>
      <c r="L110" s="202"/>
      <c r="M110" s="202"/>
      <c r="N110" s="202"/>
      <c r="O110" s="132"/>
      <c r="P110" s="184"/>
      <c r="Q110" s="458"/>
    </row>
    <row r="111" spans="2:26" ht="14">
      <c r="C111" s="206" t="s">
        <v>1301</v>
      </c>
      <c r="D111" s="192"/>
      <c r="E111" s="123"/>
      <c r="F111" s="123"/>
      <c r="G111" s="186"/>
      <c r="H111" s="203"/>
      <c r="I111" s="205"/>
      <c r="J111" s="204"/>
      <c r="K111" s="203"/>
      <c r="L111" s="202"/>
      <c r="M111" s="202"/>
      <c r="N111" s="202"/>
      <c r="O111" s="132"/>
      <c r="P111" s="184"/>
      <c r="Q111" s="458" t="s">
        <v>1302</v>
      </c>
    </row>
    <row r="112" spans="2:26" ht="13">
      <c r="B112" s="201"/>
      <c r="C112" s="200"/>
      <c r="D112" s="144" t="s">
        <v>1303</v>
      </c>
      <c r="E112" s="144"/>
      <c r="F112" s="144"/>
      <c r="G112" s="186"/>
      <c r="H112" s="234"/>
      <c r="I112" s="1517"/>
      <c r="J112" s="161"/>
      <c r="K112" s="234"/>
      <c r="L112" s="190" t="str">
        <f>IF(N(K112)&lt;&gt;ROUNDDOWN(N(K112),0),1,"")</f>
        <v/>
      </c>
      <c r="M112" s="148"/>
      <c r="N112" s="911">
        <f>IF($E$41=2,Data3!P247,Data3!P248)</f>
        <v>0</v>
      </c>
      <c r="O112" s="132"/>
      <c r="P112" s="485" t="str">
        <f>IF(P113="No","**","")</f>
        <v/>
      </c>
      <c r="Q112" s="3641"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3641"/>
      <c r="S112" s="3641"/>
      <c r="T112" s="3641"/>
      <c r="U112" s="3641"/>
      <c r="V112" s="3641"/>
      <c r="W112" s="3641"/>
      <c r="X112" s="3641"/>
      <c r="Y112" s="3641"/>
      <c r="Z112" s="3641"/>
    </row>
    <row r="113" spans="1:29" ht="13">
      <c r="B113" s="201"/>
      <c r="C113" s="200"/>
      <c r="D113" s="3600" t="str">
        <f>IF(AND(Non_Competitive_HC_Request_Amount&gt;0,Funding!M310&gt;0,OR(Development_Category="Acquisition and Rehabilitation",Development_Category="Rehabilitation")),"","Max DF @ "&amp;TEXT(DS_MaxDevFeeAcq_Percent,"#0%")&amp;":")</f>
        <v>Max DF @ 18%:</v>
      </c>
      <c r="E113" s="3600"/>
      <c r="F113" s="711">
        <f>Data3!M245</f>
        <v>0</v>
      </c>
      <c r="G113" s="186"/>
      <c r="H113" s="1518"/>
      <c r="I113" s="1517"/>
      <c r="J113" s="448"/>
      <c r="K113" s="1518"/>
      <c r="L113" s="202"/>
      <c r="M113" s="202"/>
      <c r="N113" s="202"/>
      <c r="O113" s="132"/>
      <c r="P113" s="460"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3641"/>
      <c r="R113" s="3641"/>
      <c r="S113" s="3641"/>
      <c r="T113" s="3641"/>
      <c r="U113" s="3641"/>
      <c r="V113" s="3641"/>
      <c r="W113" s="3641"/>
      <c r="X113" s="3641"/>
      <c r="Y113" s="3641"/>
      <c r="Z113" s="3641"/>
    </row>
    <row r="114" spans="1:29" ht="13">
      <c r="B114" s="201"/>
      <c r="C114" s="200"/>
      <c r="D114" s="144" t="s">
        <v>1304</v>
      </c>
      <c r="E114" s="144"/>
      <c r="F114" s="144"/>
      <c r="G114" s="186"/>
      <c r="H114" s="234"/>
      <c r="I114" s="1517"/>
      <c r="J114" s="161"/>
      <c r="K114" s="234"/>
      <c r="L114" s="190" t="str">
        <f>IF(N(K114)&lt;&gt;ROUNDDOWN(N(K114),0),1,"")</f>
        <v/>
      </c>
      <c r="M114" s="148"/>
      <c r="N114" s="161">
        <f>IF($E$41=2,Data3!Q247,Data3!Q248)</f>
        <v>0</v>
      </c>
      <c r="O114" s="132"/>
      <c r="P114" s="485" t="str">
        <f>IF(P115="No","**","")</f>
        <v/>
      </c>
      <c r="Q114" s="3641"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3641"/>
      <c r="S114" s="3641"/>
      <c r="T114" s="3641"/>
      <c r="U114" s="3641"/>
      <c r="V114" s="3641"/>
      <c r="W114" s="3641"/>
      <c r="X114" s="3641"/>
      <c r="Y114" s="3641"/>
      <c r="Z114" s="3641"/>
    </row>
    <row r="115" spans="1:29">
      <c r="B115" s="201"/>
      <c r="C115" s="200"/>
      <c r="D115" s="3600" t="str">
        <f>IF(AND(Non_Competitive_HC_Request_Amount&gt;0,Funding!M310&gt;0,OR(Development_Category="Acquisition and Rehabilitation",Development_Category="Rehabilitation")),"","Max DF @ "&amp;TEXT(DS_MaxDevFeeNonAcq_Percent,"#0%")&amp;":")</f>
        <v>Max DF @ 18%:</v>
      </c>
      <c r="E115" s="3600"/>
      <c r="F115" s="711">
        <f>IFERROR(Data3!M243,"")</f>
        <v>0</v>
      </c>
      <c r="G115" s="186"/>
      <c r="H115" s="194"/>
      <c r="I115" s="190"/>
      <c r="J115" s="148"/>
      <c r="K115" s="194"/>
      <c r="L115" s="161"/>
      <c r="M115" s="148"/>
      <c r="N115" s="447"/>
      <c r="O115" s="132"/>
      <c r="P115" s="460"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3641"/>
      <c r="R115" s="3641"/>
      <c r="S115" s="3641"/>
      <c r="T115" s="3641"/>
      <c r="U115" s="3641"/>
      <c r="V115" s="3641"/>
      <c r="W115" s="3641"/>
      <c r="X115" s="3641"/>
      <c r="Y115" s="3641"/>
      <c r="Z115" s="3641"/>
    </row>
    <row r="116" spans="1:29" ht="13" hidden="1">
      <c r="B116" s="807"/>
      <c r="C116" s="808"/>
      <c r="D116" s="144" t="s">
        <v>1305</v>
      </c>
      <c r="E116" s="144"/>
      <c r="F116" s="144"/>
      <c r="G116" s="186"/>
      <c r="H116" s="162"/>
      <c r="I116" s="448"/>
      <c r="J116" s="161"/>
      <c r="K116" s="162"/>
      <c r="L116" s="161"/>
      <c r="M116" s="148"/>
      <c r="N116" s="161"/>
      <c r="O116" s="132"/>
      <c r="P116" s="184"/>
      <c r="Q116" s="809"/>
    </row>
    <row r="117" spans="1:29" ht="15" hidden="1" customHeight="1">
      <c r="B117" s="807"/>
      <c r="C117" s="808"/>
      <c r="D117" s="144" t="s">
        <v>1306</v>
      </c>
      <c r="E117" s="144"/>
      <c r="F117" s="144"/>
      <c r="G117" s="186"/>
      <c r="H117" s="913"/>
      <c r="I117" s="448"/>
      <c r="J117" s="161"/>
      <c r="K117" s="911"/>
      <c r="L117" s="161"/>
      <c r="M117" s="148"/>
      <c r="N117" s="912" t="str">
        <f>IF(N(Dev_Fee_Max_Demo)=0,"",MIN(N(Dev_Fee_Max_Demo),N(Developer_fee_demo_eligible)))</f>
        <v/>
      </c>
      <c r="O117" s="132"/>
      <c r="P117" s="184"/>
      <c r="Q117" s="3641" t="str">
        <f>IF((Data3!G242+Data3!G248)=21%,"If 21% is selected for Max. Dev. Fee %, the 5% Demographic Commitment portion will be automatically entered on this row and is considered to be in addition to the amount(s) listed on the other Developer Fee line item(s).","")</f>
        <v/>
      </c>
      <c r="R117" s="3641"/>
      <c r="S117" s="3641"/>
      <c r="T117" s="3641"/>
      <c r="U117" s="3641"/>
      <c r="V117" s="3641"/>
      <c r="W117" s="3641"/>
      <c r="X117" s="3641"/>
      <c r="Y117" s="3641"/>
      <c r="Z117" s="3641"/>
    </row>
    <row r="118" spans="1:29" ht="15" hidden="1" customHeight="1">
      <c r="B118" s="807"/>
      <c r="C118" s="808"/>
      <c r="D118" s="3600" t="str">
        <f>"Max DF @ "&amp;TEXT(DS_MaxDevFeeODR_Percent,"#0%")&amp;":"</f>
        <v>Max DF @ 0%:</v>
      </c>
      <c r="E118" s="3600"/>
      <c r="F118" s="711">
        <f>ROUNDDOWN(N(DS_MaxDevFeeODR_Percent)*N(Development_Cost_total),0)</f>
        <v>0</v>
      </c>
      <c r="G118" s="186"/>
      <c r="H118" s="162"/>
      <c r="I118" s="448"/>
      <c r="J118" s="161"/>
      <c r="K118" s="162"/>
      <c r="L118" s="161"/>
      <c r="M118" s="148"/>
      <c r="N118" s="161"/>
      <c r="O118" s="132"/>
      <c r="P118" s="184"/>
      <c r="Q118" s="3641"/>
      <c r="R118" s="3641"/>
      <c r="S118" s="3641"/>
      <c r="T118" s="3641"/>
      <c r="U118" s="3641"/>
      <c r="V118" s="3641"/>
      <c r="W118" s="3641"/>
      <c r="X118" s="3641"/>
      <c r="Y118" s="3641"/>
      <c r="Z118" s="3641"/>
    </row>
    <row r="119" spans="1:29" ht="13">
      <c r="B119" s="193" t="s">
        <v>1307</v>
      </c>
      <c r="C119" s="192" t="s">
        <v>1308</v>
      </c>
      <c r="D119" s="192"/>
      <c r="E119" s="144"/>
      <c r="F119" s="144"/>
      <c r="G119" s="191" t="s">
        <v>1270</v>
      </c>
      <c r="H119" s="911"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48"/>
      <c r="J119" s="191" t="s">
        <v>1270</v>
      </c>
      <c r="K119" s="911" t="str">
        <f>IF(SUM(K112:K117)=0,"",IF(E41=3,SUM(N112:N117)-N(Developer_fee_eligible),""))</f>
        <v/>
      </c>
      <c r="L119" s="190"/>
      <c r="M119" s="191" t="s">
        <v>1270</v>
      </c>
      <c r="N119" s="912" t="str">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
      </c>
      <c r="O119" s="132"/>
      <c r="P119" s="485" t="str">
        <f>IF(P120="No","**","")</f>
        <v/>
      </c>
      <c r="Q119" s="3655"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3656"/>
      <c r="S119" s="3656"/>
      <c r="T119" s="3656"/>
      <c r="U119" s="3656"/>
      <c r="V119" s="3656"/>
      <c r="W119" s="3656"/>
      <c r="X119" s="3656"/>
      <c r="Y119" s="3656"/>
      <c r="Z119" s="3656"/>
    </row>
    <row r="120" spans="1:29">
      <c r="B120" s="199"/>
      <c r="C120" s="199"/>
      <c r="D120" s="3600" t="s">
        <v>1309</v>
      </c>
      <c r="E120" s="3600"/>
      <c r="F120" s="711" t="str">
        <f>IF(SUM(N(Dev_Fee_Max_Acq),N(Dev_Fee_Max_Non_Acq),N(Dev_Fee_Max_Demo))=0,"",SUM(N(Dev_Fee_Max_Acq),N(Dev_Fee_Max_Non_Acq),N(Dev_Fee_Max_Demo)))</f>
        <v/>
      </c>
      <c r="H120" s="149"/>
      <c r="I120" s="190"/>
      <c r="K120" s="149"/>
      <c r="N120" s="123"/>
      <c r="O120" s="132"/>
      <c r="P120" s="460"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3656"/>
      <c r="R120" s="3656"/>
      <c r="S120" s="3656"/>
      <c r="T120" s="3656"/>
      <c r="U120" s="3656"/>
      <c r="V120" s="3656"/>
      <c r="W120" s="3656"/>
      <c r="X120" s="3656"/>
      <c r="Y120" s="3656"/>
      <c r="Z120" s="3656"/>
    </row>
    <row r="121" spans="1:29" ht="14">
      <c r="B121" s="198" t="s">
        <v>1310</v>
      </c>
      <c r="C121" s="197" t="s">
        <v>1311</v>
      </c>
      <c r="G121" s="193" t="s">
        <v>1270</v>
      </c>
      <c r="H121" s="1227"/>
      <c r="I121" s="190"/>
      <c r="J121" s="193" t="s">
        <v>1270</v>
      </c>
      <c r="K121" s="1229"/>
      <c r="L121" s="190"/>
      <c r="M121" s="193" t="s">
        <v>1270</v>
      </c>
      <c r="N121" s="1230" t="str">
        <f>IF(AND($E$41=3,N(ODR_ineligible)=0),"",IF(AND($E$41=3,N(ODR_ineligible)&gt;0),MIN(N(ODR_Max),N(ODR_ineligible)),IF(AND($E$41=2,N(ODR_eligible)=0),"",IF(AND($E$41=2,N(ODR_eligible)&gt;0),MIN(N(ODR_Max),N(ODR_eligible)),""))))</f>
        <v/>
      </c>
      <c r="O121" s="132"/>
      <c r="P121" s="872" t="str">
        <f>IF(P122="No","**","")</f>
        <v/>
      </c>
      <c r="Q121" s="3658" t="str">
        <f>Data3!L237</f>
        <v>The Maximum Developer Fee of $0 is calculated as the sum of 18% Maximum Developer Fee on Acquisition Costs ($0) and 18% Maximum Developer Fee on non-Acquisition Costs ($0).</v>
      </c>
      <c r="R121" s="3658"/>
      <c r="S121" s="3658"/>
      <c r="T121" s="3658"/>
      <c r="U121" s="3658"/>
      <c r="V121" s="3658"/>
      <c r="W121" s="3658"/>
      <c r="X121" s="3658"/>
      <c r="Y121" s="3658"/>
      <c r="Z121" s="3658"/>
    </row>
    <row r="122" spans="1:29" ht="12.4" customHeight="1">
      <c r="B122" s="121"/>
      <c r="C122" s="123"/>
      <c r="D122" s="3600" t="s">
        <v>1312</v>
      </c>
      <c r="E122" s="3600"/>
      <c r="F122" s="711">
        <f>ROUNDDOWN(N(DS_Max_ODR)*N(Development_Cost_total)+IF(DS_Dollar_PU_ODR_Active="Yes",N(DS_Max_Dollar_PU_ODR)*N(Total_Units),0),0)</f>
        <v>0</v>
      </c>
      <c r="G122" s="161"/>
      <c r="H122" s="149"/>
      <c r="I122" s="190"/>
      <c r="J122" s="161"/>
      <c r="K122" s="210"/>
      <c r="L122" s="161"/>
      <c r="M122" s="161"/>
      <c r="N122" s="161"/>
      <c r="O122" s="132"/>
      <c r="P122" s="460" t="str">
        <f>IF(OR(AND(E41=3,N(ODR_ineligible)&lt;=N(ODR_Max)),AND(E41=2,N(ODR_eligible)&lt;=N(ODR_Max))),"Yes","No")</f>
        <v>Yes</v>
      </c>
      <c r="Q122" s="3659"/>
      <c r="R122" s="3659"/>
      <c r="S122" s="3659"/>
      <c r="T122" s="3659"/>
      <c r="U122" s="3659"/>
      <c r="V122" s="3659"/>
      <c r="W122" s="3659"/>
      <c r="X122" s="3659"/>
      <c r="Y122" s="3659"/>
      <c r="Z122" s="3659"/>
    </row>
    <row r="123" spans="1:29" ht="12.75" customHeight="1">
      <c r="B123" s="193" t="s">
        <v>1313</v>
      </c>
      <c r="C123" s="192" t="s">
        <v>1314</v>
      </c>
      <c r="D123" s="192"/>
      <c r="E123" s="123"/>
      <c r="F123" s="123"/>
      <c r="G123" s="191" t="s">
        <v>1270</v>
      </c>
      <c r="H123" s="1673"/>
      <c r="I123" s="190"/>
      <c r="J123" s="191" t="s">
        <v>1270</v>
      </c>
      <c r="K123" s="196"/>
      <c r="L123" s="190" t="str">
        <f>IF(N(K123)&lt;&gt;ROUNDDOWN(N(K123),0),1,"")</f>
        <v/>
      </c>
      <c r="M123" s="191" t="s">
        <v>1270</v>
      </c>
      <c r="N123" s="911" t="str">
        <f>IF(AND($E$41=3,K123=0),"",IF(AND($E$41=3,K123&gt;0),K123,IF(AND($E$41=2,H123=0),"",IF(AND($E$41=2,H123&gt;0),H123))))</f>
        <v/>
      </c>
      <c r="O123" s="132"/>
      <c r="P123" s="132"/>
      <c r="Q123" s="3693"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3" s="3693"/>
      <c r="S123" s="3693"/>
      <c r="T123" s="3693"/>
      <c r="U123" s="3693"/>
      <c r="V123" s="3693"/>
      <c r="W123" s="3693"/>
      <c r="X123" s="3693"/>
      <c r="Y123" s="3693"/>
      <c r="Z123" s="3693"/>
      <c r="AA123" s="486"/>
      <c r="AB123" s="486"/>
      <c r="AC123" s="486"/>
    </row>
    <row r="124" spans="1:29" ht="12.4" customHeight="1">
      <c r="B124" s="121"/>
      <c r="C124" s="123"/>
      <c r="D124" s="195"/>
      <c r="E124" s="123"/>
      <c r="F124" s="123"/>
      <c r="G124" s="161"/>
      <c r="H124" s="210"/>
      <c r="I124" s="190"/>
      <c r="J124" s="161"/>
      <c r="K124" s="194"/>
      <c r="L124" s="161"/>
      <c r="M124" s="161"/>
      <c r="N124" s="161"/>
      <c r="O124" s="132"/>
      <c r="P124" s="132"/>
      <c r="Q124" s="3694"/>
      <c r="R124" s="3694"/>
      <c r="S124" s="3694"/>
      <c r="T124" s="3694"/>
      <c r="U124" s="3694"/>
      <c r="V124" s="3694"/>
      <c r="W124" s="3694"/>
      <c r="X124" s="3694"/>
      <c r="Y124" s="3694"/>
      <c r="Z124" s="3694"/>
      <c r="AA124" s="486"/>
      <c r="AB124" s="486"/>
      <c r="AC124" s="486"/>
    </row>
    <row r="125" spans="1:29" ht="13.5">
      <c r="B125" s="193" t="s">
        <v>1315</v>
      </c>
      <c r="C125" s="192" t="s">
        <v>1316</v>
      </c>
      <c r="D125" s="192"/>
      <c r="E125" s="123"/>
      <c r="F125" s="123"/>
      <c r="G125" s="191" t="s">
        <v>1270</v>
      </c>
      <c r="H125" s="911" t="str">
        <f>IF(OR(AND(E41=3,SUM(H108,H119)=0),AND(E41=2,SUM(H108,H119,H121,H123)=0)),"",IF(E41=3,SUM(H108,H119),SUM(H108,H119,IF(ODR_eligible&gt;ODR_total,ODR_total,ODR_eligible),H123)))</f>
        <v/>
      </c>
      <c r="I125" s="190"/>
      <c r="J125" s="191" t="s">
        <v>1270</v>
      </c>
      <c r="K125" s="911" t="str">
        <f>IF(OR(AND(E41=3,SUM(K108,K119,K121,K123)=0),AND(E41=2,SUM(K108,K119,K121,K123)=0)),"",IF(E41=3,SUM(K108,K119,IF(ODR_ineligible&gt;ODR_total,ODR_total,ODR_ineligible),K123),""))</f>
        <v/>
      </c>
      <c r="L125" s="190"/>
      <c r="M125" s="191" t="s">
        <v>1270</v>
      </c>
      <c r="N125" s="911" t="str">
        <f>IF(SUM(N108,N119,N121,N123)=0,"",SUM(N108,N119,N121,N123))</f>
        <v/>
      </c>
      <c r="O125" s="132"/>
      <c r="P125" s="132"/>
      <c r="Q125" s="3639"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5" s="3639"/>
      <c r="S125" s="3639"/>
      <c r="T125" s="3639"/>
      <c r="U125" s="3639"/>
      <c r="V125" s="3639"/>
      <c r="W125" s="3639"/>
      <c r="X125" s="3639"/>
      <c r="Y125" s="3639"/>
      <c r="Z125" s="3639"/>
    </row>
    <row r="126" spans="1:29">
      <c r="B126" s="123"/>
      <c r="C126" s="123"/>
      <c r="D126" s="123" t="s">
        <v>1317</v>
      </c>
      <c r="E126" s="123"/>
      <c r="F126" s="123"/>
      <c r="G126" s="123"/>
      <c r="H126" s="149"/>
      <c r="I126" s="190"/>
      <c r="J126" s="148"/>
      <c r="K126" s="149"/>
      <c r="L126" s="123"/>
      <c r="M126" s="123"/>
      <c r="N126" s="123"/>
      <c r="O126" s="132"/>
      <c r="P126" s="132"/>
      <c r="Q126" s="3640"/>
      <c r="R126" s="3640"/>
      <c r="S126" s="3640"/>
      <c r="T126" s="3640"/>
      <c r="U126" s="3640"/>
      <c r="V126" s="3640"/>
      <c r="W126" s="3640"/>
      <c r="X126" s="3640"/>
      <c r="Y126" s="3640"/>
      <c r="Z126" s="3640"/>
    </row>
    <row r="127" spans="1:29" ht="3.75" customHeight="1" thickBot="1">
      <c r="B127" s="123"/>
      <c r="C127" s="123"/>
      <c r="D127" s="123"/>
      <c r="E127" s="123"/>
      <c r="F127" s="123"/>
      <c r="G127" s="123"/>
      <c r="H127" s="123"/>
      <c r="I127" s="123"/>
      <c r="J127" s="123"/>
      <c r="K127" s="123"/>
      <c r="L127" s="123"/>
      <c r="M127" s="123"/>
      <c r="N127" s="123"/>
      <c r="O127" s="132"/>
      <c r="P127" s="132"/>
    </row>
    <row r="128" spans="1:29" ht="3.75" customHeight="1">
      <c r="A128" s="133"/>
      <c r="B128" s="133"/>
      <c r="C128" s="133"/>
      <c r="D128" s="133"/>
      <c r="E128" s="133"/>
      <c r="F128" s="133"/>
      <c r="G128" s="133"/>
      <c r="H128" s="133"/>
      <c r="I128" s="133"/>
      <c r="J128" s="133"/>
      <c r="K128" s="133"/>
      <c r="L128" s="133"/>
      <c r="M128" s="133"/>
      <c r="N128" s="133"/>
      <c r="O128" s="172"/>
      <c r="P128" s="172"/>
    </row>
    <row r="129" spans="2:19" ht="13">
      <c r="B129" s="129" t="str">
        <f>B$2</f>
        <v>RFA 2026-204 DEVELOPMENT COST PRO FORMA</v>
      </c>
      <c r="O129" s="132"/>
      <c r="P129" s="131" t="str">
        <f>IF(OR(AND(Funding!M$310&gt;0,Data3!H$296="No",Minimum_SetAside_per_Sec_42&lt;&gt;"Live Local SAIL only (no HC)"),AND(Minimum_SetAside_per_Sec_42&lt;&gt;"Live Local SAIL only (no HC)",Data3!H$297="Yes")),"(Page 3 of 8)","(Page 3 of 7)")</f>
        <v>(Page 3 of 8)</v>
      </c>
    </row>
    <row r="130" spans="2:19">
      <c r="O130" s="132"/>
      <c r="P130" s="132"/>
      <c r="S130" s="123"/>
    </row>
    <row r="131" spans="2:19" ht="13">
      <c r="B131" s="129" t="s">
        <v>1318</v>
      </c>
      <c r="C131" s="123"/>
      <c r="D131" s="123"/>
      <c r="E131" s="123"/>
      <c r="F131" s="123"/>
      <c r="G131" s="123"/>
      <c r="H131" s="123"/>
      <c r="I131" s="123"/>
      <c r="J131" s="123"/>
      <c r="K131" s="123"/>
      <c r="L131" s="123"/>
      <c r="M131" s="123"/>
      <c r="N131" s="123"/>
      <c r="O131" s="184"/>
      <c r="P131" s="132"/>
    </row>
    <row r="132" spans="2:19" ht="12.75" customHeight="1">
      <c r="B132" s="129"/>
      <c r="C132" s="123"/>
      <c r="D132" s="123"/>
      <c r="E132" s="123"/>
      <c r="F132" s="123"/>
      <c r="G132" s="123"/>
      <c r="H132" s="123"/>
      <c r="I132" s="123"/>
      <c r="J132" s="123"/>
      <c r="K132" s="123"/>
      <c r="L132" s="123"/>
      <c r="M132" s="123"/>
      <c r="N132" s="123"/>
      <c r="O132" s="184"/>
      <c r="P132" s="132"/>
      <c r="Q132" s="126"/>
      <c r="S132" s="123"/>
    </row>
    <row r="133" spans="2:19" ht="13">
      <c r="B133" s="129" t="s">
        <v>1319</v>
      </c>
      <c r="C133" s="123"/>
      <c r="D133" s="123"/>
      <c r="E133" s="123"/>
      <c r="F133" s="123"/>
      <c r="G133" s="123"/>
      <c r="H133" s="123"/>
      <c r="I133" s="123"/>
      <c r="J133" s="123"/>
      <c r="K133" s="123"/>
      <c r="L133" s="123"/>
      <c r="M133" s="123"/>
      <c r="N133" s="123"/>
      <c r="O133" s="184"/>
      <c r="P133" s="132"/>
      <c r="S133" s="123"/>
    </row>
    <row r="134" spans="2:19" ht="13">
      <c r="B134" s="129" t="s">
        <v>1320</v>
      </c>
      <c r="C134" s="123"/>
      <c r="D134" s="123"/>
      <c r="E134" s="123"/>
      <c r="F134" s="123"/>
      <c r="G134" s="123"/>
      <c r="H134" s="123"/>
      <c r="I134" s="123"/>
      <c r="J134" s="123"/>
      <c r="K134" s="123"/>
      <c r="L134" s="123"/>
      <c r="M134" s="123"/>
      <c r="N134" s="123"/>
      <c r="O134" s="184"/>
      <c r="P134" s="132"/>
    </row>
    <row r="135" spans="2:19">
      <c r="B135" s="123"/>
      <c r="C135" s="123"/>
      <c r="D135" s="123"/>
      <c r="E135" s="123"/>
      <c r="F135" s="123"/>
      <c r="G135" s="123"/>
      <c r="H135" s="123"/>
      <c r="I135" s="123"/>
      <c r="J135" s="123"/>
      <c r="K135" s="123"/>
      <c r="L135" s="123"/>
      <c r="M135" s="123"/>
      <c r="N135" s="123"/>
      <c r="O135" s="184"/>
      <c r="P135" s="132"/>
    </row>
    <row r="136" spans="2:19" ht="14.5">
      <c r="B136" s="129" t="s">
        <v>1260</v>
      </c>
      <c r="C136" s="123"/>
      <c r="D136" s="123"/>
      <c r="E136" s="123"/>
      <c r="F136" s="123"/>
      <c r="G136" s="123"/>
      <c r="H136" s="123"/>
      <c r="I136" s="123"/>
      <c r="J136" s="123"/>
      <c r="K136" s="123"/>
      <c r="L136" s="123"/>
      <c r="M136" s="123"/>
      <c r="N136" s="123"/>
      <c r="O136" s="184"/>
      <c r="P136" s="132"/>
      <c r="Q136"/>
    </row>
    <row r="137" spans="2:19">
      <c r="B137" s="123"/>
      <c r="C137" s="123"/>
      <c r="D137" s="123"/>
      <c r="E137" s="123"/>
      <c r="F137" s="123"/>
      <c r="G137" s="123"/>
      <c r="H137" s="123"/>
      <c r="I137" s="123"/>
      <c r="J137" s="123"/>
      <c r="K137" s="123"/>
      <c r="L137" s="123"/>
      <c r="M137" s="123"/>
      <c r="N137" s="123"/>
      <c r="O137" s="184"/>
      <c r="P137" s="132"/>
    </row>
    <row r="138" spans="2:19" ht="13">
      <c r="C138" s="178" t="s">
        <v>1321</v>
      </c>
      <c r="D138" s="129"/>
      <c r="E138" s="129"/>
      <c r="F138" s="129"/>
      <c r="G138" s="123"/>
      <c r="H138" s="123"/>
      <c r="I138" s="123"/>
      <c r="J138" s="123"/>
      <c r="K138" s="123"/>
      <c r="L138" s="123"/>
      <c r="M138" s="123"/>
      <c r="N138" s="123"/>
      <c r="O138" s="184"/>
      <c r="P138" s="132"/>
    </row>
    <row r="139" spans="2:19">
      <c r="C139" s="187" t="s">
        <v>1322</v>
      </c>
      <c r="D139" s="123"/>
      <c r="E139" s="123"/>
      <c r="F139" s="123"/>
      <c r="G139" s="123"/>
      <c r="H139" s="123"/>
      <c r="I139" s="123"/>
      <c r="J139" s="123"/>
      <c r="K139" s="123"/>
      <c r="L139" s="123"/>
      <c r="M139" s="123"/>
      <c r="N139" s="123"/>
      <c r="O139" s="184"/>
      <c r="P139" s="132"/>
    </row>
    <row r="140" spans="2:19" ht="13">
      <c r="C140" s="167"/>
      <c r="D140" s="123"/>
      <c r="E140" s="123"/>
      <c r="F140" s="123"/>
      <c r="G140" s="123"/>
      <c r="H140" s="123"/>
      <c r="I140" s="123"/>
      <c r="J140" s="123"/>
      <c r="K140" s="123"/>
      <c r="L140" s="123"/>
      <c r="M140" s="123"/>
      <c r="N140" s="123"/>
      <c r="O140" s="184"/>
      <c r="P140" s="132"/>
    </row>
    <row r="141" spans="2:19" ht="13">
      <c r="D141" s="123" t="s">
        <v>1323</v>
      </c>
      <c r="E141" s="123"/>
      <c r="F141" s="3603"/>
      <c r="G141" s="3642"/>
      <c r="H141" s="3642"/>
      <c r="I141" s="3642"/>
      <c r="J141" s="3642"/>
      <c r="K141" s="3642"/>
      <c r="L141" s="3642"/>
      <c r="M141" s="3642"/>
      <c r="N141" s="3642"/>
      <c r="O141" s="3643"/>
      <c r="P141" s="134" t="str">
        <f>IF(AND(F141="",N50&lt;&gt;""),"**","")</f>
        <v/>
      </c>
    </row>
    <row r="142" spans="2:19">
      <c r="D142" s="123"/>
      <c r="E142" s="123"/>
      <c r="F142" s="3644"/>
      <c r="G142" s="3645"/>
      <c r="H142" s="3645"/>
      <c r="I142" s="3645"/>
      <c r="J142" s="3645"/>
      <c r="K142" s="3645"/>
      <c r="L142" s="3645"/>
      <c r="M142" s="3645"/>
      <c r="N142" s="3645"/>
      <c r="O142" s="3646"/>
      <c r="P142" s="382"/>
    </row>
    <row r="143" spans="2:19">
      <c r="D143" s="123"/>
      <c r="E143" s="123"/>
      <c r="F143" s="3647"/>
      <c r="G143" s="3648"/>
      <c r="H143" s="3648"/>
      <c r="I143" s="3648"/>
      <c r="J143" s="3648"/>
      <c r="K143" s="3648"/>
      <c r="L143" s="3648"/>
      <c r="M143" s="3648"/>
      <c r="N143" s="3648"/>
      <c r="O143" s="3649"/>
      <c r="P143" s="132"/>
    </row>
    <row r="144" spans="2:19">
      <c r="D144" s="123"/>
      <c r="E144" s="123"/>
      <c r="F144" s="123"/>
      <c r="G144" s="123"/>
      <c r="H144" s="123"/>
      <c r="I144" s="123"/>
      <c r="J144" s="123"/>
      <c r="K144" s="123"/>
      <c r="L144" s="123"/>
      <c r="M144" s="123"/>
      <c r="N144" s="123"/>
      <c r="O144" s="184"/>
      <c r="P144" s="132"/>
    </row>
    <row r="145" spans="3:22" ht="13">
      <c r="D145" s="123" t="s">
        <v>1324</v>
      </c>
      <c r="E145" s="123"/>
      <c r="F145" s="3603"/>
      <c r="G145" s="3642"/>
      <c r="H145" s="3642"/>
      <c r="I145" s="3642"/>
      <c r="J145" s="3642"/>
      <c r="K145" s="3642"/>
      <c r="L145" s="3642"/>
      <c r="M145" s="3642"/>
      <c r="N145" s="3642"/>
      <c r="O145" s="3643"/>
      <c r="P145" s="134" t="str">
        <f>IF(AND(F145="",N54&lt;&gt;""),"**","")</f>
        <v/>
      </c>
    </row>
    <row r="146" spans="3:22">
      <c r="C146" s="123"/>
      <c r="D146" s="123"/>
      <c r="E146" s="123"/>
      <c r="F146" s="3644"/>
      <c r="G146" s="3645"/>
      <c r="H146" s="3645"/>
      <c r="I146" s="3645"/>
      <c r="J146" s="3645"/>
      <c r="K146" s="3645"/>
      <c r="L146" s="3645"/>
      <c r="M146" s="3645"/>
      <c r="N146" s="3645"/>
      <c r="O146" s="3646"/>
      <c r="P146" s="132"/>
    </row>
    <row r="147" spans="3:22">
      <c r="C147" s="123"/>
      <c r="D147" s="123"/>
      <c r="E147" s="123"/>
      <c r="F147" s="3647"/>
      <c r="G147" s="3648"/>
      <c r="H147" s="3648"/>
      <c r="I147" s="3648"/>
      <c r="J147" s="3648"/>
      <c r="K147" s="3648"/>
      <c r="L147" s="3648"/>
      <c r="M147" s="3648"/>
      <c r="N147" s="3648"/>
      <c r="O147" s="3649"/>
      <c r="P147" s="132"/>
    </row>
    <row r="148" spans="3:22">
      <c r="C148" s="123"/>
      <c r="D148" s="123"/>
      <c r="E148" s="123"/>
      <c r="F148" s="123"/>
      <c r="G148" s="123"/>
      <c r="H148" s="123"/>
      <c r="I148" s="123"/>
      <c r="J148" s="123"/>
      <c r="K148" s="123"/>
      <c r="L148" s="123"/>
      <c r="M148" s="123"/>
      <c r="N148" s="123"/>
      <c r="O148" s="184"/>
      <c r="P148" s="132"/>
    </row>
    <row r="149" spans="3:22" ht="13">
      <c r="C149" s="178" t="s">
        <v>1278</v>
      </c>
      <c r="D149" s="129"/>
      <c r="E149" s="129"/>
      <c r="F149" s="129"/>
      <c r="G149" s="123"/>
      <c r="H149" s="123"/>
      <c r="I149" s="123"/>
      <c r="J149" s="123"/>
      <c r="K149" s="123"/>
      <c r="L149" s="123"/>
      <c r="M149" s="123"/>
      <c r="N149" s="123"/>
      <c r="O149" s="184"/>
      <c r="P149" s="132"/>
      <c r="V149" s="126"/>
    </row>
    <row r="150" spans="3:22">
      <c r="C150" s="187" t="s">
        <v>1325</v>
      </c>
      <c r="D150" s="123"/>
      <c r="E150" s="123"/>
      <c r="F150" s="123"/>
      <c r="G150" s="123"/>
      <c r="H150" s="123"/>
      <c r="I150" s="123"/>
      <c r="J150" s="123"/>
      <c r="K150" s="123"/>
      <c r="L150" s="123"/>
      <c r="M150" s="123"/>
      <c r="N150" s="123"/>
      <c r="O150" s="184"/>
      <c r="P150" s="132"/>
    </row>
    <row r="151" spans="3:22" ht="13">
      <c r="C151" s="189"/>
      <c r="D151" s="123"/>
      <c r="E151" s="123"/>
      <c r="F151" s="123"/>
      <c r="G151" s="123"/>
      <c r="H151" s="123"/>
      <c r="I151" s="123"/>
      <c r="J151" s="123"/>
      <c r="K151" s="123"/>
      <c r="L151" s="123"/>
      <c r="M151" s="123"/>
      <c r="N151" s="123"/>
      <c r="O151" s="184"/>
      <c r="P151" s="132"/>
    </row>
    <row r="152" spans="3:22" ht="12.75" hidden="1" customHeight="1">
      <c r="D152" s="123" t="s">
        <v>1326</v>
      </c>
      <c r="E152" s="123"/>
      <c r="F152" s="3603"/>
      <c r="G152" s="3604"/>
      <c r="H152" s="3604"/>
      <c r="I152" s="3604"/>
      <c r="J152" s="3604"/>
      <c r="K152" s="3604"/>
      <c r="L152" s="3604"/>
      <c r="M152" s="3604"/>
      <c r="N152" s="3604"/>
      <c r="O152" s="3605"/>
      <c r="P152" s="134" t="str">
        <f>IF(AND(F152="",N76&lt;&gt;""),"**","")</f>
        <v/>
      </c>
    </row>
    <row r="153" spans="3:22" hidden="1">
      <c r="D153" s="123"/>
      <c r="E153" s="123"/>
      <c r="F153" s="3606"/>
      <c r="G153" s="3607"/>
      <c r="H153" s="3607"/>
      <c r="I153" s="3607"/>
      <c r="J153" s="3607"/>
      <c r="K153" s="3607"/>
      <c r="L153" s="3607"/>
      <c r="M153" s="3607"/>
      <c r="N153" s="3607"/>
      <c r="O153" s="3608"/>
      <c r="P153" s="132"/>
    </row>
    <row r="154" spans="3:22" hidden="1">
      <c r="D154" s="123"/>
      <c r="E154" s="123"/>
      <c r="F154" s="3606"/>
      <c r="G154" s="3607"/>
      <c r="H154" s="3607"/>
      <c r="I154" s="3607"/>
      <c r="J154" s="3607"/>
      <c r="K154" s="3607"/>
      <c r="L154" s="3607"/>
      <c r="M154" s="3607"/>
      <c r="N154" s="3607"/>
      <c r="O154" s="3608"/>
      <c r="P154" s="132"/>
    </row>
    <row r="155" spans="3:22" hidden="1">
      <c r="D155" s="123"/>
      <c r="E155" s="123"/>
      <c r="F155" s="3606"/>
      <c r="G155" s="3607"/>
      <c r="H155" s="3607"/>
      <c r="I155" s="3607"/>
      <c r="J155" s="3607"/>
      <c r="K155" s="3607"/>
      <c r="L155" s="3607"/>
      <c r="M155" s="3607"/>
      <c r="N155" s="3607"/>
      <c r="O155" s="3608"/>
      <c r="P155" s="132"/>
    </row>
    <row r="156" spans="3:22" hidden="1">
      <c r="D156" s="123"/>
      <c r="E156" s="123"/>
      <c r="F156" s="3609"/>
      <c r="G156" s="3610"/>
      <c r="H156" s="3610"/>
      <c r="I156" s="3610"/>
      <c r="J156" s="3610"/>
      <c r="K156" s="3610"/>
      <c r="L156" s="3610"/>
      <c r="M156" s="3610"/>
      <c r="N156" s="3610"/>
      <c r="O156" s="3611"/>
      <c r="P156" s="132"/>
    </row>
    <row r="157" spans="3:22" hidden="1">
      <c r="D157" s="123"/>
      <c r="E157" s="123"/>
      <c r="F157" s="123"/>
      <c r="G157" s="123"/>
      <c r="H157" s="123"/>
      <c r="I157" s="123"/>
      <c r="J157" s="123"/>
      <c r="K157" s="123"/>
      <c r="L157" s="123"/>
      <c r="M157" s="123"/>
      <c r="N157" s="123"/>
      <c r="O157" s="184"/>
      <c r="P157" s="132"/>
    </row>
    <row r="158" spans="3:22" ht="12.75" customHeight="1">
      <c r="D158" s="123" t="s">
        <v>1324</v>
      </c>
      <c r="E158" s="123"/>
      <c r="F158" s="3603"/>
      <c r="G158" s="3604"/>
      <c r="H158" s="3604"/>
      <c r="I158" s="3604"/>
      <c r="J158" s="3604"/>
      <c r="K158" s="3604"/>
      <c r="L158" s="3604"/>
      <c r="M158" s="3604"/>
      <c r="N158" s="3604"/>
      <c r="O158" s="3605"/>
      <c r="P158" s="134" t="str">
        <f>IF(AND(F158="",N82&lt;&gt;""),"**","")</f>
        <v/>
      </c>
    </row>
    <row r="159" spans="3:22">
      <c r="C159" s="123"/>
      <c r="D159" s="123"/>
      <c r="E159" s="123"/>
      <c r="F159" s="3606"/>
      <c r="G159" s="3607"/>
      <c r="H159" s="3607"/>
      <c r="I159" s="3607"/>
      <c r="J159" s="3607"/>
      <c r="K159" s="3607"/>
      <c r="L159" s="3607"/>
      <c r="M159" s="3607"/>
      <c r="N159" s="3607"/>
      <c r="O159" s="3608"/>
      <c r="P159" s="132"/>
    </row>
    <row r="160" spans="3:22">
      <c r="C160" s="123"/>
      <c r="D160" s="123"/>
      <c r="E160" s="123"/>
      <c r="F160" s="3606"/>
      <c r="G160" s="3607"/>
      <c r="H160" s="3607"/>
      <c r="I160" s="3607"/>
      <c r="J160" s="3607"/>
      <c r="K160" s="3607"/>
      <c r="L160" s="3607"/>
      <c r="M160" s="3607"/>
      <c r="N160" s="3607"/>
      <c r="O160" s="3608"/>
      <c r="P160" s="132"/>
    </row>
    <row r="161" spans="2:16">
      <c r="C161" s="123"/>
      <c r="D161" s="123"/>
      <c r="E161" s="123"/>
      <c r="F161" s="3606"/>
      <c r="G161" s="3607"/>
      <c r="H161" s="3607"/>
      <c r="I161" s="3607"/>
      <c r="J161" s="3607"/>
      <c r="K161" s="3607"/>
      <c r="L161" s="3607"/>
      <c r="M161" s="3607"/>
      <c r="N161" s="3607"/>
      <c r="O161" s="3608"/>
      <c r="P161" s="132"/>
    </row>
    <row r="162" spans="2:16">
      <c r="C162" s="123"/>
      <c r="D162" s="123"/>
      <c r="E162" s="123"/>
      <c r="F162" s="3609"/>
      <c r="G162" s="3610"/>
      <c r="H162" s="3610"/>
      <c r="I162" s="3610"/>
      <c r="J162" s="3610"/>
      <c r="K162" s="3610"/>
      <c r="L162" s="3610"/>
      <c r="M162" s="3610"/>
      <c r="N162" s="3610"/>
      <c r="O162" s="3611"/>
      <c r="P162" s="132"/>
    </row>
    <row r="163" spans="2:16">
      <c r="O163" s="132"/>
      <c r="P163" s="132"/>
    </row>
    <row r="164" spans="2:16" ht="13">
      <c r="C164" s="178" t="s">
        <v>1327</v>
      </c>
      <c r="D164" s="129"/>
      <c r="E164" s="129"/>
      <c r="F164" s="129"/>
      <c r="G164" s="123"/>
      <c r="H164" s="123"/>
      <c r="I164" s="123"/>
      <c r="J164" s="123"/>
      <c r="K164" s="123"/>
      <c r="L164" s="123"/>
      <c r="M164" s="123"/>
      <c r="N164" s="123"/>
      <c r="O164" s="184"/>
      <c r="P164" s="132"/>
    </row>
    <row r="165" spans="2:16">
      <c r="C165" s="187" t="s">
        <v>1328</v>
      </c>
      <c r="D165" s="123"/>
      <c r="E165" s="123"/>
      <c r="F165" s="123"/>
      <c r="G165" s="186"/>
      <c r="H165" s="186"/>
      <c r="I165" s="186"/>
      <c r="J165" s="186"/>
      <c r="K165" s="186"/>
      <c r="L165" s="186"/>
      <c r="M165" s="186"/>
      <c r="N165" s="186"/>
      <c r="O165" s="185"/>
      <c r="P165" s="132"/>
    </row>
    <row r="166" spans="2:16" ht="13">
      <c r="C166" s="167"/>
      <c r="D166" s="123"/>
      <c r="E166" s="123"/>
      <c r="F166" s="123"/>
      <c r="G166" s="186"/>
      <c r="H166" s="186"/>
      <c r="I166" s="186"/>
      <c r="J166" s="186"/>
      <c r="K166" s="186"/>
      <c r="L166" s="186"/>
      <c r="M166" s="186"/>
      <c r="N166" s="186"/>
      <c r="O166" s="185"/>
      <c r="P166" s="132"/>
    </row>
    <row r="167" spans="2:16" ht="13">
      <c r="D167" s="123" t="s">
        <v>1329</v>
      </c>
      <c r="E167" s="123"/>
      <c r="F167" s="3603"/>
      <c r="G167" s="3604"/>
      <c r="H167" s="3604"/>
      <c r="I167" s="3604"/>
      <c r="J167" s="3604"/>
      <c r="K167" s="3604"/>
      <c r="L167" s="3604"/>
      <c r="M167" s="3604"/>
      <c r="N167" s="3604"/>
      <c r="O167" s="3605"/>
      <c r="P167" s="134" t="str">
        <f>IF(AND(F167="",N95&lt;&gt;""),"**","")</f>
        <v/>
      </c>
    </row>
    <row r="168" spans="2:16">
      <c r="D168" s="123"/>
      <c r="E168" s="123"/>
      <c r="F168" s="3606"/>
      <c r="G168" s="3607"/>
      <c r="H168" s="3607"/>
      <c r="I168" s="3607"/>
      <c r="J168" s="3607"/>
      <c r="K168" s="3607"/>
      <c r="L168" s="3607"/>
      <c r="M168" s="3607"/>
      <c r="N168" s="3607"/>
      <c r="O168" s="3608"/>
      <c r="P168" s="132"/>
    </row>
    <row r="169" spans="2:16">
      <c r="D169" s="123"/>
      <c r="E169" s="123"/>
      <c r="F169" s="3609"/>
      <c r="G169" s="3610"/>
      <c r="H169" s="3610"/>
      <c r="I169" s="3610"/>
      <c r="J169" s="3610"/>
      <c r="K169" s="3610"/>
      <c r="L169" s="3610"/>
      <c r="M169" s="3610"/>
      <c r="N169" s="3610"/>
      <c r="O169" s="3611"/>
      <c r="P169" s="132"/>
    </row>
    <row r="170" spans="2:16">
      <c r="C170" s="186"/>
      <c r="D170" s="186"/>
      <c r="E170" s="186"/>
      <c r="F170" s="188"/>
      <c r="G170" s="186"/>
      <c r="H170" s="186"/>
      <c r="I170" s="186"/>
      <c r="J170" s="186"/>
      <c r="K170" s="186"/>
      <c r="L170" s="186"/>
      <c r="M170" s="186"/>
      <c r="N170" s="186"/>
      <c r="O170" s="185"/>
      <c r="P170" s="132"/>
    </row>
    <row r="171" spans="2:16" ht="13">
      <c r="C171" s="178" t="s">
        <v>1330</v>
      </c>
      <c r="D171" s="129"/>
      <c r="E171" s="129"/>
      <c r="F171" s="129"/>
      <c r="G171" s="129"/>
      <c r="H171" s="129"/>
      <c r="I171" s="123"/>
      <c r="J171" s="123"/>
      <c r="K171" s="123"/>
      <c r="L171" s="123"/>
      <c r="M171" s="123"/>
      <c r="N171" s="123"/>
      <c r="O171" s="184"/>
      <c r="P171" s="132"/>
    </row>
    <row r="172" spans="2:16">
      <c r="C172" s="187" t="s">
        <v>2063</v>
      </c>
      <c r="D172" s="123"/>
      <c r="E172" s="123"/>
      <c r="F172" s="123"/>
      <c r="G172" s="123"/>
      <c r="H172" s="123"/>
      <c r="I172" s="123"/>
      <c r="J172" s="123"/>
      <c r="K172" s="123"/>
      <c r="L172" s="123"/>
      <c r="M172" s="123"/>
      <c r="N172" s="123"/>
      <c r="O172" s="184"/>
      <c r="P172" s="132"/>
    </row>
    <row r="173" spans="2:16">
      <c r="C173" s="187"/>
      <c r="D173" s="123"/>
      <c r="E173" s="123"/>
      <c r="F173" s="123"/>
      <c r="G173" s="123"/>
      <c r="H173" s="123"/>
      <c r="I173" s="123"/>
      <c r="J173" s="123"/>
      <c r="K173" s="123"/>
      <c r="L173" s="123"/>
      <c r="M173" s="123"/>
      <c r="N173" s="123"/>
      <c r="O173" s="184"/>
      <c r="P173" s="132"/>
    </row>
    <row r="174" spans="2:16" ht="13">
      <c r="D174" s="123" t="s">
        <v>1324</v>
      </c>
      <c r="E174" s="123"/>
      <c r="F174" s="3603"/>
      <c r="G174" s="3604"/>
      <c r="H174" s="3604"/>
      <c r="I174" s="3604"/>
      <c r="J174" s="3604"/>
      <c r="K174" s="3604"/>
      <c r="L174" s="3604"/>
      <c r="M174" s="3604"/>
      <c r="N174" s="3604"/>
      <c r="O174" s="3605"/>
      <c r="P174" s="134" t="str">
        <f>IF(AND(F174="",N103&lt;&gt;""),"**","")</f>
        <v/>
      </c>
    </row>
    <row r="175" spans="2:16">
      <c r="B175" s="123"/>
      <c r="C175" s="123"/>
      <c r="D175" s="123"/>
      <c r="E175" s="123"/>
      <c r="F175" s="3606"/>
      <c r="G175" s="3607"/>
      <c r="H175" s="3607"/>
      <c r="I175" s="3607"/>
      <c r="J175" s="3607"/>
      <c r="K175" s="3607"/>
      <c r="L175" s="3607"/>
      <c r="M175" s="3607"/>
      <c r="N175" s="3607"/>
      <c r="O175" s="3608"/>
      <c r="P175" s="132"/>
    </row>
    <row r="176" spans="2:16">
      <c r="B176" s="123"/>
      <c r="C176" s="123"/>
      <c r="D176" s="123"/>
      <c r="E176" s="123"/>
      <c r="F176" s="3609"/>
      <c r="G176" s="3610"/>
      <c r="H176" s="3610"/>
      <c r="I176" s="3610"/>
      <c r="J176" s="3610"/>
      <c r="K176" s="3610"/>
      <c r="L176" s="3610"/>
      <c r="M176" s="3610"/>
      <c r="N176" s="3610"/>
      <c r="O176" s="3611"/>
      <c r="P176" s="132"/>
    </row>
    <row r="177" spans="1:35">
      <c r="B177" s="186"/>
      <c r="C177" s="186"/>
      <c r="D177" s="186"/>
      <c r="E177" s="186"/>
      <c r="F177" s="186"/>
      <c r="G177" s="186"/>
      <c r="H177" s="186"/>
      <c r="I177" s="186"/>
      <c r="J177" s="186"/>
      <c r="K177" s="186"/>
      <c r="L177" s="186"/>
      <c r="M177" s="186"/>
      <c r="N177" s="186"/>
      <c r="O177" s="185"/>
      <c r="P177" s="132"/>
    </row>
    <row r="178" spans="1:35" ht="3.75" customHeight="1" thickBot="1">
      <c r="O178" s="132"/>
      <c r="P178" s="132"/>
    </row>
    <row r="179" spans="1:35" ht="3.75" customHeight="1">
      <c r="A179" s="133"/>
      <c r="B179" s="133"/>
      <c r="C179" s="133"/>
      <c r="D179" s="133"/>
      <c r="E179" s="133"/>
      <c r="F179" s="133"/>
      <c r="G179" s="133"/>
      <c r="H179" s="133"/>
      <c r="I179" s="133"/>
      <c r="J179" s="133"/>
      <c r="K179" s="133"/>
      <c r="L179" s="133"/>
      <c r="M179" s="133"/>
      <c r="N179" s="133"/>
      <c r="O179" s="172"/>
      <c r="P179" s="172"/>
      <c r="Q179" s="3681" t="s">
        <v>1331</v>
      </c>
      <c r="R179" s="3682"/>
      <c r="S179" s="3682"/>
      <c r="T179" s="3682"/>
      <c r="U179" s="3682"/>
      <c r="V179" s="3682"/>
      <c r="W179" s="3682"/>
      <c r="X179" s="3682"/>
      <c r="Y179" s="3682"/>
      <c r="Z179" s="3683"/>
    </row>
    <row r="180" spans="1:35" ht="13.5" customHeight="1">
      <c r="B180" s="129" t="str">
        <f>B$2</f>
        <v>RFA 2026-204 DEVELOPMENT COST PRO FORMA</v>
      </c>
      <c r="O180" s="132"/>
      <c r="P180" s="131" t="str">
        <f>IF(OR(AND(Funding!M$310&gt;0,Data3!H$296="No",Minimum_SetAside_per_Sec_42&lt;&gt;"Live Local SAIL only (no HC)"),AND(Minimum_SetAside_per_Sec_42&lt;&gt;"Live Local SAIL only (no HC)",Data3!H$297="Yes")),"(Page 4 of 8)","(Page 4 of 7)")</f>
        <v>(Page 4 of 8)</v>
      </c>
      <c r="Q180" s="3684"/>
      <c r="R180" s="3685"/>
      <c r="S180" s="3685"/>
      <c r="T180" s="3685"/>
      <c r="U180" s="3685"/>
      <c r="V180" s="3685"/>
      <c r="W180" s="3685"/>
      <c r="X180" s="3685"/>
      <c r="Y180" s="3685"/>
      <c r="Z180" s="3686"/>
    </row>
    <row r="181" spans="1:35">
      <c r="O181" s="132"/>
      <c r="P181" s="132"/>
      <c r="Q181" s="3684"/>
      <c r="R181" s="3685"/>
      <c r="S181" s="3685"/>
      <c r="T181" s="3685"/>
      <c r="U181" s="3685"/>
      <c r="V181" s="3685"/>
      <c r="W181" s="3685"/>
      <c r="X181" s="3685"/>
      <c r="Y181" s="3685"/>
      <c r="Z181" s="3686"/>
    </row>
    <row r="182" spans="1:35" ht="13" thickBot="1">
      <c r="O182" s="132"/>
      <c r="P182" s="132"/>
      <c r="Q182" s="3687"/>
      <c r="R182" s="3688"/>
      <c r="S182" s="3688"/>
      <c r="T182" s="3688"/>
      <c r="U182" s="3688"/>
      <c r="V182" s="3688"/>
      <c r="W182" s="3688"/>
      <c r="X182" s="3688"/>
      <c r="Y182" s="3688"/>
      <c r="Z182" s="3689"/>
    </row>
    <row r="183" spans="1:35" ht="13">
      <c r="B183" s="129" t="s">
        <v>1332</v>
      </c>
      <c r="C183" s="123"/>
      <c r="D183" s="123"/>
      <c r="E183" s="123"/>
      <c r="F183" s="123"/>
      <c r="G183" s="123"/>
      <c r="H183" s="123"/>
      <c r="I183" s="123"/>
      <c r="J183" s="123"/>
      <c r="K183" s="872"/>
      <c r="L183" s="170"/>
      <c r="M183" s="170"/>
      <c r="O183" s="132"/>
      <c r="P183" s="132"/>
    </row>
    <row r="184" spans="1:35" ht="15.75" customHeight="1">
      <c r="B184" s="129"/>
      <c r="C184" s="123"/>
      <c r="D184" s="123"/>
      <c r="E184" s="123"/>
      <c r="F184" s="123"/>
      <c r="G184" s="123"/>
      <c r="H184" s="872" t="s">
        <v>1333</v>
      </c>
      <c r="I184" s="872"/>
      <c r="J184" s="123"/>
      <c r="K184" s="3670" t="s">
        <v>1334</v>
      </c>
      <c r="L184" s="3670"/>
      <c r="M184" s="3670"/>
      <c r="N184" s="3670"/>
      <c r="O184" s="132"/>
      <c r="P184" s="182"/>
      <c r="Q184" s="126"/>
      <c r="W184" s="126"/>
      <c r="X184" s="126"/>
      <c r="Y184" s="126"/>
      <c r="Z184" s="126"/>
    </row>
    <row r="185" spans="1:35" ht="18" customHeight="1">
      <c r="B185" s="123"/>
      <c r="C185" s="123"/>
      <c r="D185" s="123"/>
      <c r="E185" s="123"/>
      <c r="F185" s="123"/>
      <c r="G185" s="123"/>
      <c r="H185" s="123"/>
      <c r="I185" s="123"/>
      <c r="J185" s="123"/>
      <c r="K185" s="123"/>
      <c r="L185" s="123"/>
      <c r="M185" s="123"/>
      <c r="O185" s="126"/>
      <c r="P185" s="126"/>
      <c r="Q185" s="126"/>
    </row>
    <row r="186" spans="1:35" ht="12.75" customHeight="1">
      <c r="B186" s="146" t="s">
        <v>1335</v>
      </c>
      <c r="C186" s="129" t="s">
        <v>1336</v>
      </c>
      <c r="D186" s="123"/>
      <c r="E186" s="123"/>
      <c r="F186" s="123"/>
      <c r="G186" s="146" t="s">
        <v>1270</v>
      </c>
      <c r="H186" s="912" t="str">
        <f>IF(N125="","",N125)</f>
        <v/>
      </c>
      <c r="I186" s="123"/>
      <c r="J186" s="144"/>
      <c r="O186" s="126"/>
      <c r="P186" s="126"/>
      <c r="Q186" s="126"/>
      <c r="AA186" s="124"/>
      <c r="AB186" s="124"/>
    </row>
    <row r="187" spans="1:35">
      <c r="B187" s="123"/>
      <c r="C187" s="123"/>
      <c r="D187" s="123"/>
      <c r="E187" s="123"/>
      <c r="F187" s="123"/>
      <c r="G187" s="123"/>
      <c r="H187" s="176"/>
      <c r="I187" s="123"/>
      <c r="J187" s="144"/>
      <c r="K187" s="144"/>
      <c r="L187" s="144"/>
      <c r="M187" s="144"/>
      <c r="O187" s="126"/>
      <c r="P187" s="126"/>
      <c r="Q187" s="126"/>
      <c r="AD187" s="126"/>
      <c r="AE187" s="126"/>
      <c r="AF187" s="126"/>
      <c r="AG187" s="126"/>
      <c r="AH187" s="126"/>
      <c r="AI187" s="126"/>
    </row>
    <row r="188" spans="1:35" ht="13">
      <c r="B188" s="146" t="s">
        <v>1296</v>
      </c>
      <c r="C188" s="129" t="s">
        <v>1337</v>
      </c>
      <c r="D188" s="123"/>
      <c r="E188" s="123"/>
      <c r="F188" s="123"/>
      <c r="G188" s="123"/>
      <c r="H188" s="176"/>
      <c r="I188" s="123"/>
      <c r="J188" s="144"/>
      <c r="K188" s="144"/>
      <c r="L188" s="144"/>
      <c r="M188" s="144"/>
      <c r="O188" s="126"/>
      <c r="P188" s="126"/>
      <c r="Q188" s="914" t="s">
        <v>1338</v>
      </c>
      <c r="AA188" s="123"/>
      <c r="AB188" s="123"/>
      <c r="AD188" s="126"/>
      <c r="AE188" s="126"/>
      <c r="AF188" s="126"/>
      <c r="AG188" s="126"/>
      <c r="AH188" s="126"/>
      <c r="AI188" s="126"/>
    </row>
    <row r="189" spans="1:35">
      <c r="B189" s="123"/>
      <c r="C189" s="123"/>
      <c r="D189" s="123"/>
      <c r="E189" s="123"/>
      <c r="F189" s="123"/>
      <c r="G189" s="121"/>
      <c r="H189" s="176"/>
      <c r="I189" s="123"/>
      <c r="J189" s="144"/>
      <c r="K189" s="144"/>
      <c r="L189" s="144"/>
      <c r="M189" s="144"/>
      <c r="O189" s="126"/>
      <c r="P189" s="126"/>
      <c r="Q189" s="126"/>
      <c r="R189" s="464"/>
      <c r="S189" s="464"/>
      <c r="T189" s="464"/>
      <c r="U189" s="464"/>
      <c r="V189" s="464"/>
      <c r="W189" s="464"/>
      <c r="AA189" s="123"/>
      <c r="AB189" s="123"/>
      <c r="AD189" s="126"/>
      <c r="AE189" s="126"/>
      <c r="AF189" s="126"/>
      <c r="AG189" s="126"/>
      <c r="AH189" s="126"/>
      <c r="AI189" s="126"/>
    </row>
    <row r="190" spans="1:35" ht="12.75" customHeight="1">
      <c r="B190" s="155">
        <f>MAX(B$189:B189)+1</f>
        <v>1</v>
      </c>
      <c r="C190" s="123" t="s">
        <v>1339</v>
      </c>
      <c r="D190" s="123"/>
      <c r="E190" s="123"/>
      <c r="F190" s="123"/>
      <c r="G190" s="121" t="s">
        <v>1270</v>
      </c>
      <c r="H190" s="2530" t="str">
        <f>IF(N(HFA_Total_Rqst)&gt;0,HFA_Total_Rqst,IF(N(MMRB_Total_Constr_Source)&gt;0,MMRB_Total_Constr_Source,""))</f>
        <v/>
      </c>
      <c r="I190" s="123"/>
      <c r="J190" s="144"/>
      <c r="K190" s="3624" t="str">
        <f>IF(N(HFA_Total_Rqst)&gt;0,"Non-Corporation-Issued Tax-Exempt Bond",IF(N(MMRB_Total_Constr_Source)&gt;0,"Corporation-Issued MMRB","TBD"))</f>
        <v>TBD</v>
      </c>
      <c r="L190" s="3624"/>
      <c r="M190" s="3624"/>
      <c r="N190" s="3624"/>
      <c r="O190" s="126"/>
      <c r="P190" s="873" t="str">
        <f>IF(AND(Funding!M310&gt;0,N(Non_Competitive_HC_Request_Amount)&gt;0,ConstrAnalysis__1st_Type&lt;&gt;"Corporation-Issued MMRB",ConstrAnalysis__1st_Type&lt;&gt;"Non-Corporation-Issued Tax-Exempt Bond"),"**","")</f>
        <v/>
      </c>
      <c r="Q190" s="151">
        <f>IF(N(K$38)=0,0,N(H190)/K$38)</f>
        <v>0</v>
      </c>
      <c r="R190" s="3623" t="str">
        <f>IF(AND(Funding!M310&gt;0,N(Non_Competitive_HC_Request_Amount)&gt;0,ConstrAnalysis__1st_Type&lt;&gt;"Corporation-Issued MMRB",ConstrAnalysis__1st_Type&lt;&gt;"Non-Corporation-Issued Tax-Exempt Bond"),"The Applicant indicates a Non-Competetive Housing Credit Request amount. Please complete the Tax-Exempt Bond portion of the Funding tab as applicable.","")</f>
        <v/>
      </c>
      <c r="S190" s="3623"/>
      <c r="T190" s="3623"/>
      <c r="U190" s="3623"/>
      <c r="V190" s="3623"/>
      <c r="W190" s="3623"/>
      <c r="X190" s="3623"/>
      <c r="AA190" s="123"/>
      <c r="AB190" s="123"/>
      <c r="AD190" s="126"/>
      <c r="AE190" s="126"/>
      <c r="AF190" s="126"/>
      <c r="AG190" s="126"/>
      <c r="AH190" s="126"/>
      <c r="AI190" s="126"/>
    </row>
    <row r="191" spans="1:35" ht="12.75" customHeight="1">
      <c r="B191" s="181"/>
      <c r="C191" s="123"/>
      <c r="D191" s="123"/>
      <c r="E191" s="123"/>
      <c r="F191" s="123"/>
      <c r="G191" s="121"/>
      <c r="H191" s="176"/>
      <c r="I191" s="123"/>
      <c r="J191" s="144"/>
      <c r="K191" s="144"/>
      <c r="L191" s="144"/>
      <c r="M191" s="144"/>
      <c r="O191" s="126"/>
      <c r="P191" s="126"/>
      <c r="Q191" s="126"/>
      <c r="R191" s="3623"/>
      <c r="S191" s="3623"/>
      <c r="T191" s="3623"/>
      <c r="U191" s="3623"/>
      <c r="V191" s="3623"/>
      <c r="W191" s="3623"/>
      <c r="X191" s="3623"/>
      <c r="AA191" s="180"/>
      <c r="AB191" s="180"/>
      <c r="AD191" s="126"/>
      <c r="AE191" s="126"/>
      <c r="AF191" s="126"/>
      <c r="AG191" s="126"/>
      <c r="AH191" s="126"/>
      <c r="AI191" s="126"/>
    </row>
    <row r="192" spans="1:35" ht="12.75" customHeight="1">
      <c r="B192" s="155">
        <f>MAX(B$189:B191)+1</f>
        <v>2</v>
      </c>
      <c r="C192" s="123" t="s">
        <v>1340</v>
      </c>
      <c r="D192" s="123"/>
      <c r="E192" s="123"/>
      <c r="F192" s="123"/>
      <c r="G192" s="121" t="s">
        <v>1270</v>
      </c>
      <c r="H192" s="154"/>
      <c r="I192" s="123"/>
      <c r="J192" s="144"/>
      <c r="K192" s="3601" t="s">
        <v>638</v>
      </c>
      <c r="L192" s="3601"/>
      <c r="M192" s="3601"/>
      <c r="N192" s="3601"/>
      <c r="O192" s="126"/>
      <c r="P192" s="126"/>
      <c r="Q192" s="151">
        <f>IF(N(K$38)=0,0,N(H192)/K$38)</f>
        <v>0</v>
      </c>
      <c r="R192" s="3623"/>
      <c r="S192" s="3623"/>
      <c r="T192" s="3623"/>
      <c r="U192" s="3623"/>
      <c r="V192" s="3623"/>
      <c r="W192" s="3623"/>
      <c r="X192" s="3623"/>
      <c r="Y192" s="123"/>
      <c r="Z192" s="123"/>
      <c r="AA192" s="179"/>
      <c r="AB192" s="179"/>
      <c r="AD192" s="126"/>
      <c r="AE192" s="126"/>
      <c r="AF192" s="126"/>
      <c r="AG192" s="126"/>
      <c r="AH192" s="126"/>
      <c r="AI192" s="126"/>
    </row>
    <row r="193" spans="2:35" ht="12.75" customHeight="1">
      <c r="B193" s="123"/>
      <c r="C193" s="123"/>
      <c r="D193" s="123"/>
      <c r="E193" s="123"/>
      <c r="F193" s="123"/>
      <c r="G193" s="121"/>
      <c r="H193" s="176"/>
      <c r="I193" s="123"/>
      <c r="J193" s="144"/>
      <c r="K193" s="144"/>
      <c r="L193" s="144"/>
      <c r="M193" s="144"/>
      <c r="O193" s="126"/>
      <c r="P193" s="126"/>
      <c r="Q193" s="126"/>
      <c r="R193" s="123"/>
      <c r="S193" s="123"/>
      <c r="T193" s="123"/>
      <c r="U193" s="123"/>
      <c r="V193" s="123"/>
      <c r="W193" s="123"/>
      <c r="X193" s="123"/>
      <c r="Y193" s="123"/>
      <c r="Z193" s="123"/>
      <c r="AA193" s="179"/>
      <c r="AB193" s="179"/>
      <c r="AD193" s="126"/>
      <c r="AE193" s="126"/>
      <c r="AF193" s="126"/>
      <c r="AG193" s="126"/>
      <c r="AH193" s="126"/>
      <c r="AI193" s="126"/>
    </row>
    <row r="194" spans="2:35" ht="13">
      <c r="B194" s="155">
        <f>MAX(B$189:B193)+1</f>
        <v>3</v>
      </c>
      <c r="C194" s="123" t="s">
        <v>1341</v>
      </c>
      <c r="D194" s="123"/>
      <c r="E194" s="123"/>
      <c r="F194" s="123"/>
      <c r="G194" s="121" t="s">
        <v>1270</v>
      </c>
      <c r="H194" s="154"/>
      <c r="I194" s="123"/>
      <c r="J194" s="144"/>
      <c r="K194" s="3601" t="s">
        <v>638</v>
      </c>
      <c r="L194" s="3601"/>
      <c r="M194" s="3601"/>
      <c r="N194" s="3601"/>
      <c r="O194" s="126"/>
      <c r="P194" s="126"/>
      <c r="Q194" s="151">
        <f>IF(N(K$38)=0,0,N(H194)/K$38)</f>
        <v>0</v>
      </c>
      <c r="R194" s="178"/>
      <c r="S194" s="123"/>
      <c r="T194" s="123"/>
      <c r="U194" s="177"/>
      <c r="V194" s="177"/>
      <c r="W194" s="177"/>
      <c r="X194" s="123"/>
      <c r="Y194" s="123"/>
      <c r="Z194" s="123"/>
      <c r="AA194" s="123"/>
      <c r="AB194" s="123"/>
      <c r="AD194" s="126"/>
      <c r="AE194" s="126"/>
      <c r="AF194" s="126"/>
      <c r="AG194" s="126"/>
      <c r="AH194" s="126"/>
      <c r="AI194" s="126"/>
    </row>
    <row r="195" spans="2:35" ht="13">
      <c r="B195" s="123"/>
      <c r="C195" s="123"/>
      <c r="D195" s="123"/>
      <c r="E195" s="123"/>
      <c r="F195" s="123"/>
      <c r="G195" s="121"/>
      <c r="H195" s="176"/>
      <c r="I195" s="123"/>
      <c r="J195" s="144"/>
      <c r="K195" s="144"/>
      <c r="L195" s="144"/>
      <c r="M195" s="144"/>
      <c r="O195" s="126"/>
      <c r="P195" s="126"/>
      <c r="Q195" s="126"/>
      <c r="R195" s="487"/>
      <c r="S195" s="487"/>
      <c r="T195" s="487"/>
      <c r="U195" s="163"/>
      <c r="V195" s="177"/>
      <c r="W195" s="177"/>
      <c r="X195" s="123"/>
      <c r="Y195" s="123"/>
      <c r="Z195" s="123"/>
      <c r="AA195" s="123"/>
      <c r="AB195" s="123"/>
      <c r="AC195" s="126"/>
      <c r="AD195" s="126"/>
      <c r="AE195" s="126"/>
      <c r="AF195" s="126"/>
      <c r="AG195" s="126"/>
      <c r="AH195" s="126"/>
      <c r="AI195" s="126"/>
    </row>
    <row r="196" spans="2:35" ht="12.75" customHeight="1">
      <c r="B196" s="155">
        <f>MAX(B$189:B195)+1</f>
        <v>4</v>
      </c>
      <c r="C196" s="123" t="s">
        <v>1342</v>
      </c>
      <c r="D196" s="123"/>
      <c r="E196" s="123"/>
      <c r="F196" s="123"/>
      <c r="G196" s="121" t="s">
        <v>1270</v>
      </c>
      <c r="H196" s="154"/>
      <c r="I196" s="123"/>
      <c r="J196" s="144"/>
      <c r="K196" s="3601" t="s">
        <v>638</v>
      </c>
      <c r="L196" s="3601"/>
      <c r="M196" s="3601"/>
      <c r="N196" s="3601"/>
      <c r="O196" s="126"/>
      <c r="P196" s="126"/>
      <c r="Q196" s="151">
        <f>IF(N(K$38)=0,0,N(H196)/K$38)</f>
        <v>0</v>
      </c>
      <c r="R196" s="163"/>
      <c r="S196" s="163"/>
      <c r="T196" s="163"/>
      <c r="U196" s="163"/>
      <c r="V196" s="163"/>
      <c r="W196" s="163"/>
      <c r="X196" s="163"/>
      <c r="Y196" s="163"/>
      <c r="Z196" s="163"/>
      <c r="AA196" s="163"/>
      <c r="AB196" s="163"/>
      <c r="AC196" s="126"/>
      <c r="AD196" s="126"/>
      <c r="AE196" s="126"/>
      <c r="AF196" s="126"/>
      <c r="AG196" s="126"/>
      <c r="AH196" s="126"/>
      <c r="AI196" s="126"/>
    </row>
    <row r="197" spans="2:35" ht="12.75" customHeight="1">
      <c r="B197" s="123"/>
      <c r="C197" s="123"/>
      <c r="D197" s="123"/>
      <c r="E197" s="123"/>
      <c r="F197" s="123"/>
      <c r="G197" s="121"/>
      <c r="H197" s="176"/>
      <c r="I197" s="123"/>
      <c r="J197" s="144"/>
      <c r="K197" s="144"/>
      <c r="L197" s="144"/>
      <c r="M197" s="144"/>
      <c r="O197" s="126"/>
      <c r="P197" s="126"/>
      <c r="Q197" s="126"/>
      <c r="R197" s="123"/>
      <c r="S197" s="123"/>
      <c r="T197" s="123"/>
      <c r="U197" s="123"/>
      <c r="V197" s="123"/>
      <c r="W197" s="123"/>
      <c r="X197" s="123"/>
      <c r="Y197" s="123"/>
      <c r="Z197" s="123"/>
      <c r="AA197" s="123"/>
      <c r="AB197" s="123"/>
      <c r="AC197" s="126"/>
      <c r="AD197" s="126"/>
      <c r="AE197" s="126"/>
      <c r="AF197" s="126"/>
      <c r="AG197" s="126"/>
      <c r="AH197" s="126"/>
      <c r="AI197" s="126"/>
    </row>
    <row r="198" spans="2:35">
      <c r="B198" s="155">
        <f>MAX(B$189:B197)+1</f>
        <v>5</v>
      </c>
      <c r="C198" s="123" t="s">
        <v>1343</v>
      </c>
      <c r="D198" s="123"/>
      <c r="E198" s="123"/>
      <c r="F198" s="123"/>
      <c r="G198" s="121" t="s">
        <v>1270</v>
      </c>
      <c r="H198" s="154"/>
      <c r="I198" s="123"/>
      <c r="J198" s="144"/>
      <c r="K198" s="3601" t="s">
        <v>638</v>
      </c>
      <c r="L198" s="3601"/>
      <c r="M198" s="3601"/>
      <c r="N198" s="3601"/>
      <c r="O198" s="126"/>
      <c r="P198" s="126"/>
      <c r="Q198" s="151">
        <f>IF(N(K$38)=0,0,N(H198)/K$38)</f>
        <v>0</v>
      </c>
      <c r="R198" s="177"/>
      <c r="S198" s="177"/>
      <c r="T198" s="177"/>
      <c r="U198" s="177"/>
      <c r="V198" s="177"/>
      <c r="W198" s="177"/>
      <c r="X198" s="177"/>
      <c r="Y198" s="177"/>
      <c r="Z198" s="177"/>
      <c r="AA198" s="177"/>
      <c r="AB198" s="177"/>
      <c r="AC198" s="126"/>
      <c r="AD198" s="126"/>
      <c r="AE198" s="126"/>
      <c r="AF198" s="126"/>
      <c r="AG198" s="126"/>
      <c r="AH198" s="126"/>
      <c r="AI198" s="126"/>
    </row>
    <row r="199" spans="2:35">
      <c r="B199" s="123"/>
      <c r="C199" s="123"/>
      <c r="D199" s="123"/>
      <c r="E199" s="123"/>
      <c r="F199" s="123"/>
      <c r="G199" s="121"/>
      <c r="H199" s="176"/>
      <c r="I199" s="123"/>
      <c r="J199" s="144"/>
      <c r="K199" s="144"/>
      <c r="L199" s="144"/>
      <c r="M199" s="144"/>
      <c r="O199" s="126"/>
      <c r="P199" s="126"/>
      <c r="Q199" s="126"/>
      <c r="X199" s="126"/>
      <c r="Y199" s="126"/>
      <c r="Z199" s="126"/>
      <c r="AA199" s="126"/>
      <c r="AB199" s="126"/>
      <c r="AC199" s="126"/>
      <c r="AD199" s="126"/>
      <c r="AE199" s="126"/>
      <c r="AF199" s="126"/>
      <c r="AG199" s="126"/>
      <c r="AH199" s="126"/>
      <c r="AI199" s="126"/>
    </row>
    <row r="200" spans="2:35" ht="12.75" customHeight="1">
      <c r="B200" s="155">
        <f>MAX(B$189:B199)+1</f>
        <v>6</v>
      </c>
      <c r="C200" s="116" t="s">
        <v>1344</v>
      </c>
      <c r="G200" s="121" t="s">
        <v>1270</v>
      </c>
      <c r="H200" s="154"/>
      <c r="I200" s="123"/>
      <c r="J200" s="122"/>
      <c r="K200" s="3601" t="s">
        <v>638</v>
      </c>
      <c r="L200" s="3601"/>
      <c r="M200" s="3601"/>
      <c r="N200" s="3601"/>
      <c r="O200" s="126"/>
      <c r="P200" s="126"/>
      <c r="Q200" s="151">
        <f>IF(N(K$38)=0,0,N(H200)/K$38)</f>
        <v>0</v>
      </c>
      <c r="X200" s="126"/>
      <c r="Y200" s="126"/>
      <c r="Z200" s="126"/>
      <c r="AA200" s="126"/>
      <c r="AB200" s="126"/>
      <c r="AC200" s="126"/>
      <c r="AD200" s="126"/>
      <c r="AE200" s="126"/>
      <c r="AF200" s="126"/>
      <c r="AG200" s="126"/>
      <c r="AH200" s="126"/>
      <c r="AI200" s="126"/>
    </row>
    <row r="201" spans="2:35" ht="12.75" customHeight="1">
      <c r="B201" s="123"/>
      <c r="C201" s="123"/>
      <c r="D201" s="123"/>
      <c r="E201" s="123"/>
      <c r="F201" s="123"/>
      <c r="G201" s="121"/>
      <c r="H201" s="176"/>
      <c r="I201" s="123"/>
      <c r="J201" s="144"/>
      <c r="K201" s="144"/>
      <c r="L201" s="144"/>
      <c r="M201" s="144"/>
      <c r="O201" s="126"/>
      <c r="P201" s="126"/>
      <c r="Q201" s="126"/>
      <c r="R201" s="126"/>
      <c r="S201" s="126"/>
      <c r="T201" s="126"/>
      <c r="U201" s="126"/>
      <c r="V201" s="126"/>
      <c r="W201" s="126"/>
      <c r="X201" s="126"/>
      <c r="Y201" s="126"/>
      <c r="Z201" s="126"/>
      <c r="AA201" s="126"/>
      <c r="AB201" s="126"/>
      <c r="AC201" s="126"/>
      <c r="AD201" s="126"/>
      <c r="AE201" s="126"/>
      <c r="AF201" s="126"/>
      <c r="AG201" s="126"/>
      <c r="AH201" s="126"/>
      <c r="AI201" s="126"/>
    </row>
    <row r="202" spans="2:35" ht="12.75" customHeight="1">
      <c r="B202" s="155" t="str">
        <f>IF(DS_FHFC_Source_1_Name="","",MAX(B$189:B201)+1)</f>
        <v/>
      </c>
      <c r="C202" s="123" t="str">
        <f>IF(DS_FHFC_Source_1_Name="","",DS_FHFC_Source_1_Name)&amp;" Financing"</f>
        <v xml:space="preserve"> Financing</v>
      </c>
      <c r="D202" s="123"/>
      <c r="E202" s="123"/>
      <c r="F202" s="123"/>
      <c r="G202" s="121" t="s">
        <v>1270</v>
      </c>
      <c r="H202" s="1216" t="str">
        <f>IF(DS_FHFC_Source_1_Name="","",MIN(N(DS_FHFC_Source_1_Amt),N(DS_FHFC_Source_1_Max_Amt)))</f>
        <v/>
      </c>
      <c r="I202" s="123"/>
      <c r="J202" s="144"/>
      <c r="K202" s="3602" t="str">
        <f>DS_FHFC_Source_1_Label</f>
        <v>Enter request on Funding Tab</v>
      </c>
      <c r="L202" s="3602"/>
      <c r="M202" s="3602"/>
      <c r="N202" s="3602"/>
      <c r="O202" s="126"/>
      <c r="P202" s="126"/>
      <c r="Q202" s="151">
        <f>IF(N(K$38)=0,0,N(H202)/K$38)</f>
        <v>0</v>
      </c>
      <c r="R202" s="126"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6"/>
      <c r="T202" s="126"/>
      <c r="U202" s="126"/>
      <c r="V202" s="126"/>
      <c r="W202" s="126"/>
      <c r="X202" s="126"/>
      <c r="Y202" s="126"/>
      <c r="Z202" s="126"/>
      <c r="AA202" s="126"/>
      <c r="AB202" s="126"/>
      <c r="AC202" s="126"/>
      <c r="AD202" s="126"/>
      <c r="AE202" s="126"/>
      <c r="AF202" s="126"/>
      <c r="AG202" s="126"/>
      <c r="AH202" s="126"/>
      <c r="AI202" s="126"/>
    </row>
    <row r="203" spans="2:35" ht="12.75" customHeight="1">
      <c r="B203" s="123"/>
      <c r="C203" s="123"/>
      <c r="D203" s="123"/>
      <c r="E203" s="123"/>
      <c r="F203" s="123"/>
      <c r="G203" s="121"/>
      <c r="H203" s="176"/>
      <c r="I203" s="123"/>
      <c r="J203" s="144"/>
      <c r="K203" s="144"/>
      <c r="L203" s="144"/>
      <c r="M203" s="144"/>
      <c r="O203" s="126"/>
      <c r="P203" s="126"/>
      <c r="Q203" s="126"/>
      <c r="R203" s="126"/>
      <c r="S203" s="126"/>
      <c r="T203" s="126"/>
      <c r="U203" s="126"/>
      <c r="V203" s="126"/>
      <c r="W203" s="126"/>
      <c r="X203" s="126"/>
      <c r="Y203" s="126"/>
      <c r="Z203" s="126"/>
      <c r="AA203" s="126"/>
      <c r="AB203" s="126"/>
      <c r="AC203" s="126"/>
      <c r="AD203" s="126"/>
      <c r="AE203" s="126"/>
      <c r="AF203" s="126"/>
      <c r="AG203" s="126"/>
      <c r="AH203" s="126"/>
      <c r="AI203" s="126"/>
    </row>
    <row r="204" spans="2:35" ht="12.75" customHeight="1">
      <c r="B204" s="155" t="str">
        <f>IF(DS_FHFC_Source_2_Name="","",MAX(B$189:B203)+1)</f>
        <v/>
      </c>
      <c r="C204" s="123" t="str">
        <f>IF(DS_FHFC_Source_2_Name="","",DS_FHFC_Source_2_Name)&amp;" Financing"</f>
        <v xml:space="preserve"> Financing</v>
      </c>
      <c r="D204" s="123"/>
      <c r="E204" s="123"/>
      <c r="F204" s="123"/>
      <c r="G204" s="121" t="s">
        <v>1270</v>
      </c>
      <c r="H204" s="1216" t="str">
        <f>IF(DS_FHFC_Source_2_Name="","",MIN(N(DS_FHFC_Source_2_Amt),N(DS_FHFC_Source_2_Max_Amt)))</f>
        <v/>
      </c>
      <c r="I204" s="123"/>
      <c r="J204" s="144"/>
      <c r="K204" s="3602" t="str">
        <f>DS_FHFC_Source_2_Label</f>
        <v>Enter request on Funding Tab</v>
      </c>
      <c r="L204" s="3602"/>
      <c r="M204" s="3602"/>
      <c r="N204" s="3602"/>
      <c r="O204" s="126"/>
      <c r="P204" s="126"/>
      <c r="Q204" s="151">
        <f>IF(N(K$38)=0,0,N(H204)/K$38)</f>
        <v>0</v>
      </c>
      <c r="R204" s="1157"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6"/>
      <c r="T204" s="126"/>
      <c r="U204" s="126"/>
      <c r="V204" s="126"/>
      <c r="W204" s="126"/>
      <c r="X204" s="126"/>
      <c r="Y204" s="126"/>
      <c r="Z204" s="126"/>
      <c r="AA204" s="126"/>
      <c r="AB204" s="126"/>
      <c r="AC204" s="126"/>
      <c r="AD204" s="126"/>
      <c r="AE204" s="126"/>
      <c r="AF204" s="126"/>
      <c r="AG204" s="126"/>
      <c r="AH204" s="126"/>
      <c r="AI204" s="126"/>
    </row>
    <row r="205" spans="2:35" ht="12.75" customHeight="1">
      <c r="B205" s="123"/>
      <c r="C205" s="123"/>
      <c r="D205" s="123"/>
      <c r="E205" s="123"/>
      <c r="F205" s="123"/>
      <c r="G205" s="121"/>
      <c r="H205" s="176"/>
      <c r="I205" s="123"/>
      <c r="J205" s="144"/>
      <c r="K205" s="144"/>
      <c r="L205" s="144"/>
      <c r="M205" s="144"/>
      <c r="O205" s="126"/>
      <c r="P205" s="126"/>
      <c r="Q205" s="126"/>
      <c r="S205" s="126"/>
      <c r="T205" s="126"/>
      <c r="U205" s="126"/>
      <c r="V205" s="126"/>
      <c r="W205" s="126"/>
      <c r="X205" s="126"/>
      <c r="Y205" s="126"/>
      <c r="Z205" s="126"/>
      <c r="AA205" s="126"/>
      <c r="AB205" s="126"/>
      <c r="AC205" s="126"/>
      <c r="AD205" s="126"/>
      <c r="AE205" s="126"/>
      <c r="AF205" s="126"/>
      <c r="AG205" s="126"/>
      <c r="AH205" s="126"/>
      <c r="AI205" s="126"/>
    </row>
    <row r="206" spans="2:35" ht="12.75" customHeight="1">
      <c r="B206" s="155" t="str">
        <f>IF(DS_FHFC_Source_3_Name="","",MAX(B$189:B205)+1)</f>
        <v/>
      </c>
      <c r="C206" s="123" t="str">
        <f>IF(DS_FHFC_Source_3_Name="","",DS_FHFC_Source_3_Name)&amp;" Financing"</f>
        <v xml:space="preserve"> Financing</v>
      </c>
      <c r="D206" s="123"/>
      <c r="E206" s="123"/>
      <c r="F206" s="123"/>
      <c r="G206" s="121" t="s">
        <v>1270</v>
      </c>
      <c r="H206" s="1216" t="str">
        <f>IF(DS_FHFC_Source_3_Name="","",MIN(N(DS_FHFC_Source_3_Amt),N(DS_FHFC_Source_3_Max_Amt)))</f>
        <v/>
      </c>
      <c r="I206" s="123"/>
      <c r="J206" s="144"/>
      <c r="K206" s="3602" t="str">
        <f>DS_FHFC_Source_3_Label</f>
        <v>Enter request on Funding Tab</v>
      </c>
      <c r="L206" s="3602"/>
      <c r="M206" s="3602"/>
      <c r="N206" s="3602"/>
      <c r="O206" s="126"/>
      <c r="P206" s="126"/>
      <c r="Q206" s="151">
        <f>IF(N(K$38)=0,0,N(H206)/K$38)</f>
        <v>0</v>
      </c>
      <c r="R206" s="126"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6"/>
      <c r="T206" s="126"/>
      <c r="U206" s="126"/>
      <c r="V206" s="126"/>
      <c r="W206" s="126"/>
      <c r="X206" s="126"/>
      <c r="Y206" s="126"/>
      <c r="Z206" s="126"/>
      <c r="AA206" s="126"/>
      <c r="AB206" s="126"/>
      <c r="AC206" s="126"/>
      <c r="AD206" s="126"/>
      <c r="AE206" s="126"/>
      <c r="AF206" s="126"/>
      <c r="AG206" s="126"/>
      <c r="AH206" s="126"/>
      <c r="AI206" s="126"/>
    </row>
    <row r="207" spans="2:35" ht="12.75" customHeight="1">
      <c r="B207" s="123"/>
      <c r="C207" s="123"/>
      <c r="D207" s="123"/>
      <c r="E207" s="123"/>
      <c r="F207" s="123"/>
      <c r="G207" s="121"/>
      <c r="H207" s="176"/>
      <c r="I207" s="123"/>
      <c r="J207" s="144"/>
      <c r="K207" s="144"/>
      <c r="L207" s="144"/>
      <c r="M207" s="144"/>
      <c r="O207" s="126"/>
      <c r="P207" s="126"/>
      <c r="Q207" s="126"/>
      <c r="S207" s="126"/>
      <c r="T207" s="126"/>
      <c r="U207" s="126"/>
      <c r="V207" s="126"/>
      <c r="W207" s="126"/>
      <c r="X207" s="126"/>
      <c r="Y207" s="126"/>
      <c r="Z207" s="126"/>
      <c r="AA207" s="126"/>
      <c r="AB207" s="126"/>
      <c r="AC207" s="126"/>
      <c r="AD207" s="126"/>
      <c r="AE207" s="126"/>
      <c r="AF207" s="126"/>
      <c r="AG207" s="126"/>
      <c r="AH207" s="126"/>
      <c r="AI207" s="126"/>
    </row>
    <row r="208" spans="2:35" ht="12.75" customHeight="1">
      <c r="B208" s="155" t="str">
        <f>IF(DS_FHFC_Source_4_Name="","",MAX(B$189:B207)+1)</f>
        <v/>
      </c>
      <c r="C208" s="123" t="str">
        <f>IF(DS_FHFC_Source_4_Name="","",DS_FHFC_Source_4_Name)&amp;" Financing"</f>
        <v xml:space="preserve"> Financing</v>
      </c>
      <c r="D208" s="123"/>
      <c r="E208" s="123"/>
      <c r="F208" s="123"/>
      <c r="G208" s="121" t="s">
        <v>1270</v>
      </c>
      <c r="H208" s="1216" t="str">
        <f>IF(DS_FHFC_Source_4_Name="","",MIN(N(DS_FHFC_Source_4_Amt),N(DS_FHFC_Source_4_Max_Amt)))</f>
        <v/>
      </c>
      <c r="I208" s="123"/>
      <c r="J208" s="144"/>
      <c r="K208" s="3602" t="str">
        <f>DS_FHFC_Source_4_Label</f>
        <v>Enter request on Funding Tab</v>
      </c>
      <c r="L208" s="3602"/>
      <c r="M208" s="3602"/>
      <c r="N208" s="3602"/>
      <c r="O208" s="126"/>
      <c r="P208" s="126"/>
      <c r="Q208" s="151">
        <f>IF(N(K$38)=0,0,N(H208)/K$38)</f>
        <v>0</v>
      </c>
      <c r="R208" s="126"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6"/>
      <c r="T208" s="126"/>
      <c r="U208" s="126"/>
      <c r="V208" s="126"/>
      <c r="W208" s="126"/>
      <c r="X208" s="126"/>
      <c r="Y208" s="126"/>
      <c r="Z208" s="126"/>
      <c r="AA208" s="126"/>
      <c r="AB208" s="126"/>
      <c r="AC208" s="126"/>
      <c r="AD208" s="126"/>
      <c r="AE208" s="126"/>
      <c r="AF208" s="126"/>
      <c r="AG208" s="126"/>
      <c r="AH208" s="126"/>
      <c r="AI208" s="126"/>
    </row>
    <row r="209" spans="2:35" ht="12.75" customHeight="1">
      <c r="B209" s="123"/>
      <c r="C209" s="123"/>
      <c r="D209" s="123"/>
      <c r="E209" s="123"/>
      <c r="F209" s="123"/>
      <c r="G209" s="121"/>
      <c r="H209" s="176"/>
      <c r="I209" s="123"/>
      <c r="J209" s="144"/>
      <c r="K209" s="144"/>
      <c r="L209" s="144"/>
      <c r="M209" s="144"/>
      <c r="O209" s="126"/>
      <c r="P209" s="126"/>
      <c r="Q209" s="126"/>
      <c r="R209" s="126"/>
      <c r="S209" s="126"/>
      <c r="T209" s="126"/>
      <c r="U209" s="126"/>
      <c r="V209" s="126"/>
      <c r="W209" s="126"/>
      <c r="X209" s="126"/>
      <c r="Y209" s="126"/>
      <c r="Z209" s="126"/>
      <c r="AA209" s="126"/>
      <c r="AB209" s="126"/>
      <c r="AC209" s="126"/>
      <c r="AD209" s="126"/>
      <c r="AE209" s="126"/>
      <c r="AF209" s="126"/>
      <c r="AG209" s="126"/>
      <c r="AH209" s="126"/>
      <c r="AI209" s="126"/>
    </row>
    <row r="210" spans="2:35">
      <c r="B210" s="155">
        <f>IF($E$41=3,MAX(B$189:B209)+1,"")</f>
        <v>7</v>
      </c>
      <c r="C210" s="123" t="s">
        <v>1345</v>
      </c>
      <c r="D210" s="123"/>
      <c r="E210" s="123"/>
      <c r="F210" s="123"/>
      <c r="G210" s="123"/>
      <c r="H210" s="176"/>
      <c r="I210" s="123"/>
      <c r="J210" s="144"/>
      <c r="K210" s="144"/>
      <c r="L210" s="144"/>
      <c r="M210" s="123"/>
      <c r="O210" s="126"/>
      <c r="P210" s="126"/>
      <c r="Q210" s="126"/>
      <c r="R210" s="126"/>
      <c r="S210" s="126"/>
      <c r="T210" s="126"/>
      <c r="U210" s="126"/>
      <c r="V210" s="126"/>
      <c r="W210" s="126"/>
      <c r="X210" s="126"/>
      <c r="Y210" s="126"/>
      <c r="Z210" s="126"/>
      <c r="AA210" s="126"/>
      <c r="AB210" s="126"/>
      <c r="AC210" s="126"/>
      <c r="AD210" s="126"/>
      <c r="AE210" s="126"/>
      <c r="AF210" s="126"/>
      <c r="AG210" s="126"/>
      <c r="AH210" s="126"/>
      <c r="AI210" s="126"/>
    </row>
    <row r="211" spans="2:35">
      <c r="B211" s="123"/>
      <c r="C211" s="123" t="s">
        <v>1346</v>
      </c>
      <c r="D211" s="123"/>
      <c r="E211" s="123"/>
      <c r="F211" s="123"/>
      <c r="G211" s="123"/>
      <c r="H211" s="176"/>
      <c r="I211" s="123"/>
      <c r="J211" s="144"/>
      <c r="K211" s="144"/>
      <c r="L211" s="144"/>
      <c r="M211" s="123"/>
      <c r="O211" s="126"/>
      <c r="P211" s="126"/>
      <c r="Q211" s="126"/>
      <c r="R211" s="126"/>
      <c r="S211" s="126"/>
      <c r="T211" s="126"/>
      <c r="U211" s="126"/>
      <c r="V211" s="126"/>
      <c r="W211" s="126"/>
      <c r="X211" s="126"/>
      <c r="Y211" s="126"/>
      <c r="Z211" s="126"/>
      <c r="AA211" s="126"/>
      <c r="AB211" s="126"/>
      <c r="AC211" s="126"/>
      <c r="AD211" s="126"/>
      <c r="AE211" s="126"/>
      <c r="AF211" s="126"/>
      <c r="AG211" s="126"/>
      <c r="AH211" s="126"/>
      <c r="AI211" s="126"/>
    </row>
    <row r="212" spans="2:35">
      <c r="B212" s="123"/>
      <c r="C212" s="123" t="s">
        <v>1347</v>
      </c>
      <c r="D212" s="123"/>
      <c r="E212" s="123"/>
      <c r="F212" s="123"/>
      <c r="G212" s="123"/>
      <c r="H212" s="148"/>
      <c r="I212" s="123"/>
      <c r="J212" s="123"/>
      <c r="K212" s="123"/>
      <c r="L212" s="123"/>
      <c r="M212" s="123"/>
      <c r="O212" s="132"/>
      <c r="P212" s="132"/>
      <c r="S212" s="126"/>
      <c r="T212" s="126"/>
      <c r="U212" s="126"/>
      <c r="V212" s="126"/>
      <c r="W212" s="126"/>
      <c r="X212" s="126"/>
      <c r="Y212" s="126"/>
      <c r="Z212" s="126"/>
      <c r="AA212" s="126"/>
      <c r="AB212" s="126"/>
      <c r="AC212" s="126"/>
      <c r="AD212" s="126"/>
      <c r="AE212" s="126"/>
      <c r="AF212" s="126"/>
      <c r="AG212" s="126"/>
      <c r="AH212" s="126"/>
      <c r="AI212" s="126"/>
    </row>
    <row r="213" spans="2:35">
      <c r="B213" s="123"/>
      <c r="C213" s="123" t="str">
        <f>IF(E41=3,"of Occupancy or in the case of","This section intentionally left blank.")</f>
        <v>of Occupancy or in the case of</v>
      </c>
      <c r="D213" s="123"/>
      <c r="E213" s="123"/>
      <c r="F213" s="123"/>
      <c r="G213" s="121"/>
      <c r="H213" s="156"/>
      <c r="I213" s="123"/>
      <c r="J213" s="122"/>
      <c r="K213" s="159"/>
      <c r="L213" s="158"/>
      <c r="M213" s="123"/>
      <c r="O213" s="132"/>
      <c r="P213" s="132"/>
      <c r="S213" s="126"/>
      <c r="T213" s="126"/>
      <c r="U213" s="126"/>
      <c r="V213" s="126"/>
      <c r="W213" s="126"/>
      <c r="X213" s="126"/>
      <c r="Y213" s="126"/>
      <c r="Z213" s="126"/>
      <c r="AA213" s="126"/>
      <c r="AB213" s="126"/>
      <c r="AC213" s="126"/>
      <c r="AD213" s="126"/>
      <c r="AE213" s="126"/>
      <c r="AF213" s="126"/>
      <c r="AG213" s="126"/>
      <c r="AH213" s="126"/>
      <c r="AI213" s="126"/>
    </row>
    <row r="214" spans="2:35">
      <c r="B214" s="123"/>
      <c r="C214" s="123" t="s">
        <v>1348</v>
      </c>
      <c r="D214" s="123"/>
      <c r="E214" s="123"/>
      <c r="F214" s="123"/>
      <c r="G214" s="121"/>
      <c r="H214" s="156"/>
      <c r="I214" s="123"/>
      <c r="J214" s="122"/>
      <c r="K214" s="159"/>
      <c r="L214" s="158"/>
      <c r="M214" s="123"/>
      <c r="O214" s="132"/>
      <c r="P214" s="132"/>
      <c r="S214" s="126"/>
      <c r="T214" s="126"/>
      <c r="U214" s="126"/>
      <c r="V214" s="126"/>
      <c r="W214" s="126"/>
      <c r="X214" s="126"/>
      <c r="Y214" s="126"/>
      <c r="Z214" s="126"/>
      <c r="AA214" s="126"/>
      <c r="AB214" s="126"/>
      <c r="AC214" s="126"/>
      <c r="AD214" s="126"/>
      <c r="AE214" s="126"/>
      <c r="AF214" s="126"/>
      <c r="AG214" s="126"/>
      <c r="AH214" s="126"/>
      <c r="AI214" s="126"/>
    </row>
    <row r="215" spans="2:35">
      <c r="B215" s="123"/>
      <c r="C215" s="123" t="s">
        <v>1349</v>
      </c>
      <c r="D215" s="123"/>
      <c r="E215" s="123"/>
      <c r="F215" s="123"/>
      <c r="G215" s="121"/>
      <c r="H215" s="156"/>
      <c r="I215" s="123"/>
      <c r="J215" s="122"/>
      <c r="K215" s="159"/>
      <c r="L215" s="158"/>
      <c r="M215" s="123"/>
      <c r="O215" s="132"/>
      <c r="P215" s="132"/>
      <c r="S215" s="126"/>
      <c r="T215" s="126"/>
      <c r="U215" s="126"/>
      <c r="V215" s="126"/>
      <c r="W215" s="126"/>
      <c r="X215" s="126"/>
      <c r="Y215" s="126"/>
      <c r="Z215" s="126"/>
      <c r="AA215" s="126"/>
      <c r="AB215" s="126"/>
      <c r="AC215" s="126"/>
      <c r="AD215" s="126"/>
      <c r="AE215" s="126"/>
      <c r="AF215" s="126"/>
      <c r="AG215" s="126"/>
      <c r="AH215" s="126"/>
      <c r="AI215" s="126"/>
    </row>
    <row r="216" spans="2:35">
      <c r="B216" s="123"/>
      <c r="C216" s="123" t="s">
        <v>1350</v>
      </c>
      <c r="D216" s="123"/>
      <c r="E216" s="123"/>
      <c r="F216" s="123"/>
      <c r="G216" s="121" t="s">
        <v>1270</v>
      </c>
      <c r="H216" s="154"/>
      <c r="I216" s="123"/>
      <c r="J216" s="122"/>
      <c r="K216" s="3621" t="s">
        <v>3300</v>
      </c>
      <c r="L216" s="3621"/>
      <c r="M216" s="3621"/>
      <c r="N216" s="3621"/>
      <c r="O216" s="132"/>
      <c r="P216" s="1523" t="str">
        <f>IF(AND(OR(Competitive_HC_Request_Amount&gt;0,Non_Competitive_HC_Request_Amount&gt;0),ConstrAnalysis_HC=0),"**","")</f>
        <v/>
      </c>
      <c r="Q216" s="151">
        <f>IF(N(K$38)=0,0,N(H216)/K$38)</f>
        <v>0</v>
      </c>
      <c r="R216" s="3634" t="s">
        <v>1351</v>
      </c>
      <c r="S216" s="3634"/>
      <c r="T216" s="3634"/>
      <c r="U216" s="3634"/>
      <c r="V216" s="3634"/>
      <c r="W216" s="3634"/>
      <c r="X216" s="126"/>
      <c r="Y216" s="126"/>
      <c r="Z216" s="126"/>
      <c r="AA216" s="126"/>
      <c r="AB216" s="126"/>
      <c r="AC216" s="126"/>
      <c r="AD216" s="126"/>
      <c r="AE216" s="126"/>
      <c r="AF216" s="126"/>
      <c r="AG216" s="126"/>
      <c r="AH216" s="126"/>
      <c r="AI216" s="126"/>
    </row>
    <row r="217" spans="2:35">
      <c r="B217" s="123"/>
      <c r="C217" s="123"/>
      <c r="D217" s="123"/>
      <c r="E217" s="123"/>
      <c r="F217" s="123"/>
      <c r="G217" s="123"/>
      <c r="H217" s="156"/>
      <c r="I217" s="123"/>
      <c r="J217" s="122"/>
      <c r="K217" s="159"/>
      <c r="L217" s="158"/>
      <c r="M217" s="123"/>
      <c r="O217" s="132"/>
      <c r="P217" s="132"/>
      <c r="R217" s="3635"/>
      <c r="S217" s="3635"/>
      <c r="T217" s="3635"/>
      <c r="U217" s="3635"/>
      <c r="V217" s="3635"/>
      <c r="W217" s="3635"/>
      <c r="X217" s="126"/>
      <c r="Y217" s="126"/>
      <c r="Z217" s="126"/>
      <c r="AA217" s="126"/>
      <c r="AB217" s="126"/>
      <c r="AC217" s="126"/>
      <c r="AD217" s="126"/>
      <c r="AE217" s="126"/>
      <c r="AF217" s="126"/>
      <c r="AG217" s="126"/>
      <c r="AH217" s="126"/>
      <c r="AI217" s="126"/>
    </row>
    <row r="218" spans="2:35">
      <c r="B218" s="155">
        <f>MAX(B$189:B217)+1</f>
        <v>8</v>
      </c>
      <c r="C218" s="160" t="s">
        <v>1329</v>
      </c>
      <c r="D218" s="123"/>
      <c r="E218" s="3625"/>
      <c r="F218" s="3625"/>
      <c r="G218" s="121" t="s">
        <v>1270</v>
      </c>
      <c r="H218" s="154"/>
      <c r="I218" s="123"/>
      <c r="J218" s="122"/>
      <c r="K218" s="3601" t="s">
        <v>638</v>
      </c>
      <c r="L218" s="3601"/>
      <c r="M218" s="3601"/>
      <c r="N218" s="3601"/>
      <c r="O218" s="132"/>
      <c r="P218" s="132"/>
      <c r="Q218" s="151">
        <f>IF(N(K$38)=0,0,N(H218)/K$38)</f>
        <v>0</v>
      </c>
      <c r="R218" s="126"/>
      <c r="S218" s="126"/>
      <c r="T218" s="126"/>
      <c r="U218" s="126"/>
      <c r="V218" s="126"/>
      <c r="W218" s="126"/>
      <c r="X218" s="126"/>
      <c r="Y218" s="126"/>
      <c r="Z218" s="126"/>
      <c r="AA218" s="126"/>
      <c r="AB218" s="126"/>
      <c r="AC218" s="126"/>
      <c r="AD218" s="126"/>
      <c r="AE218" s="126"/>
      <c r="AF218" s="126"/>
      <c r="AG218" s="126"/>
      <c r="AH218" s="126"/>
      <c r="AI218" s="126"/>
    </row>
    <row r="219" spans="2:35" ht="12.75" customHeight="1">
      <c r="H219" s="149"/>
      <c r="J219" s="122"/>
      <c r="K219" s="159"/>
      <c r="L219" s="158"/>
      <c r="M219" s="123"/>
      <c r="O219" s="132"/>
      <c r="P219" s="132"/>
      <c r="R219" s="126"/>
      <c r="S219" s="126"/>
      <c r="T219" s="126"/>
      <c r="U219" s="126"/>
      <c r="V219" s="126"/>
      <c r="W219" s="126"/>
      <c r="X219" s="126"/>
      <c r="Y219" s="126"/>
      <c r="Z219" s="126"/>
      <c r="AA219" s="126"/>
      <c r="AB219" s="126"/>
      <c r="AC219" s="126"/>
      <c r="AD219" s="126"/>
      <c r="AE219" s="126"/>
      <c r="AF219" s="126"/>
      <c r="AG219" s="126"/>
      <c r="AH219" s="126"/>
      <c r="AI219" s="126"/>
    </row>
    <row r="220" spans="2:35">
      <c r="B220" s="155">
        <f>MAX(B$189:B219)+1</f>
        <v>9</v>
      </c>
      <c r="C220" s="123" t="s">
        <v>1329</v>
      </c>
      <c r="D220" s="123"/>
      <c r="E220" s="3625"/>
      <c r="F220" s="3625"/>
      <c r="G220" s="121" t="s">
        <v>1270</v>
      </c>
      <c r="H220" s="154"/>
      <c r="I220" s="123"/>
      <c r="J220" s="122"/>
      <c r="K220" s="3601" t="s">
        <v>638</v>
      </c>
      <c r="L220" s="3601"/>
      <c r="M220" s="3601"/>
      <c r="N220" s="3601"/>
      <c r="O220" s="132"/>
      <c r="P220" s="132"/>
      <c r="Q220" s="151">
        <f>IF(N(K$38)=0,0,N(H220)/K$38)</f>
        <v>0</v>
      </c>
      <c r="S220" s="126"/>
      <c r="T220" s="126"/>
      <c r="U220" s="126"/>
      <c r="V220" s="126"/>
      <c r="W220" s="126"/>
      <c r="X220" s="126"/>
      <c r="Y220" s="126"/>
      <c r="Z220" s="126"/>
      <c r="AA220" s="126"/>
      <c r="AB220" s="126"/>
      <c r="AC220" s="126"/>
      <c r="AD220" s="126"/>
      <c r="AE220" s="126"/>
      <c r="AF220" s="126"/>
      <c r="AG220" s="126"/>
      <c r="AH220" s="126"/>
      <c r="AI220" s="126"/>
    </row>
    <row r="221" spans="2:35" ht="12.75" customHeight="1">
      <c r="B221" s="150"/>
      <c r="C221" s="123"/>
      <c r="D221" s="123"/>
      <c r="E221" s="157"/>
      <c r="F221" s="157"/>
      <c r="G221" s="121"/>
      <c r="H221" s="162"/>
      <c r="I221" s="123"/>
      <c r="J221" s="122"/>
      <c r="K221" s="159"/>
      <c r="L221" s="158"/>
      <c r="M221" s="123"/>
      <c r="O221" s="132"/>
      <c r="P221" s="132"/>
      <c r="S221" s="126"/>
      <c r="T221" s="126"/>
      <c r="U221" s="126"/>
      <c r="V221" s="126"/>
      <c r="W221" s="126"/>
      <c r="X221" s="126"/>
      <c r="Y221" s="126"/>
      <c r="Z221" s="126"/>
      <c r="AA221" s="126"/>
      <c r="AB221" s="126"/>
      <c r="AC221" s="126"/>
      <c r="AD221" s="126"/>
      <c r="AE221" s="126"/>
      <c r="AF221" s="126"/>
      <c r="AG221" s="126"/>
      <c r="AH221" s="126"/>
      <c r="AI221" s="126"/>
    </row>
    <row r="222" spans="2:35" ht="12.75" customHeight="1">
      <c r="B222" s="155">
        <f>MAX(B$189:B221)+1</f>
        <v>10</v>
      </c>
      <c r="C222" s="123" t="s">
        <v>1352</v>
      </c>
      <c r="D222" s="123"/>
      <c r="E222" s="123"/>
      <c r="F222" s="123"/>
      <c r="G222" s="121" t="s">
        <v>1270</v>
      </c>
      <c r="H222" s="1524" t="str">
        <f>IFERROR(MAX(MIN(H186-IF(E41=3,SUM(H190:H220),SUM(H190:H208,H218:H220)),N(Developer_fee_total)),0),"")</f>
        <v/>
      </c>
      <c r="I222" s="123"/>
      <c r="J222" s="1238" t="s">
        <v>1270</v>
      </c>
      <c r="K222" s="1525">
        <f>N(Developer_fee_total)-N(ConstrAnalysis_deferredfee)</f>
        <v>0</v>
      </c>
      <c r="L222" s="3612" t="s">
        <v>1914</v>
      </c>
      <c r="M222" s="3612"/>
      <c r="N222" s="3612"/>
      <c r="O222" s="132"/>
      <c r="P222" s="132"/>
      <c r="Q222" s="151">
        <f>IF(N(K$38)=0,0,N(H222)/K$38)</f>
        <v>0</v>
      </c>
      <c r="R222" s="3626" t="s">
        <v>1898</v>
      </c>
      <c r="S222" s="3626"/>
      <c r="T222" s="3626"/>
      <c r="U222" s="3626"/>
      <c r="V222" s="3626"/>
      <c r="W222" s="3626"/>
      <c r="X222" s="126"/>
      <c r="Y222" s="126"/>
      <c r="Z222" s="126"/>
      <c r="AA222" s="126"/>
      <c r="AB222" s="126"/>
      <c r="AC222" s="126"/>
      <c r="AD222" s="126"/>
      <c r="AE222" s="126"/>
      <c r="AF222" s="126"/>
      <c r="AG222" s="126"/>
      <c r="AH222" s="126"/>
      <c r="AI222" s="126"/>
    </row>
    <row r="223" spans="2:35">
      <c r="H223" s="149"/>
      <c r="J223" s="1236"/>
      <c r="K223" s="1237"/>
      <c r="L223" s="3612"/>
      <c r="M223" s="3612"/>
      <c r="N223" s="3612"/>
      <c r="O223" s="132"/>
      <c r="P223" s="132"/>
      <c r="S223" s="126"/>
      <c r="T223" s="126"/>
      <c r="U223" s="126"/>
      <c r="V223" s="126"/>
      <c r="W223" s="126"/>
      <c r="X223" s="126"/>
      <c r="Y223" s="126"/>
      <c r="Z223" s="126"/>
      <c r="AA223" s="126"/>
      <c r="AB223" s="126"/>
      <c r="AC223" s="126"/>
      <c r="AD223" s="126"/>
      <c r="AE223" s="126"/>
      <c r="AF223" s="126"/>
      <c r="AG223" s="126"/>
      <c r="AH223" s="126"/>
      <c r="AI223" s="126"/>
    </row>
    <row r="224" spans="2:35" ht="13.5" thickBot="1">
      <c r="B224" s="152">
        <f>MAX(B$189:B223)+1</f>
        <v>11</v>
      </c>
      <c r="C224" s="129" t="s">
        <v>1353</v>
      </c>
      <c r="D224" s="123"/>
      <c r="E224" s="123"/>
      <c r="F224" s="123"/>
      <c r="G224" s="121" t="s">
        <v>1270</v>
      </c>
      <c r="H224" s="145" t="str">
        <f>IF(SUM(H189:H223)&lt;1,"",IF(E41=3,SUM(H189:H223),SUM(H189:H208,H218:H222)))</f>
        <v/>
      </c>
      <c r="J224" s="123"/>
      <c r="K224" s="144"/>
      <c r="L224" s="123"/>
      <c r="M224" s="123"/>
      <c r="O224" s="132"/>
      <c r="P224" s="132"/>
      <c r="Q224" s="151">
        <f>IF(N(K$38)=0,0,N(H224)/K$38)</f>
        <v>0</v>
      </c>
      <c r="S224" s="126"/>
      <c r="T224" s="126"/>
      <c r="U224" s="126"/>
      <c r="V224" s="126"/>
      <c r="W224" s="126"/>
      <c r="X224" s="126"/>
      <c r="Y224" s="126"/>
      <c r="Z224" s="126"/>
      <c r="AA224" s="126"/>
      <c r="AB224" s="126"/>
      <c r="AC224" s="126"/>
      <c r="AD224" s="126"/>
      <c r="AE224" s="126"/>
      <c r="AF224" s="126"/>
      <c r="AG224" s="126"/>
      <c r="AH224" s="126"/>
      <c r="AI224" s="126"/>
    </row>
    <row r="225" spans="1:27" ht="13" thickTop="1">
      <c r="H225" s="149"/>
      <c r="L225" s="123"/>
      <c r="M225" s="123"/>
      <c r="O225" s="132"/>
      <c r="P225" s="132"/>
    </row>
    <row r="226" spans="1:27" ht="13">
      <c r="B226" s="146" t="s">
        <v>1298</v>
      </c>
      <c r="C226" s="129" t="s">
        <v>1354</v>
      </c>
      <c r="D226" s="129"/>
      <c r="E226" s="129"/>
      <c r="F226" s="129"/>
      <c r="G226" s="123"/>
      <c r="H226" s="148"/>
      <c r="I226" s="123"/>
      <c r="J226" s="144"/>
      <c r="P226" s="132"/>
    </row>
    <row r="227" spans="1:27" ht="13">
      <c r="B227" s="146"/>
      <c r="C227" s="129"/>
      <c r="D227" s="147" t="str">
        <f>"(B."&amp;TEXT(B224,"0")&amp;". "&amp;C224&amp;", "</f>
        <v xml:space="preserve">(B.11. Total Construction Sources, </v>
      </c>
      <c r="E227" s="129"/>
      <c r="F227" s="129"/>
      <c r="G227" s="123"/>
      <c r="H227" s="148"/>
      <c r="I227" s="123"/>
      <c r="J227" s="144"/>
      <c r="P227" s="134" t="str">
        <f>IF(N(H228)&lt;0,"**","")</f>
        <v/>
      </c>
    </row>
    <row r="228" spans="1:27" ht="13.5" thickBot="1">
      <c r="B228" s="129"/>
      <c r="D228" s="147" t="str">
        <f>" less "&amp;B186&amp;" "&amp;C186&amp;"):"</f>
        <v xml:space="preserve"> less A. Total Development Costs):</v>
      </c>
      <c r="E228" s="129"/>
      <c r="F228" s="129"/>
      <c r="G228" s="146" t="s">
        <v>1270</v>
      </c>
      <c r="H228" s="145" t="str">
        <f>IF(AND(N(H224)=0,N(H186)=0),"",N(H224)-N(H186))</f>
        <v/>
      </c>
      <c r="I228" s="123"/>
      <c r="J228" s="144" t="s">
        <v>1355</v>
      </c>
      <c r="K228" s="123"/>
      <c r="L228" s="123"/>
      <c r="M228" s="123"/>
      <c r="O228" s="132"/>
      <c r="P228" s="132"/>
      <c r="Q228" s="116"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9"/>
      <c r="D229" s="147"/>
      <c r="E229" s="129"/>
      <c r="F229" s="129"/>
      <c r="G229" s="146"/>
      <c r="H229" s="161"/>
      <c r="I229" s="123"/>
      <c r="J229" s="144"/>
      <c r="K229" s="123"/>
      <c r="L229" s="123"/>
      <c r="M229" s="123"/>
      <c r="O229" s="132"/>
      <c r="P229" s="132"/>
    </row>
    <row r="230" spans="1:27" ht="13.5" customHeight="1" thickBot="1">
      <c r="B230" s="129"/>
      <c r="D230" s="147"/>
      <c r="E230" s="129"/>
      <c r="F230" s="129"/>
      <c r="G230" s="146"/>
      <c r="H230" s="161"/>
      <c r="I230" s="123"/>
      <c r="L230" s="121" t="s">
        <v>1356</v>
      </c>
      <c r="M230" s="3696" t="str">
        <f>IF(ConstrAnalysis_surplus="","",IF(ConstrAnalysis_surplus&gt;=0,"Yes","No"))</f>
        <v/>
      </c>
      <c r="N230" s="3696"/>
      <c r="O230" s="132"/>
      <c r="P230" s="132"/>
    </row>
    <row r="231" spans="1:27" ht="8.25" customHeight="1">
      <c r="O231" s="132"/>
      <c r="P231" s="132"/>
    </row>
    <row r="232" spans="1:27" ht="13.5" thickBot="1">
      <c r="B232" s="129" t="s">
        <v>1357</v>
      </c>
      <c r="D232" s="123"/>
      <c r="E232" s="123"/>
      <c r="F232" s="123"/>
      <c r="G232" s="123"/>
      <c r="H232" s="123"/>
      <c r="I232" s="123"/>
      <c r="J232" s="123"/>
      <c r="K232" s="123"/>
      <c r="L232" s="123"/>
      <c r="M232" s="123"/>
      <c r="O232" s="132"/>
      <c r="P232" s="132"/>
    </row>
    <row r="233" spans="1:27" ht="3.75" customHeight="1">
      <c r="A233" s="133"/>
      <c r="B233" s="175"/>
      <c r="C233" s="175"/>
      <c r="D233" s="173"/>
      <c r="E233" s="173"/>
      <c r="F233" s="173"/>
      <c r="G233" s="173"/>
      <c r="H233" s="173"/>
      <c r="I233" s="173"/>
      <c r="J233" s="173"/>
      <c r="K233" s="173"/>
      <c r="L233" s="174"/>
      <c r="M233" s="173"/>
      <c r="N233" s="133"/>
      <c r="O233" s="172"/>
      <c r="P233" s="172"/>
      <c r="Q233" s="3671" t="s">
        <v>1331</v>
      </c>
      <c r="R233" s="3672"/>
      <c r="S233" s="3672"/>
      <c r="T233" s="3672"/>
      <c r="U233" s="3672"/>
      <c r="V233" s="3672"/>
      <c r="W233" s="3672"/>
      <c r="X233" s="3672"/>
      <c r="Y233" s="3672"/>
      <c r="Z233" s="3673"/>
    </row>
    <row r="234" spans="1:27" ht="13">
      <c r="B234" s="129" t="str">
        <f>B$2</f>
        <v>RFA 2026-204 DEVELOPMENT COST PRO FORMA</v>
      </c>
      <c r="O234" s="132"/>
      <c r="P234" s="131" t="str">
        <f>IF(OR(AND(Funding!M$310&gt;0,Data3!H$296="No",Minimum_SetAside_per_Sec_42&lt;&gt;"Live Local SAIL only (no HC)"),AND(Minimum_SetAside_per_Sec_42&lt;&gt;"Live Local SAIL only (no HC)",Data3!H$297="Yes")),"(Page 5 of 8)","(Page 5 of 7)")</f>
        <v>(Page 5 of 8)</v>
      </c>
      <c r="Q234" s="3674"/>
      <c r="R234" s="3675"/>
      <c r="S234" s="3675"/>
      <c r="T234" s="3675"/>
      <c r="U234" s="3675"/>
      <c r="V234" s="3675"/>
      <c r="W234" s="3675"/>
      <c r="X234" s="3675"/>
      <c r="Y234" s="3675"/>
      <c r="Z234" s="3676"/>
    </row>
    <row r="235" spans="1:27" ht="13">
      <c r="B235" s="170"/>
      <c r="C235" s="170"/>
      <c r="D235" s="170"/>
      <c r="E235" s="170"/>
      <c r="F235" s="170"/>
      <c r="G235" s="170"/>
      <c r="H235" s="170"/>
      <c r="I235" s="170"/>
      <c r="J235" s="170"/>
      <c r="K235" s="170"/>
      <c r="L235" s="171"/>
      <c r="M235" s="170"/>
      <c r="O235" s="132"/>
      <c r="P235" s="132"/>
      <c r="Q235" s="3674"/>
      <c r="R235" s="3675"/>
      <c r="S235" s="3675"/>
      <c r="T235" s="3675"/>
      <c r="U235" s="3675"/>
      <c r="V235" s="3675"/>
      <c r="W235" s="3675"/>
      <c r="X235" s="3675"/>
      <c r="Y235" s="3675"/>
      <c r="Z235" s="3676"/>
    </row>
    <row r="236" spans="1:27" ht="13.5" thickBot="1">
      <c r="B236" s="170"/>
      <c r="C236" s="170"/>
      <c r="D236" s="170"/>
      <c r="E236" s="170"/>
      <c r="F236" s="170"/>
      <c r="G236" s="170"/>
      <c r="H236" s="170"/>
      <c r="I236" s="170"/>
      <c r="J236" s="170"/>
      <c r="K236" s="170"/>
      <c r="L236" s="171"/>
      <c r="M236" s="170"/>
      <c r="O236" s="132"/>
      <c r="P236" s="132"/>
      <c r="Q236" s="3677"/>
      <c r="R236" s="3678"/>
      <c r="S236" s="3678"/>
      <c r="T236" s="3678"/>
      <c r="U236" s="3678"/>
      <c r="V236" s="3678"/>
      <c r="W236" s="3678"/>
      <c r="X236" s="3678"/>
      <c r="Y236" s="3678"/>
      <c r="Z236" s="3679"/>
    </row>
    <row r="237" spans="1:27" ht="13">
      <c r="B237" s="129" t="s">
        <v>1358</v>
      </c>
      <c r="C237" s="123"/>
      <c r="D237" s="123"/>
      <c r="E237" s="123"/>
      <c r="F237" s="123"/>
      <c r="G237" s="123"/>
      <c r="H237" s="123"/>
      <c r="I237" s="123"/>
      <c r="J237" s="123"/>
      <c r="K237" s="872"/>
      <c r="L237" s="170"/>
      <c r="M237" s="170"/>
      <c r="O237" s="132"/>
      <c r="P237" s="132"/>
    </row>
    <row r="238" spans="1:27" ht="13">
      <c r="B238" s="129"/>
      <c r="C238" s="123"/>
      <c r="D238" s="123"/>
      <c r="E238" s="123"/>
      <c r="F238" s="123"/>
      <c r="G238" s="123"/>
      <c r="H238" s="872" t="s">
        <v>1333</v>
      </c>
      <c r="I238" s="872"/>
      <c r="J238" s="123"/>
      <c r="K238" s="3670" t="s">
        <v>1334</v>
      </c>
      <c r="L238" s="3670"/>
      <c r="M238" s="3670"/>
      <c r="N238" s="3670"/>
      <c r="O238" s="132"/>
      <c r="P238" s="132"/>
      <c r="Q238" s="164"/>
      <c r="T238" s="126"/>
      <c r="U238" s="126"/>
      <c r="V238" s="126"/>
      <c r="W238" s="126"/>
      <c r="X238" s="126"/>
      <c r="Y238" s="126"/>
      <c r="Z238" s="126"/>
    </row>
    <row r="239" spans="1:27">
      <c r="B239" s="123"/>
      <c r="C239" s="123"/>
      <c r="D239" s="123"/>
      <c r="E239" s="123"/>
      <c r="F239" s="123"/>
      <c r="G239" s="123"/>
      <c r="H239" s="123"/>
      <c r="I239" s="123"/>
      <c r="J239" s="123"/>
      <c r="K239" s="123"/>
      <c r="L239" s="123"/>
      <c r="M239" s="123"/>
      <c r="O239" s="132"/>
      <c r="P239" s="132"/>
      <c r="Q239" s="169"/>
    </row>
    <row r="240" spans="1:27" ht="13">
      <c r="B240" s="146" t="s">
        <v>1335</v>
      </c>
      <c r="C240" s="129" t="s">
        <v>1336</v>
      </c>
      <c r="D240" s="123"/>
      <c r="E240" s="123"/>
      <c r="F240" s="123"/>
      <c r="G240" s="146" t="s">
        <v>1270</v>
      </c>
      <c r="H240" s="912" t="str">
        <f>IF(N125="","",N125)</f>
        <v/>
      </c>
      <c r="I240" s="123"/>
      <c r="J240" s="123"/>
      <c r="K240" s="123"/>
      <c r="L240" s="123"/>
      <c r="M240" s="123"/>
      <c r="O240" s="132"/>
      <c r="Q240" s="168"/>
      <c r="AA240" s="124"/>
    </row>
    <row r="241" spans="2:34" ht="13">
      <c r="B241" s="123"/>
      <c r="C241" s="123"/>
      <c r="D241" s="123"/>
      <c r="E241" s="123"/>
      <c r="F241" s="123"/>
      <c r="G241" s="123"/>
      <c r="H241" s="148"/>
      <c r="I241" s="123"/>
      <c r="J241" s="123"/>
      <c r="K241" s="123"/>
      <c r="L241" s="123"/>
      <c r="M241" s="123"/>
      <c r="O241" s="132"/>
      <c r="P241" s="873" t="s">
        <v>1359</v>
      </c>
      <c r="W241" s="214"/>
      <c r="AD241" s="126"/>
      <c r="AE241" s="126"/>
      <c r="AF241" s="126"/>
      <c r="AG241" s="126"/>
      <c r="AH241" s="126"/>
    </row>
    <row r="242" spans="2:34" ht="13">
      <c r="B242" s="146" t="s">
        <v>1296</v>
      </c>
      <c r="C242" s="129" t="s">
        <v>1360</v>
      </c>
      <c r="D242" s="123"/>
      <c r="E242" s="123"/>
      <c r="F242" s="123"/>
      <c r="G242" s="123"/>
      <c r="H242" s="148"/>
      <c r="I242" s="123"/>
      <c r="J242" s="123"/>
      <c r="K242" s="123"/>
      <c r="L242" s="123"/>
      <c r="M242" s="123"/>
      <c r="O242" s="132"/>
      <c r="P242" s="873" t="s">
        <v>1361</v>
      </c>
      <c r="Q242" s="914" t="s">
        <v>1338</v>
      </c>
      <c r="W242" s="416"/>
      <c r="AD242" s="126"/>
      <c r="AE242" s="126"/>
      <c r="AF242" s="126"/>
      <c r="AG242" s="126"/>
      <c r="AH242" s="126"/>
    </row>
    <row r="243" spans="2:34" ht="12.75" customHeight="1">
      <c r="B243" s="123"/>
      <c r="C243" s="123"/>
      <c r="D243" s="123"/>
      <c r="E243" s="123"/>
      <c r="F243" s="123"/>
      <c r="G243" s="121"/>
      <c r="H243" s="161"/>
      <c r="I243" s="123"/>
      <c r="J243" s="123"/>
      <c r="K243" s="123"/>
      <c r="L243" s="123"/>
      <c r="M243" s="123"/>
      <c r="O243" s="132"/>
      <c r="P243" s="358"/>
      <c r="Q243" s="126"/>
      <c r="W243" s="484"/>
      <c r="AD243" s="126"/>
      <c r="AE243" s="126"/>
      <c r="AF243" s="126"/>
      <c r="AG243" s="126"/>
      <c r="AH243" s="126"/>
    </row>
    <row r="244" spans="2:34" ht="12.75" customHeight="1">
      <c r="B244" s="155">
        <f>MAX(B$243:B243)+1</f>
        <v>1</v>
      </c>
      <c r="C244" s="123" t="str">
        <f>C190</f>
        <v>First Mortgage Financing</v>
      </c>
      <c r="D244" s="123"/>
      <c r="E244" s="123"/>
      <c r="F244" s="123"/>
      <c r="G244" s="121" t="s">
        <v>1270</v>
      </c>
      <c r="H244" s="2530" t="str">
        <f>IF(MMRB_Total_Perm_Amt&lt;&gt;"",MMRB_Total_Perm_Amt,"")</f>
        <v/>
      </c>
      <c r="I244" s="123"/>
      <c r="J244" s="123"/>
      <c r="K244" s="3624" t="str">
        <f>IF(N(HFA_Total_Rqst)&gt;0,"Non-Corporation-Issued Tax-Exempt Bond",IF(N(MMRB_Total_Constr_Source)&gt;0,"Corporation-Issued MMRB","TBD"))</f>
        <v>TBD</v>
      </c>
      <c r="L244" s="3624"/>
      <c r="M244" s="3624"/>
      <c r="N244" s="3624"/>
      <c r="O244" s="132"/>
      <c r="P244" s="649" t="s">
        <v>41</v>
      </c>
      <c r="Q244" s="151">
        <f>IF(N(K$38)=0,0,N(H244)/K$38)</f>
        <v>0</v>
      </c>
      <c r="R244" s="126"/>
      <c r="X244" s="510" t="str">
        <f>IF(ISERROR(SEARCH("Deferred Development Costs",PermAnalysis__1st_Type)),PermAnalysis__1st_Mtg,0)</f>
        <v/>
      </c>
      <c r="AD244" s="126"/>
      <c r="AE244" s="126"/>
      <c r="AF244" s="126"/>
      <c r="AG244" s="126"/>
      <c r="AH244" s="126"/>
    </row>
    <row r="245" spans="2:34" ht="12.75" customHeight="1">
      <c r="B245" s="123"/>
      <c r="C245" s="123"/>
      <c r="D245" s="123"/>
      <c r="E245" s="123"/>
      <c r="F245" s="123"/>
      <c r="G245" s="121"/>
      <c r="H245" s="162"/>
      <c r="I245" s="123"/>
      <c r="J245" s="123"/>
      <c r="K245" s="144"/>
      <c r="L245" s="144"/>
      <c r="M245" s="144"/>
      <c r="O245" s="132"/>
      <c r="Q245" s="126"/>
      <c r="R245" s="126"/>
      <c r="X245" s="511"/>
      <c r="AA245" s="166"/>
      <c r="AB245" s="166"/>
      <c r="AD245" s="126"/>
      <c r="AE245" s="126"/>
      <c r="AF245" s="126"/>
      <c r="AG245" s="126"/>
      <c r="AH245" s="126"/>
    </row>
    <row r="246" spans="2:34" ht="13">
      <c r="B246" s="155">
        <f>MAX(B$243:B245)+1</f>
        <v>2</v>
      </c>
      <c r="C246" s="123" t="str">
        <f>C192</f>
        <v>Second Mortgage Financing</v>
      </c>
      <c r="D246" s="123"/>
      <c r="E246" s="123"/>
      <c r="F246" s="123"/>
      <c r="G246" s="121" t="s">
        <v>1270</v>
      </c>
      <c r="H246" s="154"/>
      <c r="I246" s="123"/>
      <c r="J246" s="123"/>
      <c r="K246" s="3601" t="s">
        <v>638</v>
      </c>
      <c r="L246" s="3601"/>
      <c r="M246" s="3601"/>
      <c r="N246" s="3601"/>
      <c r="O246" s="132"/>
      <c r="P246" s="649" t="s">
        <v>41</v>
      </c>
      <c r="Q246" s="151">
        <f>IF(N(K$38)=0,0,N(H246)/K$38)</f>
        <v>0</v>
      </c>
      <c r="R246" s="164"/>
      <c r="X246" s="512">
        <f>IF(ISERROR(SEARCH("Deferred Development Costs",PermAnalysis__2nd_Type)),PermAnalysis__2nd_Mtg,0)</f>
        <v>0</v>
      </c>
      <c r="AA246" s="165"/>
      <c r="AB246" s="165"/>
      <c r="AD246" s="126"/>
      <c r="AE246" s="126"/>
      <c r="AF246" s="126"/>
      <c r="AG246" s="126"/>
      <c r="AH246" s="126"/>
    </row>
    <row r="247" spans="2:34">
      <c r="B247" s="123"/>
      <c r="C247" s="123"/>
      <c r="D247" s="123"/>
      <c r="E247" s="123"/>
      <c r="F247" s="123"/>
      <c r="G247" s="121"/>
      <c r="H247" s="162"/>
      <c r="I247" s="123"/>
      <c r="J247" s="123"/>
      <c r="K247" s="144"/>
      <c r="L247" s="144"/>
      <c r="M247" s="144"/>
      <c r="O247" s="132"/>
      <c r="P247" s="357"/>
      <c r="Q247" s="126"/>
      <c r="X247" s="511"/>
      <c r="AA247" s="165"/>
      <c r="AB247" s="165"/>
      <c r="AD247" s="126"/>
      <c r="AE247" s="126"/>
      <c r="AF247" s="126"/>
      <c r="AG247" s="126"/>
      <c r="AH247" s="126"/>
    </row>
    <row r="248" spans="2:34" ht="13">
      <c r="B248" s="155">
        <f>MAX(B$243:B247)+1</f>
        <v>3</v>
      </c>
      <c r="C248" s="123" t="str">
        <f>C194</f>
        <v>Third Mortgage Financing</v>
      </c>
      <c r="D248" s="123"/>
      <c r="E248" s="123"/>
      <c r="F248" s="123"/>
      <c r="G248" s="121" t="s">
        <v>1270</v>
      </c>
      <c r="H248" s="154"/>
      <c r="I248" s="123"/>
      <c r="J248" s="123"/>
      <c r="K248" s="3601" t="s">
        <v>638</v>
      </c>
      <c r="L248" s="3601"/>
      <c r="M248" s="3601"/>
      <c r="N248" s="3601"/>
      <c r="O248" s="132"/>
      <c r="P248" s="649" t="s">
        <v>41</v>
      </c>
      <c r="Q248" s="151">
        <f>IF(N(K$38)=0,0,N(H248)/K$38)</f>
        <v>0</v>
      </c>
      <c r="R248" s="164"/>
      <c r="U248" s="126"/>
      <c r="V248" s="126"/>
      <c r="X248" s="512">
        <f>IF(ISERROR(SEARCH("Deferred Development Costs",PermAnalysis__3rd_Type)),PermAnalysis__3rd_Mtg,0)</f>
        <v>0</v>
      </c>
      <c r="AD248" s="126"/>
      <c r="AE248" s="126"/>
      <c r="AF248" s="126"/>
      <c r="AG248" s="126"/>
      <c r="AH248" s="126"/>
    </row>
    <row r="249" spans="2:34" ht="13">
      <c r="B249" s="123"/>
      <c r="C249" s="123"/>
      <c r="D249" s="123"/>
      <c r="E249" s="123"/>
      <c r="F249" s="123"/>
      <c r="G249" s="121"/>
      <c r="H249" s="162"/>
      <c r="I249" s="123"/>
      <c r="J249" s="123"/>
      <c r="K249" s="144"/>
      <c r="L249" s="144"/>
      <c r="M249" s="144"/>
      <c r="O249" s="132"/>
      <c r="Q249" s="126"/>
      <c r="R249" s="418"/>
      <c r="T249" s="418"/>
      <c r="U249" s="163"/>
      <c r="V249" s="126"/>
      <c r="X249" s="513"/>
      <c r="AC249" s="126"/>
      <c r="AD249" s="126"/>
      <c r="AE249" s="126"/>
      <c r="AF249" s="126"/>
      <c r="AG249" s="126"/>
      <c r="AH249" s="126"/>
    </row>
    <row r="250" spans="2:34" ht="12.75" customHeight="1">
      <c r="B250" s="155">
        <f>MAX(B$243:B249)+1</f>
        <v>4</v>
      </c>
      <c r="C250" s="123" t="str">
        <f>C196</f>
        <v>Fourth Mortgage Financing</v>
      </c>
      <c r="D250" s="123"/>
      <c r="E250" s="123"/>
      <c r="F250" s="123"/>
      <c r="G250" s="121" t="s">
        <v>1270</v>
      </c>
      <c r="H250" s="154"/>
      <c r="I250" s="123"/>
      <c r="J250" s="144"/>
      <c r="K250" s="3601" t="s">
        <v>638</v>
      </c>
      <c r="L250" s="3601"/>
      <c r="M250" s="3601"/>
      <c r="N250" s="3601"/>
      <c r="O250" s="132"/>
      <c r="P250" s="649" t="s">
        <v>41</v>
      </c>
      <c r="Q250" s="151">
        <f>IF(N(K$38)=0,0,N(H250)/K$38)</f>
        <v>0</v>
      </c>
      <c r="R250" s="417"/>
      <c r="T250" s="417"/>
      <c r="U250" s="417"/>
      <c r="V250" s="417"/>
      <c r="X250" s="512">
        <f>IF(ISERROR(SEARCH("Deferred Development Costs",PermAnalysis__4th_Type)),PermAnalysis__4th_Mtg,0)</f>
        <v>0</v>
      </c>
      <c r="Y250" s="417"/>
      <c r="Z250" s="417"/>
      <c r="AA250" s="417"/>
      <c r="AB250" s="417"/>
      <c r="AC250" s="126"/>
      <c r="AD250" s="126"/>
      <c r="AE250" s="126"/>
      <c r="AF250" s="126"/>
      <c r="AG250" s="126"/>
      <c r="AH250" s="126"/>
    </row>
    <row r="251" spans="2:34" ht="12.75" customHeight="1">
      <c r="B251" s="123"/>
      <c r="C251" s="123"/>
      <c r="D251" s="123"/>
      <c r="E251" s="123"/>
      <c r="F251" s="123"/>
      <c r="G251" s="121"/>
      <c r="H251" s="162"/>
      <c r="I251" s="123"/>
      <c r="J251" s="123"/>
      <c r="K251" s="144"/>
      <c r="L251" s="144"/>
      <c r="M251" s="144"/>
      <c r="O251" s="132"/>
      <c r="P251" s="357"/>
      <c r="Q251" s="126"/>
      <c r="R251" s="126"/>
      <c r="T251" s="126"/>
      <c r="U251" s="126"/>
      <c r="V251" s="126"/>
      <c r="X251" s="512"/>
      <c r="Y251" s="126"/>
      <c r="Z251" s="126"/>
      <c r="AA251" s="126"/>
      <c r="AB251" s="126"/>
      <c r="AC251" s="126"/>
      <c r="AD251" s="126"/>
      <c r="AE251" s="126"/>
      <c r="AF251" s="126"/>
      <c r="AG251" s="126"/>
    </row>
    <row r="252" spans="2:34" ht="12.75" customHeight="1">
      <c r="B252" s="155">
        <f>MAX(B$243:B251)+1</f>
        <v>5</v>
      </c>
      <c r="C252" s="123" t="str">
        <f>C198</f>
        <v>Fifth Mortgage Financing</v>
      </c>
      <c r="D252" s="123"/>
      <c r="E252" s="123"/>
      <c r="F252" s="123"/>
      <c r="G252" s="121" t="s">
        <v>1270</v>
      </c>
      <c r="H252" s="154"/>
      <c r="I252" s="123"/>
      <c r="J252" s="123"/>
      <c r="K252" s="3601" t="s">
        <v>638</v>
      </c>
      <c r="L252" s="3601"/>
      <c r="M252" s="3601"/>
      <c r="N252" s="3601"/>
      <c r="O252" s="132"/>
      <c r="P252" s="649" t="s">
        <v>41</v>
      </c>
      <c r="Q252" s="151">
        <f>IF(N(K$38)=0,0,N(H252)/K$38)</f>
        <v>0</v>
      </c>
      <c r="T252" s="126"/>
      <c r="U252" s="126"/>
      <c r="V252" s="126"/>
      <c r="X252" s="512">
        <f>IF(ISERROR(SEARCH("Deferred Development Costs",PermAnalysis__5th_Type)),PermAnalysis__5th_Mtg,0)</f>
        <v>0</v>
      </c>
      <c r="Y252" s="126"/>
      <c r="Z252" s="126"/>
      <c r="AA252" s="126"/>
      <c r="AB252" s="126"/>
      <c r="AC252" s="126"/>
      <c r="AD252" s="126"/>
      <c r="AE252" s="126"/>
      <c r="AF252" s="126"/>
      <c r="AG252" s="126"/>
    </row>
    <row r="253" spans="2:34">
      <c r="B253" s="123"/>
      <c r="C253" s="123"/>
      <c r="D253" s="123"/>
      <c r="E253" s="123"/>
      <c r="F253" s="123"/>
      <c r="G253" s="121"/>
      <c r="H253" s="162"/>
      <c r="I253" s="123"/>
      <c r="J253" s="123"/>
      <c r="K253" s="144"/>
      <c r="L253" s="144"/>
      <c r="M253" s="144"/>
      <c r="O253" s="132"/>
      <c r="Q253" s="126"/>
      <c r="R253" s="126"/>
      <c r="T253" s="126"/>
      <c r="X253" s="511"/>
    </row>
    <row r="254" spans="2:34">
      <c r="B254" s="155">
        <f>MAX(B$243:B253)+1</f>
        <v>6</v>
      </c>
      <c r="C254" s="123" t="str">
        <f>C200</f>
        <v>Sixth Mortgage Financing</v>
      </c>
      <c r="G254" s="121" t="s">
        <v>1270</v>
      </c>
      <c r="H254" s="154"/>
      <c r="I254" s="123"/>
      <c r="J254" s="144"/>
      <c r="K254" s="3601" t="s">
        <v>638</v>
      </c>
      <c r="L254" s="3601"/>
      <c r="M254" s="3601"/>
      <c r="N254" s="3601"/>
      <c r="O254" s="132"/>
      <c r="P254" s="649" t="s">
        <v>41</v>
      </c>
      <c r="Q254" s="151">
        <f>IF(N(K$38)=0,0,N(H254)/K$38)</f>
        <v>0</v>
      </c>
      <c r="R254" s="126"/>
      <c r="T254" s="126"/>
      <c r="X254" s="512">
        <f>IF(ISERROR(SEARCH("Deferred Development Costs",PermAnalysis__6th_Type)),PermAnalysis__6th_Mtg,0)</f>
        <v>0</v>
      </c>
    </row>
    <row r="255" spans="2:34">
      <c r="B255" s="155"/>
      <c r="C255" s="123"/>
      <c r="D255" s="123"/>
      <c r="E255" s="123"/>
      <c r="F255" s="123"/>
      <c r="G255" s="121"/>
      <c r="H255" s="162"/>
      <c r="I255" s="123"/>
      <c r="J255" s="144"/>
      <c r="K255" s="144"/>
      <c r="L255" s="144"/>
      <c r="M255" s="144"/>
      <c r="O255" s="132"/>
      <c r="Q255" s="126"/>
      <c r="R255" s="126"/>
      <c r="X255" s="511"/>
    </row>
    <row r="256" spans="2:34">
      <c r="B256" s="155" t="str">
        <f>IF(DS_FHFC_Source_1_Name="","",MAX(B$243:B255)+1)</f>
        <v/>
      </c>
      <c r="C256" s="123" t="str">
        <f>C202</f>
        <v xml:space="preserve"> Financing</v>
      </c>
      <c r="D256" s="123"/>
      <c r="E256" s="123"/>
      <c r="F256" s="123"/>
      <c r="G256" s="121" t="s">
        <v>1270</v>
      </c>
      <c r="H256" s="1216" t="str">
        <f>ConstrAnalysis__7th_Mtg</f>
        <v/>
      </c>
      <c r="I256" s="123"/>
      <c r="J256" s="144"/>
      <c r="K256" s="3602" t="str">
        <f>ConstrAnalysis__7th_Type</f>
        <v>Enter request on Funding Tab</v>
      </c>
      <c r="L256" s="3602"/>
      <c r="M256" s="3602"/>
      <c r="N256" s="3602"/>
      <c r="O256" s="132"/>
      <c r="Q256" s="151">
        <f>IF(N(K$38)=0,0,N(H256)/K$38)</f>
        <v>0</v>
      </c>
      <c r="R256" s="126"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12" t="str">
        <f>IF(ISERROR(SEARCH("Deferred Development Costs",PermAnalysis__7th_Type)),PermAnalysis__7th_Mtg,0)</f>
        <v/>
      </c>
    </row>
    <row r="257" spans="2:24">
      <c r="B257" s="123"/>
      <c r="C257" s="123"/>
      <c r="D257" s="123"/>
      <c r="E257" s="123"/>
      <c r="F257" s="123"/>
      <c r="G257" s="121"/>
      <c r="H257" s="161"/>
      <c r="I257" s="123"/>
      <c r="J257" s="123"/>
      <c r="K257" s="144"/>
      <c r="L257" s="144"/>
      <c r="M257" s="144"/>
      <c r="N257" s="123"/>
      <c r="O257" s="132"/>
      <c r="P257" s="132"/>
      <c r="Q257" s="126"/>
      <c r="R257" s="125"/>
      <c r="X257" s="511"/>
    </row>
    <row r="258" spans="2:24">
      <c r="B258" s="155" t="str">
        <f>IF(DS_FHFC_Source_2_Name="","",MAX(B$243:B257)+1)</f>
        <v/>
      </c>
      <c r="C258" s="123" t="str">
        <f>C204</f>
        <v xml:space="preserve"> Financing</v>
      </c>
      <c r="G258" s="121" t="s">
        <v>1270</v>
      </c>
      <c r="H258" s="1216" t="str">
        <f>ConstrAnalysis__8th_Mtg</f>
        <v/>
      </c>
      <c r="I258" s="123"/>
      <c r="J258" s="122"/>
      <c r="K258" s="3602" t="str">
        <f>ConstrAnalysis__8th_Type</f>
        <v>Enter request on Funding Tab</v>
      </c>
      <c r="L258" s="3602"/>
      <c r="M258" s="3602"/>
      <c r="N258" s="3602"/>
      <c r="O258" s="132"/>
      <c r="P258" s="132"/>
      <c r="Q258" s="151">
        <f>IF(N(K$38)=0,0,N(H258)/K$38)</f>
        <v>0</v>
      </c>
      <c r="R258" s="126"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12" t="str">
        <f>IF(ISERROR(SEARCH("Deferred Development Costs",PermAnalysis__8th_Type)),PermAnalysis__8th_Mtg,0)</f>
        <v/>
      </c>
    </row>
    <row r="259" spans="2:24">
      <c r="B259" s="123"/>
      <c r="C259" s="123"/>
      <c r="D259" s="123"/>
      <c r="E259" s="123"/>
      <c r="F259" s="123"/>
      <c r="G259" s="121"/>
      <c r="H259" s="161"/>
      <c r="I259" s="123"/>
      <c r="J259" s="122"/>
      <c r="K259" s="144"/>
      <c r="L259" s="144"/>
      <c r="M259" s="144"/>
      <c r="N259" s="123"/>
      <c r="O259" s="132"/>
      <c r="P259" s="132"/>
      <c r="Q259" s="126"/>
      <c r="X259" s="511"/>
    </row>
    <row r="260" spans="2:24">
      <c r="B260" s="155" t="str">
        <f>IF(DS_FHFC_Source_3_Name="","",MAX(B$243:B259)+1)</f>
        <v/>
      </c>
      <c r="C260" s="123" t="str">
        <f>C206</f>
        <v xml:space="preserve"> Financing</v>
      </c>
      <c r="D260" s="123"/>
      <c r="E260" s="123"/>
      <c r="F260" s="123"/>
      <c r="G260" s="121" t="s">
        <v>1270</v>
      </c>
      <c r="H260" s="1216" t="str">
        <f>ConstrAnalysis__9th_Mtg</f>
        <v/>
      </c>
      <c r="I260" s="123"/>
      <c r="J260" s="122"/>
      <c r="K260" s="3602" t="str">
        <f>ConstrAnalysis__9th_Type</f>
        <v>Enter request on Funding Tab</v>
      </c>
      <c r="L260" s="3602"/>
      <c r="M260" s="3602"/>
      <c r="N260" s="3602"/>
      <c r="O260" s="132"/>
      <c r="P260" s="132"/>
      <c r="Q260" s="151">
        <f>IF(N(K$38)=0,0,N(H260)/K$38)</f>
        <v>0</v>
      </c>
      <c r="R260" s="126"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12" t="str">
        <f>IF(ISERROR(SEARCH("Deferred Development Costs",PermAnalysis__9th_Type)),PermAnalysis__9th_Mtg,0)</f>
        <v/>
      </c>
    </row>
    <row r="261" spans="2:24">
      <c r="B261" s="123"/>
      <c r="C261" s="123"/>
      <c r="D261" s="123"/>
      <c r="E261" s="123"/>
      <c r="F261" s="123"/>
      <c r="G261" s="123"/>
      <c r="H261" s="176"/>
      <c r="I261" s="123"/>
      <c r="J261" s="122"/>
      <c r="K261" s="144"/>
      <c r="L261" s="144"/>
      <c r="M261" s="144"/>
      <c r="N261" s="123"/>
      <c r="O261" s="132"/>
      <c r="P261" s="132"/>
      <c r="Q261" s="126"/>
      <c r="X261" s="511"/>
    </row>
    <row r="262" spans="2:24">
      <c r="B262" s="155" t="str">
        <f>IF(DS_FHFC_Source_4_Name="","",MAX(B$243:B261)+1)</f>
        <v/>
      </c>
      <c r="C262" s="123" t="str">
        <f>C208</f>
        <v xml:space="preserve"> Financing</v>
      </c>
      <c r="D262" s="123"/>
      <c r="E262" s="123"/>
      <c r="F262" s="123"/>
      <c r="G262" s="121" t="s">
        <v>1270</v>
      </c>
      <c r="H262" s="1216" t="str">
        <f>ConstrAnalysis_10th_Mtg</f>
        <v/>
      </c>
      <c r="I262" s="123"/>
      <c r="J262" s="122"/>
      <c r="K262" s="3602" t="str">
        <f>ConstrAnalysis_10th_Type</f>
        <v>Enter request on Funding Tab</v>
      </c>
      <c r="L262" s="3602"/>
      <c r="M262" s="3602"/>
      <c r="N262" s="3602"/>
      <c r="O262" s="132"/>
      <c r="P262" s="132"/>
      <c r="Q262" s="151">
        <f>IF(N(K$38)=0,0,N(H262)/K$38)</f>
        <v>0</v>
      </c>
      <c r="R262" s="126"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12" t="str">
        <f>IF(ISERROR(SEARCH("Deferred Development Costs",PermAnalysis_10th_Type)),PermAnalysis_10th_Mtg,0)</f>
        <v/>
      </c>
    </row>
    <row r="263" spans="2:24">
      <c r="B263" s="123"/>
      <c r="C263" s="123"/>
      <c r="D263" s="123"/>
      <c r="E263" s="123"/>
      <c r="F263" s="123"/>
      <c r="G263" s="123"/>
      <c r="H263" s="156"/>
      <c r="I263" s="123"/>
      <c r="J263" s="122"/>
      <c r="K263" s="159"/>
      <c r="L263" s="158"/>
      <c r="M263" s="123"/>
      <c r="O263" s="132"/>
      <c r="P263" s="132"/>
      <c r="X263" s="511"/>
    </row>
    <row r="264" spans="2:24">
      <c r="B264" s="155">
        <f>IF(E41=3,MAX(B$243:B263)+1,"")</f>
        <v>7</v>
      </c>
      <c r="C264" s="123" t="str">
        <f>IF(E41=3,"HC Syndication/HC Equity Proceeds","This section intentionally left blank.")</f>
        <v>HC Syndication/HC Equity Proceeds</v>
      </c>
      <c r="D264" s="123"/>
      <c r="E264" s="123"/>
      <c r="F264" s="123"/>
      <c r="G264" s="121" t="s">
        <v>1270</v>
      </c>
      <c r="H264" s="154"/>
      <c r="I264" s="123"/>
      <c r="J264" s="122"/>
      <c r="K264" s="3621" t="s">
        <v>3300</v>
      </c>
      <c r="L264" s="3621"/>
      <c r="M264" s="3621"/>
      <c r="N264" s="3621"/>
      <c r="O264" s="132"/>
      <c r="P264" s="1523" t="str">
        <f>IF(AND(OR(Competitive_HC_Request_Amount&gt;0,Non_Competitive_HC_Request_Amount&gt;0),PermAnalysis_HC=0),"**","")</f>
        <v/>
      </c>
      <c r="Q264" s="151">
        <f>IF(N(K$38)=0,0,N(H264)/K$38)</f>
        <v>0</v>
      </c>
      <c r="R264" s="3634" t="s">
        <v>1362</v>
      </c>
      <c r="S264" s="3634"/>
      <c r="T264" s="3634"/>
      <c r="U264" s="3634"/>
      <c r="V264" s="3634"/>
      <c r="W264" s="3634"/>
      <c r="X264" s="511"/>
    </row>
    <row r="265" spans="2:24">
      <c r="B265" s="160"/>
      <c r="G265" s="121"/>
      <c r="H265" s="156"/>
      <c r="I265" s="123"/>
      <c r="J265" s="122"/>
      <c r="K265" s="159"/>
      <c r="L265" s="158"/>
      <c r="M265" s="123"/>
      <c r="O265" s="132"/>
      <c r="P265" s="132"/>
      <c r="R265" s="3635"/>
      <c r="S265" s="3635"/>
      <c r="T265" s="3635"/>
      <c r="U265" s="3635"/>
      <c r="V265" s="3635"/>
      <c r="W265" s="3635"/>
      <c r="X265" s="511"/>
    </row>
    <row r="266" spans="2:24">
      <c r="B266" s="155">
        <f>MAX(B$243:B265)+1</f>
        <v>8</v>
      </c>
      <c r="C266" s="160" t="s">
        <v>1329</v>
      </c>
      <c r="D266" s="123"/>
      <c r="E266" s="3625"/>
      <c r="F266" s="3625"/>
      <c r="G266" s="121" t="s">
        <v>1270</v>
      </c>
      <c r="H266" s="154"/>
      <c r="I266" s="123"/>
      <c r="J266" s="122"/>
      <c r="K266" s="3601" t="s">
        <v>638</v>
      </c>
      <c r="L266" s="3601"/>
      <c r="M266" s="3601"/>
      <c r="N266" s="3601"/>
      <c r="O266" s="132"/>
      <c r="P266" s="649" t="s">
        <v>41</v>
      </c>
      <c r="Q266" s="151">
        <f>IF(N(K$38)=0,0,N(H266)/K$38)</f>
        <v>0</v>
      </c>
      <c r="R266" s="126"/>
      <c r="X266" s="512">
        <f>IF(ISERROR(SEARCH("Deferred Development Costs",PermAnalysis_Other_1_Type)),PermAnalysis_other1,0)</f>
        <v>0</v>
      </c>
    </row>
    <row r="267" spans="2:24">
      <c r="B267" s="123"/>
      <c r="H267" s="149"/>
      <c r="J267" s="122"/>
      <c r="K267" s="159"/>
      <c r="L267" s="158"/>
      <c r="M267" s="123"/>
      <c r="O267" s="132"/>
      <c r="P267" s="132"/>
      <c r="X267" s="511"/>
    </row>
    <row r="268" spans="2:24">
      <c r="B268" s="155">
        <f>MAX(B$243:B267)+1</f>
        <v>9</v>
      </c>
      <c r="C268" s="123" t="s">
        <v>1329</v>
      </c>
      <c r="D268" s="123"/>
      <c r="E268" s="3625"/>
      <c r="F268" s="3625"/>
      <c r="G268" s="121" t="s">
        <v>1270</v>
      </c>
      <c r="H268" s="154"/>
      <c r="I268" s="123"/>
      <c r="J268" s="122"/>
      <c r="K268" s="3601" t="s">
        <v>638</v>
      </c>
      <c r="L268" s="3601"/>
      <c r="M268" s="3601"/>
      <c r="N268" s="3601"/>
      <c r="O268" s="132"/>
      <c r="P268" s="649" t="s">
        <v>41</v>
      </c>
      <c r="Q268" s="151">
        <f>IF(N(K$38)=0,0,N(H268)/K$38)</f>
        <v>0</v>
      </c>
      <c r="X268" s="512">
        <f>IF(ISERROR(SEARCH("Deferred Development Costs",PermAnalysis_Other_2_Type)),PermAnalysis_other2,0)</f>
        <v>0</v>
      </c>
    </row>
    <row r="269" spans="2:24" ht="12.75" customHeight="1">
      <c r="B269" s="150"/>
      <c r="C269" s="123"/>
      <c r="D269" s="123"/>
      <c r="E269" s="157"/>
      <c r="F269" s="157"/>
      <c r="H269" s="156"/>
      <c r="I269" s="123"/>
      <c r="J269" s="153"/>
      <c r="K269" s="153"/>
      <c r="L269" s="153"/>
      <c r="M269" s="153"/>
      <c r="N269" s="153"/>
      <c r="O269" s="153"/>
      <c r="P269" s="153"/>
      <c r="X269" s="511"/>
    </row>
    <row r="270" spans="2:24">
      <c r="B270" s="155">
        <f>MAX(B$243:B269)+1</f>
        <v>10</v>
      </c>
      <c r="C270" s="123" t="s">
        <v>1352</v>
      </c>
      <c r="D270" s="123"/>
      <c r="E270" s="123"/>
      <c r="F270" s="123"/>
      <c r="G270" s="121" t="s">
        <v>1270</v>
      </c>
      <c r="H270" s="176" t="str">
        <f>IFERROR(MAX(MIN(H240-IF(E41=3,SUM(H244:H268),SUM(H244:H262,H266:H268)),N(Developer_fee_total)),0),"")</f>
        <v/>
      </c>
      <c r="I270" s="123"/>
      <c r="J270" s="1238" t="s">
        <v>1270</v>
      </c>
      <c r="K270" s="1525">
        <f>N(Developer_fee_total)-N(PermAnalysis_deferredfee)</f>
        <v>0</v>
      </c>
      <c r="L270" s="3612" t="s">
        <v>1914</v>
      </c>
      <c r="M270" s="3612"/>
      <c r="N270" s="3612"/>
      <c r="O270" s="153"/>
      <c r="P270" s="153"/>
      <c r="Q270" s="151">
        <f>IF(N(K$38)=0,0,N(H270)/K$38)</f>
        <v>0</v>
      </c>
      <c r="R270" s="3632" t="s">
        <v>1898</v>
      </c>
      <c r="S270" s="3632"/>
      <c r="T270" s="3632"/>
      <c r="U270" s="3632"/>
      <c r="V270" s="3632"/>
      <c r="W270" s="3633"/>
      <c r="X270" s="514"/>
    </row>
    <row r="271" spans="2:24">
      <c r="B271" s="123"/>
      <c r="H271" s="210"/>
      <c r="I271" s="123"/>
      <c r="J271" s="1236"/>
      <c r="K271" s="1237"/>
      <c r="L271" s="3612"/>
      <c r="M271" s="3612"/>
      <c r="N271" s="3612"/>
      <c r="O271" s="153"/>
      <c r="P271" s="153"/>
      <c r="X271" s="511"/>
    </row>
    <row r="272" spans="2:24" ht="13.5" thickBot="1">
      <c r="B272" s="152">
        <f>MAX(B$243:B271)+1</f>
        <v>11</v>
      </c>
      <c r="C272" s="129" t="s">
        <v>1363</v>
      </c>
      <c r="D272" s="123"/>
      <c r="E272" s="123"/>
      <c r="F272" s="123"/>
      <c r="G272" s="121" t="s">
        <v>1270</v>
      </c>
      <c r="H272" s="145" t="str">
        <f>IF(SUM(H243:H271)&lt;1,"",IF(E41=3,SUM(H243:H271),SUM(H243:H262,H266:H271)))</f>
        <v/>
      </c>
      <c r="L272" s="123"/>
      <c r="M272" s="123"/>
      <c r="O272" s="132"/>
      <c r="P272" s="132"/>
      <c r="Q272" s="151">
        <f>IF(N(K$38)=0,0,N(H272)/K$38)</f>
        <v>0</v>
      </c>
      <c r="X272" s="515">
        <f>SUM(X244:X268)</f>
        <v>0</v>
      </c>
    </row>
    <row r="273" spans="1:23" ht="13.5" customHeight="1" thickTop="1">
      <c r="B273" s="150"/>
      <c r="C273" s="123"/>
      <c r="D273" s="123"/>
      <c r="E273" s="123"/>
      <c r="F273" s="123"/>
      <c r="G273" s="121"/>
      <c r="H273" s="149"/>
      <c r="L273" s="123"/>
      <c r="M273" s="123"/>
      <c r="O273" s="132"/>
      <c r="P273" s="132"/>
    </row>
    <row r="274" spans="1:23" ht="13">
      <c r="B274" s="146" t="s">
        <v>1298</v>
      </c>
      <c r="C274" s="129" t="s">
        <v>1364</v>
      </c>
      <c r="D274" s="129"/>
      <c r="E274" s="129"/>
      <c r="F274" s="129"/>
      <c r="G274" s="123"/>
      <c r="H274" s="148"/>
      <c r="I274" s="123"/>
      <c r="J274" s="144"/>
      <c r="K274" s="144"/>
      <c r="L274" s="123"/>
      <c r="M274" s="123"/>
      <c r="O274" s="132"/>
      <c r="P274" s="132"/>
      <c r="W274" s="214"/>
    </row>
    <row r="275" spans="1:23" ht="13">
      <c r="B275" s="146"/>
      <c r="C275" s="129"/>
      <c r="D275" s="147" t="str">
        <f>"(B."&amp;TEXT(B272,"0")&amp;". "&amp;C272&amp;", "</f>
        <v xml:space="preserve">(B.11. Total Permanent Funding Sources, </v>
      </c>
      <c r="E275" s="129"/>
      <c r="F275" s="129"/>
      <c r="G275" s="123"/>
      <c r="H275" s="148"/>
      <c r="I275" s="123"/>
      <c r="J275" s="144"/>
      <c r="K275" s="144"/>
      <c r="L275" s="123"/>
      <c r="M275" s="123"/>
      <c r="O275" s="132"/>
      <c r="P275" s="134" t="str">
        <f>IF(N(H276)&lt;0,"**","")</f>
        <v/>
      </c>
      <c r="W275" s="214"/>
    </row>
    <row r="276" spans="1:23" ht="13.5" thickBot="1">
      <c r="B276" s="146"/>
      <c r="C276" s="129"/>
      <c r="D276" s="147" t="str">
        <f>" less "&amp;B240&amp;" "&amp;C240&amp;"):"</f>
        <v xml:space="preserve"> less A. Total Development Costs):</v>
      </c>
      <c r="E276" s="129"/>
      <c r="F276" s="129"/>
      <c r="G276" s="146" t="s">
        <v>1270</v>
      </c>
      <c r="H276" s="145" t="str">
        <f>IF(AND(N(H272)=0,N(H240)=0),"",N(H272)-N(H240))</f>
        <v/>
      </c>
      <c r="I276" s="123"/>
      <c r="J276" s="144" t="s">
        <v>1355</v>
      </c>
      <c r="K276" s="123"/>
      <c r="O276" s="132"/>
      <c r="P276" s="132"/>
      <c r="Q276" s="116"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4"/>
    </row>
    <row r="277" spans="1:23" ht="8.25" customHeight="1" thickTop="1">
      <c r="B277" s="146"/>
      <c r="C277" s="129"/>
      <c r="D277" s="147"/>
      <c r="E277" s="129"/>
      <c r="F277" s="129"/>
      <c r="G277" s="146"/>
      <c r="H277" s="161"/>
      <c r="I277" s="123"/>
      <c r="J277" s="144"/>
      <c r="K277" s="123"/>
      <c r="O277" s="132"/>
      <c r="P277" s="132"/>
      <c r="W277" s="214"/>
    </row>
    <row r="278" spans="1:23" ht="12.75" customHeight="1" thickBot="1">
      <c r="B278" s="146"/>
      <c r="C278" s="129"/>
      <c r="D278" s="147"/>
      <c r="E278" s="129"/>
      <c r="F278" s="129"/>
      <c r="G278" s="146"/>
      <c r="H278" s="161"/>
      <c r="I278" s="123"/>
      <c r="J278" s="144"/>
      <c r="K278" s="123"/>
      <c r="L278" s="369" t="s">
        <v>1365</v>
      </c>
      <c r="M278" s="3696" t="str">
        <f>IF(PermAnalysis_surplus="","",IF(PermAnalysis_surplus&gt;=0,"Yes","No"))</f>
        <v/>
      </c>
      <c r="N278" s="3696"/>
      <c r="O278" s="132"/>
      <c r="P278" s="132"/>
      <c r="W278" s="214"/>
    </row>
    <row r="279" spans="1:23" ht="8.25" customHeight="1">
      <c r="B279" s="129"/>
      <c r="C279" s="129"/>
      <c r="D279" s="123"/>
      <c r="E279" s="129"/>
      <c r="F279" s="129"/>
      <c r="G279" s="121"/>
      <c r="I279" s="123"/>
      <c r="J279" s="123"/>
      <c r="K279" s="123"/>
      <c r="O279" s="132"/>
      <c r="P279" s="132"/>
    </row>
    <row r="280" spans="1:23" ht="13.5" thickBot="1">
      <c r="B280" s="129" t="s">
        <v>1357</v>
      </c>
      <c r="D280" s="123"/>
      <c r="E280" s="123"/>
      <c r="F280" s="123"/>
      <c r="G280" s="123"/>
      <c r="H280" s="123"/>
      <c r="I280" s="123"/>
      <c r="J280" s="123"/>
      <c r="K280" s="123"/>
      <c r="L280" s="123"/>
      <c r="M280" s="123"/>
      <c r="O280" s="132"/>
      <c r="P280" s="132"/>
    </row>
    <row r="281" spans="1:23" ht="3.75" customHeight="1">
      <c r="A281" s="133"/>
      <c r="B281" s="133"/>
      <c r="C281" s="133"/>
      <c r="D281" s="133"/>
      <c r="E281" s="133"/>
      <c r="F281" s="133"/>
      <c r="G281" s="133"/>
      <c r="H281" s="133"/>
      <c r="I281" s="133"/>
      <c r="J281" s="133"/>
      <c r="K281" s="133"/>
      <c r="L281" s="133"/>
      <c r="M281" s="133"/>
      <c r="N281" s="133"/>
      <c r="O281" s="133"/>
      <c r="P281" s="133"/>
    </row>
    <row r="282" spans="1:23" ht="13">
      <c r="B282" s="129" t="str">
        <f>B$2</f>
        <v>RFA 2026-204 DEVELOPMENT COST PRO FORMA</v>
      </c>
      <c r="O282" s="132"/>
      <c r="P282" s="131" t="str">
        <f>IF(OR(AND(Funding!M$310&gt;0,Data3!H$296="No",Minimum_SetAside_per_Sec_42&lt;&gt;"Live Local SAIL only (no HC)"),AND(Minimum_SetAside_per_Sec_42&lt;&gt;"Live Local SAIL only (no HC)",Data3!H$297="Yes")),"(Page 6 of 8)","(Page 6 of 7)")</f>
        <v>(Page 6 of 8)</v>
      </c>
    </row>
    <row r="284" spans="1:23">
      <c r="B284" s="130" t="s">
        <v>1864</v>
      </c>
      <c r="D284" s="130"/>
      <c r="E284" s="130"/>
      <c r="F284" s="130"/>
      <c r="G284" s="130"/>
      <c r="H284" s="130"/>
      <c r="I284" s="130"/>
      <c r="J284" s="130"/>
      <c r="K284" s="130"/>
      <c r="L284" s="130"/>
      <c r="M284" s="130"/>
      <c r="N284" s="130"/>
      <c r="O284" s="130"/>
    </row>
    <row r="285" spans="1:23">
      <c r="B285" s="130" t="s">
        <v>1865</v>
      </c>
      <c r="D285" s="130"/>
      <c r="E285" s="130"/>
      <c r="F285" s="130"/>
      <c r="G285" s="130"/>
      <c r="H285" s="130"/>
      <c r="I285" s="130"/>
      <c r="J285" s="130"/>
      <c r="K285" s="130"/>
      <c r="L285" s="130"/>
      <c r="M285" s="130"/>
      <c r="N285" s="130"/>
      <c r="O285" s="130"/>
    </row>
    <row r="286" spans="1:23">
      <c r="B286" s="130" t="s">
        <v>1868</v>
      </c>
      <c r="D286" s="130"/>
      <c r="E286" s="130"/>
      <c r="F286" s="130"/>
      <c r="G286" s="130"/>
      <c r="H286" s="130"/>
      <c r="I286" s="130"/>
      <c r="J286" s="130"/>
      <c r="K286" s="130"/>
      <c r="L286" s="130"/>
      <c r="M286" s="130"/>
      <c r="N286" s="130"/>
      <c r="O286" s="130"/>
    </row>
    <row r="287" spans="1:23">
      <c r="B287" s="130" t="s">
        <v>1869</v>
      </c>
      <c r="D287" s="130"/>
      <c r="E287" s="130"/>
      <c r="F287" s="130"/>
      <c r="G287" s="130"/>
      <c r="H287" s="130"/>
      <c r="I287" s="130"/>
      <c r="J287" s="130"/>
      <c r="K287" s="130"/>
      <c r="L287" s="130"/>
      <c r="M287" s="130"/>
      <c r="N287" s="130"/>
      <c r="O287" s="130"/>
    </row>
    <row r="288" spans="1:23">
      <c r="B288" s="130" t="s">
        <v>1866</v>
      </c>
      <c r="D288" s="130"/>
      <c r="E288" s="130"/>
      <c r="F288" s="130"/>
      <c r="G288" s="130"/>
      <c r="H288" s="130"/>
      <c r="I288" s="130"/>
      <c r="J288" s="130"/>
      <c r="K288" s="130"/>
      <c r="L288" s="130"/>
      <c r="M288" s="130"/>
      <c r="N288" s="130"/>
      <c r="O288" s="130"/>
    </row>
    <row r="289" spans="2:18">
      <c r="B289" s="130" t="s">
        <v>1867</v>
      </c>
    </row>
    <row r="291" spans="2:18" ht="19.5" customHeight="1">
      <c r="C291" s="1217" t="s">
        <v>1878</v>
      </c>
      <c r="L291" s="123"/>
      <c r="M291" s="123"/>
      <c r="N291" s="123"/>
      <c r="O291" s="351"/>
    </row>
    <row r="293" spans="2:18">
      <c r="C293" s="116" t="s">
        <v>1366</v>
      </c>
      <c r="K293" s="3712" t="str">
        <f>IF(County=DS_Select_One,"County input required",County)</f>
        <v>County input required</v>
      </c>
      <c r="L293" s="3713"/>
      <c r="M293" s="3713"/>
      <c r="N293" s="1159" t="str">
        <f>IF(K293="County input required","","("&amp;VLOOKUP(K293,DS_CountyData,2)&amp;" County)")</f>
        <v/>
      </c>
    </row>
    <row r="294" spans="2:18" ht="13.5" thickBot="1">
      <c r="N294" s="128"/>
    </row>
    <row r="295" spans="2:18" ht="24.75" customHeight="1">
      <c r="C295" s="143"/>
      <c r="D295" s="3714" t="s">
        <v>1871</v>
      </c>
      <c r="E295" s="3715"/>
      <c r="F295" s="3715"/>
      <c r="G295" s="3715"/>
      <c r="H295" s="3715"/>
      <c r="I295" s="3715"/>
      <c r="J295" s="3715"/>
      <c r="K295" s="3715"/>
      <c r="L295" s="3715"/>
      <c r="M295" s="3715"/>
      <c r="N295" s="3716"/>
    </row>
    <row r="296" spans="2:18" ht="48.75" customHeight="1">
      <c r="C296" s="142"/>
      <c r="D296" s="3717" t="s">
        <v>1367</v>
      </c>
      <c r="E296" s="3718"/>
      <c r="F296" s="3718"/>
      <c r="G296" s="3627" t="s">
        <v>1368</v>
      </c>
      <c r="H296" s="3719"/>
      <c r="I296" s="3627" t="s">
        <v>1782</v>
      </c>
      <c r="J296" s="3628"/>
      <c r="K296" s="3628"/>
      <c r="L296" s="3627" t="s">
        <v>1369</v>
      </c>
      <c r="M296" s="3628"/>
      <c r="N296" s="3629"/>
    </row>
    <row r="297" spans="2:18" ht="20.25" customHeight="1">
      <c r="C297" s="140"/>
      <c r="D297" s="3590" t="s">
        <v>1370</v>
      </c>
      <c r="E297" s="3591"/>
      <c r="F297" s="3591"/>
      <c r="G297" s="3592" t="str">
        <f>IF(AND(Garden_non_ESS_NC_units=0,SiF_Non_ESS_NC_Units=0,Other_Non_ESS_NC_units=0),"",Garden_non_ESS_NC_units+SiF_Non_ESS_NC_Units+Other_Non_ESS_NC_units)</f>
        <v/>
      </c>
      <c r="H297" s="3593" t="str">
        <f>IF(AND(Garden_non_ESS_NC_units=0,SiF_Non_ESS_NC_Units=0,Other_Non_ESS_NC_units=0),"",Garden_non_ESS_NC_units+SiF_Non_ESS_NC_Units+Other_Non_ESS_NC_units)</f>
        <v/>
      </c>
      <c r="I297" s="3594" t="str">
        <f>IF(G297="","",IF(County=DS_Select_One,"County input required",IF(OR(County="Broward",County="Miami-Dade",County="Palm Beach"),DS_HC_SFNCGAW,DS_HC_PFNCGAW)))</f>
        <v/>
      </c>
      <c r="J297" s="3630"/>
      <c r="K297" s="3630"/>
      <c r="L297" s="3594" t="str">
        <f t="shared" ref="L297:L303" si="0">IF(OR(G$306="",G297="",County=DS_Select_One),"",G297*I297/G$306)</f>
        <v/>
      </c>
      <c r="M297" s="3595"/>
      <c r="N297" s="3631"/>
      <c r="O297" s="916" t="str">
        <f>IF(G297="","",1/NC_TDC_Multiplier)</f>
        <v/>
      </c>
    </row>
    <row r="298" spans="2:18" ht="20.25" customHeight="1">
      <c r="C298" s="140"/>
      <c r="D298" s="3590" t="s">
        <v>1371</v>
      </c>
      <c r="E298" s="3591"/>
      <c r="F298" s="3591"/>
      <c r="G298" s="3592" t="str">
        <f>IF(AND(Garden_ESS_NC_units=0,SiF_ESS_NC_Units=0,Other_ESS_NC_units=0),"",Garden_ESS_NC_units+SiF_ESS_NC_Units+Other_ESS_NC_units)</f>
        <v/>
      </c>
      <c r="H298" s="3593"/>
      <c r="I298" s="3594" t="str">
        <f>IF(G298="","",IF(County=DS_Select_One,"County input required",IF(OR(County="Broward",County="Miami-Dade",County="Palm Beach"),DS_HC_SFNCGAE,DS_HC_PFNCGAE)))</f>
        <v/>
      </c>
      <c r="J298" s="3595"/>
      <c r="K298" s="3595"/>
      <c r="L298" s="3594" t="str">
        <f t="shared" si="0"/>
        <v/>
      </c>
      <c r="M298" s="3595"/>
      <c r="N298" s="3631"/>
      <c r="O298" s="916" t="str">
        <f>IF(G298="","",1/NC_TDC_Multiplier)</f>
        <v/>
      </c>
      <c r="P298" s="1162"/>
      <c r="Q298" s="1158"/>
      <c r="R298" s="1160"/>
    </row>
    <row r="299" spans="2:18" ht="20.25" customHeight="1">
      <c r="C299" s="140"/>
      <c r="D299" s="3590" t="s">
        <v>1372</v>
      </c>
      <c r="E299" s="3591"/>
      <c r="F299" s="3591"/>
      <c r="G299" s="3592" t="str">
        <f>IF(MR_Non_ESS_NC_units=0,"",MR_Non_ESS_NC_units)</f>
        <v/>
      </c>
      <c r="H299" s="3593"/>
      <c r="I299" s="3594" t="str">
        <f>IF(G299="","",IF(County=DS_Select_One,"County input required",IF(OR(County="Broward",County="Miami-Dade",County="Palm Beach"),DS_HC_SFNCMRW,DS_HC_PFNCMRW)))</f>
        <v/>
      </c>
      <c r="J299" s="3595"/>
      <c r="K299" s="3595"/>
      <c r="L299" s="3587" t="str">
        <f t="shared" si="0"/>
        <v/>
      </c>
      <c r="M299" s="3588"/>
      <c r="N299" s="3589"/>
      <c r="O299" s="916" t="str">
        <f>IF(G299="","",1/NC_TDC_Multiplier)</f>
        <v/>
      </c>
    </row>
    <row r="300" spans="2:18" ht="20.25" customHeight="1">
      <c r="C300" s="140"/>
      <c r="D300" s="3590" t="s">
        <v>1373</v>
      </c>
      <c r="E300" s="3591"/>
      <c r="F300" s="3591"/>
      <c r="G300" s="3592" t="str">
        <f>IF(MR_ESS_NC_units=0,"",MR_ESS_NC_units)</f>
        <v/>
      </c>
      <c r="H300" s="3593"/>
      <c r="I300" s="3594" t="str">
        <f>IF(G300="","",IF(County=DS_Select_One,"County input required",IF(OR(County="Broward",County="Miami-Dade",County="Palm Beach"),DS_HC_SFNCMRE,DS_HC_PFNCMRE)))</f>
        <v/>
      </c>
      <c r="J300" s="3595"/>
      <c r="K300" s="3595"/>
      <c r="L300" s="3587" t="str">
        <f t="shared" si="0"/>
        <v/>
      </c>
      <c r="M300" s="3588"/>
      <c r="N300" s="3589"/>
      <c r="O300" s="916" t="str">
        <f>IF(G300="","",1/NC_TDC_Multiplier)</f>
        <v/>
      </c>
    </row>
    <row r="301" spans="2:18" ht="20.25" customHeight="1">
      <c r="C301" s="140"/>
      <c r="D301" s="3590" t="s">
        <v>1374</v>
      </c>
      <c r="E301" s="3591"/>
      <c r="F301" s="3591"/>
      <c r="G301" s="3592" t="str">
        <f>IF(HR_ESS_NC_units=0,"",HR_ESS_NC_units)</f>
        <v/>
      </c>
      <c r="H301" s="3593"/>
      <c r="I301" s="3594" t="str">
        <f>IF(G301="","",IF(County=DS_Select_One,"County input required",IF(OR(County="Broward",County="Miami-Dade",County="Palm Beach"),DS_HC_SFNCHRE,DS_HC_PFNCHRE)))</f>
        <v/>
      </c>
      <c r="J301" s="3595"/>
      <c r="K301" s="3595"/>
      <c r="L301" s="3587" t="str">
        <f t="shared" si="0"/>
        <v/>
      </c>
      <c r="M301" s="3588"/>
      <c r="N301" s="3589"/>
      <c r="O301" s="916" t="str">
        <f>IF(G301="","",1/NC_TDC_Multiplier)</f>
        <v/>
      </c>
    </row>
    <row r="302" spans="2:18" ht="20.25" customHeight="1">
      <c r="C302" s="140"/>
      <c r="D302" s="3590" t="s">
        <v>1375</v>
      </c>
      <c r="E302" s="3591"/>
      <c r="F302" s="3591"/>
      <c r="G302" s="3592"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3593"/>
      <c r="I302" s="3594" t="str">
        <f>IF(G302="","",IF(County=DS_Select_One,"County input required",IF(OR(County="Broward",County="Miami-Dade",County="Palm Beach"),DS_HC_SFRCGA,DS_HC_PFRCGA)))</f>
        <v/>
      </c>
      <c r="J302" s="3595"/>
      <c r="K302" s="3595"/>
      <c r="L302" s="3587" t="str">
        <f t="shared" si="0"/>
        <v/>
      </c>
      <c r="M302" s="3588"/>
      <c r="N302" s="3589"/>
      <c r="O302" s="916" t="str">
        <f>IF(G302="","",1/Rehab_TDC_Multiplier)</f>
        <v/>
      </c>
      <c r="P302" s="1162"/>
      <c r="Q302" s="1164"/>
      <c r="R302" s="1164"/>
    </row>
    <row r="303" spans="2:18" ht="20.25" customHeight="1" thickBot="1">
      <c r="C303" s="140"/>
      <c r="D303" s="3596" t="s">
        <v>1376</v>
      </c>
      <c r="E303" s="3597"/>
      <c r="F303" s="3597"/>
      <c r="G303" s="3613" t="str">
        <f>IF(AND(MR_ESS_AR_units=0,MR_non_ESS_AR_units=0,HR_ESS_AR_units=0,MR_ESS_Rehab_units=0,MR_non_ESS_Rehab_units=0,HR_ESS_Rehab_units=0),"",MR_ESS_AR_units+MR_non_ESS_AR_units+HR_ESS_AR_units+MR_ESS_Rehab_units+MR_non_ESS_Rehab_units+HR_ESS_Rehab_units)</f>
        <v/>
      </c>
      <c r="H303" s="3614"/>
      <c r="I303" s="3615" t="str">
        <f>IF(G303="","",IF(County=DS_Select_One,"County input required",IF(OR(County="Broward",County="Miami-Dade",County="Palm Beach"),DS_HC_SFRCNG,DS_HC_PFRCNG)))</f>
        <v/>
      </c>
      <c r="J303" s="3616"/>
      <c r="K303" s="3617"/>
      <c r="L303" s="3618" t="str">
        <f t="shared" si="0"/>
        <v/>
      </c>
      <c r="M303" s="3619"/>
      <c r="N303" s="3620"/>
      <c r="O303" s="916" t="str">
        <f>IF(G303="","",1/Rehab_TDC_Multiplier)</f>
        <v/>
      </c>
    </row>
    <row r="304" spans="2:18" ht="20.25" customHeight="1">
      <c r="C304" s="140"/>
      <c r="D304" s="3552" t="s">
        <v>3167</v>
      </c>
      <c r="E304" s="3553"/>
      <c r="F304" s="3554"/>
      <c r="G304" s="3558" t="str">
        <f>IF(SUM(G295:G301)&gt;0,SUM(G295:G301),"")</f>
        <v/>
      </c>
      <c r="H304" s="3559"/>
      <c r="I304" s="3566"/>
      <c r="J304" s="3567"/>
      <c r="K304" s="3568"/>
      <c r="L304" s="3560" t="str">
        <f>IF(G304="","",SUM(L295:L301))</f>
        <v/>
      </c>
      <c r="M304" s="3561"/>
      <c r="N304" s="3562"/>
      <c r="O304" s="916"/>
    </row>
    <row r="305" spans="3:22" ht="20.25" customHeight="1">
      <c r="C305" s="140"/>
      <c r="D305" s="3555" t="s">
        <v>3168</v>
      </c>
      <c r="E305" s="3556"/>
      <c r="F305" s="3557"/>
      <c r="G305" s="3558" t="str">
        <f>IF(SUM(G302:G303)&gt;0,SUM(G302:H303),"")</f>
        <v/>
      </c>
      <c r="H305" s="3559"/>
      <c r="I305" s="3569"/>
      <c r="J305" s="3570"/>
      <c r="K305" s="3571"/>
      <c r="L305" s="3563" t="str">
        <f>IF(G305="","",SUM(L302:N303))</f>
        <v/>
      </c>
      <c r="M305" s="3564"/>
      <c r="N305" s="3565"/>
      <c r="O305" s="916"/>
    </row>
    <row r="306" spans="3:22" ht="30" customHeight="1" thickBot="1">
      <c r="C306" s="138"/>
      <c r="D306" s="3636" t="s">
        <v>3166</v>
      </c>
      <c r="E306" s="3637"/>
      <c r="F306" s="3637"/>
      <c r="G306" s="3573" t="str">
        <f>IF(SUM(G297:G303)&gt;0,SUM(G297:G303),"")</f>
        <v/>
      </c>
      <c r="H306" s="3574"/>
      <c r="I306" s="3575"/>
      <c r="J306" s="3576"/>
      <c r="K306" s="3576"/>
      <c r="L306" s="3577" t="str">
        <f>IF(G306="","",SUM(L297:L303))</f>
        <v/>
      </c>
      <c r="M306" s="3578"/>
      <c r="N306" s="3579"/>
      <c r="P306" s="1161"/>
      <c r="Q306" s="1160"/>
      <c r="R306" s="1160"/>
      <c r="S306" s="1058"/>
      <c r="U306" s="1214"/>
    </row>
    <row r="307" spans="3:22" ht="12.75" customHeight="1" thickTop="1">
      <c r="C307" s="137"/>
      <c r="D307" s="3583" t="s">
        <v>1870</v>
      </c>
      <c r="E307" s="3583"/>
      <c r="F307" s="3583"/>
      <c r="G307" s="3583"/>
      <c r="H307" s="3583"/>
      <c r="I307" s="3583"/>
      <c r="J307" s="3583"/>
      <c r="K307" s="3583"/>
      <c r="L307" s="3583"/>
      <c r="M307" s="3583"/>
      <c r="N307" s="3583"/>
      <c r="R307" s="1165"/>
    </row>
    <row r="308" spans="3:22">
      <c r="C308" s="352"/>
      <c r="D308" s="3583"/>
      <c r="E308" s="3583"/>
      <c r="F308" s="3583"/>
      <c r="G308" s="3583"/>
      <c r="H308" s="3583"/>
      <c r="I308" s="3583"/>
      <c r="J308" s="3583"/>
      <c r="K308" s="3583"/>
      <c r="L308" s="3583"/>
      <c r="M308" s="3583"/>
      <c r="N308" s="3583"/>
      <c r="R308" s="1165"/>
    </row>
    <row r="309" spans="3:22">
      <c r="C309" s="352"/>
      <c r="D309" s="3583"/>
      <c r="E309" s="3583"/>
      <c r="F309" s="3583"/>
      <c r="G309" s="3583"/>
      <c r="H309" s="3583"/>
      <c r="I309" s="3583"/>
      <c r="J309" s="3583"/>
      <c r="K309" s="3583"/>
      <c r="L309" s="3583"/>
      <c r="M309" s="3583"/>
      <c r="N309" s="3583"/>
      <c r="R309" s="1165"/>
    </row>
    <row r="310" spans="3:22">
      <c r="C310" s="352"/>
      <c r="D310" s="3583"/>
      <c r="E310" s="3583"/>
      <c r="F310" s="3583"/>
      <c r="G310" s="3583"/>
      <c r="H310" s="3583"/>
      <c r="I310" s="3583"/>
      <c r="J310" s="3583"/>
      <c r="K310" s="3583"/>
      <c r="L310" s="3583"/>
      <c r="M310" s="3583"/>
      <c r="N310" s="3583"/>
      <c r="R310" s="1165"/>
    </row>
    <row r="311" spans="3:22">
      <c r="C311" s="352"/>
      <c r="D311" s="352"/>
      <c r="E311" s="352"/>
      <c r="F311" s="352"/>
      <c r="G311" s="352"/>
      <c r="H311" s="352"/>
      <c r="I311" s="352"/>
      <c r="J311" s="352"/>
      <c r="K311" s="352"/>
      <c r="L311" s="352"/>
      <c r="M311" s="352"/>
      <c r="N311" s="352"/>
      <c r="R311" s="1166"/>
    </row>
    <row r="312" spans="3:22">
      <c r="C312" s="116" t="s">
        <v>1872</v>
      </c>
      <c r="L312" s="3584" t="str">
        <f>IFERROR(SUMPRODUCT(G297:G303,I297:I303,O297:O303)/Unit_Count,"")</f>
        <v/>
      </c>
      <c r="M312" s="3585"/>
      <c r="N312" s="3585"/>
      <c r="R312" s="1165"/>
    </row>
    <row r="313" spans="3:22" ht="13">
      <c r="D313" s="1168" t="str">
        <f>IF(Unit_Count=0,"","("&amp;TEXT(N(Hard_Cost_PU_F),"$#,##0")&amp;" Hard Cost Factor Per Unit / "&amp;TEXT(IFERROR(L306/L312,0),"0.00%")&amp;" = "&amp;TEXT(N(Hard_n_Soft_Costs),"$#,##0.00")&amp;")")</f>
        <v>($0 Hard Cost Factor Per Unit / 0.00% = $0.00)</v>
      </c>
      <c r="L313" s="1167"/>
      <c r="M313" s="1167"/>
      <c r="N313" s="1167"/>
      <c r="R313" s="1165"/>
    </row>
    <row r="314" spans="3:22">
      <c r="V314" s="1215"/>
    </row>
    <row r="315" spans="3:22" ht="6.75" customHeight="1">
      <c r="C315" s="1170"/>
      <c r="D315" s="358"/>
      <c r="E315" s="358"/>
      <c r="F315" s="358"/>
      <c r="G315" s="358"/>
      <c r="H315" s="358"/>
      <c r="I315" s="358"/>
      <c r="J315" s="358"/>
      <c r="K315" s="3580"/>
      <c r="L315" s="3580"/>
      <c r="M315" s="3580"/>
      <c r="N315" s="1171"/>
      <c r="R315" s="1165"/>
      <c r="V315" s="1215"/>
    </row>
    <row r="316" spans="3:22" ht="13">
      <c r="C316" s="1172" t="s">
        <v>1377</v>
      </c>
      <c r="I316" s="3581" t="s">
        <v>1792</v>
      </c>
      <c r="J316" s="3581"/>
      <c r="K316" s="3581"/>
      <c r="L316" s="3581" t="s">
        <v>1855</v>
      </c>
      <c r="M316" s="3581"/>
      <c r="N316" s="3586"/>
      <c r="R316" s="1163"/>
      <c r="V316" s="1215"/>
    </row>
    <row r="317" spans="3:22">
      <c r="C317" s="1581" t="str">
        <f>IF(AND(DS_Add_On_1_Y=1,Non_Competitive_HC_Request_Amount&gt;0),"Tax-Exempt Bond Add-On","No applicable Add-Ons")</f>
        <v>No applicable Add-Ons</v>
      </c>
      <c r="I317" s="3582" t="str">
        <f>IF(AND(DS_Add_On_1_Y=1,Non_Competitive_HC_Request_Amount&gt;0),DS_Bond_ADDON,"")</f>
        <v/>
      </c>
      <c r="J317" s="3582"/>
      <c r="K317" s="3582"/>
      <c r="L317" s="3736">
        <f>IF(OR(K293="County input required",N(Hard_Cost_PU_F)=0),0,IF(N(I317)&gt;0,N(Hard_n_Soft_Costs)+N(I317),N(Hard_n_Soft_Costs)))</f>
        <v>0</v>
      </c>
      <c r="M317" s="3737"/>
      <c r="N317" s="3738"/>
      <c r="R317" s="1207"/>
      <c r="S317" s="126"/>
      <c r="U317" s="410"/>
    </row>
    <row r="318" spans="3:22">
      <c r="C318" s="1581"/>
      <c r="I318" s="3724"/>
      <c r="J318" s="3724"/>
      <c r="K318" s="3724"/>
      <c r="L318" s="3724"/>
      <c r="M318" s="3724"/>
      <c r="N318" s="3739"/>
      <c r="R318" s="1165"/>
      <c r="U318" s="410"/>
    </row>
    <row r="319" spans="3:22" ht="13">
      <c r="C319" s="1172" t="s">
        <v>1378</v>
      </c>
      <c r="I319" s="3581" t="s">
        <v>1379</v>
      </c>
      <c r="J319" s="3581"/>
      <c r="K319" s="3581"/>
      <c r="L319" s="3581" t="s">
        <v>1855</v>
      </c>
      <c r="M319" s="3581"/>
      <c r="N319" s="3586"/>
    </row>
    <row r="320" spans="3:22">
      <c r="C320" s="1582" t="str">
        <f>Multiplier_1</f>
        <v>No Applicable Multipliers</v>
      </c>
      <c r="I320" s="3734" t="str">
        <f>Multiplier_1_Value</f>
        <v/>
      </c>
      <c r="J320" s="3734"/>
      <c r="K320" s="3734"/>
      <c r="L320" s="3737">
        <f>IF($K$293="County input required",0,IF(N(I320)&gt;0,N(L317)/N(I320),N(L317)))</f>
        <v>0</v>
      </c>
      <c r="M320" s="3737"/>
      <c r="N320" s="3738"/>
      <c r="P320" s="127"/>
      <c r="R320" s="410"/>
      <c r="U320" s="1165"/>
    </row>
    <row r="321" spans="3:21">
      <c r="C321" s="1581" t="str">
        <f>Multiplier_2</f>
        <v/>
      </c>
      <c r="I321" s="3734" t="str">
        <f>Multiplier_2_Value</f>
        <v/>
      </c>
      <c r="J321" s="3734"/>
      <c r="K321" s="3734"/>
      <c r="L321" s="3737" t="str">
        <f>IF($K$293="County input required","",IF(N(I321)&gt;0,N(L320)/N(I321),""))</f>
        <v/>
      </c>
      <c r="M321" s="3737"/>
      <c r="N321" s="3738"/>
    </row>
    <row r="322" spans="3:21">
      <c r="C322" s="1581" t="str">
        <f>Multiplier_3</f>
        <v/>
      </c>
      <c r="G322" s="1557"/>
      <c r="H322" s="1557"/>
      <c r="I322" s="3722" t="str">
        <f>Multiplier_3_Value</f>
        <v/>
      </c>
      <c r="J322" s="3722"/>
      <c r="K322" s="3722"/>
      <c r="L322" s="3737" t="str">
        <f>IF($K$293="County input required","",IF(N(I322)&gt;0,N(L321)/N(I322),""))</f>
        <v/>
      </c>
      <c r="M322" s="3737"/>
      <c r="N322" s="3738"/>
    </row>
    <row r="323" spans="3:21" ht="6" customHeight="1">
      <c r="C323" s="1173"/>
      <c r="D323" s="1174"/>
      <c r="E323" s="1174"/>
      <c r="F323" s="1174"/>
      <c r="G323" s="1558"/>
      <c r="H323" s="1558"/>
      <c r="I323" s="3723"/>
      <c r="J323" s="3723"/>
      <c r="K323" s="3723"/>
      <c r="L323" s="3723"/>
      <c r="M323" s="3723"/>
      <c r="N323" s="3735"/>
    </row>
    <row r="324" spans="3:21" ht="6" customHeight="1">
      <c r="G324" s="1203"/>
      <c r="H324" s="1203"/>
      <c r="I324" s="1159"/>
      <c r="J324" s="1159"/>
      <c r="K324" s="1159"/>
      <c r="L324" s="1159"/>
      <c r="M324" s="1159"/>
      <c r="N324" s="1159"/>
    </row>
    <row r="325" spans="3:21" ht="12.75" customHeight="1">
      <c r="G325" s="916"/>
      <c r="H325" s="916"/>
      <c r="I325" s="3720"/>
      <c r="J325" s="3720"/>
      <c r="K325" s="3720"/>
      <c r="L325" s="3720"/>
      <c r="M325" s="3720"/>
      <c r="N325" s="3720"/>
    </row>
    <row r="326" spans="3:21" ht="12.75" customHeight="1">
      <c r="C326" s="1204" t="s">
        <v>1856</v>
      </c>
      <c r="D326" s="1204"/>
      <c r="E326" s="1204"/>
      <c r="F326" s="1204"/>
      <c r="G326" s="1204"/>
      <c r="H326" s="1204"/>
      <c r="I326" s="1165"/>
      <c r="J326" s="1165"/>
      <c r="K326" s="1165"/>
      <c r="L326" s="3585" t="str">
        <f>IF(County=DS_Select_One,"County input required",IF(L320&gt;0,MAX(L320:L322),"TBD"))</f>
        <v>County input required</v>
      </c>
      <c r="M326" s="3585"/>
      <c r="N326" s="3585"/>
    </row>
    <row r="327" spans="3:21">
      <c r="G327" s="3740"/>
      <c r="H327" s="3740"/>
      <c r="L327" s="3737"/>
      <c r="M327" s="3737"/>
      <c r="N327" s="3737"/>
    </row>
    <row r="328" spans="3:21">
      <c r="C328" s="116" t="s">
        <v>1858</v>
      </c>
      <c r="G328" s="915"/>
      <c r="H328" s="915"/>
      <c r="I328" s="1205"/>
      <c r="J328" s="1206"/>
      <c r="K328" s="1206"/>
      <c r="L328" s="3584">
        <f>IFERROR(IF(Hard_Soft_Costs_AOMult="County input required",0,L326*(1+N(Esc_Factor))),0)</f>
        <v>0</v>
      </c>
      <c r="M328" s="3585"/>
      <c r="N328" s="3585"/>
      <c r="R328" s="126"/>
      <c r="S328" s="916"/>
    </row>
    <row r="329" spans="3:21">
      <c r="D329" s="3572" t="str">
        <f>"("&amp;TEXT(N(Hard_Soft_Costs_AOMult),"$#,##0.00")&amp;" Hard and Soft Costs w/ Add-Ons &amp; Multipliers x (1 + "&amp;TEXT(N(Esc_Factor),"0.00")&amp;") One Plus the Escalation Factor = "&amp;TEXT(N(Maximum_DevCost_PU),"$#,##0.00")&amp;")"</f>
        <v>($0.00 Hard and Soft Costs w/ Add-Ons &amp; Multipliers x (1 + 0.06) One Plus the Escalation Factor = $0.00)</v>
      </c>
      <c r="E329" s="3572"/>
      <c r="F329" s="3572"/>
      <c r="G329" s="3572"/>
      <c r="H329" s="3572"/>
      <c r="I329" s="3572"/>
      <c r="J329" s="3572"/>
      <c r="K329" s="3572"/>
      <c r="L329" s="1209"/>
      <c r="M329" s="1209"/>
      <c r="N329" s="1209"/>
      <c r="R329" s="126"/>
      <c r="S329" s="916"/>
    </row>
    <row r="330" spans="3:21">
      <c r="D330" s="3572"/>
      <c r="E330" s="3572"/>
      <c r="F330" s="3572"/>
      <c r="G330" s="3572"/>
      <c r="H330" s="3572"/>
      <c r="I330" s="3572"/>
      <c r="J330" s="3572"/>
      <c r="K330" s="3572"/>
      <c r="L330" s="1209"/>
      <c r="M330" s="1209"/>
      <c r="N330" s="1209"/>
      <c r="R330" s="126"/>
      <c r="S330" s="916"/>
    </row>
    <row r="331" spans="3:21" ht="12.75" customHeight="1">
      <c r="D331" s="2404"/>
      <c r="E331" s="3572" t="str">
        <f>IF(AND(Non_Competitive_HC_Request_Amount&gt;0,Funding!M310&gt;0,SUM(Rehab_Unit_Count)&gt;0),"Adjusted Hard Costs per unit: "&amp;TEXT(Data3!I302+Data3!I304,"$0,0##.00")&amp;"; Adjusted Soft Costs per unit: "&amp;TEXT(N(Max_SC)*(1+N(Esc_Factor)),"$0,00##.00")&amp;"","")</f>
        <v/>
      </c>
      <c r="F331" s="3572"/>
      <c r="G331" s="3572"/>
      <c r="H331" s="3572"/>
      <c r="I331" s="3572"/>
      <c r="J331" s="3572"/>
      <c r="K331" s="3572"/>
      <c r="L331" s="1209"/>
      <c r="M331" s="1209"/>
      <c r="N331" s="1209"/>
      <c r="R331" s="126"/>
      <c r="S331" s="916"/>
    </row>
    <row r="332" spans="3:21" ht="13">
      <c r="D332" s="2404"/>
      <c r="E332" s="3572"/>
      <c r="F332" s="3572"/>
      <c r="G332" s="3572"/>
      <c r="H332" s="3572"/>
      <c r="I332" s="3572"/>
      <c r="J332" s="3572"/>
      <c r="K332" s="3572"/>
      <c r="L332" s="1209"/>
      <c r="M332" s="1209"/>
      <c r="N332" s="1209"/>
      <c r="R332" s="126"/>
      <c r="S332" s="916"/>
    </row>
    <row r="333" spans="3:21">
      <c r="G333" s="916"/>
      <c r="H333" s="916"/>
      <c r="I333" s="1159"/>
      <c r="J333" s="1159"/>
      <c r="K333" s="1159"/>
      <c r="L333" s="1209"/>
      <c r="M333" s="1209"/>
      <c r="N333" s="1209"/>
      <c r="R333" s="126"/>
      <c r="S333" s="916"/>
    </row>
    <row r="334" spans="3:21" ht="13">
      <c r="C334" s="136" t="s">
        <v>1873</v>
      </c>
      <c r="G334" s="915"/>
      <c r="H334" s="915"/>
      <c r="I334" s="1159"/>
      <c r="J334" s="1159"/>
      <c r="K334" s="1159"/>
      <c r="L334" s="3726" t="str">
        <f>IF(N(Maximum_DevCost_PU)="TBD","TBD",IF(N(Maximum_DevCost_PU)&gt;0,N(Maximum_DevCost_PU)*N(Unit_Count),"TBD"))</f>
        <v>TBD</v>
      </c>
      <c r="M334" s="3727"/>
      <c r="N334" s="3727"/>
      <c r="S334" s="916"/>
      <c r="U334" s="915"/>
    </row>
    <row r="335" spans="3:21">
      <c r="D335" s="3728" t="str">
        <f>"("&amp;TEXT(N(Maximum_DevCost_PU),"$#,##0.00")&amp;" Maximum Non-Acquisition Development Cost Per Unit x "&amp;TEXT(N(Unit_Count),"#,##0.00")&amp;" Units = "&amp;TEXT(N(Maximum_DevCost),"$#,##0.00")&amp;")"</f>
        <v>($0.00 Maximum Non-Acquisition Development Cost Per Unit x 0.00 Units = $0.00)</v>
      </c>
      <c r="E335" s="3728"/>
      <c r="F335" s="3728"/>
      <c r="G335" s="3728"/>
      <c r="H335" s="3728"/>
      <c r="I335" s="3728"/>
      <c r="J335" s="3728"/>
      <c r="K335" s="3728"/>
      <c r="L335" s="1210"/>
      <c r="M335" s="1209"/>
      <c r="N335" s="1209"/>
      <c r="S335" s="916"/>
      <c r="U335" s="915"/>
    </row>
    <row r="336" spans="3:21">
      <c r="D336" s="3728"/>
      <c r="E336" s="3728"/>
      <c r="F336" s="3728"/>
      <c r="G336" s="3728"/>
      <c r="H336" s="3728"/>
      <c r="I336" s="3728"/>
      <c r="J336" s="3728"/>
      <c r="K336" s="3728"/>
      <c r="L336" s="1210"/>
      <c r="M336" s="1209"/>
      <c r="N336" s="1209"/>
      <c r="S336" s="916"/>
      <c r="U336" s="916"/>
    </row>
    <row r="337" spans="3:21" ht="13">
      <c r="D337" s="2405"/>
      <c r="E337" s="3728" t="str">
        <f>IF(AND(Non_Competitive_HC_Request_Amount&gt;0,Funding!M310&gt;0,SUM(Rehab_Unit_Count)&gt;0),"Adjusted Hard Costs per Development: "&amp;TEXT((Data3!I302+Data3!I303)*N(Unit_Count),"$0,0##.00")&amp;"; Adjusted Soft Costs per Development: "&amp;TEXT(N(Max_SC)*1.06*N(Unit_Count),"$0,00##.00")&amp;"","")</f>
        <v/>
      </c>
      <c r="F337" s="3728"/>
      <c r="G337" s="3728"/>
      <c r="H337" s="3728"/>
      <c r="I337" s="3728"/>
      <c r="J337" s="3728"/>
      <c r="K337" s="3728"/>
      <c r="L337" s="1210"/>
      <c r="M337" s="1209"/>
      <c r="N337" s="1209"/>
      <c r="S337" s="916"/>
      <c r="U337" s="916"/>
    </row>
    <row r="338" spans="3:21" ht="13">
      <c r="D338" s="2405"/>
      <c r="E338" s="3728"/>
      <c r="F338" s="3728"/>
      <c r="G338" s="3728"/>
      <c r="H338" s="3728"/>
      <c r="I338" s="3728"/>
      <c r="J338" s="3728"/>
      <c r="K338" s="3728"/>
      <c r="L338" s="1210"/>
      <c r="M338" s="1209"/>
      <c r="N338" s="1209"/>
      <c r="S338" s="916"/>
      <c r="U338" s="2427"/>
    </row>
    <row r="339" spans="3:21">
      <c r="G339" s="916"/>
      <c r="H339" s="916"/>
      <c r="I339" s="1159"/>
      <c r="J339" s="1159"/>
      <c r="K339" s="1159"/>
      <c r="L339" s="1209"/>
      <c r="M339" s="1209"/>
      <c r="N339" s="1209"/>
      <c r="S339" s="1202"/>
      <c r="U339" s="2427"/>
    </row>
    <row r="340" spans="3:21">
      <c r="C340" s="116" t="str">
        <f>"Maximum Dev. Fee Amount on Non-Acquisition Development Costs"&amp;IF(DS_MaxDevFeeAcq_Percent+DS_MaxDevFeeODR_Percent=21%,", w/ 5% ODR","")&amp;"………………………………………...."</f>
        <v>Maximum Dev. Fee Amount on Non-Acquisition Development Costs………………………………………....</v>
      </c>
      <c r="L340" s="3584">
        <f>IF(SUM(N(DS_MaxDevFeeNonAcq_Percent),N(DS_MaxDevFeeODR_Percent))=0.21,ROUNDDOWN(N(Maximum_DevCost)*N(DS_MaxDevFeeNonAcq_Percent),0)+ROUNDDOWN(N(Maximum_DevCost)*N(DS_MaxDevFeeODR_Percent),0),IF(AND(N(Non_Competitive_HC_Request_Amount)&gt;0,Funding!M310&gt;0,N(SUM(Rehab_Unit_Count)&gt;0)),ROUNDDOWN(N(Actual_Rehab_NonAcq),0),ROUNDDOWN(N(Maximum_DevCost)*N(DS_MaxDevFeeNonAcq_Percent),0)))</f>
        <v>0</v>
      </c>
      <c r="M340" s="3585"/>
      <c r="N340" s="3585"/>
      <c r="R340" s="1207"/>
    </row>
    <row r="341" spans="3:21" ht="12.75" customHeight="1">
      <c r="D341" s="3728" t="str">
        <f>IF(AND(N(Non_Competitive_HC_Request_Amount)&gt;0,Funding!M310&gt;0,N(SUM(Rehab_Unit_Count))&gt;0),"("&amp;TEXT(N(Max_Tot_DF),"$#,##0")&amp;" Development's Maximum Developer Fee - "&amp;TEXT(N(Build_Cost_Allo_DF),"$#,##0")&amp;" Maximum Development Fee on Development's Actual Building Allocation = "&amp;TEXT(N(Escalated_DF),"$#,##0")&amp;")","("&amp;TEXT(N(Maximum_DevCost),"$#,##0")&amp;" Max Non-Acq Development Cost for Developer Fee x "&amp;TEXT(N(DS_MaxDevFeeAcq_Percent)+N(DS_MaxDevFeeODR_Percent),"#,#0%")&amp;" Non-Acq Developer Fee = "&amp;TEXT(N(Escalated_DF),"$#,##0")&amp;")")</f>
        <v>($0 Max Non-Acq Development Cost for Developer Fee x 18% Non-Acq Developer Fee = $0)</v>
      </c>
      <c r="E341" s="3728"/>
      <c r="F341" s="3728"/>
      <c r="G341" s="3728"/>
      <c r="H341" s="3728"/>
      <c r="I341" s="3728"/>
      <c r="J341" s="3728"/>
      <c r="K341" s="3728"/>
      <c r="L341" s="1209"/>
      <c r="M341" s="1209"/>
      <c r="N341" s="1209"/>
      <c r="R341" s="1165"/>
      <c r="U341" s="126"/>
    </row>
    <row r="342" spans="3:21" ht="12.75" customHeight="1">
      <c r="D342" s="3728"/>
      <c r="E342" s="3728"/>
      <c r="F342" s="3728"/>
      <c r="G342" s="3728"/>
      <c r="H342" s="3728"/>
      <c r="I342" s="3728"/>
      <c r="J342" s="3728"/>
      <c r="K342" s="3728"/>
      <c r="L342" s="1209"/>
      <c r="M342" s="1209"/>
      <c r="N342" s="1209"/>
      <c r="R342" s="1165"/>
      <c r="U342" s="126"/>
    </row>
    <row r="343" spans="3:21" ht="5.25" customHeight="1">
      <c r="D343" s="3732" t="str">
        <f>IF(AND(N(G305)&gt;0,Non_Competitive_HC_Request_Amount&gt;0,Funding!M310&gt;0),_xlfn._LONGTEXT("The Maximium Developer Fee Amount on Non-Acquisition Development Costs will be the lesser of the two methods to calculate the Maximum Developer Fee, less the Maximum Developer Fee on Development's Actual Building Allocation. The Maximum Developer fee is t","he lessor of (a) 18% of the maximum Development Costs (18% x ")&amp;TEXT(Data3!J305+Data3!J315,"$#,##0.00")&amp;" = "&amp;TEXT(Data3!M316,"$#,##0")&amp;"), or (b) the sum of (i) 36% of maximuim A/R Hard Costs + (ii) 18% of maximum A/R Soft Costs + (iii) 9% of Acquisition Costs (36% x "&amp;TEXT(Data3!J303,"$#,##0.00")&amp;" + 18% x "&amp;TEXT(Data3!J308,"$#,##0.00")&amp;" = "&amp;TEXT(ROUNDDOWN(Data3!L303+Data3!J308*18%,0),"$#,##0")&amp;", + 9% x "&amp;TEXT(Data3!J315,"$#,##0.00")&amp;" = "&amp;TEXT(Data3!L315,"$#,##0")&amp;")"&amp;IF(N(G304)=0,"",", as it applies to the Rehabbed units, plus 18% of the maximum NC Development Costs (18% x "&amp;TEXT(Data3!J311,"$#,##0.00")&amp;" = "&amp;TEXT(Data3!L311,"$#,##0")&amp;"),")&amp;" for a total of "&amp;TEXT(Data3!L316,"$#,##0")&amp;".","")</f>
        <v/>
      </c>
      <c r="E343" s="3732"/>
      <c r="F343" s="3732"/>
      <c r="G343" s="3732"/>
      <c r="H343" s="3732"/>
      <c r="I343" s="3732"/>
      <c r="J343" s="3732"/>
      <c r="K343" s="3732"/>
      <c r="L343" s="1209"/>
      <c r="M343" s="1209"/>
      <c r="N343" s="1209"/>
      <c r="R343" s="1165"/>
      <c r="U343" s="126"/>
    </row>
    <row r="344" spans="3:21" ht="12.75" customHeight="1">
      <c r="D344" s="3732"/>
      <c r="E344" s="3732"/>
      <c r="F344" s="3732"/>
      <c r="G344" s="3732"/>
      <c r="H344" s="3732"/>
      <c r="I344" s="3732"/>
      <c r="J344" s="3732"/>
      <c r="K344" s="3732"/>
      <c r="L344" s="1209"/>
      <c r="M344" s="1209"/>
      <c r="N344" s="1209"/>
      <c r="R344" s="1165"/>
      <c r="U344" s="126"/>
    </row>
    <row r="345" spans="3:21" ht="12.75" customHeight="1">
      <c r="D345" s="3732"/>
      <c r="E345" s="3732"/>
      <c r="F345" s="3732"/>
      <c r="G345" s="3732"/>
      <c r="H345" s="3732"/>
      <c r="I345" s="3732"/>
      <c r="J345" s="3732"/>
      <c r="K345" s="3732"/>
      <c r="L345" s="1209"/>
      <c r="M345" s="1209"/>
      <c r="N345" s="1209"/>
      <c r="R345" s="1165"/>
      <c r="U345" s="126"/>
    </row>
    <row r="346" spans="3:21" ht="12.75" customHeight="1">
      <c r="D346" s="3732"/>
      <c r="E346" s="3732"/>
      <c r="F346" s="3732"/>
      <c r="G346" s="3732"/>
      <c r="H346" s="3732"/>
      <c r="I346" s="3732"/>
      <c r="J346" s="3732"/>
      <c r="K346" s="3732"/>
      <c r="L346" s="1209"/>
      <c r="M346" s="1209"/>
      <c r="N346" s="1209"/>
      <c r="R346" s="1165"/>
      <c r="U346" s="126"/>
    </row>
    <row r="347" spans="3:21" ht="12.75" customHeight="1">
      <c r="D347" s="3732"/>
      <c r="E347" s="3732"/>
      <c r="F347" s="3732"/>
      <c r="G347" s="3732"/>
      <c r="H347" s="3732"/>
      <c r="I347" s="3732"/>
      <c r="J347" s="3732"/>
      <c r="K347" s="3732"/>
      <c r="L347" s="1209"/>
      <c r="M347" s="1209"/>
      <c r="N347" s="1209"/>
      <c r="R347" s="1165"/>
      <c r="U347" s="126"/>
    </row>
    <row r="348" spans="3:21" ht="12.75" customHeight="1">
      <c r="D348" s="3732"/>
      <c r="E348" s="3732"/>
      <c r="F348" s="3732"/>
      <c r="G348" s="3732"/>
      <c r="H348" s="3732"/>
      <c r="I348" s="3732"/>
      <c r="J348" s="3732"/>
      <c r="K348" s="3732"/>
      <c r="L348" s="1209"/>
      <c r="M348" s="1209"/>
      <c r="N348" s="1209"/>
      <c r="R348" s="1165"/>
      <c r="U348" s="126"/>
    </row>
    <row r="349" spans="3:21" ht="12.75" customHeight="1">
      <c r="D349" s="3732"/>
      <c r="E349" s="3732"/>
      <c r="F349" s="3732"/>
      <c r="G349" s="3732"/>
      <c r="H349" s="3732"/>
      <c r="I349" s="3732"/>
      <c r="J349" s="3732"/>
      <c r="K349" s="3732"/>
      <c r="L349" s="1209"/>
      <c r="M349" s="1209"/>
      <c r="N349" s="1209"/>
      <c r="R349" s="1165"/>
      <c r="U349" s="126"/>
    </row>
    <row r="350" spans="3:21" ht="12.75" customHeight="1">
      <c r="D350" s="3732"/>
      <c r="E350" s="3732"/>
      <c r="F350" s="3732"/>
      <c r="G350" s="3732"/>
      <c r="H350" s="3732"/>
      <c r="I350" s="3732"/>
      <c r="J350" s="3732"/>
      <c r="K350" s="3732"/>
      <c r="L350" s="1209"/>
      <c r="M350" s="1209"/>
      <c r="N350" s="1209"/>
      <c r="R350" s="1165"/>
      <c r="U350" s="126"/>
    </row>
    <row r="351" spans="3:21" ht="13">
      <c r="D351" s="1168"/>
      <c r="L351" s="1209"/>
      <c r="M351" s="1209"/>
      <c r="N351" s="1209"/>
      <c r="R351" s="1165"/>
    </row>
    <row r="352" spans="3:21">
      <c r="C352" s="116" t="s">
        <v>1874</v>
      </c>
      <c r="L352" s="3585">
        <f>IF(N(Acquisition_total)&gt;0,N(Acquisition_total),0)</f>
        <v>0</v>
      </c>
      <c r="M352" s="3585"/>
      <c r="N352" s="3585"/>
      <c r="R352" s="410"/>
    </row>
    <row r="353" spans="1:18" ht="13">
      <c r="D353" s="1168"/>
      <c r="L353" s="1209"/>
      <c r="M353" s="1209"/>
      <c r="N353" s="1209"/>
      <c r="R353" s="1165"/>
    </row>
    <row r="354" spans="1:18">
      <c r="C354" s="116" t="str">
        <f>"Maximum Dev. Fee on Development's Actual Building Allocation"&amp;IF(DS_MaxDevFeeAcq_Percent+DS_MaxDevFeeODR_Percent=21%,", w/ 5% ODR","")&amp;"………………………………………...."</f>
        <v>Maximum Dev. Fee on Development's Actual Building Allocation………………………………………....</v>
      </c>
      <c r="L354" s="3584">
        <f>IF(SUM(N(DS_MaxDevFeeAcq_Percent),N(DS_MaxDevFeeODR_Percent))=0.21,ROUNDDOWN(N(Acquisition_total)*N(DS_MaxDevFeeAcq_Percent),0)+ROUNDDOWN(N(Acquisition_total)*N(DS_MaxDevFeeODR_Percent),0),IF(AND(Non_Competitive_HC_Request_Amount&gt;0,Funding!M310&gt;0,SUM(Rehab_Unit_Count)&gt;0),ROUNDDOWN(N(Acquisition_total)*Data3!G246,0),ROUNDDOWN(N(Acquisition_total)*N(DS_MaxDevFeeAcq_Percent),0)))</f>
        <v>0</v>
      </c>
      <c r="M354" s="3585"/>
      <c r="N354" s="3585"/>
      <c r="R354" s="1165"/>
    </row>
    <row r="355" spans="1:18" ht="13">
      <c r="D355" s="3731" t="str">
        <f>IF(AND(N(Non_Competitive_HC_Request_Amount)&gt;0,Funding!M310&gt;0,N(SUM(Rehab_Unit_Count))&gt;0),"("&amp;TEXT(N(Acquisition_total),"$#,##0.00")&amp;" Development's Actual Building Allocation x "&amp;TEXT(N(Rehab_Acq_Fee),"#,#0%")&amp;" DF = "&amp;TEXT(N(Build_Cost_Allo_DF),"$#,##0.00")&amp;")","("&amp;TEXT(N(Acquisition_total),"$#,##0.00")&amp;" Development's Actual Building Allocation x "&amp;TEXT(N(DS_MaxDevFeeAcq_Percent)+N(DS_MaxDevFeeODR_Percent),"#,#0%")&amp;" DF = "&amp;TEXT(N(Build_Cost_Allo_DF),"$#,##0.00")&amp;")")</f>
        <v>($0.00 Development's Actual Building Allocation x 18% DF = $0.00)</v>
      </c>
      <c r="E355" s="3731"/>
      <c r="F355" s="3731"/>
      <c r="G355" s="3731"/>
      <c r="H355" s="3731"/>
      <c r="I355" s="3731"/>
      <c r="J355" s="3731"/>
      <c r="K355" s="3731"/>
      <c r="L355" s="1209"/>
      <c r="M355" s="1209"/>
      <c r="N355" s="1209"/>
      <c r="R355" s="1165"/>
    </row>
    <row r="356" spans="1:18" ht="13.5" thickBot="1">
      <c r="A356" s="1239"/>
      <c r="B356" s="1239"/>
      <c r="C356" s="1239"/>
      <c r="D356" s="1240"/>
      <c r="E356" s="1239"/>
      <c r="F356" s="1239"/>
      <c r="G356" s="1239"/>
      <c r="H356" s="1239"/>
      <c r="I356" s="1239"/>
      <c r="J356" s="1239"/>
      <c r="K356" s="1239"/>
      <c r="L356" s="1241"/>
      <c r="M356" s="1241"/>
      <c r="N356" s="1241"/>
      <c r="O356" s="1239"/>
      <c r="P356" s="1239"/>
      <c r="R356" s="1165"/>
    </row>
    <row r="357" spans="1:18" ht="3.75" customHeight="1">
      <c r="D357" s="1168"/>
      <c r="L357" s="1209"/>
      <c r="M357" s="1209"/>
      <c r="N357" s="1209"/>
      <c r="R357" s="1165"/>
    </row>
    <row r="358" spans="1:18" ht="13">
      <c r="B358" s="129" t="str">
        <f>B$2</f>
        <v>RFA 2026-204 DEVELOPMENT COST PRO FORMA</v>
      </c>
      <c r="O358" s="132"/>
      <c r="P358" s="131" t="str">
        <f>IF(OR(AND(Funding!M$310&gt;0,Data3!H$296="No",Minimum_SetAside_per_Sec_42&lt;&gt;"Live Local SAIL only (no HC)"),AND(Minimum_SetAside_per_Sec_42&lt;&gt;"Live Local SAIL only (no HC)",Data3!H$297="Yes")),"(Page 7 of 8)","(Page 7 of 7)")</f>
        <v>(Page 7 of 8)</v>
      </c>
    </row>
    <row r="359" spans="1:18" ht="13">
      <c r="B359" s="129"/>
      <c r="O359" s="132"/>
      <c r="P359" s="131"/>
    </row>
    <row r="360" spans="1:18" ht="13">
      <c r="C360" s="136" t="s">
        <v>1860</v>
      </c>
      <c r="L360" s="3726" t="str">
        <f>IF(Maximum_DevCost="TBD","TBD",N(Escalated_DF)+N(Build_Cost_Allo_DF))</f>
        <v>TBD</v>
      </c>
      <c r="M360" s="3727"/>
      <c r="N360" s="3727"/>
      <c r="R360" s="1165"/>
    </row>
    <row r="361" spans="1:18">
      <c r="D361" s="3728"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61" s="3728"/>
      <c r="F361" s="3728"/>
      <c r="G361" s="3728"/>
      <c r="H361" s="3728"/>
      <c r="I361" s="3728"/>
      <c r="J361" s="3728"/>
      <c r="K361" s="3728"/>
      <c r="L361" s="1209"/>
      <c r="M361" s="1209"/>
      <c r="N361" s="1209"/>
      <c r="R361" s="1165"/>
    </row>
    <row r="362" spans="1:18">
      <c r="D362" s="3728"/>
      <c r="E362" s="3728"/>
      <c r="F362" s="3728"/>
      <c r="G362" s="3728"/>
      <c r="H362" s="3728"/>
      <c r="I362" s="3728"/>
      <c r="J362" s="3728"/>
      <c r="K362" s="3728"/>
      <c r="L362" s="1209"/>
      <c r="M362" s="1209"/>
      <c r="N362" s="1209"/>
      <c r="R362" s="1165"/>
    </row>
    <row r="363" spans="1:18" ht="13">
      <c r="D363" s="1168"/>
      <c r="L363" s="1209"/>
      <c r="M363" s="1209"/>
      <c r="N363" s="1209"/>
      <c r="R363" s="1165"/>
    </row>
    <row r="364" spans="1:18" ht="13.5" thickBot="1">
      <c r="C364" s="136" t="s">
        <v>1859</v>
      </c>
      <c r="L364" s="3729" t="str">
        <f>IF(Maximum_DevCost="TBD","TBD",N(Maximum_DevCost)+N(Escalated_DF)+N(Build_Cost_Allo_DF))</f>
        <v>TBD</v>
      </c>
      <c r="M364" s="3729"/>
      <c r="N364" s="3729"/>
      <c r="R364" s="1165"/>
    </row>
    <row r="365" spans="1:18" ht="12.75" customHeight="1" thickTop="1">
      <c r="D365" s="3728"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65" s="3728"/>
      <c r="F365" s="3728"/>
      <c r="G365" s="3728"/>
      <c r="H365" s="3728"/>
      <c r="I365" s="3728"/>
      <c r="J365" s="3728"/>
      <c r="K365" s="3728"/>
      <c r="L365" s="1167"/>
      <c r="M365" s="1167"/>
      <c r="N365" s="1167"/>
      <c r="R365" s="1165"/>
    </row>
    <row r="366" spans="1:18">
      <c r="D366" s="3728"/>
      <c r="E366" s="3728"/>
      <c r="F366" s="3728"/>
      <c r="G366" s="3728"/>
      <c r="H366" s="3728"/>
      <c r="I366" s="3728"/>
      <c r="J366" s="3728"/>
      <c r="K366" s="3728"/>
      <c r="L366" s="1167"/>
      <c r="M366" s="1167"/>
      <c r="N366" s="1167"/>
      <c r="R366" s="1165"/>
    </row>
    <row r="367" spans="1:18">
      <c r="D367" s="3728"/>
      <c r="E367" s="3728"/>
      <c r="F367" s="3728"/>
      <c r="G367" s="3728"/>
      <c r="H367" s="3728"/>
      <c r="I367" s="3728"/>
      <c r="J367" s="3728"/>
      <c r="K367" s="3728"/>
      <c r="R367" s="1165"/>
    </row>
    <row r="368" spans="1:18">
      <c r="K368" s="3724"/>
      <c r="L368" s="3724"/>
      <c r="M368" s="3724"/>
    </row>
    <row r="369" spans="3:19" ht="13">
      <c r="C369" s="135" t="s">
        <v>1875</v>
      </c>
    </row>
    <row r="370" spans="3:19">
      <c r="K370" s="3724"/>
      <c r="L370" s="3724"/>
      <c r="M370" s="3724"/>
    </row>
    <row r="371" spans="3:19">
      <c r="C371" s="116" t="s">
        <v>1380</v>
      </c>
      <c r="L371" s="3725">
        <f>IF(OR(N(TDC_total)=0,N(TDC_total)="TBD"),0,TDC_total)</f>
        <v>0</v>
      </c>
      <c r="M371" s="3725"/>
      <c r="N371" s="3725"/>
    </row>
    <row r="372" spans="3:19">
      <c r="L372" s="1211"/>
      <c r="M372" s="1211"/>
      <c r="N372" s="1212"/>
    </row>
    <row r="373" spans="3:19">
      <c r="C373" s="116" t="s">
        <v>1381</v>
      </c>
      <c r="L373" s="3725">
        <f>IF(OR(Acquisition_total=0,Acquisition_total=""),0,Acquisition_total)</f>
        <v>0</v>
      </c>
      <c r="M373" s="3725"/>
      <c r="N373" s="3725"/>
    </row>
    <row r="374" spans="3:19" ht="13">
      <c r="D374" s="1208"/>
      <c r="L374" s="1212"/>
      <c r="M374" s="1212"/>
      <c r="N374" s="1212"/>
    </row>
    <row r="375" spans="3:19">
      <c r="C375" s="116" t="s">
        <v>1382</v>
      </c>
      <c r="L375" s="3725">
        <f>IF(OR(Land_total=0,Land_total=""),0,Land_total)</f>
        <v>0</v>
      </c>
      <c r="M375" s="3725"/>
      <c r="N375" s="3725"/>
    </row>
    <row r="376" spans="3:19">
      <c r="L376" s="1211"/>
      <c r="M376" s="1211"/>
      <c r="N376" s="1212"/>
    </row>
    <row r="377" spans="3:19">
      <c r="C377" s="116" t="s">
        <v>1384</v>
      </c>
      <c r="L377" s="3725">
        <f>IF(SUM(N(Actual_Demolition_total)+N(General_relocation_total))=0,0,SUM(N(Actual_Demolition_total)+N(General_relocation_total)))</f>
        <v>0</v>
      </c>
      <c r="M377" s="3725"/>
      <c r="N377" s="3725"/>
    </row>
    <row r="378" spans="3:19">
      <c r="L378" s="1212"/>
      <c r="M378" s="1212"/>
      <c r="N378" s="1212"/>
    </row>
    <row r="379" spans="3:19">
      <c r="C379" s="116" t="s">
        <v>1385</v>
      </c>
      <c r="L379" s="3725">
        <f>IF(OR(Actual_Comm_Retail_total=0,Actual_Comm_Retail_total=""),0,Actual_Comm_Retail_total)</f>
        <v>0</v>
      </c>
      <c r="M379" s="3725"/>
      <c r="N379" s="3725"/>
    </row>
    <row r="380" spans="3:19">
      <c r="L380" s="1212"/>
      <c r="M380" s="1212"/>
      <c r="N380" s="1212"/>
    </row>
    <row r="381" spans="3:19">
      <c r="C381" s="116" t="s">
        <v>2156</v>
      </c>
      <c r="L381" s="3730" t="s">
        <v>2157</v>
      </c>
      <c r="M381" s="3730"/>
      <c r="N381" s="3730"/>
      <c r="S381" s="126"/>
    </row>
    <row r="382" spans="3:19">
      <c r="L382" s="1794"/>
      <c r="M382" s="1794"/>
      <c r="N382" s="1794"/>
    </row>
    <row r="383" spans="3:19" ht="13">
      <c r="C383" s="116" t="s">
        <v>1383</v>
      </c>
      <c r="L383" s="3725">
        <f>IF(OR(ODR_total=0,ODR_total=""),0,ODR_total)</f>
        <v>0</v>
      </c>
      <c r="M383" s="3725"/>
      <c r="N383" s="3725"/>
      <c r="R383" s="1213"/>
    </row>
    <row r="384" spans="3:19">
      <c r="L384" s="1212"/>
      <c r="M384" s="1212"/>
      <c r="N384" s="1212"/>
    </row>
    <row r="385" spans="1:21" ht="13.5" thickBot="1">
      <c r="C385" s="136" t="s">
        <v>1861</v>
      </c>
      <c r="L385" s="3741">
        <f>L371-L373-L375-L377-L379-IF(ConstrFeaturesDeductQual="Yes",N(L381),0)-L383</f>
        <v>0</v>
      </c>
      <c r="M385" s="3741"/>
      <c r="N385" s="3741"/>
      <c r="R385" s="1165"/>
    </row>
    <row r="386" spans="1:21" ht="13" thickTop="1"/>
    <row r="387" spans="1:21" ht="13">
      <c r="C387" s="136" t="s">
        <v>1876</v>
      </c>
      <c r="D387" s="136"/>
      <c r="E387" s="136"/>
      <c r="F387" s="136"/>
      <c r="G387" s="136"/>
      <c r="H387" s="136"/>
      <c r="I387" s="136"/>
      <c r="J387" s="136"/>
      <c r="K387" s="136"/>
      <c r="L387" s="3720" t="str">
        <f>IF(SUM(N(Max_TDC_Component),N(Net_TDC))=0,"TBD",IF(N(Net_TDC)&lt;=N(Max_TDC_Component),"Yes","No"))</f>
        <v>TBD</v>
      </c>
      <c r="M387" s="3720"/>
      <c r="N387" s="3720"/>
      <c r="P387" s="3622" t="str">
        <f>IF(L387="No","†","")</f>
        <v/>
      </c>
    </row>
    <row r="388" spans="1:21" ht="13">
      <c r="C388" s="136"/>
      <c r="D388" s="136" t="s">
        <v>1862</v>
      </c>
      <c r="E388" s="136"/>
      <c r="F388" s="136"/>
      <c r="G388" s="136"/>
      <c r="H388" s="136"/>
      <c r="I388" s="136"/>
      <c r="J388" s="136"/>
      <c r="K388" s="136"/>
      <c r="L388" s="3721"/>
      <c r="M388" s="3721"/>
      <c r="N388" s="3721"/>
      <c r="P388" s="3622"/>
      <c r="R388" s="126"/>
    </row>
    <row r="389" spans="1:21" ht="13">
      <c r="L389" s="873"/>
      <c r="M389" s="873"/>
      <c r="N389" s="873"/>
    </row>
    <row r="390" spans="1:21" ht="13">
      <c r="D390" s="1218" t="s">
        <v>1863</v>
      </c>
      <c r="E390" s="3733" t="s">
        <v>1877</v>
      </c>
      <c r="F390" s="3733"/>
      <c r="G390" s="3733"/>
      <c r="H390" s="3733"/>
      <c r="I390" s="3733"/>
      <c r="J390" s="3733"/>
      <c r="K390" s="3733"/>
      <c r="L390" s="3733"/>
      <c r="M390" s="3733"/>
      <c r="N390" s="3733"/>
    </row>
    <row r="391" spans="1:21">
      <c r="D391" s="124"/>
      <c r="E391" s="3733"/>
      <c r="F391" s="3733"/>
      <c r="G391" s="3733"/>
      <c r="H391" s="3733"/>
      <c r="I391" s="3733"/>
      <c r="J391" s="3733"/>
      <c r="K391" s="3733"/>
      <c r="L391" s="3733"/>
      <c r="M391" s="3733"/>
      <c r="N391" s="3733"/>
    </row>
    <row r="392" spans="1:21">
      <c r="D392" s="124"/>
      <c r="E392" s="3733"/>
      <c r="F392" s="3733"/>
      <c r="G392" s="3733"/>
      <c r="H392" s="3733"/>
      <c r="I392" s="3733"/>
      <c r="J392" s="3733"/>
      <c r="K392" s="3733"/>
      <c r="L392" s="3733"/>
      <c r="M392" s="3733"/>
      <c r="N392" s="3733"/>
    </row>
    <row r="393" spans="1:21" ht="13">
      <c r="L393" s="873"/>
      <c r="M393" s="873"/>
      <c r="N393" s="873"/>
    </row>
    <row r="394" spans="1:21" ht="6" customHeight="1" thickBot="1"/>
    <row r="395" spans="1:21" ht="3.75" customHeight="1">
      <c r="A395" s="133"/>
      <c r="B395" s="133"/>
      <c r="C395" s="133"/>
      <c r="D395" s="133"/>
      <c r="E395" s="133"/>
      <c r="F395" s="133"/>
      <c r="G395" s="133"/>
      <c r="H395" s="133"/>
      <c r="I395" s="133"/>
      <c r="J395" s="133"/>
      <c r="K395" s="133"/>
      <c r="L395" s="133"/>
      <c r="M395" s="133"/>
      <c r="N395" s="133"/>
      <c r="O395" s="133"/>
      <c r="P395" s="133"/>
    </row>
    <row r="396" spans="1:21" ht="12.75" customHeight="1">
      <c r="B396" s="129" t="str">
        <f>B$2</f>
        <v>RFA 2026-204 DEVELOPMENT COST PRO FORMA</v>
      </c>
      <c r="O396" s="132"/>
      <c r="P396" s="131" t="str">
        <f>IF(OR(AND(Funding!M$310&gt;0,Data3!H$296="No",Minimum_SetAside_per_Sec_42&lt;&gt;"Live Local SAIL only (no HC)"),AND(Minimum_SetAside_per_Sec_42&lt;&gt;"Live Local SAIL only (no HC)",Data3!H$297="Yes")),"(Page 8 of 8)","(NA)")</f>
        <v>(Page 8 of 8)</v>
      </c>
      <c r="R396" s="1352"/>
      <c r="S396" s="262"/>
      <c r="T396" s="342"/>
      <c r="U396" s="342"/>
    </row>
    <row r="397" spans="1:21" ht="12.75" customHeight="1">
      <c r="B397" s="129"/>
      <c r="O397" s="132"/>
      <c r="R397" s="746"/>
      <c r="S397" s="342"/>
      <c r="T397" s="342"/>
      <c r="U397" s="342"/>
    </row>
    <row r="398" spans="1:21" ht="12.75" customHeight="1">
      <c r="B398" s="129" t="s">
        <v>1386</v>
      </c>
      <c r="O398" s="132"/>
      <c r="P398" s="399"/>
    </row>
    <row r="399" spans="1:21" ht="12.75" customHeight="1">
      <c r="B399" s="129"/>
      <c r="O399" s="132"/>
      <c r="P399" s="399"/>
    </row>
    <row r="400" spans="1:21" ht="12.75" customHeight="1">
      <c r="B400" s="116" t="s">
        <v>1387</v>
      </c>
    </row>
    <row r="401" spans="1:22" ht="12.75" customHeight="1">
      <c r="B401" s="116" t="s">
        <v>1388</v>
      </c>
    </row>
    <row r="402" spans="1:22" ht="12.75" customHeight="1"/>
    <row r="403" spans="1:22" ht="12.75" customHeight="1">
      <c r="B403" s="135" t="s">
        <v>1389</v>
      </c>
    </row>
    <row r="404" spans="1:22" ht="12.75" customHeight="1"/>
    <row r="405" spans="1:22" ht="12.75" customHeight="1">
      <c r="B405" s="873" t="s">
        <v>1335</v>
      </c>
      <c r="C405" s="136" t="s">
        <v>1390</v>
      </c>
    </row>
    <row r="406" spans="1:22" ht="12.75" customHeight="1">
      <c r="C406" s="116" t="s">
        <v>1391</v>
      </c>
      <c r="L406" s="3702">
        <f>N(Acquisition_total)+N(Land_total)</f>
        <v>0</v>
      </c>
      <c r="M406" s="3702"/>
      <c r="N406" s="3702"/>
    </row>
    <row r="407" spans="1:22" ht="12.75" customHeight="1">
      <c r="D407" s="116" t="s">
        <v>1392</v>
      </c>
      <c r="L407" s="3703">
        <f>IF(N(Land_total)&gt;0,N(Land_total),0)</f>
        <v>0</v>
      </c>
      <c r="M407" s="3703"/>
      <c r="N407" s="3703"/>
    </row>
    <row r="408" spans="1:22" ht="12.75" customHeight="1">
      <c r="D408" s="116" t="s">
        <v>1393</v>
      </c>
      <c r="L408" s="3703">
        <f>N(Developer_fee_acq_total)</f>
        <v>0</v>
      </c>
      <c r="M408" s="3703"/>
      <c r="N408" s="3703"/>
      <c r="Q408" s="126"/>
    </row>
    <row r="409" spans="1:22" ht="12.75" customHeight="1">
      <c r="B409" s="129"/>
      <c r="C409" s="116" t="s">
        <v>1394</v>
      </c>
      <c r="L409" s="3703">
        <f>N(L406)-N(L407)+N(L408)</f>
        <v>0</v>
      </c>
      <c r="M409" s="3703"/>
      <c r="N409" s="3703"/>
    </row>
    <row r="410" spans="1:22" ht="12.75" customHeight="1">
      <c r="C410" s="116" t="s">
        <v>1395</v>
      </c>
      <c r="L410" s="3704">
        <f>IF(Minimum_SetAside_per_Sec_42="Average Income Test",AIT_HC_SA_Percent,NonAIT_HC_SA_Percent)</f>
        <v>0</v>
      </c>
      <c r="M410" s="3704"/>
      <c r="N410" s="3704"/>
    </row>
    <row r="411" spans="1:22" ht="12.75" customHeight="1">
      <c r="C411" s="116" t="s">
        <v>1396</v>
      </c>
      <c r="F411" s="141"/>
      <c r="H411" s="141"/>
      <c r="K411" s="141"/>
      <c r="L411" s="3705">
        <v>1</v>
      </c>
      <c r="M411" s="3705"/>
      <c r="N411" s="3705"/>
    </row>
    <row r="412" spans="1:22" ht="12.75" customHeight="1">
      <c r="C412" s="116" t="s">
        <v>1397</v>
      </c>
      <c r="F412" s="127"/>
      <c r="K412" s="127"/>
      <c r="L412" s="3703">
        <f>N(L409)*N(L410)*N(L411)</f>
        <v>0</v>
      </c>
      <c r="M412" s="3703"/>
      <c r="N412" s="3703"/>
      <c r="Q412" s="342"/>
    </row>
    <row r="413" spans="1:22" ht="12.75" customHeight="1">
      <c r="B413" s="871"/>
      <c r="C413" s="117" t="s">
        <v>1398</v>
      </c>
      <c r="D413" s="871"/>
      <c r="E413" s="871"/>
      <c r="F413" s="400"/>
      <c r="H413" s="650"/>
      <c r="K413" s="401"/>
      <c r="L413" s="3701">
        <v>0.04</v>
      </c>
      <c r="M413" s="3701"/>
      <c r="N413" s="3701"/>
    </row>
    <row r="414" spans="1:22" ht="12.75" customHeight="1">
      <c r="B414" s="871"/>
      <c r="C414" s="117" t="s">
        <v>1399</v>
      </c>
      <c r="D414" s="871"/>
      <c r="E414" s="402"/>
      <c r="F414" s="400"/>
      <c r="H414" s="650"/>
      <c r="K414" s="401"/>
      <c r="L414" s="3703">
        <f>N(L412)*N(L413)</f>
        <v>0</v>
      </c>
      <c r="M414" s="3703"/>
      <c r="N414" s="3703"/>
      <c r="Q414" s="403"/>
      <c r="R414" s="403"/>
      <c r="S414" s="403"/>
      <c r="T414" s="403"/>
      <c r="U414" s="403"/>
      <c r="V414" s="403"/>
    </row>
    <row r="415" spans="1:22" ht="12.75" customHeight="1">
      <c r="B415" s="871"/>
      <c r="C415" s="871"/>
      <c r="D415" s="871"/>
      <c r="E415" s="871"/>
      <c r="F415" s="400"/>
      <c r="H415" s="650"/>
      <c r="K415" s="401"/>
      <c r="N415" s="139"/>
    </row>
    <row r="416" spans="1:22" ht="12.75" customHeight="1">
      <c r="A416" s="404"/>
      <c r="B416" s="404"/>
      <c r="C416" s="404"/>
      <c r="D416" s="404"/>
      <c r="E416" s="404"/>
      <c r="F416" s="400"/>
      <c r="H416" s="650"/>
      <c r="K416" s="401"/>
      <c r="N416" s="139"/>
      <c r="Q416" s="405"/>
      <c r="R416" s="405"/>
      <c r="S416" s="405"/>
      <c r="T416" s="405"/>
      <c r="U416" s="405"/>
      <c r="V416" s="405"/>
    </row>
    <row r="417" spans="1:22" ht="12.75" customHeight="1">
      <c r="A417" s="404"/>
      <c r="B417" s="408" t="s">
        <v>1296</v>
      </c>
      <c r="C417" s="136" t="s">
        <v>1400</v>
      </c>
      <c r="Q417" s="405"/>
      <c r="R417" s="405"/>
      <c r="S417" s="405"/>
      <c r="T417" s="405"/>
      <c r="U417" s="405"/>
      <c r="V417" s="405"/>
    </row>
    <row r="418" spans="1:22" ht="12.75" customHeight="1">
      <c r="A418" s="404"/>
      <c r="B418" s="404"/>
      <c r="C418" s="116" t="s">
        <v>1401</v>
      </c>
      <c r="L418" s="3702">
        <f>N(TDC_total)</f>
        <v>0</v>
      </c>
      <c r="M418" s="3702"/>
      <c r="N418" s="3702"/>
      <c r="Q418" s="406"/>
      <c r="R418" s="406"/>
      <c r="S418" s="406"/>
      <c r="T418" s="406"/>
      <c r="U418" s="406"/>
      <c r="V418" s="406"/>
    </row>
    <row r="419" spans="1:22" ht="12.75" customHeight="1">
      <c r="A419" s="404"/>
      <c r="B419" s="404"/>
      <c r="D419" s="116" t="s">
        <v>1402</v>
      </c>
      <c r="L419" s="3703">
        <f>N(Acquisition_total)+N(Land_total)</f>
        <v>0</v>
      </c>
      <c r="M419" s="3703"/>
      <c r="N419" s="3703"/>
      <c r="Q419" s="406"/>
      <c r="R419" s="406"/>
      <c r="S419" s="406"/>
      <c r="T419" s="406"/>
      <c r="U419" s="406"/>
      <c r="V419" s="406"/>
    </row>
    <row r="420" spans="1:22" ht="12.75" customHeight="1">
      <c r="D420" s="116" t="s">
        <v>1403</v>
      </c>
      <c r="L420" s="3703">
        <f>IF(N(Developer_fee_acq_total)&gt;0,N(Developer_fee_acq_total),0)</f>
        <v>0</v>
      </c>
      <c r="M420" s="3703"/>
      <c r="N420" s="3703"/>
      <c r="O420" s="139"/>
      <c r="P420" s="139"/>
      <c r="Q420" s="407"/>
      <c r="R420" s="407"/>
      <c r="S420" s="407"/>
      <c r="T420" s="407"/>
      <c r="U420" s="407"/>
      <c r="V420" s="407"/>
    </row>
    <row r="421" spans="1:22" ht="12.75" customHeight="1">
      <c r="D421" s="116" t="s">
        <v>1404</v>
      </c>
      <c r="L421" s="3702">
        <f>IF(N(TDC_ineligible)&gt;0,N(TDC_ineligible)-N(Land_total),0)</f>
        <v>0</v>
      </c>
      <c r="M421" s="3702"/>
      <c r="N421" s="3702"/>
      <c r="O421" s="139"/>
      <c r="P421" s="139"/>
      <c r="Q421" s="407"/>
      <c r="R421" s="407"/>
      <c r="S421" s="407"/>
      <c r="T421" s="407"/>
      <c r="U421" s="407"/>
      <c r="V421" s="407"/>
    </row>
    <row r="422" spans="1:22" ht="12.75" customHeight="1">
      <c r="C422" s="116" t="s">
        <v>1405</v>
      </c>
      <c r="L422" s="3702">
        <f>N(L418)-N(L419)-N(L420)-N(L421)</f>
        <v>0</v>
      </c>
      <c r="M422" s="3702"/>
      <c r="N422" s="3702"/>
      <c r="O422" s="139"/>
      <c r="P422" s="139"/>
      <c r="Q422" s="407"/>
      <c r="R422" s="407"/>
      <c r="S422" s="407"/>
      <c r="T422" s="407"/>
      <c r="U422" s="407"/>
      <c r="V422" s="407"/>
    </row>
    <row r="423" spans="1:22" ht="12.75" customHeight="1">
      <c r="C423" s="116" t="s">
        <v>1395</v>
      </c>
      <c r="L423" s="3704">
        <f>L410</f>
        <v>0</v>
      </c>
      <c r="M423" s="3704"/>
      <c r="N423" s="3704"/>
      <c r="O423" s="139"/>
      <c r="P423" s="139"/>
      <c r="Q423" s="407"/>
      <c r="R423" s="407"/>
      <c r="S423" s="407"/>
      <c r="T423" s="407"/>
      <c r="U423" s="407"/>
      <c r="V423" s="407"/>
    </row>
    <row r="424" spans="1:22" ht="12.75" customHeight="1">
      <c r="C424" s="116" t="s">
        <v>1396</v>
      </c>
      <c r="F424" s="141"/>
      <c r="H424" s="141"/>
      <c r="K424" s="141"/>
      <c r="L424" s="3705" cm="1">
        <f t="array" ref="L424">IF(OR(Funding!E320:F320="Yes",Funding!E325:F325="Yes",Funding!E333:F333="Yes",Funding!E338:F338="Yes",Funding!E372:G372="Yes",AND(Funding!M281=1,Funding!M310=0,OR(Funding!E347:F347="Yes",Funding!E366:F366="Yes",Funding!E369:F369="Yes"))),1.3,1)</f>
        <v>1</v>
      </c>
      <c r="M424" s="3705"/>
      <c r="N424" s="3705"/>
      <c r="O424" s="139"/>
      <c r="P424" s="139"/>
    </row>
    <row r="425" spans="1:22" ht="12.75" customHeight="1">
      <c r="C425" s="116" t="s">
        <v>1406</v>
      </c>
      <c r="F425" s="127"/>
      <c r="K425" s="127"/>
      <c r="L425" s="3702">
        <f>N(L422)*N(L423)*N(L424)</f>
        <v>0</v>
      </c>
      <c r="M425" s="3702"/>
      <c r="N425" s="3702"/>
      <c r="O425" s="139"/>
      <c r="P425" s="139"/>
      <c r="Q425" s="157"/>
    </row>
    <row r="426" spans="1:22" ht="12.75" customHeight="1">
      <c r="C426" s="117" t="s">
        <v>1407</v>
      </c>
      <c r="D426" s="871"/>
      <c r="E426" s="871"/>
      <c r="F426" s="400"/>
      <c r="H426" s="650"/>
      <c r="K426" s="401"/>
      <c r="L426" s="3701">
        <f>IF(AND(Funding!I$299&gt;0,Funding!$M$281&gt;0),9%,IF(AND(Funding!$I$310&gt;0,Funding!$M$310&gt;0),4%,0%))</f>
        <v>0</v>
      </c>
      <c r="M426" s="3701"/>
      <c r="N426" s="3701"/>
      <c r="O426" s="321"/>
      <c r="P426" s="321"/>
      <c r="Q426" s="342" t="str">
        <f>IF(AND(Funding!$M$281=1,Funding!$M$310=1),"Funding Tab Error","")</f>
        <v/>
      </c>
    </row>
    <row r="427" spans="1:22" ht="12.75" customHeight="1">
      <c r="C427" s="117" t="s">
        <v>1408</v>
      </c>
      <c r="D427" s="871"/>
      <c r="E427" s="402"/>
      <c r="F427" s="400"/>
      <c r="H427" s="650"/>
      <c r="K427" s="401"/>
      <c r="L427" s="3702">
        <f>N(L425)*N(L426)</f>
        <v>0</v>
      </c>
      <c r="M427" s="3702"/>
      <c r="N427" s="3702"/>
      <c r="O427" s="321"/>
      <c r="P427" s="321"/>
    </row>
    <row r="428" spans="1:22" ht="12.75" customHeight="1">
      <c r="D428" s="322"/>
      <c r="E428" s="322"/>
      <c r="F428" s="322"/>
      <c r="H428" s="323"/>
      <c r="K428" s="324"/>
    </row>
    <row r="429" spans="1:22" ht="12.75" customHeight="1" thickBot="1">
      <c r="C429" s="409" t="s">
        <v>1409</v>
      </c>
      <c r="L429" s="3707">
        <f>N(L414)+N(L427)</f>
        <v>0</v>
      </c>
      <c r="M429" s="3707"/>
      <c r="N429" s="3707"/>
      <c r="V429" s="126"/>
    </row>
    <row r="430" spans="1:22" ht="12.75" customHeight="1" thickTop="1"/>
    <row r="431" spans="1:22" ht="12.75" customHeight="1"/>
    <row r="432" spans="1:22" ht="12.75" customHeight="1">
      <c r="B432" s="135" t="s">
        <v>1410</v>
      </c>
    </row>
    <row r="433" spans="2:21">
      <c r="C433" s="116" t="s">
        <v>1411</v>
      </c>
      <c r="L433" s="3702">
        <f>IF(N(TDC_total)=0,0,TDC_total)</f>
        <v>0</v>
      </c>
      <c r="M433" s="3702"/>
      <c r="N433" s="3702"/>
    </row>
    <row r="434" spans="2:21">
      <c r="D434" s="116" t="s">
        <v>1412</v>
      </c>
      <c r="L434" s="3703">
        <f>Total_NonGrant_Mtg</f>
        <v>0</v>
      </c>
      <c r="M434" s="3703"/>
      <c r="N434" s="3703"/>
      <c r="Q434" s="157"/>
    </row>
    <row r="435" spans="2:21">
      <c r="C435" s="116" t="s">
        <v>1413</v>
      </c>
      <c r="L435" s="3703">
        <f>N(L433)-N(L434)</f>
        <v>0</v>
      </c>
      <c r="M435" s="3703"/>
      <c r="N435" s="3703"/>
    </row>
    <row r="436" spans="2:21" ht="13">
      <c r="C436" s="116" t="s">
        <v>1414</v>
      </c>
      <c r="L436" s="3708">
        <v>0.99990000000000001</v>
      </c>
      <c r="M436" s="3708"/>
      <c r="N436" s="3708"/>
      <c r="Q436" s="416" t="s">
        <v>1415</v>
      </c>
    </row>
    <row r="437" spans="2:21">
      <c r="C437" s="116" t="s">
        <v>1416</v>
      </c>
      <c r="L437" s="3709" t="str">
        <f>IF(AND(N(Competitive_HC_Request_Amount)=0,N(Non_Competitive_HC_Request_Amount)=0),"TBD",PermAnalysis_HC/(IF(N(L426)=9%,Competitive_HC_Request_Amount,Non_Competitive_HC_Request_Amount)*10*Percent_Credits_Purchased))</f>
        <v>TBD</v>
      </c>
      <c r="M437" s="3709"/>
      <c r="N437" s="3709"/>
    </row>
    <row r="438" spans="2:21">
      <c r="C438" s="116" t="s">
        <v>1417</v>
      </c>
      <c r="L438" s="3703" t="str">
        <f>IF(OR(L437=0,L437="TBD"),"TBD",N(L435)/N(L436)/N(L437))</f>
        <v>TBD</v>
      </c>
      <c r="M438" s="3703"/>
      <c r="N438" s="3703"/>
      <c r="Q438" s="410"/>
    </row>
    <row r="439" spans="2:21" ht="13" thickBot="1">
      <c r="C439" s="116" t="s">
        <v>1418</v>
      </c>
      <c r="L439" s="3710" t="str">
        <f>IF(L438="TBD","TBD",N(L438)/10)</f>
        <v>TBD</v>
      </c>
      <c r="M439" s="3710"/>
      <c r="N439" s="3710"/>
      <c r="U439" s="415"/>
    </row>
    <row r="440" spans="2:21" ht="13" thickTop="1"/>
    <row r="442" spans="2:21" ht="13">
      <c r="B442" s="135" t="s">
        <v>1419</v>
      </c>
    </row>
    <row r="443" spans="2:21">
      <c r="C443" s="116" t="s">
        <v>1420</v>
      </c>
      <c r="L443" s="3702">
        <f>N(L429)</f>
        <v>0</v>
      </c>
      <c r="M443" s="3702"/>
      <c r="N443" s="3702"/>
    </row>
    <row r="444" spans="2:21">
      <c r="C444" s="116" t="s">
        <v>1421</v>
      </c>
      <c r="L444" s="3703">
        <f>N(L439)</f>
        <v>0</v>
      </c>
      <c r="M444" s="3703"/>
      <c r="N444" s="3703"/>
      <c r="Q444" s="157"/>
    </row>
    <row r="445" spans="2:21" ht="13">
      <c r="C445" s="136" t="s">
        <v>1422</v>
      </c>
      <c r="D445" s="136"/>
      <c r="E445" s="136"/>
      <c r="F445" s="136"/>
      <c r="G445" s="136"/>
      <c r="H445" s="136"/>
      <c r="I445" s="136"/>
      <c r="J445" s="136"/>
      <c r="K445" s="136"/>
      <c r="L445" s="3711">
        <f>MIN(N(L443),N(L444))</f>
        <v>0</v>
      </c>
      <c r="M445" s="3711"/>
      <c r="N445" s="3711"/>
    </row>
    <row r="446" spans="2:21">
      <c r="C446" s="116" t="s">
        <v>1423</v>
      </c>
      <c r="L446" s="3703">
        <f>N(L445)*N(L436)*N(L437)*10</f>
        <v>0</v>
      </c>
      <c r="M446" s="3703"/>
      <c r="N446" s="3703"/>
    </row>
    <row r="449" spans="2:17" ht="13">
      <c r="B449" s="135" t="s">
        <v>2623</v>
      </c>
    </row>
    <row r="450" spans="2:17">
      <c r="C450" s="116" t="s">
        <v>1424</v>
      </c>
      <c r="L450" s="3702">
        <f>IF(N(TDC_eligible)&gt;0,N(TDC_eligible)+N(Actual_Comm_Retail_total)+IF(N(Actual_GCfee_eligible)=0,N(Actual_GCfee_total),0)+IF(N(Developer_fee_eligible)=0,N(Developer_fee_total),0),0)</f>
        <v>0</v>
      </c>
      <c r="M450" s="3702"/>
      <c r="N450" s="3702"/>
    </row>
    <row r="451" spans="2:17">
      <c r="D451" s="116" t="s">
        <v>1425</v>
      </c>
      <c r="L451" s="3703">
        <f>IF(N(Land_total)&gt;0,N(Land_total),0)</f>
        <v>0</v>
      </c>
      <c r="M451" s="3703"/>
      <c r="N451" s="3703"/>
      <c r="Q451" s="157"/>
    </row>
    <row r="452" spans="2:17">
      <c r="C452" s="116" t="s">
        <v>1426</v>
      </c>
      <c r="L452" s="3703">
        <f>N(L450)+N(L451)</f>
        <v>0</v>
      </c>
      <c r="M452" s="3703"/>
      <c r="N452" s="3703"/>
    </row>
    <row r="453" spans="2:17">
      <c r="C453" s="116" t="s">
        <v>2734</v>
      </c>
      <c r="L453" s="3703">
        <f>IF(AND(Funding!M310&gt;0,Funding!L385&gt;0,N(Eligible_MMRB_TE_Request_Amount)&gt;0),N(Eligible_MMRB_TE_Request_Amount),IF(AND(Funding!M310&gt;0,Funding!L385&gt;0,N(Eligible_MMRB_TE_Request_Amount)=0),HFA_Total_Rqst,0))</f>
        <v>0</v>
      </c>
      <c r="M453" s="3703"/>
      <c r="N453" s="3703"/>
      <c r="Q453" s="157"/>
    </row>
    <row r="454" spans="2:17" ht="13">
      <c r="C454" s="116" t="s">
        <v>1427</v>
      </c>
      <c r="L454" s="3703">
        <f>L453</f>
        <v>0</v>
      </c>
      <c r="M454" s="3703"/>
      <c r="N454" s="3703"/>
      <c r="Q454" s="157"/>
    </row>
    <row r="455" spans="2:17" ht="13">
      <c r="C455" s="136" t="s">
        <v>1428</v>
      </c>
      <c r="D455" s="136"/>
      <c r="E455" s="136"/>
      <c r="F455" s="136"/>
      <c r="G455" s="136"/>
      <c r="H455" s="136"/>
      <c r="I455" s="136"/>
      <c r="J455" s="136"/>
      <c r="K455" s="136"/>
      <c r="L455" s="3706" t="str">
        <f>IF(N(L452)=0,"TBD",N(L454)/N(L452))</f>
        <v>TBD</v>
      </c>
      <c r="M455" s="3706"/>
      <c r="N455" s="3706"/>
      <c r="Q455" s="157"/>
    </row>
    <row r="457" spans="2:17" ht="13">
      <c r="C457" s="164" t="s">
        <v>1429</v>
      </c>
    </row>
    <row r="458" spans="2:17" ht="13">
      <c r="C458" s="164" t="s">
        <v>3255</v>
      </c>
    </row>
    <row r="459" spans="2:17">
      <c r="E459" s="120"/>
      <c r="F459" s="119"/>
    </row>
    <row r="460" spans="2:17">
      <c r="E460" s="120"/>
      <c r="F460" s="119"/>
    </row>
    <row r="461" spans="2:17">
      <c r="E461" s="120"/>
      <c r="F461" s="119"/>
    </row>
    <row r="462" spans="2:17">
      <c r="E462" s="120"/>
      <c r="F462" s="119"/>
    </row>
    <row r="463" spans="2:17">
      <c r="E463" s="120"/>
      <c r="F463" s="119"/>
    </row>
    <row r="464" spans="2:17">
      <c r="E464" s="120"/>
      <c r="F464" s="119"/>
    </row>
    <row r="465" spans="5:6">
      <c r="E465" s="120"/>
      <c r="F465" s="119"/>
    </row>
    <row r="466" spans="5:6">
      <c r="E466" s="118"/>
    </row>
    <row r="467" spans="5:6">
      <c r="E467" s="118"/>
    </row>
    <row r="468" spans="5:6">
      <c r="E468" s="118"/>
    </row>
    <row r="469" spans="5:6">
      <c r="E469" s="118"/>
    </row>
    <row r="470" spans="5:6">
      <c r="E470" s="118"/>
    </row>
    <row r="471" spans="5:6">
      <c r="E471" s="118"/>
    </row>
    <row r="472" spans="5:6">
      <c r="E472" s="118"/>
    </row>
    <row r="473" spans="5:6">
      <c r="E473" s="117"/>
    </row>
    <row r="474" spans="5:6">
      <c r="E474" s="117"/>
    </row>
    <row r="475" spans="5:6">
      <c r="E475" s="117"/>
    </row>
    <row r="476" spans="5:6">
      <c r="E476" s="117"/>
    </row>
    <row r="477" spans="5:6">
      <c r="E477" s="117"/>
    </row>
    <row r="478" spans="5:6">
      <c r="E478" s="117"/>
    </row>
    <row r="479" spans="5:6">
      <c r="E479" s="117"/>
    </row>
    <row r="480" spans="5:6">
      <c r="E480" s="117"/>
    </row>
    <row r="481" spans="5:5">
      <c r="E481" s="117"/>
    </row>
    <row r="482" spans="5:5">
      <c r="E482" s="117"/>
    </row>
    <row r="483" spans="5:5">
      <c r="E483" s="117"/>
    </row>
    <row r="484" spans="5:5">
      <c r="E484" s="117"/>
    </row>
    <row r="485" spans="5:5">
      <c r="E485" s="117"/>
    </row>
    <row r="486" spans="5:5">
      <c r="E486" s="117"/>
    </row>
    <row r="487" spans="5:5">
      <c r="E487" s="117"/>
    </row>
    <row r="488" spans="5:5">
      <c r="E488" s="117"/>
    </row>
    <row r="489" spans="5:5">
      <c r="E489" s="117"/>
    </row>
    <row r="490" spans="5:5">
      <c r="E490" s="117"/>
    </row>
    <row r="491" spans="5:5">
      <c r="E491" s="117"/>
    </row>
    <row r="492" spans="5:5">
      <c r="E492" s="117"/>
    </row>
    <row r="493" spans="5:5">
      <c r="E493" s="117"/>
    </row>
    <row r="494" spans="5:5">
      <c r="E494" s="117"/>
    </row>
  </sheetData>
  <sheetProtection algorithmName="SHA-512" hashValue="rqLW8BWgYFUQx3HLGi1z6B8ys0YXF3eFQgl4JtLEO79N1wU//+u2JBSrV+mpOoWFw3yZsY/P/xA41Ccz6bxLqQ==" saltValue="+NhEMZE3Y6LNtVEtQ/93UA==" spinCount="100000" sheet="1" selectLockedCells="1"/>
  <mergeCells count="219">
    <mergeCell ref="E390:N392"/>
    <mergeCell ref="I321:K321"/>
    <mergeCell ref="D329:K330"/>
    <mergeCell ref="D335:K336"/>
    <mergeCell ref="D365:K367"/>
    <mergeCell ref="L323:N323"/>
    <mergeCell ref="L317:N317"/>
    <mergeCell ref="L318:N318"/>
    <mergeCell ref="L319:N319"/>
    <mergeCell ref="L320:N320"/>
    <mergeCell ref="L321:N321"/>
    <mergeCell ref="L322:N322"/>
    <mergeCell ref="G327:H327"/>
    <mergeCell ref="L327:N327"/>
    <mergeCell ref="L328:N328"/>
    <mergeCell ref="L334:N334"/>
    <mergeCell ref="L383:N383"/>
    <mergeCell ref="L377:N377"/>
    <mergeCell ref="L379:N379"/>
    <mergeCell ref="I320:K320"/>
    <mergeCell ref="L340:N340"/>
    <mergeCell ref="L352:N352"/>
    <mergeCell ref="I318:K318"/>
    <mergeCell ref="L385:N385"/>
    <mergeCell ref="L387:N388"/>
    <mergeCell ref="I322:K322"/>
    <mergeCell ref="I323:K323"/>
    <mergeCell ref="K368:M368"/>
    <mergeCell ref="K370:M370"/>
    <mergeCell ref="L371:N371"/>
    <mergeCell ref="L373:N373"/>
    <mergeCell ref="L375:N375"/>
    <mergeCell ref="I325:K325"/>
    <mergeCell ref="L325:N325"/>
    <mergeCell ref="L326:N326"/>
    <mergeCell ref="L354:N354"/>
    <mergeCell ref="L360:N360"/>
    <mergeCell ref="D361:K362"/>
    <mergeCell ref="L364:N364"/>
    <mergeCell ref="D341:K342"/>
    <mergeCell ref="L381:N381"/>
    <mergeCell ref="E337:K338"/>
    <mergeCell ref="D355:K355"/>
    <mergeCell ref="D343:K350"/>
    <mergeCell ref="L418:N418"/>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454:N454"/>
    <mergeCell ref="L455:N455"/>
    <mergeCell ref="L429:N429"/>
    <mergeCell ref="L433:N433"/>
    <mergeCell ref="L434:N434"/>
    <mergeCell ref="L435:N435"/>
    <mergeCell ref="L436:N436"/>
    <mergeCell ref="L437:N437"/>
    <mergeCell ref="L438:N438"/>
    <mergeCell ref="L439:N439"/>
    <mergeCell ref="L443:N443"/>
    <mergeCell ref="L444:N444"/>
    <mergeCell ref="L445:N445"/>
    <mergeCell ref="L446:N446"/>
    <mergeCell ref="L450:N450"/>
    <mergeCell ref="L451:N451"/>
    <mergeCell ref="L452:N452"/>
    <mergeCell ref="L453:N453"/>
    <mergeCell ref="A1:P1"/>
    <mergeCell ref="K198:N198"/>
    <mergeCell ref="K200:N200"/>
    <mergeCell ref="K202:N202"/>
    <mergeCell ref="K248:N248"/>
    <mergeCell ref="K37:N37"/>
    <mergeCell ref="L426:N426"/>
    <mergeCell ref="L427:N427"/>
    <mergeCell ref="L421:N421"/>
    <mergeCell ref="L419:N419"/>
    <mergeCell ref="L420:N420"/>
    <mergeCell ref="L422:N422"/>
    <mergeCell ref="L423:N423"/>
    <mergeCell ref="L424:N424"/>
    <mergeCell ref="L425:N425"/>
    <mergeCell ref="L411:N411"/>
    <mergeCell ref="L412:N412"/>
    <mergeCell ref="L413:N413"/>
    <mergeCell ref="L414:N414"/>
    <mergeCell ref="L406:N406"/>
    <mergeCell ref="L407:N407"/>
    <mergeCell ref="L408:N408"/>
    <mergeCell ref="L409:N409"/>
    <mergeCell ref="L410:N410"/>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3:Z124"/>
    <mergeCell ref="Q93:Z93"/>
    <mergeCell ref="K192:N192"/>
    <mergeCell ref="F174:O176"/>
    <mergeCell ref="K184:N184"/>
    <mergeCell ref="K218:N218"/>
    <mergeCell ref="K220:N220"/>
    <mergeCell ref="M230:N230"/>
    <mergeCell ref="D88:E88"/>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5:Z126"/>
    <mergeCell ref="Q70:Z70"/>
    <mergeCell ref="Q121:Z122"/>
    <mergeCell ref="P387:P388"/>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6:F306"/>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 ref="K216:N216"/>
    <mergeCell ref="K264:N264"/>
    <mergeCell ref="D304:F304"/>
    <mergeCell ref="D305:F305"/>
    <mergeCell ref="G304:H304"/>
    <mergeCell ref="G305:H305"/>
    <mergeCell ref="L304:N304"/>
    <mergeCell ref="L305:N305"/>
    <mergeCell ref="I304:K304"/>
    <mergeCell ref="I305:K305"/>
    <mergeCell ref="E331:K332"/>
    <mergeCell ref="G306:H306"/>
    <mergeCell ref="I306:K306"/>
    <mergeCell ref="L306:N306"/>
    <mergeCell ref="K315:M315"/>
    <mergeCell ref="I316:K316"/>
    <mergeCell ref="I317:K317"/>
    <mergeCell ref="I319:K319"/>
    <mergeCell ref="D307:N310"/>
    <mergeCell ref="L312:N312"/>
    <mergeCell ref="L316:N316"/>
  </mergeCells>
  <conditionalFormatting sqref="C59:F59">
    <cfRule type="expression" dxfId="148" priority="66">
      <formula>$P60="No"</formula>
    </cfRule>
  </conditionalFormatting>
  <conditionalFormatting sqref="C64:F64">
    <cfRule type="expression" dxfId="147" priority="70">
      <formula>$P$65="No"</formula>
    </cfRule>
  </conditionalFormatting>
  <conditionalFormatting sqref="C87:F87">
    <cfRule type="expression" dxfId="146" priority="83">
      <formula>$P$88="No"</formula>
    </cfRule>
  </conditionalFormatting>
  <conditionalFormatting sqref="C119:F119">
    <cfRule type="expression" dxfId="145" priority="127">
      <formula>OR($P$119="**",$P$114="**",$P$112="**")</formula>
    </cfRule>
  </conditionalFormatting>
  <conditionalFormatting sqref="D116:D117">
    <cfRule type="expression" dxfId="144" priority="121">
      <formula>$Q118="No"</formula>
    </cfRule>
  </conditionalFormatting>
  <conditionalFormatting sqref="D390:E390 D391:D392">
    <cfRule type="expression" dxfId="143" priority="4349">
      <formula>$P$387=$D$390</formula>
    </cfRule>
  </conditionalFormatting>
  <conditionalFormatting sqref="D112:F112">
    <cfRule type="expression" dxfId="142" priority="91">
      <formula>$P$112="**"</formula>
    </cfRule>
  </conditionalFormatting>
  <conditionalFormatting sqref="D114:F114">
    <cfRule type="expression" dxfId="141" priority="104">
      <formula>$P$114="**"</formula>
    </cfRule>
  </conditionalFormatting>
  <conditionalFormatting sqref="D227:F228 J228:P228">
    <cfRule type="expression" dxfId="140" priority="238">
      <formula>$H$228&lt;0</formula>
    </cfRule>
  </conditionalFormatting>
  <conditionalFormatting sqref="D275:F276 J276:P276">
    <cfRule type="expression" dxfId="139" priority="266">
      <formula>$H$276&lt;0</formula>
    </cfRule>
  </conditionalFormatting>
  <conditionalFormatting sqref="D264:J264 O264:Q264">
    <cfRule type="expression" dxfId="138" priority="10">
      <formula>$E$41&lt;&gt;3</formula>
    </cfRule>
  </conditionalFormatting>
  <conditionalFormatting sqref="D216:K216 C210:C212 C214:C216 O216:Q216">
    <cfRule type="expression" dxfId="137" priority="11">
      <formula>$E$41&lt;&gt;3</formula>
    </cfRule>
  </conditionalFormatting>
  <conditionalFormatting sqref="F60">
    <cfRule type="expression" dxfId="136" priority="69">
      <formula>SUM($H$59,$K$59)&gt;$F$60</formula>
    </cfRule>
  </conditionalFormatting>
  <conditionalFormatting sqref="F65">
    <cfRule type="expression" dxfId="135" priority="78">
      <formula>SUM($H$64,$K$64)&gt;$F$65</formula>
    </cfRule>
  </conditionalFormatting>
  <conditionalFormatting sqref="F88:F89">
    <cfRule type="expression" dxfId="134" priority="88">
      <formula>SUM($H$87,$K$87)&gt;$F$88</formula>
    </cfRule>
  </conditionalFormatting>
  <conditionalFormatting sqref="F113">
    <cfRule type="expression" dxfId="133" priority="103">
      <formula>SUM($H$112,$K$112)&gt;$F$113</formula>
    </cfRule>
  </conditionalFormatting>
  <conditionalFormatting sqref="F115">
    <cfRule type="expression" dxfId="132" priority="109">
      <formula>SUM($H$114,$K$114)&gt;$F$115</formula>
    </cfRule>
  </conditionalFormatting>
  <conditionalFormatting sqref="F120">
    <cfRule type="expression" dxfId="131" priority="132">
      <formula>SUM($H$119,$K$119)&gt;$F$120</formula>
    </cfRule>
  </conditionalFormatting>
  <conditionalFormatting sqref="F122">
    <cfRule type="expression" dxfId="130" priority="142">
      <formula>SUM($H$119,$K$119)&gt;$F$120</formula>
    </cfRule>
  </conditionalFormatting>
  <conditionalFormatting sqref="F145">
    <cfRule type="expression" dxfId="129" priority="148">
      <formula>AND($F$145="",$N$54&lt;&gt;"")</formula>
    </cfRule>
  </conditionalFormatting>
  <conditionalFormatting sqref="F158">
    <cfRule type="expression" dxfId="128" priority="159">
      <formula>AND($F$158="",$N$82&lt;&gt;"")</formula>
    </cfRule>
  </conditionalFormatting>
  <conditionalFormatting sqref="F167">
    <cfRule type="expression" dxfId="127" priority="184">
      <formula>AND($F$167="",$N$95&lt;&gt;"")</formula>
    </cfRule>
  </conditionalFormatting>
  <conditionalFormatting sqref="F174">
    <cfRule type="expression" dxfId="126" priority="196">
      <formula>AND($F$174="",$N$103&lt;&gt;"")</formula>
    </cfRule>
  </conditionalFormatting>
  <conditionalFormatting sqref="F141:O143">
    <cfRule type="expression" dxfId="125" priority="146">
      <formula>AND($F$141="",$N$50&lt;&gt;"")</formula>
    </cfRule>
  </conditionalFormatting>
  <conditionalFormatting sqref="F152:O156">
    <cfRule type="expression" dxfId="124" priority="150">
      <formula>AND($F$152="",#REF!&lt;&gt;"")</formula>
    </cfRule>
  </conditionalFormatting>
  <conditionalFormatting sqref="G39">
    <cfRule type="cellIs" dxfId="123" priority="61" operator="notEqual">
      <formula>""</formula>
    </cfRule>
  </conditionalFormatting>
  <conditionalFormatting sqref="H44 H46 H93 H123">
    <cfRule type="expression" dxfId="122" priority="43">
      <formula>AND($E$41=3,$H44&lt;&gt;"")</formula>
    </cfRule>
  </conditionalFormatting>
  <conditionalFormatting sqref="H44 H46 H93">
    <cfRule type="expression" dxfId="121" priority="49">
      <formula>$E$41=2</formula>
    </cfRule>
  </conditionalFormatting>
  <conditionalFormatting sqref="H46">
    <cfRule type="expression" dxfId="120" priority="64">
      <formula>H46&lt;&gt;ROUNDDOWN(H46,0)</formula>
    </cfRule>
  </conditionalFormatting>
  <conditionalFormatting sqref="H78">
    <cfRule type="expression" dxfId="119" priority="80">
      <formula>H78&lt;&gt;ROUNDDOWN(H78,0)</formula>
    </cfRule>
  </conditionalFormatting>
  <conditionalFormatting sqref="H121">
    <cfRule type="expression" dxfId="117" priority="16">
      <formula>AND(E41=3,H121&gt;0)</formula>
    </cfRule>
    <cfRule type="expression" dxfId="116" priority="17">
      <formula>AND(E41=2,F122&gt;0)</formula>
    </cfRule>
  </conditionalFormatting>
  <conditionalFormatting sqref="H123">
    <cfRule type="expression" dxfId="115" priority="44">
      <formula>$E$41=2</formula>
    </cfRule>
  </conditionalFormatting>
  <conditionalFormatting sqref="H190">
    <cfRule type="expression" dxfId="114" priority="201">
      <formula>$P$190="**"</formula>
    </cfRule>
  </conditionalFormatting>
  <conditionalFormatting sqref="H202 R202:V202">
    <cfRule type="expression" dxfId="113" priority="129">
      <formula>$R$202="The Request Amount is greater than the maximum allowed."</formula>
    </cfRule>
  </conditionalFormatting>
  <conditionalFormatting sqref="H204 R204:V204">
    <cfRule type="expression" dxfId="112" priority="136">
      <formula>$R$204="The Request Amount is greater than the maximum allowed."</formula>
    </cfRule>
  </conditionalFormatting>
  <conditionalFormatting sqref="H206 R206:V206">
    <cfRule type="expression" dxfId="111" priority="145">
      <formula>$R$206="The Request Amount is greater than the maximum allowed."</formula>
    </cfRule>
  </conditionalFormatting>
  <conditionalFormatting sqref="H208 R208:V208">
    <cfRule type="expression" dxfId="110" priority="160">
      <formula>$R$208="The Request Amount is greater than the maximum allowed."</formula>
    </cfRule>
  </conditionalFormatting>
  <conditionalFormatting sqref="H216">
    <cfRule type="expression" dxfId="109" priority="8">
      <formula>AND($E$41=2,$H$216&gt;0)</formula>
    </cfRule>
    <cfRule type="expression" dxfId="108" priority="230">
      <formula>AND(OR(Competitive_HC_Request_Amount&gt;0,Non_Competitive_HC_Request_Amount&gt;0),ConstrAnalysis_HC=0)</formula>
    </cfRule>
  </conditionalFormatting>
  <conditionalFormatting sqref="H222">
    <cfRule type="expression" dxfId="107" priority="237">
      <formula>$R$222="The Deferred Developer Fee is greater than than the Total Developer Fee."</formula>
    </cfRule>
  </conditionalFormatting>
  <conditionalFormatting sqref="H258 R258 T258:V258">
    <cfRule type="expression" dxfId="106" priority="224">
      <formula>$R$258="The Request Amount is greater than the maximum allowed."</formula>
    </cfRule>
  </conditionalFormatting>
  <conditionalFormatting sqref="H260 R260 T260:V260">
    <cfRule type="expression" dxfId="105" priority="225">
      <formula>$R$260="The Request Amount is greater than the maximum allowed."</formula>
    </cfRule>
  </conditionalFormatting>
  <conditionalFormatting sqref="H262 R262 T262:V262">
    <cfRule type="expression" dxfId="104" priority="228">
      <formula>$R$262="The Request Amount is greater than the maximum allowed."</formula>
    </cfRule>
  </conditionalFormatting>
  <conditionalFormatting sqref="H264">
    <cfRule type="expression" dxfId="103" priority="9">
      <formula>AND($E$41=2,$H$264&gt;0)</formula>
    </cfRule>
    <cfRule type="expression" dxfId="102" priority="258">
      <formula>AND(OR(Competitive_HC_Request_Amount&gt;0,Non_Competitive_HC_Request_Amount&gt;0),PermAnalysis_HC=0)</formula>
    </cfRule>
  </conditionalFormatting>
  <conditionalFormatting sqref="H270">
    <cfRule type="expression" dxfId="101" priority="264">
      <formula>$R$270="The Deferred Developer Fee is greater than than the Total Developer Fee."</formula>
    </cfRule>
  </conditionalFormatting>
  <conditionalFormatting sqref="I37:I38">
    <cfRule type="expression" dxfId="100" priority="59">
      <formula>$P37="**"</formula>
    </cfRule>
  </conditionalFormatting>
  <conditionalFormatting sqref="I304:L305">
    <cfRule type="expression" dxfId="97" priority="2">
      <formula>N($G304)=0</formula>
    </cfRule>
  </conditionalFormatting>
  <conditionalFormatting sqref="I297:N303">
    <cfRule type="expression" dxfId="96" priority="36">
      <formula>N($G297)=0</formula>
    </cfRule>
  </conditionalFormatting>
  <conditionalFormatting sqref="J44:J64 Q54:Z55 Q72 Q73:Z73 Q80:Z83 J85:J87 Q93:Z93 Q95:Z96 J97:J125 Q102:Z104">
    <cfRule type="expression" dxfId="95" priority="51">
      <formula>$E$41=2</formula>
    </cfRule>
  </conditionalFormatting>
  <conditionalFormatting sqref="J228:J229">
    <cfRule type="expression" dxfId="94" priority="244">
      <formula>H228&lt;0</formula>
    </cfRule>
  </conditionalFormatting>
  <conditionalFormatting sqref="J276:J278">
    <cfRule type="expression" dxfId="93" priority="278">
      <formula>H276&lt;0</formula>
    </cfRule>
  </conditionalFormatting>
  <conditionalFormatting sqref="K44:K64 K72:K87 K91:K125">
    <cfRule type="expression" dxfId="92" priority="47">
      <formula>$E$41=2</formula>
    </cfRule>
  </conditionalFormatting>
  <conditionalFormatting sqref="K117">
    <cfRule type="expression" dxfId="91" priority="12">
      <formula>$E$41=3</formula>
    </cfRule>
  </conditionalFormatting>
  <conditionalFormatting sqref="K121">
    <cfRule type="expression" dxfId="90" priority="7">
      <formula>E41=2</formula>
    </cfRule>
    <cfRule type="expression" dxfId="89" priority="134">
      <formula>AND(E41=3,F122&gt;0)</formula>
    </cfRule>
  </conditionalFormatting>
  <conditionalFormatting sqref="K190 K192 K194 K196 K198 K200 K202 K204 K206 K208 K218 K220 K244 K246 K248 K250 K252 K254 K256 K258 K260 K262 K266 K268">
    <cfRule type="expression" dxfId="88" priority="216">
      <formula>AND(OR($K190="&lt;select from menu&gt;",$K190=""),N($H190)&gt;0)</formula>
    </cfRule>
  </conditionalFormatting>
  <conditionalFormatting sqref="K264">
    <cfRule type="expression" dxfId="87" priority="1">
      <formula>$E$41&lt;&gt;3</formula>
    </cfRule>
  </conditionalFormatting>
  <conditionalFormatting sqref="K428">
    <cfRule type="cellIs" dxfId="86" priority="964" operator="equal">
      <formula>"(greater than 60% maximum)"</formula>
    </cfRule>
    <cfRule type="cellIs" dxfId="85" priority="966" operator="equal">
      <formula>"(less than 60% maximum)"</formula>
    </cfRule>
    <cfRule type="cellIs" dxfId="84" priority="1250" operator="equal">
      <formula>"(equal to 60% maximum)"</formula>
    </cfRule>
  </conditionalFormatting>
  <conditionalFormatting sqref="L230">
    <cfRule type="expression" dxfId="83" priority="246">
      <formula>H230&lt;0</formula>
    </cfRule>
  </conditionalFormatting>
  <conditionalFormatting sqref="L387">
    <cfRule type="cellIs" dxfId="82" priority="41" operator="equal">
      <formula>"No"</formula>
    </cfRule>
  </conditionalFormatting>
  <conditionalFormatting sqref="L326:N326">
    <cfRule type="cellIs" dxfId="79" priority="22" operator="equal">
      <formula>"County input required"</formula>
    </cfRule>
  </conditionalFormatting>
  <conditionalFormatting sqref="L381:N381">
    <cfRule type="expression" dxfId="76" priority="3" stopIfTrue="1">
      <formula>AND(ConstrFeaturesDeductQual="Yes",OR(ConstrFeaturesDeductCost="&lt;enter value&gt;",ConstrFeaturesDeductCost=0))</formula>
    </cfRule>
    <cfRule type="expression" dxfId="75" priority="4">
      <formula>AND(ConstrFeaturesDeductQual="Yes",ConstrFeaturesDeductCost&gt;0)</formula>
    </cfRule>
    <cfRule type="expression" dxfId="74" priority="5">
      <formula>AND(ConstrFeaturesDeductQual&lt;&gt;"Yes",ConstrFeaturesDeductCost&lt;&gt;"&lt;enter value&gt;")</formula>
    </cfRule>
  </conditionalFormatting>
  <conditionalFormatting sqref="L387:N388">
    <cfRule type="cellIs" dxfId="73" priority="13" operator="equal">
      <formula>"Yes"</formula>
    </cfRule>
  </conditionalFormatting>
  <conditionalFormatting sqref="L455:N455">
    <cfRule type="expression" dxfId="72" priority="1264">
      <formula>N($L$455)&gt;=0.25</formula>
    </cfRule>
    <cfRule type="cellIs" dxfId="71" priority="1798" operator="lessThan">
      <formula>0.25</formula>
    </cfRule>
    <cfRule type="cellIs" dxfId="70" priority="1774" operator="equal">
      <formula>"TBD"</formula>
    </cfRule>
  </conditionalFormatting>
  <conditionalFormatting sqref="M230:N230">
    <cfRule type="cellIs" dxfId="69" priority="247" operator="equal">
      <formula>"No"</formula>
    </cfRule>
  </conditionalFormatting>
  <conditionalFormatting sqref="M278:N278">
    <cfRule type="cellIs" dxfId="68" priority="279" operator="equal">
      <formula>"No"</formula>
    </cfRule>
  </conditionalFormatting>
  <conditionalFormatting sqref="N56:N61 N63:N64">
    <cfRule type="cellIs" dxfId="67" priority="65" operator="equal">
      <formula>0</formula>
    </cfRule>
  </conditionalFormatting>
  <conditionalFormatting sqref="N59">
    <cfRule type="expression" dxfId="66" priority="67">
      <formula>$P$60="No"</formula>
    </cfRule>
  </conditionalFormatting>
  <conditionalFormatting sqref="N64">
    <cfRule type="expression" dxfId="65" priority="71">
      <formula>$P$65="No"</formula>
    </cfRule>
  </conditionalFormatting>
  <conditionalFormatting sqref="N85">
    <cfRule type="cellIs" dxfId="64" priority="81" operator="equal">
      <formula>0</formula>
    </cfRule>
  </conditionalFormatting>
  <conditionalFormatting sqref="N87">
    <cfRule type="expression" dxfId="63" priority="84">
      <formula>$P$88="No"</formula>
    </cfRule>
  </conditionalFormatting>
  <conditionalFormatting sqref="N97:N107 N109:N120 N124">
    <cfRule type="cellIs" dxfId="62" priority="90" operator="equal">
      <formula>0</formula>
    </cfRule>
  </conditionalFormatting>
  <conditionalFormatting sqref="N112">
    <cfRule type="expression" dxfId="61" priority="93">
      <formula>P113="No"</formula>
    </cfRule>
  </conditionalFormatting>
  <conditionalFormatting sqref="N114">
    <cfRule type="expression" dxfId="60" priority="105">
      <formula>$P$115="No"</formula>
    </cfRule>
  </conditionalFormatting>
  <conditionalFormatting sqref="N119">
    <cfRule type="expression" dxfId="59" priority="130">
      <formula>OR($P$119="**",$P$114="**",$P$112="**")</formula>
    </cfRule>
  </conditionalFormatting>
  <conditionalFormatting sqref="N121">
    <cfRule type="expression" dxfId="58" priority="135">
      <formula>F122&gt;0</formula>
    </cfRule>
    <cfRule type="expression" dxfId="57" priority="16568">
      <formula>Q124="No"</formula>
    </cfRule>
  </conditionalFormatting>
  <conditionalFormatting sqref="O425:P427">
    <cfRule type="cellIs" dxfId="54" priority="940" operator="equal">
      <formula>"(Total Units here matches the Total Units entered on row 38 above)"</formula>
    </cfRule>
    <cfRule type="cellIs" dxfId="53" priority="301" operator="equal">
      <formula>"(Total Units here does NOT match the Total Units entered on row 38 above)"</formula>
    </cfRule>
  </conditionalFormatting>
  <conditionalFormatting sqref="P37:P38">
    <cfRule type="cellIs" dxfId="52" priority="60" operator="equal">
      <formula>"**"</formula>
    </cfRule>
  </conditionalFormatting>
  <conditionalFormatting sqref="P59">
    <cfRule type="cellIs" dxfId="51" priority="68" operator="equal">
      <formula>"**"</formula>
    </cfRule>
  </conditionalFormatting>
  <conditionalFormatting sqref="P64">
    <cfRule type="cellIs" dxfId="50" priority="73" operator="equal">
      <formula>"**"</formula>
    </cfRule>
  </conditionalFormatting>
  <conditionalFormatting sqref="P87">
    <cfRule type="cellIs" dxfId="49" priority="85" operator="equal">
      <formula>"**"</formula>
    </cfRule>
  </conditionalFormatting>
  <conditionalFormatting sqref="P112">
    <cfRule type="cellIs" dxfId="48" priority="102" operator="equal">
      <formula>"**"</formula>
    </cfRule>
  </conditionalFormatting>
  <conditionalFormatting sqref="P114">
    <cfRule type="cellIs" dxfId="47" priority="107" operator="equal">
      <formula>"**"</formula>
    </cfRule>
  </conditionalFormatting>
  <conditionalFormatting sqref="P119">
    <cfRule type="cellIs" dxfId="46" priority="131" operator="equal">
      <formula>"**"</formula>
    </cfRule>
  </conditionalFormatting>
  <conditionalFormatting sqref="P121">
    <cfRule type="cellIs" dxfId="45" priority="141" operator="equal">
      <formula>"**"</formula>
    </cfRule>
  </conditionalFormatting>
  <conditionalFormatting sqref="P141">
    <cfRule type="cellIs" dxfId="44" priority="147" operator="equal">
      <formula>"**"</formula>
    </cfRule>
  </conditionalFormatting>
  <conditionalFormatting sqref="P145">
    <cfRule type="cellIs" dxfId="43" priority="149" operator="equal">
      <formula>"**"</formula>
    </cfRule>
  </conditionalFormatting>
  <conditionalFormatting sqref="P152">
    <cfRule type="cellIs" dxfId="42" priority="151" operator="equal">
      <formula>"**"</formula>
    </cfRule>
  </conditionalFormatting>
  <conditionalFormatting sqref="P158">
    <cfRule type="cellIs" dxfId="41" priority="183" operator="equal">
      <formula>"**"</formula>
    </cfRule>
  </conditionalFormatting>
  <conditionalFormatting sqref="P167">
    <cfRule type="cellIs" dxfId="40" priority="195" operator="equal">
      <formula>"**"</formula>
    </cfRule>
  </conditionalFormatting>
  <conditionalFormatting sqref="P174">
    <cfRule type="cellIs" dxfId="39" priority="197" operator="equal">
      <formula>"**"</formula>
    </cfRule>
  </conditionalFormatting>
  <conditionalFormatting sqref="P190">
    <cfRule type="cellIs" dxfId="38" priority="218" operator="equal">
      <formula>"**"</formula>
    </cfRule>
  </conditionalFormatting>
  <conditionalFormatting sqref="P216">
    <cfRule type="cellIs" dxfId="37" priority="234" operator="equal">
      <formula>"**"</formula>
    </cfRule>
  </conditionalFormatting>
  <conditionalFormatting sqref="P227">
    <cfRule type="cellIs" dxfId="36" priority="239" operator="equal">
      <formula>"**"</formula>
    </cfRule>
  </conditionalFormatting>
  <conditionalFormatting sqref="P264">
    <cfRule type="cellIs" dxfId="34" priority="262" operator="equal">
      <formula>"**"</formula>
    </cfRule>
  </conditionalFormatting>
  <conditionalFormatting sqref="P275">
    <cfRule type="cellIs" dxfId="33" priority="277" operator="equal">
      <formula>"**"</formula>
    </cfRule>
  </conditionalFormatting>
  <conditionalFormatting sqref="P387">
    <cfRule type="cellIs" dxfId="32" priority="27" operator="equal">
      <formula>"†"</formula>
    </cfRule>
  </conditionalFormatting>
  <conditionalFormatting sqref="Q116">
    <cfRule type="cellIs" dxfId="31" priority="89" operator="equal">
      <formula>"Yes"</formula>
    </cfRule>
    <cfRule type="cellIs" dxfId="30" priority="82" operator="equal">
      <formula>"No"</formula>
    </cfRule>
  </conditionalFormatting>
  <conditionalFormatting sqref="Q228:Q230">
    <cfRule type="expression" dxfId="29" priority="199">
      <formula>H228&gt;=0</formula>
    </cfRule>
    <cfRule type="expression" dxfId="28" priority="181">
      <formula>H228&lt;0</formula>
    </cfRule>
  </conditionalFormatting>
  <conditionalFormatting sqref="Q276:Q278">
    <cfRule type="expression" dxfId="27" priority="250">
      <formula>H276&gt;=0</formula>
    </cfRule>
    <cfRule type="expression" dxfId="26" priority="254">
      <formula>H276&lt;0</formula>
    </cfRule>
  </conditionalFormatting>
  <conditionalFormatting sqref="Q416">
    <cfRule type="expression" dxfId="25" priority="295">
      <formula>OR(SUM($H$413:$H$417)&lt;ROUNDUP($H$426*45%,0),SUM($H$413:$H$417)&gt;ROUNDUP($H$426*50%,0))</formula>
    </cfRule>
  </conditionalFormatting>
  <conditionalFormatting sqref="Q426">
    <cfRule type="cellIs" dxfId="24" priority="303" operator="equal">
      <formula>"Funding Tab Error"</formula>
    </cfRule>
  </conditionalFormatting>
  <conditionalFormatting sqref="Q418:V419">
    <cfRule type="expression" dxfId="23" priority="298">
      <formula>ROUND((H$428*H$422-60%*H$422)/(60%-F418),9)&lt;0</formula>
    </cfRule>
  </conditionalFormatting>
  <conditionalFormatting sqref="Q44:Z47">
    <cfRule type="expression" dxfId="22" priority="48">
      <formula>$E$41=2</formula>
    </cfRule>
  </conditionalFormatting>
  <conditionalFormatting sqref="Q59:Z60">
    <cfRule type="expression" dxfId="21" priority="53">
      <formula>$P$60="No"</formula>
    </cfRule>
  </conditionalFormatting>
  <conditionalFormatting sqref="Q64:Z65">
    <cfRule type="expression" dxfId="20" priority="54">
      <formula>$P$65="No"</formula>
    </cfRule>
  </conditionalFormatting>
  <conditionalFormatting sqref="Q87:Z89">
    <cfRule type="expression" dxfId="19" priority="56">
      <formula>$P$88="No"</formula>
    </cfRule>
  </conditionalFormatting>
  <conditionalFormatting sqref="Q112:Z113">
    <cfRule type="expression" dxfId="17" priority="57">
      <formula>$P$113="No"</formula>
    </cfRule>
  </conditionalFormatting>
  <conditionalFormatting sqref="Q114:Z115">
    <cfRule type="expression" dxfId="16" priority="58">
      <formula>$P$115="No"</formula>
    </cfRule>
  </conditionalFormatting>
  <conditionalFormatting sqref="Q119:Z120">
    <cfRule type="expression" dxfId="15" priority="111">
      <formula>$P$120="No"</formula>
    </cfRule>
  </conditionalFormatting>
  <conditionalFormatting sqref="Q123:Z124">
    <cfRule type="expression" dxfId="14" priority="122">
      <formula>$P$122="No"</formula>
    </cfRule>
  </conditionalFormatting>
  <conditionalFormatting sqref="R190">
    <cfRule type="expression" dxfId="13" priority="125">
      <formula>$P$190="**"</formula>
    </cfRule>
  </conditionalFormatting>
  <conditionalFormatting sqref="R222">
    <cfRule type="cellIs" dxfId="12" priority="180" operator="equal">
      <formula>"The Deferred Developer Fee is greater than than the Total Developer Fee."</formula>
    </cfRule>
  </conditionalFormatting>
  <conditionalFormatting sqref="R250">
    <cfRule type="cellIs" dxfId="11" priority="221" operator="equal">
      <formula>"Total Permanent SAIL+ SAIL ELI funding is greater than the maximum 35% of TDC."</formula>
    </cfRule>
  </conditionalFormatting>
  <conditionalFormatting sqref="R270">
    <cfRule type="cellIs" dxfId="10" priority="18" operator="equal">
      <formula>"The Deferred Developer Fee is greater than than the Total Developer Fee."</formula>
    </cfRule>
  </conditionalFormatting>
  <conditionalFormatting sqref="R256:V256">
    <cfRule type="expression" dxfId="9" priority="223">
      <formula>$R$256="The Request Amount is greater than the maximum allowed."</formula>
    </cfRule>
  </conditionalFormatting>
  <conditionalFormatting sqref="R216:W217">
    <cfRule type="expression" dxfId="8" priority="179">
      <formula>$P$216="**"</formula>
    </cfRule>
  </conditionalFormatting>
  <conditionalFormatting sqref="R264:W265">
    <cfRule type="expression" dxfId="7" priority="229">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218:N218 K192:N192 K194:N194 K196:N196 K198:N198 K220:N220 K200 K246:N246 K248:N248 K250:N250 K252:N252 K254:N254 K266:N266 K268:N268"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81:N381" xr:uid="{0AF2267A-D63A-484F-833D-42A40399606A}">
      <formula1>(ConstrFeaturesDeductQual="Yes")</formula1>
    </dataValidation>
  </dataValidations>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rowBreaks count="7" manualBreakCount="7">
    <brk id="66" max="15" man="1"/>
    <brk id="127" max="15" man="1"/>
    <brk id="178" max="15" man="1"/>
    <brk id="232" max="16383" man="1"/>
    <brk id="280" max="15" man="1"/>
    <brk id="356" max="15" man="1"/>
    <brk id="394"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5" id="{0C612862-1A5F-42F4-B439-A14B20D5D53C}">
            <xm:f>Data3!$H$298="Yes"</xm:f>
            <x14:dxf>
              <fill>
                <patternFill patternType="lightUp">
                  <fgColor theme="0" tint="-0.499984740745262"/>
                </patternFill>
              </fill>
            </x14:dxf>
          </x14:cfRule>
          <xm:sqref>A365:D365</xm:sqref>
        </x14:conditionalFormatting>
        <x14:conditionalFormatting xmlns:xm="http://schemas.microsoft.com/office/excel/2006/main">
          <x14:cfRule type="expression" priority="21" id="{18E85572-4858-486B-99B0-871917609149}">
            <xm:f>Data3!$H$298="Yes"</xm:f>
            <x14:dxf>
              <fill>
                <patternFill patternType="lightUp">
                  <fgColor theme="0" tint="-0.499984740745262"/>
                </patternFill>
              </fill>
            </x14:dxf>
          </x14:cfRule>
          <xm:sqref>A311:O315</xm:sqref>
        </x14:conditionalFormatting>
        <x14:conditionalFormatting xmlns:xm="http://schemas.microsoft.com/office/excel/2006/main">
          <x14:cfRule type="expression" priority="42" id="{2B53F0A5-FFEA-4301-9502-B77D0D23CF4D}">
            <xm:f>Data3!$H$298="Yes"</xm:f>
            <x14:dxf>
              <fill>
                <patternFill patternType="lightUp">
                  <fgColor theme="0" tint="-0.499984740745262"/>
                </patternFill>
              </fill>
            </x14:dxf>
          </x14:cfRule>
          <xm:sqref>A368:O389 A281:P281 A282:O282 A283:P283 A284:B289 D284:P289 A290:P292 A293:O296 A297:N303 A304:D304 G304:G305 L304:L305 A305:F305 A306:H306 L306:O306 A307:D307 O307:O310 A308:C310 A316:F316 I316 O316:O357 A317:C317 E317:F317 A318:F319 I318:I321 E320:F321 A320:C322 E322:G322 A323:G325 A326:C326 A327:G328 R328:T339 A329:D329 A330:C332 A333:G334 I333:K334 A335:D335 A336:C338 A339:G340 I339:K340 A340:O340 A341:D341 L341:O350 U341:U350 A342:C350 A351:O354 A355:D355 L355:O355 A356:O358 A360:O360 A360:G364 I360:K364 O360:O367 L361:O362 A363:O364 L365:O367 A366:C367 A390:E390 O390:O392 A391:D392 A393:O393 A394:P394</xm:sqref>
        </x14:conditionalFormatting>
        <x14:conditionalFormatting xmlns:xm="http://schemas.microsoft.com/office/excel/2006/main">
          <x14:cfRule type="expression" priority="20" id="{2AB00410-1041-40D9-B345-D8D64237394D}">
            <xm:f>Data3!$H$298="Yes"</xm:f>
            <x14:dxf>
              <fill>
                <patternFill patternType="lightUp">
                  <fgColor theme="0" tint="-0.499984740745262"/>
                </patternFill>
              </fill>
            </x14:dxf>
          </x14:cfRule>
          <xm:sqref>A359:P359</xm:sqref>
        </x14:conditionalFormatting>
        <x14:conditionalFormatting xmlns:xm="http://schemas.microsoft.com/office/excel/2006/main">
          <x14:cfRule type="expression" priority="14615" id="{912693A0-E14F-4C18-A88F-91EE6ACEE73C}">
            <xm:f>AND(Data3!$H$297="No",Funding!$M$310=0)</xm:f>
            <x14:dxf>
              <fill>
                <patternFill patternType="lightUp">
                  <fgColor theme="0" tint="-0.499984740745262"/>
                </patternFill>
              </fill>
            </x14:dxf>
          </x14:cfRule>
          <xm:sqref>A395:P457</xm:sqref>
        </x14:conditionalFormatting>
        <x14:conditionalFormatting xmlns:xm="http://schemas.microsoft.com/office/excel/2006/main">
          <x14:cfRule type="expression" priority="14616" id="{40F6F4EB-4803-41E7-90EB-94CD8400F33A}">
            <xm:f>Funding!$M$310=0</xm:f>
            <x14:dxf>
              <fill>
                <patternFill patternType="lightUp">
                  <fgColor theme="0" tint="-0.499984740745262"/>
                </patternFill>
              </fill>
            </x14:dxf>
          </x14:cfRule>
          <xm:sqref>B449:N457</xm:sqref>
        </x14:conditionalFormatting>
        <x14:conditionalFormatting xmlns:xm="http://schemas.microsoft.com/office/excel/2006/main">
          <x14:cfRule type="expression" priority="16594" id="{00000000-000E-0000-0100-00000D000000}">
            <xm:f>(Data3!$G$242+Data3!$G$248)&lt;&gt;21%</xm:f>
            <x14:dxf>
              <fill>
                <patternFill>
                  <bgColor theme="1"/>
                </patternFill>
              </fill>
            </x14:dxf>
          </x14:cfRule>
          <xm:sqref>H117 N117</xm:sqref>
        </x14:conditionalFormatting>
        <x14:conditionalFormatting xmlns:xm="http://schemas.microsoft.com/office/excel/2006/main">
          <x14:cfRule type="expression" priority="31" id="{94684C1F-322D-4A04-BC56-F0F54713EA85}">
            <xm:f>Data3!$H$298="Yes"</xm:f>
            <x14:dxf>
              <fill>
                <patternFill patternType="lightUp">
                  <fgColor theme="0" tint="-0.499984740745262"/>
                </patternFill>
              </fill>
            </x14:dxf>
          </x14:cfRule>
          <xm:sqref>I322:K325</xm:sqref>
        </x14:conditionalFormatting>
        <x14:conditionalFormatting xmlns:xm="http://schemas.microsoft.com/office/excel/2006/main">
          <x14:cfRule type="expression" priority="29" id="{E403C3E4-E367-4472-84C3-0CA0C43ACFC9}">
            <xm:f>Data3!$H$298="Yes"</xm:f>
            <x14:dxf>
              <fill>
                <patternFill patternType="lightUp">
                  <fgColor theme="0" tint="-0.499984740745262"/>
                </patternFill>
              </fill>
            </x14:dxf>
          </x14:cfRule>
          <xm:sqref>I327:K328</xm:sqref>
        </x14:conditionalFormatting>
        <x14:conditionalFormatting xmlns:xm="http://schemas.microsoft.com/office/excel/2006/main">
          <x14:cfRule type="expression" priority="34" id="{33CC4BB8-A1EC-465A-8D3B-3F7960F70E50}">
            <xm:f>Data3!$H$298="Yes"</xm:f>
            <x14:dxf>
              <fill>
                <patternFill patternType="lightUp">
                  <fgColor theme="0" tint="-0.499984740745262"/>
                </patternFill>
              </fill>
            </x14:dxf>
          </x14:cfRule>
          <xm:sqref>L316:N316</xm:sqref>
        </x14:conditionalFormatting>
        <x14:conditionalFormatting xmlns:xm="http://schemas.microsoft.com/office/excel/2006/main">
          <x14:cfRule type="expression" priority="33" id="{AF1289D5-6D6E-4C5F-90A0-D509D5EE45A5}">
            <xm:f>Data3!$H$298="Yes"</xm:f>
            <x14:dxf>
              <fill>
                <patternFill patternType="lightUp">
                  <fgColor theme="0" tint="-0.499984740745262"/>
                </patternFill>
              </fill>
            </x14:dxf>
          </x14:cfRule>
          <xm:sqref>L319:N319</xm:sqref>
        </x14:conditionalFormatting>
        <x14:conditionalFormatting xmlns:xm="http://schemas.microsoft.com/office/excel/2006/main">
          <x14:cfRule type="expression" priority="23" id="{BE890E57-C5AD-45DE-844F-E9D0649E3192}">
            <xm:f>Data3!$H$298="Yes"</xm:f>
            <x14:dxf>
              <fill>
                <patternFill patternType="lightUp">
                  <fgColor theme="0" tint="-0.499984740745262"/>
                </patternFill>
              </fill>
            </x14:dxf>
          </x14:cfRule>
          <xm:sqref>L328:N328</xm:sqref>
        </x14:conditionalFormatting>
        <x14:conditionalFormatting xmlns:xm="http://schemas.microsoft.com/office/excel/2006/main">
          <x14:cfRule type="expression" priority="28" id="{0A3F31F1-72D4-4551-BDBA-D0FBCC0456DC}">
            <xm:f>Data3!$H$298="Yes"</xm:f>
            <x14:dxf>
              <fill>
                <patternFill patternType="lightUp">
                  <fgColor theme="0" tint="-0.499984740745262"/>
                </patternFill>
              </fill>
            </x14:dxf>
          </x14:cfRule>
          <xm:sqref>L334:N338</xm:sqref>
        </x14:conditionalFormatting>
        <x14:conditionalFormatting xmlns:xm="http://schemas.microsoft.com/office/excel/2006/main">
          <x14:cfRule type="expression" priority="16932" id="{D11438AD-F2A1-4D53-9AAB-7FE0C6588B4E}">
            <xm:f>AND(Funding!M310&gt;0,N(Non_Competetive_HC_Request_Amount)&gt;0,ConstrAnalysis__1st_Type&lt;&gt;"Bonds: FHFC MMRB Tax Exempt",ConstrAnalysis__1st_Type&lt;&gt;"Bonds: Local HFA Tax Exempt")</xm:f>
            <x14:dxf>
              <font>
                <b val="0"/>
                <i val="0"/>
                <color rgb="FFC00000"/>
              </font>
              <fill>
                <patternFill>
                  <bgColor rgb="FFFFE6FF"/>
                </patternFill>
              </fill>
            </x14:dxf>
          </x14:cfRule>
          <x14:cfRule type="expression" priority="16931" id="{36113936-6A94-4B3F-BC79-522C86DE8DD9}">
            <xm:f>AND(Funding!$L385&gt;0,N(Funding!#REF!)&gt;0,$K$190&lt;&gt;"Bonds: FHFC MMRB Tax Exempt")</xm:f>
            <x14:dxf>
              <font>
                <color rgb="FFC00000"/>
              </font>
              <fill>
                <patternFill>
                  <bgColor rgb="FFFFE6FF"/>
                </patternFill>
              </fill>
            </x14:dxf>
          </x14:cfRule>
          <xm:sqref>N190</xm:sqref>
        </x14:conditionalFormatting>
        <x14:conditionalFormatting xmlns:xm="http://schemas.microsoft.com/office/excel/2006/main">
          <x14:cfRule type="expression" priority="248" id="{F214F08D-DE99-4E80-B7B7-BEAC46DFC338}">
            <xm:f>Data1!$E$906="Yes"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5"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tabColor theme="0" tint="-4.9989318521683403E-2"/>
  </sheetPr>
  <dimension ref="A1:J19"/>
  <sheetViews>
    <sheetView showGridLines="0" topLeftCell="A2" zoomScale="110" zoomScaleNormal="110" workbookViewId="0">
      <selection activeCell="A8" sqref="A8:J9"/>
    </sheetView>
  </sheetViews>
  <sheetFormatPr defaultColWidth="8.54296875" defaultRowHeight="14.5"/>
  <cols>
    <col min="1" max="1" width="3" customWidth="1"/>
    <col min="2" max="3" width="3.54296875" customWidth="1"/>
    <col min="4" max="4" width="4.453125" customWidth="1"/>
    <col min="5" max="8" width="16.453125" customWidth="1"/>
    <col min="9" max="9" width="15.7265625" customWidth="1"/>
    <col min="10" max="10" width="15.453125" customWidth="1"/>
    <col min="11" max="11" width="8.7265625" customWidth="1"/>
  </cols>
  <sheetData>
    <row r="1" spans="1:10" ht="36" customHeight="1" thickBot="1">
      <c r="A1" s="2582" t="s">
        <v>1460</v>
      </c>
      <c r="B1" s="2583"/>
      <c r="C1" s="2583"/>
      <c r="D1" s="2583"/>
      <c r="E1" s="2583"/>
      <c r="F1" s="2583"/>
      <c r="G1" s="2583"/>
      <c r="H1" s="2583"/>
      <c r="I1" s="2583"/>
      <c r="J1" s="2584"/>
    </row>
    <row r="2" spans="1:10" ht="14.65" customHeight="1"/>
    <row r="3" spans="1:10" ht="65.25" customHeight="1">
      <c r="A3" s="2544" t="s">
        <v>1941</v>
      </c>
      <c r="B3" s="2544"/>
      <c r="C3" s="2544"/>
      <c r="D3" s="2544"/>
      <c r="E3" s="2544"/>
      <c r="F3" s="2544"/>
      <c r="G3" s="2544"/>
      <c r="H3" s="2544"/>
      <c r="I3" s="2544"/>
      <c r="J3" s="2544"/>
    </row>
    <row r="4" spans="1:10" ht="17.649999999999999" customHeight="1">
      <c r="A4" s="261" t="s">
        <v>1461</v>
      </c>
      <c r="B4" s="17" t="s">
        <v>1462</v>
      </c>
      <c r="C4" s="826"/>
      <c r="D4" s="826"/>
      <c r="E4" s="826"/>
      <c r="F4" s="826"/>
      <c r="G4" s="826"/>
      <c r="H4" s="826"/>
      <c r="I4" s="826"/>
      <c r="J4" s="826"/>
    </row>
    <row r="5" spans="1:10" ht="17.649999999999999" customHeight="1">
      <c r="A5" s="261" t="s">
        <v>1461</v>
      </c>
      <c r="B5" s="17" t="s">
        <v>1463</v>
      </c>
      <c r="C5" s="826"/>
      <c r="D5" s="826"/>
      <c r="E5" s="826"/>
      <c r="F5" s="826"/>
      <c r="G5" s="826"/>
      <c r="H5" s="826"/>
      <c r="I5" s="826"/>
      <c r="J5" s="826"/>
    </row>
    <row r="6" spans="1:10" ht="35.25" customHeight="1">
      <c r="A6" s="261" t="s">
        <v>1461</v>
      </c>
      <c r="B6" s="2544" t="s">
        <v>1464</v>
      </c>
      <c r="C6" s="2544"/>
      <c r="D6" s="2544"/>
      <c r="E6" s="2544"/>
      <c r="F6" s="2544"/>
      <c r="G6" s="2544"/>
      <c r="H6" s="2544"/>
      <c r="I6" s="2544"/>
      <c r="J6" s="2544"/>
    </row>
    <row r="7" spans="1:10" ht="10.5" customHeight="1">
      <c r="A7" s="826"/>
      <c r="B7" s="826"/>
      <c r="C7" s="826"/>
      <c r="D7" s="826"/>
      <c r="E7" s="826"/>
      <c r="F7" s="826"/>
      <c r="G7" s="826"/>
      <c r="H7" s="826"/>
      <c r="I7" s="826"/>
      <c r="J7" s="826"/>
    </row>
    <row r="8" spans="1:10">
      <c r="A8" s="3743"/>
      <c r="B8" s="3743"/>
      <c r="C8" s="3743"/>
      <c r="D8" s="3743"/>
      <c r="E8" s="3743"/>
      <c r="F8" s="3743"/>
      <c r="G8" s="3743"/>
      <c r="H8" s="3743"/>
      <c r="I8" s="3743"/>
      <c r="J8" s="3743"/>
    </row>
    <row r="9" spans="1:10">
      <c r="A9" s="3744"/>
      <c r="B9" s="3744"/>
      <c r="C9" s="3744"/>
      <c r="D9" s="3744"/>
      <c r="E9" s="3744"/>
      <c r="F9" s="3744"/>
      <c r="G9" s="3744"/>
      <c r="H9" s="3744"/>
      <c r="I9" s="3744"/>
      <c r="J9" s="3744"/>
    </row>
    <row r="10" spans="1:10" ht="10.5" customHeight="1" thickBot="1">
      <c r="A10" s="37"/>
      <c r="B10" s="37"/>
      <c r="C10" s="37"/>
      <c r="D10" s="37"/>
      <c r="E10" s="37"/>
    </row>
    <row r="11" spans="1:10" ht="36" customHeight="1" thickBot="1">
      <c r="A11" s="2582" t="s">
        <v>1465</v>
      </c>
      <c r="B11" s="2583"/>
      <c r="C11" s="2583"/>
      <c r="D11" s="2583"/>
      <c r="E11" s="2583"/>
      <c r="F11" s="2583"/>
      <c r="G11" s="2583"/>
      <c r="H11" s="2583"/>
      <c r="I11" s="2583"/>
      <c r="J11" s="2584"/>
    </row>
    <row r="12" spans="1:10" ht="14.65" customHeight="1">
      <c r="A12" s="839"/>
      <c r="B12" s="839"/>
      <c r="C12" s="839"/>
      <c r="D12" s="839"/>
      <c r="E12" s="839"/>
      <c r="F12" s="839"/>
      <c r="G12" s="839"/>
      <c r="H12" s="839"/>
      <c r="I12" s="839"/>
      <c r="J12" s="839"/>
    </row>
    <row r="13" spans="1:10" ht="14.65" customHeight="1">
      <c r="A13" s="865" t="s">
        <v>1466</v>
      </c>
      <c r="B13" s="839"/>
      <c r="C13" s="839"/>
      <c r="D13" s="839"/>
      <c r="E13" s="839"/>
      <c r="F13" s="839"/>
      <c r="G13" s="839"/>
      <c r="H13" s="839"/>
      <c r="I13" s="839"/>
      <c r="J13" s="839"/>
    </row>
    <row r="14" spans="1:10" ht="10.5" customHeight="1" thickBot="1"/>
    <row r="15" spans="1:10" ht="36" customHeight="1" thickBot="1">
      <c r="A15" s="2582" t="s">
        <v>1467</v>
      </c>
      <c r="B15" s="2583"/>
      <c r="C15" s="2583"/>
      <c r="D15" s="2583"/>
      <c r="E15" s="2583"/>
      <c r="F15" s="2583"/>
      <c r="G15" s="2583"/>
      <c r="H15" s="2583"/>
      <c r="I15" s="2583"/>
      <c r="J15" s="2584"/>
    </row>
    <row r="16" spans="1:10" ht="14.65" customHeight="1"/>
    <row r="17" spans="1:10" ht="45" customHeight="1">
      <c r="A17" s="2544" t="s">
        <v>1468</v>
      </c>
      <c r="B17" s="2544"/>
      <c r="C17" s="2544"/>
      <c r="D17" s="2544"/>
      <c r="E17" s="2544"/>
      <c r="F17" s="2544"/>
      <c r="G17" s="2544"/>
      <c r="H17" s="2544"/>
      <c r="I17" s="2544"/>
      <c r="J17" s="2544"/>
    </row>
    <row r="18" spans="1:10" ht="250.15" customHeight="1">
      <c r="A18" s="3742"/>
      <c r="B18" s="3742"/>
      <c r="C18" s="3742"/>
      <c r="D18" s="3742"/>
      <c r="E18" s="3742"/>
      <c r="F18" s="3742"/>
      <c r="G18" s="3742"/>
      <c r="H18" s="3742"/>
      <c r="I18" s="3742"/>
      <c r="J18" s="3742"/>
    </row>
    <row r="19" spans="1:10" ht="409.15" customHeight="1">
      <c r="A19" s="3742"/>
      <c r="B19" s="3742"/>
      <c r="C19" s="3742"/>
      <c r="D19" s="3742"/>
      <c r="E19" s="3742"/>
      <c r="F19" s="3742"/>
      <c r="G19" s="3742"/>
      <c r="H19" s="3742"/>
      <c r="I19" s="3742"/>
      <c r="J19" s="3742"/>
    </row>
  </sheetData>
  <sheetProtection algorithmName="SHA-512" hashValue="ZPyFWkDuzo26axTj5Uon9qJWwPeReaSrEcJkFOiuqmUN9pFls1EzaS5QkFxFZH2Rcqin+FEQjrVdcWqfrqWGWQ==" saltValue="wlO2uyEYl2ptrFeZt6tRqQ=="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6" priority="3" operator="notEqual">
      <formula>""</formula>
    </cfRule>
  </conditionalFormatting>
  <conditionalFormatting sqref="A19:J19">
    <cfRule type="expression" dxfId="5" priority="4">
      <formula>$A$18&lt;&gt;""</formula>
    </cfRule>
  </conditionalFormatting>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tabColor theme="0" tint="-4.9989318521683403E-2"/>
  </sheetPr>
  <dimension ref="A1:U48"/>
  <sheetViews>
    <sheetView showGridLines="0" zoomScale="110" zoomScaleNormal="110" zoomScaleSheetLayoutView="90" workbookViewId="0">
      <pane ySplit="2" topLeftCell="A3" activePane="bottomLeft" state="frozen"/>
      <selection activeCell="P5" sqref="P5"/>
      <selection pane="bottomLeft" activeCell="K43" sqref="K43:M43"/>
    </sheetView>
  </sheetViews>
  <sheetFormatPr defaultColWidth="8.54296875" defaultRowHeight="14.5"/>
  <cols>
    <col min="1" max="1" width="3.54296875" style="4" customWidth="1"/>
    <col min="2" max="3" width="3.54296875" customWidth="1"/>
    <col min="4" max="4" width="4.453125" customWidth="1"/>
    <col min="12" max="12" width="8.453125" customWidth="1"/>
    <col min="13" max="13" width="27.81640625" customWidth="1"/>
    <col min="14" max="14" width="8.7265625" customWidth="1"/>
    <col min="15" max="15" width="3.54296875" customWidth="1"/>
    <col min="16" max="16" width="35.7265625" hidden="1" customWidth="1"/>
    <col min="17" max="17" width="3.54296875" hidden="1" customWidth="1"/>
    <col min="18" max="18" width="14.7265625" hidden="1" customWidth="1"/>
  </cols>
  <sheetData>
    <row r="1" spans="1:18" ht="36" customHeight="1" thickBot="1">
      <c r="A1" s="3748" t="s">
        <v>1469</v>
      </c>
      <c r="B1" s="3749"/>
      <c r="C1" s="3749"/>
      <c r="D1" s="3749"/>
      <c r="E1" s="3749"/>
      <c r="F1" s="3749"/>
      <c r="G1" s="3749"/>
      <c r="H1" s="3749"/>
      <c r="I1" s="3749"/>
      <c r="J1" s="3749"/>
      <c r="K1" s="3749"/>
      <c r="L1" s="3749"/>
      <c r="M1" s="3750"/>
    </row>
    <row r="2" spans="1:18" ht="14.65" customHeight="1">
      <c r="P2" s="3455" t="s">
        <v>845</v>
      </c>
      <c r="Q2" s="3455"/>
      <c r="R2" s="3455"/>
    </row>
    <row r="3" spans="1:18" ht="14.65" customHeight="1">
      <c r="A3" s="3751" t="s">
        <v>1470</v>
      </c>
      <c r="B3" s="3751"/>
      <c r="C3" s="3751"/>
      <c r="D3" s="3751"/>
      <c r="E3" s="3751"/>
      <c r="F3" s="3751"/>
      <c r="G3" s="3751"/>
      <c r="H3" s="3751"/>
      <c r="I3" s="3751"/>
      <c r="J3" s="3751"/>
      <c r="K3" s="3751"/>
      <c r="L3" s="3751"/>
      <c r="M3" s="3751"/>
      <c r="R3" s="106" t="s">
        <v>673</v>
      </c>
    </row>
    <row r="4" spans="1:18" ht="10.5" customHeight="1">
      <c r="B4" s="865"/>
      <c r="C4" s="865"/>
      <c r="D4" s="865"/>
      <c r="E4" s="865"/>
      <c r="F4" s="865"/>
      <c r="G4" s="865"/>
      <c r="H4" s="865"/>
      <c r="I4" s="865"/>
      <c r="J4" s="865"/>
      <c r="K4" s="865"/>
      <c r="L4" s="865"/>
      <c r="M4" s="865"/>
    </row>
    <row r="5" spans="1:18" ht="80.25" customHeight="1">
      <c r="A5" s="760">
        <f>IF($P5=0,"",MAX(A$4:A4)+1)</f>
        <v>1</v>
      </c>
      <c r="B5" s="2544" t="s">
        <v>1906</v>
      </c>
      <c r="C5" s="2544"/>
      <c r="D5" s="2544"/>
      <c r="E5" s="2544"/>
      <c r="F5" s="2544"/>
      <c r="G5" s="2544"/>
      <c r="H5" s="2544"/>
      <c r="I5" s="2544"/>
      <c r="J5" s="2544"/>
      <c r="K5" s="2544"/>
      <c r="L5" s="2544"/>
      <c r="M5" s="2544"/>
      <c r="N5" s="1"/>
      <c r="P5" s="762">
        <v>1</v>
      </c>
      <c r="R5" s="1531"/>
    </row>
    <row r="6" spans="1:18" ht="35.25" customHeight="1">
      <c r="A6" s="760">
        <f>IF($P6=0,"",MAX(A$4:A5)+1)</f>
        <v>2</v>
      </c>
      <c r="B6" s="2544" t="s">
        <v>1907</v>
      </c>
      <c r="C6" s="2544"/>
      <c r="D6" s="2544"/>
      <c r="E6" s="2544"/>
      <c r="F6" s="2544"/>
      <c r="G6" s="2544"/>
      <c r="H6" s="2544"/>
      <c r="I6" s="2544"/>
      <c r="J6" s="2544"/>
      <c r="K6" s="2544"/>
      <c r="L6" s="2544"/>
      <c r="M6" s="2544"/>
      <c r="P6" s="762">
        <v>1</v>
      </c>
      <c r="R6" s="1532"/>
    </row>
    <row r="7" spans="1:18" ht="35.25" customHeight="1">
      <c r="A7" s="760">
        <f>IF($P7=0,"",MAX(A$4:A6)+1)</f>
        <v>3</v>
      </c>
      <c r="B7" s="2544" t="s">
        <v>1471</v>
      </c>
      <c r="C7" s="2544"/>
      <c r="D7" s="2544"/>
      <c r="E7" s="2544"/>
      <c r="F7" s="2544"/>
      <c r="G7" s="2544"/>
      <c r="H7" s="2544"/>
      <c r="I7" s="2544"/>
      <c r="J7" s="2544"/>
      <c r="K7" s="2544"/>
      <c r="L7" s="2544"/>
      <c r="M7" s="2544"/>
      <c r="P7" s="762">
        <v>1</v>
      </c>
      <c r="R7" s="1532"/>
    </row>
    <row r="8" spans="1:18" ht="50.25" customHeight="1">
      <c r="A8" s="760">
        <f>IF($P8=0,"",MAX(A$4:A7)+1)</f>
        <v>4</v>
      </c>
      <c r="B8" s="2544" t="s">
        <v>1472</v>
      </c>
      <c r="C8" s="2544"/>
      <c r="D8" s="2544"/>
      <c r="E8" s="2544"/>
      <c r="F8" s="2544"/>
      <c r="G8" s="2544"/>
      <c r="H8" s="2544"/>
      <c r="I8" s="2544"/>
      <c r="J8" s="2544"/>
      <c r="K8" s="2544"/>
      <c r="L8" s="2544"/>
      <c r="M8" s="2544"/>
      <c r="P8" s="762">
        <v>1</v>
      </c>
      <c r="R8" s="1532"/>
    </row>
    <row r="9" spans="1:18" ht="95.25" customHeight="1">
      <c r="A9" s="760">
        <f>IF($P9=0,"",MAX(A$4:A8)+1)</f>
        <v>5</v>
      </c>
      <c r="B9" s="2544" t="s">
        <v>1473</v>
      </c>
      <c r="C9" s="2544"/>
      <c r="D9" s="2544"/>
      <c r="E9" s="2544"/>
      <c r="F9" s="2544"/>
      <c r="G9" s="2544"/>
      <c r="H9" s="2544"/>
      <c r="I9" s="2544"/>
      <c r="J9" s="2544"/>
      <c r="K9" s="2544"/>
      <c r="L9" s="2544"/>
      <c r="M9" s="2544"/>
      <c r="P9" s="762">
        <v>1</v>
      </c>
      <c r="R9" s="1532"/>
    </row>
    <row r="10" spans="1:18" ht="65.25" customHeight="1">
      <c r="A10" s="760">
        <f>IF($P10=0,"",MAX(A$4:A9)+1)</f>
        <v>6</v>
      </c>
      <c r="B10" s="2544" t="s">
        <v>1474</v>
      </c>
      <c r="C10" s="2544"/>
      <c r="D10" s="2544"/>
      <c r="E10" s="2544"/>
      <c r="F10" s="2544"/>
      <c r="G10" s="2544"/>
      <c r="H10" s="2544"/>
      <c r="I10" s="2544"/>
      <c r="J10" s="2544"/>
      <c r="K10" s="2544"/>
      <c r="L10" s="2544"/>
      <c r="M10" s="2544"/>
      <c r="P10" s="762">
        <v>1</v>
      </c>
      <c r="R10" s="1532"/>
    </row>
    <row r="11" spans="1:18" ht="50.25" customHeight="1">
      <c r="A11" s="760">
        <f>IF($P11=0,"",MAX(A$4:A10)+1)</f>
        <v>7</v>
      </c>
      <c r="B11" s="2544" t="s">
        <v>1969</v>
      </c>
      <c r="C11" s="2544"/>
      <c r="D11" s="2544"/>
      <c r="E11" s="2544"/>
      <c r="F11" s="2544"/>
      <c r="G11" s="2544"/>
      <c r="H11" s="2544"/>
      <c r="I11" s="2544"/>
      <c r="J11" s="2544"/>
      <c r="K11" s="2544"/>
      <c r="L11" s="2544"/>
      <c r="M11" s="2544"/>
      <c r="P11" s="762">
        <v>1</v>
      </c>
      <c r="R11" s="1532"/>
    </row>
    <row r="12" spans="1:18" ht="65.25" customHeight="1">
      <c r="A12" s="760">
        <f>IF($P12=0,"",MAX(A$4:A11)+1)</f>
        <v>8</v>
      </c>
      <c r="B12" s="2544" t="s">
        <v>1970</v>
      </c>
      <c r="C12" s="2544"/>
      <c r="D12" s="2544"/>
      <c r="E12" s="2544"/>
      <c r="F12" s="2544"/>
      <c r="G12" s="2544"/>
      <c r="H12" s="2544"/>
      <c r="I12" s="2544"/>
      <c r="J12" s="2544"/>
      <c r="K12" s="2544"/>
      <c r="L12" s="2544"/>
      <c r="M12" s="2544"/>
      <c r="P12" s="762">
        <v>1</v>
      </c>
      <c r="R12" s="1532"/>
    </row>
    <row r="13" spans="1:18" ht="140.25" customHeight="1">
      <c r="A13" s="760">
        <f>IF($P13=0,"",MAX(A$4:A12)+1)</f>
        <v>9</v>
      </c>
      <c r="B13" s="2544" t="s">
        <v>1475</v>
      </c>
      <c r="C13" s="2544"/>
      <c r="D13" s="2544"/>
      <c r="E13" s="2544"/>
      <c r="F13" s="2544"/>
      <c r="G13" s="2544"/>
      <c r="H13" s="2544"/>
      <c r="I13" s="2544"/>
      <c r="J13" s="2544"/>
      <c r="K13" s="2544"/>
      <c r="L13" s="2544"/>
      <c r="M13" s="2544"/>
      <c r="P13" s="762">
        <v>1</v>
      </c>
      <c r="R13" s="1532"/>
    </row>
    <row r="14" spans="1:18" ht="50.25" customHeight="1">
      <c r="A14" s="760">
        <f>IF($P14=0,"",MAX(A$4:A13)+1)</f>
        <v>10</v>
      </c>
      <c r="B14" s="2544" t="s">
        <v>1476</v>
      </c>
      <c r="C14" s="2544"/>
      <c r="D14" s="2544"/>
      <c r="E14" s="2544"/>
      <c r="F14" s="2544"/>
      <c r="G14" s="2544"/>
      <c r="H14" s="2544"/>
      <c r="I14" s="2544"/>
      <c r="J14" s="2544"/>
      <c r="K14" s="2544"/>
      <c r="L14" s="2544"/>
      <c r="M14" s="2544"/>
      <c r="P14" s="762">
        <v>1</v>
      </c>
      <c r="Q14" s="761" t="s">
        <v>1477</v>
      </c>
      <c r="R14" s="1532"/>
    </row>
    <row r="15" spans="1:18" ht="80.25" hidden="1" customHeight="1">
      <c r="A15" s="760" t="str">
        <f>IF($P15=0,"",MAX(A$4:A14)+1)</f>
        <v/>
      </c>
      <c r="B15" s="2544" t="s">
        <v>1478</v>
      </c>
      <c r="C15" s="2544"/>
      <c r="D15" s="2544"/>
      <c r="E15" s="2544"/>
      <c r="F15" s="2544"/>
      <c r="G15" s="2544"/>
      <c r="H15" s="2544"/>
      <c r="I15" s="2544"/>
      <c r="J15" s="2544"/>
      <c r="K15" s="2544"/>
      <c r="L15" s="2544"/>
      <c r="M15" s="2544"/>
      <c r="P15" s="762">
        <v>0</v>
      </c>
      <c r="R15" s="1532"/>
    </row>
    <row r="16" spans="1:18" ht="35.25" hidden="1" customHeight="1">
      <c r="A16" s="760" t="str">
        <f>IF($P16=0,"",MAX(A$4:A15)+1)</f>
        <v/>
      </c>
      <c r="B16" s="2544" t="s">
        <v>1479</v>
      </c>
      <c r="C16" s="2544"/>
      <c r="D16" s="2544"/>
      <c r="E16" s="2544"/>
      <c r="F16" s="2544"/>
      <c r="G16" s="2544"/>
      <c r="H16" s="2544"/>
      <c r="I16" s="2544"/>
      <c r="J16" s="2544"/>
      <c r="K16" s="2544"/>
      <c r="L16" s="2544"/>
      <c r="M16" s="2544"/>
      <c r="P16" s="762">
        <v>0</v>
      </c>
      <c r="R16" s="1532"/>
    </row>
    <row r="17" spans="1:18" ht="50.25" customHeight="1">
      <c r="A17" s="760">
        <f>IF($P17=0,"",MAX(A$4:A16)+1)</f>
        <v>11</v>
      </c>
      <c r="B17" s="2544" t="s">
        <v>1480</v>
      </c>
      <c r="C17" s="2544"/>
      <c r="D17" s="2544"/>
      <c r="E17" s="2544"/>
      <c r="F17" s="2544"/>
      <c r="G17" s="2544"/>
      <c r="H17" s="2544"/>
      <c r="I17" s="2544"/>
      <c r="J17" s="2544"/>
      <c r="K17" s="2544"/>
      <c r="L17" s="2544"/>
      <c r="M17" s="2544"/>
      <c r="P17" s="762">
        <v>1</v>
      </c>
      <c r="R17" s="1532"/>
    </row>
    <row r="18" spans="1:18" ht="35.25" customHeight="1">
      <c r="A18" s="760">
        <f>IF($P18=0,"",MAX(A$4:A17)+1)</f>
        <v>12</v>
      </c>
      <c r="B18" s="2544" t="s">
        <v>1481</v>
      </c>
      <c r="C18" s="2544"/>
      <c r="D18" s="2544"/>
      <c r="E18" s="2544"/>
      <c r="F18" s="2544"/>
      <c r="G18" s="2544"/>
      <c r="H18" s="2544"/>
      <c r="I18" s="2544"/>
      <c r="J18" s="2544"/>
      <c r="K18" s="2544"/>
      <c r="L18" s="2544"/>
      <c r="M18" s="2544"/>
      <c r="P18" s="762">
        <v>1</v>
      </c>
      <c r="R18" s="1532"/>
    </row>
    <row r="19" spans="1:18" ht="123" customHeight="1">
      <c r="A19" s="760">
        <f>IF($P19=0,"",MAX(A$4:A18)+1)</f>
        <v>13</v>
      </c>
      <c r="B19" s="2544" t="s">
        <v>2593</v>
      </c>
      <c r="C19" s="2544"/>
      <c r="D19" s="2544"/>
      <c r="E19" s="2544"/>
      <c r="F19" s="2544"/>
      <c r="G19" s="2544"/>
      <c r="H19" s="2544"/>
      <c r="I19" s="2544"/>
      <c r="J19" s="2544"/>
      <c r="K19" s="2544"/>
      <c r="L19" s="2544"/>
      <c r="M19" s="2544"/>
      <c r="P19" s="762">
        <v>1</v>
      </c>
      <c r="R19" s="1532"/>
    </row>
    <row r="20" spans="1:18" ht="31.5" customHeight="1">
      <c r="A20" s="760">
        <f>IF($P20=0,"",MAX(A$4:A19)+1)</f>
        <v>14</v>
      </c>
      <c r="B20" s="2544" t="s">
        <v>2207</v>
      </c>
      <c r="C20" s="2544"/>
      <c r="D20" s="2544"/>
      <c r="E20" s="2544"/>
      <c r="F20" s="2544"/>
      <c r="G20" s="2544"/>
      <c r="H20" s="2544"/>
      <c r="I20" s="2544"/>
      <c r="J20" s="2544"/>
      <c r="K20" s="2544"/>
      <c r="L20" s="2544"/>
      <c r="M20" s="2544"/>
      <c r="P20" s="762">
        <v>1</v>
      </c>
      <c r="R20" s="1532"/>
    </row>
    <row r="21" spans="1:18" ht="80.25" customHeight="1">
      <c r="A21" s="760">
        <f>IF($P21=0,"",MAX(A$4:A20)+1)</f>
        <v>15</v>
      </c>
      <c r="B21" s="2544" t="s">
        <v>1482</v>
      </c>
      <c r="C21" s="2544"/>
      <c r="D21" s="2544"/>
      <c r="E21" s="2544"/>
      <c r="F21" s="2544"/>
      <c r="G21" s="2544"/>
      <c r="H21" s="2544"/>
      <c r="I21" s="2544"/>
      <c r="J21" s="2544"/>
      <c r="K21" s="2544"/>
      <c r="L21" s="2544"/>
      <c r="M21" s="2544"/>
      <c r="P21" s="762">
        <v>1</v>
      </c>
      <c r="R21" s="1532"/>
    </row>
    <row r="22" spans="1:18" ht="35.25" customHeight="1">
      <c r="A22" s="760">
        <f>IF($P22=0,"",MAX(A$4:A21)+1)</f>
        <v>16</v>
      </c>
      <c r="B22" s="2544" t="s">
        <v>1483</v>
      </c>
      <c r="C22" s="2544"/>
      <c r="D22" s="2544"/>
      <c r="E22" s="2544"/>
      <c r="F22" s="2544"/>
      <c r="G22" s="2544"/>
      <c r="H22" s="2544"/>
      <c r="I22" s="2544"/>
      <c r="J22" s="2544"/>
      <c r="K22" s="2544"/>
      <c r="L22" s="2544"/>
      <c r="M22" s="2544"/>
      <c r="P22" s="762">
        <v>1</v>
      </c>
      <c r="R22" s="1532"/>
    </row>
    <row r="23" spans="1:18" ht="35.25" customHeight="1">
      <c r="A23" s="760">
        <f>IF($P23=0,"",MAX(A$4:A22)+1)</f>
        <v>17</v>
      </c>
      <c r="B23" s="2544" t="s">
        <v>1484</v>
      </c>
      <c r="C23" s="2544"/>
      <c r="D23" s="2544"/>
      <c r="E23" s="2544"/>
      <c r="F23" s="2544"/>
      <c r="G23" s="2544"/>
      <c r="H23" s="2544"/>
      <c r="I23" s="2544"/>
      <c r="J23" s="2544"/>
      <c r="K23" s="2544"/>
      <c r="L23" s="2544"/>
      <c r="M23" s="2544"/>
      <c r="P23" s="762">
        <v>1</v>
      </c>
      <c r="R23" s="1532"/>
    </row>
    <row r="24" spans="1:18" ht="80.25" customHeight="1">
      <c r="A24" s="760">
        <f>IF($P24=0,"",MAX(A$4:A23)+1)</f>
        <v>18</v>
      </c>
      <c r="B24" s="2544" t="s">
        <v>1911</v>
      </c>
      <c r="C24" s="2544"/>
      <c r="D24" s="2544"/>
      <c r="E24" s="2544"/>
      <c r="F24" s="2544"/>
      <c r="G24" s="2544"/>
      <c r="H24" s="2544"/>
      <c r="I24" s="2544"/>
      <c r="J24" s="2544"/>
      <c r="K24" s="2544"/>
      <c r="L24" s="2544"/>
      <c r="M24" s="2544"/>
      <c r="P24" s="762">
        <v>1</v>
      </c>
      <c r="R24" s="1532"/>
    </row>
    <row r="25" spans="1:18" ht="35.25" customHeight="1">
      <c r="A25" s="760">
        <f>IF($P25=0,"",MAX(A$4:A24)+1)</f>
        <v>19</v>
      </c>
      <c r="B25" s="2544" t="s">
        <v>1912</v>
      </c>
      <c r="C25" s="2544"/>
      <c r="D25" s="2544"/>
      <c r="E25" s="2544"/>
      <c r="F25" s="2544"/>
      <c r="G25" s="2544"/>
      <c r="H25" s="2544"/>
      <c r="I25" s="2544"/>
      <c r="J25" s="2544"/>
      <c r="K25" s="2544"/>
      <c r="L25" s="2544"/>
      <c r="M25" s="2544"/>
      <c r="P25" s="762">
        <v>1</v>
      </c>
      <c r="R25" s="1532"/>
    </row>
    <row r="26" spans="1:18" ht="65.25" customHeight="1">
      <c r="A26" s="760">
        <f>IF($P26=0,"",MAX(A$4:A25)+1)</f>
        <v>20</v>
      </c>
      <c r="B26" s="2544" t="s">
        <v>1932</v>
      </c>
      <c r="C26" s="2544"/>
      <c r="D26" s="2544"/>
      <c r="E26" s="2544"/>
      <c r="F26" s="2544"/>
      <c r="G26" s="2544"/>
      <c r="H26" s="2544"/>
      <c r="I26" s="2544"/>
      <c r="J26" s="2544"/>
      <c r="K26" s="2544"/>
      <c r="L26" s="2544"/>
      <c r="M26" s="2544"/>
      <c r="P26" s="762">
        <v>1</v>
      </c>
      <c r="R26" s="1532"/>
    </row>
    <row r="27" spans="1:18" ht="126.75" hidden="1" customHeight="1">
      <c r="A27" s="760" t="str">
        <f>IF($P27=0,"",MAX(A$4:A26)+1)</f>
        <v/>
      </c>
      <c r="B27" s="2544" t="s">
        <v>2306</v>
      </c>
      <c r="C27" s="2544"/>
      <c r="D27" s="2544"/>
      <c r="E27" s="2544"/>
      <c r="F27" s="2544"/>
      <c r="G27" s="2544"/>
      <c r="H27" s="2544"/>
      <c r="I27" s="2544"/>
      <c r="J27" s="2544"/>
      <c r="K27" s="2544"/>
      <c r="L27" s="2544"/>
      <c r="M27" s="2544"/>
      <c r="P27" s="762">
        <v>0</v>
      </c>
      <c r="R27" s="1532"/>
    </row>
    <row r="28" spans="1:18" ht="65.25" hidden="1" customHeight="1">
      <c r="A28" s="760" t="str">
        <f>IF($P28=0,"",MAX(A$4:A27)+1)</f>
        <v/>
      </c>
      <c r="B28" s="2544" t="s">
        <v>1485</v>
      </c>
      <c r="C28" s="2544"/>
      <c r="D28" s="2544"/>
      <c r="E28" s="2544"/>
      <c r="F28" s="2544"/>
      <c r="G28" s="2544"/>
      <c r="H28" s="2544"/>
      <c r="I28" s="2544"/>
      <c r="J28" s="2544"/>
      <c r="K28" s="2544"/>
      <c r="L28" s="2544"/>
      <c r="M28" s="2544"/>
      <c r="P28" s="762">
        <v>0</v>
      </c>
      <c r="R28" s="1532"/>
    </row>
    <row r="29" spans="1:18" ht="95.25" customHeight="1">
      <c r="A29" s="760">
        <f>IF($P29=0,"",MAX(A$4:A28)+1)</f>
        <v>21</v>
      </c>
      <c r="B29" s="2544" t="s">
        <v>1486</v>
      </c>
      <c r="C29" s="2544"/>
      <c r="D29" s="2544"/>
      <c r="E29" s="2544"/>
      <c r="F29" s="2544"/>
      <c r="G29" s="2544"/>
      <c r="H29" s="2544"/>
      <c r="I29" s="2544"/>
      <c r="J29" s="2544"/>
      <c r="K29" s="2544"/>
      <c r="L29" s="2544"/>
      <c r="M29" s="2544"/>
      <c r="P29" s="762">
        <v>1</v>
      </c>
      <c r="R29" s="1532"/>
    </row>
    <row r="30" spans="1:18" ht="35.25" customHeight="1">
      <c r="A30" s="760">
        <f>IF($P30=0,"",MAX(A$4:A29)+1)</f>
        <v>22</v>
      </c>
      <c r="B30" s="2544" t="s">
        <v>1487</v>
      </c>
      <c r="C30" s="2544"/>
      <c r="D30" s="2544"/>
      <c r="E30" s="2544"/>
      <c r="F30" s="2544"/>
      <c r="G30" s="2544"/>
      <c r="H30" s="2544"/>
      <c r="I30" s="2544"/>
      <c r="J30" s="2544"/>
      <c r="K30" s="2544"/>
      <c r="L30" s="2544"/>
      <c r="M30" s="2544"/>
      <c r="P30" s="762">
        <v>1</v>
      </c>
      <c r="R30" s="1532" t="s">
        <v>2307</v>
      </c>
    </row>
    <row r="31" spans="1:18" ht="35.25" customHeight="1">
      <c r="A31" s="760">
        <f>IF($P31=0,"",MAX(A$4:A30)+1)</f>
        <v>23</v>
      </c>
      <c r="B31" s="2544" t="s">
        <v>1488</v>
      </c>
      <c r="C31" s="2544"/>
      <c r="D31" s="2544"/>
      <c r="E31" s="2544"/>
      <c r="F31" s="2544"/>
      <c r="G31" s="2544"/>
      <c r="H31" s="2544"/>
      <c r="I31" s="2544"/>
      <c r="J31" s="2544"/>
      <c r="K31" s="2544"/>
      <c r="L31" s="2544"/>
      <c r="M31" s="2544"/>
      <c r="P31" s="762">
        <v>1</v>
      </c>
      <c r="R31" s="1532"/>
    </row>
    <row r="32" spans="1:18" ht="20.25" customHeight="1">
      <c r="A32" s="760">
        <f>IF($P32=0,"",MAX(A$4:A31)+1)</f>
        <v>24</v>
      </c>
      <c r="B32" s="2544" t="s">
        <v>2222</v>
      </c>
      <c r="C32" s="2544"/>
      <c r="D32" s="2544"/>
      <c r="E32" s="2544"/>
      <c r="F32" s="2544"/>
      <c r="G32" s="2544"/>
      <c r="H32" s="2544"/>
      <c r="I32" s="2544"/>
      <c r="J32" s="2544"/>
      <c r="K32" s="2544"/>
      <c r="L32" s="2544"/>
      <c r="M32" s="2544"/>
      <c r="P32" s="762">
        <v>1</v>
      </c>
      <c r="R32" s="1532"/>
    </row>
    <row r="33" spans="1:21" ht="20.25" customHeight="1">
      <c r="A33" s="760">
        <f>IF($P33=0,"",MAX(A$4:A32)+1)</f>
        <v>25</v>
      </c>
      <c r="B33" s="2544" t="s">
        <v>1489</v>
      </c>
      <c r="C33" s="2544"/>
      <c r="D33" s="2544"/>
      <c r="E33" s="2544"/>
      <c r="F33" s="2544"/>
      <c r="G33" s="2544"/>
      <c r="H33" s="2544"/>
      <c r="I33" s="2544"/>
      <c r="J33" s="2544"/>
      <c r="K33" s="2544"/>
      <c r="L33" s="2544"/>
      <c r="M33" s="2544"/>
      <c r="P33" s="762">
        <v>1</v>
      </c>
      <c r="R33" s="1532"/>
    </row>
    <row r="34" spans="1:21" ht="98.25" hidden="1" customHeight="1">
      <c r="A34" s="760" t="str">
        <f>IF($P34=0,"",MAX(A$4:A33)+1)</f>
        <v/>
      </c>
      <c r="B34" s="2544" t="s">
        <v>2308</v>
      </c>
      <c r="C34" s="2544"/>
      <c r="D34" s="2544"/>
      <c r="E34" s="2544"/>
      <c r="F34" s="2544"/>
      <c r="G34" s="2544"/>
      <c r="H34" s="2544"/>
      <c r="I34" s="2544"/>
      <c r="J34" s="2544"/>
      <c r="K34" s="2544"/>
      <c r="L34" s="2544"/>
      <c r="M34" s="2544"/>
      <c r="P34" s="762">
        <v>0</v>
      </c>
      <c r="R34" s="1532"/>
    </row>
    <row r="35" spans="1:21" ht="20.25" hidden="1" customHeight="1">
      <c r="A35" s="760" t="str">
        <f>IF($P35=0,"",MAX(A$4:A34)+1)</f>
        <v/>
      </c>
      <c r="B35" s="2544" t="s">
        <v>2222</v>
      </c>
      <c r="C35" s="2544"/>
      <c r="D35" s="2544"/>
      <c r="E35" s="2544"/>
      <c r="F35" s="2544"/>
      <c r="G35" s="2544"/>
      <c r="H35" s="2544"/>
      <c r="I35" s="2544"/>
      <c r="J35" s="2544"/>
      <c r="K35" s="2544"/>
      <c r="L35" s="2544"/>
      <c r="M35" s="2544"/>
      <c r="P35" s="762">
        <v>0</v>
      </c>
      <c r="R35" s="1532"/>
    </row>
    <row r="36" spans="1:21" ht="20.25" hidden="1" customHeight="1">
      <c r="A36" s="760" t="str">
        <f>IF($P36=0,"",MAX(A$4:A35)+1)</f>
        <v/>
      </c>
      <c r="B36" s="2544" t="s">
        <v>1489</v>
      </c>
      <c r="C36" s="2544"/>
      <c r="D36" s="2544"/>
      <c r="E36" s="2544"/>
      <c r="F36" s="2544"/>
      <c r="G36" s="2544"/>
      <c r="H36" s="2544"/>
      <c r="I36" s="2544"/>
      <c r="J36" s="2544"/>
      <c r="K36" s="2544"/>
      <c r="L36" s="2544"/>
      <c r="M36" s="2544"/>
      <c r="P36" s="762">
        <v>0</v>
      </c>
      <c r="R36" s="1532"/>
    </row>
    <row r="37" spans="1:21" ht="35.25" customHeight="1">
      <c r="A37" s="760">
        <f>IF($P37=0,"",MAX(A$4:A36)+1)</f>
        <v>26</v>
      </c>
      <c r="B37" s="2544" t="s">
        <v>1490</v>
      </c>
      <c r="C37" s="2544"/>
      <c r="D37" s="2544"/>
      <c r="E37" s="2544"/>
      <c r="F37" s="2544"/>
      <c r="G37" s="2544"/>
      <c r="H37" s="2544"/>
      <c r="I37" s="2544"/>
      <c r="J37" s="2544"/>
      <c r="K37" s="2544"/>
      <c r="L37" s="2544"/>
      <c r="M37" s="2544"/>
      <c r="P37" s="762">
        <v>1</v>
      </c>
      <c r="R37" s="1532"/>
    </row>
    <row r="38" spans="1:21" ht="35.25" customHeight="1">
      <c r="A38" s="760">
        <f>IF($P38=0,"",MAX(A$4:A37)+1)</f>
        <v>27</v>
      </c>
      <c r="B38" s="2544" t="s">
        <v>1491</v>
      </c>
      <c r="C38" s="2544"/>
      <c r="D38" s="2544"/>
      <c r="E38" s="2544"/>
      <c r="F38" s="2544"/>
      <c r="G38" s="2544"/>
      <c r="H38" s="2544"/>
      <c r="I38" s="2544"/>
      <c r="J38" s="2544"/>
      <c r="K38" s="2544"/>
      <c r="L38" s="2544"/>
      <c r="M38" s="2544"/>
      <c r="P38" s="762">
        <v>1</v>
      </c>
      <c r="R38" s="1532"/>
    </row>
    <row r="39" spans="1:21" ht="80.25" customHeight="1">
      <c r="A39" s="760">
        <f>IF($P39=0,"",MAX(A$4:A38)+1)</f>
        <v>28</v>
      </c>
      <c r="B39" s="2544" t="s">
        <v>1492</v>
      </c>
      <c r="C39" s="2544"/>
      <c r="D39" s="2544"/>
      <c r="E39" s="2544"/>
      <c r="F39" s="2544"/>
      <c r="G39" s="2544"/>
      <c r="H39" s="2544"/>
      <c r="I39" s="2544"/>
      <c r="J39" s="2544"/>
      <c r="K39" s="2544"/>
      <c r="L39" s="2544"/>
      <c r="M39" s="2544"/>
      <c r="P39" s="762">
        <v>1</v>
      </c>
      <c r="R39" s="1532"/>
    </row>
    <row r="40" spans="1:21" ht="10.5" customHeight="1">
      <c r="B40" s="875"/>
      <c r="C40" s="875"/>
      <c r="D40" s="875"/>
      <c r="E40" s="875"/>
      <c r="F40" s="875"/>
      <c r="G40" s="875"/>
      <c r="H40" s="875"/>
      <c r="I40" s="875"/>
      <c r="J40" s="875"/>
      <c r="K40" s="875"/>
      <c r="L40" s="875"/>
      <c r="M40" s="875"/>
      <c r="R40" s="50"/>
    </row>
    <row r="41" spans="1:21" ht="35.25" customHeight="1">
      <c r="B41" s="3746" t="s">
        <v>1493</v>
      </c>
      <c r="C41" s="3746"/>
      <c r="D41" s="3746"/>
      <c r="E41" s="3746"/>
      <c r="F41" s="3746"/>
      <c r="G41" s="3746"/>
      <c r="H41" s="3746"/>
      <c r="I41" s="3746"/>
      <c r="J41" s="3746"/>
      <c r="K41" s="3746"/>
      <c r="L41" s="3746"/>
      <c r="M41" s="3746"/>
    </row>
    <row r="42" spans="1:21" ht="10.5" customHeight="1">
      <c r="B42" s="865"/>
      <c r="C42" s="865"/>
      <c r="D42" s="865"/>
      <c r="E42" s="865"/>
      <c r="F42" s="865"/>
      <c r="G42" s="865"/>
      <c r="H42" s="865"/>
      <c r="I42" s="865"/>
      <c r="J42" s="865"/>
      <c r="K42" s="865"/>
      <c r="L42" s="865"/>
      <c r="M42" s="865"/>
    </row>
    <row r="43" spans="1:21" ht="17.649999999999999" customHeight="1">
      <c r="A43" s="865" t="s">
        <v>1494</v>
      </c>
      <c r="B43" s="865"/>
      <c r="C43" s="865"/>
      <c r="D43" s="865"/>
      <c r="E43" s="865"/>
      <c r="F43" s="865"/>
      <c r="G43" s="865"/>
      <c r="H43" s="865"/>
      <c r="I43" s="865"/>
      <c r="J43" s="865"/>
      <c r="K43" s="3747"/>
      <c r="L43" s="3747"/>
      <c r="M43" s="3747"/>
      <c r="N43" s="3378"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3" s="3378"/>
      <c r="P43" s="3378"/>
      <c r="Q43" s="3378"/>
      <c r="R43" s="3378"/>
      <c r="S43" s="3378"/>
      <c r="T43" s="3378"/>
      <c r="U43" s="3378"/>
    </row>
    <row r="44" spans="1:21" ht="10.5" customHeight="1">
      <c r="B44" s="865"/>
      <c r="C44" s="865"/>
      <c r="D44" s="865"/>
      <c r="E44" s="865"/>
      <c r="F44" s="865"/>
      <c r="G44" s="865"/>
      <c r="H44" s="865"/>
      <c r="I44" s="865"/>
      <c r="J44" s="865"/>
      <c r="K44" s="865"/>
      <c r="L44" s="865"/>
      <c r="M44" s="865"/>
      <c r="N44" s="3378"/>
      <c r="O44" s="3378"/>
      <c r="P44" s="3378"/>
      <c r="Q44" s="3378"/>
      <c r="R44" s="3378"/>
      <c r="S44" s="3378"/>
      <c r="T44" s="3378"/>
      <c r="U44" s="3378"/>
    </row>
    <row r="45" spans="1:21" ht="17.649999999999999" customHeight="1">
      <c r="B45" s="336" t="s">
        <v>1495</v>
      </c>
      <c r="C45" s="3747"/>
      <c r="D45" s="3747"/>
      <c r="E45" s="3747"/>
      <c r="F45" s="3747"/>
      <c r="G45" s="3747"/>
      <c r="H45" s="3747"/>
      <c r="I45" s="3747"/>
      <c r="J45" s="3747"/>
      <c r="K45" s="3747"/>
      <c r="L45" s="3747"/>
      <c r="M45" s="3747"/>
      <c r="N45" s="3378"/>
      <c r="O45" s="3378"/>
      <c r="P45" s="3378"/>
      <c r="Q45" s="3378"/>
      <c r="R45" s="3378"/>
      <c r="S45" s="3378"/>
      <c r="T45" s="3378"/>
      <c r="U45" s="3378"/>
    </row>
    <row r="46" spans="1:21" ht="10.5" customHeight="1">
      <c r="B46" s="865"/>
      <c r="C46" s="865"/>
      <c r="D46" s="865"/>
      <c r="E46" s="865"/>
      <c r="F46" s="865"/>
      <c r="G46" s="865"/>
      <c r="H46" s="865"/>
      <c r="I46" s="865"/>
      <c r="J46" s="865"/>
      <c r="K46" s="865"/>
      <c r="L46" s="865"/>
      <c r="M46" s="865"/>
    </row>
    <row r="47" spans="1:21" ht="31.5" customHeight="1">
      <c r="A47" s="3745" t="s">
        <v>1496</v>
      </c>
      <c r="B47" s="3745"/>
      <c r="C47" s="3745"/>
      <c r="D47" s="3745"/>
      <c r="E47" s="3745"/>
      <c r="F47" s="3745"/>
      <c r="G47" s="3745"/>
      <c r="H47" s="3745"/>
      <c r="I47" s="3745"/>
      <c r="J47" s="3745"/>
      <c r="K47" s="3745"/>
      <c r="L47" s="3745"/>
      <c r="M47" s="3745"/>
    </row>
    <row r="48" spans="1:21" ht="10.5" customHeight="1"/>
  </sheetData>
  <sheetProtection algorithmName="SHA-512" hashValue="iYVEHaHFPUHCFyQBxV4PUrI0wAFQuW2MNJZq+YCW/2AV2qByPAkSPmqGvHRgAQQRImjOVq299WmwRc43MWfZIA==" saltValue="b+rtenMBNEzfpFhO53dQtA==" spinCount="100000" sheet="1" selectLockedCells="1"/>
  <mergeCells count="43">
    <mergeCell ref="B29:M29"/>
    <mergeCell ref="B24:M24"/>
    <mergeCell ref="B25:M25"/>
    <mergeCell ref="B12:M12"/>
    <mergeCell ref="B31:M31"/>
    <mergeCell ref="B17:M17"/>
    <mergeCell ref="A1:M1"/>
    <mergeCell ref="A3:M3"/>
    <mergeCell ref="B5:M5"/>
    <mergeCell ref="B6:M6"/>
    <mergeCell ref="B7:M7"/>
    <mergeCell ref="A47:M47"/>
    <mergeCell ref="N43:U45"/>
    <mergeCell ref="B19:M19"/>
    <mergeCell ref="B20:M20"/>
    <mergeCell ref="B21:M21"/>
    <mergeCell ref="B41:M41"/>
    <mergeCell ref="B23:M23"/>
    <mergeCell ref="B30:M30"/>
    <mergeCell ref="B33:M33"/>
    <mergeCell ref="B37:M37"/>
    <mergeCell ref="B38:M38"/>
    <mergeCell ref="C45:M45"/>
    <mergeCell ref="B22:M22"/>
    <mergeCell ref="K43:M43"/>
    <mergeCell ref="B39:M39"/>
    <mergeCell ref="B28:M28"/>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16:M16"/>
  </mergeCells>
  <conditionalFormatting sqref="A5:M23 A24:B25 A26:M26 B27 A27:A28 B28:M28 A29:M33 A34:B36 A37:M39">
    <cfRule type="expression" dxfId="4" priority="3">
      <formula>$P5=0</formula>
    </cfRule>
  </conditionalFormatting>
  <conditionalFormatting sqref="K43:M43 C45:M45">
    <cfRule type="cellIs" dxfId="3" priority="7" operator="notEqual">
      <formula>""</formula>
    </cfRule>
  </conditionalFormatting>
  <conditionalFormatting sqref="N43:U45">
    <cfRule type="cellIs" dxfId="2" priority="6" operator="equal">
      <formula>"This Applicant Certification and Acknowledgement Form has not been signed by the Authorized Principal Representative."</formula>
    </cfRule>
  </conditionalFormatting>
  <conditionalFormatting sqref="P5:P39">
    <cfRule type="cellIs" dxfId="1" priority="2" operator="equal">
      <formula>0</formula>
    </cfRule>
  </conditionalFormatting>
  <pageMargins left="0.7" right="0.7" top="0.75" bottom="0.75" header="0.3" footer="0.3"/>
  <pageSetup scale="80" fitToHeight="0" orientation="portrait" cellComments="atEnd" r:id="rId1"/>
  <headerFooter>
    <oddHeader>&amp;C&amp;B&amp;14&amp;K7030A0RFA 2026-204 SAIL FINANCING FOR THE PRESERVATION OF ELDERLY DEVELOPMENTS</oddHeader>
    <oddFooter>&amp;LRFA 2026-204&amp;R&amp;K000000'&amp;A'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stopIfTrue="1" id="{00FC841A-A799-4B13-BCB2-2AB94B27D433}">
            <xm:f>Data1!$E$914="Yes"</xm:f>
            <x14:dxf>
              <font>
                <color theme="0"/>
              </font>
              <fill>
                <patternFill>
                  <bgColor theme="0"/>
                </patternFill>
              </fill>
              <border>
                <left/>
                <right/>
                <top/>
                <bottom/>
                <vertical/>
                <horizontal/>
              </border>
            </x14:dxf>
          </x14:cfRule>
          <xm:sqref>P3:R47</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tabColor rgb="FF00B0F0"/>
  </sheetPr>
  <dimension ref="A1:K12"/>
  <sheetViews>
    <sheetView showGridLines="0" zoomScaleNormal="100" zoomScaleSheetLayoutView="100" workbookViewId="0">
      <pane ySplit="2" topLeftCell="A3" activePane="bottomLeft" state="frozen"/>
      <selection activeCell="M21" sqref="M21"/>
      <selection pane="bottomLeft" sqref="A1:XFD1048576"/>
    </sheetView>
  </sheetViews>
  <sheetFormatPr defaultColWidth="8.7265625" defaultRowHeight="14.5"/>
  <cols>
    <col min="1" max="1" width="3" customWidth="1"/>
    <col min="2" max="3" width="3.7265625" customWidth="1"/>
    <col min="4" max="6" width="4.453125" customWidth="1"/>
    <col min="7" max="10" width="17.7265625" customWidth="1"/>
    <col min="11" max="11" width="16.81640625" customWidth="1"/>
  </cols>
  <sheetData>
    <row r="1" spans="1:11" ht="35.65" customHeight="1" thickBot="1">
      <c r="A1" s="2582" t="s">
        <v>2541</v>
      </c>
      <c r="B1" s="2583"/>
      <c r="C1" s="2583"/>
      <c r="D1" s="2583"/>
      <c r="E1" s="2583"/>
      <c r="F1" s="2583"/>
      <c r="G1" s="2583"/>
      <c r="H1" s="2583"/>
      <c r="I1" s="2583"/>
      <c r="J1" s="2583"/>
      <c r="K1" s="2584"/>
    </row>
    <row r="3" spans="1:11" ht="14.65" customHeight="1">
      <c r="A3" s="3752" t="s">
        <v>2542</v>
      </c>
      <c r="B3" s="3752"/>
      <c r="C3" s="3752"/>
      <c r="D3" s="3752"/>
      <c r="E3" s="3752"/>
      <c r="F3" s="3752"/>
      <c r="G3" s="3752"/>
      <c r="H3" s="3752"/>
      <c r="I3" s="3752"/>
      <c r="J3" s="3752"/>
      <c r="K3" s="3752"/>
    </row>
    <row r="4" spans="1:11">
      <c r="A4" s="3752"/>
      <c r="B4" s="3752"/>
      <c r="C4" s="3752"/>
      <c r="D4" s="3752"/>
      <c r="E4" s="3752"/>
      <c r="F4" s="3752"/>
      <c r="G4" s="3752"/>
      <c r="H4" s="3752"/>
      <c r="I4" s="3752"/>
      <c r="J4" s="3752"/>
      <c r="K4" s="3752"/>
    </row>
    <row r="5" spans="1:11">
      <c r="A5" s="3752"/>
      <c r="B5" s="3752"/>
      <c r="C5" s="3752"/>
      <c r="D5" s="3752"/>
      <c r="E5" s="3752"/>
      <c r="F5" s="3752"/>
      <c r="G5" s="3752"/>
      <c r="H5" s="3752"/>
      <c r="I5" s="3752"/>
      <c r="J5" s="3752"/>
      <c r="K5" s="3752"/>
    </row>
    <row r="6" spans="1:11">
      <c r="A6" s="3752"/>
      <c r="B6" s="3752"/>
      <c r="C6" s="3752"/>
      <c r="D6" s="3752"/>
      <c r="E6" s="3752"/>
      <c r="F6" s="3752"/>
      <c r="G6" s="3752"/>
      <c r="H6" s="3752"/>
      <c r="I6" s="3752"/>
      <c r="J6" s="3752"/>
      <c r="K6" s="3752"/>
    </row>
    <row r="10" spans="1:11">
      <c r="B10" s="3"/>
    </row>
    <row r="11" spans="1:11">
      <c r="B11" s="3"/>
    </row>
    <row r="12" spans="1:11">
      <c r="B12" s="3"/>
    </row>
  </sheetData>
  <sheetProtection selectLockedCells="1"/>
  <mergeCells count="2">
    <mergeCell ref="A1:K1"/>
    <mergeCell ref="A3:K6"/>
  </mergeCells>
  <pageMargins left="0.7" right="0.7" top="0.75" bottom="0.75" header="0.3" footer="0.3"/>
  <pageSetup scale="80" orientation="portrait" cellComments="atEnd" r:id="rId1"/>
  <headerFooter>
    <oddHeader>&amp;C&amp;B&amp;14&amp;K7030A0RFA 2026-204 SAIL FINANCING FOR THE PRESERVATION OF ELDERLY DEVELOPMENTS</oddHeader>
    <oddFooter>&amp;LRFA 2026-204&amp;R&amp;K000000'&amp;A'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7C5B38-4913-4713-9A79-230425551ECC}">
  <ds:schemaRefs>
    <ds:schemaRef ds:uri="http://purl.org/dc/elements/1.1/"/>
    <ds:schemaRef ds:uri="a84349eb-4374-47bc-83f0-36d288636098"/>
    <ds:schemaRef ds:uri="http://purl.org/dc/terms/"/>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ee2a4f69-3a29-4b24-b170-d37fab3647f8"/>
    <ds:schemaRef ds:uri="68dfe011-c19e-4dbd-a5cd-00e4d25ab099"/>
    <ds:schemaRef ds:uri="http://www.w3.org/XML/1998/namespace"/>
    <ds:schemaRef ds:uri="http://purl.org/dc/dcmitype/"/>
  </ds:schemaRefs>
</ds:datastoreItem>
</file>

<file path=customXml/itemProps2.xml><?xml version="1.0" encoding="utf-8"?>
<ds:datastoreItem xmlns:ds="http://schemas.openxmlformats.org/officeDocument/2006/customXml" ds:itemID="{B8365169-366F-48EA-A4B2-ACDBB5DBB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CC0D50-1818-462E-BF9D-C1EF0A0F7E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1996</vt:i4>
      </vt:variant>
    </vt:vector>
  </HeadingPairs>
  <TitlesOfParts>
    <vt:vector size="2008" baseType="lpstr">
      <vt:lpstr>General Information</vt:lpstr>
      <vt:lpstr>Proposed Development Info</vt:lpstr>
      <vt:lpstr>Development Location</vt:lpstr>
      <vt:lpstr>Proximity, Mand.Dist., RECAP</vt:lpstr>
      <vt:lpstr>Units, Set-Asides, Bldgs</vt:lpstr>
      <vt:lpstr>Readiness to Proceed</vt:lpstr>
      <vt:lpstr>Construction Features</vt:lpstr>
      <vt:lpstr>Resident Programs</vt:lpstr>
      <vt:lpstr>Funding</vt:lpstr>
      <vt:lpstr>Pro Forma</vt:lpstr>
      <vt:lpstr>B. Other Information</vt:lpstr>
      <vt:lpstr>Certification</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Actual_Rehab_NonAcq</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Affordability_Expiration_Period_Met</vt:lpstr>
      <vt:lpstr>Affordable_Units_of_Occupied</vt:lpstr>
      <vt:lpstr>Age_of_Development</vt:lpstr>
      <vt:lpstr>Aggregate_Basis</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Dev_Exp_Funding_Pref_Eligible</vt:lpstr>
      <vt:lpstr>Dev_Exp_Opt1_Points</vt:lpstr>
      <vt:lpstr>Dev_Exp_Opt2_Points</vt:lpstr>
      <vt:lpstr>Dev_Exp_Opt3_Points</vt:lpstr>
      <vt:lpstr>Dev_Exp_Total_Points</vt:lpstr>
      <vt:lpstr>Dev_Fee_Max_Acq</vt:lpstr>
      <vt:lpstr>Dev_Fee_Max_Demo</vt:lpstr>
      <vt:lpstr>Dev_Fee_Max_Non_Acq</vt:lpstr>
      <vt:lpstr>Dev_Fee_Max_Total</vt:lpstr>
      <vt:lpstr>Dev_Fin_Liquidity</vt:lpstr>
      <vt:lpstr>DevCat_PHA_DOT_or_Rehabbed</vt:lpstr>
      <vt:lpstr>DevCat_Preference_met</vt:lpstr>
      <vt:lpstr>DevCat_Qualifications_Met</vt:lpstr>
      <vt:lpstr>DevCat_Redev_FinProgram</vt:lpstr>
      <vt:lpstr>DevCat_Test_HardCosts</vt:lpstr>
      <vt:lpstr>DevCat_Test_NonProfit</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DevExp_fifth_Dev_City</vt:lpstr>
      <vt:lpstr>DevExp_fifth_Dev_name</vt:lpstr>
      <vt:lpstr>DevExp_fifth_Dev_Principal</vt:lpstr>
      <vt:lpstr>DevExp_fifth_Dev_program</vt:lpstr>
      <vt:lpstr>DevExp_fifth_Dev_State</vt:lpstr>
      <vt:lpstr>DevExp_fifth_Dev_units</vt:lpstr>
      <vt:lpstr>DevExp_fifth_Dev_year</vt:lpstr>
      <vt:lpstr>DevExp_fifth_Other_program</vt:lpstr>
      <vt:lpstr>DevExp_first_Dev_City</vt:lpstr>
      <vt:lpstr>DevExp_first_Dev_name</vt:lpstr>
      <vt:lpstr>DevExp_first_Dev_Principal</vt:lpstr>
      <vt:lpstr>DevExp_first_Dev_program</vt:lpstr>
      <vt:lpstr>DevExp_first_Dev_State</vt:lpstr>
      <vt:lpstr>DevExp_first_Dev_units</vt:lpstr>
      <vt:lpstr>DevExp_first_Dev_year</vt:lpstr>
      <vt:lpstr>DevExp_first_Other_program</vt:lpstr>
      <vt:lpstr>DevExp_fourth_Dev_City</vt:lpstr>
      <vt:lpstr>DevExp_fourth_Dev_name</vt:lpstr>
      <vt:lpstr>DevExp_fourth_Dev_Principal</vt:lpstr>
      <vt:lpstr>DevExp_fourth_Dev_program</vt:lpstr>
      <vt:lpstr>DevExp_fourth_Dev_State</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DevExp_second_Dev_City</vt:lpstr>
      <vt:lpstr>DevExp_second_Dev_name</vt:lpstr>
      <vt:lpstr>DevExp_second_Dev_Principal</vt:lpstr>
      <vt:lpstr>DevExp_second_Dev_program</vt:lpstr>
      <vt:lpstr>DevExp_second_Dev_State</vt:lpstr>
      <vt:lpstr>DevExp_second_Dev_units</vt:lpstr>
      <vt:lpstr>DevExp_second_Dev_year</vt:lpstr>
      <vt:lpstr>DevExp_second_Other_program</vt:lpstr>
      <vt:lpstr>DevExp_third_Dev_City</vt:lpstr>
      <vt:lpstr>DevExp_third_Dev_name</vt:lpstr>
      <vt:lpstr>DevExp_third_Dev_Principal</vt:lpstr>
      <vt:lpstr>DevExp_third_Dev_program</vt:lpstr>
      <vt:lpstr>DevExp_third_Dev_State</vt:lpstr>
      <vt:lpstr>DevExp_third_Dev_units</vt:lpstr>
      <vt:lpstr>DevExp_third_Dev_year</vt:lpstr>
      <vt:lpstr>DevExp_third_Other_program</vt:lpstr>
      <vt:lpstr>DevType</vt:lpstr>
      <vt:lpstr>DevType_met</vt:lpstr>
      <vt:lpstr>DevTypeLevMulti</vt:lpstr>
      <vt:lpstr>DLP_latitude</vt:lpstr>
      <vt:lpstr>DLP_longitude</vt:lpstr>
      <vt:lpstr>DLP_proper_format</vt:lpstr>
      <vt:lpstr>DonationOfLand</vt:lpstr>
      <vt:lpstr>DS_100Percent_NC_Units</vt:lpstr>
      <vt:lpstr>DS_2023_County_GAOs</vt:lpstr>
      <vt:lpstr>DS_2023_County_QCTs</vt:lpstr>
      <vt:lpstr>DS_2023_GAO_Counties</vt:lpstr>
      <vt:lpstr>DS_2023_GAO_QCTs</vt:lpstr>
      <vt:lpstr>DS_2023_GAO_QCTs_Sorted</vt:lpstr>
      <vt:lpstr>DS_2023_Metro_QCT_Counties</vt:lpstr>
      <vt:lpstr>DS_2023_Metro_QCTs</vt:lpstr>
      <vt:lpstr>DS_2023_Metro_QCTs_Sorted</vt:lpstr>
      <vt:lpstr>DS_2023_NonMetro_DDAs</vt:lpstr>
      <vt:lpstr>DS_2023_NonMetro_QCT_Counties</vt:lpstr>
      <vt:lpstr>DS_2023_NonMetro_QCTs</vt:lpstr>
      <vt:lpstr>DS_2023_NonMetro_QCTs_Sorted</vt:lpstr>
      <vt:lpstr>DS_2023_ZCTAs</vt:lpstr>
      <vt:lpstr>DS_2023_ZCTAs_Sorted</vt:lpstr>
      <vt:lpstr>DS_2024_County_GAOs</vt:lpstr>
      <vt:lpstr>DS_2024_County_QCTs</vt:lpstr>
      <vt:lpstr>DS_2024_GAO_Counties</vt:lpstr>
      <vt:lpstr>DS_2024_GAO_QCTs</vt:lpstr>
      <vt:lpstr>DS_2024_GAO_QCTs_Sorted</vt:lpstr>
      <vt:lpstr>DS_2024_Metro_QCT_Counties</vt:lpstr>
      <vt:lpstr>DS_2024_Metro_QCTs</vt:lpstr>
      <vt:lpstr>DS_2024_Metro_QCTs_Sorted</vt:lpstr>
      <vt:lpstr>DS_2024_NonMetro_DDAs</vt:lpstr>
      <vt:lpstr>DS_2024_NonMetro_QCT_Counties</vt:lpstr>
      <vt:lpstr>DS_2024_NonMetro_QCTs</vt:lpstr>
      <vt:lpstr>DS_2024_NonMetro_QCTs_Sorted</vt:lpstr>
      <vt:lpstr>DS_2024_ZCTAs</vt:lpstr>
      <vt:lpstr>DS_2024_ZCTAs_Sorted</vt:lpstr>
      <vt:lpstr>DS_2025_County_GAOs</vt:lpstr>
      <vt:lpstr>DS_2025_County_QCTs</vt:lpstr>
      <vt:lpstr>DS_2025_GAO_Counties</vt:lpstr>
      <vt:lpstr>DS_2025_GAO_QCTs</vt:lpstr>
      <vt:lpstr>DS_2025_GAO_QCTs_Sorted</vt:lpstr>
      <vt:lpstr>DS_2025_Metro_QCT_Counties</vt:lpstr>
      <vt:lpstr>DS_2025_Metro_QCTs</vt:lpstr>
      <vt:lpstr>DS_2025_Metro_QCTs_Sorted</vt:lpstr>
      <vt:lpstr>DS_2025_NonMetro_DDAs</vt:lpstr>
      <vt:lpstr>DS_2025_NonMetro_QCT_Counties</vt:lpstr>
      <vt:lpstr>DS_2025_NonMetro_QCTs</vt:lpstr>
      <vt:lpstr>DS_2025_NonMetro_QCTs_Sorted</vt:lpstr>
      <vt:lpstr>DS_2025_ZCTAs</vt:lpstr>
      <vt:lpstr>DS_2025_ZCTAs_Sorted</vt:lpstr>
      <vt:lpstr>DS_2026_2F_GAO_Counties</vt:lpstr>
      <vt:lpstr>DS_2026_2F_GAO_CTs</vt:lpstr>
      <vt:lpstr>DS_2026_2F_GAO_CTs_Sorted</vt:lpstr>
      <vt:lpstr>DS_2026_3F_GAO_Counties</vt:lpstr>
      <vt:lpstr>DS_2026_3F_GAO_CTs</vt:lpstr>
      <vt:lpstr>DS_2026_3F_GAO_CTs_Sorted</vt:lpstr>
      <vt:lpstr>DS_2026_County_2F_GAOs</vt:lpstr>
      <vt:lpstr>DS_2026_County_3F_GAOs</vt:lpstr>
      <vt:lpstr>DS_2026_County_QCTs</vt:lpstr>
      <vt:lpstr>DS_2026_Metro_QCT_Counties</vt:lpstr>
      <vt:lpstr>DS_2026_Metro_QCTs</vt:lpstr>
      <vt:lpstr>DS_2026_Metro_QCTs_Sorted</vt:lpstr>
      <vt:lpstr>DS_2026_NonMetro_DDAs</vt:lpstr>
      <vt:lpstr>DS_2026_NonMetro_QCT_Counties</vt:lpstr>
      <vt:lpstr>DS_2026_NonMetro_QCTs</vt:lpstr>
      <vt:lpstr>DS_2026_NonMetro_QCTs_Sorted</vt:lpstr>
      <vt:lpstr>DS_2026_ZCTAs</vt:lpstr>
      <vt:lpstr>DS_2026_ZCTAs_Sorted</vt:lpstr>
      <vt:lpstr>DS_Absolute_Min_Units_1</vt:lpstr>
      <vt:lpstr>DS_Absolute_Min_Units_214</vt:lpstr>
      <vt:lpstr>DS_Act_Num_ELI_AIT</vt:lpstr>
      <vt:lpstr>DS_Act_Num_ELI_NonAIT</vt:lpstr>
      <vt:lpstr>DS_Act_Perc_ELI_NonAIT</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DS_Basis_Boost_Pres</vt:lpstr>
      <vt:lpstr>DS_Basis_Boost_Rehab</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DS_Comment_Min_ElderlyALF_SA_a</vt:lpstr>
      <vt:lpstr>DS_Comment_Min_ElderlyALF_SA_b</vt:lpstr>
      <vt:lpstr>DS_Comment_Min_ELI_SA_a</vt:lpstr>
      <vt:lpstr>DS_Comment_Min_ELI_SA_b</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DS_DevCat_Q_Basis_Rehab_1</vt:lpstr>
      <vt:lpstr>DS_DevCat_Qual_Letter</vt:lpstr>
      <vt:lpstr>DS_DevCat_R_Exp_Pres_1</vt:lpstr>
      <vt:lpstr>DS_DevCat_R_Exp_Rehab_1</vt:lpstr>
      <vt:lpstr>DS_DevCat_Rule_Def</vt:lpstr>
      <vt:lpstr>DS_DevCat_Sequence</vt:lpstr>
      <vt:lpstr>DS_DevCat_Units_NC_1</vt:lpstr>
      <vt:lpstr>DS_DevCat_Units_Pres_1</vt:lpstr>
      <vt:lpstr>DS_DevCat_Units_Redev_1</vt:lpstr>
      <vt:lpstr>DS_DevCat_Units_Rehab_1</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DS_ExcelCheckBox_Op1_Dev5_50</vt:lpstr>
      <vt:lpstr>DS_ExcelCheckBox_Op1_Dev5_Complex</vt:lpstr>
      <vt:lpstr>DS_ExcelCheckBox_Op1_Dev5_MI</vt:lpstr>
      <vt:lpstr>DS_ExcelCheckBox_Op1_Dev5_MU</vt:lpstr>
      <vt:lpstr>DS_ExcelCheckBox_Op2_Dev1_50</vt:lpstr>
      <vt:lpstr>DS_ExcelCheckBox_Op2_Dev1_MI</vt:lpstr>
      <vt:lpstr>DS_ExcelCheckBox_Op2_Dev2_50</vt:lpstr>
      <vt:lpstr>DS_ExcelCheckBox_Op2_Dev2_MI</vt:lpstr>
      <vt:lpstr>DS_ExcelCheckBox_Op2_Dev3_50</vt:lpstr>
      <vt:lpstr>DS_ExcelCheckBox_Op2_Dev3_MI</vt:lpstr>
      <vt:lpstr>DS_ExcelCheckBox_Op2_Dev4_50</vt:lpstr>
      <vt:lpstr>DS_ExcelCheckBox_Op2_Dev4_MI</vt:lpstr>
      <vt:lpstr>DS_ExcelCheckBox_Op2_Dev5_50</vt:lpstr>
      <vt:lpstr>DS_ExcelCheckBox_Op2_Dev5_MI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DS_FHFC_Min_Hard_Cost_Met_Pres</vt:lpstr>
      <vt:lpstr>DS_FHFC_Min_Hard_Cost_Met_Rehab</vt:lpstr>
      <vt:lpstr>DS_FHFC_Min_Pres_Costs_PU</vt:lpstr>
      <vt:lpstr>DS_FHFC_Min_Rehab_Costs_PU</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DS_Gap_AMI_Auto</vt:lpstr>
      <vt:lpstr>DS_Gap_AMI_Auto_YN</vt:lpstr>
      <vt:lpstr>DS_Gap_AMI_AutoAvg_AIT</vt:lpstr>
      <vt:lpstr>DS_Gap_AMI_Max</vt:lpstr>
      <vt:lpstr>DS_Gap_Max_SA_Perc</vt:lpstr>
      <vt:lpstr>DS_Gap_Min_SA_ALF</vt:lpstr>
      <vt:lpstr>DS_Gap_Min_SA_Perc</vt:lpstr>
      <vt:lpstr>DS_Gap_Name1</vt:lpstr>
      <vt:lpstr>DS_Gap_Name2</vt:lpstr>
      <vt:lpstr>DS_Gap1_YN</vt:lpstr>
      <vt:lpstr>DS_Gap2_YN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DS_IRC_Adj_Basis_Bldg_Pres</vt:lpstr>
      <vt:lpstr>DS_IRC_Adj_Basis_Bldg_Rehab</vt:lpstr>
      <vt:lpstr>DS_IRC_Min_AB_Bldg_Met_Pres</vt:lpstr>
      <vt:lpstr>DS_IRC_Min_AB_Bldg_Met_Rehab</vt:lpstr>
      <vt:lpstr>DS_IRC_Min_Adj_Basis_Bldg_Pres</vt:lpstr>
      <vt:lpstr>DS_IRC_Min_Adj_Basis_Bldg_Rehab</vt:lpstr>
      <vt:lpstr>DS_IRC_Min_Cost_Bldg_Pres</vt:lpstr>
      <vt:lpstr>DS_IRC_Min_Cost_Bldg_Rehab</vt:lpstr>
      <vt:lpstr>DS_IRC_Min_Pres_Costs_PU</vt:lpstr>
      <vt:lpstr>DS_IRC_Min_Rehab_Costs_PU</vt:lpstr>
      <vt:lpstr>DS_IRC_Qual_Basis_Pres</vt:lpstr>
      <vt:lpstr>DS_IRC_Qual_Basis_Rehab</vt:lpstr>
      <vt:lpstr>DS_IRC_Rehab_Costs_Pres</vt:lpstr>
      <vt:lpstr>DS_IRC_Rehab_Costs_Rehab</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DS_Lev_MP_Bedrooms</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DS_Mandadory_Distance_Calc</vt:lpstr>
      <vt:lpstr>DS_Max_ARP_Opt_Units</vt:lpstr>
      <vt:lpstr>DS_Max_ARP_Opt_Units_Active</vt:lpstr>
      <vt:lpstr>DS_Max_ARP_Req_Units</vt:lpstr>
      <vt:lpstr>DS_Max_ARP_Req_Units_Active</vt:lpstr>
      <vt:lpstr>DS_Max_ARP_Units</vt:lpstr>
      <vt:lpstr>DS_Max_Combo_Units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DS_Menu_Programs</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DS_Min_ELI_AIT_HC_Buy_NSS</vt:lpstr>
      <vt:lpstr>DS_Min_ELI_AIT_HC_Buy_SS</vt:lpstr>
      <vt:lpstr>DS_Min_ELI_AIT_HC_NSS</vt:lpstr>
      <vt:lpstr>DS_Min_ELI_AIT_HC_SS</vt:lpstr>
      <vt:lpstr>DS_Min_ELI_AIT_NoHC_Buy_NSS</vt:lpstr>
      <vt:lpstr>DS_Min_ELI_AIT_NoHC_NSS</vt:lpstr>
      <vt:lpstr>DS_Min_ELI_LDA</vt:lpstr>
      <vt:lpstr>DS_Min_ELI_NonAIT_HC_Buy_NSS</vt:lpstr>
      <vt:lpstr>DS_Min_ELI_NonAIT_HC_Buy_SS</vt:lpstr>
      <vt:lpstr>DS_Min_ELI_NonAIT_HC_NSS</vt:lpstr>
      <vt:lpstr>DS_Min_ELI_NonAIT_HC_SS</vt:lpstr>
      <vt:lpstr>DS_Min_ELI_NonAIT_NoHC_Buy_NSS</vt:lpstr>
      <vt:lpstr>DS_Min_ELI_NonAIT_NoHC_NSS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DS_Preserv_MinAge_Per_RFA</vt:lpstr>
      <vt:lpstr>DS_Preserv_MinAge_Per_Rule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DS_Prox_List_Demo</vt:lpstr>
      <vt:lpstr>DS_Proximity_DDMenu</vt:lpstr>
      <vt:lpstr>DS_Proximity_List_DataNames</vt:lpstr>
      <vt:lpstr>DS_Proximity_List_PublishNames</vt:lpstr>
      <vt:lpstr>DS_Proximity_List_Sequence</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DS_QB_Rehab_Costs_HC_Units_Pres</vt:lpstr>
      <vt:lpstr>DS_QB_Rehab_Costs_HC_Units_Rehab</vt:lpstr>
      <vt:lpstr>DS_QB_Rehab_Costs_Pres</vt:lpstr>
      <vt:lpstr>DS_QB_Rehab_Costs_Rehab</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DS_SetAside_Percent_Pres</vt:lpstr>
      <vt:lpstr>DS_SetAside_Percent_Rehab</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DS_TableA_Whole_Nos</vt:lpstr>
      <vt:lpstr>DS_TabLeftFooter</vt:lpstr>
      <vt:lpstr>DS_Tier_DataNames</vt:lpstr>
      <vt:lpstr>DS_Tier_DDMenu</vt:lpstr>
      <vt:lpstr>DS_Tier_Level</vt:lpstr>
      <vt:lpstr>DS_Tier_Sequence</vt:lpstr>
      <vt:lpstr>DS_Unit_Limit_Menu</vt:lpstr>
      <vt:lpstr>DS_Unit_Min_Descr</vt:lpstr>
      <vt:lpstr>DS_Units_for_Max</vt:lpstr>
      <vt:lpstr>DS_Units_for_Min</vt:lpstr>
      <vt:lpstr>DS_UnitTypeMatch</vt:lpstr>
      <vt:lpstr>DS_W_SAIL_PD</vt:lpstr>
      <vt:lpstr>DS_W_SAIL_PD_FLKeys</vt:lpstr>
      <vt:lpstr>DS_W_SAIL_PU</vt:lpstr>
      <vt:lpstr>DS_W_SAIL_PU_FLKeys_80Plus</vt:lpstr>
      <vt:lpstr>DS_W_SAIL_PU_FLKeys_No80Plus</vt:lpstr>
      <vt:lpstr>Earned_HUD_Boost</vt:lpstr>
      <vt:lpstr>Earned_QAP_Boost</vt:lpstr>
      <vt:lpstr>Effective_Fee</vt:lpstr>
      <vt:lpstr>Effective_Total_HOME_Match</vt:lpstr>
      <vt:lpstr>eighty_AMI_AIT_Units</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Eligible_MMRB_TE_Request_Amount</vt:lpstr>
      <vt:lpstr>Eligible_MMRB_TT_Request_Amount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ExcelCheckbox_Financial_Mgmt_Elderly</vt:lpstr>
      <vt:lpstr>ExcelCheckbox_Financial_Mgmt_Fam</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ExcelCheckbox_Homeownership_Opp</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ExcelCheckBox_Op1_Dev5_50</vt:lpstr>
      <vt:lpstr>ExcelCheckBox_Op1_Dev5_Complex</vt:lpstr>
      <vt:lpstr>ExcelCheckBox_Op1_Dev5_MI</vt:lpstr>
      <vt:lpstr>ExcelCheckBox_Op1_Dev5_MU</vt:lpstr>
      <vt:lpstr>ExcelCheckBox_Op2_Dev1_50</vt:lpstr>
      <vt:lpstr>ExcelCheckBox_Op2_Dev1_MI</vt:lpstr>
      <vt:lpstr>ExcelCheckBox_Op2_Dev2_50</vt:lpstr>
      <vt:lpstr>ExcelCheckBox_Op2_Dev2_MI</vt:lpstr>
      <vt:lpstr>ExcelCheckBox_Op2_Dev3_50</vt:lpstr>
      <vt:lpstr>ExcelCheckBox_Op2_Dev3_MI</vt:lpstr>
      <vt:lpstr>ExcelCheckBox_Op2_Dev4_50</vt:lpstr>
      <vt:lpstr>ExcelCheckBox_Op2_Dev4_MI</vt:lpstr>
      <vt:lpstr>ExcelCheckBox_Op2_Dev5_50</vt:lpstr>
      <vt:lpstr>ExcelCheckBox_Op2_Dev5_MI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Existing_App_Number</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Five_Bed_Total_Units</vt:lpstr>
      <vt:lpstr>FL_Keys_Goal_Prox_Score</vt:lpstr>
      <vt:lpstr>FLJobs_Score</vt:lpstr>
      <vt:lpstr>FLKeys_N_S</vt:lpstr>
      <vt:lpstr>forty_AMI_AIT_Units</vt:lpstr>
      <vt:lpstr>forty_AMI_HC</vt:lpstr>
      <vt:lpstr>fortyfive_AMI_HC</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Hard_Cost_PU_F_AR</vt:lpstr>
      <vt:lpstr>Hard_Cost_PU_F_NC</vt:lpstr>
      <vt:lpstr>Hard_n_Soft_Costs</vt:lpstr>
      <vt:lpstr>Hard_Soft_Costs_AOMult</vt:lpstr>
      <vt:lpstr>HardCC_DollarMax</vt:lpstr>
      <vt:lpstr>HardCC_Pass</vt:lpstr>
      <vt:lpstr>HardCC_PercentMax</vt:lpstr>
      <vt:lpstr>HCC_DollarMax</vt:lpstr>
      <vt:lpstr>HFA_Total_Rqst</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In_Corporation_Portfolio</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LGAO_Grant_Face</vt:lpstr>
      <vt:lpstr>LGAO_Loan_Forgive_Face</vt:lpstr>
      <vt:lpstr>LGAO_Loan_Repaid_Face</vt:lpstr>
      <vt:lpstr>LGAO_Min_Amt</vt:lpstr>
      <vt:lpstr>LGAO_Number</vt:lpstr>
      <vt:lpstr>LGAO_Number_qualified</vt:lpstr>
      <vt:lpstr>LGAO_Number_qualified_Comment</vt:lpstr>
      <vt:lpstr>LGAO_Points_Earned</vt:lpstr>
      <vt:lpstr>LGAO_Prior_App_Number_1YR</vt:lpstr>
      <vt:lpstr>LGAO_Prior_App_Number_2YR</vt:lpstr>
      <vt:lpstr>LGAO_Revite_Prox_Score</vt:lpstr>
      <vt:lpstr>LGAO_Total_Face</vt:lpstr>
      <vt:lpstr>LGC_FD_Face</vt:lpstr>
      <vt:lpstr>LGC_FD_NPV</vt:lpstr>
      <vt:lpstr>LGC_FD_ValueOfContribution</vt:lpstr>
      <vt:lpstr>LGC_FW_Cash_Face</vt:lpstr>
      <vt:lpstr>LGC_FW_Cash_ValueOfContribution</vt:lpstr>
      <vt:lpstr>LGC_FW_NonCash_Face</vt:lpstr>
      <vt:lpstr>LGC_FW_NonCash_ValueOfContribution</vt:lpstr>
      <vt:lpstr>LGC_Grant_Face</vt:lpstr>
      <vt:lpstr>LGC_Grant_ValueOfContribution</vt:lpstr>
      <vt:lpstr>LGC_Loan_Forgive_Face</vt:lpstr>
      <vt:lpstr>LGC_Loan_Forgive_ValueOfContribution</vt:lpstr>
      <vt:lpstr>LGC_Loan_Repaid_Face</vt:lpstr>
      <vt:lpstr>LGC_Loan_Repaid_ValueOfContribution</vt:lpstr>
      <vt:lpstr>LGC_Loana_Repaid_NPV</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Max_HC_AR</vt:lpstr>
      <vt:lpstr>Max_HC_NC</vt:lpstr>
      <vt:lpstr>Max_HOME</vt:lpstr>
      <vt:lpstr>Max_HOME_ARP</vt:lpstr>
      <vt:lpstr>Max_NHTF</vt:lpstr>
      <vt:lpstr>Max_RRLP_Base</vt:lpstr>
      <vt:lpstr>Max_RRLP_Base_1</vt:lpstr>
      <vt:lpstr>Max_RRLP_Base_2</vt:lpstr>
      <vt:lpstr>Max_RRLP_ELI</vt:lpstr>
      <vt:lpstr>Max_SAIL</vt:lpstr>
      <vt:lpstr>Max_SC</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MMRB_AIT_SetAside</vt:lpstr>
      <vt:lpstr>MMRB_Funding_Pref</vt:lpstr>
      <vt:lpstr>MMRB_Max_Basis_Limit</vt:lpstr>
      <vt:lpstr>MMRB_Max_TE_Request_Limit</vt:lpstr>
      <vt:lpstr>MMRB_Min_TT_Request_Limit</vt:lpstr>
      <vt:lpstr>MMRB_TE_Request_Amount</vt:lpstr>
      <vt:lpstr>MMRB_Total_Constr_Source</vt:lpstr>
      <vt:lpstr>MMRB_Total_Perm_Amt</vt:lpstr>
      <vt:lpstr>MMRB_TT_Request_Amount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NC_TDC_Multiplier</vt:lpstr>
      <vt:lpstr>NC_Unit_Count</vt:lpstr>
      <vt:lpstr>Net_TDC</vt:lpstr>
      <vt:lpstr>New_Development_Land</vt:lpstr>
      <vt:lpstr>NHTF_Additional_Units</vt:lpstr>
      <vt:lpstr>NHTF_Commit</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One_P1_Related_App_Limitation</vt:lpstr>
      <vt:lpstr>One_type_of_transit</vt:lpstr>
      <vt:lpstr>Op1_Dev1_Completed</vt:lpstr>
      <vt:lpstr>Op1_Dev1_DevName</vt:lpstr>
      <vt:lpstr>Op1_Dev1_Location</vt:lpstr>
      <vt:lpstr>Op1_Dev1_Principal</vt:lpstr>
      <vt:lpstr>Op1_Dev1_Program</vt:lpstr>
      <vt:lpstr>Op1_Dev1_Units</vt:lpstr>
      <vt:lpstr>Op1_Dev2_Completed</vt:lpstr>
      <vt:lpstr>Op1_Dev2_DevName</vt:lpstr>
      <vt:lpstr>Op1_Dev2_Location</vt:lpstr>
      <vt:lpstr>Op1_Dev2_Principal</vt:lpstr>
      <vt:lpstr>Op1_Dev2_Program</vt:lpstr>
      <vt:lpstr>Op1_Dev2_Units</vt:lpstr>
      <vt:lpstr>Op1_Dev3_Completed</vt:lpstr>
      <vt:lpstr>Op1_Dev3_DevName</vt:lpstr>
      <vt:lpstr>Op1_Dev3_Location</vt:lpstr>
      <vt:lpstr>Op1_Dev3_Principal</vt:lpstr>
      <vt:lpstr>Op1_Dev3_Program</vt:lpstr>
      <vt:lpstr>Op1_Dev3_Units</vt:lpstr>
      <vt:lpstr>Op1_Dev4_Completed</vt:lpstr>
      <vt:lpstr>Op1_Dev4_DevName</vt:lpstr>
      <vt:lpstr>Op1_Dev4_Location</vt:lpstr>
      <vt:lpstr>Op1_Dev4_Principal</vt:lpstr>
      <vt:lpstr>Op1_Dev4_Program</vt:lpstr>
      <vt:lpstr>Op1_Dev4_Units</vt:lpstr>
      <vt:lpstr>Op1_Dev5_Completed</vt:lpstr>
      <vt:lpstr>Op1_Dev5_DevName</vt:lpstr>
      <vt:lpstr>Op1_Dev5_Location</vt:lpstr>
      <vt:lpstr>Op1_Dev5_Principal</vt:lpstr>
      <vt:lpstr>Op1_Dev5_Program</vt:lpstr>
      <vt:lpstr>Op1_Dev5_Units</vt:lpstr>
      <vt:lpstr>Op1_Name_of_Developer1</vt:lpstr>
      <vt:lpstr>Op1_Name_of_Developer2</vt:lpstr>
      <vt:lpstr>Op1_Name_of_Principal1</vt:lpstr>
      <vt:lpstr>Op1_Name_of_Principal2</vt:lpstr>
      <vt:lpstr>Op2_Dev1_Completed</vt:lpstr>
      <vt:lpstr>Op2_Dev1_DevName</vt:lpstr>
      <vt:lpstr>Op2_Dev1_Location</vt:lpstr>
      <vt:lpstr>Op2_Dev1_Principal</vt:lpstr>
      <vt:lpstr>Op2_Dev1_Units</vt:lpstr>
      <vt:lpstr>Op2_Dev2_Completed</vt:lpstr>
      <vt:lpstr>Op2_Dev2_DevName</vt:lpstr>
      <vt:lpstr>Op2_Dev2_Location</vt:lpstr>
      <vt:lpstr>Op2_Dev2_Principal</vt:lpstr>
      <vt:lpstr>Op2_Dev2_Units</vt:lpstr>
      <vt:lpstr>Op2_Dev3_Completed</vt:lpstr>
      <vt:lpstr>Op2_Dev3_DevName</vt:lpstr>
      <vt:lpstr>Op2_Dev3_Location</vt:lpstr>
      <vt:lpstr>Op2_Dev3_Principal</vt:lpstr>
      <vt:lpstr>Op2_Dev3_Units</vt:lpstr>
      <vt:lpstr>Op2_Dev4_Completed</vt:lpstr>
      <vt:lpstr>Op2_Dev4_DevName</vt:lpstr>
      <vt:lpstr>Op2_Dev4_Location</vt:lpstr>
      <vt:lpstr>Op2_Dev4_Principal</vt:lpstr>
      <vt:lpstr>Op2_Dev4_Units</vt:lpstr>
      <vt:lpstr>Op2_Dev5_Completed</vt:lpstr>
      <vt:lpstr>Op2_Dev5_DevName</vt:lpstr>
      <vt:lpstr>Op2_Dev5_Location</vt:lpstr>
      <vt:lpstr>Op2_Dev5_Principal</vt:lpstr>
      <vt:lpstr>Op2_Dev5_Units</vt:lpstr>
      <vt:lpstr>Op3_Dev1_Principal</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Permit_Ready_Area_of_Opp_boost</vt:lpstr>
      <vt:lpstr>Permit_Ready_Area_of_Opp_boost_qualified</vt:lpstr>
      <vt:lpstr>Permit_Ready_Area_of_Opp_boost_qualified_comment</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Previous_App_Name</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Pref'!Print_Area</vt:lpstr>
      <vt:lpstr>'Development Location'!Print_Area</vt:lpstr>
      <vt:lpstr>Funding!Print_Area</vt:lpstr>
      <vt:lpstr>'General Information'!Print_Area</vt:lpstr>
      <vt:lpstr>Goals!Print_Area</vt:lpstr>
      <vt:lpstr>'LGAO Status'!Print_Area</vt:lpstr>
      <vt:lpstr>'LGC Points'!Print_Area</vt:lpstr>
      <vt:lpstr>'Pro Forma'!Print_Area</vt:lpstr>
      <vt:lpstr>'Proposed Development Info'!Print_Area</vt:lpstr>
      <vt:lpstr>'Proximity, Mand.Dist., RECAP'!Print_Area</vt:lpstr>
      <vt:lpstr>'Readiness to Proceed'!Print_Area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Priority1_Related_First</vt:lpstr>
      <vt:lpstr>Priority1_Related_Second</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RA_Hist_Pref</vt:lpstr>
      <vt:lpstr>RA_Level</vt:lpstr>
      <vt:lpstr>RAO_Region</vt:lpstr>
      <vt:lpstr>RD_Prox_boost</vt:lpstr>
      <vt:lpstr>RECAP</vt:lpstr>
      <vt:lpstr>RECAP_Except_1</vt:lpstr>
      <vt:lpstr>RECAP_Except_2</vt:lpstr>
      <vt:lpstr>Rehab_Acq_Fee</vt:lpstr>
      <vt:lpstr>Rehab_TDC_Multiplier</vt:lpstr>
      <vt:lpstr>Rehab_Unit_Count</vt:lpstr>
      <vt:lpstr>Rental_Assistance_Units</vt:lpstr>
      <vt:lpstr>residential_buildings</vt:lpstr>
      <vt:lpstr>RRLP_Base_Request_Amount</vt:lpstr>
      <vt:lpstr>RRLP_ELI_Request_Amount</vt:lpstr>
      <vt:lpstr>S_Nickname</vt:lpstr>
      <vt:lpstr>SADDA_ZCTA_1</vt:lpstr>
      <vt:lpstr>SADDA_ZCTA_2</vt:lpstr>
      <vt:lpstr>SADDA_ZCTA_3</vt:lpstr>
      <vt:lpstr>SAIL_CorpPortfolio_AppNumber</vt:lpstr>
      <vt:lpstr>SAIL_Request_Amount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SiF_ESS_NC_Units</vt:lpstr>
      <vt:lpstr>SiF_Non_ESS_NC_Units</vt:lpstr>
      <vt:lpstr>sixty_AMI_AIT_Units</vt:lpstr>
      <vt:lpstr>sixty_AMI_HC</vt:lpstr>
      <vt:lpstr>Small_Area_DDA</vt:lpstr>
      <vt:lpstr>Small_Area_DDA_qualified</vt:lpstr>
      <vt:lpstr>SS_Compliance_Period</vt:lpstr>
      <vt:lpstr>SS_Conversion_Option</vt:lpstr>
      <vt:lpstr>SS_Higher_Percentage</vt:lpstr>
      <vt:lpstr>SS_Waive_the_Option</vt:lpstr>
      <vt:lpstr>SS_Waiver_Option</vt:lpstr>
      <vt:lpstr>SunRail_Goal</vt:lpstr>
      <vt:lpstr>Sunrail_Level</vt:lpstr>
      <vt:lpstr>SunRail_Name</vt:lpstr>
      <vt:lpstr>SunRail_Prox_Score</vt:lpstr>
      <vt:lpstr>Sunrail_Stations</vt:lpstr>
      <vt:lpstr>Supp_Srv_Fund_Pref</vt:lpstr>
      <vt:lpstr>Supp_Srvc_Fund</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thirtyfive_AMI_HC</vt:lpstr>
      <vt:lpstr>thirtythree_AMI_HC</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twentyfive_AMI_HC</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Kevin Tatreau</cp:lastModifiedBy>
  <cp:revision/>
  <cp:lastPrinted>2026-03-10T17:18:29Z</cp:lastPrinted>
  <dcterms:created xsi:type="dcterms:W3CDTF">2021-01-19T14:53:27Z</dcterms:created>
  <dcterms:modified xsi:type="dcterms:W3CDTF">2026-10-13T18:36:16Z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